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drawings/drawing9.xml" ContentType="application/vnd.openxmlformats-officedocument.drawing+xml"/>
  <Override PartName="/xl/tables/table2.xml" ContentType="application/vnd.openxmlformats-officedocument.spreadsheetml.table+xml"/>
  <Override PartName="/xl/drawings/drawing10.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7.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19.xml" ContentType="application/vnd.openxmlformats-officedocument.drawing+xml"/>
  <Override PartName="/xl/drawings/drawing20.xml" ContentType="application/vnd.openxmlformats-officedocument.drawing+xml"/>
  <Override PartName="/xl/comments1.xml" ContentType="application/vnd.openxmlformats-officedocument.spreadsheetml.comments+xml"/>
  <Override PartName="/xl/drawings/drawing21.xml" ContentType="application/vnd.openxmlformats-officedocument.drawing+xml"/>
  <Override PartName="/xl/comments2.xml" ContentType="application/vnd.openxmlformats-officedocument.spreadsheetml.comments+xml"/>
  <Override PartName="/xl/drawings/drawing22.xml" ContentType="application/vnd.openxmlformats-officedocument.drawing+xml"/>
  <Override PartName="/xl/comments3.xml" ContentType="application/vnd.openxmlformats-officedocument.spreadsheetml.comments+xml"/>
  <Override PartName="/xl/drawings/drawing23.xml" ContentType="application/vnd.openxmlformats-officedocument.drawing+xml"/>
  <Override PartName="/xl/comments4.xml" ContentType="application/vnd.openxmlformats-officedocument.spreadsheetml.comments+xml"/>
  <Override PartName="/xl/drawings/drawing24.xml" ContentType="application/vnd.openxmlformats-officedocument.drawing+xml"/>
  <Override PartName="/xl/comments5.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updateLinks="always" codeName="ThisWorkbook"/>
  <mc:AlternateContent xmlns:mc="http://schemas.openxmlformats.org/markup-compatibility/2006">
    <mc:Choice Requires="x15">
      <x15ac:absPath xmlns:x15ac="http://schemas.microsoft.com/office/spreadsheetml/2010/11/ac" url="C:\Users\saint\Downloads\"/>
    </mc:Choice>
  </mc:AlternateContent>
  <xr:revisionPtr revIDLastSave="0" documentId="13_ncr:1_{4C3C2AA1-ECCC-48A0-AFC1-79977564B6BE}" xr6:coauthVersionLast="47" xr6:coauthVersionMax="47" xr10:uidLastSave="{00000000-0000-0000-0000-000000000000}"/>
  <bookViews>
    <workbookView xWindow="-120" yWindow="-120" windowWidth="29040" windowHeight="15840" tabRatio="871" activeTab="3" xr2:uid="{00000000-000D-0000-FFFF-FFFF00000000}"/>
  </bookViews>
  <sheets>
    <sheet name="Menú" sheetId="392" r:id="rId1"/>
    <sheet name="Léeme" sheetId="361" r:id="rId2"/>
    <sheet name="Estado del Libro" sheetId="393" r:id="rId3"/>
    <sheet name="Config" sheetId="353" r:id="rId4"/>
    <sheet name="Captura-RDO" sheetId="367" r:id="rId5"/>
    <sheet name="Captura-Planta" sheetId="376" r:id="rId6"/>
    <sheet name="Control Reactivos" sheetId="378" r:id="rId7"/>
    <sheet name="Toneladas Molinos" sheetId="379" r:id="rId8"/>
    <sheet name="Agregado Medios" sheetId="380" r:id="rId9"/>
    <sheet name="Control Canaletas" sheetId="382" r:id="rId10"/>
    <sheet name="Fallas y Paradas" sheetId="366" r:id="rId11"/>
    <sheet name="Reporte Mantenimiento" sheetId="387" r:id="rId12"/>
    <sheet name="Mantto Bombas" sheetId="388" r:id="rId13"/>
    <sheet name="BALANZAS" sheetId="210" r:id="rId14"/>
    <sheet name="Avisos OT" sheetId="347" r:id="rId15"/>
    <sheet name="KPI" sheetId="292" r:id="rId16"/>
    <sheet name="Cálculo" sheetId="293" r:id="rId17"/>
    <sheet name="embarque" sheetId="294" r:id="rId18"/>
    <sheet name="KPI Mes" sheetId="389" r:id="rId19"/>
    <sheet name="Informe Mensual" sheetId="385" r:id="rId20"/>
    <sheet name="Operatividad" sheetId="391" r:id="rId21"/>
    <sheet name="Reporte Auto" sheetId="344" r:id="rId22"/>
    <sheet name="Índice Diario" sheetId="345" r:id="rId23"/>
    <sheet name="Vista RDO" sheetId="352" r:id="rId24"/>
    <sheet name="Resumen Avisos" sheetId="349" r:id="rId25"/>
    <sheet name="Control Días" sheetId="355" r:id="rId26"/>
    <sheet name="Auditoría" sheetId="359" r:id="rId27"/>
    <sheet name="Metas" sheetId="356" r:id="rId28"/>
    <sheet name="Catálogo" sheetId="357" r:id="rId29"/>
    <sheet name="Catálogo Controles" sheetId="363" r:id="rId30"/>
    <sheet name="INSPECCION DE CICLONES" sheetId="136" r:id="rId31"/>
    <sheet name="SOLPED FORROS RM-BM" sheetId="94" r:id="rId32"/>
    <sheet name="RTM-TRITURACION" sheetId="28" r:id="rId33"/>
    <sheet name="RTM-MAGNETICA" sheetId="29" r:id="rId34"/>
    <sheet name="RTM-FILTROS" sheetId="23" r:id="rId35"/>
    <sheet name="RTM-RELAVES" sheetId="30" r:id="rId36"/>
    <sheet name="RTM-EMBARQUE" sheetId="24" r:id="rId37"/>
    <sheet name="Datos Concentrado" sheetId="358" state="hidden" r:id="rId38"/>
    <sheet name="Datos Controles" sheetId="364" state="hidden" r:id="rId39"/>
    <sheet name="Registro RDO" sheetId="350" state="hidden" r:id="rId40"/>
    <sheet name="Bitácora RDO" sheetId="351" state="hidden" r:id="rId41"/>
    <sheet name="Maestro Equipos" sheetId="348" state="hidden" r:id="rId42"/>
    <sheet name="Mapa RDO" sheetId="369" state="hidden" r:id="rId43"/>
    <sheet name="Listas" sheetId="346" state="hidden" r:id="rId44"/>
    <sheet name="Parámetros" sheetId="343" state="hidden" r:id="rId45"/>
  </sheets>
  <definedNames>
    <definedName name="_xlnm._FilterDatabase" localSheetId="36" hidden="1">'RTM-EMBARQUE'!$B$8:$H$8</definedName>
    <definedName name="_xlnm._FilterDatabase" localSheetId="34" hidden="1">'RTM-FILTROS'!$B$5:$H$5</definedName>
    <definedName name="_xlnm._FilterDatabase" localSheetId="33" hidden="1">'RTM-MAGNETICA'!$B$5:$H$78</definedName>
    <definedName name="_xlnm._FilterDatabase" localSheetId="35" hidden="1">'RTM-RELAVES'!$B$5:$H$5</definedName>
    <definedName name="_xlnm._FilterDatabase" localSheetId="32" hidden="1">'RTM-TRITURACION'!$B$5:$H$5</definedName>
    <definedName name="_xlnm.Print_Area" localSheetId="4">'Captura-RDO'!$A$1:$I$221</definedName>
    <definedName name="_xlnm.Print_Area" localSheetId="17">embarque!$A$1:$BA$33</definedName>
    <definedName name="_xlnm.Print_Area" localSheetId="2">'Estado del Libro'!$A$1:$J$57</definedName>
    <definedName name="_xlnm.Print_Area" localSheetId="19">'Informe Mensual'!$A$1:$E$50</definedName>
    <definedName name="_xlnm.Print_Area" localSheetId="15">KPI!$A$1:$AE$58</definedName>
    <definedName name="_xlnm.Print_Area" localSheetId="20">Operatividad!$A$1:$N$66</definedName>
    <definedName name="CFG_DIAS">Config!$C$13</definedName>
    <definedName name="CFG_FIN_MES">Config!$C$14</definedName>
    <definedName name="CFG_HORA_INI">Config!$C$15</definedName>
    <definedName name="CFG_HORAS">Config!$C$16</definedName>
    <definedName name="CFG_MES">Config!$C$11</definedName>
    <definedName name="CFG_MES_TXT">Config!$C$12</definedName>
    <definedName name="CFG_SEL_ANIO">Config!$C$6</definedName>
    <definedName name="CFG_SEL_MES">Config!$C$5</definedName>
    <definedName name="CFG_SINTER_AREA">Config!$C$22</definedName>
    <definedName name="CFG_SINTER_GUARDIA">Config!$C$24</definedName>
    <definedName name="CFG_SINTER_PARAM">Config!$C$23</definedName>
    <definedName name="CFG_USUARIO">Config!$C$17</definedName>
    <definedName name="CFG_VERSION">Config!$C$18</definedName>
    <definedName name="L_ANIOS">Listas!$S$5:$S$14</definedName>
    <definedName name="L_AREA">Listas!$B$5:$B$16</definedName>
    <definedName name="L_AREA_BIT">Listas!$O$5:$O$14</definedName>
    <definedName name="L_CONDICION">Listas!$E$5:$E$16</definedName>
    <definedName name="L_CRITICIDAD">Listas!$F$5:$F$16</definedName>
    <definedName name="L_EQUIPOS">'Maestro Equipos'!$B$5:$B$247</definedName>
    <definedName name="L_ESPECIALIDAD">Listas!$C$5:$C$16</definedName>
    <definedName name="L_ESTADO">Listas!$D$5:$D$16</definedName>
    <definedName name="L_ESTADO_DATO">Listas!$M$5:$M$9</definedName>
    <definedName name="L_ESTADO_DIA">Listas!$L$5:$L$7</definedName>
    <definedName name="L_GUARDIA">Listas!$N$5:$N$7</definedName>
    <definedName name="L_MODULOS">'Catálogo Controles'!$B$5:$B$12</definedName>
    <definedName name="L_TIPO_FALLA">Listas!$Q$5:$Q$9</definedName>
    <definedName name="MESES">Parámetros!$B$17:$B$28</definedName>
    <definedName name="P_AJUSTE_CONC">Parámetros!$C$14</definedName>
    <definedName name="P_BANDA">Parámetros!$C$13</definedName>
    <definedName name="P_CAP_ALIM_H">Parámetros!$C$6</definedName>
    <definedName name="P_CAP_ALIM_TURNO">Parámetros!$C$7</definedName>
    <definedName name="P_CAP_CONC_DIA">Parámetros!$C$8</definedName>
    <definedName name="P_CAP_CONC_H">Parámetros!$C$9</definedName>
    <definedName name="P_KPI_FE">Parámetros!$C$11</definedName>
    <definedName name="P_KPI_FEO">Parámetros!$C$12</definedName>
    <definedName name="P_KPI_S">Parámetros!$C$10</definedName>
    <definedName name="PLT_FECHA">'Captura-Planta'!$C$4</definedName>
    <definedName name="PPTO_CONC">Parámetros!$D$17:$D$28</definedName>
    <definedName name="PPTO_SINTER">Parámetros!$F$17:$F$28</definedName>
    <definedName name="RDO_FECHA">'Captura-RDO'!$E$2</definedName>
    <definedName name="REAL_CONC">Parámetros!$E$17:$E$28</definedName>
    <definedName name="REAL_SINTER">Parámetros!$G$17:$G$28</definedName>
    <definedName name="RPT_CLAVE">Parámetros!$C$44</definedName>
    <definedName name="RPT_DIA">Parámetros!$C$36</definedName>
    <definedName name="RPT_DIAS_MES">Parámetros!$C$39</definedName>
    <definedName name="RPT_FECHA">Parámetros!$C$33</definedName>
    <definedName name="RPT_FILA_INI">Parámetros!$C$35</definedName>
    <definedName name="RPT_FILA_TOT">Parámetros!$C$34</definedName>
    <definedName name="RPT_MES">Parámetros!$C$37</definedName>
    <definedName name="RPT_MES_NOMBRE">Parámetros!$C$38</definedName>
    <definedName name="RPT_PPTO_DIA_CONC">Parámetros!$C$42</definedName>
    <definedName name="RPT_PPTO_DIA_SINTER">Parámetros!$C$43</definedName>
    <definedName name="RPT_SEM_DIAS">Parámetros!$C$41</definedName>
    <definedName name="RPT_SEM_INI">Parámetros!$C$40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L109" i="344" l="1"/>
  <c r="AK109" i="344"/>
  <c r="B11" i="359"/>
  <c r="B12" i="359"/>
  <c r="B13" i="359"/>
  <c r="B14" i="359"/>
  <c r="B15" i="359"/>
  <c r="B16" i="359"/>
  <c r="B17" i="359"/>
  <c r="B18" i="359"/>
  <c r="B19" i="359"/>
  <c r="L56" i="366"/>
  <c r="L57" i="366"/>
  <c r="L58" i="366"/>
  <c r="H56" i="366"/>
  <c r="I56" i="366" s="1"/>
  <c r="H57" i="366"/>
  <c r="I57" i="366" s="1"/>
  <c r="H58" i="366"/>
  <c r="I58" i="366" s="1"/>
  <c r="W619" i="358"/>
  <c r="X619" i="358"/>
  <c r="Y619" i="358"/>
  <c r="Z619" i="358" s="1"/>
  <c r="AA619" i="358"/>
  <c r="W620" i="358"/>
  <c r="X620" i="358"/>
  <c r="Y620" i="358"/>
  <c r="Z620" i="358" s="1"/>
  <c r="AA620" i="358"/>
  <c r="W621" i="358"/>
  <c r="X621" i="358"/>
  <c r="Y621" i="358"/>
  <c r="Z621" i="358"/>
  <c r="AA621" i="358"/>
  <c r="W622" i="358"/>
  <c r="X622" i="358"/>
  <c r="Y622" i="358"/>
  <c r="Z622" i="358" s="1"/>
  <c r="AA622" i="358"/>
  <c r="W623" i="358"/>
  <c r="X623" i="358"/>
  <c r="Y623" i="358"/>
  <c r="Z623" i="358"/>
  <c r="AA623" i="358"/>
  <c r="W624" i="358"/>
  <c r="X624" i="358"/>
  <c r="Y624" i="358"/>
  <c r="Z624" i="358"/>
  <c r="AA624" i="358"/>
  <c r="W625" i="358"/>
  <c r="X625" i="358"/>
  <c r="Y625" i="358"/>
  <c r="Z625" i="358"/>
  <c r="AA625" i="358"/>
  <c r="W626" i="358"/>
  <c r="X626" i="358"/>
  <c r="Y626" i="358"/>
  <c r="Z626" i="358"/>
  <c r="AA626" i="358"/>
  <c r="W627" i="358"/>
  <c r="X627" i="358"/>
  <c r="Y627" i="358"/>
  <c r="Z627" i="358" s="1"/>
  <c r="AA627" i="358"/>
  <c r="W628" i="358"/>
  <c r="X628" i="358"/>
  <c r="Y628" i="358"/>
  <c r="Z628" i="358" s="1"/>
  <c r="AA628" i="358"/>
  <c r="W629" i="358"/>
  <c r="X629" i="358"/>
  <c r="Y629" i="358"/>
  <c r="Z629" i="358"/>
  <c r="AA629" i="358"/>
  <c r="W630" i="358"/>
  <c r="X630" i="358"/>
  <c r="Y630" i="358"/>
  <c r="Z630" i="358" s="1"/>
  <c r="AA630" i="358"/>
  <c r="W631" i="358"/>
  <c r="X631" i="358"/>
  <c r="Y631" i="358"/>
  <c r="Z631" i="358"/>
  <c r="AA631" i="358"/>
  <c r="W632" i="358"/>
  <c r="X632" i="358"/>
  <c r="Y632" i="358"/>
  <c r="Z632" i="358"/>
  <c r="AA632" i="358"/>
  <c r="W633" i="358"/>
  <c r="X633" i="358"/>
  <c r="Y633" i="358"/>
  <c r="Z633" i="358"/>
  <c r="AA633" i="358"/>
  <c r="W634" i="358"/>
  <c r="X634" i="358"/>
  <c r="Y634" i="358"/>
  <c r="Z634" i="358"/>
  <c r="AA634" i="358"/>
  <c r="W635" i="358"/>
  <c r="X635" i="358"/>
  <c r="Y635" i="358"/>
  <c r="Z635" i="358" s="1"/>
  <c r="AA635" i="358"/>
  <c r="W636" i="358"/>
  <c r="X636" i="358"/>
  <c r="Y636" i="358"/>
  <c r="Z636" i="358" s="1"/>
  <c r="AA636" i="358"/>
  <c r="W637" i="358"/>
  <c r="X637" i="358"/>
  <c r="Y637" i="358"/>
  <c r="Z637" i="358"/>
  <c r="AA637" i="358"/>
  <c r="W638" i="358"/>
  <c r="X638" i="358"/>
  <c r="Y638" i="358"/>
  <c r="Z638" i="358" s="1"/>
  <c r="AA638" i="358"/>
  <c r="W639" i="358"/>
  <c r="X639" i="358"/>
  <c r="Y639" i="358"/>
  <c r="Z639" i="358"/>
  <c r="AA639" i="358"/>
  <c r="W640" i="358"/>
  <c r="X640" i="358"/>
  <c r="Y640" i="358"/>
  <c r="Z640" i="358" s="1"/>
  <c r="AA640" i="358"/>
  <c r="W641" i="358"/>
  <c r="X641" i="358"/>
  <c r="Y641" i="358"/>
  <c r="Z641" i="358"/>
  <c r="AA641" i="358"/>
  <c r="W642" i="358"/>
  <c r="X642" i="358"/>
  <c r="Y642" i="358"/>
  <c r="Z642" i="358"/>
  <c r="AA642" i="358"/>
  <c r="W643" i="358"/>
  <c r="X643" i="358"/>
  <c r="Y643" i="358"/>
  <c r="Z643" i="358"/>
  <c r="AA643" i="358"/>
  <c r="W644" i="358"/>
  <c r="X644" i="358"/>
  <c r="Y644" i="358"/>
  <c r="Z644" i="358" s="1"/>
  <c r="AA644" i="358"/>
  <c r="W645" i="358"/>
  <c r="X645" i="358"/>
  <c r="Y645" i="358"/>
  <c r="Z645" i="358"/>
  <c r="AA645" i="358"/>
  <c r="W646" i="358"/>
  <c r="X646" i="358"/>
  <c r="Y646" i="358"/>
  <c r="Z646" i="358" s="1"/>
  <c r="AA646" i="358"/>
  <c r="W647" i="358"/>
  <c r="X647" i="358"/>
  <c r="Y647" i="358"/>
  <c r="Z647" i="358"/>
  <c r="AA647" i="358"/>
  <c r="W648" i="358"/>
  <c r="X648" i="358"/>
  <c r="Y648" i="358"/>
  <c r="Z648" i="358" s="1"/>
  <c r="AA648" i="358"/>
  <c r="W649" i="358"/>
  <c r="X649" i="358"/>
  <c r="Y649" i="358"/>
  <c r="Z649" i="358"/>
  <c r="AA649" i="358"/>
  <c r="W650" i="358"/>
  <c r="X650" i="358"/>
  <c r="Y650" i="358"/>
  <c r="Z650" i="358"/>
  <c r="AA650" i="358"/>
  <c r="W651" i="358"/>
  <c r="X651" i="358"/>
  <c r="Y651" i="358"/>
  <c r="Z651" i="358"/>
  <c r="AA651" i="358"/>
  <c r="W652" i="358"/>
  <c r="X652" i="358"/>
  <c r="Y652" i="358"/>
  <c r="Z652" i="358" s="1"/>
  <c r="AA652" i="358"/>
  <c r="W653" i="358"/>
  <c r="X653" i="358"/>
  <c r="Y653" i="358"/>
  <c r="Z653" i="358"/>
  <c r="AA653" i="358"/>
  <c r="W654" i="358"/>
  <c r="X654" i="358"/>
  <c r="Y654" i="358"/>
  <c r="Z654" i="358" s="1"/>
  <c r="AA654" i="358"/>
  <c r="W655" i="358"/>
  <c r="X655" i="358"/>
  <c r="Y655" i="358"/>
  <c r="Z655" i="358"/>
  <c r="AA655" i="358"/>
  <c r="W656" i="358"/>
  <c r="X656" i="358"/>
  <c r="Y656" i="358"/>
  <c r="Z656" i="358" s="1"/>
  <c r="AA656" i="358"/>
  <c r="W657" i="358"/>
  <c r="X657" i="358"/>
  <c r="Y657" i="358"/>
  <c r="Z657" i="358"/>
  <c r="AA657" i="358"/>
  <c r="W658" i="358"/>
  <c r="X658" i="358"/>
  <c r="Y658" i="358"/>
  <c r="Z658" i="358"/>
  <c r="AA658" i="358"/>
  <c r="W659" i="358"/>
  <c r="X659" i="358"/>
  <c r="Y659" i="358"/>
  <c r="Z659" i="358"/>
  <c r="AA659" i="358"/>
  <c r="W660" i="358"/>
  <c r="X660" i="358"/>
  <c r="Y660" i="358"/>
  <c r="Z660" i="358" s="1"/>
  <c r="AA660" i="358"/>
  <c r="W661" i="358"/>
  <c r="X661" i="358"/>
  <c r="Y661" i="358"/>
  <c r="Z661" i="358"/>
  <c r="AA661" i="358"/>
  <c r="W662" i="358"/>
  <c r="X662" i="358"/>
  <c r="Y662" i="358"/>
  <c r="Z662" i="358" s="1"/>
  <c r="AA662" i="358"/>
  <c r="W663" i="358"/>
  <c r="X663" i="358"/>
  <c r="Y663" i="358"/>
  <c r="Z663" i="358"/>
  <c r="AA663" i="358"/>
  <c r="W664" i="358"/>
  <c r="X664" i="358"/>
  <c r="Y664" i="358"/>
  <c r="Z664" i="358" s="1"/>
  <c r="AA664" i="358"/>
  <c r="W665" i="358"/>
  <c r="X665" i="358"/>
  <c r="Y665" i="358"/>
  <c r="Z665" i="358" s="1"/>
  <c r="AA665" i="358"/>
  <c r="W666" i="358"/>
  <c r="X666" i="358"/>
  <c r="Y666" i="358"/>
  <c r="Z666" i="358"/>
  <c r="AA666" i="358"/>
  <c r="W667" i="358"/>
  <c r="X667" i="358"/>
  <c r="Y667" i="358"/>
  <c r="Z667" i="358"/>
  <c r="AA667" i="358"/>
  <c r="W668" i="358"/>
  <c r="X668" i="358"/>
  <c r="Y668" i="358"/>
  <c r="Z668" i="358" s="1"/>
  <c r="AA668" i="358"/>
  <c r="W669" i="358"/>
  <c r="X669" i="358"/>
  <c r="Y669" i="358"/>
  <c r="Z669" i="358"/>
  <c r="AA669" i="358"/>
  <c r="W670" i="358"/>
  <c r="X670" i="358"/>
  <c r="Y670" i="358"/>
  <c r="Z670" i="358" s="1"/>
  <c r="AA670" i="358"/>
  <c r="W671" i="358"/>
  <c r="X671" i="358"/>
  <c r="Y671" i="358"/>
  <c r="Z671" i="358"/>
  <c r="AA671" i="358"/>
  <c r="W672" i="358"/>
  <c r="X672" i="358"/>
  <c r="Y672" i="358"/>
  <c r="Z672" i="358" s="1"/>
  <c r="AA672" i="358"/>
  <c r="W673" i="358"/>
  <c r="X673" i="358"/>
  <c r="Y673" i="358"/>
  <c r="Z673" i="358" s="1"/>
  <c r="AA673" i="358"/>
  <c r="W674" i="358"/>
  <c r="X674" i="358"/>
  <c r="Y674" i="358"/>
  <c r="Z674" i="358"/>
  <c r="AA674" i="358"/>
  <c r="W675" i="358"/>
  <c r="X675" i="358"/>
  <c r="Y675" i="358"/>
  <c r="Z675" i="358"/>
  <c r="AA675" i="358"/>
  <c r="W676" i="358"/>
  <c r="X676" i="358"/>
  <c r="Y676" i="358"/>
  <c r="Z676" i="358" s="1"/>
  <c r="AA676" i="358"/>
  <c r="W677" i="358"/>
  <c r="X677" i="358"/>
  <c r="Y677" i="358"/>
  <c r="Z677" i="358"/>
  <c r="AA677" i="358"/>
  <c r="W678" i="358"/>
  <c r="X678" i="358"/>
  <c r="Y678" i="358"/>
  <c r="Z678" i="358" s="1"/>
  <c r="AA678" i="358"/>
  <c r="W679" i="358"/>
  <c r="X679" i="358"/>
  <c r="Y679" i="358"/>
  <c r="Z679" i="358"/>
  <c r="AA679" i="358"/>
  <c r="W680" i="358"/>
  <c r="X680" i="358"/>
  <c r="Y680" i="358"/>
  <c r="Z680" i="358"/>
  <c r="AA680" i="358"/>
  <c r="W681" i="358"/>
  <c r="X681" i="358"/>
  <c r="Y681" i="358"/>
  <c r="Z681" i="358" s="1"/>
  <c r="AA681" i="358"/>
  <c r="W682" i="358"/>
  <c r="X682" i="358"/>
  <c r="Y682" i="358"/>
  <c r="Z682" i="358"/>
  <c r="AA682" i="358"/>
  <c r="W683" i="358"/>
  <c r="X683" i="358"/>
  <c r="Y683" i="358"/>
  <c r="Z683" i="358"/>
  <c r="AA683" i="358"/>
  <c r="W684" i="358"/>
  <c r="X684" i="358"/>
  <c r="Y684" i="358"/>
  <c r="Z684" i="358" s="1"/>
  <c r="AA684" i="358"/>
  <c r="W685" i="358"/>
  <c r="X685" i="358"/>
  <c r="Y685" i="358"/>
  <c r="Z685" i="358"/>
  <c r="AA685" i="358"/>
  <c r="W686" i="358"/>
  <c r="X686" i="358"/>
  <c r="Y686" i="358"/>
  <c r="Z686" i="358" s="1"/>
  <c r="AA686" i="358"/>
  <c r="W687" i="358"/>
  <c r="X687" i="358"/>
  <c r="Y687" i="358"/>
  <c r="Z687" i="358"/>
  <c r="AA687" i="358"/>
  <c r="W688" i="358"/>
  <c r="X688" i="358"/>
  <c r="Y688" i="358"/>
  <c r="Z688" i="358"/>
  <c r="AA688" i="358"/>
  <c r="W689" i="358"/>
  <c r="X689" i="358"/>
  <c r="Y689" i="358"/>
  <c r="Z689" i="358"/>
  <c r="AA689" i="358"/>
  <c r="W690" i="358"/>
  <c r="X690" i="358"/>
  <c r="Y690" i="358"/>
  <c r="Z690" i="358"/>
  <c r="AA690" i="358"/>
  <c r="W691" i="358"/>
  <c r="X691" i="358"/>
  <c r="Y691" i="358"/>
  <c r="Z691" i="358"/>
  <c r="AA691" i="358"/>
  <c r="W692" i="358"/>
  <c r="X692" i="358"/>
  <c r="Y692" i="358"/>
  <c r="Z692" i="358" s="1"/>
  <c r="AA692" i="358"/>
  <c r="W693" i="358"/>
  <c r="X693" i="358"/>
  <c r="Y693" i="358"/>
  <c r="Z693" i="358"/>
  <c r="AA693" i="358"/>
  <c r="W694" i="358"/>
  <c r="X694" i="358"/>
  <c r="Y694" i="358"/>
  <c r="Z694" i="358" s="1"/>
  <c r="AA694" i="358"/>
  <c r="W695" i="358"/>
  <c r="X695" i="358"/>
  <c r="Y695" i="358"/>
  <c r="Z695" i="358"/>
  <c r="AA695" i="358"/>
  <c r="W696" i="358"/>
  <c r="X696" i="358"/>
  <c r="Y696" i="358"/>
  <c r="Z696" i="358"/>
  <c r="AA696" i="358"/>
  <c r="W697" i="358"/>
  <c r="X697" i="358"/>
  <c r="Y697" i="358"/>
  <c r="Z697" i="358"/>
  <c r="AA697" i="358"/>
  <c r="B619" i="358"/>
  <c r="B620" i="358"/>
  <c r="B621" i="358"/>
  <c r="B622" i="358"/>
  <c r="B623" i="358"/>
  <c r="B624" i="358"/>
  <c r="B625" i="358"/>
  <c r="B626" i="358"/>
  <c r="B627" i="358"/>
  <c r="B628" i="358"/>
  <c r="B629" i="358"/>
  <c r="B630" i="358"/>
  <c r="B631" i="358"/>
  <c r="B632" i="358"/>
  <c r="B633" i="358"/>
  <c r="B634" i="358"/>
  <c r="B635" i="358"/>
  <c r="B636" i="358"/>
  <c r="B637" i="358"/>
  <c r="B638" i="358"/>
  <c r="B639" i="358"/>
  <c r="B640" i="358"/>
  <c r="B641" i="358"/>
  <c r="B642" i="358"/>
  <c r="B643" i="358"/>
  <c r="B644" i="358"/>
  <c r="B645" i="358"/>
  <c r="B646" i="358"/>
  <c r="B647" i="358"/>
  <c r="B648" i="358"/>
  <c r="B649" i="358"/>
  <c r="B650" i="358"/>
  <c r="B651" i="358"/>
  <c r="B652" i="358"/>
  <c r="B653" i="358"/>
  <c r="B654" i="358"/>
  <c r="B655" i="358"/>
  <c r="B656" i="358"/>
  <c r="B657" i="358"/>
  <c r="B658" i="358"/>
  <c r="B659" i="358"/>
  <c r="B660" i="358"/>
  <c r="B661" i="358"/>
  <c r="B662" i="358"/>
  <c r="B663" i="358"/>
  <c r="B664" i="358"/>
  <c r="B665" i="358"/>
  <c r="B666" i="358"/>
  <c r="B667" i="358"/>
  <c r="B668" i="358"/>
  <c r="B669" i="358"/>
  <c r="B670" i="358"/>
  <c r="B671" i="358"/>
  <c r="B672" i="358"/>
  <c r="B673" i="358"/>
  <c r="B674" i="358"/>
  <c r="B675" i="358"/>
  <c r="B676" i="358"/>
  <c r="B677" i="358"/>
  <c r="B678" i="358"/>
  <c r="B679" i="358"/>
  <c r="B680" i="358"/>
  <c r="B681" i="358"/>
  <c r="B682" i="358"/>
  <c r="B683" i="358"/>
  <c r="B684" i="358"/>
  <c r="B685" i="358"/>
  <c r="B686" i="358"/>
  <c r="B687" i="358"/>
  <c r="B688" i="358"/>
  <c r="B689" i="358"/>
  <c r="B690" i="358"/>
  <c r="B691" i="358"/>
  <c r="B692" i="358"/>
  <c r="B693" i="358"/>
  <c r="B694" i="358"/>
  <c r="B695" i="358"/>
  <c r="B696" i="358"/>
  <c r="B697" i="358"/>
  <c r="W523" i="358"/>
  <c r="X523" i="358"/>
  <c r="Y523" i="358"/>
  <c r="Z523" i="358" s="1"/>
  <c r="W524" i="358"/>
  <c r="X524" i="358"/>
  <c r="Y524" i="358"/>
  <c r="Z524" i="358" s="1"/>
  <c r="W525" i="358"/>
  <c r="X525" i="358"/>
  <c r="Y525" i="358"/>
  <c r="Z525" i="358" s="1"/>
  <c r="W526" i="358"/>
  <c r="X526" i="358"/>
  <c r="Y526" i="358"/>
  <c r="Z526" i="358" s="1"/>
  <c r="W527" i="358"/>
  <c r="X527" i="358"/>
  <c r="Y527" i="358"/>
  <c r="Z527" i="358" s="1"/>
  <c r="W528" i="358"/>
  <c r="X528" i="358"/>
  <c r="Y528" i="358"/>
  <c r="Z528" i="358"/>
  <c r="W529" i="358"/>
  <c r="X529" i="358"/>
  <c r="Y529" i="358"/>
  <c r="Z529" i="358"/>
  <c r="W530" i="358"/>
  <c r="X530" i="358"/>
  <c r="Y530" i="358"/>
  <c r="Z530" i="358" s="1"/>
  <c r="W531" i="358"/>
  <c r="X531" i="358"/>
  <c r="Y531" i="358"/>
  <c r="Z531" i="358" s="1"/>
  <c r="W532" i="358"/>
  <c r="X532" i="358"/>
  <c r="Y532" i="358"/>
  <c r="Z532" i="358" s="1"/>
  <c r="W533" i="358"/>
  <c r="X533" i="358"/>
  <c r="Y533" i="358"/>
  <c r="Z533" i="358" s="1"/>
  <c r="W534" i="358"/>
  <c r="X534" i="358"/>
  <c r="Y534" i="358"/>
  <c r="Z534" i="358" s="1"/>
  <c r="W535" i="358"/>
  <c r="X535" i="358"/>
  <c r="Y535" i="358"/>
  <c r="Z535" i="358"/>
  <c r="W536" i="358"/>
  <c r="X536" i="358"/>
  <c r="Y536" i="358"/>
  <c r="Z536" i="358"/>
  <c r="W537" i="358"/>
  <c r="X537" i="358"/>
  <c r="Y537" i="358"/>
  <c r="Z537" i="358" s="1"/>
  <c r="W538" i="358"/>
  <c r="X538" i="358"/>
  <c r="Y538" i="358"/>
  <c r="Z538" i="358" s="1"/>
  <c r="W539" i="358"/>
  <c r="X539" i="358"/>
  <c r="Y539" i="358"/>
  <c r="Z539" i="358"/>
  <c r="W540" i="358"/>
  <c r="X540" i="358"/>
  <c r="Y540" i="358"/>
  <c r="Z540" i="358" s="1"/>
  <c r="W541" i="358"/>
  <c r="X541" i="358"/>
  <c r="Y541" i="358"/>
  <c r="Z541" i="358" s="1"/>
  <c r="W542" i="358"/>
  <c r="X542" i="358"/>
  <c r="Y542" i="358"/>
  <c r="Z542" i="358" s="1"/>
  <c r="W543" i="358"/>
  <c r="X543" i="358"/>
  <c r="Y543" i="358"/>
  <c r="Z543" i="358"/>
  <c r="W544" i="358"/>
  <c r="X544" i="358"/>
  <c r="Y544" i="358"/>
  <c r="Z544" i="358" s="1"/>
  <c r="W545" i="358"/>
  <c r="X545" i="358"/>
  <c r="Y545" i="358"/>
  <c r="Z545" i="358" s="1"/>
  <c r="W546" i="358"/>
  <c r="X546" i="358"/>
  <c r="Y546" i="358"/>
  <c r="Z546" i="358" s="1"/>
  <c r="W547" i="358"/>
  <c r="X547" i="358"/>
  <c r="Y547" i="358"/>
  <c r="Z547" i="358" s="1"/>
  <c r="W548" i="358"/>
  <c r="X548" i="358"/>
  <c r="Y548" i="358"/>
  <c r="Z548" i="358" s="1"/>
  <c r="W549" i="358"/>
  <c r="X549" i="358"/>
  <c r="Y549" i="358"/>
  <c r="Z549" i="358" s="1"/>
  <c r="W550" i="358"/>
  <c r="X550" i="358"/>
  <c r="Y550" i="358"/>
  <c r="Z550" i="358"/>
  <c r="W551" i="358"/>
  <c r="X551" i="358"/>
  <c r="Y551" i="358"/>
  <c r="Z551" i="358" s="1"/>
  <c r="W552" i="358"/>
  <c r="X552" i="358"/>
  <c r="Y552" i="358"/>
  <c r="Z552" i="358" s="1"/>
  <c r="W553" i="358"/>
  <c r="X553" i="358"/>
  <c r="Y553" i="358"/>
  <c r="Z553" i="358" s="1"/>
  <c r="W554" i="358"/>
  <c r="X554" i="358"/>
  <c r="Y554" i="358"/>
  <c r="Z554" i="358" s="1"/>
  <c r="W555" i="358"/>
  <c r="X555" i="358"/>
  <c r="Y555" i="358"/>
  <c r="Z555" i="358" s="1"/>
  <c r="W556" i="358"/>
  <c r="X556" i="358"/>
  <c r="Y556" i="358"/>
  <c r="Z556" i="358" s="1"/>
  <c r="W557" i="358"/>
  <c r="X557" i="358"/>
  <c r="Y557" i="358"/>
  <c r="Z557" i="358" s="1"/>
  <c r="W558" i="358"/>
  <c r="X558" i="358"/>
  <c r="Y558" i="358"/>
  <c r="Z558" i="358" s="1"/>
  <c r="W559" i="358"/>
  <c r="X559" i="358"/>
  <c r="Y559" i="358"/>
  <c r="Z559" i="358" s="1"/>
  <c r="W560" i="358"/>
  <c r="X560" i="358"/>
  <c r="Y560" i="358"/>
  <c r="Z560" i="358"/>
  <c r="W561" i="358"/>
  <c r="X561" i="358"/>
  <c r="Y561" i="358"/>
  <c r="Z561" i="358" s="1"/>
  <c r="W562" i="358"/>
  <c r="X562" i="358"/>
  <c r="Y562" i="358"/>
  <c r="Z562" i="358" s="1"/>
  <c r="W563" i="358"/>
  <c r="X563" i="358"/>
  <c r="Y563" i="358"/>
  <c r="Z563" i="358" s="1"/>
  <c r="W564" i="358"/>
  <c r="X564" i="358"/>
  <c r="Y564" i="358"/>
  <c r="Z564" i="358" s="1"/>
  <c r="W565" i="358"/>
  <c r="X565" i="358"/>
  <c r="Y565" i="358"/>
  <c r="Z565" i="358" s="1"/>
  <c r="W566" i="358"/>
  <c r="X566" i="358"/>
  <c r="Y566" i="358"/>
  <c r="Z566" i="358" s="1"/>
  <c r="W567" i="358"/>
  <c r="X567" i="358"/>
  <c r="Y567" i="358"/>
  <c r="Z567" i="358"/>
  <c r="W568" i="358"/>
  <c r="X568" i="358"/>
  <c r="Y568" i="358"/>
  <c r="Z568" i="358"/>
  <c r="W569" i="358"/>
  <c r="X569" i="358"/>
  <c r="Y569" i="358"/>
  <c r="Z569" i="358" s="1"/>
  <c r="W570" i="358"/>
  <c r="X570" i="358"/>
  <c r="Y570" i="358"/>
  <c r="Z570" i="358"/>
  <c r="W571" i="358"/>
  <c r="X571" i="358"/>
  <c r="Y571" i="358"/>
  <c r="Z571" i="358" s="1"/>
  <c r="W572" i="358"/>
  <c r="X572" i="358"/>
  <c r="Y572" i="358"/>
  <c r="Z572" i="358" s="1"/>
  <c r="W573" i="358"/>
  <c r="X573" i="358"/>
  <c r="Y573" i="358"/>
  <c r="Z573" i="358" s="1"/>
  <c r="W574" i="358"/>
  <c r="X574" i="358"/>
  <c r="Y574" i="358"/>
  <c r="Z574" i="358"/>
  <c r="W575" i="358"/>
  <c r="X575" i="358"/>
  <c r="Y575" i="358"/>
  <c r="Z575" i="358"/>
  <c r="W576" i="358"/>
  <c r="X576" i="358"/>
  <c r="Y576" i="358"/>
  <c r="Z576" i="358"/>
  <c r="W577" i="358"/>
  <c r="X577" i="358"/>
  <c r="Y577" i="358"/>
  <c r="Z577" i="358"/>
  <c r="W578" i="358"/>
  <c r="X578" i="358"/>
  <c r="Y578" i="358"/>
  <c r="Z578" i="358"/>
  <c r="W579" i="358"/>
  <c r="X579" i="358"/>
  <c r="Y579" i="358"/>
  <c r="Z579" i="358" s="1"/>
  <c r="W580" i="358"/>
  <c r="X580" i="358"/>
  <c r="Y580" i="358"/>
  <c r="Z580" i="358" s="1"/>
  <c r="W581" i="358"/>
  <c r="X581" i="358"/>
  <c r="Y581" i="358"/>
  <c r="Z581" i="358" s="1"/>
  <c r="W582" i="358"/>
  <c r="X582" i="358"/>
  <c r="Y582" i="358"/>
  <c r="Z582" i="358"/>
  <c r="W583" i="358"/>
  <c r="X583" i="358"/>
  <c r="Y583" i="358"/>
  <c r="Z583" i="358"/>
  <c r="W584" i="358"/>
  <c r="X584" i="358"/>
  <c r="Y584" i="358"/>
  <c r="Z584" i="358"/>
  <c r="W585" i="358"/>
  <c r="X585" i="358"/>
  <c r="Y585" i="358"/>
  <c r="Z585" i="358"/>
  <c r="W586" i="358"/>
  <c r="X586" i="358"/>
  <c r="Y586" i="358"/>
  <c r="Z586" i="358"/>
  <c r="W587" i="358"/>
  <c r="X587" i="358"/>
  <c r="Y587" i="358"/>
  <c r="Z587" i="358" s="1"/>
  <c r="W588" i="358"/>
  <c r="X588" i="358"/>
  <c r="Y588" i="358"/>
  <c r="Z588" i="358" s="1"/>
  <c r="W589" i="358"/>
  <c r="X589" i="358"/>
  <c r="Y589" i="358"/>
  <c r="Z589" i="358" s="1"/>
  <c r="W590" i="358"/>
  <c r="X590" i="358"/>
  <c r="Y590" i="358"/>
  <c r="Z590" i="358"/>
  <c r="W591" i="358"/>
  <c r="X591" i="358"/>
  <c r="Y591" i="358"/>
  <c r="Z591" i="358"/>
  <c r="W592" i="358"/>
  <c r="X592" i="358"/>
  <c r="Y592" i="358"/>
  <c r="Z592" i="358"/>
  <c r="W593" i="358"/>
  <c r="X593" i="358"/>
  <c r="Y593" i="358"/>
  <c r="Z593" i="358"/>
  <c r="W594" i="358"/>
  <c r="X594" i="358"/>
  <c r="Y594" i="358"/>
  <c r="Z594" i="358" s="1"/>
  <c r="W595" i="358"/>
  <c r="X595" i="358"/>
  <c r="Y595" i="358"/>
  <c r="Z595" i="358" s="1"/>
  <c r="W596" i="358"/>
  <c r="X596" i="358"/>
  <c r="Y596" i="358"/>
  <c r="Z596" i="358" s="1"/>
  <c r="W597" i="358"/>
  <c r="X597" i="358"/>
  <c r="Y597" i="358"/>
  <c r="Z597" i="358" s="1"/>
  <c r="W598" i="358"/>
  <c r="X598" i="358"/>
  <c r="Y598" i="358"/>
  <c r="Z598" i="358"/>
  <c r="W599" i="358"/>
  <c r="X599" i="358"/>
  <c r="Y599" i="358"/>
  <c r="Z599" i="358"/>
  <c r="W600" i="358"/>
  <c r="X600" i="358"/>
  <c r="Y600" i="358"/>
  <c r="Z600" i="358"/>
  <c r="W601" i="358"/>
  <c r="X601" i="358"/>
  <c r="Y601" i="358"/>
  <c r="Z601" i="358" s="1"/>
  <c r="W602" i="358"/>
  <c r="X602" i="358"/>
  <c r="Y602" i="358"/>
  <c r="Z602" i="358" s="1"/>
  <c r="W603" i="358"/>
  <c r="X603" i="358"/>
  <c r="Y603" i="358"/>
  <c r="Z603" i="358" s="1"/>
  <c r="W604" i="358"/>
  <c r="X604" i="358"/>
  <c r="Y604" i="358"/>
  <c r="Z604" i="358" s="1"/>
  <c r="W605" i="358"/>
  <c r="X605" i="358"/>
  <c r="Y605" i="358"/>
  <c r="Z605" i="358"/>
  <c r="W606" i="358"/>
  <c r="X606" i="358"/>
  <c r="Y606" i="358"/>
  <c r="Z606" i="358" s="1"/>
  <c r="W607" i="358"/>
  <c r="X607" i="358"/>
  <c r="Y607" i="358"/>
  <c r="Z607" i="358" s="1"/>
  <c r="W608" i="358"/>
  <c r="X608" i="358"/>
  <c r="Y608" i="358"/>
  <c r="Z608" i="358"/>
  <c r="W609" i="358"/>
  <c r="X609" i="358"/>
  <c r="Y609" i="358"/>
  <c r="Z609" i="358" s="1"/>
  <c r="W610" i="358"/>
  <c r="X610" i="358"/>
  <c r="Y610" i="358"/>
  <c r="Z610" i="358" s="1"/>
  <c r="W611" i="358"/>
  <c r="X611" i="358"/>
  <c r="Y611" i="358"/>
  <c r="Z611" i="358"/>
  <c r="W612" i="358"/>
  <c r="X612" i="358"/>
  <c r="Y612" i="358"/>
  <c r="Z612" i="358" s="1"/>
  <c r="W613" i="358"/>
  <c r="X613" i="358"/>
  <c r="Y613" i="358"/>
  <c r="Z613" i="358"/>
  <c r="W614" i="358"/>
  <c r="X614" i="358"/>
  <c r="Y614" i="358"/>
  <c r="Z614" i="358"/>
  <c r="W615" i="358"/>
  <c r="X615" i="358"/>
  <c r="Y615" i="358"/>
  <c r="Z615" i="358" s="1"/>
  <c r="W616" i="358"/>
  <c r="X616" i="358"/>
  <c r="Y616" i="358"/>
  <c r="Z616" i="358"/>
  <c r="W617" i="358"/>
  <c r="X617" i="358"/>
  <c r="Y617" i="358"/>
  <c r="Z617" i="358"/>
  <c r="W618" i="358"/>
  <c r="X618" i="358"/>
  <c r="Y618" i="358"/>
  <c r="Z618" i="358"/>
  <c r="B523" i="358"/>
  <c r="B524" i="358"/>
  <c r="B525" i="358"/>
  <c r="B526" i="358"/>
  <c r="B527" i="358"/>
  <c r="B528" i="358"/>
  <c r="B529" i="358"/>
  <c r="B530" i="358"/>
  <c r="B531" i="358"/>
  <c r="B532" i="358"/>
  <c r="B533" i="358"/>
  <c r="B534" i="358"/>
  <c r="B535" i="358"/>
  <c r="B536" i="358"/>
  <c r="B537" i="358"/>
  <c r="B538" i="358"/>
  <c r="B539" i="358"/>
  <c r="B540" i="358"/>
  <c r="B541" i="358"/>
  <c r="B542" i="358"/>
  <c r="B543" i="358"/>
  <c r="B544" i="358"/>
  <c r="B545" i="358"/>
  <c r="B546" i="358"/>
  <c r="B547" i="358"/>
  <c r="B548" i="358"/>
  <c r="B549" i="358"/>
  <c r="B550" i="358"/>
  <c r="B551" i="358"/>
  <c r="B552" i="358"/>
  <c r="B553" i="358"/>
  <c r="B554" i="358"/>
  <c r="B555" i="358"/>
  <c r="B556" i="358"/>
  <c r="B557" i="358"/>
  <c r="B558" i="358"/>
  <c r="B559" i="358"/>
  <c r="B560" i="358"/>
  <c r="B561" i="358"/>
  <c r="B562" i="358"/>
  <c r="B563" i="358"/>
  <c r="B564" i="358"/>
  <c r="B565" i="358"/>
  <c r="B566" i="358"/>
  <c r="B567" i="358"/>
  <c r="B568" i="358"/>
  <c r="B569" i="358"/>
  <c r="B570" i="358"/>
  <c r="B571" i="358"/>
  <c r="B572" i="358"/>
  <c r="B573" i="358"/>
  <c r="B574" i="358"/>
  <c r="B575" i="358"/>
  <c r="B576" i="358"/>
  <c r="B577" i="358"/>
  <c r="B578" i="358"/>
  <c r="B579" i="358"/>
  <c r="B580" i="358"/>
  <c r="B581" i="358"/>
  <c r="B582" i="358"/>
  <c r="B583" i="358"/>
  <c r="B584" i="358"/>
  <c r="B585" i="358"/>
  <c r="B586" i="358"/>
  <c r="B587" i="358"/>
  <c r="B588" i="358"/>
  <c r="B589" i="358"/>
  <c r="B590" i="358"/>
  <c r="B591" i="358"/>
  <c r="B592" i="358"/>
  <c r="B593" i="358"/>
  <c r="B594" i="358"/>
  <c r="B595" i="358"/>
  <c r="B596" i="358"/>
  <c r="B597" i="358"/>
  <c r="B598" i="358"/>
  <c r="B599" i="358"/>
  <c r="B600" i="358"/>
  <c r="B601" i="358"/>
  <c r="B602" i="358"/>
  <c r="B603" i="358"/>
  <c r="B604" i="358"/>
  <c r="B605" i="358"/>
  <c r="B606" i="358"/>
  <c r="B607" i="358"/>
  <c r="B608" i="358"/>
  <c r="B609" i="358"/>
  <c r="B610" i="358"/>
  <c r="B611" i="358"/>
  <c r="B612" i="358"/>
  <c r="B613" i="358"/>
  <c r="B614" i="358"/>
  <c r="B615" i="358"/>
  <c r="B616" i="358"/>
  <c r="B617" i="358"/>
  <c r="B618" i="358"/>
  <c r="K2484" i="364"/>
  <c r="K2485" i="364"/>
  <c r="K2486" i="364"/>
  <c r="K2487" i="364"/>
  <c r="K2488" i="364"/>
  <c r="K2489" i="364"/>
  <c r="K2490" i="364"/>
  <c r="K2491" i="364"/>
  <c r="K2492" i="364"/>
  <c r="K2493" i="364"/>
  <c r="K2494" i="364"/>
  <c r="K2495" i="364"/>
  <c r="K2496" i="364"/>
  <c r="K2497" i="364"/>
  <c r="K2498" i="364"/>
  <c r="K2499" i="364"/>
  <c r="K2500" i="364"/>
  <c r="K2501" i="364"/>
  <c r="K2502" i="364"/>
  <c r="K2503" i="364"/>
  <c r="K2504" i="364"/>
  <c r="K2505" i="364"/>
  <c r="K2506" i="364"/>
  <c r="K2507" i="364"/>
  <c r="K2508" i="364"/>
  <c r="K2509" i="364"/>
  <c r="K2510" i="364"/>
  <c r="K2511" i="364"/>
  <c r="K2512" i="364"/>
  <c r="K2513" i="364"/>
  <c r="K2514" i="364"/>
  <c r="K2515" i="364"/>
  <c r="K2516" i="364"/>
  <c r="K2517" i="364"/>
  <c r="K2518" i="364"/>
  <c r="K2519" i="364"/>
  <c r="K2520" i="364"/>
  <c r="K2521" i="364"/>
  <c r="K2522" i="364"/>
  <c r="K2523" i="364"/>
  <c r="K2524" i="364"/>
  <c r="K2525" i="364"/>
  <c r="K2526" i="364"/>
  <c r="K2527" i="364"/>
  <c r="K2528" i="364"/>
  <c r="K2529" i="364"/>
  <c r="K2530" i="364"/>
  <c r="K2531" i="364"/>
  <c r="K2532" i="364"/>
  <c r="K2533" i="364"/>
  <c r="K2534" i="364"/>
  <c r="K2535" i="364"/>
  <c r="K2536" i="364"/>
  <c r="K2537" i="364"/>
  <c r="K2538" i="364"/>
  <c r="K2539" i="364"/>
  <c r="K2540" i="364"/>
  <c r="K2541" i="364"/>
  <c r="K2542" i="364"/>
  <c r="K2543" i="364"/>
  <c r="K2544" i="364"/>
  <c r="K2545" i="364"/>
  <c r="K2546" i="364"/>
  <c r="K2547" i="364"/>
  <c r="K2548" i="364"/>
  <c r="K2549" i="364"/>
  <c r="K2550" i="364"/>
  <c r="K2551" i="364"/>
  <c r="K2552" i="364"/>
  <c r="K2553" i="364"/>
  <c r="K2554" i="364"/>
  <c r="K2555" i="364"/>
  <c r="K2556" i="364"/>
  <c r="K2557" i="364"/>
  <c r="K2558" i="364"/>
  <c r="K2559" i="364"/>
  <c r="K2560" i="364"/>
  <c r="K2561" i="364"/>
  <c r="K2562" i="364"/>
  <c r="K2563" i="364"/>
  <c r="K2564" i="364"/>
  <c r="K2565" i="364"/>
  <c r="K2566" i="364"/>
  <c r="K2567" i="364"/>
  <c r="K2568" i="364"/>
  <c r="K2569" i="364"/>
  <c r="K2570" i="364"/>
  <c r="K2571" i="364"/>
  <c r="K2572" i="364"/>
  <c r="K2573" i="364"/>
  <c r="K2574" i="364"/>
  <c r="K2575" i="364"/>
  <c r="K2576" i="364"/>
  <c r="K2577" i="364"/>
  <c r="K2578" i="364"/>
  <c r="K2579" i="364"/>
  <c r="K2580" i="364"/>
  <c r="K2581" i="364"/>
  <c r="K2582" i="364"/>
  <c r="K2583" i="364"/>
  <c r="K2584" i="364"/>
  <c r="K2585" i="364"/>
  <c r="K2586" i="364"/>
  <c r="K2587" i="364"/>
  <c r="K2588" i="364"/>
  <c r="K2589" i="364"/>
  <c r="K2590" i="364"/>
  <c r="K2591" i="364"/>
  <c r="K2592" i="364"/>
  <c r="K2593" i="364"/>
  <c r="K2594" i="364"/>
  <c r="K2595" i="364"/>
  <c r="K2596" i="364"/>
  <c r="K2597" i="364"/>
  <c r="K2598" i="364"/>
  <c r="K2599" i="364"/>
  <c r="K2600" i="364"/>
  <c r="K2601" i="364"/>
  <c r="K2602" i="364"/>
  <c r="K2603" i="364"/>
  <c r="K2604" i="364"/>
  <c r="K2605" i="364"/>
  <c r="K2606" i="364"/>
  <c r="K2607" i="364"/>
  <c r="K2608" i="364"/>
  <c r="K2609" i="364"/>
  <c r="K2610" i="364"/>
  <c r="K2611" i="364"/>
  <c r="K2612" i="364"/>
  <c r="K2613" i="364"/>
  <c r="K2614" i="364"/>
  <c r="K2615" i="364"/>
  <c r="K2616" i="364"/>
  <c r="K2617" i="364"/>
  <c r="K2618" i="364"/>
  <c r="K2619" i="364"/>
  <c r="K2620" i="364"/>
  <c r="K2621" i="364"/>
  <c r="K2622" i="364"/>
  <c r="K2623" i="364"/>
  <c r="K2624" i="364"/>
  <c r="K2625" i="364"/>
  <c r="K2626" i="364"/>
  <c r="K2627" i="364"/>
  <c r="K2628" i="364"/>
  <c r="K2629" i="364"/>
  <c r="K2630" i="364"/>
  <c r="K2631" i="364"/>
  <c r="K2632" i="364"/>
  <c r="K2633" i="364"/>
  <c r="K2634" i="364"/>
  <c r="K2635" i="364"/>
  <c r="K2636" i="364"/>
  <c r="K2637" i="364"/>
  <c r="K2638" i="364"/>
  <c r="K2639" i="364"/>
  <c r="K2640" i="364"/>
  <c r="K2641" i="364"/>
  <c r="K2642" i="364"/>
  <c r="K2643" i="364"/>
  <c r="K2644" i="364"/>
  <c r="K2645" i="364"/>
  <c r="K2646" i="364"/>
  <c r="K2647" i="364"/>
  <c r="K2648" i="364"/>
  <c r="K2649" i="364"/>
  <c r="K2650" i="364"/>
  <c r="K2651" i="364"/>
  <c r="K2652" i="364"/>
  <c r="K2653" i="364"/>
  <c r="K2654" i="364"/>
  <c r="K2655" i="364"/>
  <c r="K2656" i="364"/>
  <c r="K2657" i="364"/>
  <c r="K2658" i="364"/>
  <c r="K2659" i="364"/>
  <c r="K2660" i="364"/>
  <c r="K2661" i="364"/>
  <c r="K2662" i="364"/>
  <c r="K2663" i="364"/>
  <c r="K2664" i="364"/>
  <c r="K2665" i="364"/>
  <c r="K2666" i="364"/>
  <c r="K2667" i="364"/>
  <c r="K2668" i="364"/>
  <c r="K2669" i="364"/>
  <c r="K2670" i="364"/>
  <c r="K2671" i="364"/>
  <c r="K2672" i="364"/>
  <c r="K2673" i="364"/>
  <c r="K2674" i="364"/>
  <c r="K2675" i="364"/>
  <c r="K2676" i="364"/>
  <c r="K2677" i="364"/>
  <c r="K2678" i="364"/>
  <c r="K2679" i="364"/>
  <c r="K2680" i="364"/>
  <c r="K2681" i="364"/>
  <c r="K2682" i="364"/>
  <c r="K2683" i="364"/>
  <c r="K2684" i="364"/>
  <c r="K2685" i="364"/>
  <c r="K2686" i="364"/>
  <c r="K2687" i="364"/>
  <c r="K2688" i="364"/>
  <c r="K2689" i="364"/>
  <c r="K2690" i="364"/>
  <c r="K2691" i="364"/>
  <c r="K2692" i="364"/>
  <c r="K2693" i="364"/>
  <c r="K2694" i="364"/>
  <c r="K2695" i="364"/>
  <c r="K2696" i="364"/>
  <c r="K2697" i="364"/>
  <c r="K2698" i="364"/>
  <c r="K2699" i="364"/>
  <c r="K2700" i="364"/>
  <c r="K2701" i="364"/>
  <c r="K2702" i="364"/>
  <c r="K2703" i="364"/>
  <c r="K2704" i="364"/>
  <c r="K2705" i="364"/>
  <c r="K2706" i="364"/>
  <c r="K2707" i="364"/>
  <c r="K2708" i="364"/>
  <c r="K2709" i="364"/>
  <c r="K2710" i="364"/>
  <c r="K2711" i="364"/>
  <c r="K2712" i="364"/>
  <c r="K2713" i="364"/>
  <c r="K2714" i="364"/>
  <c r="K2715" i="364"/>
  <c r="K2716" i="364"/>
  <c r="K2717" i="364"/>
  <c r="K2718" i="364"/>
  <c r="K2719" i="364"/>
  <c r="K2720" i="364"/>
  <c r="K2721" i="364"/>
  <c r="K2722" i="364"/>
  <c r="K2723" i="364"/>
  <c r="K2724" i="364"/>
  <c r="K2725" i="364"/>
  <c r="K2726" i="364"/>
  <c r="K2727" i="364"/>
  <c r="K2728" i="364"/>
  <c r="K2729" i="364"/>
  <c r="K2730" i="364"/>
  <c r="K2731" i="364"/>
  <c r="K2732" i="364"/>
  <c r="K2733" i="364"/>
  <c r="K2734" i="364"/>
  <c r="K2735" i="364"/>
  <c r="K2736" i="364"/>
  <c r="K2737" i="364"/>
  <c r="K2738" i="364"/>
  <c r="K2739" i="364"/>
  <c r="K2740" i="364"/>
  <c r="K2741" i="364"/>
  <c r="K2742" i="364"/>
  <c r="K2743" i="364"/>
  <c r="K2744" i="364"/>
  <c r="K2745" i="364"/>
  <c r="K2746" i="364"/>
  <c r="K2747" i="364"/>
  <c r="K2748" i="364"/>
  <c r="K2749" i="364"/>
  <c r="K2750" i="364"/>
  <c r="K2751" i="364"/>
  <c r="K2752" i="364"/>
  <c r="K2753" i="364"/>
  <c r="K2754" i="364"/>
  <c r="K2755" i="364"/>
  <c r="K2756" i="364"/>
  <c r="K2757" i="364"/>
  <c r="K2758" i="364"/>
  <c r="K2759" i="364"/>
  <c r="K2760" i="364"/>
  <c r="K2761" i="364"/>
  <c r="K2762" i="364"/>
  <c r="K2763" i="364"/>
  <c r="K2764" i="364"/>
  <c r="K2765" i="364"/>
  <c r="K2766" i="364"/>
  <c r="K2767" i="364"/>
  <c r="K2768" i="364"/>
  <c r="K2769" i="364"/>
  <c r="K2770" i="364"/>
  <c r="K2771" i="364"/>
  <c r="K2772" i="364"/>
  <c r="K2773" i="364"/>
  <c r="K2774" i="364"/>
  <c r="K2775" i="364"/>
  <c r="K2776" i="364"/>
  <c r="K2777" i="364"/>
  <c r="K2778" i="364"/>
  <c r="K2779" i="364"/>
  <c r="K2780" i="364"/>
  <c r="K2781" i="364"/>
  <c r="K2782" i="364"/>
  <c r="K2783" i="364"/>
  <c r="K2784" i="364"/>
  <c r="K2785" i="364"/>
  <c r="K2786" i="364"/>
  <c r="K2787" i="364"/>
  <c r="K2788" i="364"/>
  <c r="K2789" i="364"/>
  <c r="K2790" i="364"/>
  <c r="K2791" i="364"/>
  <c r="K2792" i="364"/>
  <c r="K2793" i="364"/>
  <c r="K2794" i="364"/>
  <c r="K2795" i="364"/>
  <c r="K2796" i="364"/>
  <c r="K2797" i="364"/>
  <c r="K2798" i="364"/>
  <c r="K2799" i="364"/>
  <c r="K2800" i="364"/>
  <c r="K2801" i="364"/>
  <c r="K2802" i="364"/>
  <c r="K2803" i="364"/>
  <c r="K2804" i="364"/>
  <c r="K2805" i="364"/>
  <c r="K2806" i="364"/>
  <c r="K2807" i="364"/>
  <c r="K2808" i="364"/>
  <c r="K2809" i="364"/>
  <c r="K2810" i="364"/>
  <c r="K2811" i="364"/>
  <c r="K2812" i="364"/>
  <c r="K2813" i="364"/>
  <c r="K2814" i="364"/>
  <c r="K2815" i="364"/>
  <c r="K2816" i="364"/>
  <c r="K2817" i="364"/>
  <c r="K2818" i="364"/>
  <c r="K2819" i="364"/>
  <c r="K2820" i="364"/>
  <c r="K2821" i="364"/>
  <c r="K2822" i="364"/>
  <c r="K2823" i="364"/>
  <c r="K2824" i="364"/>
  <c r="K2825" i="364"/>
  <c r="K2826" i="364"/>
  <c r="K2827" i="364"/>
  <c r="K2828" i="364"/>
  <c r="K2829" i="364"/>
  <c r="K2830" i="364"/>
  <c r="K2831" i="364"/>
  <c r="K2832" i="364"/>
  <c r="K2833" i="364"/>
  <c r="K2834" i="364"/>
  <c r="K2835" i="364"/>
  <c r="K2836" i="364"/>
  <c r="K2837" i="364"/>
  <c r="K2838" i="364"/>
  <c r="K2839" i="364"/>
  <c r="K2840" i="364"/>
  <c r="K2841" i="364"/>
  <c r="K2842" i="364"/>
  <c r="K2843" i="364"/>
  <c r="K2844" i="364"/>
  <c r="K2845" i="364"/>
  <c r="K2846" i="364"/>
  <c r="K2847" i="364"/>
  <c r="K2848" i="364"/>
  <c r="K2849" i="364"/>
  <c r="K2850" i="364"/>
  <c r="K2851" i="364"/>
  <c r="K2852" i="364"/>
  <c r="K2853" i="364"/>
  <c r="K2854" i="364"/>
  <c r="K2855" i="364"/>
  <c r="K2856" i="364"/>
  <c r="K2857" i="364"/>
  <c r="K2858" i="364"/>
  <c r="K2859" i="364"/>
  <c r="K2860" i="364"/>
  <c r="K2861" i="364"/>
  <c r="K2862" i="364"/>
  <c r="K2863" i="364"/>
  <c r="K2864" i="364"/>
  <c r="K2865" i="364"/>
  <c r="K2866" i="364"/>
  <c r="K2867" i="364"/>
  <c r="K2868" i="364"/>
  <c r="K2869" i="364"/>
  <c r="K2870" i="364"/>
  <c r="K2871" i="364"/>
  <c r="K2872" i="364"/>
  <c r="K2873" i="364"/>
  <c r="K2874" i="364"/>
  <c r="K2875" i="364"/>
  <c r="K2876" i="364"/>
  <c r="K2877" i="364"/>
  <c r="K2878" i="364"/>
  <c r="K2879" i="364"/>
  <c r="K2880" i="364"/>
  <c r="K2881" i="364"/>
  <c r="K2882" i="364"/>
  <c r="K2883" i="364"/>
  <c r="K2884" i="364"/>
  <c r="K2885" i="364"/>
  <c r="K2886" i="364"/>
  <c r="K2887" i="364"/>
  <c r="K2888" i="364"/>
  <c r="K2889" i="364"/>
  <c r="K2890" i="364"/>
  <c r="K2891" i="364"/>
  <c r="K2892" i="364"/>
  <c r="K2893" i="364"/>
  <c r="K2894" i="364"/>
  <c r="K2895" i="364"/>
  <c r="K2896" i="364"/>
  <c r="K2897" i="364"/>
  <c r="K2898" i="364"/>
  <c r="K2899" i="364"/>
  <c r="K2900" i="364"/>
  <c r="K2901" i="364"/>
  <c r="K2902" i="364"/>
  <c r="K2903" i="364"/>
  <c r="K2904" i="364"/>
  <c r="K2905" i="364"/>
  <c r="K2906" i="364"/>
  <c r="K2907" i="364"/>
  <c r="K2908" i="364"/>
  <c r="K2909" i="364"/>
  <c r="K2910" i="364"/>
  <c r="K2911" i="364"/>
  <c r="K2912" i="364"/>
  <c r="K2913" i="364"/>
  <c r="K2914" i="364"/>
  <c r="K2915" i="364"/>
  <c r="K2916" i="364"/>
  <c r="K2917" i="364"/>
  <c r="K2918" i="364"/>
  <c r="K2919" i="364"/>
  <c r="K2920" i="364"/>
  <c r="K2921" i="364"/>
  <c r="K2922" i="364"/>
  <c r="K2923" i="364"/>
  <c r="K2924" i="364"/>
  <c r="K2925" i="364"/>
  <c r="K2926" i="364"/>
  <c r="K2927" i="364"/>
  <c r="K2928" i="364"/>
  <c r="K2929" i="364"/>
  <c r="K2930" i="364"/>
  <c r="K2931" i="364"/>
  <c r="K2932" i="364"/>
  <c r="K2933" i="364"/>
  <c r="K2934" i="364"/>
  <c r="K2935" i="364"/>
  <c r="K2936" i="364"/>
  <c r="K2937" i="364"/>
  <c r="K2938" i="364"/>
  <c r="K2939" i="364"/>
  <c r="K2940" i="364"/>
  <c r="K2941" i="364"/>
  <c r="K2942" i="364"/>
  <c r="K2943" i="364"/>
  <c r="K2944" i="364"/>
  <c r="K2945" i="364"/>
  <c r="K2946" i="364"/>
  <c r="K2947" i="364"/>
  <c r="K2948" i="364"/>
  <c r="K2949" i="364"/>
  <c r="K2950" i="364"/>
  <c r="K2951" i="364"/>
  <c r="K2952" i="364"/>
  <c r="K2953" i="364"/>
  <c r="K2954" i="364"/>
  <c r="K2955" i="364"/>
  <c r="K2956" i="364"/>
  <c r="K2957" i="364"/>
  <c r="K2958" i="364"/>
  <c r="K2959" i="364"/>
  <c r="K2960" i="364"/>
  <c r="K2961" i="364"/>
  <c r="K2962" i="364"/>
  <c r="B2484" i="364"/>
  <c r="B2485" i="364"/>
  <c r="B2486" i="364"/>
  <c r="B2487" i="364"/>
  <c r="B2488" i="364"/>
  <c r="B2489" i="364"/>
  <c r="B2490" i="364"/>
  <c r="B2491" i="364"/>
  <c r="B2492" i="364"/>
  <c r="B2493" i="364"/>
  <c r="B2494" i="364"/>
  <c r="B2495" i="364"/>
  <c r="B2496" i="364"/>
  <c r="B2497" i="364"/>
  <c r="B2498" i="364"/>
  <c r="B2499" i="364"/>
  <c r="B2500" i="364"/>
  <c r="B2501" i="364"/>
  <c r="B2502" i="364"/>
  <c r="B2503" i="364"/>
  <c r="B2504" i="364"/>
  <c r="B2505" i="364"/>
  <c r="B2506" i="364"/>
  <c r="B2507" i="364"/>
  <c r="B2508" i="364"/>
  <c r="B2509" i="364"/>
  <c r="B2510" i="364"/>
  <c r="B2511" i="364"/>
  <c r="B2512" i="364"/>
  <c r="B2513" i="364"/>
  <c r="B2514" i="364"/>
  <c r="B2515" i="364"/>
  <c r="B2516" i="364"/>
  <c r="B2517" i="364"/>
  <c r="B2518" i="364"/>
  <c r="B2519" i="364"/>
  <c r="B2520" i="364"/>
  <c r="B2521" i="364"/>
  <c r="B2522" i="364"/>
  <c r="B2523" i="364"/>
  <c r="B2524" i="364"/>
  <c r="B2525" i="364"/>
  <c r="B2526" i="364"/>
  <c r="B2527" i="364"/>
  <c r="B2528" i="364"/>
  <c r="B2529" i="364"/>
  <c r="B2530" i="364"/>
  <c r="B2531" i="364"/>
  <c r="B2532" i="364"/>
  <c r="B2533" i="364"/>
  <c r="B2534" i="364"/>
  <c r="B2535" i="364"/>
  <c r="B2536" i="364"/>
  <c r="B2537" i="364"/>
  <c r="B2538" i="364"/>
  <c r="B2539" i="364"/>
  <c r="B2540" i="364"/>
  <c r="B2541" i="364"/>
  <c r="B2542" i="364"/>
  <c r="B2543" i="364"/>
  <c r="B2544" i="364"/>
  <c r="B2545" i="364"/>
  <c r="B2546" i="364"/>
  <c r="B2547" i="364"/>
  <c r="B2548" i="364"/>
  <c r="B2549" i="364"/>
  <c r="B2550" i="364"/>
  <c r="B2551" i="364"/>
  <c r="B2552" i="364"/>
  <c r="B2553" i="364"/>
  <c r="B2554" i="364"/>
  <c r="B2555" i="364"/>
  <c r="B2556" i="364"/>
  <c r="B2557" i="364"/>
  <c r="B2558" i="364"/>
  <c r="B2559" i="364"/>
  <c r="B2560" i="364"/>
  <c r="B2561" i="364"/>
  <c r="B2562" i="364"/>
  <c r="B2563" i="364"/>
  <c r="B2564" i="364"/>
  <c r="B2565" i="364"/>
  <c r="B2566" i="364"/>
  <c r="B2567" i="364"/>
  <c r="B2568" i="364"/>
  <c r="B2569" i="364"/>
  <c r="B2570" i="364"/>
  <c r="B2571" i="364"/>
  <c r="B2572" i="364"/>
  <c r="B2573" i="364"/>
  <c r="B2574" i="364"/>
  <c r="B2575" i="364"/>
  <c r="B2576" i="364"/>
  <c r="B2577" i="364"/>
  <c r="B2578" i="364"/>
  <c r="B2579" i="364"/>
  <c r="B2580" i="364"/>
  <c r="B2581" i="364"/>
  <c r="B2582" i="364"/>
  <c r="B2583" i="364"/>
  <c r="B2584" i="364"/>
  <c r="B2585" i="364"/>
  <c r="B2586" i="364"/>
  <c r="B2587" i="364"/>
  <c r="B2588" i="364"/>
  <c r="B2589" i="364"/>
  <c r="B2590" i="364"/>
  <c r="B2591" i="364"/>
  <c r="B2592" i="364"/>
  <c r="B2593" i="364"/>
  <c r="B2594" i="364"/>
  <c r="B2595" i="364"/>
  <c r="B2596" i="364"/>
  <c r="B2597" i="364"/>
  <c r="B2598" i="364"/>
  <c r="B2599" i="364"/>
  <c r="B2600" i="364"/>
  <c r="B2601" i="364"/>
  <c r="B2602" i="364"/>
  <c r="B2603" i="364"/>
  <c r="B2604" i="364"/>
  <c r="B2605" i="364"/>
  <c r="B2606" i="364"/>
  <c r="B2607" i="364"/>
  <c r="B2608" i="364"/>
  <c r="B2609" i="364"/>
  <c r="B2610" i="364"/>
  <c r="B2611" i="364"/>
  <c r="B2612" i="364"/>
  <c r="B2613" i="364"/>
  <c r="B2614" i="364"/>
  <c r="B2615" i="364"/>
  <c r="B2616" i="364"/>
  <c r="B2617" i="364"/>
  <c r="B2618" i="364"/>
  <c r="B2619" i="364"/>
  <c r="B2620" i="364"/>
  <c r="B2621" i="364"/>
  <c r="B2622" i="364"/>
  <c r="B2623" i="364"/>
  <c r="B2624" i="364"/>
  <c r="B2625" i="364"/>
  <c r="B2626" i="364"/>
  <c r="B2627" i="364"/>
  <c r="B2628" i="364"/>
  <c r="B2629" i="364"/>
  <c r="B2630" i="364"/>
  <c r="B2631" i="364"/>
  <c r="B2632" i="364"/>
  <c r="B2633" i="364"/>
  <c r="B2634" i="364"/>
  <c r="B2635" i="364"/>
  <c r="B2636" i="364"/>
  <c r="B2637" i="364"/>
  <c r="B2638" i="364"/>
  <c r="B2639" i="364"/>
  <c r="B2640" i="364"/>
  <c r="B2641" i="364"/>
  <c r="B2642" i="364"/>
  <c r="B2643" i="364"/>
  <c r="B2644" i="364"/>
  <c r="B2645" i="364"/>
  <c r="B2646" i="364"/>
  <c r="B2647" i="364"/>
  <c r="B2648" i="364"/>
  <c r="B2649" i="364"/>
  <c r="B2650" i="364"/>
  <c r="B2651" i="364"/>
  <c r="B2652" i="364"/>
  <c r="B2653" i="364"/>
  <c r="B2654" i="364"/>
  <c r="B2655" i="364"/>
  <c r="B2656" i="364"/>
  <c r="B2657" i="364"/>
  <c r="B2658" i="364"/>
  <c r="B2659" i="364"/>
  <c r="B2660" i="364"/>
  <c r="B2661" i="364"/>
  <c r="B2662" i="364"/>
  <c r="B2663" i="364"/>
  <c r="B2664" i="364"/>
  <c r="B2665" i="364"/>
  <c r="B2666" i="364"/>
  <c r="B2667" i="364"/>
  <c r="B2668" i="364"/>
  <c r="B2669" i="364"/>
  <c r="B2670" i="364"/>
  <c r="B2671" i="364"/>
  <c r="B2672" i="364"/>
  <c r="B2673" i="364"/>
  <c r="B2674" i="364"/>
  <c r="B2675" i="364"/>
  <c r="B2676" i="364"/>
  <c r="B2677" i="364"/>
  <c r="B2678" i="364"/>
  <c r="B2679" i="364"/>
  <c r="B2680" i="364"/>
  <c r="B2681" i="364"/>
  <c r="B2682" i="364"/>
  <c r="B2683" i="364"/>
  <c r="B2684" i="364"/>
  <c r="B2685" i="364"/>
  <c r="B2686" i="364"/>
  <c r="B2687" i="364"/>
  <c r="B2688" i="364"/>
  <c r="B2689" i="364"/>
  <c r="B2690" i="364"/>
  <c r="B2691" i="364"/>
  <c r="B2692" i="364"/>
  <c r="B2693" i="364"/>
  <c r="B2694" i="364"/>
  <c r="B2695" i="364"/>
  <c r="B2696" i="364"/>
  <c r="B2697" i="364"/>
  <c r="B2698" i="364"/>
  <c r="B2699" i="364"/>
  <c r="B2700" i="364"/>
  <c r="B2701" i="364"/>
  <c r="B2702" i="364"/>
  <c r="B2703" i="364"/>
  <c r="B2704" i="364"/>
  <c r="B2705" i="364"/>
  <c r="B2706" i="364"/>
  <c r="B2707" i="364"/>
  <c r="B2708" i="364"/>
  <c r="B2709" i="364"/>
  <c r="B2710" i="364"/>
  <c r="B2711" i="364"/>
  <c r="B2712" i="364"/>
  <c r="B2713" i="364"/>
  <c r="B2714" i="364"/>
  <c r="B2715" i="364"/>
  <c r="B2716" i="364"/>
  <c r="B2717" i="364"/>
  <c r="B2718" i="364"/>
  <c r="B2719" i="364"/>
  <c r="B2720" i="364"/>
  <c r="B2721" i="364"/>
  <c r="B2722" i="364"/>
  <c r="B2723" i="364"/>
  <c r="B2724" i="364"/>
  <c r="B2725" i="364"/>
  <c r="B2726" i="364"/>
  <c r="B2727" i="364"/>
  <c r="B2728" i="364"/>
  <c r="B2729" i="364"/>
  <c r="B2730" i="364"/>
  <c r="B2731" i="364"/>
  <c r="B2732" i="364"/>
  <c r="B2733" i="364"/>
  <c r="B2734" i="364"/>
  <c r="B2735" i="364"/>
  <c r="B2736" i="364"/>
  <c r="B2737" i="364"/>
  <c r="B2738" i="364"/>
  <c r="B2739" i="364"/>
  <c r="B2740" i="364"/>
  <c r="B2741" i="364"/>
  <c r="B2742" i="364"/>
  <c r="B2743" i="364"/>
  <c r="B2744" i="364"/>
  <c r="B2745" i="364"/>
  <c r="B2746" i="364"/>
  <c r="B2747" i="364"/>
  <c r="B2748" i="364"/>
  <c r="B2749" i="364"/>
  <c r="B2750" i="364"/>
  <c r="B2751" i="364"/>
  <c r="B2752" i="364"/>
  <c r="B2753" i="364"/>
  <c r="B2754" i="364"/>
  <c r="B2755" i="364"/>
  <c r="B2756" i="364"/>
  <c r="B2757" i="364"/>
  <c r="B2758" i="364"/>
  <c r="B2759" i="364"/>
  <c r="B2760" i="364"/>
  <c r="B2761" i="364"/>
  <c r="B2762" i="364"/>
  <c r="B2763" i="364"/>
  <c r="B2764" i="364"/>
  <c r="B2765" i="364"/>
  <c r="B2766" i="364"/>
  <c r="B2767" i="364"/>
  <c r="B2768" i="364"/>
  <c r="B2769" i="364"/>
  <c r="B2770" i="364"/>
  <c r="B2771" i="364"/>
  <c r="B2772" i="364"/>
  <c r="B2773" i="364"/>
  <c r="B2774" i="364"/>
  <c r="B2775" i="364"/>
  <c r="B2776" i="364"/>
  <c r="B2777" i="364"/>
  <c r="B2778" i="364"/>
  <c r="B2779" i="364"/>
  <c r="B2780" i="364"/>
  <c r="B2781" i="364"/>
  <c r="B2782" i="364"/>
  <c r="B2783" i="364"/>
  <c r="B2784" i="364"/>
  <c r="B2785" i="364"/>
  <c r="B2786" i="364"/>
  <c r="B2787" i="364"/>
  <c r="B2788" i="364"/>
  <c r="B2789" i="364"/>
  <c r="B2790" i="364"/>
  <c r="B2791" i="364"/>
  <c r="B2792" i="364"/>
  <c r="B2793" i="364"/>
  <c r="B2794" i="364"/>
  <c r="B2795" i="364"/>
  <c r="B2796" i="364"/>
  <c r="B2797" i="364"/>
  <c r="B2798" i="364"/>
  <c r="B2799" i="364"/>
  <c r="B2800" i="364"/>
  <c r="B2801" i="364"/>
  <c r="B2802" i="364"/>
  <c r="B2803" i="364"/>
  <c r="B2804" i="364"/>
  <c r="B2805" i="364"/>
  <c r="B2806" i="364"/>
  <c r="B2807" i="364"/>
  <c r="B2808" i="364"/>
  <c r="B2809" i="364"/>
  <c r="B2810" i="364"/>
  <c r="B2811" i="364"/>
  <c r="B2812" i="364"/>
  <c r="B2813" i="364"/>
  <c r="B2814" i="364"/>
  <c r="B2815" i="364"/>
  <c r="B2816" i="364"/>
  <c r="B2817" i="364"/>
  <c r="B2818" i="364"/>
  <c r="B2819" i="364"/>
  <c r="B2820" i="364"/>
  <c r="B2821" i="364"/>
  <c r="B2822" i="364"/>
  <c r="B2823" i="364"/>
  <c r="B2824" i="364"/>
  <c r="B2825" i="364"/>
  <c r="B2826" i="364"/>
  <c r="B2827" i="364"/>
  <c r="B2828" i="364"/>
  <c r="B2829" i="364"/>
  <c r="B2830" i="364"/>
  <c r="B2831" i="364"/>
  <c r="B2832" i="364"/>
  <c r="B2833" i="364"/>
  <c r="B2834" i="364"/>
  <c r="B2835" i="364"/>
  <c r="B2836" i="364"/>
  <c r="B2837" i="364"/>
  <c r="B2838" i="364"/>
  <c r="B2839" i="364"/>
  <c r="B2840" i="364"/>
  <c r="B2841" i="364"/>
  <c r="B2842" i="364"/>
  <c r="B2843" i="364"/>
  <c r="B2844" i="364"/>
  <c r="B2845" i="364"/>
  <c r="B2846" i="364"/>
  <c r="B2847" i="364"/>
  <c r="B2848" i="364"/>
  <c r="B2849" i="364"/>
  <c r="B2850" i="364"/>
  <c r="B2851" i="364"/>
  <c r="B2852" i="364"/>
  <c r="B2853" i="364"/>
  <c r="B2854" i="364"/>
  <c r="B2855" i="364"/>
  <c r="B2856" i="364"/>
  <c r="B2857" i="364"/>
  <c r="B2858" i="364"/>
  <c r="B2859" i="364"/>
  <c r="B2860" i="364"/>
  <c r="B2861" i="364"/>
  <c r="B2862" i="364"/>
  <c r="B2863" i="364"/>
  <c r="B2864" i="364"/>
  <c r="B2865" i="364"/>
  <c r="B2866" i="364"/>
  <c r="B2867" i="364"/>
  <c r="B2868" i="364"/>
  <c r="B2869" i="364"/>
  <c r="B2870" i="364"/>
  <c r="B2871" i="364"/>
  <c r="B2872" i="364"/>
  <c r="B2873" i="364"/>
  <c r="B2874" i="364"/>
  <c r="B2875" i="364"/>
  <c r="B2876" i="364"/>
  <c r="B2877" i="364"/>
  <c r="B2878" i="364"/>
  <c r="B2879" i="364"/>
  <c r="B2880" i="364"/>
  <c r="B2881" i="364"/>
  <c r="B2882" i="364"/>
  <c r="B2883" i="364"/>
  <c r="B2884" i="364"/>
  <c r="B2885" i="364"/>
  <c r="B2886" i="364"/>
  <c r="B2887" i="364"/>
  <c r="B2888" i="364"/>
  <c r="B2889" i="364"/>
  <c r="B2890" i="364"/>
  <c r="B2891" i="364"/>
  <c r="B2892" i="364"/>
  <c r="B2893" i="364"/>
  <c r="B2894" i="364"/>
  <c r="B2895" i="364"/>
  <c r="B2896" i="364"/>
  <c r="B2897" i="364"/>
  <c r="B2898" i="364"/>
  <c r="B2899" i="364"/>
  <c r="B2900" i="364"/>
  <c r="B2901" i="364"/>
  <c r="B2902" i="364"/>
  <c r="B2903" i="364"/>
  <c r="B2904" i="364"/>
  <c r="B2905" i="364"/>
  <c r="B2906" i="364"/>
  <c r="B2907" i="364"/>
  <c r="B2908" i="364"/>
  <c r="B2909" i="364"/>
  <c r="B2910" i="364"/>
  <c r="B2911" i="364"/>
  <c r="B2912" i="364"/>
  <c r="B2913" i="364"/>
  <c r="B2914" i="364"/>
  <c r="B2915" i="364"/>
  <c r="B2916" i="364"/>
  <c r="B2917" i="364"/>
  <c r="B2918" i="364"/>
  <c r="B2919" i="364"/>
  <c r="B2920" i="364"/>
  <c r="B2921" i="364"/>
  <c r="B2922" i="364"/>
  <c r="B2923" i="364"/>
  <c r="B2924" i="364"/>
  <c r="B2925" i="364"/>
  <c r="B2926" i="364"/>
  <c r="B2927" i="364"/>
  <c r="B2928" i="364"/>
  <c r="B2929" i="364"/>
  <c r="B2930" i="364"/>
  <c r="B2931" i="364"/>
  <c r="B2932" i="364"/>
  <c r="B2933" i="364"/>
  <c r="B2934" i="364"/>
  <c r="B2935" i="364"/>
  <c r="B2936" i="364"/>
  <c r="B2937" i="364"/>
  <c r="B2938" i="364"/>
  <c r="B2939" i="364"/>
  <c r="B2940" i="364"/>
  <c r="B2941" i="364"/>
  <c r="B2942" i="364"/>
  <c r="B2943" i="364"/>
  <c r="B2944" i="364"/>
  <c r="B2945" i="364"/>
  <c r="B2946" i="364"/>
  <c r="B2947" i="364"/>
  <c r="B2948" i="364"/>
  <c r="B2949" i="364"/>
  <c r="B2950" i="364"/>
  <c r="B2951" i="364"/>
  <c r="B2952" i="364"/>
  <c r="B2953" i="364"/>
  <c r="B2954" i="364"/>
  <c r="B2955" i="364"/>
  <c r="B2956" i="364"/>
  <c r="B2957" i="364"/>
  <c r="B2958" i="364"/>
  <c r="B2959" i="364"/>
  <c r="B2960" i="364"/>
  <c r="B2961" i="364"/>
  <c r="B2962" i="364"/>
  <c r="B2206" i="364"/>
  <c r="B2207" i="364"/>
  <c r="B2208" i="364"/>
  <c r="B2209" i="364"/>
  <c r="B2210" i="364"/>
  <c r="B2211" i="364"/>
  <c r="B2212" i="364"/>
  <c r="B2213" i="364"/>
  <c r="B2214" i="364"/>
  <c r="B2215" i="364"/>
  <c r="B2216" i="364"/>
  <c r="B2217" i="364"/>
  <c r="B2218" i="364"/>
  <c r="B2219" i="364"/>
  <c r="B2220" i="364"/>
  <c r="B2221" i="364"/>
  <c r="B2222" i="364"/>
  <c r="B2223" i="364"/>
  <c r="B2224" i="364"/>
  <c r="B2225" i="364"/>
  <c r="B2226" i="364"/>
  <c r="B2227" i="364"/>
  <c r="B2228" i="364"/>
  <c r="B2229" i="364"/>
  <c r="B2230" i="364"/>
  <c r="B2231" i="364"/>
  <c r="B2232" i="364"/>
  <c r="B2233" i="364"/>
  <c r="B2234" i="364"/>
  <c r="B2235" i="364"/>
  <c r="B2236" i="364"/>
  <c r="B2237" i="364"/>
  <c r="B2238" i="364"/>
  <c r="B2239" i="364"/>
  <c r="B2240" i="364"/>
  <c r="B2241" i="364"/>
  <c r="B2242" i="364"/>
  <c r="B2243" i="364"/>
  <c r="B2244" i="364"/>
  <c r="B2245" i="364"/>
  <c r="B2246" i="364"/>
  <c r="B2247" i="364"/>
  <c r="B2248" i="364"/>
  <c r="B2249" i="364"/>
  <c r="B2250" i="364"/>
  <c r="B2251" i="364"/>
  <c r="B2252" i="364"/>
  <c r="B2253" i="364"/>
  <c r="B2254" i="364"/>
  <c r="B2255" i="364"/>
  <c r="B2256" i="364"/>
  <c r="B2257" i="364"/>
  <c r="B2258" i="364"/>
  <c r="B2259" i="364"/>
  <c r="B2260" i="364"/>
  <c r="B2261" i="364"/>
  <c r="B2262" i="364"/>
  <c r="B2263" i="364"/>
  <c r="B2264" i="364"/>
  <c r="B2265" i="364"/>
  <c r="B2266" i="364"/>
  <c r="B2267" i="364"/>
  <c r="B2268" i="364"/>
  <c r="B2269" i="364"/>
  <c r="B2270" i="364"/>
  <c r="B2271" i="364"/>
  <c r="B2272" i="364"/>
  <c r="B2273" i="364"/>
  <c r="B2274" i="364"/>
  <c r="B2275" i="364"/>
  <c r="B2276" i="364"/>
  <c r="B2277" i="364"/>
  <c r="B2278" i="364"/>
  <c r="B2279" i="364"/>
  <c r="B2280" i="364"/>
  <c r="B2281" i="364"/>
  <c r="B2282" i="364"/>
  <c r="B2283" i="364"/>
  <c r="B2284" i="364"/>
  <c r="B2285" i="364"/>
  <c r="B2286" i="364"/>
  <c r="B2287" i="364"/>
  <c r="B2288" i="364"/>
  <c r="B2289" i="364"/>
  <c r="B2290" i="364"/>
  <c r="B2291" i="364"/>
  <c r="B2292" i="364"/>
  <c r="B2293" i="364"/>
  <c r="B2294" i="364"/>
  <c r="B2295" i="364"/>
  <c r="B2296" i="364"/>
  <c r="B2297" i="364"/>
  <c r="B2298" i="364"/>
  <c r="B2299" i="364"/>
  <c r="B2300" i="364"/>
  <c r="B2301" i="364"/>
  <c r="B2302" i="364"/>
  <c r="B2303" i="364"/>
  <c r="B2304" i="364"/>
  <c r="B2305" i="364"/>
  <c r="B2306" i="364"/>
  <c r="B2307" i="364"/>
  <c r="B2308" i="364"/>
  <c r="B2309" i="364"/>
  <c r="B2310" i="364"/>
  <c r="B2311" i="364"/>
  <c r="B2312" i="364"/>
  <c r="B2313" i="364"/>
  <c r="B2314" i="364"/>
  <c r="B2315" i="364"/>
  <c r="B2316" i="364"/>
  <c r="B2317" i="364"/>
  <c r="B2318" i="364"/>
  <c r="B2319" i="364"/>
  <c r="B2320" i="364"/>
  <c r="B2321" i="364"/>
  <c r="B2322" i="364"/>
  <c r="B2323" i="364"/>
  <c r="B2324" i="364"/>
  <c r="B2325" i="364"/>
  <c r="B2326" i="364"/>
  <c r="B2327" i="364"/>
  <c r="B2328" i="364"/>
  <c r="B2329" i="364"/>
  <c r="B2330" i="364"/>
  <c r="B2331" i="364"/>
  <c r="B2332" i="364"/>
  <c r="B2333" i="364"/>
  <c r="B2334" i="364"/>
  <c r="B2335" i="364"/>
  <c r="B2336" i="364"/>
  <c r="B2337" i="364"/>
  <c r="B2338" i="364"/>
  <c r="B2339" i="364"/>
  <c r="B2340" i="364"/>
  <c r="B2341" i="364"/>
  <c r="B2342" i="364"/>
  <c r="B2343" i="364"/>
  <c r="B2344" i="364"/>
  <c r="B2345" i="364"/>
  <c r="B2346" i="364"/>
  <c r="B2347" i="364"/>
  <c r="B2348" i="364"/>
  <c r="B2349" i="364"/>
  <c r="B2350" i="364"/>
  <c r="B2351" i="364"/>
  <c r="B2352" i="364"/>
  <c r="B2353" i="364"/>
  <c r="B2354" i="364"/>
  <c r="B2355" i="364"/>
  <c r="B2356" i="364"/>
  <c r="B2357" i="364"/>
  <c r="B2358" i="364"/>
  <c r="B2359" i="364"/>
  <c r="B2360" i="364"/>
  <c r="B2361" i="364"/>
  <c r="B2362" i="364"/>
  <c r="B2363" i="364"/>
  <c r="B2364" i="364"/>
  <c r="B2365" i="364"/>
  <c r="B2366" i="364"/>
  <c r="B2367" i="364"/>
  <c r="B2368" i="364"/>
  <c r="B2369" i="364"/>
  <c r="B2370" i="364"/>
  <c r="B2371" i="364"/>
  <c r="B2372" i="364"/>
  <c r="B2373" i="364"/>
  <c r="B2374" i="364"/>
  <c r="B2375" i="364"/>
  <c r="B2376" i="364"/>
  <c r="B2377" i="364"/>
  <c r="B2378" i="364"/>
  <c r="B2379" i="364"/>
  <c r="B2380" i="364"/>
  <c r="B2381" i="364"/>
  <c r="B2382" i="364"/>
  <c r="B2383" i="364"/>
  <c r="B2384" i="364"/>
  <c r="B2385" i="364"/>
  <c r="B2386" i="364"/>
  <c r="B2387" i="364"/>
  <c r="B2388" i="364"/>
  <c r="B2389" i="364"/>
  <c r="B2390" i="364"/>
  <c r="B2391" i="364"/>
  <c r="B2392" i="364"/>
  <c r="B2393" i="364"/>
  <c r="B2394" i="364"/>
  <c r="B2395" i="364"/>
  <c r="B2396" i="364"/>
  <c r="B2397" i="364"/>
  <c r="B2398" i="364"/>
  <c r="B2399" i="364"/>
  <c r="B2400" i="364"/>
  <c r="B2401" i="364"/>
  <c r="B2402" i="364"/>
  <c r="B2403" i="364"/>
  <c r="B2404" i="364"/>
  <c r="B2405" i="364"/>
  <c r="B2406" i="364"/>
  <c r="B2407" i="364"/>
  <c r="B2408" i="364"/>
  <c r="B2409" i="364"/>
  <c r="B2410" i="364"/>
  <c r="B2411" i="364"/>
  <c r="B2412" i="364"/>
  <c r="B2413" i="364"/>
  <c r="B2414" i="364"/>
  <c r="B2415" i="364"/>
  <c r="B2416" i="364"/>
  <c r="B2417" i="364"/>
  <c r="B2418" i="364"/>
  <c r="B2419" i="364"/>
  <c r="B2420" i="364"/>
  <c r="B2421" i="364"/>
  <c r="B2422" i="364"/>
  <c r="B2423" i="364"/>
  <c r="B2424" i="364"/>
  <c r="B2425" i="364"/>
  <c r="B2426" i="364"/>
  <c r="B2427" i="364"/>
  <c r="B2428" i="364"/>
  <c r="B2429" i="364"/>
  <c r="B2430" i="364"/>
  <c r="B2431" i="364"/>
  <c r="B2432" i="364"/>
  <c r="B2433" i="364"/>
  <c r="B2434" i="364"/>
  <c r="B2435" i="364"/>
  <c r="B2436" i="364"/>
  <c r="B2437" i="364"/>
  <c r="B2438" i="364"/>
  <c r="B2439" i="364"/>
  <c r="B2440" i="364"/>
  <c r="B2441" i="364"/>
  <c r="B2442" i="364"/>
  <c r="B2443" i="364"/>
  <c r="B2444" i="364"/>
  <c r="B2445" i="364"/>
  <c r="B2446" i="364"/>
  <c r="B2447" i="364"/>
  <c r="B2448" i="364"/>
  <c r="B2449" i="364"/>
  <c r="B2450" i="364"/>
  <c r="B2451" i="364"/>
  <c r="B2452" i="364"/>
  <c r="B2453" i="364"/>
  <c r="B2454" i="364"/>
  <c r="B2455" i="364"/>
  <c r="B2456" i="364"/>
  <c r="B2457" i="364"/>
  <c r="B2458" i="364"/>
  <c r="B2459" i="364"/>
  <c r="B2460" i="364"/>
  <c r="B2461" i="364"/>
  <c r="B2462" i="364"/>
  <c r="B2463" i="364"/>
  <c r="B2464" i="364"/>
  <c r="B2465" i="364"/>
  <c r="B2466" i="364"/>
  <c r="B2467" i="364"/>
  <c r="B2468" i="364"/>
  <c r="B2469" i="364"/>
  <c r="B2470" i="364"/>
  <c r="B2471" i="364"/>
  <c r="B2472" i="364"/>
  <c r="B2473" i="364"/>
  <c r="B2474" i="364"/>
  <c r="B2475" i="364"/>
  <c r="B2476" i="364"/>
  <c r="B2477" i="364"/>
  <c r="B2478" i="364"/>
  <c r="B2479" i="364"/>
  <c r="B2480" i="364"/>
  <c r="B2481" i="364"/>
  <c r="B2482" i="364"/>
  <c r="B2483" i="364"/>
  <c r="F56" i="392" l="1"/>
  <c r="F55" i="392"/>
  <c r="F54" i="392"/>
  <c r="F53" i="392"/>
  <c r="F52" i="392"/>
  <c r="F51" i="392"/>
  <c r="F50" i="392"/>
  <c r="F46" i="392"/>
  <c r="F45" i="392"/>
  <c r="F44" i="392"/>
  <c r="F43" i="392"/>
  <c r="F42" i="392"/>
  <c r="F41" i="392"/>
  <c r="F40" i="392"/>
  <c r="F39" i="392"/>
  <c r="F35" i="392"/>
  <c r="F34" i="392"/>
  <c r="F33" i="392"/>
  <c r="F32" i="392"/>
  <c r="F31" i="392"/>
  <c r="F30" i="392"/>
  <c r="F29" i="392"/>
  <c r="F28" i="392"/>
  <c r="F27" i="392"/>
  <c r="F26" i="392"/>
  <c r="F22" i="392"/>
  <c r="F21" i="392"/>
  <c r="F20" i="392"/>
  <c r="F19" i="392"/>
  <c r="F18" i="392"/>
  <c r="F14" i="392"/>
  <c r="F13" i="392"/>
  <c r="F12" i="392"/>
  <c r="F11" i="392"/>
  <c r="F10" i="392"/>
  <c r="F9" i="392"/>
  <c r="D10" i="393"/>
  <c r="D8" i="393"/>
  <c r="D7" i="393"/>
  <c r="D6" i="393"/>
  <c r="J13" i="393" a="1"/>
  <c r="J13" i="393" s="1"/>
  <c r="J14" i="393"/>
  <c r="J15" i="393" a="1"/>
  <c r="J15" i="393"/>
  <c r="J21" i="393" a="1"/>
  <c r="J21" i="393" s="1"/>
  <c r="J23" i="393" a="1"/>
  <c r="J23" i="393"/>
  <c r="J24" i="393" a="1"/>
  <c r="J24" i="393" s="1"/>
  <c r="J25" i="393" a="1"/>
  <c r="J25" i="393" s="1"/>
  <c r="J27" i="393" a="1"/>
  <c r="J27" i="393"/>
  <c r="J28" i="393" a="1"/>
  <c r="J28" i="393" s="1"/>
  <c r="J39" i="393" a="1"/>
  <c r="J39" i="393"/>
  <c r="J40" i="393" a="1"/>
  <c r="J40" i="393" s="1"/>
  <c r="J41" i="393" a="1"/>
  <c r="J41" i="393" s="1"/>
  <c r="J42" i="393" a="1"/>
  <c r="J42" i="393" s="1"/>
  <c r="J43" i="393" a="1"/>
  <c r="J43" i="393"/>
  <c r="J44" i="393" a="1"/>
  <c r="J44" i="393" s="1"/>
  <c r="J45" i="393" a="1"/>
  <c r="J45" i="393" s="1"/>
  <c r="J46" i="393" a="1"/>
  <c r="J46" i="393" s="1"/>
  <c r="J47" i="393" a="1"/>
  <c r="J47" i="393"/>
  <c r="J48" i="393" a="1"/>
  <c r="J48" i="393" s="1"/>
  <c r="J51" i="393" a="1"/>
  <c r="J51" i="393" s="1"/>
  <c r="J52" i="393" a="1"/>
  <c r="J52" i="393" s="1"/>
  <c r="J53" i="393" a="1"/>
  <c r="J53" i="393" s="1"/>
  <c r="J54" i="393" a="1"/>
  <c r="J54" i="393" s="1"/>
  <c r="J55" i="393" a="1"/>
  <c r="J55" i="393" s="1"/>
  <c r="D5" i="392"/>
  <c r="D4" i="392"/>
  <c r="AD10" i="378"/>
  <c r="AD11" i="378"/>
  <c r="AD12" i="378"/>
  <c r="AD13" i="378"/>
  <c r="AD14" i="378"/>
  <c r="AD15" i="378"/>
  <c r="AD16" i="378"/>
  <c r="AD17" i="378"/>
  <c r="AD18" i="378"/>
  <c r="AD19" i="378"/>
  <c r="AD20" i="378"/>
  <c r="AD21" i="378"/>
  <c r="AD22" i="378"/>
  <c r="AD23" i="378"/>
  <c r="AD24" i="378"/>
  <c r="AD25" i="378"/>
  <c r="AD26" i="378"/>
  <c r="AD27" i="378"/>
  <c r="AD28" i="378"/>
  <c r="AD29" i="378"/>
  <c r="AD30" i="378"/>
  <c r="AD31" i="378"/>
  <c r="AD32" i="378"/>
  <c r="AD33" i="378"/>
  <c r="AD34" i="378"/>
  <c r="AD35" i="378"/>
  <c r="AD36" i="378"/>
  <c r="AD37" i="378"/>
  <c r="AD38" i="378"/>
  <c r="AD39" i="378"/>
  <c r="AD40" i="378"/>
  <c r="AA10" i="378"/>
  <c r="AA11" i="378"/>
  <c r="AA12" i="378"/>
  <c r="AA13" i="378"/>
  <c r="AA14" i="378"/>
  <c r="AA15" i="378"/>
  <c r="AA16" i="378"/>
  <c r="AA17" i="378"/>
  <c r="AA18" i="378"/>
  <c r="AA19" i="378"/>
  <c r="AA20" i="378"/>
  <c r="AA21" i="378"/>
  <c r="AA22" i="378"/>
  <c r="AA23" i="378"/>
  <c r="AA24" i="378"/>
  <c r="AA25" i="378"/>
  <c r="AA26" i="378"/>
  <c r="AA27" i="378"/>
  <c r="AA28" i="378"/>
  <c r="AA29" i="378"/>
  <c r="AA30" i="378"/>
  <c r="AA31" i="378"/>
  <c r="AA32" i="378"/>
  <c r="AA33" i="378"/>
  <c r="AA34" i="378"/>
  <c r="AA35" i="378"/>
  <c r="AA36" i="378"/>
  <c r="AA37" i="378"/>
  <c r="AA38" i="378"/>
  <c r="AA39" i="378"/>
  <c r="AA40" i="378"/>
  <c r="B10" i="359"/>
  <c r="N43" i="378"/>
  <c r="O43" i="378"/>
  <c r="P43" i="378"/>
  <c r="M10" i="378"/>
  <c r="M11" i="378"/>
  <c r="M12" i="378"/>
  <c r="M13" i="378"/>
  <c r="M14" i="378"/>
  <c r="M15" i="378"/>
  <c r="M16" i="378"/>
  <c r="M17" i="378"/>
  <c r="M18" i="378"/>
  <c r="M19" i="378"/>
  <c r="M20" i="378"/>
  <c r="M21" i="378"/>
  <c r="M22" i="378"/>
  <c r="M23" i="378"/>
  <c r="M24" i="378"/>
  <c r="M25" i="378"/>
  <c r="M26" i="378"/>
  <c r="M27" i="378"/>
  <c r="M28" i="378"/>
  <c r="M29" i="378"/>
  <c r="M30" i="378"/>
  <c r="M31" i="378"/>
  <c r="M32" i="378"/>
  <c r="M33" i="378"/>
  <c r="M34" i="378"/>
  <c r="M35" i="378"/>
  <c r="M36" i="378"/>
  <c r="M37" i="378"/>
  <c r="M38" i="378"/>
  <c r="M39" i="378"/>
  <c r="M40" i="378"/>
  <c r="N6" i="378"/>
  <c r="O6" i="378"/>
  <c r="P6" i="378"/>
  <c r="D10" i="391"/>
  <c r="B26" i="391" a="1"/>
  <c r="B26" i="391" s="1"/>
  <c r="B27" i="391" s="1" a="1"/>
  <c r="B27" i="391" s="1"/>
  <c r="I27" i="391" s="1"/>
  <c r="M12" i="391"/>
  <c r="L12" i="391"/>
  <c r="M11" i="391"/>
  <c r="N11" i="391" s="1"/>
  <c r="L11" i="391"/>
  <c r="M10" i="391"/>
  <c r="L10" i="391"/>
  <c r="M9" i="391"/>
  <c r="L9" i="391"/>
  <c r="M8" i="391"/>
  <c r="N8" i="391" s="1"/>
  <c r="L8" i="391"/>
  <c r="I9" i="391"/>
  <c r="C46" i="385" s="1"/>
  <c r="I8" i="391"/>
  <c r="I7" i="391"/>
  <c r="D7" i="391"/>
  <c r="D8" i="391" s="1"/>
  <c r="C4" i="391"/>
  <c r="C41" i="385"/>
  <c r="C40" i="385"/>
  <c r="C39" i="385"/>
  <c r="C38" i="385"/>
  <c r="C37" i="385"/>
  <c r="E17" i="389"/>
  <c r="E16" i="389"/>
  <c r="E15" i="389"/>
  <c r="E14" i="389"/>
  <c r="E13" i="389"/>
  <c r="E12" i="389"/>
  <c r="E11" i="389"/>
  <c r="E10" i="389"/>
  <c r="E9" i="389"/>
  <c r="E8" i="389"/>
  <c r="E7" i="389"/>
  <c r="C4" i="389"/>
  <c r="Z18" i="292"/>
  <c r="W18" i="292"/>
  <c r="T18" i="292"/>
  <c r="Z15" i="292"/>
  <c r="W15" i="292"/>
  <c r="T15" i="292"/>
  <c r="C4" i="388"/>
  <c r="C4" i="387"/>
  <c r="B13" i="388"/>
  <c r="B14" i="388"/>
  <c r="B15" i="388"/>
  <c r="B16" i="388"/>
  <c r="B17" i="388"/>
  <c r="B18" i="388"/>
  <c r="B19" i="388"/>
  <c r="B20" i="388"/>
  <c r="B21" i="388"/>
  <c r="B22" i="388"/>
  <c r="B23" i="388"/>
  <c r="B24" i="388"/>
  <c r="B25" i="388"/>
  <c r="B26" i="388"/>
  <c r="B27" i="388"/>
  <c r="B28" i="388"/>
  <c r="B29" i="388"/>
  <c r="B30" i="388"/>
  <c r="B31" i="388"/>
  <c r="B32" i="388"/>
  <c r="B33" i="388"/>
  <c r="B34" i="388"/>
  <c r="B35" i="388"/>
  <c r="B36" i="388"/>
  <c r="B37" i="388"/>
  <c r="B38" i="388"/>
  <c r="B39" i="388"/>
  <c r="B40" i="388"/>
  <c r="B41" i="388"/>
  <c r="B42" i="388"/>
  <c r="L13" i="387"/>
  <c r="L14" i="387"/>
  <c r="L15" i="387"/>
  <c r="L16" i="387"/>
  <c r="L17" i="387"/>
  <c r="L18" i="387"/>
  <c r="L19" i="387"/>
  <c r="L20" i="387"/>
  <c r="L21" i="387"/>
  <c r="L22" i="387"/>
  <c r="L23" i="387"/>
  <c r="L24" i="387"/>
  <c r="L25" i="387"/>
  <c r="L26" i="387"/>
  <c r="L27" i="387"/>
  <c r="L28" i="387"/>
  <c r="L29" i="387"/>
  <c r="L30" i="387"/>
  <c r="L31" i="387"/>
  <c r="L32" i="387"/>
  <c r="L33" i="387"/>
  <c r="L34" i="387"/>
  <c r="L35" i="387"/>
  <c r="L36" i="387"/>
  <c r="L37" i="387"/>
  <c r="L38" i="387"/>
  <c r="L39" i="387"/>
  <c r="L40" i="387"/>
  <c r="L41" i="387"/>
  <c r="L42" i="387"/>
  <c r="L43" i="387"/>
  <c r="L44" i="387"/>
  <c r="L45" i="387"/>
  <c r="L46" i="387"/>
  <c r="L47" i="387"/>
  <c r="L48" i="387"/>
  <c r="L49" i="387"/>
  <c r="L50" i="387"/>
  <c r="L51" i="387"/>
  <c r="L52" i="387"/>
  <c r="D8" i="388"/>
  <c r="D7" i="388"/>
  <c r="D6" i="388"/>
  <c r="D8" i="387"/>
  <c r="D9" i="387" s="1"/>
  <c r="D7" i="387"/>
  <c r="D6" i="387"/>
  <c r="E9" i="382" a="1"/>
  <c r="E9" i="382" s="1"/>
  <c r="E10" i="382" a="1"/>
  <c r="E10" i="382" s="1"/>
  <c r="E11" i="382" a="1"/>
  <c r="E11" i="382" s="1"/>
  <c r="E12" i="382" a="1"/>
  <c r="E12" i="382"/>
  <c r="E13" i="382" a="1"/>
  <c r="E13" i="382" s="1"/>
  <c r="E14" i="382" a="1"/>
  <c r="E14" i="382" s="1"/>
  <c r="E15" i="382" a="1"/>
  <c r="E15" i="382" s="1"/>
  <c r="E16" i="382" a="1"/>
  <c r="E16" i="382" s="1"/>
  <c r="E17" i="382" a="1"/>
  <c r="E17" i="382" s="1"/>
  <c r="E18" i="382" a="1"/>
  <c r="E18" i="382" s="1"/>
  <c r="E19" i="382" a="1"/>
  <c r="E19" i="382" s="1"/>
  <c r="E20" i="382" a="1"/>
  <c r="E20" i="382" s="1"/>
  <c r="E21" i="382" a="1"/>
  <c r="E21" i="382" s="1"/>
  <c r="E22" i="382" a="1"/>
  <c r="E22" i="382" s="1"/>
  <c r="E23" i="382" a="1"/>
  <c r="E23" i="382" s="1"/>
  <c r="E24" i="382" a="1"/>
  <c r="E24" i="382" s="1"/>
  <c r="E25" i="382" a="1"/>
  <c r="E25" i="382" s="1"/>
  <c r="E26" i="382" a="1"/>
  <c r="E26" i="382" s="1"/>
  <c r="E27" i="382" a="1"/>
  <c r="E27" i="382" s="1"/>
  <c r="E28" i="382" a="1"/>
  <c r="E28" i="382" s="1"/>
  <c r="E29" i="382" a="1"/>
  <c r="E29" i="382" s="1"/>
  <c r="E30" i="382" a="1"/>
  <c r="E30" i="382" s="1"/>
  <c r="E31" i="382" a="1"/>
  <c r="E31" i="382" s="1"/>
  <c r="E32" i="382" a="1"/>
  <c r="E32" i="382" s="1"/>
  <c r="E33" i="382" a="1"/>
  <c r="E33" i="382" s="1"/>
  <c r="E34" i="382" a="1"/>
  <c r="E34" i="382" s="1"/>
  <c r="E35" i="382" a="1"/>
  <c r="E35" i="382" s="1"/>
  <c r="E36" i="382" a="1"/>
  <c r="E36" i="382" s="1"/>
  <c r="E37" i="382" a="1"/>
  <c r="E37" i="382" s="1"/>
  <c r="E38" i="382" a="1"/>
  <c r="E38" i="382" s="1"/>
  <c r="E39" i="382" a="1"/>
  <c r="E39" i="382" s="1"/>
  <c r="E40" i="382" a="1"/>
  <c r="E40" i="382" s="1"/>
  <c r="D9" i="382" a="1"/>
  <c r="D9" i="382" s="1"/>
  <c r="D10" i="382" a="1"/>
  <c r="D10" i="382" s="1"/>
  <c r="D11" i="382" a="1"/>
  <c r="D11" i="382" s="1"/>
  <c r="D12" i="382" a="1"/>
  <c r="D12" i="382" s="1"/>
  <c r="D13" i="382" a="1"/>
  <c r="D13" i="382" s="1"/>
  <c r="D14" i="382" a="1"/>
  <c r="D14" i="382" s="1"/>
  <c r="D15" i="382" a="1"/>
  <c r="D15" i="382" s="1"/>
  <c r="D16" i="382" a="1"/>
  <c r="D16" i="382" s="1"/>
  <c r="D17" i="382" a="1"/>
  <c r="D17" i="382" s="1"/>
  <c r="D18" i="382" a="1"/>
  <c r="D18" i="382" s="1"/>
  <c r="D19" i="382" a="1"/>
  <c r="D19" i="382" s="1"/>
  <c r="D20" i="382" a="1"/>
  <c r="D20" i="382" s="1"/>
  <c r="D21" i="382" a="1"/>
  <c r="D21" i="382" s="1"/>
  <c r="D22" i="382" a="1"/>
  <c r="D22" i="382" s="1"/>
  <c r="D23" i="382" a="1"/>
  <c r="D23" i="382" s="1"/>
  <c r="D24" i="382" a="1"/>
  <c r="D24" i="382" s="1"/>
  <c r="D25" i="382" a="1"/>
  <c r="D25" i="382" s="1"/>
  <c r="D26" i="382" a="1"/>
  <c r="D26" i="382" s="1"/>
  <c r="D27" i="382" a="1"/>
  <c r="D27" i="382" s="1"/>
  <c r="D28" i="382" a="1"/>
  <c r="D28" i="382" s="1"/>
  <c r="D29" i="382" a="1"/>
  <c r="D29" i="382" s="1"/>
  <c r="D30" i="382" a="1"/>
  <c r="D30" i="382" s="1"/>
  <c r="D31" i="382" a="1"/>
  <c r="D31" i="382" s="1"/>
  <c r="D32" i="382" a="1"/>
  <c r="D32" i="382" s="1"/>
  <c r="D33" i="382" a="1"/>
  <c r="D33" i="382" s="1"/>
  <c r="D34" i="382" a="1"/>
  <c r="D34" i="382" s="1"/>
  <c r="D35" i="382" a="1"/>
  <c r="D35" i="382" s="1"/>
  <c r="D36" i="382" a="1"/>
  <c r="D36" i="382" s="1"/>
  <c r="D37" i="382" a="1"/>
  <c r="D37" i="382" s="1"/>
  <c r="D38" i="382" a="1"/>
  <c r="D38" i="382" s="1"/>
  <c r="D39" i="382" a="1"/>
  <c r="D39" i="382" s="1"/>
  <c r="D40" i="382" a="1"/>
  <c r="D40" i="382" s="1"/>
  <c r="C9" i="382" a="1"/>
  <c r="C9" i="382" s="1"/>
  <c r="C10" i="382" a="1"/>
  <c r="C10" i="382" s="1"/>
  <c r="C11" i="382" a="1"/>
  <c r="C11" i="382" s="1"/>
  <c r="C12" i="382" a="1"/>
  <c r="C12" i="382" s="1"/>
  <c r="C13" i="382" a="1"/>
  <c r="C13" i="382" s="1"/>
  <c r="C14" i="382" a="1"/>
  <c r="C14" i="382" s="1"/>
  <c r="C15" i="382" a="1"/>
  <c r="C15" i="382" s="1"/>
  <c r="C16" i="382" a="1"/>
  <c r="C16" i="382" s="1"/>
  <c r="C17" i="382" a="1"/>
  <c r="C17" i="382" s="1"/>
  <c r="C18" i="382" a="1"/>
  <c r="C18" i="382" s="1"/>
  <c r="C19" i="382" a="1"/>
  <c r="C19" i="382" s="1"/>
  <c r="C20" i="382" a="1"/>
  <c r="C20" i="382" s="1"/>
  <c r="C21" i="382" a="1"/>
  <c r="C21" i="382" s="1"/>
  <c r="C22" i="382" a="1"/>
  <c r="C22" i="382" s="1"/>
  <c r="C23" i="382" a="1"/>
  <c r="C23" i="382" s="1"/>
  <c r="C24" i="382" a="1"/>
  <c r="C24" i="382" s="1"/>
  <c r="C25" i="382" a="1"/>
  <c r="C25" i="382" s="1"/>
  <c r="C26" i="382" a="1"/>
  <c r="C26" i="382" s="1"/>
  <c r="C27" i="382" a="1"/>
  <c r="C27" i="382" s="1"/>
  <c r="C28" i="382" a="1"/>
  <c r="C28" i="382" s="1"/>
  <c r="C29" i="382" a="1"/>
  <c r="C29" i="382" s="1"/>
  <c r="C30" i="382" a="1"/>
  <c r="C30" i="382" s="1"/>
  <c r="C31" i="382" a="1"/>
  <c r="C31" i="382" s="1"/>
  <c r="C32" i="382" a="1"/>
  <c r="C32" i="382" s="1"/>
  <c r="C33" i="382" a="1"/>
  <c r="C33" i="382" s="1"/>
  <c r="C34" i="382" a="1"/>
  <c r="C34" i="382" s="1"/>
  <c r="C35" i="382" a="1"/>
  <c r="C35" i="382" s="1"/>
  <c r="C36" i="382" a="1"/>
  <c r="C36" i="382" s="1"/>
  <c r="C37" i="382" a="1"/>
  <c r="C37" i="382" s="1"/>
  <c r="C38" i="382" a="1"/>
  <c r="C38" i="382" s="1"/>
  <c r="C39" i="382" a="1"/>
  <c r="C39" i="382" s="1"/>
  <c r="C40" i="382" a="1"/>
  <c r="C40" i="382" s="1"/>
  <c r="B9" i="382" a="1"/>
  <c r="B9" i="382" s="1"/>
  <c r="B10" i="382" a="1"/>
  <c r="B10" i="382" s="1"/>
  <c r="B11" i="382" a="1"/>
  <c r="B11" i="382" s="1"/>
  <c r="B12" i="382" a="1"/>
  <c r="B12" i="382" s="1"/>
  <c r="B13" i="382" a="1"/>
  <c r="B13" i="382" s="1"/>
  <c r="B14" i="382" a="1"/>
  <c r="B14" i="382" s="1"/>
  <c r="B15" i="382" a="1"/>
  <c r="B15" i="382" s="1"/>
  <c r="B16" i="382" a="1"/>
  <c r="B16" i="382" s="1"/>
  <c r="B17" i="382" a="1"/>
  <c r="B17" i="382" s="1"/>
  <c r="B18" i="382" a="1"/>
  <c r="B18" i="382" s="1"/>
  <c r="B19" i="382" a="1"/>
  <c r="B19" i="382" s="1"/>
  <c r="B20" i="382" a="1"/>
  <c r="B20" i="382" s="1"/>
  <c r="B21" i="382" a="1"/>
  <c r="B21" i="382" s="1"/>
  <c r="B22" i="382" a="1"/>
  <c r="B22" i="382" s="1"/>
  <c r="B23" i="382" a="1"/>
  <c r="B23" i="382" s="1"/>
  <c r="B24" i="382" a="1"/>
  <c r="B24" i="382" s="1"/>
  <c r="B25" i="382" a="1"/>
  <c r="B25" i="382" s="1"/>
  <c r="B26" i="382" a="1"/>
  <c r="B26" i="382" s="1"/>
  <c r="B27" i="382" a="1"/>
  <c r="B27" i="382" s="1"/>
  <c r="B28" i="382" a="1"/>
  <c r="B28" i="382" s="1"/>
  <c r="B29" i="382" a="1"/>
  <c r="B29" i="382" s="1"/>
  <c r="B30" i="382" a="1"/>
  <c r="B30" i="382" s="1"/>
  <c r="B31" i="382" a="1"/>
  <c r="B31" i="382" s="1"/>
  <c r="AV31" i="382" s="1"/>
  <c r="B32" i="382" a="1"/>
  <c r="B32" i="382" s="1"/>
  <c r="B33" i="382" a="1"/>
  <c r="B33" i="382" s="1"/>
  <c r="B34" i="382" a="1"/>
  <c r="B34" i="382" s="1"/>
  <c r="B35" i="382" a="1"/>
  <c r="B35" i="382" s="1"/>
  <c r="B36" i="382" a="1"/>
  <c r="B36" i="382" s="1"/>
  <c r="B37" i="382" a="1"/>
  <c r="B37" i="382" s="1"/>
  <c r="B38" i="382" a="1"/>
  <c r="B38" i="382" s="1"/>
  <c r="B39" i="382" a="1"/>
  <c r="B39" i="382" s="1"/>
  <c r="AV39" i="382" s="1"/>
  <c r="B40" i="382" a="1"/>
  <c r="B40" i="382" s="1"/>
  <c r="AA39" i="382"/>
  <c r="AA38" i="382"/>
  <c r="AA37" i="382"/>
  <c r="AA36" i="382"/>
  <c r="AA35" i="382"/>
  <c r="AA34" i="382"/>
  <c r="AA33" i="382"/>
  <c r="AA32" i="382"/>
  <c r="AA31" i="382"/>
  <c r="AA30" i="382"/>
  <c r="B9" i="359"/>
  <c r="B2190" i="364"/>
  <c r="B2191" i="364"/>
  <c r="B2192" i="364"/>
  <c r="B2193" i="364"/>
  <c r="B2194" i="364"/>
  <c r="B2195" i="364"/>
  <c r="B2196" i="364"/>
  <c r="B2197" i="364"/>
  <c r="B2198" i="364"/>
  <c r="B2199" i="364"/>
  <c r="B2200" i="364"/>
  <c r="B2201" i="364"/>
  <c r="B2202" i="364"/>
  <c r="B2203" i="364"/>
  <c r="B2204" i="364"/>
  <c r="B2205" i="364"/>
  <c r="AU46" i="380" a="1"/>
  <c r="AU46" i="380" s="1"/>
  <c r="AU45" i="380"/>
  <c r="AU44" i="380"/>
  <c r="AU42" i="380"/>
  <c r="AU43" i="380" s="1"/>
  <c r="AT46" i="380" a="1"/>
  <c r="AT46" i="380" s="1"/>
  <c r="AT45" i="380"/>
  <c r="AT44" i="380"/>
  <c r="AT42" i="380"/>
  <c r="AT43" i="380" s="1"/>
  <c r="AS46" i="380" a="1"/>
  <c r="AS46" i="380" s="1"/>
  <c r="AS45" i="380"/>
  <c r="AS44" i="380"/>
  <c r="AS42" i="380"/>
  <c r="AS43" i="380" s="1"/>
  <c r="AR46" i="380" a="1"/>
  <c r="AR46" i="380" s="1"/>
  <c r="AR45" i="380"/>
  <c r="AR44" i="380"/>
  <c r="AR42" i="380"/>
  <c r="AR43" i="380" s="1"/>
  <c r="AQ46" i="380" a="1"/>
  <c r="AQ46" i="380" s="1"/>
  <c r="AQ45" i="380"/>
  <c r="AQ44" i="380"/>
  <c r="AQ42" i="380"/>
  <c r="AQ43" i="380" s="1"/>
  <c r="AP46" i="380" a="1"/>
  <c r="AP46" i="380" s="1"/>
  <c r="AP45" i="380"/>
  <c r="AP44" i="380"/>
  <c r="AP42" i="380"/>
  <c r="AP43" i="380" s="1"/>
  <c r="AO46" i="380" a="1"/>
  <c r="AO46" i="380" s="1"/>
  <c r="AO45" i="380"/>
  <c r="AO44" i="380"/>
  <c r="AO42" i="380"/>
  <c r="AO43" i="380" s="1"/>
  <c r="AN46" i="380" a="1"/>
  <c r="AN46" i="380" s="1"/>
  <c r="AN45" i="380"/>
  <c r="AN44" i="380"/>
  <c r="AN42" i="380"/>
  <c r="AN43" i="380" s="1"/>
  <c r="AM46" i="380" a="1"/>
  <c r="AM46" i="380" s="1"/>
  <c r="AM45" i="380"/>
  <c r="AM44" i="380"/>
  <c r="AM42" i="380"/>
  <c r="AM43" i="380" s="1"/>
  <c r="AL46" i="380" a="1"/>
  <c r="AL46" i="380" s="1"/>
  <c r="AL45" i="380"/>
  <c r="AL44" i="380"/>
  <c r="AL43" i="380"/>
  <c r="AL42" i="380"/>
  <c r="AK46" i="380" a="1"/>
  <c r="AK46" i="380" s="1"/>
  <c r="AK45" i="380"/>
  <c r="AK44" i="380"/>
  <c r="AK42" i="380"/>
  <c r="AK43" i="380" s="1"/>
  <c r="AJ46" i="380" a="1"/>
  <c r="AJ46" i="380" s="1"/>
  <c r="AJ45" i="380"/>
  <c r="AJ44" i="380"/>
  <c r="AJ42" i="380"/>
  <c r="AJ43" i="380" s="1"/>
  <c r="AI46" i="380" a="1"/>
  <c r="AI46" i="380" s="1"/>
  <c r="AI45" i="380"/>
  <c r="AI44" i="380"/>
  <c r="AI42" i="380"/>
  <c r="AI43" i="380" s="1"/>
  <c r="AH46" i="380" a="1"/>
  <c r="AH46" i="380" s="1"/>
  <c r="AH45" i="380"/>
  <c r="AH44" i="380"/>
  <c r="AH42" i="380"/>
  <c r="AH43" i="380" s="1"/>
  <c r="AG46" i="380" a="1"/>
  <c r="AG46" i="380" s="1"/>
  <c r="AG45" i="380"/>
  <c r="AG44" i="380"/>
  <c r="AG42" i="380"/>
  <c r="AG43" i="380" s="1"/>
  <c r="AF46" i="380" a="1"/>
  <c r="AF46" i="380" s="1"/>
  <c r="AF45" i="380"/>
  <c r="AF44" i="380"/>
  <c r="AF42" i="380"/>
  <c r="AF43" i="380" s="1"/>
  <c r="AE46" i="380" a="1"/>
  <c r="AE46" i="380" s="1"/>
  <c r="AE45" i="380"/>
  <c r="AE44" i="380"/>
  <c r="AE42" i="380"/>
  <c r="AE43" i="380" s="1"/>
  <c r="AD46" i="380" a="1"/>
  <c r="AD46" i="380" s="1"/>
  <c r="AD45" i="380"/>
  <c r="AD44" i="380"/>
  <c r="AD42" i="380"/>
  <c r="AD43" i="380" s="1"/>
  <c r="AC46" i="380" a="1"/>
  <c r="AC46" i="380" s="1"/>
  <c r="AC45" i="380"/>
  <c r="AC44" i="380"/>
  <c r="AC42" i="380"/>
  <c r="AC43" i="380" s="1"/>
  <c r="AV10" i="380"/>
  <c r="AV11" i="380"/>
  <c r="AV12" i="380"/>
  <c r="AV13" i="380"/>
  <c r="AV14" i="380"/>
  <c r="AV15" i="380"/>
  <c r="AV16" i="380"/>
  <c r="AV17" i="380"/>
  <c r="AV18" i="380"/>
  <c r="AV19" i="380"/>
  <c r="AV20" i="380"/>
  <c r="AV21" i="380"/>
  <c r="AV22" i="380"/>
  <c r="AV23" i="380"/>
  <c r="AV24" i="380"/>
  <c r="AV25" i="380"/>
  <c r="AV26" i="380"/>
  <c r="AV27" i="380"/>
  <c r="AV28" i="380"/>
  <c r="AV29" i="380"/>
  <c r="AV30" i="380"/>
  <c r="AV31" i="380"/>
  <c r="AV32" i="380"/>
  <c r="AV33" i="380"/>
  <c r="AV34" i="380"/>
  <c r="AV35" i="380"/>
  <c r="AV36" i="380"/>
  <c r="AV37" i="380"/>
  <c r="AV38" i="380"/>
  <c r="AV39" i="380"/>
  <c r="AV40" i="380"/>
  <c r="AU7" i="380"/>
  <c r="AU6" i="380"/>
  <c r="AU5" i="380" a="1"/>
  <c r="AU5" i="380" s="1"/>
  <c r="AT7" i="380"/>
  <c r="AT6" i="380"/>
  <c r="AT5" i="380" a="1"/>
  <c r="AT5" i="380"/>
  <c r="AS7" i="380"/>
  <c r="AS6" i="380"/>
  <c r="AS5" i="380" a="1"/>
  <c r="AS5" i="380" s="1"/>
  <c r="AR7" i="380"/>
  <c r="AR6" i="380"/>
  <c r="AR5" i="380" a="1"/>
  <c r="AR5" i="380" s="1"/>
  <c r="AQ7" i="380"/>
  <c r="AQ6" i="380"/>
  <c r="AQ5" i="380" a="1"/>
  <c r="AQ5" i="380" s="1"/>
  <c r="AP7" i="380"/>
  <c r="AP6" i="380"/>
  <c r="AP5" i="380" a="1"/>
  <c r="AP5" i="380" s="1"/>
  <c r="AO7" i="380"/>
  <c r="AO6" i="380"/>
  <c r="AO5" i="380" a="1"/>
  <c r="AO5" i="380" s="1"/>
  <c r="AN7" i="380"/>
  <c r="AN6" i="380"/>
  <c r="AN5" i="380" a="1"/>
  <c r="AN5" i="380" s="1"/>
  <c r="AM7" i="380"/>
  <c r="AM6" i="380"/>
  <c r="AM5" i="380" a="1"/>
  <c r="AM5" i="380" s="1"/>
  <c r="AL7" i="380"/>
  <c r="AL6" i="380"/>
  <c r="AL5" i="380" a="1"/>
  <c r="AL5" i="380" s="1"/>
  <c r="AK7" i="380"/>
  <c r="AK6" i="380"/>
  <c r="AK5" i="380" a="1"/>
  <c r="AK5" i="380" s="1"/>
  <c r="AJ7" i="380"/>
  <c r="AJ6" i="380"/>
  <c r="AJ5" i="380" a="1"/>
  <c r="AJ5" i="380" s="1"/>
  <c r="AI7" i="380"/>
  <c r="AI6" i="380"/>
  <c r="AI5" i="380" a="1"/>
  <c r="AI5" i="380" s="1"/>
  <c r="AH7" i="380"/>
  <c r="AH6" i="380"/>
  <c r="AH5" i="380" a="1"/>
  <c r="AH5" i="380" s="1"/>
  <c r="AG7" i="380"/>
  <c r="AG6" i="380"/>
  <c r="AG5" i="380" a="1"/>
  <c r="AG5" i="380" s="1"/>
  <c r="AF7" i="380"/>
  <c r="AF6" i="380"/>
  <c r="AF5" i="380" a="1"/>
  <c r="AF5" i="380" s="1"/>
  <c r="AE7" i="380"/>
  <c r="AE6" i="380"/>
  <c r="AE5" i="380" a="1"/>
  <c r="AE5" i="380" s="1"/>
  <c r="AD7" i="380"/>
  <c r="AD6" i="380"/>
  <c r="AD5" i="380" a="1"/>
  <c r="AD5" i="380" s="1"/>
  <c r="AC7" i="380"/>
  <c r="AC6" i="380"/>
  <c r="AC5" i="380" a="1"/>
  <c r="AC5" i="380" s="1"/>
  <c r="B8" i="359"/>
  <c r="B1898" i="364"/>
  <c r="B1899" i="364"/>
  <c r="B1900" i="364"/>
  <c r="B1901" i="364"/>
  <c r="B1902" i="364"/>
  <c r="B1903" i="364"/>
  <c r="B1904" i="364"/>
  <c r="B1905" i="364"/>
  <c r="B1906" i="364"/>
  <c r="B1907" i="364"/>
  <c r="B1908" i="364"/>
  <c r="B1909" i="364"/>
  <c r="B1910" i="364"/>
  <c r="B1911" i="364"/>
  <c r="B1912" i="364"/>
  <c r="B1913" i="364"/>
  <c r="B1914" i="364"/>
  <c r="B1915" i="364"/>
  <c r="B1916" i="364"/>
  <c r="B1917" i="364"/>
  <c r="B1918" i="364"/>
  <c r="B1919" i="364"/>
  <c r="B1920" i="364"/>
  <c r="B1921" i="364"/>
  <c r="B1922" i="364"/>
  <c r="B1923" i="364"/>
  <c r="B1924" i="364"/>
  <c r="B1925" i="364"/>
  <c r="B1926" i="364"/>
  <c r="B1927" i="364"/>
  <c r="B1928" i="364"/>
  <c r="B1929" i="364"/>
  <c r="B1930" i="364"/>
  <c r="B1931" i="364"/>
  <c r="B1932" i="364"/>
  <c r="B1933" i="364"/>
  <c r="B1934" i="364"/>
  <c r="B1935" i="364"/>
  <c r="B1936" i="364"/>
  <c r="B1937" i="364"/>
  <c r="B1938" i="364"/>
  <c r="B1939" i="364"/>
  <c r="B1940" i="364"/>
  <c r="B1941" i="364"/>
  <c r="B1942" i="364"/>
  <c r="B1943" i="364"/>
  <c r="B1944" i="364"/>
  <c r="B1945" i="364"/>
  <c r="B1946" i="364"/>
  <c r="B1947" i="364"/>
  <c r="B1948" i="364"/>
  <c r="B1949" i="364"/>
  <c r="B1950" i="364"/>
  <c r="B1951" i="364"/>
  <c r="B1952" i="364"/>
  <c r="B1953" i="364"/>
  <c r="B1954" i="364"/>
  <c r="B1955" i="364"/>
  <c r="B1956" i="364"/>
  <c r="B1957" i="364"/>
  <c r="B1958" i="364"/>
  <c r="B1959" i="364"/>
  <c r="B1960" i="364"/>
  <c r="B1961" i="364"/>
  <c r="B1962" i="364"/>
  <c r="B1963" i="364"/>
  <c r="B1964" i="364"/>
  <c r="B1965" i="364"/>
  <c r="B1966" i="364"/>
  <c r="B1967" i="364"/>
  <c r="B1968" i="364"/>
  <c r="B1969" i="364"/>
  <c r="B1970" i="364"/>
  <c r="B1971" i="364"/>
  <c r="B1972" i="364"/>
  <c r="B1973" i="364"/>
  <c r="B1974" i="364"/>
  <c r="B1975" i="364"/>
  <c r="B1976" i="364"/>
  <c r="B1977" i="364"/>
  <c r="B1978" i="364"/>
  <c r="B1979" i="364"/>
  <c r="B1980" i="364"/>
  <c r="B1981" i="364"/>
  <c r="B1982" i="364"/>
  <c r="B1983" i="364"/>
  <c r="B1984" i="364"/>
  <c r="B1985" i="364"/>
  <c r="B1986" i="364"/>
  <c r="B1987" i="364"/>
  <c r="B1988" i="364"/>
  <c r="B1989" i="364"/>
  <c r="B1990" i="364"/>
  <c r="B1991" i="364"/>
  <c r="B1992" i="364"/>
  <c r="B1993" i="364"/>
  <c r="B1994" i="364"/>
  <c r="B1995" i="364"/>
  <c r="B1996" i="364"/>
  <c r="B1997" i="364"/>
  <c r="B1998" i="364"/>
  <c r="B1999" i="364"/>
  <c r="B2000" i="364"/>
  <c r="B2001" i="364"/>
  <c r="B2002" i="364"/>
  <c r="B2003" i="364"/>
  <c r="B2004" i="364"/>
  <c r="B2005" i="364"/>
  <c r="B2006" i="364"/>
  <c r="B2007" i="364"/>
  <c r="B2008" i="364"/>
  <c r="B2009" i="364"/>
  <c r="B2010" i="364"/>
  <c r="B2011" i="364"/>
  <c r="B2012" i="364"/>
  <c r="B2013" i="364"/>
  <c r="B2014" i="364"/>
  <c r="B2015" i="364"/>
  <c r="B2016" i="364"/>
  <c r="B2017" i="364"/>
  <c r="B2018" i="364"/>
  <c r="B2019" i="364"/>
  <c r="B2020" i="364"/>
  <c r="B2021" i="364"/>
  <c r="B2022" i="364"/>
  <c r="B2023" i="364"/>
  <c r="B2024" i="364"/>
  <c r="B2025" i="364"/>
  <c r="B2026" i="364"/>
  <c r="B2027" i="364"/>
  <c r="B2028" i="364"/>
  <c r="B2029" i="364"/>
  <c r="B2030" i="364"/>
  <c r="B2031" i="364"/>
  <c r="B2032" i="364"/>
  <c r="B2033" i="364"/>
  <c r="B2034" i="364"/>
  <c r="B2035" i="364"/>
  <c r="B2036" i="364"/>
  <c r="B2037" i="364"/>
  <c r="B2038" i="364"/>
  <c r="B2039" i="364"/>
  <c r="B2040" i="364"/>
  <c r="B2041" i="364"/>
  <c r="B2042" i="364"/>
  <c r="B2043" i="364"/>
  <c r="B2044" i="364"/>
  <c r="B2045" i="364"/>
  <c r="B2046" i="364"/>
  <c r="B2047" i="364"/>
  <c r="B2048" i="364"/>
  <c r="B2049" i="364"/>
  <c r="B2050" i="364"/>
  <c r="B2051" i="364"/>
  <c r="B2052" i="364"/>
  <c r="B2053" i="364"/>
  <c r="B2054" i="364"/>
  <c r="B2055" i="364"/>
  <c r="B2056" i="364"/>
  <c r="B2057" i="364"/>
  <c r="B2058" i="364"/>
  <c r="B2059" i="364"/>
  <c r="B2060" i="364"/>
  <c r="B2061" i="364"/>
  <c r="B2062" i="364"/>
  <c r="B2063" i="364"/>
  <c r="B2064" i="364"/>
  <c r="B2065" i="364"/>
  <c r="B2066" i="364"/>
  <c r="B2067" i="364"/>
  <c r="B2068" i="364"/>
  <c r="B2069" i="364"/>
  <c r="B2070" i="364"/>
  <c r="B2071" i="364"/>
  <c r="B2072" i="364"/>
  <c r="B2073" i="364"/>
  <c r="B2074" i="364"/>
  <c r="B2075" i="364"/>
  <c r="B2076" i="364"/>
  <c r="B2077" i="364"/>
  <c r="B2078" i="364"/>
  <c r="B2079" i="364"/>
  <c r="B2080" i="364"/>
  <c r="B2081" i="364"/>
  <c r="B2082" i="364"/>
  <c r="B2083" i="364"/>
  <c r="B2084" i="364"/>
  <c r="B2085" i="364"/>
  <c r="B2086" i="364"/>
  <c r="B2087" i="364"/>
  <c r="B2088" i="364"/>
  <c r="B2089" i="364"/>
  <c r="B2090" i="364"/>
  <c r="B2091" i="364"/>
  <c r="B2092" i="364"/>
  <c r="B2093" i="364"/>
  <c r="B2094" i="364"/>
  <c r="B2095" i="364"/>
  <c r="B2096" i="364"/>
  <c r="B2097" i="364"/>
  <c r="B2098" i="364"/>
  <c r="B2099" i="364"/>
  <c r="B2100" i="364"/>
  <c r="B2101" i="364"/>
  <c r="B2102" i="364"/>
  <c r="B2103" i="364"/>
  <c r="B2104" i="364"/>
  <c r="B2105" i="364"/>
  <c r="B2106" i="364"/>
  <c r="B2107" i="364"/>
  <c r="B2108" i="364"/>
  <c r="B2109" i="364"/>
  <c r="B2110" i="364"/>
  <c r="B2111" i="364"/>
  <c r="B2112" i="364"/>
  <c r="B2113" i="364"/>
  <c r="B2114" i="364"/>
  <c r="B2115" i="364"/>
  <c r="B2116" i="364"/>
  <c r="B2117" i="364"/>
  <c r="B2118" i="364"/>
  <c r="B2119" i="364"/>
  <c r="B2120" i="364"/>
  <c r="B2121" i="364"/>
  <c r="B2122" i="364"/>
  <c r="B2123" i="364"/>
  <c r="B2124" i="364"/>
  <c r="B2125" i="364"/>
  <c r="B2126" i="364"/>
  <c r="B2127" i="364"/>
  <c r="B2128" i="364"/>
  <c r="B2129" i="364"/>
  <c r="B2130" i="364"/>
  <c r="B2131" i="364"/>
  <c r="B2132" i="364"/>
  <c r="B2133" i="364"/>
  <c r="B2134" i="364"/>
  <c r="B2135" i="364"/>
  <c r="B2136" i="364"/>
  <c r="B2137" i="364"/>
  <c r="B2138" i="364"/>
  <c r="B2139" i="364"/>
  <c r="B2140" i="364"/>
  <c r="B2141" i="364"/>
  <c r="B2142" i="364"/>
  <c r="B2143" i="364"/>
  <c r="B2144" i="364"/>
  <c r="B2145" i="364"/>
  <c r="B2146" i="364"/>
  <c r="B2147" i="364"/>
  <c r="B2148" i="364"/>
  <c r="B2149" i="364"/>
  <c r="B2150" i="364"/>
  <c r="B2151" i="364"/>
  <c r="B2152" i="364"/>
  <c r="B2153" i="364"/>
  <c r="B2154" i="364"/>
  <c r="B2155" i="364"/>
  <c r="B2156" i="364"/>
  <c r="B2157" i="364"/>
  <c r="B2158" i="364"/>
  <c r="B2159" i="364"/>
  <c r="B2160" i="364"/>
  <c r="B2161" i="364"/>
  <c r="B2162" i="364"/>
  <c r="B2163" i="364"/>
  <c r="B2164" i="364"/>
  <c r="B2165" i="364"/>
  <c r="B2166" i="364"/>
  <c r="B2167" i="364"/>
  <c r="B2168" i="364"/>
  <c r="B2169" i="364"/>
  <c r="B2170" i="364"/>
  <c r="B2171" i="364"/>
  <c r="B2172" i="364"/>
  <c r="B2173" i="364"/>
  <c r="B2174" i="364"/>
  <c r="B2175" i="364"/>
  <c r="B2176" i="364"/>
  <c r="B2177" i="364"/>
  <c r="B2178" i="364"/>
  <c r="B2179" i="364"/>
  <c r="B2180" i="364"/>
  <c r="B2181" i="364"/>
  <c r="B2182" i="364"/>
  <c r="B2183" i="364"/>
  <c r="B2184" i="364"/>
  <c r="B2185" i="364"/>
  <c r="B2186" i="364"/>
  <c r="B2187" i="364"/>
  <c r="B2188" i="364"/>
  <c r="B2189" i="364"/>
  <c r="L13" i="367" a="1"/>
  <c r="L13" i="367" s="1"/>
  <c r="E4" i="382"/>
  <c r="L43" i="382"/>
  <c r="K43" i="382"/>
  <c r="J43" i="382"/>
  <c r="I43" i="382"/>
  <c r="H43" i="382"/>
  <c r="G43" i="382"/>
  <c r="F43" i="382"/>
  <c r="N42" i="382"/>
  <c r="L42" i="382"/>
  <c r="K42" i="382"/>
  <c r="J42" i="382"/>
  <c r="I42" i="382"/>
  <c r="H42" i="382"/>
  <c r="G42" i="382"/>
  <c r="F42" i="382"/>
  <c r="L8" i="382"/>
  <c r="K8" i="382"/>
  <c r="J8" i="382"/>
  <c r="I8" i="382"/>
  <c r="H8" i="382"/>
  <c r="G8" i="382"/>
  <c r="F8" i="382"/>
  <c r="Y45" i="380"/>
  <c r="X45" i="380"/>
  <c r="W45" i="380"/>
  <c r="V45" i="380"/>
  <c r="U45" i="380"/>
  <c r="T45" i="380"/>
  <c r="S45" i="380"/>
  <c r="R45" i="380"/>
  <c r="Q45" i="380"/>
  <c r="P45" i="380"/>
  <c r="O45" i="380"/>
  <c r="N45" i="380"/>
  <c r="M45" i="380"/>
  <c r="L45" i="380"/>
  <c r="K45" i="380"/>
  <c r="J45" i="380"/>
  <c r="I45" i="380"/>
  <c r="H45" i="380"/>
  <c r="G45" i="380"/>
  <c r="F45" i="380"/>
  <c r="E45" i="380"/>
  <c r="D45" i="380"/>
  <c r="Y44" i="380"/>
  <c r="X44" i="380"/>
  <c r="W44" i="380"/>
  <c r="V44" i="380"/>
  <c r="U44" i="380"/>
  <c r="T44" i="380"/>
  <c r="S44" i="380"/>
  <c r="R44" i="380"/>
  <c r="Q44" i="380"/>
  <c r="P44" i="380"/>
  <c r="O44" i="380"/>
  <c r="N44" i="380"/>
  <c r="M44" i="380"/>
  <c r="L44" i="380"/>
  <c r="K44" i="380"/>
  <c r="J44" i="380"/>
  <c r="I44" i="380"/>
  <c r="H44" i="380"/>
  <c r="G44" i="380"/>
  <c r="F44" i="380"/>
  <c r="E44" i="380"/>
  <c r="D44" i="380"/>
  <c r="Y43" i="380"/>
  <c r="X43" i="380"/>
  <c r="W43" i="380"/>
  <c r="V43" i="380"/>
  <c r="U43" i="380"/>
  <c r="T43" i="380"/>
  <c r="S43" i="380"/>
  <c r="R43" i="380"/>
  <c r="Q43" i="380"/>
  <c r="P43" i="380"/>
  <c r="O43" i="380"/>
  <c r="N43" i="380"/>
  <c r="M43" i="380"/>
  <c r="L43" i="380"/>
  <c r="K43" i="380"/>
  <c r="J43" i="380"/>
  <c r="I43" i="380"/>
  <c r="H43" i="380"/>
  <c r="G43" i="380"/>
  <c r="F43" i="380"/>
  <c r="E43" i="380"/>
  <c r="D43" i="380"/>
  <c r="Y42" i="380"/>
  <c r="X42" i="380"/>
  <c r="W42" i="380"/>
  <c r="V42" i="380"/>
  <c r="U42" i="380"/>
  <c r="T42" i="380"/>
  <c r="S42" i="380"/>
  <c r="R42" i="380"/>
  <c r="Q42" i="380"/>
  <c r="P42" i="380"/>
  <c r="O42" i="380"/>
  <c r="N42" i="380"/>
  <c r="M42" i="380"/>
  <c r="L42" i="380"/>
  <c r="K42" i="380"/>
  <c r="J42" i="380"/>
  <c r="I42" i="380"/>
  <c r="H42" i="380"/>
  <c r="G42" i="380"/>
  <c r="F42" i="380"/>
  <c r="E42" i="380"/>
  <c r="D42" i="380"/>
  <c r="AA40" i="380"/>
  <c r="Z40" i="380"/>
  <c r="AA39" i="380"/>
  <c r="Z39" i="380"/>
  <c r="AA38" i="380"/>
  <c r="Z38" i="380"/>
  <c r="AA37" i="380"/>
  <c r="Z37" i="380"/>
  <c r="AA36" i="380"/>
  <c r="Z36" i="380"/>
  <c r="AA35" i="380"/>
  <c r="Z35" i="380"/>
  <c r="AA34" i="380"/>
  <c r="Z34" i="380"/>
  <c r="AA33" i="380"/>
  <c r="Z33" i="380"/>
  <c r="AA32" i="380"/>
  <c r="Z32" i="380"/>
  <c r="AA31" i="380"/>
  <c r="Z31" i="380"/>
  <c r="AA30" i="380"/>
  <c r="Z30" i="380"/>
  <c r="AA29" i="380"/>
  <c r="Z29" i="380"/>
  <c r="AA28" i="380"/>
  <c r="Z28" i="380"/>
  <c r="AA27" i="380"/>
  <c r="Z27" i="380"/>
  <c r="AA26" i="380"/>
  <c r="Z26" i="380"/>
  <c r="AA25" i="380"/>
  <c r="Z25" i="380"/>
  <c r="AA24" i="380"/>
  <c r="Z24" i="380"/>
  <c r="AA23" i="380"/>
  <c r="Z23" i="380"/>
  <c r="AA22" i="380"/>
  <c r="Z22" i="380"/>
  <c r="AA21" i="380"/>
  <c r="Z21" i="380"/>
  <c r="AA20" i="380"/>
  <c r="Z20" i="380"/>
  <c r="AA19" i="380"/>
  <c r="Z19" i="380"/>
  <c r="AA18" i="380"/>
  <c r="Z18" i="380"/>
  <c r="AA17" i="380"/>
  <c r="Z17" i="380"/>
  <c r="AA16" i="380"/>
  <c r="Z16" i="380"/>
  <c r="AA15" i="380"/>
  <c r="Z15" i="380"/>
  <c r="AA14" i="380"/>
  <c r="Z14" i="380"/>
  <c r="AA13" i="380"/>
  <c r="Z13" i="380"/>
  <c r="AA12" i="380"/>
  <c r="Z12" i="380"/>
  <c r="AA11" i="380"/>
  <c r="Z11" i="380"/>
  <c r="AA10" i="380"/>
  <c r="Z10" i="380"/>
  <c r="Y7" i="380"/>
  <c r="X7" i="380"/>
  <c r="W7" i="380"/>
  <c r="V7" i="380"/>
  <c r="U7" i="380"/>
  <c r="T7" i="380"/>
  <c r="S7" i="380"/>
  <c r="R7" i="380"/>
  <c r="Q7" i="380"/>
  <c r="P7" i="380"/>
  <c r="O7" i="380"/>
  <c r="N7" i="380"/>
  <c r="M7" i="380"/>
  <c r="L7" i="380"/>
  <c r="K7" i="380"/>
  <c r="J7" i="380"/>
  <c r="I7" i="380"/>
  <c r="H7" i="380"/>
  <c r="G7" i="380"/>
  <c r="F7" i="380"/>
  <c r="E7" i="380"/>
  <c r="D7" i="380"/>
  <c r="Y6" i="380"/>
  <c r="X6" i="380"/>
  <c r="W6" i="380"/>
  <c r="V6" i="380"/>
  <c r="U6" i="380"/>
  <c r="T6" i="380"/>
  <c r="S6" i="380"/>
  <c r="R6" i="380"/>
  <c r="Q6" i="380"/>
  <c r="P6" i="380"/>
  <c r="O6" i="380"/>
  <c r="N6" i="380"/>
  <c r="M6" i="380"/>
  <c r="L6" i="380"/>
  <c r="K6" i="380"/>
  <c r="J6" i="380"/>
  <c r="I6" i="380"/>
  <c r="H6" i="380"/>
  <c r="G6" i="380"/>
  <c r="F6" i="380"/>
  <c r="E6" i="380"/>
  <c r="D6" i="380"/>
  <c r="AL45" i="379"/>
  <c r="AK45" i="379"/>
  <c r="AJ45" i="379"/>
  <c r="AH45" i="379"/>
  <c r="AG45" i="379"/>
  <c r="AF45" i="379"/>
  <c r="AD45" i="379"/>
  <c r="AC45" i="379"/>
  <c r="AB45" i="379"/>
  <c r="Z45" i="379"/>
  <c r="Y45" i="379"/>
  <c r="X45" i="379"/>
  <c r="V45" i="379"/>
  <c r="U45" i="379"/>
  <c r="T45" i="379"/>
  <c r="R45" i="379"/>
  <c r="Q45" i="379"/>
  <c r="P45" i="379"/>
  <c r="N45" i="379"/>
  <c r="M45" i="379"/>
  <c r="L45" i="379"/>
  <c r="J45" i="379"/>
  <c r="I45" i="379"/>
  <c r="H45" i="379"/>
  <c r="F45" i="379"/>
  <c r="E45" i="379"/>
  <c r="D45" i="379"/>
  <c r="AL44" i="379"/>
  <c r="AK44" i="379"/>
  <c r="AJ44" i="379"/>
  <c r="AH44" i="379"/>
  <c r="AG44" i="379"/>
  <c r="AF44" i="379"/>
  <c r="AD44" i="379"/>
  <c r="AC44" i="379"/>
  <c r="AB44" i="379"/>
  <c r="Z44" i="379"/>
  <c r="Y44" i="379"/>
  <c r="X44" i="379"/>
  <c r="V44" i="379"/>
  <c r="U44" i="379"/>
  <c r="T44" i="379"/>
  <c r="R44" i="379"/>
  <c r="Q44" i="379"/>
  <c r="P44" i="379"/>
  <c r="N44" i="379"/>
  <c r="M44" i="379"/>
  <c r="L44" i="379"/>
  <c r="J44" i="379"/>
  <c r="I44" i="379"/>
  <c r="H44" i="379"/>
  <c r="F44" i="379"/>
  <c r="E44" i="379"/>
  <c r="D44" i="379"/>
  <c r="AL43" i="379"/>
  <c r="AK43" i="379"/>
  <c r="AJ43" i="379"/>
  <c r="AH43" i="379"/>
  <c r="AG43" i="379"/>
  <c r="AF43" i="379"/>
  <c r="AD43" i="379"/>
  <c r="AC43" i="379"/>
  <c r="AB43" i="379"/>
  <c r="Z43" i="379"/>
  <c r="Y43" i="379"/>
  <c r="X43" i="379"/>
  <c r="V43" i="379"/>
  <c r="U43" i="379"/>
  <c r="T43" i="379"/>
  <c r="R43" i="379"/>
  <c r="Q43" i="379"/>
  <c r="P43" i="379"/>
  <c r="N43" i="379"/>
  <c r="M43" i="379"/>
  <c r="L43" i="379"/>
  <c r="J43" i="379"/>
  <c r="I43" i="379"/>
  <c r="H43" i="379"/>
  <c r="F43" i="379"/>
  <c r="E43" i="379"/>
  <c r="D43" i="379"/>
  <c r="AL42" i="379"/>
  <c r="AK42" i="379"/>
  <c r="AJ42" i="379"/>
  <c r="AH42" i="379"/>
  <c r="AG42" i="379"/>
  <c r="AF42" i="379"/>
  <c r="AD42" i="379"/>
  <c r="AC42" i="379"/>
  <c r="AB42" i="379"/>
  <c r="Z42" i="379"/>
  <c r="Y42" i="379"/>
  <c r="X42" i="379"/>
  <c r="V42" i="379"/>
  <c r="U42" i="379"/>
  <c r="T42" i="379"/>
  <c r="R42" i="379"/>
  <c r="Q42" i="379"/>
  <c r="P42" i="379"/>
  <c r="N42" i="379"/>
  <c r="M42" i="379"/>
  <c r="L42" i="379"/>
  <c r="J42" i="379"/>
  <c r="I42" i="379"/>
  <c r="H42" i="379"/>
  <c r="F42" i="379"/>
  <c r="E42" i="379"/>
  <c r="D42" i="379"/>
  <c r="AN40" i="379"/>
  <c r="AM40" i="379"/>
  <c r="AI40" i="379"/>
  <c r="AE40" i="379"/>
  <c r="AA40" i="379"/>
  <c r="W40" i="379"/>
  <c r="S40" i="379"/>
  <c r="O40" i="379"/>
  <c r="K40" i="379"/>
  <c r="G40" i="379"/>
  <c r="AN39" i="379"/>
  <c r="AM39" i="379"/>
  <c r="AI39" i="379"/>
  <c r="AE39" i="379"/>
  <c r="AA39" i="379"/>
  <c r="W39" i="379"/>
  <c r="S39" i="379"/>
  <c r="O39" i="379"/>
  <c r="K39" i="379"/>
  <c r="G39" i="379"/>
  <c r="AM38" i="379"/>
  <c r="AI38" i="379"/>
  <c r="AE38" i="379"/>
  <c r="AA38" i="379"/>
  <c r="W38" i="379"/>
  <c r="S38" i="379"/>
  <c r="O38" i="379"/>
  <c r="K38" i="379"/>
  <c r="G38" i="379"/>
  <c r="AM37" i="379"/>
  <c r="AI37" i="379"/>
  <c r="AE37" i="379"/>
  <c r="AA37" i="379"/>
  <c r="W37" i="379"/>
  <c r="S37" i="379"/>
  <c r="O37" i="379"/>
  <c r="K37" i="379"/>
  <c r="G37" i="379"/>
  <c r="AM36" i="379"/>
  <c r="AI36" i="379"/>
  <c r="AE36" i="379"/>
  <c r="AA36" i="379"/>
  <c r="W36" i="379"/>
  <c r="S36" i="379"/>
  <c r="O36" i="379"/>
  <c r="K36" i="379"/>
  <c r="G36" i="379"/>
  <c r="AM35" i="379"/>
  <c r="AI35" i="379"/>
  <c r="AE35" i="379"/>
  <c r="AA35" i="379"/>
  <c r="W35" i="379"/>
  <c r="S35" i="379"/>
  <c r="O35" i="379"/>
  <c r="K35" i="379"/>
  <c r="G35" i="379"/>
  <c r="AM34" i="379"/>
  <c r="AI34" i="379"/>
  <c r="AE34" i="379"/>
  <c r="AA34" i="379"/>
  <c r="W34" i="379"/>
  <c r="S34" i="379"/>
  <c r="O34" i="379"/>
  <c r="K34" i="379"/>
  <c r="G34" i="379"/>
  <c r="AM33" i="379"/>
  <c r="AI33" i="379"/>
  <c r="AE33" i="379"/>
  <c r="AA33" i="379"/>
  <c r="W33" i="379"/>
  <c r="S33" i="379"/>
  <c r="O33" i="379"/>
  <c r="K33" i="379"/>
  <c r="G33" i="379"/>
  <c r="AM32" i="379"/>
  <c r="AI32" i="379"/>
  <c r="AE32" i="379"/>
  <c r="AA32" i="379"/>
  <c r="W32" i="379"/>
  <c r="S32" i="379"/>
  <c r="O32" i="379"/>
  <c r="K32" i="379"/>
  <c r="G32" i="379"/>
  <c r="AM31" i="379"/>
  <c r="AI31" i="379"/>
  <c r="AE31" i="379"/>
  <c r="AA31" i="379"/>
  <c r="W31" i="379"/>
  <c r="S31" i="379"/>
  <c r="O31" i="379"/>
  <c r="K31" i="379"/>
  <c r="G31" i="379"/>
  <c r="AM30" i="379"/>
  <c r="AI30" i="379"/>
  <c r="AE30" i="379"/>
  <c r="AA30" i="379"/>
  <c r="W30" i="379"/>
  <c r="S30" i="379"/>
  <c r="O30" i="379"/>
  <c r="K30" i="379"/>
  <c r="G30" i="379"/>
  <c r="AM29" i="379"/>
  <c r="AI29" i="379"/>
  <c r="AE29" i="379"/>
  <c r="AA29" i="379"/>
  <c r="W29" i="379"/>
  <c r="S29" i="379"/>
  <c r="O29" i="379"/>
  <c r="K29" i="379"/>
  <c r="G29" i="379"/>
  <c r="AM28" i="379"/>
  <c r="AI28" i="379"/>
  <c r="AE28" i="379"/>
  <c r="AA28" i="379"/>
  <c r="W28" i="379"/>
  <c r="S28" i="379"/>
  <c r="O28" i="379"/>
  <c r="K28" i="379"/>
  <c r="G28" i="379"/>
  <c r="AM27" i="379"/>
  <c r="AI27" i="379"/>
  <c r="AE27" i="379"/>
  <c r="AA27" i="379"/>
  <c r="W27" i="379"/>
  <c r="S27" i="379"/>
  <c r="O27" i="379"/>
  <c r="K27" i="379"/>
  <c r="G27" i="379"/>
  <c r="AM26" i="379"/>
  <c r="AI26" i="379"/>
  <c r="AE26" i="379"/>
  <c r="AA26" i="379"/>
  <c r="W26" i="379"/>
  <c r="S26" i="379"/>
  <c r="O26" i="379"/>
  <c r="K26" i="379"/>
  <c r="G26" i="379"/>
  <c r="AM25" i="379"/>
  <c r="AI25" i="379"/>
  <c r="AE25" i="379"/>
  <c r="AA25" i="379"/>
  <c r="W25" i="379"/>
  <c r="S25" i="379"/>
  <c r="O25" i="379"/>
  <c r="K25" i="379"/>
  <c r="G25" i="379"/>
  <c r="AM24" i="379"/>
  <c r="AI24" i="379"/>
  <c r="AE24" i="379"/>
  <c r="AA24" i="379"/>
  <c r="W24" i="379"/>
  <c r="S24" i="379"/>
  <c r="O24" i="379"/>
  <c r="K24" i="379"/>
  <c r="G24" i="379"/>
  <c r="AM23" i="379"/>
  <c r="AI23" i="379"/>
  <c r="AE23" i="379"/>
  <c r="AA23" i="379"/>
  <c r="W23" i="379"/>
  <c r="S23" i="379"/>
  <c r="O23" i="379"/>
  <c r="K23" i="379"/>
  <c r="G23" i="379"/>
  <c r="AM22" i="379"/>
  <c r="AI22" i="379"/>
  <c r="AE22" i="379"/>
  <c r="AA22" i="379"/>
  <c r="W22" i="379"/>
  <c r="S22" i="379"/>
  <c r="O22" i="379"/>
  <c r="K22" i="379"/>
  <c r="G22" i="379"/>
  <c r="AM21" i="379"/>
  <c r="AI21" i="379"/>
  <c r="AE21" i="379"/>
  <c r="AA21" i="379"/>
  <c r="W21" i="379"/>
  <c r="S21" i="379"/>
  <c r="O21" i="379"/>
  <c r="K21" i="379"/>
  <c r="G21" i="379"/>
  <c r="AM20" i="379"/>
  <c r="AI20" i="379"/>
  <c r="AE20" i="379"/>
  <c r="AA20" i="379"/>
  <c r="W20" i="379"/>
  <c r="S20" i="379"/>
  <c r="O20" i="379"/>
  <c r="K20" i="379"/>
  <c r="G20" i="379"/>
  <c r="AM19" i="379"/>
  <c r="AI19" i="379"/>
  <c r="AE19" i="379"/>
  <c r="AA19" i="379"/>
  <c r="W19" i="379"/>
  <c r="S19" i="379"/>
  <c r="O19" i="379"/>
  <c r="K19" i="379"/>
  <c r="G19" i="379"/>
  <c r="AM18" i="379"/>
  <c r="AI18" i="379"/>
  <c r="AE18" i="379"/>
  <c r="AA18" i="379"/>
  <c r="W18" i="379"/>
  <c r="S18" i="379"/>
  <c r="O18" i="379"/>
  <c r="K18" i="379"/>
  <c r="G18" i="379"/>
  <c r="AM17" i="379"/>
  <c r="AI17" i="379"/>
  <c r="AE17" i="379"/>
  <c r="AA17" i="379"/>
  <c r="W17" i="379"/>
  <c r="S17" i="379"/>
  <c r="O17" i="379"/>
  <c r="K17" i="379"/>
  <c r="G17" i="379"/>
  <c r="AM16" i="379"/>
  <c r="AI16" i="379"/>
  <c r="AE16" i="379"/>
  <c r="AA16" i="379"/>
  <c r="W16" i="379"/>
  <c r="S16" i="379"/>
  <c r="O16" i="379"/>
  <c r="K16" i="379"/>
  <c r="G16" i="379"/>
  <c r="AM15" i="379"/>
  <c r="AI15" i="379"/>
  <c r="AE15" i="379"/>
  <c r="AA15" i="379"/>
  <c r="W15" i="379"/>
  <c r="S15" i="379"/>
  <c r="O15" i="379"/>
  <c r="K15" i="379"/>
  <c r="G15" i="379"/>
  <c r="AM14" i="379"/>
  <c r="AI14" i="379"/>
  <c r="AE14" i="379"/>
  <c r="AA14" i="379"/>
  <c r="W14" i="379"/>
  <c r="S14" i="379"/>
  <c r="O14" i="379"/>
  <c r="K14" i="379"/>
  <c r="G14" i="379"/>
  <c r="AM13" i="379"/>
  <c r="AI13" i="379"/>
  <c r="AE13" i="379"/>
  <c r="AA13" i="379"/>
  <c r="W13" i="379"/>
  <c r="S13" i="379"/>
  <c r="O13" i="379"/>
  <c r="K13" i="379"/>
  <c r="G13" i="379"/>
  <c r="AM12" i="379"/>
  <c r="AI12" i="379"/>
  <c r="AE12" i="379"/>
  <c r="AA12" i="379"/>
  <c r="W12" i="379"/>
  <c r="S12" i="379"/>
  <c r="O12" i="379"/>
  <c r="K12" i="379"/>
  <c r="G12" i="379"/>
  <c r="AM11" i="379"/>
  <c r="AI11" i="379"/>
  <c r="AE11" i="379"/>
  <c r="AA11" i="379"/>
  <c r="W11" i="379"/>
  <c r="S11" i="379"/>
  <c r="O11" i="379"/>
  <c r="K11" i="379"/>
  <c r="G11" i="379"/>
  <c r="AM10" i="379"/>
  <c r="AI10" i="379"/>
  <c r="AE10" i="379"/>
  <c r="AA10" i="379"/>
  <c r="W10" i="379"/>
  <c r="S10" i="379"/>
  <c r="O10" i="379"/>
  <c r="K10" i="379"/>
  <c r="G10" i="379"/>
  <c r="AL7" i="379"/>
  <c r="AK7" i="379"/>
  <c r="AJ7" i="379"/>
  <c r="AH7" i="379"/>
  <c r="AG7" i="379"/>
  <c r="AF7" i="379"/>
  <c r="AD7" i="379"/>
  <c r="AC7" i="379"/>
  <c r="AB7" i="379"/>
  <c r="Z7" i="379"/>
  <c r="Y7" i="379"/>
  <c r="X7" i="379"/>
  <c r="V7" i="379"/>
  <c r="U7" i="379"/>
  <c r="T7" i="379"/>
  <c r="R7" i="379"/>
  <c r="Q7" i="379"/>
  <c r="P7" i="379"/>
  <c r="N7" i="379"/>
  <c r="M7" i="379"/>
  <c r="L7" i="379"/>
  <c r="J7" i="379"/>
  <c r="I7" i="379"/>
  <c r="H7" i="379"/>
  <c r="F7" i="379"/>
  <c r="E7" i="379"/>
  <c r="D7" i="379"/>
  <c r="AL6" i="379"/>
  <c r="AK6" i="379"/>
  <c r="AJ6" i="379"/>
  <c r="AH6" i="379"/>
  <c r="AG6" i="379"/>
  <c r="AF6" i="379"/>
  <c r="AD6" i="379"/>
  <c r="AC6" i="379"/>
  <c r="AB6" i="379"/>
  <c r="Z6" i="379"/>
  <c r="Y6" i="379"/>
  <c r="X6" i="379"/>
  <c r="V6" i="379"/>
  <c r="U6" i="379"/>
  <c r="T6" i="379"/>
  <c r="R6" i="379"/>
  <c r="Q6" i="379"/>
  <c r="P6" i="379"/>
  <c r="N6" i="379"/>
  <c r="M6" i="379"/>
  <c r="L6" i="379"/>
  <c r="J6" i="379"/>
  <c r="I6" i="379"/>
  <c r="H6" i="379"/>
  <c r="F6" i="379"/>
  <c r="E6" i="379"/>
  <c r="D6" i="379"/>
  <c r="J45" i="378"/>
  <c r="H45" i="378"/>
  <c r="G45" i="378"/>
  <c r="E45" i="378"/>
  <c r="D45" i="378"/>
  <c r="J44" i="378"/>
  <c r="H44" i="378"/>
  <c r="G44" i="378"/>
  <c r="E44" i="378"/>
  <c r="D44" i="378"/>
  <c r="J43" i="378"/>
  <c r="H43" i="378"/>
  <c r="G43" i="378"/>
  <c r="E43" i="378"/>
  <c r="D43" i="378"/>
  <c r="J42" i="378"/>
  <c r="H42" i="378"/>
  <c r="G42" i="378"/>
  <c r="E42" i="378"/>
  <c r="D42" i="378"/>
  <c r="I40" i="378"/>
  <c r="F40" i="378"/>
  <c r="I39" i="378"/>
  <c r="F39" i="378"/>
  <c r="I38" i="378"/>
  <c r="F38" i="378"/>
  <c r="N38" i="378" s="1"/>
  <c r="I37" i="378"/>
  <c r="F37" i="378"/>
  <c r="I36" i="378"/>
  <c r="F36" i="378"/>
  <c r="I35" i="378"/>
  <c r="F35" i="378"/>
  <c r="I34" i="378"/>
  <c r="F34" i="378"/>
  <c r="I33" i="378"/>
  <c r="F33" i="378"/>
  <c r="I32" i="378"/>
  <c r="F32" i="378"/>
  <c r="I31" i="378"/>
  <c r="F31" i="378"/>
  <c r="I30" i="378"/>
  <c r="F30" i="378"/>
  <c r="I29" i="378"/>
  <c r="F29" i="378"/>
  <c r="I28" i="378"/>
  <c r="F28" i="378"/>
  <c r="I27" i="378"/>
  <c r="F27" i="378"/>
  <c r="I26" i="378"/>
  <c r="F26" i="378"/>
  <c r="I25" i="378"/>
  <c r="F25" i="378"/>
  <c r="I24" i="378"/>
  <c r="F24" i="378"/>
  <c r="I23" i="378"/>
  <c r="F23" i="378"/>
  <c r="I22" i="378"/>
  <c r="F22" i="378"/>
  <c r="I21" i="378"/>
  <c r="F21" i="378"/>
  <c r="I20" i="378"/>
  <c r="F20" i="378"/>
  <c r="I19" i="378"/>
  <c r="F19" i="378"/>
  <c r="I18" i="378"/>
  <c r="F18" i="378"/>
  <c r="I17" i="378"/>
  <c r="F17" i="378"/>
  <c r="I16" i="378"/>
  <c r="F16" i="378"/>
  <c r="I15" i="378"/>
  <c r="F15" i="378"/>
  <c r="I14" i="378"/>
  <c r="F14" i="378"/>
  <c r="I13" i="378"/>
  <c r="F13" i="378"/>
  <c r="I12" i="378"/>
  <c r="F12" i="378"/>
  <c r="I11" i="378"/>
  <c r="F11" i="378"/>
  <c r="I10" i="378"/>
  <c r="F10" i="378"/>
  <c r="J7" i="378"/>
  <c r="H7" i="378"/>
  <c r="G7" i="378"/>
  <c r="E7" i="378"/>
  <c r="D7" i="378"/>
  <c r="J6" i="378"/>
  <c r="H6" i="378"/>
  <c r="G6" i="378"/>
  <c r="E6" i="378"/>
  <c r="D6" i="378"/>
  <c r="U29" i="294"/>
  <c r="AU27" i="294"/>
  <c r="AT27" i="294"/>
  <c r="AY26" i="294"/>
  <c r="AW26" i="294"/>
  <c r="AU26" i="294"/>
  <c r="AV26" i="294" s="1"/>
  <c r="AA26" i="294"/>
  <c r="X26" i="294"/>
  <c r="U26" i="294"/>
  <c r="R26" i="294"/>
  <c r="O26" i="294"/>
  <c r="L26" i="294"/>
  <c r="I26" i="294"/>
  <c r="AY25" i="294"/>
  <c r="AW25" i="294"/>
  <c r="AX25" i="294" s="1"/>
  <c r="AV25" i="294"/>
  <c r="AA25" i="294"/>
  <c r="X25" i="294"/>
  <c r="U25" i="294"/>
  <c r="R25" i="294"/>
  <c r="O25" i="294"/>
  <c r="L25" i="294"/>
  <c r="I25" i="294"/>
  <c r="AY24" i="294"/>
  <c r="AX24" i="294"/>
  <c r="AW24" i="294"/>
  <c r="AV24" i="294"/>
  <c r="AA24" i="294"/>
  <c r="X24" i="294"/>
  <c r="U24" i="294"/>
  <c r="R24" i="294"/>
  <c r="O24" i="294"/>
  <c r="L24" i="294"/>
  <c r="I24" i="294"/>
  <c r="AY23" i="294"/>
  <c r="AW23" i="294"/>
  <c r="AA23" i="294"/>
  <c r="X23" i="294"/>
  <c r="U23" i="294"/>
  <c r="R23" i="294"/>
  <c r="O23" i="294"/>
  <c r="L23" i="294"/>
  <c r="I23" i="294"/>
  <c r="AY22" i="294"/>
  <c r="AW22" i="294"/>
  <c r="AA22" i="294"/>
  <c r="X22" i="294"/>
  <c r="U22" i="294"/>
  <c r="R22" i="294"/>
  <c r="O22" i="294"/>
  <c r="L22" i="294"/>
  <c r="I22" i="294"/>
  <c r="AY21" i="294"/>
  <c r="AW21" i="294"/>
  <c r="AU21" i="294"/>
  <c r="AV22" i="294" s="1"/>
  <c r="AX22" i="294" s="1"/>
  <c r="AA21" i="294"/>
  <c r="X21" i="294"/>
  <c r="U21" i="294"/>
  <c r="R21" i="294"/>
  <c r="O21" i="294"/>
  <c r="L21" i="294"/>
  <c r="I21" i="294"/>
  <c r="AY20" i="294"/>
  <c r="AW20" i="294"/>
  <c r="AX20" i="294" s="1"/>
  <c r="AU20" i="294"/>
  <c r="AV20" i="294" s="1"/>
  <c r="AA20" i="294"/>
  <c r="X20" i="294"/>
  <c r="U20" i="294"/>
  <c r="R20" i="294"/>
  <c r="O20" i="294"/>
  <c r="L20" i="294"/>
  <c r="I20" i="294"/>
  <c r="AY19" i="294"/>
  <c r="AW19" i="294"/>
  <c r="AX19" i="294" s="1"/>
  <c r="AU19" i="294"/>
  <c r="AV19" i="294" s="1"/>
  <c r="AA19" i="294"/>
  <c r="X19" i="294"/>
  <c r="U19" i="294"/>
  <c r="R19" i="294"/>
  <c r="O19" i="294"/>
  <c r="L19" i="294"/>
  <c r="I19" i="294"/>
  <c r="AY18" i="294"/>
  <c r="AW18" i="294"/>
  <c r="AU18" i="294"/>
  <c r="AV18" i="294" s="1"/>
  <c r="AA18" i="294"/>
  <c r="X18" i="294"/>
  <c r="U18" i="294"/>
  <c r="R18" i="294"/>
  <c r="O18" i="294"/>
  <c r="L18" i="294"/>
  <c r="I18" i="294"/>
  <c r="AY17" i="294"/>
  <c r="AW17" i="294"/>
  <c r="AU17" i="294"/>
  <c r="AV17" i="294" s="1"/>
  <c r="AA17" i="294"/>
  <c r="X17" i="294"/>
  <c r="U17" i="294"/>
  <c r="R17" i="294"/>
  <c r="O17" i="294"/>
  <c r="L17" i="294"/>
  <c r="I17" i="294"/>
  <c r="AY16" i="294"/>
  <c r="AW16" i="294"/>
  <c r="AX16" i="294" s="1"/>
  <c r="AU16" i="294"/>
  <c r="AV16" i="294" s="1"/>
  <c r="AA16" i="294"/>
  <c r="X16" i="294"/>
  <c r="U16" i="294"/>
  <c r="R16" i="294"/>
  <c r="O16" i="294"/>
  <c r="L16" i="294"/>
  <c r="I16" i="294"/>
  <c r="AY15" i="294"/>
  <c r="AW15" i="294"/>
  <c r="AX15" i="294" s="1"/>
  <c r="AU15" i="294"/>
  <c r="AV15" i="294" s="1"/>
  <c r="AA15" i="294"/>
  <c r="X15" i="294"/>
  <c r="U15" i="294"/>
  <c r="R15" i="294"/>
  <c r="O15" i="294"/>
  <c r="L15" i="294"/>
  <c r="I15" i="294"/>
  <c r="K10" i="294"/>
  <c r="H10" i="294"/>
  <c r="AY9" i="294"/>
  <c r="AY10" i="294" s="1"/>
  <c r="I67" i="293"/>
  <c r="J67" i="293" s="1"/>
  <c r="K67" i="293" s="1"/>
  <c r="H67" i="293"/>
  <c r="K66" i="293"/>
  <c r="J66" i="293"/>
  <c r="J65" i="293"/>
  <c r="K65" i="293" s="1"/>
  <c r="J64" i="293"/>
  <c r="K64" i="293" s="1"/>
  <c r="J63" i="293"/>
  <c r="K63" i="293" s="1"/>
  <c r="K62" i="293"/>
  <c r="J62" i="293"/>
  <c r="J61" i="293"/>
  <c r="K61" i="293" s="1"/>
  <c r="J60" i="293"/>
  <c r="K60" i="293" s="1"/>
  <c r="J54" i="293"/>
  <c r="K54" i="293" s="1"/>
  <c r="L54" i="293" s="1"/>
  <c r="I54" i="293"/>
  <c r="H54" i="293"/>
  <c r="J53" i="293"/>
  <c r="K53" i="293" s="1"/>
  <c r="L53" i="293" s="1"/>
  <c r="J52" i="293"/>
  <c r="K52" i="293" s="1"/>
  <c r="L52" i="293" s="1"/>
  <c r="K51" i="293"/>
  <c r="L51" i="293" s="1"/>
  <c r="J51" i="293"/>
  <c r="K50" i="293"/>
  <c r="L50" i="293" s="1"/>
  <c r="J50" i="293"/>
  <c r="K49" i="293"/>
  <c r="L49" i="293" s="1"/>
  <c r="J49" i="293"/>
  <c r="J48" i="293"/>
  <c r="K48" i="293" s="1"/>
  <c r="L48" i="293" s="1"/>
  <c r="J47" i="293"/>
  <c r="K47" i="293" s="1"/>
  <c r="L47" i="293" s="1"/>
  <c r="J42" i="293"/>
  <c r="K42" i="293" s="1"/>
  <c r="L42" i="293" s="1"/>
  <c r="I42" i="293"/>
  <c r="H42" i="293"/>
  <c r="J41" i="293"/>
  <c r="K41" i="293" s="1"/>
  <c r="L41" i="293" s="1"/>
  <c r="J40" i="293"/>
  <c r="K40" i="293" s="1"/>
  <c r="L40" i="293" s="1"/>
  <c r="K39" i="293"/>
  <c r="L39" i="293" s="1"/>
  <c r="J39" i="293"/>
  <c r="J38" i="293"/>
  <c r="K38" i="293" s="1"/>
  <c r="L38" i="293" s="1"/>
  <c r="K37" i="293"/>
  <c r="L37" i="293" s="1"/>
  <c r="J37" i="293"/>
  <c r="L36" i="293"/>
  <c r="K36" i="293"/>
  <c r="J36" i="293"/>
  <c r="K35" i="293"/>
  <c r="L35" i="293" s="1"/>
  <c r="J35" i="293"/>
  <c r="I30" i="293"/>
  <c r="H30" i="293"/>
  <c r="J30" i="293" s="1"/>
  <c r="K30" i="293" s="1"/>
  <c r="J29" i="293"/>
  <c r="K29" i="293" s="1"/>
  <c r="K28" i="293"/>
  <c r="J28" i="293"/>
  <c r="K27" i="293"/>
  <c r="J27" i="293"/>
  <c r="K26" i="293"/>
  <c r="J26" i="293"/>
  <c r="J25" i="293"/>
  <c r="K25" i="293" s="1"/>
  <c r="K24" i="293"/>
  <c r="J24" i="293"/>
  <c r="K23" i="293"/>
  <c r="J23" i="293"/>
  <c r="I18" i="293"/>
  <c r="H18" i="293"/>
  <c r="J18" i="293" s="1"/>
  <c r="K18" i="293" s="1"/>
  <c r="K17" i="293"/>
  <c r="J17" i="293"/>
  <c r="K16" i="293"/>
  <c r="J16" i="293"/>
  <c r="J15" i="293"/>
  <c r="K15" i="293" s="1"/>
  <c r="J14" i="293"/>
  <c r="K14" i="293" s="1"/>
  <c r="K13" i="293"/>
  <c r="J13" i="293"/>
  <c r="K12" i="293"/>
  <c r="J12" i="293"/>
  <c r="J11" i="293"/>
  <c r="K11" i="293" s="1"/>
  <c r="AC57" i="292"/>
  <c r="Z57" i="292"/>
  <c r="W57" i="292"/>
  <c r="T57" i="292"/>
  <c r="Q57" i="292"/>
  <c r="N57" i="292"/>
  <c r="K57" i="292"/>
  <c r="H57" i="292"/>
  <c r="AC56" i="292"/>
  <c r="Z56" i="292"/>
  <c r="W56" i="292"/>
  <c r="T56" i="292"/>
  <c r="Q56" i="292"/>
  <c r="N56" i="292"/>
  <c r="K56" i="292"/>
  <c r="H56" i="292"/>
  <c r="AC55" i="292"/>
  <c r="Q55" i="292"/>
  <c r="N55" i="292"/>
  <c r="K55" i="292"/>
  <c r="H55" i="292"/>
  <c r="AC54" i="292"/>
  <c r="Q54" i="292"/>
  <c r="N54" i="292"/>
  <c r="K54" i="292"/>
  <c r="H54" i="292"/>
  <c r="AC53" i="292"/>
  <c r="Q53" i="292"/>
  <c r="N53" i="292"/>
  <c r="K53" i="292"/>
  <c r="H53" i="292"/>
  <c r="AC52" i="292"/>
  <c r="Z52" i="292"/>
  <c r="W52" i="292"/>
  <c r="T52" i="292"/>
  <c r="Q52" i="292"/>
  <c r="N52" i="292"/>
  <c r="K52" i="292"/>
  <c r="H52" i="292"/>
  <c r="AC51" i="292"/>
  <c r="Z51" i="292"/>
  <c r="W51" i="292"/>
  <c r="T51" i="292"/>
  <c r="Q51" i="292"/>
  <c r="N51" i="292"/>
  <c r="K51" i="292"/>
  <c r="H51" i="292"/>
  <c r="AC50" i="292"/>
  <c r="Z50" i="292"/>
  <c r="W50" i="292"/>
  <c r="T50" i="292"/>
  <c r="Q50" i="292"/>
  <c r="N50" i="292"/>
  <c r="K50" i="292"/>
  <c r="H50" i="292"/>
  <c r="AC49" i="292"/>
  <c r="Z49" i="292"/>
  <c r="W49" i="292"/>
  <c r="T49" i="292"/>
  <c r="Q49" i="292"/>
  <c r="N49" i="292"/>
  <c r="K49" i="292"/>
  <c r="H49" i="292"/>
  <c r="AC48" i="292"/>
  <c r="Z48" i="292"/>
  <c r="W48" i="292"/>
  <c r="T48" i="292"/>
  <c r="Q48" i="292"/>
  <c r="N48" i="292"/>
  <c r="K48" i="292"/>
  <c r="H48" i="292"/>
  <c r="AC47" i="292"/>
  <c r="Z47" i="292"/>
  <c r="W47" i="292"/>
  <c r="T47" i="292"/>
  <c r="Q47" i="292"/>
  <c r="N47" i="292"/>
  <c r="K47" i="292"/>
  <c r="H47" i="292"/>
  <c r="AC46" i="292"/>
  <c r="Z46" i="292"/>
  <c r="W46" i="292"/>
  <c r="T46" i="292"/>
  <c r="Q46" i="292"/>
  <c r="N46" i="292"/>
  <c r="K46" i="292"/>
  <c r="H46" i="292"/>
  <c r="AC45" i="292"/>
  <c r="Z45" i="292"/>
  <c r="W45" i="292"/>
  <c r="T45" i="292"/>
  <c r="Q45" i="292"/>
  <c r="N45" i="292"/>
  <c r="K45" i="292"/>
  <c r="H45" i="292"/>
  <c r="AC44" i="292"/>
  <c r="Z44" i="292"/>
  <c r="W44" i="292"/>
  <c r="T44" i="292"/>
  <c r="Q44" i="292"/>
  <c r="N44" i="292"/>
  <c r="K44" i="292"/>
  <c r="H44" i="292"/>
  <c r="AC43" i="292"/>
  <c r="Z43" i="292"/>
  <c r="W43" i="292"/>
  <c r="T43" i="292"/>
  <c r="Q43" i="292"/>
  <c r="N43" i="292"/>
  <c r="K43" i="292"/>
  <c r="H43" i="292"/>
  <c r="AC42" i="292"/>
  <c r="Z42" i="292"/>
  <c r="W42" i="292"/>
  <c r="T42" i="292"/>
  <c r="Q42" i="292"/>
  <c r="N42" i="292"/>
  <c r="K42" i="292"/>
  <c r="H42" i="292"/>
  <c r="AC41" i="292"/>
  <c r="Z41" i="292"/>
  <c r="W41" i="292"/>
  <c r="T41" i="292"/>
  <c r="Q41" i="292"/>
  <c r="N41" i="292"/>
  <c r="K41" i="292"/>
  <c r="H41" i="292"/>
  <c r="AC40" i="292"/>
  <c r="Z40" i="292"/>
  <c r="W40" i="292"/>
  <c r="T40" i="292"/>
  <c r="Q40" i="292"/>
  <c r="N40" i="292"/>
  <c r="K40" i="292"/>
  <c r="H40" i="292"/>
  <c r="AC39" i="292"/>
  <c r="Z39" i="292"/>
  <c r="W39" i="292"/>
  <c r="T39" i="292"/>
  <c r="Q39" i="292"/>
  <c r="N39" i="292"/>
  <c r="K39" i="292"/>
  <c r="H39" i="292"/>
  <c r="AC38" i="292"/>
  <c r="Z38" i="292"/>
  <c r="W38" i="292"/>
  <c r="T38" i="292"/>
  <c r="Q38" i="292"/>
  <c r="N38" i="292"/>
  <c r="K38" i="292"/>
  <c r="H38" i="292"/>
  <c r="AC37" i="292"/>
  <c r="Z37" i="292"/>
  <c r="W37" i="292"/>
  <c r="T37" i="292"/>
  <c r="Q37" i="292"/>
  <c r="N37" i="292"/>
  <c r="K37" i="292"/>
  <c r="H37" i="292"/>
  <c r="AC36" i="292"/>
  <c r="Z36" i="292"/>
  <c r="W36" i="292"/>
  <c r="T36" i="292"/>
  <c r="Q36" i="292"/>
  <c r="N36" i="292"/>
  <c r="K36" i="292"/>
  <c r="H36" i="292"/>
  <c r="AC35" i="292"/>
  <c r="Z35" i="292"/>
  <c r="W35" i="292"/>
  <c r="T35" i="292"/>
  <c r="Q35" i="292"/>
  <c r="N35" i="292"/>
  <c r="K35" i="292"/>
  <c r="H35" i="292"/>
  <c r="AC34" i="292"/>
  <c r="Q34" i="292"/>
  <c r="N34" i="292"/>
  <c r="K34" i="292"/>
  <c r="H34" i="292"/>
  <c r="AC33" i="292"/>
  <c r="Z33" i="292"/>
  <c r="W33" i="292"/>
  <c r="T33" i="292"/>
  <c r="Q33" i="292"/>
  <c r="N33" i="292"/>
  <c r="K33" i="292"/>
  <c r="H33" i="292"/>
  <c r="Q32" i="292"/>
  <c r="N32" i="292"/>
  <c r="K32" i="292"/>
  <c r="H32" i="292"/>
  <c r="AC31" i="292"/>
  <c r="Z31" i="292"/>
  <c r="W31" i="292"/>
  <c r="T31" i="292"/>
  <c r="Q31" i="292"/>
  <c r="N31" i="292"/>
  <c r="K31" i="292"/>
  <c r="H31" i="292"/>
  <c r="AC30" i="292"/>
  <c r="Z30" i="292"/>
  <c r="W30" i="292"/>
  <c r="T30" i="292"/>
  <c r="Q30" i="292"/>
  <c r="N30" i="292"/>
  <c r="K30" i="292"/>
  <c r="H30" i="292"/>
  <c r="AC29" i="292"/>
  <c r="Z29" i="292"/>
  <c r="W29" i="292"/>
  <c r="T29" i="292"/>
  <c r="Q29" i="292"/>
  <c r="N29" i="292"/>
  <c r="K29" i="292"/>
  <c r="H29" i="292"/>
  <c r="AC28" i="292"/>
  <c r="Z28" i="292"/>
  <c r="W28" i="292"/>
  <c r="T28" i="292"/>
  <c r="Q28" i="292"/>
  <c r="N28" i="292"/>
  <c r="K28" i="292"/>
  <c r="H28" i="292"/>
  <c r="AC27" i="292"/>
  <c r="Z27" i="292"/>
  <c r="W27" i="292"/>
  <c r="T27" i="292"/>
  <c r="Q27" i="292"/>
  <c r="N27" i="292"/>
  <c r="K27" i="292"/>
  <c r="H27" i="292"/>
  <c r="AC26" i="292"/>
  <c r="Z26" i="292"/>
  <c r="W26" i="292"/>
  <c r="T26" i="292"/>
  <c r="Q26" i="292"/>
  <c r="N26" i="292"/>
  <c r="K26" i="292"/>
  <c r="H26" i="292"/>
  <c r="AC25" i="292"/>
  <c r="Z25" i="292"/>
  <c r="W25" i="292"/>
  <c r="T25" i="292"/>
  <c r="Q25" i="292"/>
  <c r="N25" i="292"/>
  <c r="K25" i="292"/>
  <c r="H25" i="292"/>
  <c r="AB23" i="292"/>
  <c r="AC23" i="292" s="1"/>
  <c r="Z23" i="292"/>
  <c r="W23" i="292"/>
  <c r="V23" i="292"/>
  <c r="T23" i="292"/>
  <c r="S23" i="292"/>
  <c r="Q23" i="292"/>
  <c r="N23" i="292"/>
  <c r="K23" i="292"/>
  <c r="H23" i="292"/>
  <c r="E23" i="292"/>
  <c r="AC22" i="292"/>
  <c r="Z22" i="292"/>
  <c r="W22" i="292"/>
  <c r="T22" i="292"/>
  <c r="Q22" i="292"/>
  <c r="N22" i="292"/>
  <c r="K22" i="292"/>
  <c r="H22" i="292"/>
  <c r="AC21" i="292"/>
  <c r="Z21" i="292"/>
  <c r="W21" i="292"/>
  <c r="T21" i="292"/>
  <c r="Q21" i="292"/>
  <c r="N21" i="292"/>
  <c r="K21" i="292"/>
  <c r="H21" i="292"/>
  <c r="AC20" i="292"/>
  <c r="Z20" i="292"/>
  <c r="W20" i="292"/>
  <c r="T20" i="292"/>
  <c r="Q20" i="292"/>
  <c r="N20" i="292"/>
  <c r="K20" i="292"/>
  <c r="H20" i="292"/>
  <c r="AC19" i="292"/>
  <c r="Z19" i="292"/>
  <c r="W19" i="292"/>
  <c r="T19" i="292"/>
  <c r="Q19" i="292"/>
  <c r="N19" i="292"/>
  <c r="K19" i="292"/>
  <c r="H19" i="292"/>
  <c r="AC18" i="292"/>
  <c r="Q18" i="292"/>
  <c r="N18" i="292"/>
  <c r="K18" i="292"/>
  <c r="H18" i="292"/>
  <c r="AC17" i="292"/>
  <c r="Z17" i="292"/>
  <c r="W17" i="292"/>
  <c r="T17" i="292"/>
  <c r="Q17" i="292"/>
  <c r="N17" i="292"/>
  <c r="K17" i="292"/>
  <c r="H17" i="292"/>
  <c r="AC16" i="292"/>
  <c r="Z16" i="292"/>
  <c r="W16" i="292"/>
  <c r="T16" i="292"/>
  <c r="Q16" i="292"/>
  <c r="N16" i="292"/>
  <c r="K16" i="292"/>
  <c r="H16" i="292"/>
  <c r="AC15" i="292"/>
  <c r="Q15" i="292"/>
  <c r="N15" i="292"/>
  <c r="K15" i="292"/>
  <c r="H15" i="292"/>
  <c r="AC14" i="292"/>
  <c r="Z14" i="292"/>
  <c r="W14" i="292"/>
  <c r="T14" i="292"/>
  <c r="Q14" i="292"/>
  <c r="N14" i="292"/>
  <c r="K14" i="292"/>
  <c r="H14" i="292"/>
  <c r="AC13" i="292"/>
  <c r="Z13" i="292"/>
  <c r="W13" i="292"/>
  <c r="T13" i="292"/>
  <c r="Q13" i="292"/>
  <c r="N13" i="292"/>
  <c r="K13" i="292"/>
  <c r="H13" i="292"/>
  <c r="AC12" i="292"/>
  <c r="Z12" i="292"/>
  <c r="W12" i="292"/>
  <c r="T12" i="292"/>
  <c r="Q12" i="292"/>
  <c r="N12" i="292"/>
  <c r="K12" i="292"/>
  <c r="H12" i="292"/>
  <c r="P158" i="136"/>
  <c r="N158" i="136"/>
  <c r="L158" i="136"/>
  <c r="J158" i="136"/>
  <c r="H158" i="136"/>
  <c r="F158" i="136"/>
  <c r="P157" i="136"/>
  <c r="N157" i="136"/>
  <c r="L157" i="136"/>
  <c r="J157" i="136"/>
  <c r="H157" i="136"/>
  <c r="F157" i="136"/>
  <c r="P156" i="136"/>
  <c r="N156" i="136"/>
  <c r="L156" i="136"/>
  <c r="J156" i="136"/>
  <c r="H156" i="136"/>
  <c r="F156" i="136"/>
  <c r="N130" i="136"/>
  <c r="L130" i="136"/>
  <c r="J130" i="136"/>
  <c r="H130" i="136"/>
  <c r="F130" i="136"/>
  <c r="N129" i="136"/>
  <c r="L129" i="136"/>
  <c r="J129" i="136"/>
  <c r="H129" i="136"/>
  <c r="F129" i="136"/>
  <c r="N128" i="136"/>
  <c r="L128" i="136"/>
  <c r="J128" i="136"/>
  <c r="H128" i="136"/>
  <c r="F128" i="136"/>
  <c r="P123" i="136"/>
  <c r="N123" i="136"/>
  <c r="L123" i="136"/>
  <c r="J123" i="136"/>
  <c r="H123" i="136"/>
  <c r="F123" i="136"/>
  <c r="P122" i="136"/>
  <c r="N122" i="136"/>
  <c r="L122" i="136"/>
  <c r="J122" i="136"/>
  <c r="H122" i="136"/>
  <c r="F122" i="136"/>
  <c r="P121" i="136"/>
  <c r="N121" i="136"/>
  <c r="L121" i="136"/>
  <c r="J121" i="136"/>
  <c r="H121" i="136"/>
  <c r="F121" i="136"/>
  <c r="J116" i="136"/>
  <c r="H116" i="136"/>
  <c r="F116" i="136"/>
  <c r="J115" i="136"/>
  <c r="H115" i="136"/>
  <c r="F115" i="136"/>
  <c r="J114" i="136"/>
  <c r="H114" i="136"/>
  <c r="F114" i="136"/>
  <c r="J109" i="136"/>
  <c r="H109" i="136"/>
  <c r="F109" i="136"/>
  <c r="J108" i="136"/>
  <c r="H108" i="136"/>
  <c r="F108" i="136"/>
  <c r="J107" i="136"/>
  <c r="H107" i="136"/>
  <c r="F107" i="136"/>
  <c r="N95" i="136"/>
  <c r="L95" i="136"/>
  <c r="J95" i="136"/>
  <c r="H95" i="136"/>
  <c r="F95" i="136"/>
  <c r="N94" i="136"/>
  <c r="L94" i="136"/>
  <c r="J94" i="136"/>
  <c r="H94" i="136"/>
  <c r="F94" i="136"/>
  <c r="N93" i="136"/>
  <c r="L93" i="136"/>
  <c r="J93" i="136"/>
  <c r="H93" i="136"/>
  <c r="F93" i="136"/>
  <c r="L11" i="210"/>
  <c r="G11" i="210"/>
  <c r="L10" i="210"/>
  <c r="G10" i="210"/>
  <c r="L9" i="210"/>
  <c r="G9" i="210"/>
  <c r="L8" i="210"/>
  <c r="G8" i="210"/>
  <c r="L7" i="210"/>
  <c r="G7" i="210"/>
  <c r="L6" i="210"/>
  <c r="G6" i="210"/>
  <c r="L5" i="210"/>
  <c r="G5" i="210"/>
  <c r="L4" i="210"/>
  <c r="G4" i="210"/>
  <c r="I247" i="348"/>
  <c r="H247" i="348"/>
  <c r="G247" i="348"/>
  <c r="F247" i="348"/>
  <c r="I246" i="348"/>
  <c r="H246" i="348"/>
  <c r="G246" i="348"/>
  <c r="F246" i="348"/>
  <c r="I245" i="348"/>
  <c r="H245" i="348"/>
  <c r="G245" i="348"/>
  <c r="F245" i="348"/>
  <c r="I244" i="348"/>
  <c r="H244" i="348"/>
  <c r="G244" i="348"/>
  <c r="F244" i="348"/>
  <c r="I243" i="348"/>
  <c r="H243" i="348"/>
  <c r="G243" i="348"/>
  <c r="F243" i="348"/>
  <c r="I242" i="348"/>
  <c r="H242" i="348"/>
  <c r="G242" i="348"/>
  <c r="F242" i="348"/>
  <c r="I241" i="348"/>
  <c r="H241" i="348"/>
  <c r="G241" i="348"/>
  <c r="F241" i="348"/>
  <c r="I240" i="348"/>
  <c r="H240" i="348"/>
  <c r="G240" i="348"/>
  <c r="F240" i="348"/>
  <c r="I239" i="348"/>
  <c r="H239" i="348"/>
  <c r="G239" i="348"/>
  <c r="F239" i="348"/>
  <c r="I238" i="348"/>
  <c r="H238" i="348"/>
  <c r="G238" i="348"/>
  <c r="F238" i="348"/>
  <c r="I237" i="348"/>
  <c r="H237" i="348"/>
  <c r="G237" i="348"/>
  <c r="F237" i="348"/>
  <c r="I236" i="348"/>
  <c r="H236" i="348"/>
  <c r="G236" i="348"/>
  <c r="F236" i="348"/>
  <c r="I235" i="348"/>
  <c r="H235" i="348"/>
  <c r="G235" i="348"/>
  <c r="F235" i="348"/>
  <c r="I234" i="348"/>
  <c r="H234" i="348"/>
  <c r="G234" i="348"/>
  <c r="F234" i="348"/>
  <c r="I233" i="348"/>
  <c r="H233" i="348"/>
  <c r="G233" i="348"/>
  <c r="F233" i="348"/>
  <c r="I232" i="348"/>
  <c r="H232" i="348"/>
  <c r="G232" i="348"/>
  <c r="F232" i="348"/>
  <c r="I231" i="348"/>
  <c r="H231" i="348"/>
  <c r="G231" i="348"/>
  <c r="F231" i="348"/>
  <c r="I230" i="348"/>
  <c r="H230" i="348"/>
  <c r="G230" i="348"/>
  <c r="F230" i="348"/>
  <c r="I229" i="348"/>
  <c r="H229" i="348"/>
  <c r="G229" i="348"/>
  <c r="F229" i="348"/>
  <c r="I228" i="348"/>
  <c r="H228" i="348"/>
  <c r="G228" i="348"/>
  <c r="F228" i="348"/>
  <c r="I227" i="348"/>
  <c r="H227" i="348"/>
  <c r="G227" i="348"/>
  <c r="F227" i="348"/>
  <c r="I226" i="348"/>
  <c r="H226" i="348"/>
  <c r="G226" i="348"/>
  <c r="F226" i="348"/>
  <c r="I225" i="348"/>
  <c r="H225" i="348"/>
  <c r="G225" i="348"/>
  <c r="F225" i="348"/>
  <c r="I224" i="348"/>
  <c r="H224" i="348"/>
  <c r="G224" i="348"/>
  <c r="F224" i="348"/>
  <c r="I223" i="348"/>
  <c r="H223" i="348"/>
  <c r="G223" i="348"/>
  <c r="F223" i="348"/>
  <c r="I222" i="348"/>
  <c r="H222" i="348"/>
  <c r="G222" i="348"/>
  <c r="F222" i="348"/>
  <c r="I221" i="348"/>
  <c r="H221" i="348"/>
  <c r="G221" i="348"/>
  <c r="F221" i="348"/>
  <c r="I220" i="348"/>
  <c r="H220" i="348"/>
  <c r="G220" i="348"/>
  <c r="F220" i="348"/>
  <c r="I219" i="348"/>
  <c r="H219" i="348"/>
  <c r="G219" i="348"/>
  <c r="F219" i="348"/>
  <c r="I218" i="348"/>
  <c r="H218" i="348"/>
  <c r="G218" i="348"/>
  <c r="F218" i="348"/>
  <c r="I217" i="348"/>
  <c r="H217" i="348"/>
  <c r="G217" i="348"/>
  <c r="F217" i="348"/>
  <c r="I216" i="348"/>
  <c r="H216" i="348"/>
  <c r="G216" i="348"/>
  <c r="F216" i="348"/>
  <c r="I215" i="348"/>
  <c r="H215" i="348"/>
  <c r="G215" i="348"/>
  <c r="F215" i="348"/>
  <c r="I214" i="348"/>
  <c r="H214" i="348"/>
  <c r="G214" i="348"/>
  <c r="F214" i="348"/>
  <c r="I213" i="348"/>
  <c r="H213" i="348"/>
  <c r="G213" i="348"/>
  <c r="F213" i="348"/>
  <c r="I212" i="348"/>
  <c r="H212" i="348"/>
  <c r="G212" i="348"/>
  <c r="F212" i="348"/>
  <c r="I211" i="348"/>
  <c r="H211" i="348"/>
  <c r="G211" i="348"/>
  <c r="F211" i="348"/>
  <c r="I210" i="348"/>
  <c r="H210" i="348"/>
  <c r="G210" i="348"/>
  <c r="F210" i="348"/>
  <c r="I209" i="348"/>
  <c r="H209" i="348"/>
  <c r="G209" i="348"/>
  <c r="F209" i="348"/>
  <c r="I208" i="348"/>
  <c r="H208" i="348"/>
  <c r="G208" i="348"/>
  <c r="F208" i="348"/>
  <c r="I207" i="348"/>
  <c r="H207" i="348"/>
  <c r="G207" i="348"/>
  <c r="F207" i="348"/>
  <c r="I206" i="348"/>
  <c r="H206" i="348"/>
  <c r="G206" i="348"/>
  <c r="F206" i="348"/>
  <c r="I205" i="348"/>
  <c r="H205" i="348"/>
  <c r="G205" i="348"/>
  <c r="F205" i="348"/>
  <c r="I204" i="348"/>
  <c r="H204" i="348"/>
  <c r="G204" i="348"/>
  <c r="F204" i="348"/>
  <c r="I203" i="348"/>
  <c r="H203" i="348"/>
  <c r="G203" i="348"/>
  <c r="F203" i="348"/>
  <c r="I202" i="348"/>
  <c r="H202" i="348"/>
  <c r="G202" i="348"/>
  <c r="F202" i="348"/>
  <c r="I201" i="348"/>
  <c r="H201" i="348"/>
  <c r="G201" i="348"/>
  <c r="F201" i="348"/>
  <c r="I200" i="348"/>
  <c r="H200" i="348"/>
  <c r="G200" i="348"/>
  <c r="F200" i="348"/>
  <c r="I199" i="348"/>
  <c r="H199" i="348"/>
  <c r="G199" i="348"/>
  <c r="F199" i="348"/>
  <c r="I198" i="348"/>
  <c r="H198" i="348"/>
  <c r="G198" i="348"/>
  <c r="F198" i="348"/>
  <c r="I197" i="348"/>
  <c r="H197" i="348"/>
  <c r="G197" i="348"/>
  <c r="F197" i="348"/>
  <c r="I196" i="348"/>
  <c r="H196" i="348"/>
  <c r="G196" i="348"/>
  <c r="F196" i="348"/>
  <c r="I195" i="348"/>
  <c r="H195" i="348"/>
  <c r="G195" i="348"/>
  <c r="F195" i="348"/>
  <c r="I194" i="348"/>
  <c r="H194" i="348"/>
  <c r="G194" i="348"/>
  <c r="F194" i="348"/>
  <c r="I193" i="348"/>
  <c r="H193" i="348"/>
  <c r="G193" i="348"/>
  <c r="F193" i="348"/>
  <c r="I192" i="348"/>
  <c r="H192" i="348"/>
  <c r="G192" i="348"/>
  <c r="F192" i="348"/>
  <c r="I191" i="348"/>
  <c r="H191" i="348"/>
  <c r="G191" i="348"/>
  <c r="F191" i="348"/>
  <c r="I190" i="348"/>
  <c r="H190" i="348"/>
  <c r="G190" i="348"/>
  <c r="F190" i="348"/>
  <c r="I189" i="348"/>
  <c r="H189" i="348"/>
  <c r="G189" i="348"/>
  <c r="F189" i="348"/>
  <c r="I188" i="348"/>
  <c r="H188" i="348"/>
  <c r="G188" i="348"/>
  <c r="F188" i="348"/>
  <c r="I187" i="348"/>
  <c r="H187" i="348"/>
  <c r="G187" i="348"/>
  <c r="F187" i="348"/>
  <c r="I186" i="348"/>
  <c r="H186" i="348"/>
  <c r="G186" i="348"/>
  <c r="F186" i="348"/>
  <c r="I185" i="348"/>
  <c r="H185" i="348"/>
  <c r="G185" i="348"/>
  <c r="F185" i="348"/>
  <c r="I184" i="348"/>
  <c r="H184" i="348"/>
  <c r="G184" i="348"/>
  <c r="F184" i="348"/>
  <c r="I183" i="348"/>
  <c r="H183" i="348"/>
  <c r="G183" i="348"/>
  <c r="F183" i="348"/>
  <c r="I182" i="348"/>
  <c r="H182" i="348"/>
  <c r="G182" i="348"/>
  <c r="F182" i="348"/>
  <c r="I181" i="348"/>
  <c r="H181" i="348"/>
  <c r="G181" i="348"/>
  <c r="F181" i="348"/>
  <c r="I180" i="348"/>
  <c r="H180" i="348"/>
  <c r="G180" i="348"/>
  <c r="F180" i="348"/>
  <c r="I179" i="348"/>
  <c r="H179" i="348"/>
  <c r="G179" i="348"/>
  <c r="F179" i="348"/>
  <c r="I178" i="348"/>
  <c r="H178" i="348"/>
  <c r="G178" i="348"/>
  <c r="F178" i="348"/>
  <c r="I177" i="348"/>
  <c r="H177" i="348"/>
  <c r="G177" i="348"/>
  <c r="F177" i="348"/>
  <c r="I176" i="348"/>
  <c r="H176" i="348"/>
  <c r="G176" i="348"/>
  <c r="F176" i="348"/>
  <c r="I175" i="348"/>
  <c r="H175" i="348"/>
  <c r="G175" i="348"/>
  <c r="F175" i="348"/>
  <c r="I174" i="348"/>
  <c r="H174" i="348"/>
  <c r="G174" i="348"/>
  <c r="F174" i="348"/>
  <c r="I173" i="348"/>
  <c r="H173" i="348"/>
  <c r="G173" i="348"/>
  <c r="F173" i="348"/>
  <c r="I172" i="348"/>
  <c r="H172" i="348"/>
  <c r="G172" i="348"/>
  <c r="F172" i="348"/>
  <c r="I171" i="348"/>
  <c r="H171" i="348"/>
  <c r="G171" i="348"/>
  <c r="F171" i="348"/>
  <c r="I170" i="348"/>
  <c r="H170" i="348"/>
  <c r="G170" i="348"/>
  <c r="F170" i="348"/>
  <c r="I169" i="348"/>
  <c r="H169" i="348"/>
  <c r="G169" i="348"/>
  <c r="F169" i="348"/>
  <c r="I168" i="348"/>
  <c r="H168" i="348"/>
  <c r="G168" i="348"/>
  <c r="F168" i="348"/>
  <c r="I167" i="348"/>
  <c r="H167" i="348"/>
  <c r="G167" i="348"/>
  <c r="F167" i="348"/>
  <c r="I166" i="348"/>
  <c r="H166" i="348"/>
  <c r="G166" i="348"/>
  <c r="F166" i="348"/>
  <c r="I165" i="348"/>
  <c r="H165" i="348"/>
  <c r="G165" i="348"/>
  <c r="F165" i="348"/>
  <c r="I164" i="348"/>
  <c r="H164" i="348"/>
  <c r="G164" i="348"/>
  <c r="F164" i="348"/>
  <c r="I163" i="348"/>
  <c r="H163" i="348"/>
  <c r="G163" i="348"/>
  <c r="F163" i="348"/>
  <c r="I162" i="348"/>
  <c r="H162" i="348"/>
  <c r="G162" i="348"/>
  <c r="F162" i="348"/>
  <c r="I161" i="348"/>
  <c r="H161" i="348"/>
  <c r="G161" i="348"/>
  <c r="F161" i="348"/>
  <c r="I160" i="348"/>
  <c r="H160" i="348"/>
  <c r="G160" i="348"/>
  <c r="F160" i="348"/>
  <c r="I159" i="348"/>
  <c r="H159" i="348"/>
  <c r="G159" i="348"/>
  <c r="F159" i="348"/>
  <c r="I158" i="348"/>
  <c r="H158" i="348"/>
  <c r="G158" i="348"/>
  <c r="F158" i="348"/>
  <c r="I157" i="348"/>
  <c r="H157" i="348"/>
  <c r="G157" i="348"/>
  <c r="F157" i="348"/>
  <c r="I156" i="348"/>
  <c r="H156" i="348"/>
  <c r="G156" i="348"/>
  <c r="F156" i="348"/>
  <c r="I155" i="348"/>
  <c r="H155" i="348"/>
  <c r="G155" i="348"/>
  <c r="F155" i="348"/>
  <c r="I154" i="348"/>
  <c r="H154" i="348"/>
  <c r="G154" i="348"/>
  <c r="F154" i="348"/>
  <c r="I153" i="348"/>
  <c r="H153" i="348"/>
  <c r="G153" i="348"/>
  <c r="F153" i="348"/>
  <c r="I152" i="348"/>
  <c r="H152" i="348"/>
  <c r="G152" i="348"/>
  <c r="F152" i="348"/>
  <c r="I151" i="348"/>
  <c r="H151" i="348"/>
  <c r="G151" i="348"/>
  <c r="F151" i="348"/>
  <c r="I150" i="348"/>
  <c r="H150" i="348"/>
  <c r="G150" i="348"/>
  <c r="F150" i="348"/>
  <c r="I149" i="348"/>
  <c r="H149" i="348"/>
  <c r="G149" i="348"/>
  <c r="F149" i="348"/>
  <c r="I148" i="348"/>
  <c r="H148" i="348"/>
  <c r="G148" i="348"/>
  <c r="F148" i="348"/>
  <c r="I147" i="348"/>
  <c r="H147" i="348"/>
  <c r="G147" i="348"/>
  <c r="F147" i="348"/>
  <c r="I146" i="348"/>
  <c r="H146" i="348"/>
  <c r="G146" i="348"/>
  <c r="F146" i="348"/>
  <c r="I145" i="348"/>
  <c r="H145" i="348"/>
  <c r="G145" i="348"/>
  <c r="F145" i="348"/>
  <c r="I144" i="348"/>
  <c r="H144" i="348"/>
  <c r="G144" i="348"/>
  <c r="F144" i="348"/>
  <c r="I143" i="348"/>
  <c r="H143" i="348"/>
  <c r="G143" i="348"/>
  <c r="F143" i="348"/>
  <c r="I142" i="348"/>
  <c r="H142" i="348"/>
  <c r="G142" i="348"/>
  <c r="F142" i="348"/>
  <c r="I141" i="348"/>
  <c r="H141" i="348"/>
  <c r="G141" i="348"/>
  <c r="F141" i="348"/>
  <c r="I140" i="348"/>
  <c r="H140" i="348"/>
  <c r="G140" i="348"/>
  <c r="F140" i="348"/>
  <c r="I139" i="348"/>
  <c r="H139" i="348"/>
  <c r="G139" i="348"/>
  <c r="F139" i="348"/>
  <c r="I138" i="348"/>
  <c r="H138" i="348"/>
  <c r="G138" i="348"/>
  <c r="F138" i="348"/>
  <c r="I137" i="348"/>
  <c r="H137" i="348"/>
  <c r="G137" i="348"/>
  <c r="F137" i="348"/>
  <c r="I136" i="348"/>
  <c r="H136" i="348"/>
  <c r="G136" i="348"/>
  <c r="F136" i="348"/>
  <c r="I135" i="348"/>
  <c r="H135" i="348"/>
  <c r="G135" i="348"/>
  <c r="F135" i="348"/>
  <c r="I134" i="348"/>
  <c r="H134" i="348"/>
  <c r="G134" i="348"/>
  <c r="F134" i="348"/>
  <c r="I133" i="348"/>
  <c r="H133" i="348"/>
  <c r="G133" i="348"/>
  <c r="F133" i="348"/>
  <c r="I132" i="348"/>
  <c r="H132" i="348"/>
  <c r="G132" i="348"/>
  <c r="F132" i="348"/>
  <c r="I131" i="348"/>
  <c r="H131" i="348"/>
  <c r="G131" i="348"/>
  <c r="F131" i="348"/>
  <c r="I130" i="348"/>
  <c r="H130" i="348"/>
  <c r="G130" i="348"/>
  <c r="F130" i="348"/>
  <c r="I129" i="348"/>
  <c r="H129" i="348"/>
  <c r="G129" i="348"/>
  <c r="F129" i="348"/>
  <c r="I128" i="348"/>
  <c r="H128" i="348"/>
  <c r="G128" i="348"/>
  <c r="F128" i="348"/>
  <c r="I127" i="348"/>
  <c r="H127" i="348"/>
  <c r="G127" i="348"/>
  <c r="F127" i="348"/>
  <c r="I126" i="348"/>
  <c r="H126" i="348"/>
  <c r="G126" i="348"/>
  <c r="F126" i="348"/>
  <c r="I125" i="348"/>
  <c r="H125" i="348"/>
  <c r="G125" i="348"/>
  <c r="F125" i="348"/>
  <c r="I124" i="348"/>
  <c r="H124" i="348"/>
  <c r="G124" i="348"/>
  <c r="F124" i="348"/>
  <c r="I123" i="348"/>
  <c r="H123" i="348"/>
  <c r="G123" i="348"/>
  <c r="F123" i="348"/>
  <c r="I122" i="348"/>
  <c r="H122" i="348"/>
  <c r="G122" i="348"/>
  <c r="F122" i="348"/>
  <c r="I121" i="348"/>
  <c r="H121" i="348"/>
  <c r="G121" i="348"/>
  <c r="F121" i="348"/>
  <c r="I120" i="348"/>
  <c r="H120" i="348"/>
  <c r="G120" i="348"/>
  <c r="F120" i="348"/>
  <c r="I119" i="348"/>
  <c r="H119" i="348"/>
  <c r="G119" i="348"/>
  <c r="F119" i="348"/>
  <c r="I118" i="348"/>
  <c r="H118" i="348"/>
  <c r="G118" i="348"/>
  <c r="F118" i="348"/>
  <c r="I117" i="348"/>
  <c r="H117" i="348"/>
  <c r="G117" i="348"/>
  <c r="F117" i="348"/>
  <c r="I116" i="348"/>
  <c r="H116" i="348"/>
  <c r="G116" i="348"/>
  <c r="F116" i="348"/>
  <c r="I115" i="348"/>
  <c r="H115" i="348"/>
  <c r="G115" i="348"/>
  <c r="F115" i="348"/>
  <c r="I114" i="348"/>
  <c r="H114" i="348"/>
  <c r="G114" i="348"/>
  <c r="F114" i="348"/>
  <c r="I113" i="348"/>
  <c r="H113" i="348"/>
  <c r="G113" i="348"/>
  <c r="F113" i="348"/>
  <c r="I112" i="348"/>
  <c r="H112" i="348"/>
  <c r="G112" i="348"/>
  <c r="F112" i="348"/>
  <c r="I111" i="348"/>
  <c r="H111" i="348"/>
  <c r="G111" i="348"/>
  <c r="F111" i="348"/>
  <c r="I110" i="348"/>
  <c r="H110" i="348"/>
  <c r="G110" i="348"/>
  <c r="F110" i="348"/>
  <c r="I109" i="348"/>
  <c r="H109" i="348"/>
  <c r="G109" i="348"/>
  <c r="F109" i="348"/>
  <c r="I108" i="348"/>
  <c r="H108" i="348"/>
  <c r="G108" i="348"/>
  <c r="F108" i="348"/>
  <c r="I107" i="348"/>
  <c r="H107" i="348"/>
  <c r="G107" i="348"/>
  <c r="F107" i="348"/>
  <c r="I106" i="348"/>
  <c r="H106" i="348"/>
  <c r="G106" i="348"/>
  <c r="F106" i="348"/>
  <c r="I105" i="348"/>
  <c r="H105" i="348"/>
  <c r="G105" i="348"/>
  <c r="F105" i="348"/>
  <c r="I104" i="348"/>
  <c r="H104" i="348"/>
  <c r="G104" i="348"/>
  <c r="F104" i="348"/>
  <c r="I103" i="348"/>
  <c r="H103" i="348"/>
  <c r="G103" i="348"/>
  <c r="F103" i="348"/>
  <c r="I102" i="348"/>
  <c r="H102" i="348"/>
  <c r="G102" i="348"/>
  <c r="F102" i="348"/>
  <c r="I101" i="348"/>
  <c r="H101" i="348"/>
  <c r="G101" i="348"/>
  <c r="F101" i="348"/>
  <c r="I100" i="348"/>
  <c r="H100" i="348"/>
  <c r="G100" i="348"/>
  <c r="F100" i="348"/>
  <c r="I99" i="348"/>
  <c r="H99" i="348"/>
  <c r="G99" i="348"/>
  <c r="F99" i="348"/>
  <c r="I98" i="348"/>
  <c r="H98" i="348"/>
  <c r="G98" i="348"/>
  <c r="F98" i="348"/>
  <c r="I97" i="348"/>
  <c r="H97" i="348"/>
  <c r="G97" i="348"/>
  <c r="F97" i="348"/>
  <c r="I96" i="348"/>
  <c r="H96" i="348"/>
  <c r="G96" i="348"/>
  <c r="F96" i="348"/>
  <c r="I95" i="348"/>
  <c r="H95" i="348"/>
  <c r="G95" i="348"/>
  <c r="F95" i="348"/>
  <c r="I94" i="348"/>
  <c r="H94" i="348"/>
  <c r="G94" i="348"/>
  <c r="F94" i="348"/>
  <c r="I93" i="348"/>
  <c r="H93" i="348"/>
  <c r="G93" i="348"/>
  <c r="F93" i="348"/>
  <c r="I92" i="348"/>
  <c r="H92" i="348"/>
  <c r="G92" i="348"/>
  <c r="F92" i="348"/>
  <c r="I91" i="348"/>
  <c r="H91" i="348"/>
  <c r="G91" i="348"/>
  <c r="F91" i="348"/>
  <c r="I90" i="348"/>
  <c r="H90" i="348"/>
  <c r="G90" i="348"/>
  <c r="F90" i="348"/>
  <c r="I89" i="348"/>
  <c r="H89" i="348"/>
  <c r="G89" i="348"/>
  <c r="F89" i="348"/>
  <c r="I88" i="348"/>
  <c r="H88" i="348"/>
  <c r="G88" i="348"/>
  <c r="F88" i="348"/>
  <c r="I87" i="348"/>
  <c r="H87" i="348"/>
  <c r="G87" i="348"/>
  <c r="F87" i="348"/>
  <c r="I86" i="348"/>
  <c r="H86" i="348"/>
  <c r="G86" i="348"/>
  <c r="F86" i="348"/>
  <c r="I85" i="348"/>
  <c r="H85" i="348"/>
  <c r="G85" i="348"/>
  <c r="F85" i="348"/>
  <c r="I84" i="348"/>
  <c r="H84" i="348"/>
  <c r="G84" i="348"/>
  <c r="F84" i="348"/>
  <c r="I83" i="348"/>
  <c r="H83" i="348"/>
  <c r="G83" i="348"/>
  <c r="F83" i="348"/>
  <c r="I82" i="348"/>
  <c r="H82" i="348"/>
  <c r="G82" i="348"/>
  <c r="F82" i="348"/>
  <c r="I81" i="348"/>
  <c r="H81" i="348"/>
  <c r="G81" i="348"/>
  <c r="F81" i="348"/>
  <c r="I80" i="348"/>
  <c r="H80" i="348"/>
  <c r="G80" i="348"/>
  <c r="F80" i="348"/>
  <c r="I79" i="348"/>
  <c r="H79" i="348"/>
  <c r="G79" i="348"/>
  <c r="F79" i="348"/>
  <c r="I78" i="348"/>
  <c r="H78" i="348"/>
  <c r="G78" i="348"/>
  <c r="F78" i="348"/>
  <c r="I77" i="348"/>
  <c r="H77" i="348"/>
  <c r="G77" i="348"/>
  <c r="F77" i="348"/>
  <c r="I76" i="348"/>
  <c r="H76" i="348"/>
  <c r="G76" i="348"/>
  <c r="F76" i="348"/>
  <c r="I75" i="348"/>
  <c r="H75" i="348"/>
  <c r="G75" i="348"/>
  <c r="F75" i="348"/>
  <c r="I74" i="348"/>
  <c r="H74" i="348"/>
  <c r="G74" i="348"/>
  <c r="F74" i="348"/>
  <c r="I73" i="348"/>
  <c r="H73" i="348"/>
  <c r="G73" i="348"/>
  <c r="F73" i="348"/>
  <c r="I72" i="348"/>
  <c r="H72" i="348"/>
  <c r="G72" i="348"/>
  <c r="F72" i="348"/>
  <c r="I71" i="348"/>
  <c r="H71" i="348"/>
  <c r="G71" i="348"/>
  <c r="F71" i="348"/>
  <c r="I70" i="348"/>
  <c r="H70" i="348"/>
  <c r="G70" i="348"/>
  <c r="F70" i="348"/>
  <c r="I69" i="348"/>
  <c r="H69" i="348"/>
  <c r="G69" i="348"/>
  <c r="F69" i="348"/>
  <c r="I68" i="348"/>
  <c r="H68" i="348"/>
  <c r="G68" i="348"/>
  <c r="F68" i="348"/>
  <c r="I67" i="348"/>
  <c r="H67" i="348"/>
  <c r="G67" i="348"/>
  <c r="F67" i="348"/>
  <c r="I66" i="348"/>
  <c r="H66" i="348"/>
  <c r="G66" i="348"/>
  <c r="F66" i="348"/>
  <c r="I65" i="348"/>
  <c r="H65" i="348"/>
  <c r="G65" i="348"/>
  <c r="F65" i="348"/>
  <c r="I64" i="348"/>
  <c r="H64" i="348"/>
  <c r="G64" i="348"/>
  <c r="F64" i="348"/>
  <c r="I63" i="348"/>
  <c r="H63" i="348"/>
  <c r="G63" i="348"/>
  <c r="F63" i="348"/>
  <c r="I62" i="348"/>
  <c r="H62" i="348"/>
  <c r="G62" i="348"/>
  <c r="F62" i="348"/>
  <c r="I61" i="348"/>
  <c r="H61" i="348"/>
  <c r="G61" i="348"/>
  <c r="F61" i="348"/>
  <c r="I60" i="348"/>
  <c r="H60" i="348"/>
  <c r="G60" i="348"/>
  <c r="F60" i="348"/>
  <c r="I59" i="348"/>
  <c r="H59" i="348"/>
  <c r="G59" i="348"/>
  <c r="F59" i="348"/>
  <c r="I58" i="348"/>
  <c r="H58" i="348"/>
  <c r="G58" i="348"/>
  <c r="F58" i="348"/>
  <c r="I57" i="348"/>
  <c r="H57" i="348"/>
  <c r="G57" i="348"/>
  <c r="F57" i="348"/>
  <c r="I56" i="348"/>
  <c r="H56" i="348"/>
  <c r="G56" i="348"/>
  <c r="F56" i="348"/>
  <c r="I55" i="348"/>
  <c r="H55" i="348"/>
  <c r="G55" i="348"/>
  <c r="F55" i="348"/>
  <c r="I54" i="348"/>
  <c r="H54" i="348"/>
  <c r="G54" i="348"/>
  <c r="F54" i="348"/>
  <c r="I53" i="348"/>
  <c r="H53" i="348"/>
  <c r="G53" i="348"/>
  <c r="F53" i="348"/>
  <c r="I52" i="348"/>
  <c r="H52" i="348"/>
  <c r="G52" i="348"/>
  <c r="F52" i="348"/>
  <c r="I51" i="348"/>
  <c r="H51" i="348"/>
  <c r="G51" i="348"/>
  <c r="F51" i="348"/>
  <c r="I50" i="348"/>
  <c r="H50" i="348"/>
  <c r="G50" i="348"/>
  <c r="F50" i="348"/>
  <c r="I49" i="348"/>
  <c r="H49" i="348"/>
  <c r="G49" i="348"/>
  <c r="F49" i="348"/>
  <c r="I48" i="348"/>
  <c r="H48" i="348"/>
  <c r="G48" i="348"/>
  <c r="F48" i="348"/>
  <c r="I47" i="348"/>
  <c r="H47" i="348"/>
  <c r="G47" i="348"/>
  <c r="F47" i="348"/>
  <c r="I46" i="348"/>
  <c r="H46" i="348"/>
  <c r="G46" i="348"/>
  <c r="F46" i="348"/>
  <c r="I45" i="348"/>
  <c r="H45" i="348"/>
  <c r="G45" i="348"/>
  <c r="F45" i="348"/>
  <c r="I44" i="348"/>
  <c r="H44" i="348"/>
  <c r="G44" i="348"/>
  <c r="F44" i="348"/>
  <c r="I43" i="348"/>
  <c r="H43" i="348"/>
  <c r="G43" i="348"/>
  <c r="F43" i="348"/>
  <c r="I42" i="348"/>
  <c r="H42" i="348"/>
  <c r="G42" i="348"/>
  <c r="F42" i="348"/>
  <c r="I41" i="348"/>
  <c r="H41" i="348"/>
  <c r="G41" i="348"/>
  <c r="F41" i="348"/>
  <c r="I40" i="348"/>
  <c r="H40" i="348"/>
  <c r="G40" i="348"/>
  <c r="F40" i="348"/>
  <c r="I39" i="348"/>
  <c r="H39" i="348"/>
  <c r="G39" i="348"/>
  <c r="F39" i="348"/>
  <c r="I38" i="348"/>
  <c r="H38" i="348"/>
  <c r="G38" i="348"/>
  <c r="F38" i="348"/>
  <c r="I37" i="348"/>
  <c r="H37" i="348"/>
  <c r="G37" i="348"/>
  <c r="F37" i="348"/>
  <c r="I36" i="348"/>
  <c r="H36" i="348"/>
  <c r="G36" i="348"/>
  <c r="F36" i="348"/>
  <c r="I35" i="348"/>
  <c r="H35" i="348"/>
  <c r="G35" i="348"/>
  <c r="F35" i="348"/>
  <c r="I34" i="348"/>
  <c r="H34" i="348"/>
  <c r="G34" i="348"/>
  <c r="F34" i="348"/>
  <c r="I33" i="348"/>
  <c r="H33" i="348"/>
  <c r="G33" i="348"/>
  <c r="F33" i="348"/>
  <c r="I32" i="348"/>
  <c r="H32" i="348"/>
  <c r="G32" i="348"/>
  <c r="F32" i="348"/>
  <c r="I31" i="348"/>
  <c r="H31" i="348"/>
  <c r="G31" i="348"/>
  <c r="F31" i="348"/>
  <c r="I30" i="348"/>
  <c r="H30" i="348"/>
  <c r="G30" i="348"/>
  <c r="F30" i="348"/>
  <c r="I29" i="348"/>
  <c r="H29" i="348"/>
  <c r="G29" i="348"/>
  <c r="F29" i="348"/>
  <c r="I28" i="348"/>
  <c r="H28" i="348"/>
  <c r="G28" i="348"/>
  <c r="F28" i="348"/>
  <c r="I27" i="348"/>
  <c r="H27" i="348"/>
  <c r="G27" i="348"/>
  <c r="F27" i="348"/>
  <c r="I26" i="348"/>
  <c r="H26" i="348"/>
  <c r="G26" i="348"/>
  <c r="F26" i="348"/>
  <c r="I25" i="348"/>
  <c r="H25" i="348"/>
  <c r="G25" i="348"/>
  <c r="F25" i="348"/>
  <c r="I24" i="348"/>
  <c r="H24" i="348"/>
  <c r="G24" i="348"/>
  <c r="F24" i="348"/>
  <c r="I23" i="348"/>
  <c r="H23" i="348"/>
  <c r="G23" i="348"/>
  <c r="F23" i="348"/>
  <c r="I22" i="348"/>
  <c r="H22" i="348"/>
  <c r="G22" i="348"/>
  <c r="F22" i="348"/>
  <c r="I21" i="348"/>
  <c r="H21" i="348"/>
  <c r="G21" i="348"/>
  <c r="F21" i="348"/>
  <c r="I20" i="348"/>
  <c r="H20" i="348"/>
  <c r="G20" i="348"/>
  <c r="F20" i="348"/>
  <c r="I19" i="348"/>
  <c r="H19" i="348"/>
  <c r="G19" i="348"/>
  <c r="F19" i="348"/>
  <c r="I18" i="348"/>
  <c r="H18" i="348"/>
  <c r="G18" i="348"/>
  <c r="F18" i="348"/>
  <c r="I17" i="348"/>
  <c r="H17" i="348"/>
  <c r="G17" i="348"/>
  <c r="F17" i="348"/>
  <c r="I16" i="348"/>
  <c r="H16" i="348"/>
  <c r="G16" i="348"/>
  <c r="F16" i="348"/>
  <c r="I15" i="348"/>
  <c r="H15" i="348"/>
  <c r="G15" i="348"/>
  <c r="F15" i="348"/>
  <c r="I14" i="348"/>
  <c r="H14" i="348"/>
  <c r="G14" i="348"/>
  <c r="F14" i="348"/>
  <c r="I13" i="348"/>
  <c r="H13" i="348"/>
  <c r="G13" i="348"/>
  <c r="F13" i="348"/>
  <c r="I12" i="348"/>
  <c r="H12" i="348"/>
  <c r="G12" i="348"/>
  <c r="F12" i="348"/>
  <c r="I11" i="348"/>
  <c r="H11" i="348"/>
  <c r="G11" i="348"/>
  <c r="F11" i="348"/>
  <c r="I10" i="348"/>
  <c r="H10" i="348"/>
  <c r="G10" i="348"/>
  <c r="F10" i="348"/>
  <c r="I9" i="348"/>
  <c r="H9" i="348"/>
  <c r="G9" i="348"/>
  <c r="F9" i="348"/>
  <c r="I8" i="348"/>
  <c r="H8" i="348"/>
  <c r="G8" i="348"/>
  <c r="F8" i="348"/>
  <c r="I7" i="348"/>
  <c r="H7" i="348"/>
  <c r="G7" i="348"/>
  <c r="F7" i="348"/>
  <c r="I6" i="348"/>
  <c r="H6" i="348"/>
  <c r="G6" i="348"/>
  <c r="F6" i="348"/>
  <c r="I5" i="348"/>
  <c r="H5" i="348"/>
  <c r="G5" i="348"/>
  <c r="F5" i="348"/>
  <c r="P490" i="347"/>
  <c r="O490" i="347"/>
  <c r="B490" i="347"/>
  <c r="B490" i="347" a="1"/>
  <c r="P489" i="347"/>
  <c r="O489" i="347"/>
  <c r="B489" i="347"/>
  <c r="B489" i="347" a="1"/>
  <c r="P488" i="347"/>
  <c r="O488" i="347"/>
  <c r="B488" i="347"/>
  <c r="B488" i="347" a="1"/>
  <c r="P487" i="347"/>
  <c r="O487" i="347"/>
  <c r="B487" i="347"/>
  <c r="B487" i="347" a="1"/>
  <c r="P486" i="347"/>
  <c r="O486" i="347"/>
  <c r="B486" i="347"/>
  <c r="B486" i="347" a="1"/>
  <c r="P485" i="347"/>
  <c r="O485" i="347"/>
  <c r="B485" i="347"/>
  <c r="B485" i="347" a="1"/>
  <c r="P484" i="347"/>
  <c r="O484" i="347"/>
  <c r="B484" i="347"/>
  <c r="B484" i="347" a="1"/>
  <c r="P483" i="347"/>
  <c r="O483" i="347"/>
  <c r="B483" i="347"/>
  <c r="B483" i="347" a="1"/>
  <c r="P482" i="347"/>
  <c r="O482" i="347"/>
  <c r="B482" i="347"/>
  <c r="B482" i="347" a="1"/>
  <c r="P481" i="347"/>
  <c r="O481" i="347"/>
  <c r="B481" i="347"/>
  <c r="B481" i="347" a="1"/>
  <c r="P480" i="347"/>
  <c r="O480" i="347"/>
  <c r="B480" i="347"/>
  <c r="B480" i="347" a="1"/>
  <c r="P479" i="347"/>
  <c r="O479" i="347"/>
  <c r="B479" i="347"/>
  <c r="B479" i="347" a="1"/>
  <c r="P478" i="347"/>
  <c r="O478" i="347"/>
  <c r="B478" i="347"/>
  <c r="B478" i="347" a="1"/>
  <c r="P477" i="347"/>
  <c r="O477" i="347"/>
  <c r="B477" i="347"/>
  <c r="B477" i="347" a="1"/>
  <c r="P476" i="347"/>
  <c r="O476" i="347"/>
  <c r="B476" i="347"/>
  <c r="B476" i="347" a="1"/>
  <c r="P475" i="347"/>
  <c r="O475" i="347"/>
  <c r="B475" i="347"/>
  <c r="B475" i="347" a="1"/>
  <c r="P474" i="347"/>
  <c r="O474" i="347"/>
  <c r="B474" i="347"/>
  <c r="B474" i="347" a="1"/>
  <c r="P473" i="347"/>
  <c r="O473" i="347"/>
  <c r="B473" i="347"/>
  <c r="B473" i="347" a="1"/>
  <c r="P472" i="347"/>
  <c r="O472" i="347"/>
  <c r="B472" i="347"/>
  <c r="B472" i="347" a="1"/>
  <c r="P471" i="347"/>
  <c r="O471" i="347"/>
  <c r="B471" i="347"/>
  <c r="B471" i="347" a="1"/>
  <c r="P470" i="347"/>
  <c r="O470" i="347"/>
  <c r="B470" i="347"/>
  <c r="B470" i="347" a="1"/>
  <c r="P469" i="347"/>
  <c r="O469" i="347"/>
  <c r="B469" i="347"/>
  <c r="B469" i="347" a="1"/>
  <c r="P468" i="347"/>
  <c r="O468" i="347"/>
  <c r="B468" i="347"/>
  <c r="B468" i="347" a="1"/>
  <c r="P467" i="347"/>
  <c r="O467" i="347"/>
  <c r="B467" i="347"/>
  <c r="B467" i="347" a="1"/>
  <c r="P466" i="347"/>
  <c r="O466" i="347"/>
  <c r="B466" i="347"/>
  <c r="B466" i="347" a="1"/>
  <c r="P465" i="347"/>
  <c r="O465" i="347"/>
  <c r="B465" i="347"/>
  <c r="B465" i="347" a="1"/>
  <c r="P464" i="347"/>
  <c r="O464" i="347"/>
  <c r="B464" i="347"/>
  <c r="B464" i="347" a="1"/>
  <c r="P463" i="347"/>
  <c r="O463" i="347"/>
  <c r="B463" i="347"/>
  <c r="B463" i="347" a="1"/>
  <c r="P462" i="347"/>
  <c r="O462" i="347"/>
  <c r="B462" i="347"/>
  <c r="B462" i="347" a="1"/>
  <c r="P461" i="347"/>
  <c r="O461" i="347"/>
  <c r="B461" i="347"/>
  <c r="B461" i="347" a="1"/>
  <c r="P460" i="347"/>
  <c r="O460" i="347"/>
  <c r="B460" i="347"/>
  <c r="B460" i="347" a="1"/>
  <c r="P459" i="347"/>
  <c r="O459" i="347"/>
  <c r="B459" i="347"/>
  <c r="B459" i="347" a="1"/>
  <c r="P458" i="347"/>
  <c r="O458" i="347"/>
  <c r="B458" i="347"/>
  <c r="B458" i="347" a="1"/>
  <c r="P457" i="347"/>
  <c r="O457" i="347"/>
  <c r="B457" i="347"/>
  <c r="B457" i="347" a="1"/>
  <c r="P456" i="347"/>
  <c r="O456" i="347"/>
  <c r="B456" i="347"/>
  <c r="B456" i="347" a="1"/>
  <c r="P455" i="347"/>
  <c r="O455" i="347"/>
  <c r="B455" i="347"/>
  <c r="B455" i="347" a="1"/>
  <c r="P454" i="347"/>
  <c r="O454" i="347"/>
  <c r="B454" i="347"/>
  <c r="B454" i="347" a="1"/>
  <c r="P453" i="347"/>
  <c r="O453" i="347"/>
  <c r="B453" i="347"/>
  <c r="B453" i="347" a="1"/>
  <c r="P452" i="347"/>
  <c r="O452" i="347"/>
  <c r="B452" i="347"/>
  <c r="B452" i="347" a="1"/>
  <c r="P451" i="347"/>
  <c r="O451" i="347"/>
  <c r="B451" i="347"/>
  <c r="B451" i="347" a="1"/>
  <c r="P450" i="347"/>
  <c r="O450" i="347"/>
  <c r="B450" i="347"/>
  <c r="B450" i="347" a="1"/>
  <c r="P449" i="347"/>
  <c r="O449" i="347"/>
  <c r="B449" i="347"/>
  <c r="B449" i="347" a="1"/>
  <c r="P448" i="347"/>
  <c r="O448" i="347"/>
  <c r="B448" i="347"/>
  <c r="B448" i="347" a="1"/>
  <c r="P447" i="347"/>
  <c r="O447" i="347"/>
  <c r="B447" i="347"/>
  <c r="B447" i="347" a="1"/>
  <c r="P446" i="347"/>
  <c r="O446" i="347"/>
  <c r="B446" i="347"/>
  <c r="B446" i="347" a="1"/>
  <c r="P445" i="347"/>
  <c r="O445" i="347"/>
  <c r="B445" i="347"/>
  <c r="B445" i="347" a="1"/>
  <c r="P444" i="347"/>
  <c r="O444" i="347"/>
  <c r="B444" i="347"/>
  <c r="B444" i="347" a="1"/>
  <c r="P443" i="347"/>
  <c r="O443" i="347"/>
  <c r="B443" i="347"/>
  <c r="B443" i="347" a="1"/>
  <c r="P442" i="347"/>
  <c r="O442" i="347"/>
  <c r="B442" i="347"/>
  <c r="B442" i="347" a="1"/>
  <c r="P441" i="347"/>
  <c r="O441" i="347"/>
  <c r="B441" i="347"/>
  <c r="B441" i="347" a="1"/>
  <c r="P440" i="347"/>
  <c r="O440" i="347"/>
  <c r="B440" i="347"/>
  <c r="B440" i="347" a="1"/>
  <c r="P439" i="347"/>
  <c r="O439" i="347"/>
  <c r="B439" i="347"/>
  <c r="B439" i="347" a="1"/>
  <c r="P438" i="347"/>
  <c r="O438" i="347"/>
  <c r="B438" i="347"/>
  <c r="B438" i="347" a="1"/>
  <c r="P437" i="347"/>
  <c r="O437" i="347"/>
  <c r="B437" i="347"/>
  <c r="B437" i="347" a="1"/>
  <c r="P436" i="347"/>
  <c r="O436" i="347"/>
  <c r="B436" i="347"/>
  <c r="B436" i="347" a="1"/>
  <c r="P435" i="347"/>
  <c r="O435" i="347"/>
  <c r="B435" i="347"/>
  <c r="B435" i="347" a="1"/>
  <c r="P434" i="347"/>
  <c r="O434" i="347"/>
  <c r="B434" i="347"/>
  <c r="B434" i="347" a="1"/>
  <c r="P433" i="347"/>
  <c r="O433" i="347"/>
  <c r="B433" i="347"/>
  <c r="B433" i="347" a="1"/>
  <c r="P432" i="347"/>
  <c r="O432" i="347"/>
  <c r="B432" i="347"/>
  <c r="B432" i="347" a="1"/>
  <c r="P431" i="347"/>
  <c r="O431" i="347"/>
  <c r="B431" i="347"/>
  <c r="B431" i="347" a="1"/>
  <c r="P430" i="347"/>
  <c r="O430" i="347"/>
  <c r="B430" i="347"/>
  <c r="B430" i="347" a="1"/>
  <c r="P429" i="347"/>
  <c r="O429" i="347"/>
  <c r="B429" i="347"/>
  <c r="B429" i="347" a="1"/>
  <c r="P428" i="347"/>
  <c r="O428" i="347"/>
  <c r="B428" i="347"/>
  <c r="B428" i="347" a="1"/>
  <c r="P427" i="347"/>
  <c r="O427" i="347"/>
  <c r="B427" i="347"/>
  <c r="B427" i="347" a="1"/>
  <c r="P426" i="347"/>
  <c r="O426" i="347"/>
  <c r="B426" i="347"/>
  <c r="B426" i="347" a="1"/>
  <c r="P425" i="347"/>
  <c r="O425" i="347"/>
  <c r="B425" i="347"/>
  <c r="B425" i="347" a="1"/>
  <c r="P424" i="347"/>
  <c r="O424" i="347"/>
  <c r="B424" i="347"/>
  <c r="B424" i="347" a="1"/>
  <c r="P423" i="347"/>
  <c r="O423" i="347"/>
  <c r="B423" i="347"/>
  <c r="B423" i="347" a="1"/>
  <c r="P422" i="347"/>
  <c r="O422" i="347"/>
  <c r="B422" i="347"/>
  <c r="B422" i="347" a="1"/>
  <c r="P421" i="347"/>
  <c r="O421" i="347"/>
  <c r="B421" i="347"/>
  <c r="B421" i="347" a="1"/>
  <c r="P420" i="347"/>
  <c r="O420" i="347"/>
  <c r="B420" i="347"/>
  <c r="B420" i="347" a="1"/>
  <c r="P419" i="347"/>
  <c r="O419" i="347"/>
  <c r="B419" i="347"/>
  <c r="B419" i="347" a="1"/>
  <c r="P418" i="347"/>
  <c r="O418" i="347"/>
  <c r="B418" i="347"/>
  <c r="B418" i="347" a="1"/>
  <c r="P417" i="347"/>
  <c r="O417" i="347"/>
  <c r="B417" i="347"/>
  <c r="B417" i="347" a="1"/>
  <c r="P416" i="347"/>
  <c r="O416" i="347"/>
  <c r="B416" i="347"/>
  <c r="B416" i="347" a="1"/>
  <c r="P415" i="347"/>
  <c r="O415" i="347"/>
  <c r="B415" i="347"/>
  <c r="B415" i="347" a="1"/>
  <c r="P414" i="347"/>
  <c r="O414" i="347"/>
  <c r="B414" i="347"/>
  <c r="B414" i="347" a="1"/>
  <c r="P413" i="347"/>
  <c r="O413" i="347"/>
  <c r="B413" i="347"/>
  <c r="B413" i="347" a="1"/>
  <c r="P412" i="347"/>
  <c r="O412" i="347"/>
  <c r="B412" i="347"/>
  <c r="B412" i="347" a="1"/>
  <c r="P411" i="347"/>
  <c r="O411" i="347"/>
  <c r="B411" i="347"/>
  <c r="B411" i="347" a="1"/>
  <c r="P410" i="347"/>
  <c r="O410" i="347"/>
  <c r="B410" i="347"/>
  <c r="B410" i="347" a="1"/>
  <c r="P409" i="347"/>
  <c r="O409" i="347"/>
  <c r="B409" i="347"/>
  <c r="B409" i="347" a="1"/>
  <c r="P408" i="347"/>
  <c r="O408" i="347"/>
  <c r="B408" i="347"/>
  <c r="B408" i="347" a="1"/>
  <c r="P407" i="347"/>
  <c r="O407" i="347"/>
  <c r="B407" i="347"/>
  <c r="B407" i="347" a="1"/>
  <c r="P406" i="347"/>
  <c r="O406" i="347"/>
  <c r="B406" i="347"/>
  <c r="B406" i="347" a="1"/>
  <c r="P405" i="347"/>
  <c r="O405" i="347"/>
  <c r="B405" i="347"/>
  <c r="B405" i="347" a="1"/>
  <c r="P404" i="347"/>
  <c r="O404" i="347"/>
  <c r="B404" i="347"/>
  <c r="B404" i="347" a="1"/>
  <c r="P403" i="347"/>
  <c r="O403" i="347"/>
  <c r="B403" i="347"/>
  <c r="B403" i="347" a="1"/>
  <c r="P402" i="347"/>
  <c r="O402" i="347"/>
  <c r="B402" i="347"/>
  <c r="B402" i="347" a="1"/>
  <c r="P401" i="347"/>
  <c r="O401" i="347"/>
  <c r="B401" i="347"/>
  <c r="B401" i="347" a="1"/>
  <c r="P400" i="347"/>
  <c r="O400" i="347"/>
  <c r="B400" i="347"/>
  <c r="B400" i="347" a="1"/>
  <c r="P399" i="347"/>
  <c r="O399" i="347"/>
  <c r="B399" i="347"/>
  <c r="B399" i="347" a="1"/>
  <c r="P398" i="347"/>
  <c r="O398" i="347"/>
  <c r="B398" i="347"/>
  <c r="B398" i="347" a="1"/>
  <c r="P397" i="347"/>
  <c r="O397" i="347"/>
  <c r="B397" i="347"/>
  <c r="B397" i="347" a="1"/>
  <c r="P396" i="347"/>
  <c r="O396" i="347"/>
  <c r="B396" i="347"/>
  <c r="B396" i="347" a="1"/>
  <c r="P395" i="347"/>
  <c r="O395" i="347"/>
  <c r="B395" i="347"/>
  <c r="B395" i="347" a="1"/>
  <c r="P394" i="347"/>
  <c r="O394" i="347"/>
  <c r="B394" i="347"/>
  <c r="B394" i="347" a="1"/>
  <c r="P393" i="347"/>
  <c r="O393" i="347"/>
  <c r="B393" i="347"/>
  <c r="B393" i="347" a="1"/>
  <c r="P392" i="347"/>
  <c r="O392" i="347"/>
  <c r="B392" i="347"/>
  <c r="B392" i="347" a="1"/>
  <c r="P391" i="347"/>
  <c r="O391" i="347"/>
  <c r="B391" i="347"/>
  <c r="B391" i="347" a="1"/>
  <c r="P390" i="347"/>
  <c r="O390" i="347"/>
  <c r="B390" i="347"/>
  <c r="B390" i="347" a="1"/>
  <c r="P389" i="347"/>
  <c r="O389" i="347"/>
  <c r="B389" i="347"/>
  <c r="B389" i="347" a="1"/>
  <c r="P388" i="347"/>
  <c r="O388" i="347"/>
  <c r="B388" i="347"/>
  <c r="B388" i="347" a="1"/>
  <c r="P387" i="347"/>
  <c r="O387" i="347"/>
  <c r="B387" i="347"/>
  <c r="B387" i="347" a="1"/>
  <c r="P386" i="347"/>
  <c r="O386" i="347"/>
  <c r="B386" i="347"/>
  <c r="B386" i="347" a="1"/>
  <c r="P385" i="347"/>
  <c r="O385" i="347"/>
  <c r="B385" i="347"/>
  <c r="B385" i="347" a="1"/>
  <c r="P384" i="347"/>
  <c r="O384" i="347"/>
  <c r="B384" i="347"/>
  <c r="B384" i="347" a="1"/>
  <c r="P383" i="347"/>
  <c r="O383" i="347"/>
  <c r="B383" i="347"/>
  <c r="B383" i="347" a="1"/>
  <c r="P382" i="347"/>
  <c r="O382" i="347"/>
  <c r="B382" i="347"/>
  <c r="B382" i="347" a="1"/>
  <c r="P381" i="347"/>
  <c r="O381" i="347"/>
  <c r="B381" i="347"/>
  <c r="B381" i="347" a="1"/>
  <c r="P380" i="347"/>
  <c r="O380" i="347"/>
  <c r="B380" i="347"/>
  <c r="B380" i="347" a="1"/>
  <c r="P379" i="347"/>
  <c r="O379" i="347"/>
  <c r="B379" i="347"/>
  <c r="B379" i="347" a="1"/>
  <c r="P378" i="347"/>
  <c r="O378" i="347"/>
  <c r="B378" i="347"/>
  <c r="B378" i="347" a="1"/>
  <c r="P377" i="347"/>
  <c r="O377" i="347"/>
  <c r="B377" i="347"/>
  <c r="B377" i="347" a="1"/>
  <c r="P376" i="347"/>
  <c r="O376" i="347"/>
  <c r="B376" i="347"/>
  <c r="B376" i="347" a="1"/>
  <c r="P375" i="347"/>
  <c r="O375" i="347"/>
  <c r="B375" i="347"/>
  <c r="B375" i="347" a="1"/>
  <c r="P374" i="347"/>
  <c r="O374" i="347"/>
  <c r="B374" i="347"/>
  <c r="B374" i="347" a="1"/>
  <c r="P373" i="347"/>
  <c r="O373" i="347"/>
  <c r="B373" i="347"/>
  <c r="B373" i="347" a="1"/>
  <c r="P372" i="347"/>
  <c r="O372" i="347"/>
  <c r="B372" i="347"/>
  <c r="B372" i="347" a="1"/>
  <c r="P371" i="347"/>
  <c r="O371" i="347"/>
  <c r="B371" i="347"/>
  <c r="B371" i="347" a="1"/>
  <c r="P370" i="347"/>
  <c r="O370" i="347"/>
  <c r="B370" i="347"/>
  <c r="B370" i="347" a="1"/>
  <c r="P369" i="347"/>
  <c r="O369" i="347"/>
  <c r="B369" i="347"/>
  <c r="B369" i="347" a="1"/>
  <c r="P368" i="347"/>
  <c r="O368" i="347"/>
  <c r="B368" i="347"/>
  <c r="B368" i="347" a="1"/>
  <c r="P367" i="347"/>
  <c r="O367" i="347"/>
  <c r="B367" i="347"/>
  <c r="B367" i="347" a="1"/>
  <c r="P366" i="347"/>
  <c r="O366" i="347"/>
  <c r="B366" i="347"/>
  <c r="B366" i="347" a="1"/>
  <c r="P365" i="347"/>
  <c r="O365" i="347"/>
  <c r="B365" i="347"/>
  <c r="B365" i="347" a="1"/>
  <c r="P364" i="347"/>
  <c r="O364" i="347"/>
  <c r="B364" i="347"/>
  <c r="B364" i="347" a="1"/>
  <c r="P363" i="347"/>
  <c r="O363" i="347"/>
  <c r="B363" i="347"/>
  <c r="B363" i="347" a="1"/>
  <c r="P362" i="347"/>
  <c r="O362" i="347"/>
  <c r="B362" i="347"/>
  <c r="B362" i="347" a="1"/>
  <c r="P361" i="347"/>
  <c r="O361" i="347"/>
  <c r="B361" i="347"/>
  <c r="B361" i="347" a="1"/>
  <c r="P360" i="347"/>
  <c r="O360" i="347"/>
  <c r="B360" i="347"/>
  <c r="B360" i="347" a="1"/>
  <c r="P359" i="347"/>
  <c r="O359" i="347"/>
  <c r="B359" i="347"/>
  <c r="B359" i="347" a="1"/>
  <c r="P358" i="347"/>
  <c r="O358" i="347"/>
  <c r="B358" i="347"/>
  <c r="B358" i="347" a="1"/>
  <c r="P357" i="347"/>
  <c r="O357" i="347"/>
  <c r="B357" i="347"/>
  <c r="B357" i="347" a="1"/>
  <c r="P356" i="347"/>
  <c r="O356" i="347"/>
  <c r="B356" i="347"/>
  <c r="B356" i="347" a="1"/>
  <c r="P355" i="347"/>
  <c r="O355" i="347"/>
  <c r="B355" i="347"/>
  <c r="B355" i="347" a="1"/>
  <c r="P354" i="347"/>
  <c r="O354" i="347"/>
  <c r="B354" i="347"/>
  <c r="B354" i="347" a="1"/>
  <c r="P353" i="347"/>
  <c r="O353" i="347"/>
  <c r="B353" i="347"/>
  <c r="B353" i="347" a="1"/>
  <c r="P352" i="347"/>
  <c r="O352" i="347"/>
  <c r="B352" i="347"/>
  <c r="B352" i="347" a="1"/>
  <c r="P351" i="347"/>
  <c r="O351" i="347"/>
  <c r="B351" i="347"/>
  <c r="B351" i="347" a="1"/>
  <c r="P350" i="347"/>
  <c r="O350" i="347"/>
  <c r="B350" i="347"/>
  <c r="B350" i="347" a="1"/>
  <c r="P349" i="347"/>
  <c r="O349" i="347"/>
  <c r="B349" i="347"/>
  <c r="B349" i="347" a="1"/>
  <c r="P348" i="347"/>
  <c r="O348" i="347"/>
  <c r="B348" i="347"/>
  <c r="B348" i="347" a="1"/>
  <c r="P347" i="347"/>
  <c r="O347" i="347"/>
  <c r="B347" i="347"/>
  <c r="B347" i="347" a="1"/>
  <c r="P346" i="347"/>
  <c r="O346" i="347"/>
  <c r="B346" i="347"/>
  <c r="B346" i="347" a="1"/>
  <c r="P345" i="347"/>
  <c r="O345" i="347"/>
  <c r="B345" i="347"/>
  <c r="B345" i="347" a="1"/>
  <c r="P344" i="347"/>
  <c r="O344" i="347"/>
  <c r="B344" i="347"/>
  <c r="B344" i="347" a="1"/>
  <c r="P343" i="347"/>
  <c r="O343" i="347"/>
  <c r="B343" i="347"/>
  <c r="B343" i="347" a="1"/>
  <c r="P342" i="347"/>
  <c r="O342" i="347"/>
  <c r="B342" i="347"/>
  <c r="B342" i="347" a="1"/>
  <c r="P341" i="347"/>
  <c r="O341" i="347"/>
  <c r="B341" i="347"/>
  <c r="B341" i="347" a="1"/>
  <c r="P340" i="347"/>
  <c r="O340" i="347"/>
  <c r="B340" i="347"/>
  <c r="B340" i="347" a="1"/>
  <c r="P339" i="347"/>
  <c r="O339" i="347"/>
  <c r="B339" i="347"/>
  <c r="B339" i="347" a="1"/>
  <c r="P338" i="347"/>
  <c r="O338" i="347"/>
  <c r="B338" i="347"/>
  <c r="B338" i="347" a="1"/>
  <c r="P337" i="347"/>
  <c r="O337" i="347"/>
  <c r="B337" i="347"/>
  <c r="B337" i="347" a="1"/>
  <c r="P336" i="347"/>
  <c r="O336" i="347"/>
  <c r="B336" i="347"/>
  <c r="B336" i="347" a="1"/>
  <c r="P335" i="347"/>
  <c r="O335" i="347"/>
  <c r="B335" i="347"/>
  <c r="B335" i="347" a="1"/>
  <c r="P334" i="347"/>
  <c r="O334" i="347"/>
  <c r="B334" i="347"/>
  <c r="B334" i="347" a="1"/>
  <c r="P333" i="347"/>
  <c r="O333" i="347"/>
  <c r="B333" i="347"/>
  <c r="B333" i="347" a="1"/>
  <c r="P332" i="347"/>
  <c r="O332" i="347"/>
  <c r="B332" i="347"/>
  <c r="B332" i="347" a="1"/>
  <c r="P331" i="347"/>
  <c r="O331" i="347"/>
  <c r="B331" i="347"/>
  <c r="B331" i="347" a="1"/>
  <c r="P330" i="347"/>
  <c r="O330" i="347"/>
  <c r="B330" i="347"/>
  <c r="B330" i="347" a="1"/>
  <c r="P329" i="347"/>
  <c r="O329" i="347"/>
  <c r="B329" i="347"/>
  <c r="B329" i="347" a="1"/>
  <c r="P328" i="347"/>
  <c r="O328" i="347"/>
  <c r="B328" i="347"/>
  <c r="B328" i="347" a="1"/>
  <c r="P327" i="347"/>
  <c r="O327" i="347"/>
  <c r="B327" i="347"/>
  <c r="B327" i="347" a="1"/>
  <c r="P326" i="347"/>
  <c r="O326" i="347"/>
  <c r="B326" i="347"/>
  <c r="B326" i="347" a="1"/>
  <c r="P325" i="347"/>
  <c r="O325" i="347"/>
  <c r="B325" i="347"/>
  <c r="B325" i="347" a="1"/>
  <c r="P324" i="347"/>
  <c r="O324" i="347"/>
  <c r="B324" i="347"/>
  <c r="B324" i="347" a="1"/>
  <c r="P323" i="347"/>
  <c r="O323" i="347"/>
  <c r="B323" i="347"/>
  <c r="B323" i="347" a="1"/>
  <c r="P322" i="347"/>
  <c r="O322" i="347"/>
  <c r="B322" i="347"/>
  <c r="B322" i="347" a="1"/>
  <c r="P321" i="347"/>
  <c r="O321" i="347"/>
  <c r="B321" i="347"/>
  <c r="B321" i="347" a="1"/>
  <c r="P320" i="347"/>
  <c r="O320" i="347"/>
  <c r="B320" i="347"/>
  <c r="B320" i="347" a="1"/>
  <c r="P319" i="347"/>
  <c r="O319" i="347"/>
  <c r="B319" i="347"/>
  <c r="B319" i="347" a="1"/>
  <c r="P318" i="347"/>
  <c r="O318" i="347"/>
  <c r="B318" i="347"/>
  <c r="B318" i="347" a="1"/>
  <c r="P317" i="347"/>
  <c r="O317" i="347"/>
  <c r="B317" i="347"/>
  <c r="B317" i="347" a="1"/>
  <c r="P316" i="347"/>
  <c r="O316" i="347"/>
  <c r="B316" i="347"/>
  <c r="B316" i="347" a="1"/>
  <c r="P315" i="347"/>
  <c r="O315" i="347"/>
  <c r="B315" i="347"/>
  <c r="B315" i="347" a="1"/>
  <c r="P314" i="347"/>
  <c r="O314" i="347"/>
  <c r="B314" i="347"/>
  <c r="B314" i="347" a="1"/>
  <c r="P313" i="347"/>
  <c r="O313" i="347"/>
  <c r="B313" i="347"/>
  <c r="B313" i="347" a="1"/>
  <c r="P312" i="347"/>
  <c r="O312" i="347"/>
  <c r="B312" i="347"/>
  <c r="B312" i="347" a="1"/>
  <c r="P311" i="347"/>
  <c r="O311" i="347"/>
  <c r="B311" i="347"/>
  <c r="B311" i="347" a="1"/>
  <c r="P310" i="347"/>
  <c r="O310" i="347"/>
  <c r="B310" i="347"/>
  <c r="B310" i="347" a="1"/>
  <c r="P309" i="347"/>
  <c r="O309" i="347"/>
  <c r="B309" i="347"/>
  <c r="B309" i="347" a="1"/>
  <c r="P308" i="347"/>
  <c r="O308" i="347"/>
  <c r="B308" i="347"/>
  <c r="B308" i="347" a="1"/>
  <c r="P307" i="347"/>
  <c r="O307" i="347"/>
  <c r="B307" i="347"/>
  <c r="B307" i="347" a="1"/>
  <c r="P306" i="347"/>
  <c r="O306" i="347"/>
  <c r="B306" i="347"/>
  <c r="B306" i="347" a="1"/>
  <c r="P305" i="347"/>
  <c r="O305" i="347"/>
  <c r="B305" i="347"/>
  <c r="B305" i="347" a="1"/>
  <c r="P304" i="347"/>
  <c r="O304" i="347"/>
  <c r="B304" i="347"/>
  <c r="B304" i="347" a="1"/>
  <c r="P303" i="347"/>
  <c r="O303" i="347"/>
  <c r="B303" i="347"/>
  <c r="B303" i="347" a="1"/>
  <c r="P302" i="347"/>
  <c r="O302" i="347"/>
  <c r="B302" i="347"/>
  <c r="B302" i="347" a="1"/>
  <c r="P301" i="347"/>
  <c r="O301" i="347"/>
  <c r="B301" i="347"/>
  <c r="B301" i="347" a="1"/>
  <c r="P300" i="347"/>
  <c r="O300" i="347"/>
  <c r="B300" i="347"/>
  <c r="B300" i="347" a="1"/>
  <c r="P299" i="347"/>
  <c r="O299" i="347"/>
  <c r="B299" i="347"/>
  <c r="B299" i="347" a="1"/>
  <c r="P298" i="347"/>
  <c r="O298" i="347"/>
  <c r="B298" i="347"/>
  <c r="B298" i="347" a="1"/>
  <c r="P297" i="347"/>
  <c r="O297" i="347"/>
  <c r="B297" i="347"/>
  <c r="B297" i="347" a="1"/>
  <c r="P296" i="347"/>
  <c r="O296" i="347"/>
  <c r="B296" i="347"/>
  <c r="B296" i="347" a="1"/>
  <c r="P295" i="347"/>
  <c r="O295" i="347"/>
  <c r="B295" i="347"/>
  <c r="B295" i="347" a="1"/>
  <c r="P294" i="347"/>
  <c r="O294" i="347"/>
  <c r="B294" i="347"/>
  <c r="B294" i="347" a="1"/>
  <c r="P293" i="347"/>
  <c r="O293" i="347"/>
  <c r="B293" i="347"/>
  <c r="B293" i="347" a="1"/>
  <c r="P292" i="347"/>
  <c r="O292" i="347"/>
  <c r="B292" i="347"/>
  <c r="B292" i="347" a="1"/>
  <c r="P291" i="347"/>
  <c r="O291" i="347"/>
  <c r="B291" i="347"/>
  <c r="B291" i="347" a="1"/>
  <c r="P290" i="347"/>
  <c r="O290" i="347"/>
  <c r="B290" i="347"/>
  <c r="B290" i="347" a="1"/>
  <c r="P289" i="347"/>
  <c r="O289" i="347"/>
  <c r="B289" i="347"/>
  <c r="B289" i="347" a="1"/>
  <c r="P288" i="347"/>
  <c r="O288" i="347"/>
  <c r="B288" i="347"/>
  <c r="B288" i="347" a="1"/>
  <c r="P287" i="347"/>
  <c r="O287" i="347"/>
  <c r="B287" i="347"/>
  <c r="B287" i="347" a="1"/>
  <c r="P286" i="347"/>
  <c r="O286" i="347"/>
  <c r="B286" i="347"/>
  <c r="B286" i="347" a="1"/>
  <c r="P285" i="347"/>
  <c r="O285" i="347"/>
  <c r="B285" i="347"/>
  <c r="B285" i="347" a="1"/>
  <c r="P284" i="347"/>
  <c r="O284" i="347"/>
  <c r="B284" i="347"/>
  <c r="B284" i="347" a="1"/>
  <c r="P283" i="347"/>
  <c r="O283" i="347"/>
  <c r="B283" i="347"/>
  <c r="B283" i="347" a="1"/>
  <c r="P282" i="347"/>
  <c r="O282" i="347"/>
  <c r="B282" i="347"/>
  <c r="B282" i="347" a="1"/>
  <c r="P281" i="347"/>
  <c r="O281" i="347"/>
  <c r="B281" i="347"/>
  <c r="B281" i="347" a="1"/>
  <c r="P280" i="347"/>
  <c r="O280" i="347"/>
  <c r="B280" i="347"/>
  <c r="B280" i="347" a="1"/>
  <c r="P279" i="347"/>
  <c r="O279" i="347"/>
  <c r="B279" i="347"/>
  <c r="B279" i="347" a="1"/>
  <c r="P278" i="347"/>
  <c r="O278" i="347"/>
  <c r="B278" i="347"/>
  <c r="B278" i="347" a="1"/>
  <c r="P277" i="347"/>
  <c r="O277" i="347"/>
  <c r="B277" i="347"/>
  <c r="B277" i="347" a="1"/>
  <c r="P276" i="347"/>
  <c r="O276" i="347"/>
  <c r="B276" i="347"/>
  <c r="B276" i="347" a="1"/>
  <c r="P275" i="347"/>
  <c r="O275" i="347"/>
  <c r="B275" i="347"/>
  <c r="B275" i="347" a="1"/>
  <c r="P274" i="347"/>
  <c r="O274" i="347"/>
  <c r="B274" i="347"/>
  <c r="B274" i="347" a="1"/>
  <c r="P273" i="347"/>
  <c r="O273" i="347"/>
  <c r="B273" i="347"/>
  <c r="B273" i="347" a="1"/>
  <c r="P272" i="347"/>
  <c r="O272" i="347"/>
  <c r="B272" i="347"/>
  <c r="B272" i="347" a="1"/>
  <c r="P271" i="347"/>
  <c r="O271" i="347"/>
  <c r="B271" i="347"/>
  <c r="B271" i="347" a="1"/>
  <c r="P270" i="347"/>
  <c r="O270" i="347"/>
  <c r="B270" i="347"/>
  <c r="B270" i="347" a="1"/>
  <c r="P269" i="347"/>
  <c r="O269" i="347"/>
  <c r="B269" i="347"/>
  <c r="B269" i="347" a="1"/>
  <c r="P268" i="347"/>
  <c r="O268" i="347"/>
  <c r="B268" i="347"/>
  <c r="B268" i="347" a="1"/>
  <c r="P267" i="347"/>
  <c r="O267" i="347"/>
  <c r="B267" i="347"/>
  <c r="B267" i="347" a="1"/>
  <c r="P266" i="347"/>
  <c r="O266" i="347"/>
  <c r="B266" i="347"/>
  <c r="B266" i="347" a="1"/>
  <c r="P265" i="347"/>
  <c r="O265" i="347"/>
  <c r="B265" i="347"/>
  <c r="B265" i="347" a="1"/>
  <c r="P264" i="347"/>
  <c r="O264" i="347"/>
  <c r="B264" i="347"/>
  <c r="B264" i="347" a="1"/>
  <c r="P263" i="347"/>
  <c r="O263" i="347"/>
  <c r="B263" i="347"/>
  <c r="B263" i="347" a="1"/>
  <c r="P262" i="347"/>
  <c r="O262" i="347"/>
  <c r="B262" i="347"/>
  <c r="B262" i="347" a="1"/>
  <c r="P261" i="347"/>
  <c r="O261" i="347"/>
  <c r="B261" i="347"/>
  <c r="B261" i="347" a="1"/>
  <c r="P260" i="347"/>
  <c r="O260" i="347"/>
  <c r="B260" i="347"/>
  <c r="B260" i="347" a="1"/>
  <c r="P259" i="347"/>
  <c r="O259" i="347"/>
  <c r="B259" i="347"/>
  <c r="B259" i="347" a="1"/>
  <c r="P258" i="347"/>
  <c r="O258" i="347"/>
  <c r="B258" i="347"/>
  <c r="B258" i="347" a="1"/>
  <c r="P257" i="347"/>
  <c r="O257" i="347"/>
  <c r="B257" i="347"/>
  <c r="B257" i="347" a="1"/>
  <c r="P256" i="347"/>
  <c r="O256" i="347"/>
  <c r="B256" i="347"/>
  <c r="B256" i="347" a="1"/>
  <c r="P255" i="347"/>
  <c r="O255" i="347"/>
  <c r="B255" i="347"/>
  <c r="B255" i="347" a="1"/>
  <c r="P254" i="347"/>
  <c r="O254" i="347"/>
  <c r="B254" i="347"/>
  <c r="B254" i="347" a="1"/>
  <c r="P253" i="347"/>
  <c r="O253" i="347"/>
  <c r="B253" i="347"/>
  <c r="B253" i="347" a="1"/>
  <c r="P252" i="347"/>
  <c r="O252" i="347"/>
  <c r="B252" i="347"/>
  <c r="B252" i="347" a="1"/>
  <c r="P251" i="347"/>
  <c r="O251" i="347"/>
  <c r="B251" i="347"/>
  <c r="B251" i="347" a="1"/>
  <c r="P250" i="347"/>
  <c r="O250" i="347"/>
  <c r="B250" i="347"/>
  <c r="B250" i="347" a="1"/>
  <c r="P249" i="347"/>
  <c r="O249" i="347"/>
  <c r="B249" i="347"/>
  <c r="B249" i="347" a="1"/>
  <c r="P248" i="347"/>
  <c r="O248" i="347"/>
  <c r="B248" i="347"/>
  <c r="B248" i="347" a="1"/>
  <c r="P247" i="347"/>
  <c r="O247" i="347"/>
  <c r="B247" i="347"/>
  <c r="B247" i="347" a="1"/>
  <c r="P246" i="347"/>
  <c r="O246" i="347"/>
  <c r="B246" i="347"/>
  <c r="B246" i="347" a="1"/>
  <c r="P245" i="347"/>
  <c r="O245" i="347"/>
  <c r="B245" i="347"/>
  <c r="B245" i="347" a="1"/>
  <c r="P244" i="347"/>
  <c r="O244" i="347"/>
  <c r="B244" i="347"/>
  <c r="B244" i="347" a="1"/>
  <c r="P243" i="347"/>
  <c r="O243" i="347"/>
  <c r="B243" i="347"/>
  <c r="B243" i="347" a="1"/>
  <c r="P242" i="347"/>
  <c r="O242" i="347"/>
  <c r="B242" i="347"/>
  <c r="B242" i="347" a="1"/>
  <c r="P241" i="347"/>
  <c r="O241" i="347"/>
  <c r="B241" i="347"/>
  <c r="B241" i="347" a="1"/>
  <c r="P240" i="347"/>
  <c r="O240" i="347"/>
  <c r="B240" i="347"/>
  <c r="B240" i="347" a="1"/>
  <c r="P239" i="347"/>
  <c r="O239" i="347"/>
  <c r="B239" i="347"/>
  <c r="B239" i="347" a="1"/>
  <c r="P238" i="347"/>
  <c r="O238" i="347"/>
  <c r="B238" i="347"/>
  <c r="B238" i="347" a="1"/>
  <c r="P237" i="347"/>
  <c r="O237" i="347"/>
  <c r="B237" i="347"/>
  <c r="B237" i="347" a="1"/>
  <c r="P236" i="347"/>
  <c r="O236" i="347"/>
  <c r="B236" i="347"/>
  <c r="B236" i="347" a="1"/>
  <c r="P235" i="347"/>
  <c r="O235" i="347"/>
  <c r="B235" i="347"/>
  <c r="B235" i="347" a="1"/>
  <c r="P234" i="347"/>
  <c r="O234" i="347"/>
  <c r="B234" i="347"/>
  <c r="B234" i="347" a="1"/>
  <c r="P233" i="347"/>
  <c r="O233" i="347"/>
  <c r="B233" i="347"/>
  <c r="B233" i="347" a="1"/>
  <c r="P232" i="347"/>
  <c r="O232" i="347"/>
  <c r="B232" i="347"/>
  <c r="B232" i="347" a="1"/>
  <c r="P231" i="347"/>
  <c r="O231" i="347"/>
  <c r="B231" i="347"/>
  <c r="B231" i="347" a="1"/>
  <c r="P230" i="347"/>
  <c r="O230" i="347"/>
  <c r="B230" i="347"/>
  <c r="B230" i="347" a="1"/>
  <c r="P229" i="347"/>
  <c r="O229" i="347"/>
  <c r="B229" i="347"/>
  <c r="B229" i="347" a="1"/>
  <c r="P228" i="347"/>
  <c r="O228" i="347"/>
  <c r="B228" i="347"/>
  <c r="B228" i="347" a="1"/>
  <c r="P227" i="347"/>
  <c r="O227" i="347"/>
  <c r="B227" i="347"/>
  <c r="B227" i="347" a="1"/>
  <c r="P226" i="347"/>
  <c r="O226" i="347"/>
  <c r="B226" i="347"/>
  <c r="B226" i="347" a="1"/>
  <c r="P225" i="347"/>
  <c r="O225" i="347"/>
  <c r="B225" i="347"/>
  <c r="B225" i="347" a="1"/>
  <c r="P224" i="347"/>
  <c r="O224" i="347"/>
  <c r="B224" i="347"/>
  <c r="B224" i="347" a="1"/>
  <c r="P223" i="347"/>
  <c r="O223" i="347"/>
  <c r="B223" i="347"/>
  <c r="B223" i="347" a="1"/>
  <c r="P222" i="347"/>
  <c r="O222" i="347"/>
  <c r="B222" i="347"/>
  <c r="B222" i="347" a="1"/>
  <c r="P221" i="347"/>
  <c r="O221" i="347"/>
  <c r="B221" i="347"/>
  <c r="B221" i="347" a="1"/>
  <c r="P220" i="347"/>
  <c r="O220" i="347"/>
  <c r="B220" i="347"/>
  <c r="B220" i="347" a="1"/>
  <c r="P219" i="347"/>
  <c r="O219" i="347"/>
  <c r="B219" i="347"/>
  <c r="B219" i="347" a="1"/>
  <c r="P218" i="347"/>
  <c r="O218" i="347"/>
  <c r="B218" i="347"/>
  <c r="B218" i="347" a="1"/>
  <c r="P217" i="347"/>
  <c r="O217" i="347"/>
  <c r="B217" i="347"/>
  <c r="B217" i="347" a="1"/>
  <c r="P216" i="347"/>
  <c r="O216" i="347"/>
  <c r="B216" i="347"/>
  <c r="B216" i="347" a="1"/>
  <c r="P215" i="347"/>
  <c r="O215" i="347"/>
  <c r="B215" i="347"/>
  <c r="B215" i="347" a="1"/>
  <c r="P214" i="347"/>
  <c r="O214" i="347"/>
  <c r="B214" i="347"/>
  <c r="B214" i="347" a="1"/>
  <c r="P213" i="347"/>
  <c r="O213" i="347"/>
  <c r="B213" i="347"/>
  <c r="B213" i="347" a="1"/>
  <c r="P212" i="347"/>
  <c r="O212" i="347"/>
  <c r="B212" i="347"/>
  <c r="B212" i="347" a="1"/>
  <c r="P211" i="347"/>
  <c r="O211" i="347"/>
  <c r="B211" i="347"/>
  <c r="B211" i="347" a="1"/>
  <c r="P210" i="347"/>
  <c r="O210" i="347"/>
  <c r="B210" i="347"/>
  <c r="B210" i="347" a="1"/>
  <c r="P209" i="347"/>
  <c r="O209" i="347"/>
  <c r="B209" i="347"/>
  <c r="B209" i="347" a="1"/>
  <c r="P208" i="347"/>
  <c r="O208" i="347"/>
  <c r="B208" i="347"/>
  <c r="B208" i="347" a="1"/>
  <c r="P207" i="347"/>
  <c r="O207" i="347"/>
  <c r="B207" i="347"/>
  <c r="B207" i="347" a="1"/>
  <c r="P206" i="347"/>
  <c r="O206" i="347"/>
  <c r="B206" i="347"/>
  <c r="B206" i="347" a="1"/>
  <c r="P205" i="347"/>
  <c r="O205" i="347"/>
  <c r="B205" i="347"/>
  <c r="B205" i="347" a="1"/>
  <c r="P204" i="347"/>
  <c r="O204" i="347"/>
  <c r="B204" i="347"/>
  <c r="B204" i="347" a="1"/>
  <c r="P203" i="347"/>
  <c r="O203" i="347"/>
  <c r="B203" i="347"/>
  <c r="B203" i="347" a="1"/>
  <c r="P202" i="347"/>
  <c r="O202" i="347"/>
  <c r="B202" i="347"/>
  <c r="B202" i="347" a="1"/>
  <c r="P201" i="347"/>
  <c r="O201" i="347"/>
  <c r="B201" i="347"/>
  <c r="B201" i="347" a="1"/>
  <c r="P200" i="347"/>
  <c r="O200" i="347"/>
  <c r="B200" i="347"/>
  <c r="B200" i="347" a="1"/>
  <c r="P199" i="347"/>
  <c r="O199" i="347"/>
  <c r="B199" i="347"/>
  <c r="B199" i="347" a="1"/>
  <c r="P198" i="347"/>
  <c r="O198" i="347"/>
  <c r="B198" i="347"/>
  <c r="B198" i="347" a="1"/>
  <c r="P197" i="347"/>
  <c r="O197" i="347"/>
  <c r="B197" i="347"/>
  <c r="B197" i="347" a="1"/>
  <c r="P196" i="347"/>
  <c r="O196" i="347"/>
  <c r="B196" i="347"/>
  <c r="B196" i="347" a="1"/>
  <c r="P195" i="347"/>
  <c r="O195" i="347"/>
  <c r="B195" i="347"/>
  <c r="B195" i="347" a="1"/>
  <c r="P194" i="347"/>
  <c r="O194" i="347"/>
  <c r="B194" i="347"/>
  <c r="B194" i="347" a="1"/>
  <c r="P193" i="347"/>
  <c r="O193" i="347"/>
  <c r="B193" i="347"/>
  <c r="B193" i="347" a="1"/>
  <c r="P192" i="347"/>
  <c r="O192" i="347"/>
  <c r="B192" i="347"/>
  <c r="B192" i="347" a="1"/>
  <c r="P191" i="347"/>
  <c r="O191" i="347"/>
  <c r="B191" i="347"/>
  <c r="B191" i="347" a="1"/>
  <c r="P190" i="347"/>
  <c r="O190" i="347"/>
  <c r="B190" i="347"/>
  <c r="B190" i="347" a="1"/>
  <c r="P189" i="347"/>
  <c r="O189" i="347"/>
  <c r="B189" i="347"/>
  <c r="B189" i="347" a="1"/>
  <c r="P188" i="347"/>
  <c r="O188" i="347"/>
  <c r="B188" i="347"/>
  <c r="B188" i="347" a="1"/>
  <c r="P187" i="347"/>
  <c r="O187" i="347"/>
  <c r="B187" i="347"/>
  <c r="B187" i="347" a="1"/>
  <c r="P186" i="347"/>
  <c r="O186" i="347"/>
  <c r="B186" i="347"/>
  <c r="B186" i="347" a="1"/>
  <c r="P185" i="347"/>
  <c r="O185" i="347"/>
  <c r="B185" i="347"/>
  <c r="B185" i="347" a="1"/>
  <c r="P184" i="347"/>
  <c r="O184" i="347"/>
  <c r="B184" i="347"/>
  <c r="B184" i="347" a="1"/>
  <c r="P183" i="347"/>
  <c r="O183" i="347"/>
  <c r="B183" i="347"/>
  <c r="B183" i="347" a="1"/>
  <c r="P182" i="347"/>
  <c r="O182" i="347"/>
  <c r="B182" i="347"/>
  <c r="B182" i="347" a="1"/>
  <c r="P181" i="347"/>
  <c r="O181" i="347"/>
  <c r="B181" i="347"/>
  <c r="B181" i="347" a="1"/>
  <c r="P180" i="347"/>
  <c r="O180" i="347"/>
  <c r="B180" i="347"/>
  <c r="B180" i="347" a="1"/>
  <c r="P179" i="347"/>
  <c r="O179" i="347"/>
  <c r="B179" i="347"/>
  <c r="B179" i="347" a="1"/>
  <c r="P178" i="347"/>
  <c r="O178" i="347"/>
  <c r="B178" i="347"/>
  <c r="B178" i="347" a="1"/>
  <c r="P177" i="347"/>
  <c r="O177" i="347"/>
  <c r="B177" i="347"/>
  <c r="B177" i="347" a="1"/>
  <c r="P176" i="347"/>
  <c r="O176" i="347"/>
  <c r="B176" i="347"/>
  <c r="B176" i="347" a="1"/>
  <c r="P175" i="347"/>
  <c r="O175" i="347"/>
  <c r="B175" i="347"/>
  <c r="B175" i="347" a="1"/>
  <c r="P174" i="347"/>
  <c r="O174" i="347"/>
  <c r="B174" i="347"/>
  <c r="B174" i="347" a="1"/>
  <c r="P173" i="347"/>
  <c r="O173" i="347"/>
  <c r="B173" i="347"/>
  <c r="B173" i="347" a="1"/>
  <c r="P172" i="347"/>
  <c r="O172" i="347"/>
  <c r="B172" i="347"/>
  <c r="B172" i="347" a="1"/>
  <c r="P171" i="347"/>
  <c r="O171" i="347"/>
  <c r="B171" i="347"/>
  <c r="B171" i="347" a="1"/>
  <c r="P170" i="347"/>
  <c r="O170" i="347"/>
  <c r="B170" i="347"/>
  <c r="B170" i="347" a="1"/>
  <c r="P169" i="347"/>
  <c r="O169" i="347"/>
  <c r="B169" i="347"/>
  <c r="B169" i="347" a="1"/>
  <c r="P168" i="347"/>
  <c r="O168" i="347"/>
  <c r="B168" i="347"/>
  <c r="B168" i="347" a="1"/>
  <c r="P167" i="347"/>
  <c r="O167" i="347"/>
  <c r="B167" i="347"/>
  <c r="B167" i="347" a="1"/>
  <c r="P166" i="347"/>
  <c r="O166" i="347"/>
  <c r="B166" i="347"/>
  <c r="B166" i="347" a="1"/>
  <c r="P165" i="347"/>
  <c r="O165" i="347"/>
  <c r="B165" i="347"/>
  <c r="B165" i="347" a="1"/>
  <c r="P164" i="347"/>
  <c r="O164" i="347"/>
  <c r="B164" i="347"/>
  <c r="B164" i="347" a="1"/>
  <c r="P163" i="347"/>
  <c r="O163" i="347"/>
  <c r="B163" i="347"/>
  <c r="B163" i="347" a="1"/>
  <c r="P162" i="347"/>
  <c r="O162" i="347"/>
  <c r="B162" i="347"/>
  <c r="B162" i="347" a="1"/>
  <c r="P161" i="347"/>
  <c r="O161" i="347"/>
  <c r="B161" i="347"/>
  <c r="B161" i="347" a="1"/>
  <c r="P160" i="347"/>
  <c r="O160" i="347"/>
  <c r="B160" i="347"/>
  <c r="B160" i="347" a="1"/>
  <c r="P159" i="347"/>
  <c r="O159" i="347"/>
  <c r="B159" i="347"/>
  <c r="B159" i="347" a="1"/>
  <c r="P158" i="347"/>
  <c r="O158" i="347"/>
  <c r="B158" i="347"/>
  <c r="B158" i="347" a="1"/>
  <c r="P157" i="347"/>
  <c r="O157" i="347"/>
  <c r="B157" i="347"/>
  <c r="B157" i="347" a="1"/>
  <c r="P156" i="347"/>
  <c r="O156" i="347"/>
  <c r="B156" i="347"/>
  <c r="B156" i="347" a="1"/>
  <c r="P155" i="347"/>
  <c r="O155" i="347"/>
  <c r="B155" i="347"/>
  <c r="B155" i="347" a="1"/>
  <c r="P154" i="347"/>
  <c r="O154" i="347"/>
  <c r="B154" i="347"/>
  <c r="B154" i="347" a="1"/>
  <c r="P153" i="347"/>
  <c r="O153" i="347"/>
  <c r="B153" i="347"/>
  <c r="B153" i="347" a="1"/>
  <c r="P152" i="347"/>
  <c r="O152" i="347"/>
  <c r="B152" i="347"/>
  <c r="B152" i="347" a="1"/>
  <c r="P151" i="347"/>
  <c r="O151" i="347"/>
  <c r="B151" i="347"/>
  <c r="B151" i="347" a="1"/>
  <c r="P150" i="347"/>
  <c r="O150" i="347"/>
  <c r="B150" i="347"/>
  <c r="B150" i="347" a="1"/>
  <c r="P149" i="347"/>
  <c r="O149" i="347"/>
  <c r="B149" i="347"/>
  <c r="B149" i="347" a="1"/>
  <c r="P148" i="347"/>
  <c r="O148" i="347"/>
  <c r="B148" i="347"/>
  <c r="B148" i="347" a="1"/>
  <c r="P147" i="347"/>
  <c r="O147" i="347"/>
  <c r="B147" i="347"/>
  <c r="B147" i="347" a="1"/>
  <c r="P146" i="347"/>
  <c r="O146" i="347"/>
  <c r="B146" i="347"/>
  <c r="B146" i="347" a="1"/>
  <c r="P145" i="347"/>
  <c r="O145" i="347"/>
  <c r="B145" i="347"/>
  <c r="B145" i="347" a="1"/>
  <c r="P144" i="347"/>
  <c r="O144" i="347"/>
  <c r="B144" i="347"/>
  <c r="B144" i="347" a="1"/>
  <c r="P143" i="347"/>
  <c r="O143" i="347"/>
  <c r="B143" i="347"/>
  <c r="B143" i="347" a="1"/>
  <c r="P142" i="347"/>
  <c r="O142" i="347"/>
  <c r="B142" i="347"/>
  <c r="B142" i="347" a="1"/>
  <c r="P141" i="347"/>
  <c r="O141" i="347"/>
  <c r="B141" i="347"/>
  <c r="B141" i="347" a="1"/>
  <c r="P140" i="347"/>
  <c r="O140" i="347"/>
  <c r="B140" i="347"/>
  <c r="B140" i="347" a="1"/>
  <c r="P139" i="347"/>
  <c r="O139" i="347"/>
  <c r="B139" i="347"/>
  <c r="B139" i="347" a="1"/>
  <c r="P138" i="347"/>
  <c r="O138" i="347"/>
  <c r="B138" i="347"/>
  <c r="B138" i="347" a="1"/>
  <c r="P137" i="347"/>
  <c r="O137" i="347"/>
  <c r="B137" i="347"/>
  <c r="B137" i="347" a="1"/>
  <c r="P136" i="347"/>
  <c r="O136" i="347"/>
  <c r="B136" i="347"/>
  <c r="B136" i="347" a="1"/>
  <c r="P135" i="347"/>
  <c r="O135" i="347"/>
  <c r="B135" i="347"/>
  <c r="B135" i="347" a="1"/>
  <c r="P134" i="347"/>
  <c r="O134" i="347"/>
  <c r="B134" i="347"/>
  <c r="B134" i="347" a="1"/>
  <c r="P133" i="347"/>
  <c r="O133" i="347"/>
  <c r="B133" i="347"/>
  <c r="B133" i="347" a="1"/>
  <c r="P132" i="347"/>
  <c r="O132" i="347"/>
  <c r="B132" i="347"/>
  <c r="B132" i="347" a="1"/>
  <c r="P131" i="347"/>
  <c r="O131" i="347"/>
  <c r="B131" i="347"/>
  <c r="B131" i="347" a="1"/>
  <c r="P130" i="347"/>
  <c r="O130" i="347"/>
  <c r="B130" i="347"/>
  <c r="B130" i="347" a="1"/>
  <c r="P129" i="347"/>
  <c r="O129" i="347"/>
  <c r="B129" i="347"/>
  <c r="B129" i="347" a="1"/>
  <c r="P128" i="347"/>
  <c r="O128" i="347"/>
  <c r="B128" i="347"/>
  <c r="B128" i="347" a="1"/>
  <c r="P127" i="347"/>
  <c r="O127" i="347"/>
  <c r="B127" i="347"/>
  <c r="B127" i="347" a="1"/>
  <c r="P126" i="347"/>
  <c r="O126" i="347"/>
  <c r="B126" i="347"/>
  <c r="B126" i="347" a="1"/>
  <c r="P125" i="347"/>
  <c r="O125" i="347"/>
  <c r="B125" i="347"/>
  <c r="B125" i="347" a="1"/>
  <c r="P124" i="347"/>
  <c r="O124" i="347"/>
  <c r="B124" i="347"/>
  <c r="B124" i="347" a="1"/>
  <c r="P123" i="347"/>
  <c r="O123" i="347"/>
  <c r="B123" i="347"/>
  <c r="B123" i="347" a="1"/>
  <c r="P122" i="347"/>
  <c r="O122" i="347"/>
  <c r="B122" i="347"/>
  <c r="B122" i="347" a="1"/>
  <c r="P121" i="347"/>
  <c r="O121" i="347"/>
  <c r="B121" i="347"/>
  <c r="B121" i="347" a="1"/>
  <c r="P120" i="347"/>
  <c r="O120" i="347"/>
  <c r="B120" i="347"/>
  <c r="B120" i="347" a="1"/>
  <c r="P119" i="347"/>
  <c r="O119" i="347"/>
  <c r="B119" i="347"/>
  <c r="B119" i="347" a="1"/>
  <c r="P118" i="347"/>
  <c r="O118" i="347"/>
  <c r="B118" i="347"/>
  <c r="B118" i="347" a="1"/>
  <c r="P117" i="347"/>
  <c r="O117" i="347"/>
  <c r="B117" i="347"/>
  <c r="B117" i="347" a="1"/>
  <c r="P116" i="347"/>
  <c r="O116" i="347"/>
  <c r="B116" i="347"/>
  <c r="B116" i="347" a="1"/>
  <c r="P115" i="347"/>
  <c r="O115" i="347"/>
  <c r="B115" i="347"/>
  <c r="B115" i="347" a="1"/>
  <c r="P114" i="347"/>
  <c r="O114" i="347"/>
  <c r="B114" i="347"/>
  <c r="B114" i="347" a="1"/>
  <c r="P113" i="347"/>
  <c r="O113" i="347"/>
  <c r="B113" i="347"/>
  <c r="B113" i="347" a="1"/>
  <c r="P112" i="347"/>
  <c r="O112" i="347"/>
  <c r="B112" i="347"/>
  <c r="B112" i="347" a="1"/>
  <c r="P111" i="347"/>
  <c r="O111" i="347"/>
  <c r="B111" i="347"/>
  <c r="B111" i="347" a="1"/>
  <c r="P110" i="347"/>
  <c r="O110" i="347"/>
  <c r="B110" i="347"/>
  <c r="B110" i="347" a="1"/>
  <c r="P109" i="347"/>
  <c r="O109" i="347"/>
  <c r="B109" i="347"/>
  <c r="B109" i="347" a="1"/>
  <c r="P108" i="347"/>
  <c r="O108" i="347"/>
  <c r="B108" i="347"/>
  <c r="B108" i="347" a="1"/>
  <c r="P107" i="347"/>
  <c r="O107" i="347"/>
  <c r="B107" i="347"/>
  <c r="B107" i="347" a="1"/>
  <c r="P106" i="347"/>
  <c r="O106" i="347"/>
  <c r="B106" i="347"/>
  <c r="B106" i="347" a="1"/>
  <c r="P105" i="347"/>
  <c r="O105" i="347"/>
  <c r="B105" i="347"/>
  <c r="B105" i="347" a="1"/>
  <c r="P104" i="347"/>
  <c r="O104" i="347"/>
  <c r="B104" i="347"/>
  <c r="B104" i="347" a="1"/>
  <c r="P103" i="347"/>
  <c r="O103" i="347"/>
  <c r="B103" i="347"/>
  <c r="B103" i="347" a="1"/>
  <c r="P102" i="347"/>
  <c r="O102" i="347"/>
  <c r="B102" i="347"/>
  <c r="B102" i="347" a="1"/>
  <c r="P101" i="347"/>
  <c r="O101" i="347"/>
  <c r="B101" i="347"/>
  <c r="B101" i="347" a="1"/>
  <c r="P100" i="347"/>
  <c r="O100" i="347"/>
  <c r="B100" i="347"/>
  <c r="B100" i="347" a="1"/>
  <c r="P99" i="347"/>
  <c r="O99" i="347"/>
  <c r="B99" i="347"/>
  <c r="B99" i="347" a="1"/>
  <c r="P98" i="347"/>
  <c r="O98" i="347"/>
  <c r="B98" i="347"/>
  <c r="B98" i="347" a="1"/>
  <c r="P97" i="347"/>
  <c r="O97" i="347"/>
  <c r="B97" i="347"/>
  <c r="B97" i="347" a="1"/>
  <c r="P96" i="347"/>
  <c r="O96" i="347"/>
  <c r="B96" i="347"/>
  <c r="B96" i="347" a="1"/>
  <c r="P95" i="347"/>
  <c r="O95" i="347"/>
  <c r="B95" i="347"/>
  <c r="B95" i="347" a="1"/>
  <c r="P94" i="347"/>
  <c r="O94" i="347"/>
  <c r="B94" i="347"/>
  <c r="B94" i="347" a="1"/>
  <c r="P93" i="347"/>
  <c r="O93" i="347"/>
  <c r="B93" i="347"/>
  <c r="B93" i="347" a="1"/>
  <c r="P92" i="347"/>
  <c r="O92" i="347"/>
  <c r="B92" i="347"/>
  <c r="B92" i="347" a="1"/>
  <c r="P91" i="347"/>
  <c r="O91" i="347"/>
  <c r="B91" i="347"/>
  <c r="B91" i="347" a="1"/>
  <c r="P90" i="347"/>
  <c r="O90" i="347"/>
  <c r="B90" i="347"/>
  <c r="B90" i="347" a="1"/>
  <c r="P89" i="347"/>
  <c r="O89" i="347"/>
  <c r="B89" i="347"/>
  <c r="B89" i="347" a="1"/>
  <c r="P88" i="347"/>
  <c r="O88" i="347"/>
  <c r="B88" i="347"/>
  <c r="B88" i="347" a="1"/>
  <c r="P87" i="347"/>
  <c r="O87" i="347"/>
  <c r="B87" i="347"/>
  <c r="B87" i="347" a="1"/>
  <c r="P86" i="347"/>
  <c r="O86" i="347"/>
  <c r="B86" i="347"/>
  <c r="B86" i="347" a="1"/>
  <c r="P85" i="347"/>
  <c r="O85" i="347"/>
  <c r="B85" i="347"/>
  <c r="B85" i="347" a="1"/>
  <c r="P84" i="347"/>
  <c r="O84" i="347"/>
  <c r="B84" i="347"/>
  <c r="B84" i="347" a="1"/>
  <c r="P83" i="347"/>
  <c r="O83" i="347"/>
  <c r="B83" i="347"/>
  <c r="B83" i="347" a="1"/>
  <c r="P82" i="347"/>
  <c r="O82" i="347"/>
  <c r="B82" i="347"/>
  <c r="B82" i="347" a="1"/>
  <c r="P81" i="347"/>
  <c r="O81" i="347"/>
  <c r="B81" i="347"/>
  <c r="B81" i="347" a="1"/>
  <c r="P80" i="347"/>
  <c r="O80" i="347"/>
  <c r="B80" i="347"/>
  <c r="B80" i="347" a="1"/>
  <c r="P79" i="347"/>
  <c r="O79" i="347"/>
  <c r="B79" i="347"/>
  <c r="B79" i="347" a="1"/>
  <c r="P78" i="347"/>
  <c r="O78" i="347"/>
  <c r="B78" i="347"/>
  <c r="B78" i="347" a="1"/>
  <c r="P77" i="347"/>
  <c r="O77" i="347"/>
  <c r="B77" i="347"/>
  <c r="B77" i="347" a="1"/>
  <c r="P76" i="347"/>
  <c r="O76" i="347"/>
  <c r="B76" i="347"/>
  <c r="B76" i="347" a="1"/>
  <c r="P75" i="347"/>
  <c r="O75" i="347"/>
  <c r="B75" i="347"/>
  <c r="B75" i="347" a="1"/>
  <c r="P74" i="347"/>
  <c r="O74" i="347"/>
  <c r="B74" i="347"/>
  <c r="B74" i="347" a="1"/>
  <c r="P73" i="347"/>
  <c r="O73" i="347"/>
  <c r="B73" i="347"/>
  <c r="B73" i="347" a="1"/>
  <c r="P72" i="347"/>
  <c r="O72" i="347"/>
  <c r="B72" i="347"/>
  <c r="B72" i="347" a="1"/>
  <c r="P71" i="347"/>
  <c r="O71" i="347"/>
  <c r="B71" i="347"/>
  <c r="B71" i="347" a="1"/>
  <c r="P70" i="347"/>
  <c r="O70" i="347"/>
  <c r="B70" i="347"/>
  <c r="B70" i="347" a="1"/>
  <c r="P69" i="347"/>
  <c r="O69" i="347"/>
  <c r="B69" i="347"/>
  <c r="B69" i="347" a="1"/>
  <c r="P68" i="347"/>
  <c r="O68" i="347"/>
  <c r="B68" i="347"/>
  <c r="B68" i="347" a="1"/>
  <c r="P67" i="347"/>
  <c r="O67" i="347"/>
  <c r="B67" i="347"/>
  <c r="B67" i="347" a="1"/>
  <c r="P66" i="347"/>
  <c r="O66" i="347"/>
  <c r="B66" i="347"/>
  <c r="B66" i="347" a="1"/>
  <c r="P65" i="347"/>
  <c r="O65" i="347"/>
  <c r="B65" i="347"/>
  <c r="B65" i="347" a="1"/>
  <c r="P64" i="347"/>
  <c r="O64" i="347"/>
  <c r="B64" i="347"/>
  <c r="B64" i="347" a="1"/>
  <c r="P63" i="347"/>
  <c r="O63" i="347"/>
  <c r="B63" i="347"/>
  <c r="B63" i="347" a="1"/>
  <c r="P62" i="347"/>
  <c r="O62" i="347"/>
  <c r="B62" i="347"/>
  <c r="B62" i="347" a="1"/>
  <c r="P61" i="347"/>
  <c r="O61" i="347"/>
  <c r="B61" i="347"/>
  <c r="B61" i="347" a="1"/>
  <c r="P60" i="347"/>
  <c r="O60" i="347"/>
  <c r="B60" i="347"/>
  <c r="B60" i="347" a="1"/>
  <c r="P59" i="347"/>
  <c r="O59" i="347"/>
  <c r="B59" i="347"/>
  <c r="B59" i="347" a="1"/>
  <c r="P58" i="347"/>
  <c r="O58" i="347"/>
  <c r="B58" i="347"/>
  <c r="B58" i="347" a="1"/>
  <c r="P57" i="347"/>
  <c r="O57" i="347"/>
  <c r="B57" i="347"/>
  <c r="B57" i="347" a="1"/>
  <c r="P56" i="347"/>
  <c r="O56" i="347"/>
  <c r="B56" i="347"/>
  <c r="B56" i="347" a="1"/>
  <c r="P55" i="347"/>
  <c r="O55" i="347"/>
  <c r="B55" i="347"/>
  <c r="B55" i="347" a="1"/>
  <c r="P54" i="347"/>
  <c r="O54" i="347"/>
  <c r="B54" i="347"/>
  <c r="B54" i="347" a="1"/>
  <c r="P53" i="347"/>
  <c r="O53" i="347"/>
  <c r="B53" i="347"/>
  <c r="B53" i="347" a="1"/>
  <c r="P52" i="347"/>
  <c r="O52" i="347"/>
  <c r="B52" i="347"/>
  <c r="B52" i="347" a="1"/>
  <c r="P51" i="347"/>
  <c r="O51" i="347"/>
  <c r="B51" i="347"/>
  <c r="B51" i="347" a="1"/>
  <c r="P50" i="347"/>
  <c r="O50" i="347"/>
  <c r="B50" i="347"/>
  <c r="B50" i="347" a="1"/>
  <c r="P49" i="347"/>
  <c r="O49" i="347"/>
  <c r="B49" i="347"/>
  <c r="B49" i="347" a="1"/>
  <c r="P48" i="347"/>
  <c r="O48" i="347"/>
  <c r="B48" i="347"/>
  <c r="B48" i="347" a="1"/>
  <c r="P47" i="347"/>
  <c r="O47" i="347"/>
  <c r="B47" i="347"/>
  <c r="B47" i="347" a="1"/>
  <c r="P46" i="347"/>
  <c r="O46" i="347"/>
  <c r="B46" i="347"/>
  <c r="B46" i="347" a="1"/>
  <c r="P45" i="347"/>
  <c r="O45" i="347"/>
  <c r="B45" i="347"/>
  <c r="B45" i="347" a="1"/>
  <c r="P44" i="347"/>
  <c r="O44" i="347"/>
  <c r="B44" i="347"/>
  <c r="B44" i="347" a="1"/>
  <c r="P43" i="347"/>
  <c r="O43" i="347"/>
  <c r="B43" i="347"/>
  <c r="B43" i="347" a="1"/>
  <c r="P42" i="347"/>
  <c r="O42" i="347"/>
  <c r="B42" i="347"/>
  <c r="B42" i="347" a="1"/>
  <c r="P41" i="347"/>
  <c r="O41" i="347"/>
  <c r="B41" i="347"/>
  <c r="B41" i="347" a="1"/>
  <c r="P40" i="347"/>
  <c r="O40" i="347"/>
  <c r="B40" i="347"/>
  <c r="B40" i="347" a="1"/>
  <c r="P39" i="347"/>
  <c r="O39" i="347"/>
  <c r="B39" i="347"/>
  <c r="B39" i="347" a="1"/>
  <c r="P38" i="347"/>
  <c r="O38" i="347"/>
  <c r="B38" i="347"/>
  <c r="B38" i="347" a="1"/>
  <c r="P37" i="347"/>
  <c r="O37" i="347"/>
  <c r="B37" i="347"/>
  <c r="B37" i="347" a="1"/>
  <c r="P36" i="347"/>
  <c r="O36" i="347"/>
  <c r="B36" i="347"/>
  <c r="B36" i="347" a="1"/>
  <c r="P35" i="347"/>
  <c r="O35" i="347"/>
  <c r="B35" i="347"/>
  <c r="B35" i="347" a="1"/>
  <c r="P34" i="347"/>
  <c r="O34" i="347"/>
  <c r="B34" i="347"/>
  <c r="B34" i="347" a="1"/>
  <c r="P33" i="347"/>
  <c r="O33" i="347"/>
  <c r="B33" i="347"/>
  <c r="B33" i="347" a="1"/>
  <c r="P32" i="347"/>
  <c r="O32" i="347"/>
  <c r="B32" i="347"/>
  <c r="B32" i="347" a="1"/>
  <c r="P31" i="347"/>
  <c r="O31" i="347"/>
  <c r="B31" i="347"/>
  <c r="B31" i="347" a="1"/>
  <c r="P30" i="347"/>
  <c r="O30" i="347"/>
  <c r="B30" i="347"/>
  <c r="B30" i="347" a="1"/>
  <c r="P29" i="347"/>
  <c r="O29" i="347"/>
  <c r="B29" i="347"/>
  <c r="B29" i="347" a="1"/>
  <c r="P28" i="347"/>
  <c r="O28" i="347"/>
  <c r="B28" i="347"/>
  <c r="B28" i="347" a="1"/>
  <c r="P27" i="347"/>
  <c r="O27" i="347"/>
  <c r="B27" i="347"/>
  <c r="B27" i="347" a="1"/>
  <c r="P26" i="347"/>
  <c r="O26" i="347"/>
  <c r="B26" i="347"/>
  <c r="B26" i="347" a="1"/>
  <c r="P25" i="347"/>
  <c r="O25" i="347"/>
  <c r="B25" i="347"/>
  <c r="B25" i="347" a="1"/>
  <c r="P24" i="347"/>
  <c r="O24" i="347"/>
  <c r="B24" i="347"/>
  <c r="B24" i="347" a="1"/>
  <c r="P23" i="347"/>
  <c r="O23" i="347"/>
  <c r="B23" i="347"/>
  <c r="B23" i="347" a="1"/>
  <c r="P22" i="347"/>
  <c r="O22" i="347"/>
  <c r="B22" i="347"/>
  <c r="B22" i="347" a="1"/>
  <c r="P21" i="347"/>
  <c r="O21" i="347"/>
  <c r="B21" i="347"/>
  <c r="B21" i="347" a="1"/>
  <c r="P20" i="347"/>
  <c r="O20" i="347"/>
  <c r="B20" i="347"/>
  <c r="B20" i="347" a="1"/>
  <c r="P19" i="347"/>
  <c r="O19" i="347"/>
  <c r="B19" i="347"/>
  <c r="B19" i="347" a="1"/>
  <c r="P18" i="347"/>
  <c r="O18" i="347"/>
  <c r="B18" i="347"/>
  <c r="B18" i="347" a="1"/>
  <c r="P17" i="347"/>
  <c r="O17" i="347"/>
  <c r="B17" i="347"/>
  <c r="B17" i="347" a="1"/>
  <c r="P16" i="347"/>
  <c r="O16" i="347"/>
  <c r="B16" i="347"/>
  <c r="B16" i="347" a="1"/>
  <c r="P15" i="347"/>
  <c r="O15" i="347"/>
  <c r="B15" i="347"/>
  <c r="B15" i="347" a="1"/>
  <c r="P14" i="347"/>
  <c r="O14" i="347"/>
  <c r="B14" i="347"/>
  <c r="B14" i="347" a="1"/>
  <c r="P13" i="347"/>
  <c r="O13" i="347"/>
  <c r="B13" i="347"/>
  <c r="B13" i="347" a="1"/>
  <c r="P12" i="347"/>
  <c r="O12" i="347"/>
  <c r="B12" i="347"/>
  <c r="B12" i="347" a="1"/>
  <c r="P11" i="347"/>
  <c r="O11" i="347"/>
  <c r="B11" i="347"/>
  <c r="B11" i="347" a="1"/>
  <c r="P10" i="347"/>
  <c r="O10" i="347"/>
  <c r="B10" i="347"/>
  <c r="B10" i="347" a="1"/>
  <c r="P9" i="347"/>
  <c r="O9" i="347"/>
  <c r="B9" i="347"/>
  <c r="B9" i="347" a="1"/>
  <c r="P8" i="347"/>
  <c r="O8" i="347"/>
  <c r="B8" i="347"/>
  <c r="B8" i="347" a="1"/>
  <c r="P7" i="347"/>
  <c r="O7" i="347"/>
  <c r="B7" i="347"/>
  <c r="B7" i="347" a="1"/>
  <c r="P6" i="347"/>
  <c r="O6" i="347"/>
  <c r="B6" i="347"/>
  <c r="B6" i="347" a="1"/>
  <c r="P5" i="347"/>
  <c r="O5" i="347"/>
  <c r="B5" i="347"/>
  <c r="B5" i="347" a="1"/>
  <c r="F20" i="349"/>
  <c r="C20" i="349"/>
  <c r="F19" i="349"/>
  <c r="C19" i="349"/>
  <c r="F18" i="349"/>
  <c r="C18" i="349"/>
  <c r="F17" i="349"/>
  <c r="C17" i="349"/>
  <c r="F16" i="349"/>
  <c r="C16" i="349"/>
  <c r="F15" i="349"/>
  <c r="C15" i="349"/>
  <c r="O11" i="349"/>
  <c r="N11" i="349"/>
  <c r="M11" i="349"/>
  <c r="L11" i="349"/>
  <c r="K11" i="349"/>
  <c r="J11" i="349"/>
  <c r="G11" i="349"/>
  <c r="F11" i="349"/>
  <c r="E11" i="349"/>
  <c r="D11" i="349"/>
  <c r="C11" i="349"/>
  <c r="O10" i="349"/>
  <c r="N10" i="349"/>
  <c r="M10" i="349"/>
  <c r="L10" i="349"/>
  <c r="K10" i="349"/>
  <c r="J10" i="349"/>
  <c r="G10" i="349"/>
  <c r="F10" i="349"/>
  <c r="E10" i="349"/>
  <c r="D10" i="349"/>
  <c r="C10" i="349"/>
  <c r="O9" i="349"/>
  <c r="N9" i="349"/>
  <c r="M9" i="349"/>
  <c r="L9" i="349"/>
  <c r="K9" i="349"/>
  <c r="J9" i="349"/>
  <c r="G9" i="349"/>
  <c r="F9" i="349"/>
  <c r="E9" i="349"/>
  <c r="D9" i="349"/>
  <c r="C9" i="349"/>
  <c r="O8" i="349"/>
  <c r="N8" i="349"/>
  <c r="M8" i="349"/>
  <c r="L8" i="349"/>
  <c r="K8" i="349"/>
  <c r="J8" i="349"/>
  <c r="G8" i="349"/>
  <c r="F8" i="349"/>
  <c r="E8" i="349"/>
  <c r="D8" i="349"/>
  <c r="C8" i="349"/>
  <c r="O7" i="349"/>
  <c r="N7" i="349"/>
  <c r="M7" i="349"/>
  <c r="L7" i="349"/>
  <c r="K7" i="349"/>
  <c r="J7" i="349"/>
  <c r="G7" i="349"/>
  <c r="F7" i="349"/>
  <c r="E7" i="349"/>
  <c r="D7" i="349"/>
  <c r="C7" i="349"/>
  <c r="O6" i="349"/>
  <c r="N6" i="349"/>
  <c r="M6" i="349"/>
  <c r="L6" i="349"/>
  <c r="K6" i="349"/>
  <c r="J6" i="349"/>
  <c r="G6" i="349"/>
  <c r="F6" i="349"/>
  <c r="E6" i="349"/>
  <c r="D6" i="349"/>
  <c r="C6" i="349"/>
  <c r="B2" i="349"/>
  <c r="F88" i="352" a="1"/>
  <c r="F88" i="352" s="1"/>
  <c r="E88" i="352" a="1"/>
  <c r="E88" i="352" s="1"/>
  <c r="D88" i="352" a="1"/>
  <c r="D88" i="352" s="1"/>
  <c r="F87" i="352" a="1"/>
  <c r="F87" i="352" s="1"/>
  <c r="E87" i="352" a="1"/>
  <c r="E87" i="352" s="1"/>
  <c r="D87" i="352" a="1"/>
  <c r="D87" i="352" s="1"/>
  <c r="F86" i="352" a="1"/>
  <c r="F86" i="352" s="1"/>
  <c r="E86" i="352" a="1"/>
  <c r="E86" i="352" s="1"/>
  <c r="D86" i="352" a="1"/>
  <c r="D86" i="352" s="1"/>
  <c r="F85" i="352" a="1"/>
  <c r="F85" i="352" s="1"/>
  <c r="E85" i="352" a="1"/>
  <c r="E85" i="352" s="1"/>
  <c r="D85" i="352" a="1"/>
  <c r="D85" i="352" s="1"/>
  <c r="F84" i="352" a="1"/>
  <c r="F84" i="352" s="1"/>
  <c r="E84" i="352" a="1"/>
  <c r="E84" i="352" s="1"/>
  <c r="D84" i="352" a="1"/>
  <c r="D84" i="352" s="1"/>
  <c r="F83" i="352" a="1"/>
  <c r="F83" i="352" s="1"/>
  <c r="E83" i="352" a="1"/>
  <c r="E83" i="352" s="1"/>
  <c r="D83" i="352" a="1"/>
  <c r="D83" i="352" s="1"/>
  <c r="F82" i="352" a="1"/>
  <c r="F82" i="352" s="1"/>
  <c r="E82" i="352" a="1"/>
  <c r="E82" i="352" s="1"/>
  <c r="D82" i="352" a="1"/>
  <c r="D82" i="352" s="1"/>
  <c r="F81" i="352" a="1"/>
  <c r="F81" i="352" s="1"/>
  <c r="E81" i="352" a="1"/>
  <c r="E81" i="352" s="1"/>
  <c r="D81" i="352" a="1"/>
  <c r="D81" i="352" s="1"/>
  <c r="F80" i="352" a="1"/>
  <c r="F80" i="352" s="1"/>
  <c r="E80" i="352" a="1"/>
  <c r="E80" i="352" s="1"/>
  <c r="D80" i="352" a="1"/>
  <c r="D80" i="352" s="1"/>
  <c r="F79" i="352" a="1"/>
  <c r="F79" i="352" s="1"/>
  <c r="E79" i="352" a="1"/>
  <c r="E79" i="352" s="1"/>
  <c r="D79" i="352" a="1"/>
  <c r="D79" i="352" s="1"/>
  <c r="F78" i="352" a="1"/>
  <c r="F78" i="352" s="1"/>
  <c r="E78" i="352" a="1"/>
  <c r="E78" i="352" s="1"/>
  <c r="D78" i="352" a="1"/>
  <c r="D78" i="352" s="1"/>
  <c r="F77" i="352" a="1"/>
  <c r="F77" i="352" s="1"/>
  <c r="E77" i="352" a="1"/>
  <c r="E77" i="352" s="1"/>
  <c r="D77" i="352" a="1"/>
  <c r="D77" i="352" s="1"/>
  <c r="F76" i="352" a="1"/>
  <c r="F76" i="352" s="1"/>
  <c r="E76" i="352" a="1"/>
  <c r="E76" i="352" s="1"/>
  <c r="D76" i="352" a="1"/>
  <c r="D76" i="352" s="1"/>
  <c r="F75" i="352" a="1"/>
  <c r="F75" i="352" s="1"/>
  <c r="E75" i="352" a="1"/>
  <c r="E75" i="352" s="1"/>
  <c r="D75" i="352" a="1"/>
  <c r="D75" i="352" s="1"/>
  <c r="F74" i="352" a="1"/>
  <c r="F74" i="352" s="1"/>
  <c r="E74" i="352" a="1"/>
  <c r="E74" i="352" s="1"/>
  <c r="D74" i="352" a="1"/>
  <c r="D74" i="352" s="1"/>
  <c r="F73" i="352" a="1"/>
  <c r="F73" i="352" s="1"/>
  <c r="E73" i="352" a="1"/>
  <c r="E73" i="352" s="1"/>
  <c r="D73" i="352" a="1"/>
  <c r="D73" i="352" s="1"/>
  <c r="F72" i="352" a="1"/>
  <c r="F72" i="352" s="1"/>
  <c r="E72" i="352" a="1"/>
  <c r="E72" i="352" s="1"/>
  <c r="D72" i="352" a="1"/>
  <c r="D72" i="352" s="1"/>
  <c r="F71" i="352" a="1"/>
  <c r="F71" i="352" s="1"/>
  <c r="E71" i="352" a="1"/>
  <c r="E71" i="352" s="1"/>
  <c r="D71" i="352" a="1"/>
  <c r="D71" i="352" s="1"/>
  <c r="F70" i="352" a="1"/>
  <c r="F70" i="352" s="1"/>
  <c r="E70" i="352" a="1"/>
  <c r="E70" i="352" s="1"/>
  <c r="D70" i="352" a="1"/>
  <c r="D70" i="352" s="1"/>
  <c r="F69" i="352" a="1"/>
  <c r="F69" i="352" s="1"/>
  <c r="E69" i="352" a="1"/>
  <c r="E69" i="352" s="1"/>
  <c r="D69" i="352" a="1"/>
  <c r="D69" i="352" s="1"/>
  <c r="F68" i="352" a="1"/>
  <c r="F68" i="352" s="1"/>
  <c r="E68" i="352" a="1"/>
  <c r="E68" i="352" s="1"/>
  <c r="D68" i="352" a="1"/>
  <c r="D68" i="352" s="1"/>
  <c r="F67" i="352" a="1"/>
  <c r="F67" i="352" s="1"/>
  <c r="E67" i="352" a="1"/>
  <c r="E67" i="352" s="1"/>
  <c r="D67" i="352" a="1"/>
  <c r="D67" i="352" s="1"/>
  <c r="F66" i="352" a="1"/>
  <c r="F66" i="352" s="1"/>
  <c r="E66" i="352" a="1"/>
  <c r="E66" i="352" s="1"/>
  <c r="D66" i="352" a="1"/>
  <c r="D66" i="352" s="1"/>
  <c r="F65" i="352" a="1"/>
  <c r="F65" i="352" s="1"/>
  <c r="E65" i="352" a="1"/>
  <c r="E65" i="352" s="1"/>
  <c r="D65" i="352" a="1"/>
  <c r="D65" i="352" s="1"/>
  <c r="F64" i="352" a="1"/>
  <c r="F64" i="352" s="1"/>
  <c r="E64" i="352" a="1"/>
  <c r="E64" i="352" s="1"/>
  <c r="D64" i="352" a="1"/>
  <c r="D64" i="352" s="1"/>
  <c r="F63" i="352" a="1"/>
  <c r="F63" i="352" s="1"/>
  <c r="E63" i="352" a="1"/>
  <c r="E63" i="352" s="1"/>
  <c r="D63" i="352" a="1"/>
  <c r="D63" i="352" s="1"/>
  <c r="F62" i="352" a="1"/>
  <c r="F62" i="352" s="1"/>
  <c r="E62" i="352" a="1"/>
  <c r="E62" i="352" s="1"/>
  <c r="D62" i="352" a="1"/>
  <c r="D62" i="352" s="1"/>
  <c r="F61" i="352" a="1"/>
  <c r="F61" i="352" s="1"/>
  <c r="E61" i="352" a="1"/>
  <c r="E61" i="352" s="1"/>
  <c r="D61" i="352" a="1"/>
  <c r="D61" i="352" s="1"/>
  <c r="F60" i="352" a="1"/>
  <c r="F60" i="352" s="1"/>
  <c r="E60" i="352" a="1"/>
  <c r="E60" i="352" s="1"/>
  <c r="D60" i="352" a="1"/>
  <c r="D60" i="352" s="1"/>
  <c r="F59" i="352" a="1"/>
  <c r="F59" i="352" s="1"/>
  <c r="E59" i="352" a="1"/>
  <c r="E59" i="352" s="1"/>
  <c r="D59" i="352" a="1"/>
  <c r="D59" i="352" s="1"/>
  <c r="F58" i="352" a="1"/>
  <c r="F58" i="352" s="1"/>
  <c r="E58" i="352" a="1"/>
  <c r="E58" i="352" s="1"/>
  <c r="D58" i="352" a="1"/>
  <c r="D58" i="352" s="1"/>
  <c r="F57" i="352" a="1"/>
  <c r="F57" i="352" s="1"/>
  <c r="E57" i="352" a="1"/>
  <c r="E57" i="352" s="1"/>
  <c r="D57" i="352" a="1"/>
  <c r="D57" i="352" s="1"/>
  <c r="F56" i="352" a="1"/>
  <c r="F56" i="352" s="1"/>
  <c r="E56" i="352" a="1"/>
  <c r="E56" i="352" s="1"/>
  <c r="D56" i="352" a="1"/>
  <c r="D56" i="352" s="1"/>
  <c r="F55" i="352" a="1"/>
  <c r="F55" i="352" s="1"/>
  <c r="E55" i="352" a="1"/>
  <c r="E55" i="352" s="1"/>
  <c r="D55" i="352" a="1"/>
  <c r="D55" i="352" s="1"/>
  <c r="F54" i="352" a="1"/>
  <c r="F54" i="352" s="1"/>
  <c r="E54" i="352" a="1"/>
  <c r="E54" i="352" s="1"/>
  <c r="D54" i="352" a="1"/>
  <c r="D54" i="352" s="1"/>
  <c r="F53" i="352" a="1"/>
  <c r="F53" i="352" s="1"/>
  <c r="E53" i="352" a="1"/>
  <c r="E53" i="352" s="1"/>
  <c r="D53" i="352" a="1"/>
  <c r="D53" i="352" s="1"/>
  <c r="F52" i="352" a="1"/>
  <c r="F52" i="352" s="1"/>
  <c r="E52" i="352" a="1"/>
  <c r="E52" i="352" s="1"/>
  <c r="D52" i="352" a="1"/>
  <c r="D52" i="352" s="1"/>
  <c r="F51" i="352" a="1"/>
  <c r="F51" i="352" s="1"/>
  <c r="E51" i="352" a="1"/>
  <c r="E51" i="352" s="1"/>
  <c r="D51" i="352" a="1"/>
  <c r="D51" i="352" s="1"/>
  <c r="F50" i="352" a="1"/>
  <c r="F50" i="352" s="1"/>
  <c r="E50" i="352" a="1"/>
  <c r="E50" i="352" s="1"/>
  <c r="D50" i="352" a="1"/>
  <c r="D50" i="352" s="1"/>
  <c r="F49" i="352" a="1"/>
  <c r="F49" i="352" s="1"/>
  <c r="E49" i="352" a="1"/>
  <c r="E49" i="352" s="1"/>
  <c r="D49" i="352" a="1"/>
  <c r="D49" i="352" s="1"/>
  <c r="F48" i="352" a="1"/>
  <c r="F48" i="352" s="1"/>
  <c r="E48" i="352" a="1"/>
  <c r="E48" i="352" s="1"/>
  <c r="D48" i="352" a="1"/>
  <c r="D48" i="352" s="1"/>
  <c r="F47" i="352" a="1"/>
  <c r="F47" i="352" s="1"/>
  <c r="E47" i="352" a="1"/>
  <c r="E47" i="352" s="1"/>
  <c r="D47" i="352" a="1"/>
  <c r="D47" i="352" s="1"/>
  <c r="F46" i="352" a="1"/>
  <c r="F46" i="352" s="1"/>
  <c r="E46" i="352" a="1"/>
  <c r="E46" i="352" s="1"/>
  <c r="D46" i="352" a="1"/>
  <c r="D46" i="352" s="1"/>
  <c r="F45" i="352" a="1"/>
  <c r="F45" i="352" s="1"/>
  <c r="E45" i="352" a="1"/>
  <c r="E45" i="352" s="1"/>
  <c r="D45" i="352" a="1"/>
  <c r="D45" i="352" s="1"/>
  <c r="F44" i="352" a="1"/>
  <c r="F44" i="352" s="1"/>
  <c r="E44" i="352" a="1"/>
  <c r="E44" i="352" s="1"/>
  <c r="D44" i="352" a="1"/>
  <c r="D44" i="352" s="1"/>
  <c r="F43" i="352" a="1"/>
  <c r="F43" i="352" s="1"/>
  <c r="E43" i="352" a="1"/>
  <c r="E43" i="352" s="1"/>
  <c r="D43" i="352" a="1"/>
  <c r="D43" i="352" s="1"/>
  <c r="F42" i="352" a="1"/>
  <c r="F42" i="352" s="1"/>
  <c r="E42" i="352" a="1"/>
  <c r="E42" i="352" s="1"/>
  <c r="D42" i="352" a="1"/>
  <c r="D42" i="352" s="1"/>
  <c r="F41" i="352" a="1"/>
  <c r="F41" i="352" s="1"/>
  <c r="E41" i="352" a="1"/>
  <c r="E41" i="352" s="1"/>
  <c r="D41" i="352" a="1"/>
  <c r="D41" i="352" s="1"/>
  <c r="F40" i="352" a="1"/>
  <c r="F40" i="352" s="1"/>
  <c r="E40" i="352" a="1"/>
  <c r="E40" i="352" s="1"/>
  <c r="D40" i="352" a="1"/>
  <c r="D40" i="352" s="1"/>
  <c r="F39" i="352" a="1"/>
  <c r="F39" i="352" s="1"/>
  <c r="E39" i="352" a="1"/>
  <c r="E39" i="352" s="1"/>
  <c r="D39" i="352" a="1"/>
  <c r="D39" i="352" s="1"/>
  <c r="F38" i="352" a="1"/>
  <c r="F38" i="352" s="1"/>
  <c r="E38" i="352" a="1"/>
  <c r="E38" i="352" s="1"/>
  <c r="D38" i="352" a="1"/>
  <c r="D38" i="352" s="1"/>
  <c r="F37" i="352" a="1"/>
  <c r="F37" i="352" s="1"/>
  <c r="E37" i="352" a="1"/>
  <c r="E37" i="352" s="1"/>
  <c r="D37" i="352" a="1"/>
  <c r="D37" i="352" s="1"/>
  <c r="F36" i="352" a="1"/>
  <c r="F36" i="352" s="1"/>
  <c r="E36" i="352" a="1"/>
  <c r="E36" i="352" s="1"/>
  <c r="D36" i="352" a="1"/>
  <c r="D36" i="352" s="1"/>
  <c r="F35" i="352" a="1"/>
  <c r="F35" i="352" s="1"/>
  <c r="E35" i="352" a="1"/>
  <c r="E35" i="352" s="1"/>
  <c r="D35" i="352" a="1"/>
  <c r="D35" i="352" s="1"/>
  <c r="F34" i="352" a="1"/>
  <c r="F34" i="352" s="1"/>
  <c r="E34" i="352" a="1"/>
  <c r="E34" i="352" s="1"/>
  <c r="D34" i="352" a="1"/>
  <c r="D34" i="352" s="1"/>
  <c r="F33" i="352" a="1"/>
  <c r="F33" i="352" s="1"/>
  <c r="E33" i="352" a="1"/>
  <c r="E33" i="352" s="1"/>
  <c r="D33" i="352" a="1"/>
  <c r="D33" i="352" s="1"/>
  <c r="F32" i="352" a="1"/>
  <c r="F32" i="352" s="1"/>
  <c r="E32" i="352" a="1"/>
  <c r="E32" i="352" s="1"/>
  <c r="D32" i="352" a="1"/>
  <c r="D32" i="352" s="1"/>
  <c r="F31" i="352" a="1"/>
  <c r="F31" i="352" s="1"/>
  <c r="E31" i="352" a="1"/>
  <c r="E31" i="352" s="1"/>
  <c r="D31" i="352" a="1"/>
  <c r="D31" i="352" s="1"/>
  <c r="F30" i="352" a="1"/>
  <c r="F30" i="352" s="1"/>
  <c r="E30" i="352" a="1"/>
  <c r="E30" i="352" s="1"/>
  <c r="D30" i="352" a="1"/>
  <c r="D30" i="352" s="1"/>
  <c r="F29" i="352" a="1"/>
  <c r="F29" i="352" s="1"/>
  <c r="E29" i="352" a="1"/>
  <c r="E29" i="352" s="1"/>
  <c r="D29" i="352" a="1"/>
  <c r="D29" i="352" s="1"/>
  <c r="F28" i="352" a="1"/>
  <c r="F28" i="352" s="1"/>
  <c r="E28" i="352" a="1"/>
  <c r="E28" i="352" s="1"/>
  <c r="D28" i="352" a="1"/>
  <c r="D28" i="352" s="1"/>
  <c r="F27" i="352" a="1"/>
  <c r="F27" i="352" s="1"/>
  <c r="E27" i="352" a="1"/>
  <c r="E27" i="352" s="1"/>
  <c r="D27" i="352" a="1"/>
  <c r="D27" i="352" s="1"/>
  <c r="F26" i="352" a="1"/>
  <c r="F26" i="352" s="1"/>
  <c r="E26" i="352" a="1"/>
  <c r="E26" i="352" s="1"/>
  <c r="D26" i="352" a="1"/>
  <c r="D26" i="352" s="1"/>
  <c r="F25" i="352" a="1"/>
  <c r="F25" i="352" s="1"/>
  <c r="E25" i="352" a="1"/>
  <c r="E25" i="352" s="1"/>
  <c r="D25" i="352" a="1"/>
  <c r="D25" i="352" s="1"/>
  <c r="F24" i="352" a="1"/>
  <c r="F24" i="352" s="1"/>
  <c r="E24" i="352" a="1"/>
  <c r="E24" i="352" s="1"/>
  <c r="D24" i="352" a="1"/>
  <c r="D24" i="352" s="1"/>
  <c r="F23" i="352" a="1"/>
  <c r="F23" i="352" s="1"/>
  <c r="E23" i="352" a="1"/>
  <c r="E23" i="352" s="1"/>
  <c r="D23" i="352" a="1"/>
  <c r="D23" i="352" s="1"/>
  <c r="F22" i="352" a="1"/>
  <c r="F22" i="352" s="1"/>
  <c r="E22" i="352" a="1"/>
  <c r="E22" i="352" s="1"/>
  <c r="D22" i="352" a="1"/>
  <c r="D22" i="352" s="1"/>
  <c r="F21" i="352" a="1"/>
  <c r="F21" i="352" s="1"/>
  <c r="E21" i="352" a="1"/>
  <c r="E21" i="352" s="1"/>
  <c r="D21" i="352" a="1"/>
  <c r="D21" i="352" s="1"/>
  <c r="F20" i="352" a="1"/>
  <c r="F20" i="352" s="1"/>
  <c r="E20" i="352" a="1"/>
  <c r="E20" i="352" s="1"/>
  <c r="D20" i="352" a="1"/>
  <c r="D20" i="352" s="1"/>
  <c r="F19" i="352" a="1"/>
  <c r="F19" i="352" s="1"/>
  <c r="E19" i="352" a="1"/>
  <c r="E19" i="352" s="1"/>
  <c r="D19" i="352" a="1"/>
  <c r="D19" i="352" s="1"/>
  <c r="F18" i="352" a="1"/>
  <c r="F18" i="352" s="1"/>
  <c r="E18" i="352" a="1"/>
  <c r="E18" i="352" s="1"/>
  <c r="D18" i="352" a="1"/>
  <c r="D18" i="352" s="1"/>
  <c r="F17" i="352" a="1"/>
  <c r="F17" i="352" s="1"/>
  <c r="E17" i="352" a="1"/>
  <c r="E17" i="352" s="1"/>
  <c r="D17" i="352" a="1"/>
  <c r="D17" i="352" s="1"/>
  <c r="F16" i="352" a="1"/>
  <c r="F16" i="352" s="1"/>
  <c r="E16" i="352" a="1"/>
  <c r="E16" i="352" s="1"/>
  <c r="D16" i="352" a="1"/>
  <c r="D16" i="352" s="1"/>
  <c r="F15" i="352" a="1"/>
  <c r="F15" i="352" s="1"/>
  <c r="E15" i="352" a="1"/>
  <c r="E15" i="352" s="1"/>
  <c r="D15" i="352" a="1"/>
  <c r="D15" i="352" s="1"/>
  <c r="F14" i="352" a="1"/>
  <c r="F14" i="352" s="1"/>
  <c r="E14" i="352" a="1"/>
  <c r="E14" i="352" s="1"/>
  <c r="D14" i="352" a="1"/>
  <c r="D14" i="352" s="1"/>
  <c r="F13" i="352" a="1"/>
  <c r="F13" i="352" s="1"/>
  <c r="E13" i="352" a="1"/>
  <c r="E13" i="352" s="1"/>
  <c r="D13" i="352" a="1"/>
  <c r="D13" i="352" s="1"/>
  <c r="F12" i="352" a="1"/>
  <c r="F12" i="352" s="1"/>
  <c r="E12" i="352" a="1"/>
  <c r="E12" i="352" s="1"/>
  <c r="D12" i="352" a="1"/>
  <c r="D12" i="352" s="1"/>
  <c r="F11" i="352" a="1"/>
  <c r="F11" i="352" s="1"/>
  <c r="E11" i="352" a="1"/>
  <c r="E11" i="352" s="1"/>
  <c r="D11" i="352" a="1"/>
  <c r="D11" i="352" s="1"/>
  <c r="F10" i="352" a="1"/>
  <c r="F10" i="352" s="1"/>
  <c r="E10" i="352" a="1"/>
  <c r="E10" i="352" s="1"/>
  <c r="D10" i="352" a="1"/>
  <c r="D10" i="352" s="1"/>
  <c r="F9" i="352" a="1"/>
  <c r="F9" i="352" s="1"/>
  <c r="E9" i="352" a="1"/>
  <c r="E9" i="352" s="1"/>
  <c r="D9" i="352" a="1"/>
  <c r="D9" i="352" s="1"/>
  <c r="F8" i="352" a="1"/>
  <c r="F8" i="352" s="1"/>
  <c r="E8" i="352" a="1"/>
  <c r="E8" i="352" s="1"/>
  <c r="D8" i="352" a="1"/>
  <c r="D8" i="352" s="1"/>
  <c r="F7" i="352" a="1"/>
  <c r="F7" i="352" s="1"/>
  <c r="E7" i="352" a="1"/>
  <c r="E7" i="352" s="1"/>
  <c r="D7" i="352" a="1"/>
  <c r="D7" i="352" s="1"/>
  <c r="I3" i="352"/>
  <c r="H3" i="352"/>
  <c r="E3" i="352"/>
  <c r="AM113" i="344"/>
  <c r="AJ113" i="344"/>
  <c r="AM112" i="344"/>
  <c r="AJ112" i="344"/>
  <c r="AM111" i="344"/>
  <c r="AJ111" i="344"/>
  <c r="AP110" i="344"/>
  <c r="AM110" i="344"/>
  <c r="AJ110" i="344"/>
  <c r="AP109" i="344"/>
  <c r="AM109" i="344"/>
  <c r="AJ109" i="344"/>
  <c r="AM108" i="344"/>
  <c r="AJ108" i="344"/>
  <c r="AM107" i="344"/>
  <c r="AJ107" i="344"/>
  <c r="AM106" i="344"/>
  <c r="AJ106" i="344"/>
  <c r="AM105" i="344"/>
  <c r="AJ105" i="344"/>
  <c r="AM104" i="344"/>
  <c r="AJ104" i="344"/>
  <c r="AM103" i="344"/>
  <c r="AJ103" i="344"/>
  <c r="AM102" i="344"/>
  <c r="AJ102" i="344"/>
  <c r="AM101" i="344"/>
  <c r="AJ101" i="344"/>
  <c r="AS78" i="344"/>
  <c r="AM57" i="344"/>
  <c r="AM56" i="344"/>
  <c r="AM55" i="344"/>
  <c r="AM29" i="344"/>
  <c r="AM23" i="344"/>
  <c r="AJ18" i="344"/>
  <c r="AJ18" i="344" a="1"/>
  <c r="AJ17" i="344"/>
  <c r="AJ17" i="344" a="1"/>
  <c r="AJ16" i="344"/>
  <c r="AJ16" i="344" a="1"/>
  <c r="AJ15" i="344"/>
  <c r="AJ15" i="344" a="1"/>
  <c r="B7" i="359"/>
  <c r="B6" i="359"/>
  <c r="B5" i="359"/>
  <c r="J38" i="393" s="1" a="1"/>
  <c r="J38" i="393" s="1"/>
  <c r="B1897" i="364"/>
  <c r="B1896" i="364"/>
  <c r="B1895" i="364"/>
  <c r="B1894" i="364"/>
  <c r="B1893" i="364"/>
  <c r="B1892" i="364"/>
  <c r="B1891" i="364"/>
  <c r="B1890" i="364"/>
  <c r="B1889" i="364"/>
  <c r="B1888" i="364"/>
  <c r="B1887" i="364"/>
  <c r="B1886" i="364"/>
  <c r="B1885" i="364"/>
  <c r="B1884" i="364"/>
  <c r="B1883" i="364"/>
  <c r="B1882" i="364"/>
  <c r="B1881" i="364"/>
  <c r="B1880" i="364"/>
  <c r="B1879" i="364"/>
  <c r="B1878" i="364"/>
  <c r="B1877" i="364"/>
  <c r="B1876" i="364"/>
  <c r="B1875" i="364"/>
  <c r="B1874" i="364"/>
  <c r="B1873" i="364"/>
  <c r="B1872" i="364"/>
  <c r="B1871" i="364"/>
  <c r="B1870" i="364"/>
  <c r="B1869" i="364"/>
  <c r="B1868" i="364"/>
  <c r="B1867" i="364"/>
  <c r="B1866" i="364"/>
  <c r="B1865" i="364"/>
  <c r="B1864" i="364"/>
  <c r="B1863" i="364"/>
  <c r="B1862" i="364"/>
  <c r="B1861" i="364"/>
  <c r="B1860" i="364"/>
  <c r="B1859" i="364"/>
  <c r="B1858" i="364"/>
  <c r="B1857" i="364"/>
  <c r="B1856" i="364"/>
  <c r="B1855" i="364"/>
  <c r="B1854" i="364"/>
  <c r="B1853" i="364"/>
  <c r="B1852" i="364"/>
  <c r="B1851" i="364"/>
  <c r="B1850" i="364"/>
  <c r="B1849" i="364"/>
  <c r="B1848" i="364"/>
  <c r="B1847" i="364"/>
  <c r="B1846" i="364"/>
  <c r="B1845" i="364"/>
  <c r="B1844" i="364"/>
  <c r="B1843" i="364"/>
  <c r="B1842" i="364"/>
  <c r="B1841" i="364"/>
  <c r="B1840" i="364"/>
  <c r="B1839" i="364"/>
  <c r="B1838" i="364"/>
  <c r="B1837" i="364"/>
  <c r="B1836" i="364"/>
  <c r="B1835" i="364"/>
  <c r="B1834" i="364"/>
  <c r="B1833" i="364"/>
  <c r="B1832" i="364"/>
  <c r="B1831" i="364"/>
  <c r="B1830" i="364"/>
  <c r="B1829" i="364"/>
  <c r="B1828" i="364"/>
  <c r="B1827" i="364"/>
  <c r="B1826" i="364"/>
  <c r="B1825" i="364"/>
  <c r="B1824" i="364"/>
  <c r="B1823" i="364"/>
  <c r="B1822" i="364"/>
  <c r="B1821" i="364"/>
  <c r="B1820" i="364"/>
  <c r="B1819" i="364"/>
  <c r="B1818" i="364"/>
  <c r="B1817" i="364"/>
  <c r="B1816" i="364"/>
  <c r="B1815" i="364"/>
  <c r="B1814" i="364"/>
  <c r="B1813" i="364"/>
  <c r="B1812" i="364"/>
  <c r="B1811" i="364"/>
  <c r="B1810" i="364"/>
  <c r="B1809" i="364"/>
  <c r="B1808" i="364"/>
  <c r="B1807" i="364"/>
  <c r="B1806" i="364"/>
  <c r="B1805" i="364"/>
  <c r="B1804" i="364"/>
  <c r="B1803" i="364"/>
  <c r="B1802" i="364"/>
  <c r="B1801" i="364"/>
  <c r="B1800" i="364"/>
  <c r="B1799" i="364"/>
  <c r="B1798" i="364"/>
  <c r="B1797" i="364"/>
  <c r="B1796" i="364"/>
  <c r="B1795" i="364"/>
  <c r="B1794" i="364"/>
  <c r="B1793" i="364"/>
  <c r="B1792" i="364"/>
  <c r="B1791" i="364"/>
  <c r="B1790" i="364"/>
  <c r="B1789" i="364"/>
  <c r="B1788" i="364"/>
  <c r="B1787" i="364"/>
  <c r="B1786" i="364"/>
  <c r="B1785" i="364"/>
  <c r="B1784" i="364"/>
  <c r="B1783" i="364"/>
  <c r="B1782" i="364"/>
  <c r="B1781" i="364"/>
  <c r="B1780" i="364"/>
  <c r="B1779" i="364"/>
  <c r="B1778" i="364"/>
  <c r="B1777" i="364"/>
  <c r="B1776" i="364"/>
  <c r="B1775" i="364"/>
  <c r="B1774" i="364"/>
  <c r="B1773" i="364"/>
  <c r="B1772" i="364"/>
  <c r="B1771" i="364"/>
  <c r="B1770" i="364"/>
  <c r="B1769" i="364"/>
  <c r="B1768" i="364"/>
  <c r="B1767" i="364"/>
  <c r="B1766" i="364"/>
  <c r="B1765" i="364"/>
  <c r="B1764" i="364"/>
  <c r="B1763" i="364"/>
  <c r="B1762" i="364"/>
  <c r="B1761" i="364"/>
  <c r="B1760" i="364"/>
  <c r="B1759" i="364"/>
  <c r="B1758" i="364"/>
  <c r="B1757" i="364"/>
  <c r="B1756" i="364"/>
  <c r="B1755" i="364"/>
  <c r="B1754" i="364"/>
  <c r="B1753" i="364"/>
  <c r="B1752" i="364"/>
  <c r="B1751" i="364"/>
  <c r="B1750" i="364"/>
  <c r="B1749" i="364"/>
  <c r="B1748" i="364"/>
  <c r="B1747" i="364"/>
  <c r="B1746" i="364"/>
  <c r="B1745" i="364"/>
  <c r="B1744" i="364"/>
  <c r="B1743" i="364"/>
  <c r="B1742" i="364"/>
  <c r="B1741" i="364"/>
  <c r="B1740" i="364"/>
  <c r="B1739" i="364"/>
  <c r="B1738" i="364"/>
  <c r="B1737" i="364"/>
  <c r="B1736" i="364"/>
  <c r="B1735" i="364"/>
  <c r="B1734" i="364"/>
  <c r="B1733" i="364"/>
  <c r="B1732" i="364"/>
  <c r="B1731" i="364"/>
  <c r="B1730" i="364"/>
  <c r="B1729" i="364"/>
  <c r="B1728" i="364"/>
  <c r="B1727" i="364"/>
  <c r="B1726" i="364"/>
  <c r="B1725" i="364"/>
  <c r="B1724" i="364"/>
  <c r="B1723" i="364"/>
  <c r="B1722" i="364"/>
  <c r="B1721" i="364"/>
  <c r="B1720" i="364"/>
  <c r="B1719" i="364"/>
  <c r="B1718" i="364"/>
  <c r="B1717" i="364"/>
  <c r="B1716" i="364"/>
  <c r="B1715" i="364"/>
  <c r="B1714" i="364"/>
  <c r="B1713" i="364"/>
  <c r="B1712" i="364"/>
  <c r="B1711" i="364"/>
  <c r="B1710" i="364"/>
  <c r="B1709" i="364"/>
  <c r="B1708" i="364"/>
  <c r="B1707" i="364"/>
  <c r="B1706" i="364"/>
  <c r="B1705" i="364"/>
  <c r="B1704" i="364"/>
  <c r="B1703" i="364"/>
  <c r="B1702" i="364"/>
  <c r="B1701" i="364"/>
  <c r="B1700" i="364"/>
  <c r="B1699" i="364"/>
  <c r="B1698" i="364"/>
  <c r="B1697" i="364"/>
  <c r="B1696" i="364"/>
  <c r="B1695" i="364"/>
  <c r="B1694" i="364"/>
  <c r="B1693" i="364"/>
  <c r="B1692" i="364"/>
  <c r="B1691" i="364"/>
  <c r="B1690" i="364"/>
  <c r="B1689" i="364"/>
  <c r="B1688" i="364"/>
  <c r="B1687" i="364"/>
  <c r="B1686" i="364"/>
  <c r="B1685" i="364"/>
  <c r="B1684" i="364"/>
  <c r="B1683" i="364"/>
  <c r="B1682" i="364"/>
  <c r="B1681" i="364"/>
  <c r="B1680" i="364"/>
  <c r="B1679" i="364"/>
  <c r="B1678" i="364"/>
  <c r="B1677" i="364"/>
  <c r="B1676" i="364"/>
  <c r="B1675" i="364"/>
  <c r="B1674" i="364"/>
  <c r="B1673" i="364"/>
  <c r="B1672" i="364"/>
  <c r="B1671" i="364"/>
  <c r="B1670" i="364"/>
  <c r="B1669" i="364"/>
  <c r="B1668" i="364"/>
  <c r="B1667" i="364"/>
  <c r="B1666" i="364"/>
  <c r="B1665" i="364"/>
  <c r="B1664" i="364"/>
  <c r="B1663" i="364"/>
  <c r="B1662" i="364"/>
  <c r="B1661" i="364"/>
  <c r="B1660" i="364"/>
  <c r="B1659" i="364"/>
  <c r="B1658" i="364"/>
  <c r="B1657" i="364"/>
  <c r="B1656" i="364"/>
  <c r="B1655" i="364"/>
  <c r="B1654" i="364"/>
  <c r="B1653" i="364"/>
  <c r="B1652" i="364"/>
  <c r="B1651" i="364"/>
  <c r="B1650" i="364"/>
  <c r="B1649" i="364"/>
  <c r="B1648" i="364"/>
  <c r="B1647" i="364"/>
  <c r="B1646" i="364"/>
  <c r="B1645" i="364"/>
  <c r="B1644" i="364"/>
  <c r="B1643" i="364"/>
  <c r="B1642" i="364"/>
  <c r="B1641" i="364"/>
  <c r="B1640" i="364"/>
  <c r="B1639" i="364"/>
  <c r="B1638" i="364"/>
  <c r="B1637" i="364"/>
  <c r="B1636" i="364"/>
  <c r="B1635" i="364"/>
  <c r="B1634" i="364"/>
  <c r="B1633" i="364"/>
  <c r="B1632" i="364"/>
  <c r="B1631" i="364"/>
  <c r="B1630" i="364"/>
  <c r="B1629" i="364"/>
  <c r="B1628" i="364"/>
  <c r="B1627" i="364"/>
  <c r="B1626" i="364"/>
  <c r="B1625" i="364"/>
  <c r="B1624" i="364"/>
  <c r="B1623" i="364"/>
  <c r="B1622" i="364"/>
  <c r="B1621" i="364"/>
  <c r="B1620" i="364"/>
  <c r="B1619" i="364"/>
  <c r="B1618" i="364"/>
  <c r="B1617" i="364"/>
  <c r="B1616" i="364"/>
  <c r="B1615" i="364"/>
  <c r="B1614" i="364"/>
  <c r="B1613" i="364"/>
  <c r="B1612" i="364"/>
  <c r="B1611" i="364"/>
  <c r="B1610" i="364"/>
  <c r="B1609" i="364"/>
  <c r="B1608" i="364"/>
  <c r="B1607" i="364"/>
  <c r="B1606" i="364"/>
  <c r="B1605" i="364"/>
  <c r="B1604" i="364"/>
  <c r="B1603" i="364"/>
  <c r="B1602" i="364"/>
  <c r="B1601" i="364"/>
  <c r="B1600" i="364"/>
  <c r="B1599" i="364"/>
  <c r="B1598" i="364"/>
  <c r="B1597" i="364"/>
  <c r="B1596" i="364"/>
  <c r="B1595" i="364"/>
  <c r="B1594" i="364"/>
  <c r="B1593" i="364"/>
  <c r="B1592" i="364"/>
  <c r="B1591" i="364"/>
  <c r="B1590" i="364"/>
  <c r="B1589" i="364"/>
  <c r="B1588" i="364"/>
  <c r="B1587" i="364"/>
  <c r="B1586" i="364"/>
  <c r="B1585" i="364"/>
  <c r="B1584" i="364"/>
  <c r="B1583" i="364"/>
  <c r="B1582" i="364"/>
  <c r="B1581" i="364"/>
  <c r="B1580" i="364"/>
  <c r="B1579" i="364"/>
  <c r="B1578" i="364"/>
  <c r="B1577" i="364"/>
  <c r="B1576" i="364"/>
  <c r="B1575" i="364"/>
  <c r="B1574" i="364"/>
  <c r="B1573" i="364"/>
  <c r="B1572" i="364"/>
  <c r="B1571" i="364"/>
  <c r="B1570" i="364"/>
  <c r="B1569" i="364"/>
  <c r="B1568" i="364"/>
  <c r="B1567" i="364"/>
  <c r="B1566" i="364"/>
  <c r="B1565" i="364"/>
  <c r="B1564" i="364"/>
  <c r="B1563" i="364"/>
  <c r="B1562" i="364"/>
  <c r="B1561" i="364"/>
  <c r="B1560" i="364"/>
  <c r="B1559" i="364"/>
  <c r="B1558" i="364"/>
  <c r="B1557" i="364"/>
  <c r="B1556" i="364"/>
  <c r="B1555" i="364"/>
  <c r="B1554" i="364"/>
  <c r="B1553" i="364"/>
  <c r="B1552" i="364"/>
  <c r="B1551" i="364"/>
  <c r="B1550" i="364"/>
  <c r="B1549" i="364"/>
  <c r="B1548" i="364"/>
  <c r="B1547" i="364"/>
  <c r="B1546" i="364"/>
  <c r="B1545" i="364"/>
  <c r="B1544" i="364"/>
  <c r="B1543" i="364"/>
  <c r="B1542" i="364"/>
  <c r="B1541" i="364"/>
  <c r="B1540" i="364"/>
  <c r="B1539" i="364"/>
  <c r="B1538" i="364"/>
  <c r="B1537" i="364"/>
  <c r="B1536" i="364"/>
  <c r="B1535" i="364"/>
  <c r="B1534" i="364"/>
  <c r="B1533" i="364"/>
  <c r="B1532" i="364"/>
  <c r="B1531" i="364"/>
  <c r="B1530" i="364"/>
  <c r="B1529" i="364"/>
  <c r="B1528" i="364"/>
  <c r="B1527" i="364"/>
  <c r="B1526" i="364"/>
  <c r="B1525" i="364"/>
  <c r="B1524" i="364"/>
  <c r="B1523" i="364"/>
  <c r="B1522" i="364"/>
  <c r="B1521" i="364"/>
  <c r="B1520" i="364"/>
  <c r="B1519" i="364"/>
  <c r="B1518" i="364"/>
  <c r="B1517" i="364"/>
  <c r="B1516" i="364"/>
  <c r="B1515" i="364"/>
  <c r="B1514" i="364"/>
  <c r="B1513" i="364"/>
  <c r="B1512" i="364"/>
  <c r="B1511" i="364"/>
  <c r="B1510" i="364"/>
  <c r="B1509" i="364"/>
  <c r="B1508" i="364"/>
  <c r="B1507" i="364"/>
  <c r="B1506" i="364"/>
  <c r="B1505" i="364"/>
  <c r="B1504" i="364"/>
  <c r="B1503" i="364"/>
  <c r="B1502" i="364"/>
  <c r="B1501" i="364"/>
  <c r="B1500" i="364"/>
  <c r="B1499" i="364"/>
  <c r="B1498" i="364"/>
  <c r="B1497" i="364"/>
  <c r="B1496" i="364"/>
  <c r="B1495" i="364"/>
  <c r="B1494" i="364"/>
  <c r="B1493" i="364"/>
  <c r="B1492" i="364"/>
  <c r="B1491" i="364"/>
  <c r="B1490" i="364"/>
  <c r="B1489" i="364"/>
  <c r="B1488" i="364"/>
  <c r="B1487" i="364"/>
  <c r="B1486" i="364"/>
  <c r="B1485" i="364"/>
  <c r="B1484" i="364"/>
  <c r="B1483" i="364"/>
  <c r="B1482" i="364"/>
  <c r="B1481" i="364"/>
  <c r="B1480" i="364"/>
  <c r="B1479" i="364"/>
  <c r="B1478" i="364"/>
  <c r="B1477" i="364"/>
  <c r="B1476" i="364"/>
  <c r="B1475" i="364"/>
  <c r="B1474" i="364"/>
  <c r="B1473" i="364"/>
  <c r="B1472" i="364"/>
  <c r="B1471" i="364"/>
  <c r="B1470" i="364"/>
  <c r="B1469" i="364"/>
  <c r="B1468" i="364"/>
  <c r="B1467" i="364"/>
  <c r="B1466" i="364"/>
  <c r="B1465" i="364"/>
  <c r="B1464" i="364"/>
  <c r="B1463" i="364"/>
  <c r="B1462" i="364"/>
  <c r="B1461" i="364"/>
  <c r="B1460" i="364"/>
  <c r="B1459" i="364"/>
  <c r="B1458" i="364"/>
  <c r="B1457" i="364"/>
  <c r="B1456" i="364"/>
  <c r="B1455" i="364"/>
  <c r="B1454" i="364"/>
  <c r="B1453" i="364"/>
  <c r="B1452" i="364"/>
  <c r="B1451" i="364"/>
  <c r="B1450" i="364"/>
  <c r="B1449" i="364"/>
  <c r="B1448" i="364"/>
  <c r="B1447" i="364"/>
  <c r="B1446" i="364"/>
  <c r="B1445" i="364"/>
  <c r="B1444" i="364"/>
  <c r="B1443" i="364"/>
  <c r="B1442" i="364"/>
  <c r="B1441" i="364"/>
  <c r="B1440" i="364"/>
  <c r="B1439" i="364"/>
  <c r="B1438" i="364"/>
  <c r="B1437" i="364"/>
  <c r="B1436" i="364"/>
  <c r="B1435" i="364"/>
  <c r="B1434" i="364"/>
  <c r="B1433" i="364"/>
  <c r="B1432" i="364"/>
  <c r="B1431" i="364"/>
  <c r="B1430" i="364"/>
  <c r="B1429" i="364"/>
  <c r="B1428" i="364"/>
  <c r="B1427" i="364"/>
  <c r="B1426" i="364"/>
  <c r="B1425" i="364"/>
  <c r="B1424" i="364"/>
  <c r="B1423" i="364"/>
  <c r="B1422" i="364"/>
  <c r="B1421" i="364"/>
  <c r="B1420" i="364"/>
  <c r="B1419" i="364"/>
  <c r="B1418" i="364"/>
  <c r="B1417" i="364"/>
  <c r="B1416" i="364"/>
  <c r="B1415" i="364"/>
  <c r="B1414" i="364"/>
  <c r="B1413" i="364"/>
  <c r="B1412" i="364"/>
  <c r="B1411" i="364"/>
  <c r="B1410" i="364"/>
  <c r="B1409" i="364"/>
  <c r="B1408" i="364"/>
  <c r="B1407" i="364"/>
  <c r="B1406" i="364"/>
  <c r="B1405" i="364"/>
  <c r="B1404" i="364"/>
  <c r="B1403" i="364"/>
  <c r="B1402" i="364"/>
  <c r="B1401" i="364"/>
  <c r="B1400" i="364"/>
  <c r="B1399" i="364"/>
  <c r="B1398" i="364"/>
  <c r="B1397" i="364"/>
  <c r="B1396" i="364"/>
  <c r="B1395" i="364"/>
  <c r="B1394" i="364"/>
  <c r="B1393" i="364"/>
  <c r="B1392" i="364"/>
  <c r="B1391" i="364"/>
  <c r="B1390" i="364"/>
  <c r="B1389" i="364"/>
  <c r="B1388" i="364"/>
  <c r="B1387" i="364"/>
  <c r="B1386" i="364"/>
  <c r="B1385" i="364"/>
  <c r="B1384" i="364"/>
  <c r="B1383" i="364"/>
  <c r="B1382" i="364"/>
  <c r="B1381" i="364"/>
  <c r="B1380" i="364"/>
  <c r="B1379" i="364"/>
  <c r="B1378" i="364"/>
  <c r="B1377" i="364"/>
  <c r="B1376" i="364"/>
  <c r="B1375" i="364"/>
  <c r="B1374" i="364"/>
  <c r="B1373" i="364"/>
  <c r="B1372" i="364"/>
  <c r="B1371" i="364"/>
  <c r="B1370" i="364"/>
  <c r="B1369" i="364"/>
  <c r="B1368" i="364"/>
  <c r="B1367" i="364"/>
  <c r="B1366" i="364"/>
  <c r="B1365" i="364"/>
  <c r="B1364" i="364"/>
  <c r="B1363" i="364"/>
  <c r="B1362" i="364"/>
  <c r="B1361" i="364"/>
  <c r="B1360" i="364"/>
  <c r="B1359" i="364"/>
  <c r="B1358" i="364"/>
  <c r="B1357" i="364"/>
  <c r="B1356" i="364"/>
  <c r="B1355" i="364"/>
  <c r="B1354" i="364"/>
  <c r="B1353" i="364"/>
  <c r="B1352" i="364"/>
  <c r="B1351" i="364"/>
  <c r="B1350" i="364"/>
  <c r="B1349" i="364"/>
  <c r="B1348" i="364"/>
  <c r="B1347" i="364"/>
  <c r="B1346" i="364"/>
  <c r="B1345" i="364"/>
  <c r="B1344" i="364"/>
  <c r="B1343" i="364"/>
  <c r="B1342" i="364"/>
  <c r="B1341" i="364"/>
  <c r="B1340" i="364"/>
  <c r="B1339" i="364"/>
  <c r="B1338" i="364"/>
  <c r="B1337" i="364"/>
  <c r="B1336" i="364"/>
  <c r="B1335" i="364"/>
  <c r="B1334" i="364"/>
  <c r="B1333" i="364"/>
  <c r="B1332" i="364"/>
  <c r="B1331" i="364"/>
  <c r="B1330" i="364"/>
  <c r="B1329" i="364"/>
  <c r="B1328" i="364"/>
  <c r="B1327" i="364"/>
  <c r="B1326" i="364"/>
  <c r="B1325" i="364"/>
  <c r="B1324" i="364"/>
  <c r="B1323" i="364"/>
  <c r="B1322" i="364"/>
  <c r="B1321" i="364"/>
  <c r="B1320" i="364"/>
  <c r="B1319" i="364"/>
  <c r="B1318" i="364"/>
  <c r="B1317" i="364"/>
  <c r="B1316" i="364"/>
  <c r="B1315" i="364"/>
  <c r="B1314" i="364"/>
  <c r="B1313" i="364"/>
  <c r="B1312" i="364"/>
  <c r="B1311" i="364"/>
  <c r="B1310" i="364"/>
  <c r="B1309" i="364"/>
  <c r="B1308" i="364"/>
  <c r="B1307" i="364"/>
  <c r="B1306" i="364"/>
  <c r="B1305" i="364"/>
  <c r="B1304" i="364"/>
  <c r="B1303" i="364"/>
  <c r="B1302" i="364"/>
  <c r="B1301" i="364"/>
  <c r="B1300" i="364"/>
  <c r="B1299" i="364"/>
  <c r="B1298" i="364"/>
  <c r="B1297" i="364"/>
  <c r="B1296" i="364"/>
  <c r="B1295" i="364"/>
  <c r="B1294" i="364"/>
  <c r="B1293" i="364"/>
  <c r="B1292" i="364"/>
  <c r="B1291" i="364"/>
  <c r="B1290" i="364"/>
  <c r="B1289" i="364"/>
  <c r="B1288" i="364"/>
  <c r="B1287" i="364"/>
  <c r="B1286" i="364"/>
  <c r="B1285" i="364"/>
  <c r="B1284" i="364"/>
  <c r="B1283" i="364"/>
  <c r="B1282" i="364"/>
  <c r="B1281" i="364"/>
  <c r="B1280" i="364"/>
  <c r="B1279" i="364"/>
  <c r="B1278" i="364"/>
  <c r="B1277" i="364"/>
  <c r="B1276" i="364"/>
  <c r="B1275" i="364"/>
  <c r="B1274" i="364"/>
  <c r="B1273" i="364"/>
  <c r="B1272" i="364"/>
  <c r="B1271" i="364"/>
  <c r="B1270" i="364"/>
  <c r="B1269" i="364"/>
  <c r="B1268" i="364"/>
  <c r="B1267" i="364"/>
  <c r="B1266" i="364"/>
  <c r="B1265" i="364"/>
  <c r="B1264" i="364"/>
  <c r="B1263" i="364"/>
  <c r="B1262" i="364"/>
  <c r="B1261" i="364"/>
  <c r="B1260" i="364"/>
  <c r="B1259" i="364"/>
  <c r="B1258" i="364"/>
  <c r="B1257" i="364"/>
  <c r="B1256" i="364"/>
  <c r="B1255" i="364"/>
  <c r="B1254" i="364"/>
  <c r="B1253" i="364"/>
  <c r="B1252" i="364"/>
  <c r="B1251" i="364"/>
  <c r="B1250" i="364"/>
  <c r="B1249" i="364"/>
  <c r="B1248" i="364"/>
  <c r="B1247" i="364"/>
  <c r="B1246" i="364"/>
  <c r="B1245" i="364"/>
  <c r="B1244" i="364"/>
  <c r="B1243" i="364"/>
  <c r="B1242" i="364"/>
  <c r="B1241" i="364"/>
  <c r="B1240" i="364"/>
  <c r="B1239" i="364"/>
  <c r="B1238" i="364"/>
  <c r="B1237" i="364"/>
  <c r="B1236" i="364"/>
  <c r="B1235" i="364"/>
  <c r="B1234" i="364"/>
  <c r="B1233" i="364"/>
  <c r="B1232" i="364"/>
  <c r="B1231" i="364"/>
  <c r="B1230" i="364"/>
  <c r="B1229" i="364"/>
  <c r="B1228" i="364"/>
  <c r="B1227" i="364"/>
  <c r="B1226" i="364"/>
  <c r="B1225" i="364"/>
  <c r="B1224" i="364"/>
  <c r="B1223" i="364"/>
  <c r="B1222" i="364"/>
  <c r="B1221" i="364"/>
  <c r="B1220" i="364"/>
  <c r="B1219" i="364"/>
  <c r="B1218" i="364"/>
  <c r="B1217" i="364"/>
  <c r="B1216" i="364"/>
  <c r="B1215" i="364"/>
  <c r="B1214" i="364"/>
  <c r="B1213" i="364"/>
  <c r="B1212" i="364"/>
  <c r="B1211" i="364"/>
  <c r="B1210" i="364"/>
  <c r="B1209" i="364"/>
  <c r="B1208" i="364"/>
  <c r="B1207" i="364"/>
  <c r="B1206" i="364"/>
  <c r="B1205" i="364"/>
  <c r="B1204" i="364"/>
  <c r="B1203" i="364"/>
  <c r="B1202" i="364"/>
  <c r="B1201" i="364"/>
  <c r="B1200" i="364"/>
  <c r="B1199" i="364"/>
  <c r="B1198" i="364"/>
  <c r="B1197" i="364"/>
  <c r="B1196" i="364"/>
  <c r="B1195" i="364"/>
  <c r="B1194" i="364"/>
  <c r="B1193" i="364"/>
  <c r="B1192" i="364"/>
  <c r="B1191" i="364"/>
  <c r="B1190" i="364"/>
  <c r="B1189" i="364"/>
  <c r="B1188" i="364"/>
  <c r="B1187" i="364"/>
  <c r="B1186" i="364"/>
  <c r="B1185" i="364"/>
  <c r="B1184" i="364"/>
  <c r="B1183" i="364"/>
  <c r="B1182" i="364"/>
  <c r="B1181" i="364"/>
  <c r="B1180" i="364"/>
  <c r="B1179" i="364"/>
  <c r="B1178" i="364"/>
  <c r="B1177" i="364"/>
  <c r="B1176" i="364"/>
  <c r="B1175" i="364"/>
  <c r="B1174" i="364"/>
  <c r="B1173" i="364"/>
  <c r="B1172" i="364"/>
  <c r="B1171" i="364"/>
  <c r="B1170" i="364"/>
  <c r="B1169" i="364"/>
  <c r="B1168" i="364"/>
  <c r="B1167" i="364"/>
  <c r="B1166" i="364"/>
  <c r="B1165" i="364"/>
  <c r="B1164" i="364"/>
  <c r="B1163" i="364"/>
  <c r="B1162" i="364"/>
  <c r="B1161" i="364"/>
  <c r="B1160" i="364"/>
  <c r="B1159" i="364"/>
  <c r="B1158" i="364"/>
  <c r="B1157" i="364"/>
  <c r="B1156" i="364"/>
  <c r="B1155" i="364"/>
  <c r="B1154" i="364"/>
  <c r="B1153" i="364"/>
  <c r="B1152" i="364"/>
  <c r="B1151" i="364"/>
  <c r="B1150" i="364"/>
  <c r="B1149" i="364"/>
  <c r="B1148" i="364"/>
  <c r="B1147" i="364"/>
  <c r="B1146" i="364"/>
  <c r="B1145" i="364"/>
  <c r="B1144" i="364"/>
  <c r="B1143" i="364"/>
  <c r="B1142" i="364"/>
  <c r="B1141" i="364"/>
  <c r="B1140" i="364"/>
  <c r="B1139" i="364"/>
  <c r="B1138" i="364"/>
  <c r="B1137" i="364"/>
  <c r="B1136" i="364"/>
  <c r="B1135" i="364"/>
  <c r="B1134" i="364"/>
  <c r="B1133" i="364"/>
  <c r="B1132" i="364"/>
  <c r="B1131" i="364"/>
  <c r="B1130" i="364"/>
  <c r="B1129" i="364"/>
  <c r="B1128" i="364"/>
  <c r="B1127" i="364"/>
  <c r="B1126" i="364"/>
  <c r="B1125" i="364"/>
  <c r="B1124" i="364"/>
  <c r="B1123" i="364"/>
  <c r="B1122" i="364"/>
  <c r="B1121" i="364"/>
  <c r="B1120" i="364"/>
  <c r="B1119" i="364"/>
  <c r="B1118" i="364"/>
  <c r="B1117" i="364"/>
  <c r="B1116" i="364"/>
  <c r="B1115" i="364"/>
  <c r="B1114" i="364"/>
  <c r="B1113" i="364"/>
  <c r="B1112" i="364"/>
  <c r="B1111" i="364"/>
  <c r="B1110" i="364"/>
  <c r="B1109" i="364"/>
  <c r="B1108" i="364"/>
  <c r="B1107" i="364"/>
  <c r="B1106" i="364"/>
  <c r="B1105" i="364"/>
  <c r="B1104" i="364"/>
  <c r="B1103" i="364"/>
  <c r="B1102" i="364"/>
  <c r="B1101" i="364"/>
  <c r="B1100" i="364"/>
  <c r="B1099" i="364"/>
  <c r="B1098" i="364"/>
  <c r="B1097" i="364"/>
  <c r="B1096" i="364"/>
  <c r="B1095" i="364"/>
  <c r="B1094" i="364"/>
  <c r="B1093" i="364"/>
  <c r="B1092" i="364"/>
  <c r="B1091" i="364"/>
  <c r="B1090" i="364"/>
  <c r="B1089" i="364"/>
  <c r="B1088" i="364"/>
  <c r="B1087" i="364"/>
  <c r="B1086" i="364"/>
  <c r="B1085" i="364"/>
  <c r="B1084" i="364"/>
  <c r="B1083" i="364"/>
  <c r="B1082" i="364"/>
  <c r="B1081" i="364"/>
  <c r="B1080" i="364"/>
  <c r="B1079" i="364"/>
  <c r="B1078" i="364"/>
  <c r="B1077" i="364"/>
  <c r="B1076" i="364"/>
  <c r="B1075" i="364"/>
  <c r="B1074" i="364"/>
  <c r="B1073" i="364"/>
  <c r="B1072" i="364"/>
  <c r="B1071" i="364"/>
  <c r="B1070" i="364"/>
  <c r="B1069" i="364"/>
  <c r="B1068" i="364"/>
  <c r="B1067" i="364"/>
  <c r="B1066" i="364"/>
  <c r="B1065" i="364"/>
  <c r="B1064" i="364"/>
  <c r="B1063" i="364"/>
  <c r="B1062" i="364"/>
  <c r="B1061" i="364"/>
  <c r="B1060" i="364"/>
  <c r="B1059" i="364"/>
  <c r="B1058" i="364"/>
  <c r="B1057" i="364"/>
  <c r="B1056" i="364"/>
  <c r="B1055" i="364"/>
  <c r="B1054" i="364"/>
  <c r="B1053" i="364"/>
  <c r="B1052" i="364"/>
  <c r="B1051" i="364"/>
  <c r="B1050" i="364"/>
  <c r="B1049" i="364"/>
  <c r="B1048" i="364"/>
  <c r="B1047" i="364"/>
  <c r="B1046" i="364"/>
  <c r="B1045" i="364"/>
  <c r="B1044" i="364"/>
  <c r="B1043" i="364"/>
  <c r="B1042" i="364"/>
  <c r="B1041" i="364"/>
  <c r="B1040" i="364"/>
  <c r="B1039" i="364"/>
  <c r="B1038" i="364"/>
  <c r="B1037" i="364"/>
  <c r="B1036" i="364"/>
  <c r="B1035" i="364"/>
  <c r="B1034" i="364"/>
  <c r="B1033" i="364"/>
  <c r="B1032" i="364"/>
  <c r="B1031" i="364"/>
  <c r="B1030" i="364"/>
  <c r="B1029" i="364"/>
  <c r="B1028" i="364"/>
  <c r="B1027" i="364"/>
  <c r="B1026" i="364"/>
  <c r="B1025" i="364"/>
  <c r="B1024" i="364"/>
  <c r="B1023" i="364"/>
  <c r="B1022" i="364"/>
  <c r="B1021" i="364"/>
  <c r="B1020" i="364"/>
  <c r="B1019" i="364"/>
  <c r="B1018" i="364"/>
  <c r="B1017" i="364"/>
  <c r="B1016" i="364"/>
  <c r="B1015" i="364"/>
  <c r="B1014" i="364"/>
  <c r="B1013" i="364"/>
  <c r="B1012" i="364"/>
  <c r="B1011" i="364"/>
  <c r="B1010" i="364"/>
  <c r="B1009" i="364"/>
  <c r="B1008" i="364"/>
  <c r="B1007" i="364"/>
  <c r="B1006" i="364"/>
  <c r="B1005" i="364"/>
  <c r="B1004" i="364"/>
  <c r="B1003" i="364"/>
  <c r="B1002" i="364"/>
  <c r="B1001" i="364"/>
  <c r="B1000" i="364"/>
  <c r="B999" i="364"/>
  <c r="B998" i="364"/>
  <c r="B997" i="364"/>
  <c r="B996" i="364"/>
  <c r="B995" i="364"/>
  <c r="B994" i="364"/>
  <c r="B993" i="364"/>
  <c r="B992" i="364"/>
  <c r="B991" i="364"/>
  <c r="B990" i="364"/>
  <c r="B989" i="364"/>
  <c r="B988" i="364"/>
  <c r="B987" i="364"/>
  <c r="B986" i="364"/>
  <c r="B985" i="364"/>
  <c r="B984" i="364"/>
  <c r="B983" i="364"/>
  <c r="B982" i="364"/>
  <c r="B981" i="364"/>
  <c r="B980" i="364"/>
  <c r="B979" i="364"/>
  <c r="B978" i="364"/>
  <c r="B977" i="364"/>
  <c r="B976" i="364"/>
  <c r="B975" i="364"/>
  <c r="B974" i="364"/>
  <c r="B973" i="364"/>
  <c r="B972" i="364"/>
  <c r="B971" i="364"/>
  <c r="B970" i="364"/>
  <c r="B969" i="364"/>
  <c r="B968" i="364"/>
  <c r="B967" i="364"/>
  <c r="B966" i="364"/>
  <c r="B965" i="364"/>
  <c r="B964" i="364"/>
  <c r="B963" i="364"/>
  <c r="B962" i="364"/>
  <c r="B961" i="364"/>
  <c r="B960" i="364"/>
  <c r="B959" i="364"/>
  <c r="B958" i="364"/>
  <c r="B957" i="364"/>
  <c r="B956" i="364"/>
  <c r="B955" i="364"/>
  <c r="B954" i="364"/>
  <c r="B953" i="364"/>
  <c r="B952" i="364"/>
  <c r="B951" i="364"/>
  <c r="B950" i="364"/>
  <c r="B949" i="364"/>
  <c r="B948" i="364"/>
  <c r="B947" i="364"/>
  <c r="B946" i="364"/>
  <c r="B945" i="364"/>
  <c r="B944" i="364"/>
  <c r="B943" i="364"/>
  <c r="B942" i="364"/>
  <c r="B941" i="364"/>
  <c r="B940" i="364"/>
  <c r="B939" i="364"/>
  <c r="B938" i="364"/>
  <c r="B937" i="364"/>
  <c r="B936" i="364"/>
  <c r="B935" i="364"/>
  <c r="B934" i="364"/>
  <c r="B933" i="364"/>
  <c r="B932" i="364"/>
  <c r="B931" i="364"/>
  <c r="B930" i="364"/>
  <c r="B929" i="364"/>
  <c r="B928" i="364"/>
  <c r="B927" i="364"/>
  <c r="B926" i="364"/>
  <c r="B925" i="364"/>
  <c r="B924" i="364"/>
  <c r="B923" i="364"/>
  <c r="B922" i="364"/>
  <c r="B921" i="364"/>
  <c r="B920" i="364"/>
  <c r="B919" i="364"/>
  <c r="B918" i="364"/>
  <c r="B917" i="364"/>
  <c r="B916" i="364"/>
  <c r="B915" i="364"/>
  <c r="B914" i="364"/>
  <c r="B913" i="364"/>
  <c r="B912" i="364"/>
  <c r="B911" i="364"/>
  <c r="B910" i="364"/>
  <c r="B909" i="364"/>
  <c r="B908" i="364"/>
  <c r="B907" i="364"/>
  <c r="B906" i="364"/>
  <c r="B905" i="364"/>
  <c r="B904" i="364"/>
  <c r="B903" i="364"/>
  <c r="B902" i="364"/>
  <c r="B901" i="364"/>
  <c r="B900" i="364"/>
  <c r="B899" i="364"/>
  <c r="B898" i="364"/>
  <c r="B897" i="364"/>
  <c r="B896" i="364"/>
  <c r="B895" i="364"/>
  <c r="B894" i="364"/>
  <c r="B893" i="364"/>
  <c r="B892" i="364"/>
  <c r="B891" i="364"/>
  <c r="B890" i="364"/>
  <c r="B889" i="364"/>
  <c r="B888" i="364"/>
  <c r="B887" i="364"/>
  <c r="B886" i="364"/>
  <c r="B885" i="364"/>
  <c r="B884" i="364"/>
  <c r="B883" i="364"/>
  <c r="B882" i="364"/>
  <c r="B881" i="364"/>
  <c r="B880" i="364"/>
  <c r="B879" i="364"/>
  <c r="B878" i="364"/>
  <c r="B877" i="364"/>
  <c r="B876" i="364"/>
  <c r="B875" i="364"/>
  <c r="B874" i="364"/>
  <c r="B873" i="364"/>
  <c r="B872" i="364"/>
  <c r="B871" i="364"/>
  <c r="B870" i="364"/>
  <c r="B869" i="364"/>
  <c r="B868" i="364"/>
  <c r="B867" i="364"/>
  <c r="B866" i="364"/>
  <c r="B865" i="364"/>
  <c r="B864" i="364"/>
  <c r="B863" i="364"/>
  <c r="B862" i="364"/>
  <c r="B861" i="364"/>
  <c r="B860" i="364"/>
  <c r="B859" i="364"/>
  <c r="B858" i="364"/>
  <c r="B857" i="364"/>
  <c r="B856" i="364"/>
  <c r="B855" i="364"/>
  <c r="B854" i="364"/>
  <c r="B853" i="364"/>
  <c r="B852" i="364"/>
  <c r="B851" i="364"/>
  <c r="B850" i="364"/>
  <c r="B849" i="364"/>
  <c r="B848" i="364"/>
  <c r="B847" i="364"/>
  <c r="B846" i="364"/>
  <c r="B845" i="364"/>
  <c r="B844" i="364"/>
  <c r="B843" i="364"/>
  <c r="B842" i="364"/>
  <c r="B841" i="364"/>
  <c r="B840" i="364"/>
  <c r="B839" i="364"/>
  <c r="B838" i="364"/>
  <c r="B837" i="364"/>
  <c r="B836" i="364"/>
  <c r="B835" i="364"/>
  <c r="B834" i="364"/>
  <c r="B833" i="364"/>
  <c r="B832" i="364"/>
  <c r="B831" i="364"/>
  <c r="B830" i="364"/>
  <c r="B829" i="364"/>
  <c r="B828" i="364"/>
  <c r="B827" i="364"/>
  <c r="B826" i="364"/>
  <c r="B825" i="364"/>
  <c r="B824" i="364"/>
  <c r="B823" i="364"/>
  <c r="B822" i="364"/>
  <c r="B821" i="364"/>
  <c r="B820" i="364"/>
  <c r="B819" i="364"/>
  <c r="B818" i="364"/>
  <c r="B817" i="364"/>
  <c r="B816" i="364"/>
  <c r="B815" i="364"/>
  <c r="B814" i="364"/>
  <c r="B813" i="364"/>
  <c r="B812" i="364"/>
  <c r="B811" i="364"/>
  <c r="B810" i="364"/>
  <c r="B809" i="364"/>
  <c r="B808" i="364"/>
  <c r="B807" i="364"/>
  <c r="B806" i="364"/>
  <c r="B805" i="364"/>
  <c r="B804" i="364"/>
  <c r="B803" i="364"/>
  <c r="B802" i="364"/>
  <c r="B801" i="364"/>
  <c r="B800" i="364"/>
  <c r="B799" i="364"/>
  <c r="B798" i="364"/>
  <c r="B797" i="364"/>
  <c r="B796" i="364"/>
  <c r="B795" i="364"/>
  <c r="B794" i="364"/>
  <c r="B793" i="364"/>
  <c r="B792" i="364"/>
  <c r="B791" i="364"/>
  <c r="B790" i="364"/>
  <c r="B789" i="364"/>
  <c r="B788" i="364"/>
  <c r="B787" i="364"/>
  <c r="B786" i="364"/>
  <c r="B785" i="364"/>
  <c r="B784" i="364"/>
  <c r="B783" i="364"/>
  <c r="B782" i="364"/>
  <c r="B781" i="364"/>
  <c r="B780" i="364"/>
  <c r="B779" i="364"/>
  <c r="B778" i="364"/>
  <c r="B777" i="364"/>
  <c r="B776" i="364"/>
  <c r="B775" i="364"/>
  <c r="B774" i="364"/>
  <c r="B773" i="364"/>
  <c r="B772" i="364"/>
  <c r="B771" i="364"/>
  <c r="B770" i="364"/>
  <c r="B769" i="364"/>
  <c r="B768" i="364"/>
  <c r="B767" i="364"/>
  <c r="B766" i="364"/>
  <c r="B765" i="364"/>
  <c r="B764" i="364"/>
  <c r="B763" i="364"/>
  <c r="B762" i="364"/>
  <c r="B761" i="364"/>
  <c r="B760" i="364"/>
  <c r="B759" i="364"/>
  <c r="B758" i="364"/>
  <c r="B757" i="364"/>
  <c r="B756" i="364"/>
  <c r="B755" i="364"/>
  <c r="B754" i="364"/>
  <c r="B753" i="364"/>
  <c r="B752" i="364"/>
  <c r="B751" i="364"/>
  <c r="B750" i="364"/>
  <c r="B749" i="364"/>
  <c r="B748" i="364"/>
  <c r="B747" i="364"/>
  <c r="B746" i="364"/>
  <c r="B745" i="364"/>
  <c r="B744" i="364"/>
  <c r="B743" i="364"/>
  <c r="B742" i="364"/>
  <c r="B741" i="364"/>
  <c r="B740" i="364"/>
  <c r="B739" i="364"/>
  <c r="B738" i="364"/>
  <c r="B737" i="364"/>
  <c r="B736" i="364"/>
  <c r="B735" i="364"/>
  <c r="B734" i="364"/>
  <c r="B733" i="364"/>
  <c r="B732" i="364"/>
  <c r="B731" i="364"/>
  <c r="B730" i="364"/>
  <c r="B729" i="364"/>
  <c r="B728" i="364"/>
  <c r="B727" i="364"/>
  <c r="B726" i="364"/>
  <c r="B725" i="364"/>
  <c r="B724" i="364"/>
  <c r="B723" i="364"/>
  <c r="B722" i="364"/>
  <c r="B721" i="364"/>
  <c r="B720" i="364"/>
  <c r="B719" i="364"/>
  <c r="B718" i="364"/>
  <c r="B717" i="364"/>
  <c r="B716" i="364"/>
  <c r="B715" i="364"/>
  <c r="B714" i="364"/>
  <c r="B713" i="364"/>
  <c r="B712" i="364"/>
  <c r="B711" i="364"/>
  <c r="B710" i="364"/>
  <c r="B709" i="364"/>
  <c r="B708" i="364"/>
  <c r="B707" i="364"/>
  <c r="B706" i="364"/>
  <c r="B705" i="364"/>
  <c r="B704" i="364"/>
  <c r="B703" i="364"/>
  <c r="B702" i="364"/>
  <c r="B701" i="364"/>
  <c r="B700" i="364"/>
  <c r="B699" i="364"/>
  <c r="B698" i="364"/>
  <c r="B697" i="364"/>
  <c r="B696" i="364"/>
  <c r="B695" i="364"/>
  <c r="B694" i="364"/>
  <c r="B693" i="364"/>
  <c r="B692" i="364"/>
  <c r="B691" i="364"/>
  <c r="B690" i="364"/>
  <c r="B689" i="364"/>
  <c r="B688" i="364"/>
  <c r="B687" i="364"/>
  <c r="B686" i="364"/>
  <c r="B685" i="364"/>
  <c r="B684" i="364"/>
  <c r="B683" i="364"/>
  <c r="B682" i="364"/>
  <c r="B681" i="364"/>
  <c r="B680" i="364"/>
  <c r="B679" i="364"/>
  <c r="B678" i="364"/>
  <c r="B677" i="364"/>
  <c r="B676" i="364"/>
  <c r="B675" i="364"/>
  <c r="B674" i="364"/>
  <c r="B673" i="364"/>
  <c r="B672" i="364"/>
  <c r="B671" i="364"/>
  <c r="B670" i="364"/>
  <c r="B669" i="364"/>
  <c r="B668" i="364"/>
  <c r="B667" i="364"/>
  <c r="B666" i="364"/>
  <c r="B665" i="364"/>
  <c r="B664" i="364"/>
  <c r="B663" i="364"/>
  <c r="B662" i="364"/>
  <c r="B661" i="364"/>
  <c r="B660" i="364"/>
  <c r="B659" i="364"/>
  <c r="B658" i="364"/>
  <c r="B657" i="364"/>
  <c r="B656" i="364"/>
  <c r="B655" i="364"/>
  <c r="B654" i="364"/>
  <c r="B653" i="364"/>
  <c r="B652" i="364"/>
  <c r="B651" i="364"/>
  <c r="B650" i="364"/>
  <c r="B649" i="364"/>
  <c r="B648" i="364"/>
  <c r="B647" i="364"/>
  <c r="B646" i="364"/>
  <c r="B645" i="364"/>
  <c r="B644" i="364"/>
  <c r="B643" i="364"/>
  <c r="B642" i="364"/>
  <c r="B641" i="364"/>
  <c r="B640" i="364"/>
  <c r="B639" i="364"/>
  <c r="B638" i="364"/>
  <c r="B637" i="364"/>
  <c r="B636" i="364"/>
  <c r="B635" i="364"/>
  <c r="B634" i="364"/>
  <c r="B633" i="364"/>
  <c r="B632" i="364"/>
  <c r="B631" i="364"/>
  <c r="B630" i="364"/>
  <c r="B629" i="364"/>
  <c r="B628" i="364"/>
  <c r="B627" i="364"/>
  <c r="B626" i="364"/>
  <c r="B625" i="364"/>
  <c r="B624" i="364"/>
  <c r="B623" i="364"/>
  <c r="B622" i="364"/>
  <c r="B621" i="364"/>
  <c r="B620" i="364"/>
  <c r="B619" i="364"/>
  <c r="B618" i="364"/>
  <c r="B617" i="364"/>
  <c r="B616" i="364"/>
  <c r="B615" i="364"/>
  <c r="B614" i="364"/>
  <c r="B613" i="364"/>
  <c r="B612" i="364"/>
  <c r="B611" i="364"/>
  <c r="B610" i="364"/>
  <c r="B609" i="364"/>
  <c r="B608" i="364"/>
  <c r="B607" i="364"/>
  <c r="B606" i="364"/>
  <c r="B605" i="364"/>
  <c r="B604" i="364"/>
  <c r="B603" i="364"/>
  <c r="B602" i="364"/>
  <c r="B601" i="364"/>
  <c r="B600" i="364"/>
  <c r="B599" i="364"/>
  <c r="B598" i="364"/>
  <c r="B597" i="364"/>
  <c r="B596" i="364"/>
  <c r="B595" i="364"/>
  <c r="B594" i="364"/>
  <c r="B593" i="364"/>
  <c r="B592" i="364"/>
  <c r="B591" i="364"/>
  <c r="B590" i="364"/>
  <c r="B589" i="364"/>
  <c r="B588" i="364"/>
  <c r="B587" i="364"/>
  <c r="B586" i="364"/>
  <c r="B585" i="364"/>
  <c r="B584" i="364"/>
  <c r="B583" i="364"/>
  <c r="B582" i="364"/>
  <c r="B581" i="364"/>
  <c r="B580" i="364"/>
  <c r="B579" i="364"/>
  <c r="B578" i="364"/>
  <c r="B577" i="364"/>
  <c r="B576" i="364"/>
  <c r="B575" i="364"/>
  <c r="B574" i="364"/>
  <c r="B573" i="364"/>
  <c r="B572" i="364"/>
  <c r="B571" i="364"/>
  <c r="B570" i="364"/>
  <c r="B569" i="364"/>
  <c r="B568" i="364"/>
  <c r="B567" i="364"/>
  <c r="B566" i="364"/>
  <c r="B565" i="364"/>
  <c r="B564" i="364"/>
  <c r="B563" i="364"/>
  <c r="B562" i="364"/>
  <c r="B561" i="364"/>
  <c r="B560" i="364"/>
  <c r="B559" i="364"/>
  <c r="B558" i="364"/>
  <c r="B557" i="364"/>
  <c r="B556" i="364"/>
  <c r="B555" i="364"/>
  <c r="B554" i="364"/>
  <c r="B553" i="364"/>
  <c r="B552" i="364"/>
  <c r="B551" i="364"/>
  <c r="B550" i="364"/>
  <c r="B549" i="364"/>
  <c r="B548" i="364"/>
  <c r="B547" i="364"/>
  <c r="B546" i="364"/>
  <c r="B545" i="364"/>
  <c r="B544" i="364"/>
  <c r="B543" i="364"/>
  <c r="B542" i="364"/>
  <c r="B541" i="364"/>
  <c r="B540" i="364"/>
  <c r="B539" i="364"/>
  <c r="B538" i="364"/>
  <c r="B537" i="364"/>
  <c r="B536" i="364"/>
  <c r="B535" i="364"/>
  <c r="B534" i="364"/>
  <c r="B533" i="364"/>
  <c r="B532" i="364"/>
  <c r="B531" i="364"/>
  <c r="B530" i="364"/>
  <c r="B529" i="364"/>
  <c r="B528" i="364"/>
  <c r="B527" i="364"/>
  <c r="B526" i="364"/>
  <c r="B525" i="364"/>
  <c r="B524" i="364"/>
  <c r="B523" i="364"/>
  <c r="B522" i="364"/>
  <c r="B521" i="364"/>
  <c r="B520" i="364"/>
  <c r="B519" i="364"/>
  <c r="B518" i="364"/>
  <c r="B517" i="364"/>
  <c r="B516" i="364"/>
  <c r="B515" i="364"/>
  <c r="B514" i="364"/>
  <c r="B513" i="364"/>
  <c r="B512" i="364"/>
  <c r="B511" i="364"/>
  <c r="B510" i="364"/>
  <c r="B509" i="364"/>
  <c r="B508" i="364"/>
  <c r="B507" i="364"/>
  <c r="B506" i="364"/>
  <c r="B505" i="364"/>
  <c r="B504" i="364"/>
  <c r="B503" i="364"/>
  <c r="B502" i="364"/>
  <c r="B501" i="364"/>
  <c r="B500" i="364"/>
  <c r="B499" i="364"/>
  <c r="B498" i="364"/>
  <c r="B497" i="364"/>
  <c r="B496" i="364"/>
  <c r="B495" i="364"/>
  <c r="B494" i="364"/>
  <c r="B493" i="364"/>
  <c r="B492" i="364"/>
  <c r="B491" i="364"/>
  <c r="B490" i="364"/>
  <c r="B489" i="364"/>
  <c r="B488" i="364"/>
  <c r="B487" i="364"/>
  <c r="B486" i="364"/>
  <c r="B485" i="364"/>
  <c r="B484" i="364"/>
  <c r="B483" i="364"/>
  <c r="B482" i="364"/>
  <c r="B481" i="364"/>
  <c r="B480" i="364"/>
  <c r="B479" i="364"/>
  <c r="B478" i="364"/>
  <c r="B477" i="364"/>
  <c r="B476" i="364"/>
  <c r="B475" i="364"/>
  <c r="B474" i="364"/>
  <c r="B473" i="364"/>
  <c r="B472" i="364"/>
  <c r="B471" i="364"/>
  <c r="B470" i="364"/>
  <c r="B469" i="364"/>
  <c r="B468" i="364"/>
  <c r="B467" i="364"/>
  <c r="B466" i="364"/>
  <c r="B465" i="364"/>
  <c r="B464" i="364"/>
  <c r="B463" i="364"/>
  <c r="B462" i="364"/>
  <c r="B461" i="364"/>
  <c r="B460" i="364"/>
  <c r="B459" i="364"/>
  <c r="B458" i="364"/>
  <c r="B457" i="364"/>
  <c r="B456" i="364"/>
  <c r="B455" i="364"/>
  <c r="B454" i="364"/>
  <c r="B453" i="364"/>
  <c r="B452" i="364"/>
  <c r="B451" i="364"/>
  <c r="B450" i="364"/>
  <c r="B449" i="364"/>
  <c r="B448" i="364"/>
  <c r="B447" i="364"/>
  <c r="B446" i="364"/>
  <c r="B445" i="364"/>
  <c r="B444" i="364"/>
  <c r="B443" i="364"/>
  <c r="B442" i="364"/>
  <c r="B441" i="364"/>
  <c r="B440" i="364"/>
  <c r="B439" i="364"/>
  <c r="B438" i="364"/>
  <c r="B437" i="364"/>
  <c r="B436" i="364"/>
  <c r="B435" i="364"/>
  <c r="B434" i="364"/>
  <c r="B433" i="364"/>
  <c r="B432" i="364"/>
  <c r="B431" i="364"/>
  <c r="B430" i="364"/>
  <c r="B429" i="364"/>
  <c r="B428" i="364"/>
  <c r="B427" i="364"/>
  <c r="B426" i="364"/>
  <c r="B425" i="364"/>
  <c r="B424" i="364"/>
  <c r="B423" i="364"/>
  <c r="B422" i="364"/>
  <c r="B421" i="364"/>
  <c r="B420" i="364"/>
  <c r="B419" i="364"/>
  <c r="B418" i="364"/>
  <c r="B417" i="364"/>
  <c r="B416" i="364"/>
  <c r="B415" i="364"/>
  <c r="B414" i="364"/>
  <c r="B413" i="364"/>
  <c r="B412" i="364"/>
  <c r="B411" i="364"/>
  <c r="B410" i="364"/>
  <c r="B409" i="364"/>
  <c r="B408" i="364"/>
  <c r="B407" i="364"/>
  <c r="B406" i="364"/>
  <c r="B405" i="364"/>
  <c r="B404" i="364"/>
  <c r="B403" i="364"/>
  <c r="B402" i="364"/>
  <c r="B401" i="364"/>
  <c r="B400" i="364"/>
  <c r="B399" i="364"/>
  <c r="B398" i="364"/>
  <c r="B397" i="364"/>
  <c r="B396" i="364"/>
  <c r="B395" i="364"/>
  <c r="B394" i="364"/>
  <c r="B393" i="364"/>
  <c r="B392" i="364"/>
  <c r="B391" i="364"/>
  <c r="B390" i="364"/>
  <c r="B389" i="364"/>
  <c r="B388" i="364"/>
  <c r="B387" i="364"/>
  <c r="B386" i="364"/>
  <c r="B385" i="364"/>
  <c r="B384" i="364"/>
  <c r="B383" i="364"/>
  <c r="B382" i="364"/>
  <c r="B381" i="364"/>
  <c r="B380" i="364"/>
  <c r="B379" i="364"/>
  <c r="B378" i="364"/>
  <c r="B377" i="364"/>
  <c r="B376" i="364"/>
  <c r="B375" i="364"/>
  <c r="B374" i="364"/>
  <c r="B373" i="364"/>
  <c r="B372" i="364"/>
  <c r="B371" i="364"/>
  <c r="B370" i="364"/>
  <c r="B369" i="364"/>
  <c r="B368" i="364"/>
  <c r="B367" i="364"/>
  <c r="B366" i="364"/>
  <c r="B365" i="364"/>
  <c r="B364" i="364"/>
  <c r="B363" i="364"/>
  <c r="B362" i="364"/>
  <c r="B361" i="364"/>
  <c r="B360" i="364"/>
  <c r="B359" i="364"/>
  <c r="B358" i="364"/>
  <c r="B357" i="364"/>
  <c r="B356" i="364"/>
  <c r="B355" i="364"/>
  <c r="B354" i="364"/>
  <c r="B353" i="364"/>
  <c r="B352" i="364"/>
  <c r="B351" i="364"/>
  <c r="B350" i="364"/>
  <c r="B349" i="364"/>
  <c r="B348" i="364"/>
  <c r="B347" i="364"/>
  <c r="B346" i="364"/>
  <c r="B345" i="364"/>
  <c r="B344" i="364"/>
  <c r="B343" i="364"/>
  <c r="B342" i="364"/>
  <c r="B341" i="364"/>
  <c r="B340" i="364"/>
  <c r="B339" i="364"/>
  <c r="B338" i="364"/>
  <c r="B337" i="364"/>
  <c r="B336" i="364"/>
  <c r="B335" i="364"/>
  <c r="B334" i="364"/>
  <c r="B333" i="364"/>
  <c r="B332" i="364"/>
  <c r="B331" i="364"/>
  <c r="B330" i="364"/>
  <c r="B329" i="364"/>
  <c r="B328" i="364"/>
  <c r="B327" i="364"/>
  <c r="B326" i="364"/>
  <c r="B325" i="364"/>
  <c r="B324" i="364"/>
  <c r="B323" i="364"/>
  <c r="B322" i="364"/>
  <c r="B321" i="364"/>
  <c r="B320" i="364"/>
  <c r="B319" i="364"/>
  <c r="B318" i="364"/>
  <c r="B317" i="364"/>
  <c r="B316" i="364"/>
  <c r="B315" i="364"/>
  <c r="B314" i="364"/>
  <c r="B313" i="364"/>
  <c r="B312" i="364"/>
  <c r="B311" i="364"/>
  <c r="B310" i="364"/>
  <c r="B309" i="364"/>
  <c r="B308" i="364"/>
  <c r="B307" i="364"/>
  <c r="B306" i="364"/>
  <c r="B305" i="364"/>
  <c r="B304" i="364"/>
  <c r="B303" i="364"/>
  <c r="B302" i="364"/>
  <c r="B301" i="364"/>
  <c r="B300" i="364"/>
  <c r="B299" i="364"/>
  <c r="B298" i="364"/>
  <c r="B297" i="364"/>
  <c r="B296" i="364"/>
  <c r="B295" i="364"/>
  <c r="B294" i="364"/>
  <c r="B293" i="364"/>
  <c r="B292" i="364"/>
  <c r="B291" i="364"/>
  <c r="B290" i="364"/>
  <c r="B289" i="364"/>
  <c r="B288" i="364"/>
  <c r="B287" i="364"/>
  <c r="B286" i="364"/>
  <c r="B285" i="364"/>
  <c r="B284" i="364"/>
  <c r="B283" i="364"/>
  <c r="B282" i="364"/>
  <c r="B281" i="364"/>
  <c r="B280" i="364"/>
  <c r="B279" i="364"/>
  <c r="B278" i="364"/>
  <c r="B277" i="364"/>
  <c r="B276" i="364"/>
  <c r="B275" i="364"/>
  <c r="B274" i="364"/>
  <c r="B273" i="364"/>
  <c r="B272" i="364"/>
  <c r="B271" i="364"/>
  <c r="B270" i="364"/>
  <c r="B269" i="364"/>
  <c r="B268" i="364"/>
  <c r="B267" i="364"/>
  <c r="B266" i="364"/>
  <c r="B265" i="364"/>
  <c r="B264" i="364"/>
  <c r="B263" i="364"/>
  <c r="B262" i="364"/>
  <c r="B261" i="364"/>
  <c r="B260" i="364"/>
  <c r="B259" i="364"/>
  <c r="B258" i="364"/>
  <c r="B257" i="364"/>
  <c r="B256" i="364"/>
  <c r="B255" i="364"/>
  <c r="B254" i="364"/>
  <c r="B253" i="364"/>
  <c r="B252" i="364"/>
  <c r="B251" i="364"/>
  <c r="B250" i="364"/>
  <c r="B249" i="364"/>
  <c r="B248" i="364"/>
  <c r="B247" i="364"/>
  <c r="B246" i="364"/>
  <c r="B245" i="364"/>
  <c r="B244" i="364"/>
  <c r="B243" i="364"/>
  <c r="B242" i="364"/>
  <c r="B241" i="364"/>
  <c r="B240" i="364"/>
  <c r="B239" i="364"/>
  <c r="B238" i="364"/>
  <c r="B237" i="364"/>
  <c r="B236" i="364"/>
  <c r="B235" i="364"/>
  <c r="B234" i="364"/>
  <c r="B233" i="364"/>
  <c r="B232" i="364"/>
  <c r="B231" i="364"/>
  <c r="B230" i="364"/>
  <c r="B229" i="364"/>
  <c r="B228" i="364"/>
  <c r="B227" i="364"/>
  <c r="B226" i="364"/>
  <c r="B225" i="364"/>
  <c r="B224" i="364"/>
  <c r="B223" i="364"/>
  <c r="B222" i="364"/>
  <c r="B221" i="364"/>
  <c r="B220" i="364"/>
  <c r="B219" i="364"/>
  <c r="B218" i="364"/>
  <c r="B217" i="364"/>
  <c r="B216" i="364"/>
  <c r="B215" i="364"/>
  <c r="B214" i="364"/>
  <c r="B213" i="364"/>
  <c r="B212" i="364"/>
  <c r="B211" i="364"/>
  <c r="B210" i="364"/>
  <c r="B209" i="364"/>
  <c r="B208" i="364"/>
  <c r="B207" i="364"/>
  <c r="B206" i="364"/>
  <c r="B205" i="364"/>
  <c r="B204" i="364"/>
  <c r="B203" i="364"/>
  <c r="B202" i="364"/>
  <c r="B201" i="364"/>
  <c r="B200" i="364"/>
  <c r="B199" i="364"/>
  <c r="B198" i="364"/>
  <c r="B197" i="364"/>
  <c r="B196" i="364"/>
  <c r="B195" i="364"/>
  <c r="B194" i="364"/>
  <c r="B193" i="364"/>
  <c r="B192" i="364"/>
  <c r="B191" i="364"/>
  <c r="B190" i="364"/>
  <c r="B189" i="364"/>
  <c r="B188" i="364"/>
  <c r="B187" i="364"/>
  <c r="B186" i="364"/>
  <c r="B185" i="364"/>
  <c r="B184" i="364"/>
  <c r="B183" i="364"/>
  <c r="B182" i="364"/>
  <c r="B181" i="364"/>
  <c r="B180" i="364"/>
  <c r="B179" i="364"/>
  <c r="B178" i="364"/>
  <c r="B177" i="364"/>
  <c r="B176" i="364"/>
  <c r="B175" i="364"/>
  <c r="B174" i="364"/>
  <c r="B173" i="364"/>
  <c r="B172" i="364"/>
  <c r="B171" i="364"/>
  <c r="B170" i="364"/>
  <c r="B169" i="364"/>
  <c r="B168" i="364"/>
  <c r="B167" i="364"/>
  <c r="B166" i="364"/>
  <c r="B165" i="364"/>
  <c r="B164" i="364"/>
  <c r="B163" i="364"/>
  <c r="B162" i="364"/>
  <c r="B161" i="364"/>
  <c r="B160" i="364"/>
  <c r="B159" i="364"/>
  <c r="B158" i="364"/>
  <c r="B157" i="364"/>
  <c r="B156" i="364"/>
  <c r="B155" i="364"/>
  <c r="B154" i="364"/>
  <c r="B153" i="364"/>
  <c r="B152" i="364"/>
  <c r="B151" i="364"/>
  <c r="B150" i="364"/>
  <c r="B149" i="364"/>
  <c r="B148" i="364"/>
  <c r="B147" i="364"/>
  <c r="B146" i="364"/>
  <c r="B145" i="364"/>
  <c r="B144" i="364"/>
  <c r="B143" i="364"/>
  <c r="B142" i="364"/>
  <c r="B141" i="364"/>
  <c r="B140" i="364"/>
  <c r="B139" i="364"/>
  <c r="B138" i="364"/>
  <c r="B137" i="364"/>
  <c r="B136" i="364"/>
  <c r="B135" i="364"/>
  <c r="B134" i="364"/>
  <c r="B133" i="364"/>
  <c r="B132" i="364"/>
  <c r="B131" i="364"/>
  <c r="B130" i="364"/>
  <c r="B129" i="364"/>
  <c r="B128" i="364"/>
  <c r="B127" i="364"/>
  <c r="B126" i="364"/>
  <c r="B125" i="364"/>
  <c r="B124" i="364"/>
  <c r="B123" i="364"/>
  <c r="B122" i="364"/>
  <c r="B121" i="364"/>
  <c r="B120" i="364"/>
  <c r="B119" i="364"/>
  <c r="B118" i="364"/>
  <c r="B117" i="364"/>
  <c r="B116" i="364"/>
  <c r="B115" i="364"/>
  <c r="B114" i="364"/>
  <c r="B113" i="364"/>
  <c r="B112" i="364"/>
  <c r="B111" i="364"/>
  <c r="B110" i="364"/>
  <c r="B109" i="364"/>
  <c r="B108" i="364"/>
  <c r="B107" i="364"/>
  <c r="B106" i="364"/>
  <c r="B105" i="364"/>
  <c r="B104" i="364"/>
  <c r="B103" i="364"/>
  <c r="B102" i="364"/>
  <c r="B101" i="364"/>
  <c r="B100" i="364"/>
  <c r="B99" i="364"/>
  <c r="B98" i="364"/>
  <c r="B97" i="364"/>
  <c r="B96" i="364"/>
  <c r="B95" i="364"/>
  <c r="B94" i="364"/>
  <c r="B93" i="364"/>
  <c r="B92" i="364"/>
  <c r="B91" i="364"/>
  <c r="B90" i="364"/>
  <c r="B89" i="364"/>
  <c r="B88" i="364"/>
  <c r="B87" i="364"/>
  <c r="B86" i="364"/>
  <c r="B85" i="364"/>
  <c r="B84" i="364"/>
  <c r="B83" i="364"/>
  <c r="B82" i="364"/>
  <c r="B81" i="364"/>
  <c r="B80" i="364"/>
  <c r="B79" i="364"/>
  <c r="B78" i="364"/>
  <c r="B77" i="364"/>
  <c r="B76" i="364"/>
  <c r="B75" i="364"/>
  <c r="B74" i="364"/>
  <c r="B73" i="364"/>
  <c r="B72" i="364"/>
  <c r="B71" i="364"/>
  <c r="B70" i="364"/>
  <c r="B69" i="364"/>
  <c r="B68" i="364"/>
  <c r="B67" i="364"/>
  <c r="B66" i="364"/>
  <c r="B65" i="364"/>
  <c r="B64" i="364"/>
  <c r="B63" i="364"/>
  <c r="B62" i="364"/>
  <c r="B61" i="364"/>
  <c r="B60" i="364"/>
  <c r="B59" i="364"/>
  <c r="B58" i="364"/>
  <c r="B57" i="364"/>
  <c r="B56" i="364"/>
  <c r="B55" i="364"/>
  <c r="B54" i="364"/>
  <c r="B53" i="364"/>
  <c r="B52" i="364"/>
  <c r="B51" i="364"/>
  <c r="B50" i="364"/>
  <c r="B49" i="364"/>
  <c r="B48" i="364"/>
  <c r="B47" i="364"/>
  <c r="B46" i="364"/>
  <c r="B45" i="364"/>
  <c r="B44" i="364"/>
  <c r="B43" i="364"/>
  <c r="B42" i="364"/>
  <c r="B41" i="364"/>
  <c r="B40" i="364"/>
  <c r="B39" i="364"/>
  <c r="B38" i="364"/>
  <c r="B37" i="364"/>
  <c r="B36" i="364"/>
  <c r="B35" i="364"/>
  <c r="B34" i="364"/>
  <c r="B33" i="364"/>
  <c r="B32" i="364"/>
  <c r="B31" i="364"/>
  <c r="B30" i="364"/>
  <c r="B29" i="364"/>
  <c r="B28" i="364"/>
  <c r="B27" i="364"/>
  <c r="B26" i="364"/>
  <c r="B25" i="364"/>
  <c r="B24" i="364"/>
  <c r="B23" i="364"/>
  <c r="B22" i="364"/>
  <c r="B21" i="364"/>
  <c r="B20" i="364"/>
  <c r="B19" i="364"/>
  <c r="B18" i="364"/>
  <c r="B17" i="364"/>
  <c r="B16" i="364"/>
  <c r="B15" i="364"/>
  <c r="B14" i="364"/>
  <c r="B13" i="364"/>
  <c r="B12" i="364"/>
  <c r="B11" i="364"/>
  <c r="B10" i="364"/>
  <c r="B9" i="364"/>
  <c r="B8" i="364"/>
  <c r="K8" i="364" s="1"/>
  <c r="B7" i="364"/>
  <c r="K13" i="364" s="1"/>
  <c r="B6" i="364"/>
  <c r="B5" i="364"/>
  <c r="K2453" i="364" s="1"/>
  <c r="Y522" i="358"/>
  <c r="Z522" i="358" s="1"/>
  <c r="X522" i="358"/>
  <c r="W522" i="358"/>
  <c r="B522" i="358"/>
  <c r="Y521" i="358"/>
  <c r="Z521" i="358" s="1"/>
  <c r="X521" i="358"/>
  <c r="W521" i="358"/>
  <c r="B521" i="358"/>
  <c r="Y520" i="358"/>
  <c r="Z520" i="358" s="1"/>
  <c r="X520" i="358"/>
  <c r="W520" i="358"/>
  <c r="B520" i="358"/>
  <c r="Y519" i="358"/>
  <c r="Z519" i="358" s="1"/>
  <c r="X519" i="358"/>
  <c r="W519" i="358"/>
  <c r="B519" i="358"/>
  <c r="Y518" i="358"/>
  <c r="Z518" i="358" s="1"/>
  <c r="X518" i="358"/>
  <c r="W518" i="358"/>
  <c r="B518" i="358"/>
  <c r="Y517" i="358"/>
  <c r="Z517" i="358" s="1"/>
  <c r="X517" i="358"/>
  <c r="W517" i="358"/>
  <c r="B517" i="358"/>
  <c r="Y516" i="358"/>
  <c r="Z516" i="358" s="1"/>
  <c r="X516" i="358"/>
  <c r="W516" i="358"/>
  <c r="B516" i="358"/>
  <c r="Y515" i="358"/>
  <c r="Z515" i="358" s="1"/>
  <c r="X515" i="358"/>
  <c r="W515" i="358"/>
  <c r="B515" i="358"/>
  <c r="Y514" i="358"/>
  <c r="Z514" i="358" s="1"/>
  <c r="X514" i="358"/>
  <c r="W514" i="358"/>
  <c r="B514" i="358"/>
  <c r="Y513" i="358"/>
  <c r="Z513" i="358" s="1"/>
  <c r="X513" i="358"/>
  <c r="W513" i="358"/>
  <c r="B513" i="358"/>
  <c r="Y512" i="358"/>
  <c r="Z512" i="358" s="1"/>
  <c r="X512" i="358"/>
  <c r="W512" i="358"/>
  <c r="B512" i="358"/>
  <c r="Y511" i="358"/>
  <c r="Z511" i="358" s="1"/>
  <c r="X511" i="358"/>
  <c r="W511" i="358"/>
  <c r="B511" i="358"/>
  <c r="Y510" i="358"/>
  <c r="Z510" i="358" s="1"/>
  <c r="X510" i="358"/>
  <c r="W510" i="358"/>
  <c r="B510" i="358"/>
  <c r="Y509" i="358"/>
  <c r="Z509" i="358" s="1"/>
  <c r="X509" i="358"/>
  <c r="W509" i="358"/>
  <c r="B509" i="358"/>
  <c r="Z508" i="358"/>
  <c r="Y508" i="358"/>
  <c r="X508" i="358"/>
  <c r="W508" i="358"/>
  <c r="B508" i="358"/>
  <c r="Y507" i="358"/>
  <c r="Z507" i="358" s="1"/>
  <c r="X507" i="358"/>
  <c r="W507" i="358"/>
  <c r="B507" i="358"/>
  <c r="Y506" i="358"/>
  <c r="Z506" i="358" s="1"/>
  <c r="X506" i="358"/>
  <c r="W506" i="358"/>
  <c r="B506" i="358"/>
  <c r="Y505" i="358"/>
  <c r="Z505" i="358" s="1"/>
  <c r="X505" i="358"/>
  <c r="W505" i="358"/>
  <c r="B505" i="358"/>
  <c r="Y504" i="358"/>
  <c r="Z504" i="358" s="1"/>
  <c r="X504" i="358"/>
  <c r="W504" i="358"/>
  <c r="B504" i="358"/>
  <c r="Y503" i="358"/>
  <c r="Z503" i="358" s="1"/>
  <c r="X503" i="358"/>
  <c r="W503" i="358"/>
  <c r="B503" i="358"/>
  <c r="Y502" i="358"/>
  <c r="Z502" i="358" s="1"/>
  <c r="X502" i="358"/>
  <c r="W502" i="358"/>
  <c r="B502" i="358"/>
  <c r="Y501" i="358"/>
  <c r="Z501" i="358" s="1"/>
  <c r="X501" i="358"/>
  <c r="W501" i="358"/>
  <c r="B501" i="358"/>
  <c r="Y500" i="358"/>
  <c r="Z500" i="358" s="1"/>
  <c r="X500" i="358"/>
  <c r="W500" i="358"/>
  <c r="B500" i="358"/>
  <c r="Y499" i="358"/>
  <c r="Z499" i="358" s="1"/>
  <c r="X499" i="358"/>
  <c r="W499" i="358"/>
  <c r="B499" i="358"/>
  <c r="Y498" i="358"/>
  <c r="Z498" i="358" s="1"/>
  <c r="X498" i="358"/>
  <c r="W498" i="358"/>
  <c r="B498" i="358"/>
  <c r="Y497" i="358"/>
  <c r="Z497" i="358" s="1"/>
  <c r="X497" i="358"/>
  <c r="W497" i="358"/>
  <c r="B497" i="358"/>
  <c r="Y496" i="358"/>
  <c r="Z496" i="358" s="1"/>
  <c r="X496" i="358"/>
  <c r="W496" i="358"/>
  <c r="B496" i="358"/>
  <c r="Y495" i="358"/>
  <c r="Z495" i="358" s="1"/>
  <c r="X495" i="358"/>
  <c r="W495" i="358"/>
  <c r="B495" i="358"/>
  <c r="Y494" i="358"/>
  <c r="Z494" i="358" s="1"/>
  <c r="X494" i="358"/>
  <c r="W494" i="358"/>
  <c r="B494" i="358"/>
  <c r="Y493" i="358"/>
  <c r="Z493" i="358" s="1"/>
  <c r="X493" i="358"/>
  <c r="W493" i="358"/>
  <c r="B493" i="358"/>
  <c r="Y492" i="358"/>
  <c r="Z492" i="358" s="1"/>
  <c r="X492" i="358"/>
  <c r="W492" i="358"/>
  <c r="B492" i="358"/>
  <c r="Y491" i="358"/>
  <c r="Z491" i="358" s="1"/>
  <c r="X491" i="358"/>
  <c r="W491" i="358"/>
  <c r="B491" i="358"/>
  <c r="Y490" i="358"/>
  <c r="Z490" i="358" s="1"/>
  <c r="X490" i="358"/>
  <c r="W490" i="358"/>
  <c r="B490" i="358"/>
  <c r="Y489" i="358"/>
  <c r="Z489" i="358" s="1"/>
  <c r="X489" i="358"/>
  <c r="W489" i="358"/>
  <c r="B489" i="358"/>
  <c r="Y488" i="358"/>
  <c r="Z488" i="358" s="1"/>
  <c r="X488" i="358"/>
  <c r="W488" i="358"/>
  <c r="B488" i="358"/>
  <c r="Y487" i="358"/>
  <c r="Z487" i="358" s="1"/>
  <c r="X487" i="358"/>
  <c r="W487" i="358"/>
  <c r="B487" i="358"/>
  <c r="Y486" i="358"/>
  <c r="Z486" i="358" s="1"/>
  <c r="X486" i="358"/>
  <c r="W486" i="358"/>
  <c r="B486" i="358"/>
  <c r="Y485" i="358"/>
  <c r="Z485" i="358" s="1"/>
  <c r="X485" i="358"/>
  <c r="W485" i="358"/>
  <c r="B485" i="358"/>
  <c r="Y484" i="358"/>
  <c r="Z484" i="358" s="1"/>
  <c r="X484" i="358"/>
  <c r="W484" i="358"/>
  <c r="B484" i="358"/>
  <c r="Y483" i="358"/>
  <c r="Z483" i="358" s="1"/>
  <c r="X483" i="358"/>
  <c r="W483" i="358"/>
  <c r="B483" i="358"/>
  <c r="Y482" i="358"/>
  <c r="Z482" i="358" s="1"/>
  <c r="X482" i="358"/>
  <c r="W482" i="358"/>
  <c r="B482" i="358"/>
  <c r="Y481" i="358"/>
  <c r="Z481" i="358" s="1"/>
  <c r="X481" i="358"/>
  <c r="W481" i="358"/>
  <c r="B481" i="358"/>
  <c r="Y480" i="358"/>
  <c r="Z480" i="358" s="1"/>
  <c r="X480" i="358"/>
  <c r="W480" i="358"/>
  <c r="B480" i="358"/>
  <c r="Y479" i="358"/>
  <c r="Z479" i="358" s="1"/>
  <c r="X479" i="358"/>
  <c r="W479" i="358"/>
  <c r="B479" i="358"/>
  <c r="Y478" i="358"/>
  <c r="Z478" i="358" s="1"/>
  <c r="X478" i="358"/>
  <c r="W478" i="358"/>
  <c r="B478" i="358"/>
  <c r="Y477" i="358"/>
  <c r="Z477" i="358" s="1"/>
  <c r="X477" i="358"/>
  <c r="W477" i="358"/>
  <c r="B477" i="358"/>
  <c r="Y476" i="358"/>
  <c r="Z476" i="358" s="1"/>
  <c r="X476" i="358"/>
  <c r="W476" i="358"/>
  <c r="B476" i="358"/>
  <c r="Y475" i="358"/>
  <c r="Z475" i="358" s="1"/>
  <c r="X475" i="358"/>
  <c r="W475" i="358"/>
  <c r="B475" i="358"/>
  <c r="Y474" i="358"/>
  <c r="Z474" i="358" s="1"/>
  <c r="X474" i="358"/>
  <c r="W474" i="358"/>
  <c r="B474" i="358"/>
  <c r="Y473" i="358"/>
  <c r="Z473" i="358" s="1"/>
  <c r="X473" i="358"/>
  <c r="W473" i="358"/>
  <c r="B473" i="358"/>
  <c r="Y472" i="358"/>
  <c r="Z472" i="358" s="1"/>
  <c r="X472" i="358"/>
  <c r="W472" i="358"/>
  <c r="B472" i="358"/>
  <c r="Y471" i="358"/>
  <c r="Z471" i="358" s="1"/>
  <c r="X471" i="358"/>
  <c r="W471" i="358"/>
  <c r="B471" i="358"/>
  <c r="Y470" i="358"/>
  <c r="Z470" i="358" s="1"/>
  <c r="X470" i="358"/>
  <c r="W470" i="358"/>
  <c r="B470" i="358"/>
  <c r="Y469" i="358"/>
  <c r="Z469" i="358" s="1"/>
  <c r="X469" i="358"/>
  <c r="W469" i="358"/>
  <c r="B469" i="358"/>
  <c r="Y468" i="358"/>
  <c r="Z468" i="358" s="1"/>
  <c r="X468" i="358"/>
  <c r="W468" i="358"/>
  <c r="B468" i="358"/>
  <c r="Y467" i="358"/>
  <c r="Z467" i="358" s="1"/>
  <c r="X467" i="358"/>
  <c r="W467" i="358"/>
  <c r="B467" i="358"/>
  <c r="Y466" i="358"/>
  <c r="Z466" i="358" s="1"/>
  <c r="X466" i="358"/>
  <c r="W466" i="358"/>
  <c r="B466" i="358"/>
  <c r="Y465" i="358"/>
  <c r="Z465" i="358" s="1"/>
  <c r="X465" i="358"/>
  <c r="W465" i="358"/>
  <c r="B465" i="358"/>
  <c r="Y464" i="358"/>
  <c r="Z464" i="358" s="1"/>
  <c r="X464" i="358"/>
  <c r="W464" i="358"/>
  <c r="B464" i="358"/>
  <c r="Y463" i="358"/>
  <c r="Z463" i="358" s="1"/>
  <c r="X463" i="358"/>
  <c r="W463" i="358"/>
  <c r="B463" i="358"/>
  <c r="Y462" i="358"/>
  <c r="Z462" i="358" s="1"/>
  <c r="X462" i="358"/>
  <c r="W462" i="358"/>
  <c r="B462" i="358"/>
  <c r="Y461" i="358"/>
  <c r="Z461" i="358" s="1"/>
  <c r="X461" i="358"/>
  <c r="W461" i="358"/>
  <c r="B461" i="358"/>
  <c r="Y460" i="358"/>
  <c r="Z460" i="358" s="1"/>
  <c r="X460" i="358"/>
  <c r="W460" i="358"/>
  <c r="B460" i="358"/>
  <c r="Y459" i="358"/>
  <c r="Z459" i="358" s="1"/>
  <c r="X459" i="358"/>
  <c r="W459" i="358"/>
  <c r="B459" i="358"/>
  <c r="Y458" i="358"/>
  <c r="Z458" i="358" s="1"/>
  <c r="X458" i="358"/>
  <c r="W458" i="358"/>
  <c r="B458" i="358"/>
  <c r="Y457" i="358"/>
  <c r="Z457" i="358" s="1"/>
  <c r="X457" i="358"/>
  <c r="W457" i="358"/>
  <c r="B457" i="358"/>
  <c r="Z456" i="358"/>
  <c r="Y456" i="358"/>
  <c r="X456" i="358"/>
  <c r="W456" i="358"/>
  <c r="B456" i="358"/>
  <c r="Y455" i="358"/>
  <c r="Z455" i="358" s="1"/>
  <c r="X455" i="358"/>
  <c r="W455" i="358"/>
  <c r="B455" i="358"/>
  <c r="Y454" i="358"/>
  <c r="Z454" i="358" s="1"/>
  <c r="X454" i="358"/>
  <c r="W454" i="358"/>
  <c r="B454" i="358"/>
  <c r="Y453" i="358"/>
  <c r="Z453" i="358" s="1"/>
  <c r="X453" i="358"/>
  <c r="W453" i="358"/>
  <c r="B453" i="358"/>
  <c r="Y452" i="358"/>
  <c r="Z452" i="358" s="1"/>
  <c r="X452" i="358"/>
  <c r="W452" i="358"/>
  <c r="B452" i="358"/>
  <c r="Y451" i="358"/>
  <c r="Z451" i="358" s="1"/>
  <c r="X451" i="358"/>
  <c r="W451" i="358"/>
  <c r="B451" i="358"/>
  <c r="Y450" i="358"/>
  <c r="Z450" i="358" s="1"/>
  <c r="X450" i="358"/>
  <c r="W450" i="358"/>
  <c r="B450" i="358"/>
  <c r="Y449" i="358"/>
  <c r="Z449" i="358" s="1"/>
  <c r="X449" i="358"/>
  <c r="W449" i="358"/>
  <c r="B449" i="358"/>
  <c r="Y448" i="358"/>
  <c r="Z448" i="358" s="1"/>
  <c r="X448" i="358"/>
  <c r="W448" i="358"/>
  <c r="B448" i="358"/>
  <c r="Y447" i="358"/>
  <c r="Z447" i="358" s="1"/>
  <c r="X447" i="358"/>
  <c r="W447" i="358"/>
  <c r="B447" i="358"/>
  <c r="Y446" i="358"/>
  <c r="Z446" i="358" s="1"/>
  <c r="X446" i="358"/>
  <c r="W446" i="358"/>
  <c r="B446" i="358"/>
  <c r="Y445" i="358"/>
  <c r="Z445" i="358" s="1"/>
  <c r="X445" i="358"/>
  <c r="W445" i="358"/>
  <c r="B445" i="358"/>
  <c r="Y444" i="358"/>
  <c r="Z444" i="358" s="1"/>
  <c r="X444" i="358"/>
  <c r="W444" i="358"/>
  <c r="B444" i="358"/>
  <c r="Y443" i="358"/>
  <c r="Z443" i="358" s="1"/>
  <c r="X443" i="358"/>
  <c r="W443" i="358"/>
  <c r="B443" i="358"/>
  <c r="Y442" i="358"/>
  <c r="Z442" i="358" s="1"/>
  <c r="X442" i="358"/>
  <c r="W442" i="358"/>
  <c r="B442" i="358"/>
  <c r="Y441" i="358"/>
  <c r="Z441" i="358" s="1"/>
  <c r="X441" i="358"/>
  <c r="W441" i="358"/>
  <c r="B441" i="358"/>
  <c r="Y440" i="358"/>
  <c r="Z440" i="358" s="1"/>
  <c r="X440" i="358"/>
  <c r="W440" i="358"/>
  <c r="B440" i="358"/>
  <c r="Y439" i="358"/>
  <c r="Z439" i="358" s="1"/>
  <c r="X439" i="358"/>
  <c r="W439" i="358"/>
  <c r="B439" i="358"/>
  <c r="Y438" i="358"/>
  <c r="Z438" i="358" s="1"/>
  <c r="X438" i="358"/>
  <c r="W438" i="358"/>
  <c r="B438" i="358"/>
  <c r="Y437" i="358"/>
  <c r="Z437" i="358" s="1"/>
  <c r="X437" i="358"/>
  <c r="W437" i="358"/>
  <c r="B437" i="358"/>
  <c r="Y436" i="358"/>
  <c r="Z436" i="358" s="1"/>
  <c r="X436" i="358"/>
  <c r="W436" i="358"/>
  <c r="B436" i="358"/>
  <c r="Y435" i="358"/>
  <c r="Z435" i="358" s="1"/>
  <c r="X435" i="358"/>
  <c r="W435" i="358"/>
  <c r="B435" i="358"/>
  <c r="Y434" i="358"/>
  <c r="Z434" i="358" s="1"/>
  <c r="X434" i="358"/>
  <c r="W434" i="358"/>
  <c r="B434" i="358"/>
  <c r="Y433" i="358"/>
  <c r="Z433" i="358" s="1"/>
  <c r="X433" i="358"/>
  <c r="W433" i="358"/>
  <c r="B433" i="358"/>
  <c r="Y432" i="358"/>
  <c r="Z432" i="358" s="1"/>
  <c r="X432" i="358"/>
  <c r="W432" i="358"/>
  <c r="B432" i="358"/>
  <c r="Y431" i="358"/>
  <c r="Z431" i="358" s="1"/>
  <c r="X431" i="358"/>
  <c r="W431" i="358"/>
  <c r="B431" i="358"/>
  <c r="Y430" i="358"/>
  <c r="Z430" i="358" s="1"/>
  <c r="X430" i="358"/>
  <c r="W430" i="358"/>
  <c r="B430" i="358"/>
  <c r="Y429" i="358"/>
  <c r="Z429" i="358" s="1"/>
  <c r="X429" i="358"/>
  <c r="W429" i="358"/>
  <c r="B429" i="358"/>
  <c r="Y428" i="358"/>
  <c r="Z428" i="358" s="1"/>
  <c r="X428" i="358"/>
  <c r="W428" i="358"/>
  <c r="B428" i="358"/>
  <c r="Y427" i="358"/>
  <c r="Z427" i="358" s="1"/>
  <c r="X427" i="358"/>
  <c r="W427" i="358"/>
  <c r="B427" i="358"/>
  <c r="Y426" i="358"/>
  <c r="Z426" i="358" s="1"/>
  <c r="X426" i="358"/>
  <c r="W426" i="358"/>
  <c r="B426" i="358"/>
  <c r="Y425" i="358"/>
  <c r="Z425" i="358" s="1"/>
  <c r="X425" i="358"/>
  <c r="W425" i="358"/>
  <c r="B425" i="358"/>
  <c r="Y424" i="358"/>
  <c r="Z424" i="358" s="1"/>
  <c r="X424" i="358"/>
  <c r="W424" i="358"/>
  <c r="B424" i="358"/>
  <c r="Y423" i="358"/>
  <c r="Z423" i="358" s="1"/>
  <c r="X423" i="358"/>
  <c r="W423" i="358"/>
  <c r="B423" i="358"/>
  <c r="Y422" i="358"/>
  <c r="Z422" i="358" s="1"/>
  <c r="X422" i="358"/>
  <c r="W422" i="358"/>
  <c r="B422" i="358"/>
  <c r="Y421" i="358"/>
  <c r="Z421" i="358" s="1"/>
  <c r="X421" i="358"/>
  <c r="W421" i="358"/>
  <c r="B421" i="358"/>
  <c r="Y420" i="358"/>
  <c r="Z420" i="358" s="1"/>
  <c r="X420" i="358"/>
  <c r="W420" i="358"/>
  <c r="B420" i="358"/>
  <c r="Y419" i="358"/>
  <c r="Z419" i="358" s="1"/>
  <c r="X419" i="358"/>
  <c r="W419" i="358"/>
  <c r="B419" i="358"/>
  <c r="Y418" i="358"/>
  <c r="Z418" i="358" s="1"/>
  <c r="X418" i="358"/>
  <c r="W418" i="358"/>
  <c r="B418" i="358"/>
  <c r="Y417" i="358"/>
  <c r="Z417" i="358" s="1"/>
  <c r="X417" i="358"/>
  <c r="W417" i="358"/>
  <c r="B417" i="358"/>
  <c r="Y416" i="358"/>
  <c r="Z416" i="358" s="1"/>
  <c r="X416" i="358"/>
  <c r="W416" i="358"/>
  <c r="B416" i="358"/>
  <c r="Z415" i="358"/>
  <c r="Y415" i="358"/>
  <c r="X415" i="358"/>
  <c r="W415" i="358"/>
  <c r="B415" i="358"/>
  <c r="Y414" i="358"/>
  <c r="Z414" i="358" s="1"/>
  <c r="X414" i="358"/>
  <c r="W414" i="358"/>
  <c r="B414" i="358"/>
  <c r="Y413" i="358"/>
  <c r="Z413" i="358" s="1"/>
  <c r="X413" i="358"/>
  <c r="W413" i="358"/>
  <c r="B413" i="358"/>
  <c r="Y412" i="358"/>
  <c r="Z412" i="358" s="1"/>
  <c r="X412" i="358"/>
  <c r="W412" i="358"/>
  <c r="B412" i="358"/>
  <c r="Y411" i="358"/>
  <c r="Z411" i="358" s="1"/>
  <c r="X411" i="358"/>
  <c r="W411" i="358"/>
  <c r="B411" i="358"/>
  <c r="Y410" i="358"/>
  <c r="Z410" i="358" s="1"/>
  <c r="X410" i="358"/>
  <c r="W410" i="358"/>
  <c r="B410" i="358"/>
  <c r="Y409" i="358"/>
  <c r="Z409" i="358" s="1"/>
  <c r="X409" i="358"/>
  <c r="W409" i="358"/>
  <c r="B409" i="358"/>
  <c r="Y408" i="358"/>
  <c r="Z408" i="358" s="1"/>
  <c r="X408" i="358"/>
  <c r="W408" i="358"/>
  <c r="B408" i="358"/>
  <c r="Y407" i="358"/>
  <c r="Z407" i="358" s="1"/>
  <c r="X407" i="358"/>
  <c r="W407" i="358"/>
  <c r="B407" i="358"/>
  <c r="Y406" i="358"/>
  <c r="Z406" i="358" s="1"/>
  <c r="X406" i="358"/>
  <c r="W406" i="358"/>
  <c r="B406" i="358"/>
  <c r="Y405" i="358"/>
  <c r="Z405" i="358" s="1"/>
  <c r="X405" i="358"/>
  <c r="W405" i="358"/>
  <c r="B405" i="358"/>
  <c r="Y404" i="358"/>
  <c r="Z404" i="358" s="1"/>
  <c r="X404" i="358"/>
  <c r="W404" i="358"/>
  <c r="B404" i="358"/>
  <c r="Y403" i="358"/>
  <c r="Z403" i="358" s="1"/>
  <c r="X403" i="358"/>
  <c r="W403" i="358"/>
  <c r="B403" i="358"/>
  <c r="Y402" i="358"/>
  <c r="Z402" i="358" s="1"/>
  <c r="X402" i="358"/>
  <c r="W402" i="358"/>
  <c r="B402" i="358"/>
  <c r="Y401" i="358"/>
  <c r="Z401" i="358" s="1"/>
  <c r="X401" i="358"/>
  <c r="W401" i="358"/>
  <c r="B401" i="358"/>
  <c r="Y400" i="358"/>
  <c r="Z400" i="358" s="1"/>
  <c r="X400" i="358"/>
  <c r="W400" i="358"/>
  <c r="B400" i="358"/>
  <c r="Y399" i="358"/>
  <c r="Z399" i="358" s="1"/>
  <c r="X399" i="358"/>
  <c r="W399" i="358"/>
  <c r="B399" i="358"/>
  <c r="Y398" i="358"/>
  <c r="Z398" i="358" s="1"/>
  <c r="X398" i="358"/>
  <c r="W398" i="358"/>
  <c r="B398" i="358"/>
  <c r="Y397" i="358"/>
  <c r="Z397" i="358" s="1"/>
  <c r="X397" i="358"/>
  <c r="W397" i="358"/>
  <c r="B397" i="358"/>
  <c r="Y396" i="358"/>
  <c r="Z396" i="358" s="1"/>
  <c r="X396" i="358"/>
  <c r="W396" i="358"/>
  <c r="B396" i="358"/>
  <c r="Y395" i="358"/>
  <c r="Z395" i="358" s="1"/>
  <c r="X395" i="358"/>
  <c r="W395" i="358"/>
  <c r="B395" i="358"/>
  <c r="Y394" i="358"/>
  <c r="Z394" i="358" s="1"/>
  <c r="X394" i="358"/>
  <c r="W394" i="358"/>
  <c r="B394" i="358"/>
  <c r="Y393" i="358"/>
  <c r="Z393" i="358" s="1"/>
  <c r="X393" i="358"/>
  <c r="W393" i="358"/>
  <c r="B393" i="358"/>
  <c r="Y392" i="358"/>
  <c r="Z392" i="358" s="1"/>
  <c r="X392" i="358"/>
  <c r="W392" i="358"/>
  <c r="B392" i="358"/>
  <c r="Y391" i="358"/>
  <c r="Z391" i="358" s="1"/>
  <c r="X391" i="358"/>
  <c r="W391" i="358"/>
  <c r="B391" i="358"/>
  <c r="Y390" i="358"/>
  <c r="Z390" i="358" s="1"/>
  <c r="X390" i="358"/>
  <c r="W390" i="358"/>
  <c r="B390" i="358"/>
  <c r="Y389" i="358"/>
  <c r="Z389" i="358" s="1"/>
  <c r="X389" i="358"/>
  <c r="W389" i="358"/>
  <c r="B389" i="358"/>
  <c r="Y388" i="358"/>
  <c r="Z388" i="358" s="1"/>
  <c r="X388" i="358"/>
  <c r="W388" i="358"/>
  <c r="B388" i="358"/>
  <c r="Y387" i="358"/>
  <c r="Z387" i="358" s="1"/>
  <c r="X387" i="358"/>
  <c r="W387" i="358"/>
  <c r="B387" i="358"/>
  <c r="Y386" i="358"/>
  <c r="Z386" i="358" s="1"/>
  <c r="X386" i="358"/>
  <c r="W386" i="358"/>
  <c r="B386" i="358"/>
  <c r="Y385" i="358"/>
  <c r="Z385" i="358" s="1"/>
  <c r="X385" i="358"/>
  <c r="W385" i="358"/>
  <c r="B385" i="358"/>
  <c r="Y384" i="358"/>
  <c r="Z384" i="358" s="1"/>
  <c r="X384" i="358"/>
  <c r="W384" i="358"/>
  <c r="B384" i="358"/>
  <c r="Y383" i="358"/>
  <c r="Z383" i="358" s="1"/>
  <c r="X383" i="358"/>
  <c r="W383" i="358"/>
  <c r="B383" i="358"/>
  <c r="Y382" i="358"/>
  <c r="Z382" i="358" s="1"/>
  <c r="X382" i="358"/>
  <c r="W382" i="358"/>
  <c r="B382" i="358"/>
  <c r="Y381" i="358"/>
  <c r="Z381" i="358" s="1"/>
  <c r="X381" i="358"/>
  <c r="W381" i="358"/>
  <c r="B381" i="358"/>
  <c r="Y380" i="358"/>
  <c r="Z380" i="358" s="1"/>
  <c r="X380" i="358"/>
  <c r="W380" i="358"/>
  <c r="B380" i="358"/>
  <c r="Y379" i="358"/>
  <c r="Z379" i="358" s="1"/>
  <c r="X379" i="358"/>
  <c r="W379" i="358"/>
  <c r="B379" i="358"/>
  <c r="Y378" i="358"/>
  <c r="Z378" i="358" s="1"/>
  <c r="X378" i="358"/>
  <c r="W378" i="358"/>
  <c r="B378" i="358"/>
  <c r="Y377" i="358"/>
  <c r="Z377" i="358" s="1"/>
  <c r="X377" i="358"/>
  <c r="W377" i="358"/>
  <c r="B377" i="358"/>
  <c r="Y376" i="358"/>
  <c r="Z376" i="358" s="1"/>
  <c r="X376" i="358"/>
  <c r="W376" i="358"/>
  <c r="B376" i="358"/>
  <c r="Y375" i="358"/>
  <c r="Z375" i="358" s="1"/>
  <c r="X375" i="358"/>
  <c r="W375" i="358"/>
  <c r="B375" i="358"/>
  <c r="Y374" i="358"/>
  <c r="Z374" i="358" s="1"/>
  <c r="X374" i="358"/>
  <c r="W374" i="358"/>
  <c r="B374" i="358"/>
  <c r="Z373" i="358"/>
  <c r="Y373" i="358"/>
  <c r="X373" i="358"/>
  <c r="W373" i="358"/>
  <c r="B373" i="358"/>
  <c r="Y372" i="358"/>
  <c r="Z372" i="358" s="1"/>
  <c r="X372" i="358"/>
  <c r="W372" i="358"/>
  <c r="B372" i="358"/>
  <c r="Y371" i="358"/>
  <c r="Z371" i="358" s="1"/>
  <c r="X371" i="358"/>
  <c r="W371" i="358"/>
  <c r="B371" i="358"/>
  <c r="Y370" i="358"/>
  <c r="Z370" i="358" s="1"/>
  <c r="X370" i="358"/>
  <c r="W370" i="358"/>
  <c r="B370" i="358"/>
  <c r="Y369" i="358"/>
  <c r="Z369" i="358" s="1"/>
  <c r="X369" i="358"/>
  <c r="W369" i="358"/>
  <c r="B369" i="358"/>
  <c r="Y368" i="358"/>
  <c r="Z368" i="358" s="1"/>
  <c r="X368" i="358"/>
  <c r="W368" i="358"/>
  <c r="B368" i="358"/>
  <c r="Y367" i="358"/>
  <c r="Z367" i="358" s="1"/>
  <c r="X367" i="358"/>
  <c r="W367" i="358"/>
  <c r="B367" i="358"/>
  <c r="Y366" i="358"/>
  <c r="Z366" i="358" s="1"/>
  <c r="X366" i="358"/>
  <c r="W366" i="358"/>
  <c r="B366" i="358"/>
  <c r="Y365" i="358"/>
  <c r="Z365" i="358" s="1"/>
  <c r="X365" i="358"/>
  <c r="W365" i="358"/>
  <c r="B365" i="358"/>
  <c r="Y364" i="358"/>
  <c r="Z364" i="358" s="1"/>
  <c r="X364" i="358"/>
  <c r="W364" i="358"/>
  <c r="B364" i="358"/>
  <c r="Y363" i="358"/>
  <c r="Z363" i="358" s="1"/>
  <c r="X363" i="358"/>
  <c r="W363" i="358"/>
  <c r="B363" i="358"/>
  <c r="Y362" i="358"/>
  <c r="Z362" i="358" s="1"/>
  <c r="X362" i="358"/>
  <c r="W362" i="358"/>
  <c r="B362" i="358"/>
  <c r="Y361" i="358"/>
  <c r="Z361" i="358" s="1"/>
  <c r="X361" i="358"/>
  <c r="W361" i="358"/>
  <c r="B361" i="358"/>
  <c r="Y360" i="358"/>
  <c r="Z360" i="358" s="1"/>
  <c r="X360" i="358"/>
  <c r="W360" i="358"/>
  <c r="B360" i="358"/>
  <c r="Y359" i="358"/>
  <c r="Z359" i="358" s="1"/>
  <c r="X359" i="358"/>
  <c r="W359" i="358"/>
  <c r="B359" i="358"/>
  <c r="Y358" i="358"/>
  <c r="Z358" i="358" s="1"/>
  <c r="X358" i="358"/>
  <c r="W358" i="358"/>
  <c r="B358" i="358"/>
  <c r="Y357" i="358"/>
  <c r="Z357" i="358" s="1"/>
  <c r="X357" i="358"/>
  <c r="W357" i="358"/>
  <c r="B357" i="358"/>
  <c r="Y356" i="358"/>
  <c r="Z356" i="358" s="1"/>
  <c r="X356" i="358"/>
  <c r="W356" i="358"/>
  <c r="B356" i="358"/>
  <c r="Y355" i="358"/>
  <c r="Z355" i="358" s="1"/>
  <c r="X355" i="358"/>
  <c r="W355" i="358"/>
  <c r="B355" i="358"/>
  <c r="Y354" i="358"/>
  <c r="Z354" i="358" s="1"/>
  <c r="X354" i="358"/>
  <c r="W354" i="358"/>
  <c r="B354" i="358"/>
  <c r="Y353" i="358"/>
  <c r="Z353" i="358" s="1"/>
  <c r="X353" i="358"/>
  <c r="W353" i="358"/>
  <c r="B353" i="358"/>
  <c r="Y352" i="358"/>
  <c r="Z352" i="358" s="1"/>
  <c r="X352" i="358"/>
  <c r="W352" i="358"/>
  <c r="B352" i="358"/>
  <c r="Y351" i="358"/>
  <c r="Z351" i="358" s="1"/>
  <c r="X351" i="358"/>
  <c r="W351" i="358"/>
  <c r="B351" i="358"/>
  <c r="Y350" i="358"/>
  <c r="Z350" i="358" s="1"/>
  <c r="X350" i="358"/>
  <c r="W350" i="358"/>
  <c r="B350" i="358"/>
  <c r="Y349" i="358"/>
  <c r="Z349" i="358" s="1"/>
  <c r="X349" i="358"/>
  <c r="W349" i="358"/>
  <c r="B349" i="358"/>
  <c r="Z348" i="358"/>
  <c r="Y348" i="358"/>
  <c r="X348" i="358"/>
  <c r="W348" i="358"/>
  <c r="B348" i="358"/>
  <c r="Y347" i="358"/>
  <c r="Z347" i="358" s="1"/>
  <c r="X347" i="358"/>
  <c r="W347" i="358"/>
  <c r="B347" i="358"/>
  <c r="Y346" i="358"/>
  <c r="Z346" i="358" s="1"/>
  <c r="X346" i="358"/>
  <c r="W346" i="358"/>
  <c r="B346" i="358"/>
  <c r="Y345" i="358"/>
  <c r="Z345" i="358" s="1"/>
  <c r="X345" i="358"/>
  <c r="W345" i="358"/>
  <c r="B345" i="358"/>
  <c r="Y344" i="358"/>
  <c r="Z344" i="358" s="1"/>
  <c r="X344" i="358"/>
  <c r="W344" i="358"/>
  <c r="B344" i="358"/>
  <c r="Y343" i="358"/>
  <c r="Z343" i="358" s="1"/>
  <c r="X343" i="358"/>
  <c r="W343" i="358"/>
  <c r="B343" i="358"/>
  <c r="Y342" i="358"/>
  <c r="Z342" i="358" s="1"/>
  <c r="X342" i="358"/>
  <c r="W342" i="358"/>
  <c r="B342" i="358"/>
  <c r="Y341" i="358"/>
  <c r="Z341" i="358" s="1"/>
  <c r="X341" i="358"/>
  <c r="W341" i="358"/>
  <c r="B341" i="358"/>
  <c r="Y340" i="358"/>
  <c r="Z340" i="358" s="1"/>
  <c r="X340" i="358"/>
  <c r="W340" i="358"/>
  <c r="B340" i="358"/>
  <c r="Y339" i="358"/>
  <c r="Z339" i="358" s="1"/>
  <c r="X339" i="358"/>
  <c r="W339" i="358"/>
  <c r="B339" i="358"/>
  <c r="Y338" i="358"/>
  <c r="Z338" i="358" s="1"/>
  <c r="X338" i="358"/>
  <c r="W338" i="358"/>
  <c r="B338" i="358"/>
  <c r="Y337" i="358"/>
  <c r="Z337" i="358" s="1"/>
  <c r="X337" i="358"/>
  <c r="W337" i="358"/>
  <c r="B337" i="358"/>
  <c r="Y336" i="358"/>
  <c r="Z336" i="358" s="1"/>
  <c r="X336" i="358"/>
  <c r="W336" i="358"/>
  <c r="B336" i="358"/>
  <c r="Y335" i="358"/>
  <c r="Z335" i="358" s="1"/>
  <c r="X335" i="358"/>
  <c r="W335" i="358"/>
  <c r="B335" i="358"/>
  <c r="Y334" i="358"/>
  <c r="Z334" i="358" s="1"/>
  <c r="X334" i="358"/>
  <c r="W334" i="358"/>
  <c r="B334" i="358"/>
  <c r="Y333" i="358"/>
  <c r="Z333" i="358" s="1"/>
  <c r="X333" i="358"/>
  <c r="W333" i="358"/>
  <c r="B333" i="358"/>
  <c r="Y332" i="358"/>
  <c r="Z332" i="358" s="1"/>
  <c r="X332" i="358"/>
  <c r="W332" i="358"/>
  <c r="B332" i="358"/>
  <c r="Y331" i="358"/>
  <c r="Z331" i="358" s="1"/>
  <c r="X331" i="358"/>
  <c r="W331" i="358"/>
  <c r="B331" i="358"/>
  <c r="Y330" i="358"/>
  <c r="Z330" i="358" s="1"/>
  <c r="X330" i="358"/>
  <c r="W330" i="358"/>
  <c r="B330" i="358"/>
  <c r="Y329" i="358"/>
  <c r="Z329" i="358" s="1"/>
  <c r="X329" i="358"/>
  <c r="W329" i="358"/>
  <c r="B329" i="358"/>
  <c r="Y328" i="358"/>
  <c r="Z328" i="358" s="1"/>
  <c r="X328" i="358"/>
  <c r="W328" i="358"/>
  <c r="B328" i="358"/>
  <c r="Y327" i="358"/>
  <c r="Z327" i="358" s="1"/>
  <c r="X327" i="358"/>
  <c r="W327" i="358"/>
  <c r="B327" i="358"/>
  <c r="Y326" i="358"/>
  <c r="Z326" i="358" s="1"/>
  <c r="X326" i="358"/>
  <c r="W326" i="358"/>
  <c r="B326" i="358"/>
  <c r="Y325" i="358"/>
  <c r="Z325" i="358" s="1"/>
  <c r="X325" i="358"/>
  <c r="W325" i="358"/>
  <c r="B325" i="358"/>
  <c r="Y324" i="358"/>
  <c r="Z324" i="358" s="1"/>
  <c r="X324" i="358"/>
  <c r="W324" i="358"/>
  <c r="B324" i="358"/>
  <c r="Y323" i="358"/>
  <c r="Z323" i="358" s="1"/>
  <c r="X323" i="358"/>
  <c r="W323" i="358"/>
  <c r="B323" i="358"/>
  <c r="Y322" i="358"/>
  <c r="Z322" i="358" s="1"/>
  <c r="X322" i="358"/>
  <c r="W322" i="358"/>
  <c r="B322" i="358"/>
  <c r="Y321" i="358"/>
  <c r="Z321" i="358" s="1"/>
  <c r="X321" i="358"/>
  <c r="W321" i="358"/>
  <c r="B321" i="358"/>
  <c r="Y320" i="358"/>
  <c r="Z320" i="358" s="1"/>
  <c r="X320" i="358"/>
  <c r="W320" i="358"/>
  <c r="B320" i="358"/>
  <c r="Y319" i="358"/>
  <c r="Z319" i="358" s="1"/>
  <c r="X319" i="358"/>
  <c r="W319" i="358"/>
  <c r="B319" i="358"/>
  <c r="Y318" i="358"/>
  <c r="Z318" i="358" s="1"/>
  <c r="X318" i="358"/>
  <c r="W318" i="358"/>
  <c r="B318" i="358"/>
  <c r="Y317" i="358"/>
  <c r="Z317" i="358" s="1"/>
  <c r="X317" i="358"/>
  <c r="W317" i="358"/>
  <c r="B317" i="358"/>
  <c r="Y316" i="358"/>
  <c r="Z316" i="358" s="1"/>
  <c r="X316" i="358"/>
  <c r="W316" i="358"/>
  <c r="B316" i="358"/>
  <c r="Y315" i="358"/>
  <c r="Z315" i="358" s="1"/>
  <c r="X315" i="358"/>
  <c r="W315" i="358"/>
  <c r="B315" i="358"/>
  <c r="Y314" i="358"/>
  <c r="Z314" i="358" s="1"/>
  <c r="X314" i="358"/>
  <c r="W314" i="358"/>
  <c r="B314" i="358"/>
  <c r="Y313" i="358"/>
  <c r="Z313" i="358" s="1"/>
  <c r="X313" i="358"/>
  <c r="W313" i="358"/>
  <c r="B313" i="358"/>
  <c r="Y312" i="358"/>
  <c r="Z312" i="358" s="1"/>
  <c r="X312" i="358"/>
  <c r="W312" i="358"/>
  <c r="B312" i="358"/>
  <c r="Y311" i="358"/>
  <c r="Z311" i="358" s="1"/>
  <c r="X311" i="358"/>
  <c r="W311" i="358"/>
  <c r="B311" i="358"/>
  <c r="Y310" i="358"/>
  <c r="Z310" i="358" s="1"/>
  <c r="X310" i="358"/>
  <c r="W310" i="358"/>
  <c r="B310" i="358"/>
  <c r="Y309" i="358"/>
  <c r="Z309" i="358" s="1"/>
  <c r="X309" i="358"/>
  <c r="W309" i="358"/>
  <c r="B309" i="358"/>
  <c r="Y308" i="358"/>
  <c r="Z308" i="358" s="1"/>
  <c r="X308" i="358"/>
  <c r="W308" i="358"/>
  <c r="B308" i="358"/>
  <c r="Y307" i="358"/>
  <c r="Z307" i="358" s="1"/>
  <c r="X307" i="358"/>
  <c r="W307" i="358"/>
  <c r="B307" i="358"/>
  <c r="Y306" i="358"/>
  <c r="Z306" i="358" s="1"/>
  <c r="X306" i="358"/>
  <c r="W306" i="358"/>
  <c r="B306" i="358"/>
  <c r="Y305" i="358"/>
  <c r="Z305" i="358" s="1"/>
  <c r="X305" i="358"/>
  <c r="W305" i="358"/>
  <c r="B305" i="358"/>
  <c r="Y304" i="358"/>
  <c r="Z304" i="358" s="1"/>
  <c r="X304" i="358"/>
  <c r="W304" i="358"/>
  <c r="B304" i="358"/>
  <c r="Y303" i="358"/>
  <c r="Z303" i="358" s="1"/>
  <c r="X303" i="358"/>
  <c r="W303" i="358"/>
  <c r="B303" i="358"/>
  <c r="Y302" i="358"/>
  <c r="Z302" i="358" s="1"/>
  <c r="X302" i="358"/>
  <c r="W302" i="358"/>
  <c r="B302" i="358"/>
  <c r="Y301" i="358"/>
  <c r="Z301" i="358" s="1"/>
  <c r="X301" i="358"/>
  <c r="W301" i="358"/>
  <c r="B301" i="358"/>
  <c r="Y300" i="358"/>
  <c r="Z300" i="358" s="1"/>
  <c r="X300" i="358"/>
  <c r="W300" i="358"/>
  <c r="B300" i="358"/>
  <c r="Y299" i="358"/>
  <c r="Z299" i="358" s="1"/>
  <c r="X299" i="358"/>
  <c r="W299" i="358"/>
  <c r="B299" i="358"/>
  <c r="Y298" i="358"/>
  <c r="Z298" i="358" s="1"/>
  <c r="X298" i="358"/>
  <c r="W298" i="358"/>
  <c r="B298" i="358"/>
  <c r="Y297" i="358"/>
  <c r="Z297" i="358" s="1"/>
  <c r="X297" i="358"/>
  <c r="W297" i="358"/>
  <c r="B297" i="358"/>
  <c r="Y296" i="358"/>
  <c r="Z296" i="358" s="1"/>
  <c r="X296" i="358"/>
  <c r="W296" i="358"/>
  <c r="B296" i="358"/>
  <c r="Y295" i="358"/>
  <c r="Z295" i="358" s="1"/>
  <c r="X295" i="358"/>
  <c r="W295" i="358"/>
  <c r="B295" i="358"/>
  <c r="Y294" i="358"/>
  <c r="Z294" i="358" s="1"/>
  <c r="X294" i="358"/>
  <c r="W294" i="358"/>
  <c r="B294" i="358"/>
  <c r="Y293" i="358"/>
  <c r="Z293" i="358" s="1"/>
  <c r="X293" i="358"/>
  <c r="W293" i="358"/>
  <c r="B293" i="358"/>
  <c r="Y292" i="358"/>
  <c r="Z292" i="358" s="1"/>
  <c r="X292" i="358"/>
  <c r="W292" i="358"/>
  <c r="B292" i="358"/>
  <c r="Y291" i="358"/>
  <c r="Z291" i="358" s="1"/>
  <c r="X291" i="358"/>
  <c r="W291" i="358"/>
  <c r="B291" i="358"/>
  <c r="Y290" i="358"/>
  <c r="Z290" i="358" s="1"/>
  <c r="X290" i="358"/>
  <c r="W290" i="358"/>
  <c r="B290" i="358"/>
  <c r="Y289" i="358"/>
  <c r="Z289" i="358" s="1"/>
  <c r="X289" i="358"/>
  <c r="W289" i="358"/>
  <c r="B289" i="358"/>
  <c r="Y288" i="358"/>
  <c r="Z288" i="358" s="1"/>
  <c r="X288" i="358"/>
  <c r="W288" i="358"/>
  <c r="B288" i="358"/>
  <c r="Y287" i="358"/>
  <c r="Z287" i="358" s="1"/>
  <c r="X287" i="358"/>
  <c r="W287" i="358"/>
  <c r="B287" i="358"/>
  <c r="Y286" i="358"/>
  <c r="Z286" i="358" s="1"/>
  <c r="X286" i="358"/>
  <c r="W286" i="358"/>
  <c r="B286" i="358"/>
  <c r="Y285" i="358"/>
  <c r="Z285" i="358" s="1"/>
  <c r="X285" i="358"/>
  <c r="W285" i="358"/>
  <c r="B285" i="358"/>
  <c r="Y284" i="358"/>
  <c r="Z284" i="358" s="1"/>
  <c r="X284" i="358"/>
  <c r="W284" i="358"/>
  <c r="B284" i="358"/>
  <c r="Y283" i="358"/>
  <c r="Z283" i="358" s="1"/>
  <c r="X283" i="358"/>
  <c r="W283" i="358"/>
  <c r="B283" i="358"/>
  <c r="Y282" i="358"/>
  <c r="Z282" i="358" s="1"/>
  <c r="X282" i="358"/>
  <c r="W282" i="358"/>
  <c r="B282" i="358"/>
  <c r="Z281" i="358"/>
  <c r="Y281" i="358"/>
  <c r="X281" i="358"/>
  <c r="W281" i="358"/>
  <c r="B281" i="358"/>
  <c r="Y280" i="358"/>
  <c r="Z280" i="358" s="1"/>
  <c r="X280" i="358"/>
  <c r="W280" i="358"/>
  <c r="B280" i="358"/>
  <c r="Y279" i="358"/>
  <c r="Z279" i="358" s="1"/>
  <c r="X279" i="358"/>
  <c r="W279" i="358"/>
  <c r="B279" i="358"/>
  <c r="Y278" i="358"/>
  <c r="Z278" i="358" s="1"/>
  <c r="X278" i="358"/>
  <c r="W278" i="358"/>
  <c r="B278" i="358"/>
  <c r="Y277" i="358"/>
  <c r="Z277" i="358" s="1"/>
  <c r="X277" i="358"/>
  <c r="W277" i="358"/>
  <c r="B277" i="358"/>
  <c r="Y276" i="358"/>
  <c r="Z276" i="358" s="1"/>
  <c r="X276" i="358"/>
  <c r="W276" i="358"/>
  <c r="B276" i="358"/>
  <c r="Y275" i="358"/>
  <c r="Z275" i="358" s="1"/>
  <c r="X275" i="358"/>
  <c r="W275" i="358"/>
  <c r="B275" i="358"/>
  <c r="Y274" i="358"/>
  <c r="Z274" i="358" s="1"/>
  <c r="X274" i="358"/>
  <c r="W274" i="358"/>
  <c r="B274" i="358"/>
  <c r="Y273" i="358"/>
  <c r="Z273" i="358" s="1"/>
  <c r="X273" i="358"/>
  <c r="W273" i="358"/>
  <c r="B273" i="358"/>
  <c r="Y272" i="358"/>
  <c r="Z272" i="358" s="1"/>
  <c r="X272" i="358"/>
  <c r="W272" i="358"/>
  <c r="B272" i="358"/>
  <c r="Y271" i="358"/>
  <c r="Z271" i="358" s="1"/>
  <c r="X271" i="358"/>
  <c r="W271" i="358"/>
  <c r="B271" i="358"/>
  <c r="Y270" i="358"/>
  <c r="Z270" i="358" s="1"/>
  <c r="X270" i="358"/>
  <c r="W270" i="358"/>
  <c r="B270" i="358"/>
  <c r="Y269" i="358"/>
  <c r="Z269" i="358" s="1"/>
  <c r="X269" i="358"/>
  <c r="W269" i="358"/>
  <c r="B269" i="358"/>
  <c r="Y268" i="358"/>
  <c r="Z268" i="358" s="1"/>
  <c r="X268" i="358"/>
  <c r="W268" i="358"/>
  <c r="B268" i="358"/>
  <c r="Y267" i="358"/>
  <c r="Z267" i="358" s="1"/>
  <c r="X267" i="358"/>
  <c r="W267" i="358"/>
  <c r="B267" i="358"/>
  <c r="Y266" i="358"/>
  <c r="Z266" i="358" s="1"/>
  <c r="X266" i="358"/>
  <c r="W266" i="358"/>
  <c r="B266" i="358"/>
  <c r="Y265" i="358"/>
  <c r="Z265" i="358" s="1"/>
  <c r="X265" i="358"/>
  <c r="W265" i="358"/>
  <c r="B265" i="358"/>
  <c r="Y264" i="358"/>
  <c r="Z264" i="358" s="1"/>
  <c r="X264" i="358"/>
  <c r="W264" i="358"/>
  <c r="B264" i="358"/>
  <c r="Y263" i="358"/>
  <c r="Z263" i="358" s="1"/>
  <c r="X263" i="358"/>
  <c r="W263" i="358"/>
  <c r="B263" i="358"/>
  <c r="Y262" i="358"/>
  <c r="Z262" i="358" s="1"/>
  <c r="X262" i="358"/>
  <c r="W262" i="358"/>
  <c r="B262" i="358"/>
  <c r="Y261" i="358"/>
  <c r="Z261" i="358" s="1"/>
  <c r="X261" i="358"/>
  <c r="W261" i="358"/>
  <c r="B261" i="358"/>
  <c r="Y260" i="358"/>
  <c r="Z260" i="358" s="1"/>
  <c r="X260" i="358"/>
  <c r="W260" i="358"/>
  <c r="B260" i="358"/>
  <c r="Y259" i="358"/>
  <c r="Z259" i="358" s="1"/>
  <c r="X259" i="358"/>
  <c r="W259" i="358"/>
  <c r="B259" i="358"/>
  <c r="Y258" i="358"/>
  <c r="Z258" i="358" s="1"/>
  <c r="X258" i="358"/>
  <c r="W258" i="358"/>
  <c r="B258" i="358"/>
  <c r="Y257" i="358"/>
  <c r="Z257" i="358" s="1"/>
  <c r="X257" i="358"/>
  <c r="W257" i="358"/>
  <c r="B257" i="358"/>
  <c r="Y256" i="358"/>
  <c r="Z256" i="358" s="1"/>
  <c r="X256" i="358"/>
  <c r="W256" i="358"/>
  <c r="B256" i="358"/>
  <c r="Y255" i="358"/>
  <c r="Z255" i="358" s="1"/>
  <c r="X255" i="358"/>
  <c r="W255" i="358"/>
  <c r="B255" i="358"/>
  <c r="Y254" i="358"/>
  <c r="Z254" i="358" s="1"/>
  <c r="X254" i="358"/>
  <c r="W254" i="358"/>
  <c r="B254" i="358"/>
  <c r="Y253" i="358"/>
  <c r="Z253" i="358" s="1"/>
  <c r="X253" i="358"/>
  <c r="W253" i="358"/>
  <c r="B253" i="358"/>
  <c r="Y252" i="358"/>
  <c r="Z252" i="358" s="1"/>
  <c r="X252" i="358"/>
  <c r="W252" i="358"/>
  <c r="B252" i="358"/>
  <c r="Y251" i="358"/>
  <c r="Z251" i="358" s="1"/>
  <c r="X251" i="358"/>
  <c r="W251" i="358"/>
  <c r="B251" i="358"/>
  <c r="Y250" i="358"/>
  <c r="Z250" i="358" s="1"/>
  <c r="X250" i="358"/>
  <c r="W250" i="358"/>
  <c r="B250" i="358"/>
  <c r="Y249" i="358"/>
  <c r="Z249" i="358" s="1"/>
  <c r="X249" i="358"/>
  <c r="W249" i="358"/>
  <c r="B249" i="358"/>
  <c r="Y248" i="358"/>
  <c r="Z248" i="358" s="1"/>
  <c r="X248" i="358"/>
  <c r="W248" i="358"/>
  <c r="B248" i="358"/>
  <c r="Y247" i="358"/>
  <c r="Z247" i="358" s="1"/>
  <c r="X247" i="358"/>
  <c r="W247" i="358"/>
  <c r="B247" i="358"/>
  <c r="Y246" i="358"/>
  <c r="Z246" i="358" s="1"/>
  <c r="X246" i="358"/>
  <c r="W246" i="358"/>
  <c r="B246" i="358"/>
  <c r="Y245" i="358"/>
  <c r="Z245" i="358" s="1"/>
  <c r="X245" i="358"/>
  <c r="W245" i="358"/>
  <c r="B245" i="358"/>
  <c r="Y244" i="358"/>
  <c r="Z244" i="358" s="1"/>
  <c r="X244" i="358"/>
  <c r="W244" i="358"/>
  <c r="B244" i="358"/>
  <c r="Y243" i="358"/>
  <c r="Z243" i="358" s="1"/>
  <c r="X243" i="358"/>
  <c r="W243" i="358"/>
  <c r="B243" i="358"/>
  <c r="Y242" i="358"/>
  <c r="Z242" i="358" s="1"/>
  <c r="X242" i="358"/>
  <c r="W242" i="358"/>
  <c r="B242" i="358"/>
  <c r="Y241" i="358"/>
  <c r="Z241" i="358" s="1"/>
  <c r="X241" i="358"/>
  <c r="W241" i="358"/>
  <c r="B241" i="358"/>
  <c r="Y240" i="358"/>
  <c r="Z240" i="358" s="1"/>
  <c r="X240" i="358"/>
  <c r="W240" i="358"/>
  <c r="B240" i="358"/>
  <c r="Y239" i="358"/>
  <c r="Z239" i="358" s="1"/>
  <c r="X239" i="358"/>
  <c r="W239" i="358"/>
  <c r="B239" i="358"/>
  <c r="Y238" i="358"/>
  <c r="Z238" i="358" s="1"/>
  <c r="X238" i="358"/>
  <c r="W238" i="358"/>
  <c r="B238" i="358"/>
  <c r="Y237" i="358"/>
  <c r="Z237" i="358" s="1"/>
  <c r="X237" i="358"/>
  <c r="W237" i="358"/>
  <c r="B237" i="358"/>
  <c r="Y236" i="358"/>
  <c r="Z236" i="358" s="1"/>
  <c r="X236" i="358"/>
  <c r="W236" i="358"/>
  <c r="B236" i="358"/>
  <c r="Y235" i="358"/>
  <c r="Z235" i="358" s="1"/>
  <c r="X235" i="358"/>
  <c r="W235" i="358"/>
  <c r="B235" i="358"/>
  <c r="Y234" i="358"/>
  <c r="Z234" i="358" s="1"/>
  <c r="X234" i="358"/>
  <c r="W234" i="358"/>
  <c r="B234" i="358"/>
  <c r="Y233" i="358"/>
  <c r="Z233" i="358" s="1"/>
  <c r="X233" i="358"/>
  <c r="W233" i="358"/>
  <c r="B233" i="358"/>
  <c r="Y232" i="358"/>
  <c r="Z232" i="358" s="1"/>
  <c r="X232" i="358"/>
  <c r="W232" i="358"/>
  <c r="B232" i="358"/>
  <c r="Y231" i="358"/>
  <c r="Z231" i="358" s="1"/>
  <c r="X231" i="358"/>
  <c r="W231" i="358"/>
  <c r="B231" i="358"/>
  <c r="Y230" i="358"/>
  <c r="Z230" i="358" s="1"/>
  <c r="X230" i="358"/>
  <c r="W230" i="358"/>
  <c r="B230" i="358"/>
  <c r="Y229" i="358"/>
  <c r="Z229" i="358" s="1"/>
  <c r="X229" i="358"/>
  <c r="W229" i="358"/>
  <c r="B229" i="358"/>
  <c r="Y228" i="358"/>
  <c r="Z228" i="358" s="1"/>
  <c r="X228" i="358"/>
  <c r="W228" i="358"/>
  <c r="B228" i="358"/>
  <c r="Y227" i="358"/>
  <c r="Z227" i="358" s="1"/>
  <c r="X227" i="358"/>
  <c r="W227" i="358"/>
  <c r="B227" i="358"/>
  <c r="Y226" i="358"/>
  <c r="Z226" i="358" s="1"/>
  <c r="X226" i="358"/>
  <c r="W226" i="358"/>
  <c r="B226" i="358"/>
  <c r="Y225" i="358"/>
  <c r="Z225" i="358" s="1"/>
  <c r="X225" i="358"/>
  <c r="W225" i="358"/>
  <c r="B225" i="358"/>
  <c r="Z224" i="358"/>
  <c r="Y224" i="358"/>
  <c r="X224" i="358"/>
  <c r="W224" i="358"/>
  <c r="B224" i="358"/>
  <c r="Y223" i="358"/>
  <c r="Z223" i="358" s="1"/>
  <c r="X223" i="358"/>
  <c r="W223" i="358"/>
  <c r="B223" i="358"/>
  <c r="Y222" i="358"/>
  <c r="Z222" i="358" s="1"/>
  <c r="X222" i="358"/>
  <c r="W222" i="358"/>
  <c r="B222" i="358"/>
  <c r="Y221" i="358"/>
  <c r="Z221" i="358" s="1"/>
  <c r="X221" i="358"/>
  <c r="W221" i="358"/>
  <c r="B221" i="358"/>
  <c r="Y220" i="358"/>
  <c r="Z220" i="358" s="1"/>
  <c r="X220" i="358"/>
  <c r="W220" i="358"/>
  <c r="B220" i="358"/>
  <c r="Y219" i="358"/>
  <c r="Z219" i="358" s="1"/>
  <c r="X219" i="358"/>
  <c r="W219" i="358"/>
  <c r="B219" i="358"/>
  <c r="Y218" i="358"/>
  <c r="Z218" i="358" s="1"/>
  <c r="X218" i="358"/>
  <c r="W218" i="358"/>
  <c r="B218" i="358"/>
  <c r="Y217" i="358"/>
  <c r="Z217" i="358" s="1"/>
  <c r="X217" i="358"/>
  <c r="W217" i="358"/>
  <c r="B217" i="358"/>
  <c r="Y216" i="358"/>
  <c r="Z216" i="358" s="1"/>
  <c r="X216" i="358"/>
  <c r="W216" i="358"/>
  <c r="B216" i="358"/>
  <c r="Y215" i="358"/>
  <c r="Z215" i="358" s="1"/>
  <c r="X215" i="358"/>
  <c r="W215" i="358"/>
  <c r="B215" i="358"/>
  <c r="Y214" i="358"/>
  <c r="Z214" i="358" s="1"/>
  <c r="X214" i="358"/>
  <c r="W214" i="358"/>
  <c r="B214" i="358"/>
  <c r="Y213" i="358"/>
  <c r="Z213" i="358" s="1"/>
  <c r="X213" i="358"/>
  <c r="W213" i="358"/>
  <c r="B213" i="358"/>
  <c r="Y212" i="358"/>
  <c r="Z212" i="358" s="1"/>
  <c r="X212" i="358"/>
  <c r="W212" i="358"/>
  <c r="B212" i="358"/>
  <c r="Y211" i="358"/>
  <c r="Z211" i="358" s="1"/>
  <c r="X211" i="358"/>
  <c r="W211" i="358"/>
  <c r="B211" i="358"/>
  <c r="Y210" i="358"/>
  <c r="Z210" i="358" s="1"/>
  <c r="X210" i="358"/>
  <c r="W210" i="358"/>
  <c r="B210" i="358"/>
  <c r="Y209" i="358"/>
  <c r="Z209" i="358" s="1"/>
  <c r="X209" i="358"/>
  <c r="W209" i="358"/>
  <c r="B209" i="358"/>
  <c r="Y208" i="358"/>
  <c r="Z208" i="358" s="1"/>
  <c r="X208" i="358"/>
  <c r="W208" i="358"/>
  <c r="B208" i="358"/>
  <c r="Y207" i="358"/>
  <c r="Z207" i="358" s="1"/>
  <c r="X207" i="358"/>
  <c r="W207" i="358"/>
  <c r="B207" i="358"/>
  <c r="Y206" i="358"/>
  <c r="Z206" i="358" s="1"/>
  <c r="X206" i="358"/>
  <c r="W206" i="358"/>
  <c r="B206" i="358"/>
  <c r="Y205" i="358"/>
  <c r="Z205" i="358" s="1"/>
  <c r="X205" i="358"/>
  <c r="W205" i="358"/>
  <c r="B205" i="358"/>
  <c r="Y204" i="358"/>
  <c r="Z204" i="358" s="1"/>
  <c r="X204" i="358"/>
  <c r="W204" i="358"/>
  <c r="B204" i="358"/>
  <c r="Y203" i="358"/>
  <c r="Z203" i="358" s="1"/>
  <c r="X203" i="358"/>
  <c r="W203" i="358"/>
  <c r="B203" i="358"/>
  <c r="Y202" i="358"/>
  <c r="Z202" i="358" s="1"/>
  <c r="X202" i="358"/>
  <c r="W202" i="358"/>
  <c r="B202" i="358"/>
  <c r="Y201" i="358"/>
  <c r="Z201" i="358" s="1"/>
  <c r="X201" i="358"/>
  <c r="W201" i="358"/>
  <c r="B201" i="358"/>
  <c r="Y200" i="358"/>
  <c r="Z200" i="358" s="1"/>
  <c r="X200" i="358"/>
  <c r="W200" i="358"/>
  <c r="B200" i="358"/>
  <c r="Y199" i="358"/>
  <c r="Z199" i="358" s="1"/>
  <c r="X199" i="358"/>
  <c r="W199" i="358"/>
  <c r="B199" i="358"/>
  <c r="Y198" i="358"/>
  <c r="Z198" i="358" s="1"/>
  <c r="X198" i="358"/>
  <c r="W198" i="358"/>
  <c r="B198" i="358"/>
  <c r="Y197" i="358"/>
  <c r="Z197" i="358" s="1"/>
  <c r="X197" i="358"/>
  <c r="W197" i="358"/>
  <c r="B197" i="358"/>
  <c r="Y196" i="358"/>
  <c r="Z196" i="358" s="1"/>
  <c r="X196" i="358"/>
  <c r="W196" i="358"/>
  <c r="B196" i="358"/>
  <c r="Y195" i="358"/>
  <c r="Z195" i="358" s="1"/>
  <c r="X195" i="358"/>
  <c r="W195" i="358"/>
  <c r="B195" i="358"/>
  <c r="Y194" i="358"/>
  <c r="Z194" i="358" s="1"/>
  <c r="X194" i="358"/>
  <c r="W194" i="358"/>
  <c r="B194" i="358"/>
  <c r="Y193" i="358"/>
  <c r="Z193" i="358" s="1"/>
  <c r="X193" i="358"/>
  <c r="W193" i="358"/>
  <c r="B193" i="358"/>
  <c r="Y192" i="358"/>
  <c r="Z192" i="358" s="1"/>
  <c r="X192" i="358"/>
  <c r="W192" i="358"/>
  <c r="B192" i="358"/>
  <c r="Y191" i="358"/>
  <c r="Z191" i="358" s="1"/>
  <c r="X191" i="358"/>
  <c r="W191" i="358"/>
  <c r="B191" i="358"/>
  <c r="Y190" i="358"/>
  <c r="Z190" i="358" s="1"/>
  <c r="X190" i="358"/>
  <c r="W190" i="358"/>
  <c r="B190" i="358"/>
  <c r="Y189" i="358"/>
  <c r="Z189" i="358" s="1"/>
  <c r="X189" i="358"/>
  <c r="W189" i="358"/>
  <c r="B189" i="358"/>
  <c r="Y188" i="358"/>
  <c r="Z188" i="358" s="1"/>
  <c r="X188" i="358"/>
  <c r="W188" i="358"/>
  <c r="B188" i="358"/>
  <c r="Y187" i="358"/>
  <c r="Z187" i="358" s="1"/>
  <c r="X187" i="358"/>
  <c r="W187" i="358"/>
  <c r="B187" i="358"/>
  <c r="Y186" i="358"/>
  <c r="Z186" i="358" s="1"/>
  <c r="X186" i="358"/>
  <c r="W186" i="358"/>
  <c r="B186" i="358"/>
  <c r="Y185" i="358"/>
  <c r="Z185" i="358" s="1"/>
  <c r="X185" i="358"/>
  <c r="W185" i="358"/>
  <c r="B185" i="358"/>
  <c r="Y184" i="358"/>
  <c r="Z184" i="358" s="1"/>
  <c r="X184" i="358"/>
  <c r="W184" i="358"/>
  <c r="B184" i="358"/>
  <c r="Y183" i="358"/>
  <c r="Z183" i="358" s="1"/>
  <c r="X183" i="358"/>
  <c r="W183" i="358"/>
  <c r="B183" i="358"/>
  <c r="Y182" i="358"/>
  <c r="Z182" i="358" s="1"/>
  <c r="X182" i="358"/>
  <c r="W182" i="358"/>
  <c r="B182" i="358"/>
  <c r="Y181" i="358"/>
  <c r="Z181" i="358" s="1"/>
  <c r="X181" i="358"/>
  <c r="W181" i="358"/>
  <c r="B181" i="358"/>
  <c r="Y180" i="358"/>
  <c r="Z180" i="358" s="1"/>
  <c r="X180" i="358"/>
  <c r="W180" i="358"/>
  <c r="B180" i="358"/>
  <c r="Y179" i="358"/>
  <c r="Z179" i="358" s="1"/>
  <c r="X179" i="358"/>
  <c r="W179" i="358"/>
  <c r="B179" i="358"/>
  <c r="Y178" i="358"/>
  <c r="Z178" i="358" s="1"/>
  <c r="X178" i="358"/>
  <c r="W178" i="358"/>
  <c r="B178" i="358"/>
  <c r="Y177" i="358"/>
  <c r="Z177" i="358" s="1"/>
  <c r="X177" i="358"/>
  <c r="W177" i="358"/>
  <c r="B177" i="358"/>
  <c r="Y176" i="358"/>
  <c r="Z176" i="358" s="1"/>
  <c r="X176" i="358"/>
  <c r="W176" i="358"/>
  <c r="B176" i="358"/>
  <c r="Z175" i="358"/>
  <c r="Y175" i="358"/>
  <c r="X175" i="358"/>
  <c r="W175" i="358"/>
  <c r="B175" i="358"/>
  <c r="Y174" i="358"/>
  <c r="Z174" i="358" s="1"/>
  <c r="X174" i="358"/>
  <c r="W174" i="358"/>
  <c r="B174" i="358"/>
  <c r="Y173" i="358"/>
  <c r="Z173" i="358" s="1"/>
  <c r="X173" i="358"/>
  <c r="W173" i="358"/>
  <c r="B173" i="358"/>
  <c r="Y172" i="358"/>
  <c r="Z172" i="358" s="1"/>
  <c r="X172" i="358"/>
  <c r="W172" i="358"/>
  <c r="B172" i="358"/>
  <c r="Y171" i="358"/>
  <c r="Z171" i="358" s="1"/>
  <c r="X171" i="358"/>
  <c r="W171" i="358"/>
  <c r="B171" i="358"/>
  <c r="Y170" i="358"/>
  <c r="Z170" i="358" s="1"/>
  <c r="X170" i="358"/>
  <c r="W170" i="358"/>
  <c r="B170" i="358"/>
  <c r="Y169" i="358"/>
  <c r="Z169" i="358" s="1"/>
  <c r="X169" i="358"/>
  <c r="W169" i="358"/>
  <c r="B169" i="358"/>
  <c r="Y168" i="358"/>
  <c r="Z168" i="358" s="1"/>
  <c r="X168" i="358"/>
  <c r="W168" i="358"/>
  <c r="B168" i="358"/>
  <c r="Y167" i="358"/>
  <c r="Z167" i="358" s="1"/>
  <c r="X167" i="358"/>
  <c r="W167" i="358"/>
  <c r="B167" i="358"/>
  <c r="Y166" i="358"/>
  <c r="Z166" i="358" s="1"/>
  <c r="X166" i="358"/>
  <c r="W166" i="358"/>
  <c r="B166" i="358"/>
  <c r="Y165" i="358"/>
  <c r="Z165" i="358" s="1"/>
  <c r="X165" i="358"/>
  <c r="W165" i="358"/>
  <c r="B165" i="358"/>
  <c r="Y164" i="358"/>
  <c r="Z164" i="358" s="1"/>
  <c r="X164" i="358"/>
  <c r="W164" i="358"/>
  <c r="B164" i="358"/>
  <c r="Y163" i="358"/>
  <c r="Z163" i="358" s="1"/>
  <c r="X163" i="358"/>
  <c r="W163" i="358"/>
  <c r="B163" i="358"/>
  <c r="Y162" i="358"/>
  <c r="Z162" i="358" s="1"/>
  <c r="X162" i="358"/>
  <c r="W162" i="358"/>
  <c r="B162" i="358"/>
  <c r="Y161" i="358"/>
  <c r="Z161" i="358" s="1"/>
  <c r="X161" i="358"/>
  <c r="W161" i="358"/>
  <c r="B161" i="358"/>
  <c r="Y160" i="358"/>
  <c r="Z160" i="358" s="1"/>
  <c r="X160" i="358"/>
  <c r="W160" i="358"/>
  <c r="B160" i="358"/>
  <c r="Y159" i="358"/>
  <c r="Z159" i="358" s="1"/>
  <c r="X159" i="358"/>
  <c r="W159" i="358"/>
  <c r="B159" i="358"/>
  <c r="Y158" i="358"/>
  <c r="Z158" i="358" s="1"/>
  <c r="X158" i="358"/>
  <c r="W158" i="358"/>
  <c r="B158" i="358"/>
  <c r="Y157" i="358"/>
  <c r="Z157" i="358" s="1"/>
  <c r="X157" i="358"/>
  <c r="W157" i="358"/>
  <c r="B157" i="358"/>
  <c r="Y156" i="358"/>
  <c r="Z156" i="358" s="1"/>
  <c r="X156" i="358"/>
  <c r="W156" i="358"/>
  <c r="B156" i="358"/>
  <c r="Y155" i="358"/>
  <c r="Z155" i="358" s="1"/>
  <c r="X155" i="358"/>
  <c r="W155" i="358"/>
  <c r="B155" i="358"/>
  <c r="Y154" i="358"/>
  <c r="Z154" i="358" s="1"/>
  <c r="X154" i="358"/>
  <c r="W154" i="358"/>
  <c r="B154" i="358"/>
  <c r="Z153" i="358"/>
  <c r="Y153" i="358"/>
  <c r="X153" i="358"/>
  <c r="W153" i="358"/>
  <c r="B153" i="358"/>
  <c r="Y152" i="358"/>
  <c r="Z152" i="358" s="1"/>
  <c r="X152" i="358"/>
  <c r="W152" i="358"/>
  <c r="B152" i="358"/>
  <c r="Y151" i="358"/>
  <c r="Z151" i="358" s="1"/>
  <c r="X151" i="358"/>
  <c r="W151" i="358"/>
  <c r="B151" i="358"/>
  <c r="Y150" i="358"/>
  <c r="Z150" i="358" s="1"/>
  <c r="X150" i="358"/>
  <c r="W150" i="358"/>
  <c r="B150" i="358"/>
  <c r="Y149" i="358"/>
  <c r="Z149" i="358" s="1"/>
  <c r="X149" i="358"/>
  <c r="W149" i="358"/>
  <c r="B149" i="358"/>
  <c r="Y148" i="358"/>
  <c r="Z148" i="358" s="1"/>
  <c r="X148" i="358"/>
  <c r="W148" i="358"/>
  <c r="B148" i="358"/>
  <c r="Y147" i="358"/>
  <c r="Z147" i="358" s="1"/>
  <c r="X147" i="358"/>
  <c r="W147" i="358"/>
  <c r="B147" i="358"/>
  <c r="Y146" i="358"/>
  <c r="Z146" i="358" s="1"/>
  <c r="X146" i="358"/>
  <c r="W146" i="358"/>
  <c r="B146" i="358"/>
  <c r="Y145" i="358"/>
  <c r="Z145" i="358" s="1"/>
  <c r="X145" i="358"/>
  <c r="W145" i="358"/>
  <c r="B145" i="358"/>
  <c r="Y144" i="358"/>
  <c r="Z144" i="358" s="1"/>
  <c r="X144" i="358"/>
  <c r="W144" i="358"/>
  <c r="B144" i="358"/>
  <c r="Y143" i="358"/>
  <c r="Z143" i="358" s="1"/>
  <c r="X143" i="358"/>
  <c r="W143" i="358"/>
  <c r="B143" i="358"/>
  <c r="Y142" i="358"/>
  <c r="Z142" i="358" s="1"/>
  <c r="X142" i="358"/>
  <c r="W142" i="358"/>
  <c r="B142" i="358"/>
  <c r="Y141" i="358"/>
  <c r="Z141" i="358" s="1"/>
  <c r="X141" i="358"/>
  <c r="W141" i="358"/>
  <c r="B141" i="358"/>
  <c r="Y140" i="358"/>
  <c r="Z140" i="358" s="1"/>
  <c r="X140" i="358"/>
  <c r="W140" i="358"/>
  <c r="B140" i="358"/>
  <c r="Y139" i="358"/>
  <c r="Z139" i="358" s="1"/>
  <c r="X139" i="358"/>
  <c r="W139" i="358"/>
  <c r="B139" i="358"/>
  <c r="Y138" i="358"/>
  <c r="Z138" i="358" s="1"/>
  <c r="X138" i="358"/>
  <c r="W138" i="358"/>
  <c r="B138" i="358"/>
  <c r="Y137" i="358"/>
  <c r="Z137" i="358" s="1"/>
  <c r="X137" i="358"/>
  <c r="W137" i="358"/>
  <c r="B137" i="358"/>
  <c r="Y136" i="358"/>
  <c r="Z136" i="358" s="1"/>
  <c r="X136" i="358"/>
  <c r="W136" i="358"/>
  <c r="B136" i="358"/>
  <c r="Y135" i="358"/>
  <c r="Z135" i="358" s="1"/>
  <c r="X135" i="358"/>
  <c r="W135" i="358"/>
  <c r="B135" i="358"/>
  <c r="Y134" i="358"/>
  <c r="Z134" i="358" s="1"/>
  <c r="X134" i="358"/>
  <c r="W134" i="358"/>
  <c r="B134" i="358"/>
  <c r="Y133" i="358"/>
  <c r="Z133" i="358" s="1"/>
  <c r="X133" i="358"/>
  <c r="W133" i="358"/>
  <c r="B133" i="358"/>
  <c r="Y132" i="358"/>
  <c r="Z132" i="358" s="1"/>
  <c r="X132" i="358"/>
  <c r="W132" i="358"/>
  <c r="B132" i="358"/>
  <c r="Y131" i="358"/>
  <c r="Z131" i="358" s="1"/>
  <c r="X131" i="358"/>
  <c r="W131" i="358"/>
  <c r="B131" i="358"/>
  <c r="Y130" i="358"/>
  <c r="Z130" i="358" s="1"/>
  <c r="X130" i="358"/>
  <c r="W130" i="358"/>
  <c r="B130" i="358"/>
  <c r="Z129" i="358"/>
  <c r="Y129" i="358"/>
  <c r="X129" i="358"/>
  <c r="W129" i="358"/>
  <c r="B129" i="358"/>
  <c r="Y128" i="358"/>
  <c r="Z128" i="358" s="1"/>
  <c r="X128" i="358"/>
  <c r="W128" i="358"/>
  <c r="B128" i="358"/>
  <c r="Y127" i="358"/>
  <c r="Z127" i="358" s="1"/>
  <c r="X127" i="358"/>
  <c r="W127" i="358"/>
  <c r="B127" i="358"/>
  <c r="Y126" i="358"/>
  <c r="Z126" i="358" s="1"/>
  <c r="X126" i="358"/>
  <c r="W126" i="358"/>
  <c r="B126" i="358"/>
  <c r="Y125" i="358"/>
  <c r="Z125" i="358" s="1"/>
  <c r="X125" i="358"/>
  <c r="W125" i="358"/>
  <c r="B125" i="358"/>
  <c r="Y124" i="358"/>
  <c r="Z124" i="358" s="1"/>
  <c r="X124" i="358"/>
  <c r="W124" i="358"/>
  <c r="B124" i="358"/>
  <c r="Y123" i="358"/>
  <c r="Z123" i="358" s="1"/>
  <c r="X123" i="358"/>
  <c r="W123" i="358"/>
  <c r="B123" i="358"/>
  <c r="Y122" i="358"/>
  <c r="Z122" i="358" s="1"/>
  <c r="X122" i="358"/>
  <c r="W122" i="358"/>
  <c r="B122" i="358"/>
  <c r="Y121" i="358"/>
  <c r="Z121" i="358" s="1"/>
  <c r="X121" i="358"/>
  <c r="W121" i="358"/>
  <c r="B121" i="358"/>
  <c r="Y120" i="358"/>
  <c r="Z120" i="358" s="1"/>
  <c r="X120" i="358"/>
  <c r="W120" i="358"/>
  <c r="B120" i="358"/>
  <c r="Y119" i="358"/>
  <c r="Z119" i="358" s="1"/>
  <c r="X119" i="358"/>
  <c r="W119" i="358"/>
  <c r="B119" i="358"/>
  <c r="Y118" i="358"/>
  <c r="Z118" i="358" s="1"/>
  <c r="X118" i="358"/>
  <c r="W118" i="358"/>
  <c r="B118" i="358"/>
  <c r="Y117" i="358"/>
  <c r="Z117" i="358" s="1"/>
  <c r="X117" i="358"/>
  <c r="W117" i="358"/>
  <c r="B117" i="358"/>
  <c r="Y116" i="358"/>
  <c r="Z116" i="358" s="1"/>
  <c r="X116" i="358"/>
  <c r="W116" i="358"/>
  <c r="B116" i="358"/>
  <c r="Y115" i="358"/>
  <c r="Z115" i="358" s="1"/>
  <c r="X115" i="358"/>
  <c r="W115" i="358"/>
  <c r="B115" i="358"/>
  <c r="Y114" i="358"/>
  <c r="Z114" i="358" s="1"/>
  <c r="X114" i="358"/>
  <c r="W114" i="358"/>
  <c r="B114" i="358"/>
  <c r="Y113" i="358"/>
  <c r="Z113" i="358" s="1"/>
  <c r="X113" i="358"/>
  <c r="W113" i="358"/>
  <c r="B113" i="358"/>
  <c r="Y112" i="358"/>
  <c r="Z112" i="358" s="1"/>
  <c r="X112" i="358"/>
  <c r="W112" i="358"/>
  <c r="B112" i="358"/>
  <c r="Y111" i="358"/>
  <c r="Z111" i="358" s="1"/>
  <c r="X111" i="358"/>
  <c r="W111" i="358"/>
  <c r="B111" i="358"/>
  <c r="Y110" i="358"/>
  <c r="Z110" i="358" s="1"/>
  <c r="X110" i="358"/>
  <c r="W110" i="358"/>
  <c r="B110" i="358"/>
  <c r="Y109" i="358"/>
  <c r="Z109" i="358" s="1"/>
  <c r="X109" i="358"/>
  <c r="W109" i="358"/>
  <c r="B109" i="358"/>
  <c r="Y108" i="358"/>
  <c r="Z108" i="358" s="1"/>
  <c r="X108" i="358"/>
  <c r="W108" i="358"/>
  <c r="B108" i="358"/>
  <c r="Y107" i="358"/>
  <c r="Z107" i="358" s="1"/>
  <c r="X107" i="358"/>
  <c r="W107" i="358"/>
  <c r="B107" i="358"/>
  <c r="Y106" i="358"/>
  <c r="Z106" i="358" s="1"/>
  <c r="X106" i="358"/>
  <c r="W106" i="358"/>
  <c r="B106" i="358"/>
  <c r="Y105" i="358"/>
  <c r="Z105" i="358" s="1"/>
  <c r="X105" i="358"/>
  <c r="W105" i="358"/>
  <c r="B105" i="358"/>
  <c r="Y104" i="358"/>
  <c r="Z104" i="358" s="1"/>
  <c r="X104" i="358"/>
  <c r="W104" i="358"/>
  <c r="B104" i="358"/>
  <c r="Y103" i="358"/>
  <c r="Z103" i="358" s="1"/>
  <c r="X103" i="358"/>
  <c r="W103" i="358"/>
  <c r="B103" i="358"/>
  <c r="Y102" i="358"/>
  <c r="Z102" i="358" s="1"/>
  <c r="X102" i="358"/>
  <c r="W102" i="358"/>
  <c r="B102" i="358"/>
  <c r="Y101" i="358"/>
  <c r="Z101" i="358" s="1"/>
  <c r="X101" i="358"/>
  <c r="W101" i="358"/>
  <c r="B101" i="358"/>
  <c r="Y100" i="358"/>
  <c r="Z100" i="358" s="1"/>
  <c r="X100" i="358"/>
  <c r="W100" i="358"/>
  <c r="B100" i="358"/>
  <c r="Y99" i="358"/>
  <c r="Z99" i="358" s="1"/>
  <c r="X99" i="358"/>
  <c r="W99" i="358"/>
  <c r="B99" i="358"/>
  <c r="Y98" i="358"/>
  <c r="Z98" i="358" s="1"/>
  <c r="X98" i="358"/>
  <c r="W98" i="358"/>
  <c r="B98" i="358"/>
  <c r="Y97" i="358"/>
  <c r="Z97" i="358" s="1"/>
  <c r="X97" i="358"/>
  <c r="W97" i="358"/>
  <c r="B97" i="358"/>
  <c r="Y96" i="358"/>
  <c r="Z96" i="358" s="1"/>
  <c r="X96" i="358"/>
  <c r="W96" i="358"/>
  <c r="B96" i="358"/>
  <c r="Y95" i="358"/>
  <c r="Z95" i="358" s="1"/>
  <c r="X95" i="358"/>
  <c r="W95" i="358"/>
  <c r="B95" i="358"/>
  <c r="Y94" i="358"/>
  <c r="Z94" i="358" s="1"/>
  <c r="X94" i="358"/>
  <c r="W94" i="358"/>
  <c r="B94" i="358"/>
  <c r="Z93" i="358"/>
  <c r="Y93" i="358"/>
  <c r="X93" i="358"/>
  <c r="W93" i="358"/>
  <c r="B93" i="358"/>
  <c r="Y92" i="358"/>
  <c r="Z92" i="358" s="1"/>
  <c r="X92" i="358"/>
  <c r="W92" i="358"/>
  <c r="B92" i="358"/>
  <c r="Y91" i="358"/>
  <c r="Z91" i="358" s="1"/>
  <c r="X91" i="358"/>
  <c r="W91" i="358"/>
  <c r="B91" i="358"/>
  <c r="Y90" i="358"/>
  <c r="Z90" i="358" s="1"/>
  <c r="X90" i="358"/>
  <c r="W90" i="358"/>
  <c r="B90" i="358"/>
  <c r="Y89" i="358"/>
  <c r="Z89" i="358" s="1"/>
  <c r="X89" i="358"/>
  <c r="W89" i="358"/>
  <c r="B89" i="358"/>
  <c r="Y88" i="358"/>
  <c r="Z88" i="358" s="1"/>
  <c r="X88" i="358"/>
  <c r="W88" i="358"/>
  <c r="B88" i="358"/>
  <c r="Y87" i="358"/>
  <c r="Z87" i="358" s="1"/>
  <c r="X87" i="358"/>
  <c r="W87" i="358"/>
  <c r="B87" i="358"/>
  <c r="Y86" i="358"/>
  <c r="Z86" i="358" s="1"/>
  <c r="X86" i="358"/>
  <c r="W86" i="358"/>
  <c r="B86" i="358"/>
  <c r="Y85" i="358"/>
  <c r="Z85" i="358" s="1"/>
  <c r="X85" i="358"/>
  <c r="W85" i="358"/>
  <c r="B85" i="358"/>
  <c r="Y84" i="358"/>
  <c r="Z84" i="358" s="1"/>
  <c r="X84" i="358"/>
  <c r="W84" i="358"/>
  <c r="B84" i="358"/>
  <c r="Y83" i="358"/>
  <c r="Z83" i="358" s="1"/>
  <c r="X83" i="358"/>
  <c r="W83" i="358"/>
  <c r="B83" i="358"/>
  <c r="Y82" i="358"/>
  <c r="Z82" i="358" s="1"/>
  <c r="X82" i="358"/>
  <c r="W82" i="358"/>
  <c r="B82" i="358"/>
  <c r="Y81" i="358"/>
  <c r="Z81" i="358" s="1"/>
  <c r="X81" i="358"/>
  <c r="W81" i="358"/>
  <c r="B81" i="358"/>
  <c r="Y80" i="358"/>
  <c r="Z80" i="358" s="1"/>
  <c r="X80" i="358"/>
  <c r="W80" i="358"/>
  <c r="B80" i="358"/>
  <c r="Y79" i="358"/>
  <c r="Z79" i="358" s="1"/>
  <c r="X79" i="358"/>
  <c r="W79" i="358"/>
  <c r="B79" i="358"/>
  <c r="Y78" i="358"/>
  <c r="Z78" i="358" s="1"/>
  <c r="X78" i="358"/>
  <c r="W78" i="358"/>
  <c r="B78" i="358"/>
  <c r="Y77" i="358"/>
  <c r="Z77" i="358" s="1"/>
  <c r="X77" i="358"/>
  <c r="W77" i="358"/>
  <c r="B77" i="358"/>
  <c r="Y76" i="358"/>
  <c r="Z76" i="358" s="1"/>
  <c r="X76" i="358"/>
  <c r="W76" i="358"/>
  <c r="B76" i="358"/>
  <c r="Y75" i="358"/>
  <c r="Z75" i="358" s="1"/>
  <c r="X75" i="358"/>
  <c r="W75" i="358"/>
  <c r="B75" i="358"/>
  <c r="Y74" i="358"/>
  <c r="Z74" i="358" s="1"/>
  <c r="X74" i="358"/>
  <c r="W74" i="358"/>
  <c r="B74" i="358"/>
  <c r="Y73" i="358"/>
  <c r="Z73" i="358" s="1"/>
  <c r="X73" i="358"/>
  <c r="W73" i="358"/>
  <c r="B73" i="358"/>
  <c r="Y72" i="358"/>
  <c r="Z72" i="358" s="1"/>
  <c r="X72" i="358"/>
  <c r="W72" i="358"/>
  <c r="B72" i="358"/>
  <c r="Y71" i="358"/>
  <c r="Z71" i="358" s="1"/>
  <c r="X71" i="358"/>
  <c r="W71" i="358"/>
  <c r="B71" i="358"/>
  <c r="Y70" i="358"/>
  <c r="Z70" i="358" s="1"/>
  <c r="X70" i="358"/>
  <c r="W70" i="358"/>
  <c r="B70" i="358"/>
  <c r="Y69" i="358"/>
  <c r="Z69" i="358" s="1"/>
  <c r="X69" i="358"/>
  <c r="W69" i="358"/>
  <c r="B69" i="358"/>
  <c r="Y68" i="358"/>
  <c r="Z68" i="358" s="1"/>
  <c r="X68" i="358"/>
  <c r="W68" i="358"/>
  <c r="B68" i="358"/>
  <c r="Y67" i="358"/>
  <c r="Z67" i="358" s="1"/>
  <c r="X67" i="358"/>
  <c r="W67" i="358"/>
  <c r="B67" i="358"/>
  <c r="Y66" i="358"/>
  <c r="Z66" i="358" s="1"/>
  <c r="X66" i="358"/>
  <c r="W66" i="358"/>
  <c r="B66" i="358"/>
  <c r="Y65" i="358"/>
  <c r="Z65" i="358" s="1"/>
  <c r="X65" i="358"/>
  <c r="W65" i="358"/>
  <c r="B65" i="358"/>
  <c r="Y64" i="358"/>
  <c r="Z64" i="358" s="1"/>
  <c r="X64" i="358"/>
  <c r="W64" i="358"/>
  <c r="B64" i="358"/>
  <c r="Z63" i="358"/>
  <c r="Y63" i="358"/>
  <c r="X63" i="358"/>
  <c r="W63" i="358"/>
  <c r="B63" i="358"/>
  <c r="Y62" i="358"/>
  <c r="Z62" i="358" s="1"/>
  <c r="X62" i="358"/>
  <c r="W62" i="358"/>
  <c r="B62" i="358"/>
  <c r="Y61" i="358"/>
  <c r="Z61" i="358" s="1"/>
  <c r="X61" i="358"/>
  <c r="W61" i="358"/>
  <c r="B61" i="358"/>
  <c r="Y60" i="358"/>
  <c r="Z60" i="358" s="1"/>
  <c r="X60" i="358"/>
  <c r="W60" i="358"/>
  <c r="B60" i="358"/>
  <c r="Y59" i="358"/>
  <c r="Z59" i="358" s="1"/>
  <c r="X59" i="358"/>
  <c r="W59" i="358"/>
  <c r="B59" i="358"/>
  <c r="Y58" i="358"/>
  <c r="Z58" i="358" s="1"/>
  <c r="X58" i="358"/>
  <c r="W58" i="358"/>
  <c r="B58" i="358"/>
  <c r="Y57" i="358"/>
  <c r="Z57" i="358" s="1"/>
  <c r="X57" i="358"/>
  <c r="W57" i="358"/>
  <c r="B57" i="358"/>
  <c r="Y56" i="358"/>
  <c r="Z56" i="358" s="1"/>
  <c r="X56" i="358"/>
  <c r="W56" i="358"/>
  <c r="B56" i="358"/>
  <c r="Y55" i="358"/>
  <c r="Z55" i="358" s="1"/>
  <c r="X55" i="358"/>
  <c r="W55" i="358"/>
  <c r="B55" i="358"/>
  <c r="Y54" i="358"/>
  <c r="Z54" i="358" s="1"/>
  <c r="X54" i="358"/>
  <c r="W54" i="358"/>
  <c r="B54" i="358"/>
  <c r="Y53" i="358"/>
  <c r="Z53" i="358" s="1"/>
  <c r="X53" i="358"/>
  <c r="W53" i="358"/>
  <c r="B53" i="358"/>
  <c r="Y52" i="358"/>
  <c r="Z52" i="358" s="1"/>
  <c r="X52" i="358"/>
  <c r="W52" i="358"/>
  <c r="B52" i="358"/>
  <c r="Y51" i="358"/>
  <c r="Z51" i="358" s="1"/>
  <c r="X51" i="358"/>
  <c r="W51" i="358"/>
  <c r="B51" i="358"/>
  <c r="Y50" i="358"/>
  <c r="Z50" i="358" s="1"/>
  <c r="X50" i="358"/>
  <c r="W50" i="358"/>
  <c r="B50" i="358"/>
  <c r="Y49" i="358"/>
  <c r="Z49" i="358" s="1"/>
  <c r="X49" i="358"/>
  <c r="W49" i="358"/>
  <c r="B49" i="358"/>
  <c r="Y48" i="358"/>
  <c r="Z48" i="358" s="1"/>
  <c r="X48" i="358"/>
  <c r="W48" i="358"/>
  <c r="B48" i="358"/>
  <c r="Y47" i="358"/>
  <c r="Z47" i="358" s="1"/>
  <c r="X47" i="358"/>
  <c r="W47" i="358"/>
  <c r="B47" i="358"/>
  <c r="Y46" i="358"/>
  <c r="Z46" i="358" s="1"/>
  <c r="X46" i="358"/>
  <c r="W46" i="358"/>
  <c r="B46" i="358"/>
  <c r="Y45" i="358"/>
  <c r="Z45" i="358" s="1"/>
  <c r="X45" i="358"/>
  <c r="W45" i="358"/>
  <c r="B45" i="358"/>
  <c r="Y44" i="358"/>
  <c r="Z44" i="358" s="1"/>
  <c r="X44" i="358"/>
  <c r="W44" i="358"/>
  <c r="B44" i="358"/>
  <c r="Y43" i="358"/>
  <c r="Z43" i="358" s="1"/>
  <c r="X43" i="358"/>
  <c r="W43" i="358"/>
  <c r="B43" i="358"/>
  <c r="Y42" i="358"/>
  <c r="Z42" i="358" s="1"/>
  <c r="X42" i="358"/>
  <c r="W42" i="358"/>
  <c r="B42" i="358"/>
  <c r="Y41" i="358"/>
  <c r="Z41" i="358" s="1"/>
  <c r="X41" i="358"/>
  <c r="W41" i="358"/>
  <c r="B41" i="358"/>
  <c r="Y40" i="358"/>
  <c r="Z40" i="358" s="1"/>
  <c r="X40" i="358"/>
  <c r="W40" i="358"/>
  <c r="B40" i="358"/>
  <c r="Y39" i="358"/>
  <c r="Z39" i="358" s="1"/>
  <c r="X39" i="358"/>
  <c r="W39" i="358"/>
  <c r="B39" i="358"/>
  <c r="Y38" i="358"/>
  <c r="Z38" i="358" s="1"/>
  <c r="X38" i="358"/>
  <c r="W38" i="358"/>
  <c r="B38" i="358"/>
  <c r="Y37" i="358"/>
  <c r="Z37" i="358" s="1"/>
  <c r="X37" i="358"/>
  <c r="W37" i="358"/>
  <c r="B37" i="358"/>
  <c r="Y36" i="358"/>
  <c r="Z36" i="358" s="1"/>
  <c r="X36" i="358"/>
  <c r="W36" i="358"/>
  <c r="B36" i="358"/>
  <c r="Y35" i="358"/>
  <c r="Z35" i="358" s="1"/>
  <c r="X35" i="358"/>
  <c r="W35" i="358"/>
  <c r="B35" i="358"/>
  <c r="Y34" i="358"/>
  <c r="Z34" i="358" s="1"/>
  <c r="X34" i="358"/>
  <c r="W34" i="358"/>
  <c r="B34" i="358"/>
  <c r="Y33" i="358"/>
  <c r="Z33" i="358" s="1"/>
  <c r="X33" i="358"/>
  <c r="W33" i="358"/>
  <c r="B33" i="358"/>
  <c r="Y32" i="358"/>
  <c r="Z32" i="358" s="1"/>
  <c r="X32" i="358"/>
  <c r="W32" i="358"/>
  <c r="B32" i="358"/>
  <c r="Y31" i="358"/>
  <c r="Z31" i="358" s="1"/>
  <c r="X31" i="358"/>
  <c r="W31" i="358"/>
  <c r="B31" i="358"/>
  <c r="Y30" i="358"/>
  <c r="Z30" i="358" s="1"/>
  <c r="X30" i="358"/>
  <c r="W30" i="358"/>
  <c r="B30" i="358"/>
  <c r="Y29" i="358"/>
  <c r="Z29" i="358" s="1"/>
  <c r="X29" i="358"/>
  <c r="W29" i="358"/>
  <c r="B29" i="358"/>
  <c r="Y28" i="358"/>
  <c r="Z28" i="358" s="1"/>
  <c r="X28" i="358"/>
  <c r="W28" i="358"/>
  <c r="B28" i="358"/>
  <c r="Y27" i="358"/>
  <c r="Z27" i="358" s="1"/>
  <c r="X27" i="358"/>
  <c r="W27" i="358"/>
  <c r="B27" i="358"/>
  <c r="Y26" i="358"/>
  <c r="Z26" i="358" s="1"/>
  <c r="X26" i="358"/>
  <c r="W26" i="358"/>
  <c r="B26" i="358"/>
  <c r="Y25" i="358"/>
  <c r="Z25" i="358" s="1"/>
  <c r="X25" i="358"/>
  <c r="W25" i="358"/>
  <c r="B25" i="358"/>
  <c r="Y24" i="358"/>
  <c r="Z24" i="358" s="1"/>
  <c r="X24" i="358"/>
  <c r="W24" i="358"/>
  <c r="B24" i="358"/>
  <c r="Y23" i="358"/>
  <c r="Z23" i="358" s="1"/>
  <c r="X23" i="358"/>
  <c r="W23" i="358"/>
  <c r="B23" i="358"/>
  <c r="Y22" i="358"/>
  <c r="Z22" i="358" s="1"/>
  <c r="X22" i="358"/>
  <c r="W22" i="358"/>
  <c r="B22" i="358"/>
  <c r="Y21" i="358"/>
  <c r="Z21" i="358" s="1"/>
  <c r="X21" i="358"/>
  <c r="W21" i="358"/>
  <c r="B21" i="358"/>
  <c r="Z20" i="358"/>
  <c r="Y20" i="358"/>
  <c r="X20" i="358"/>
  <c r="W20" i="358"/>
  <c r="B20" i="358"/>
  <c r="Y19" i="358"/>
  <c r="Z19" i="358" s="1"/>
  <c r="X19" i="358"/>
  <c r="W19" i="358"/>
  <c r="B19" i="358"/>
  <c r="Y18" i="358"/>
  <c r="Z18" i="358" s="1"/>
  <c r="X18" i="358"/>
  <c r="W18" i="358"/>
  <c r="B18" i="358"/>
  <c r="Y17" i="358"/>
  <c r="Z17" i="358" s="1"/>
  <c r="X17" i="358"/>
  <c r="W17" i="358"/>
  <c r="B17" i="358"/>
  <c r="Y16" i="358"/>
  <c r="Z16" i="358" s="1"/>
  <c r="X16" i="358"/>
  <c r="W16" i="358"/>
  <c r="B16" i="358"/>
  <c r="Y15" i="358"/>
  <c r="Z15" i="358" s="1"/>
  <c r="X15" i="358"/>
  <c r="W15" i="358"/>
  <c r="B15" i="358"/>
  <c r="Y14" i="358"/>
  <c r="Z14" i="358" s="1"/>
  <c r="X14" i="358"/>
  <c r="W14" i="358"/>
  <c r="B14" i="358"/>
  <c r="Y13" i="358"/>
  <c r="Z13" i="358" s="1"/>
  <c r="X13" i="358"/>
  <c r="W13" i="358"/>
  <c r="B13" i="358"/>
  <c r="Y12" i="358"/>
  <c r="Z12" i="358" s="1"/>
  <c r="X12" i="358"/>
  <c r="W12" i="358"/>
  <c r="B12" i="358"/>
  <c r="Y11" i="358"/>
  <c r="Z11" i="358" s="1"/>
  <c r="X11" i="358"/>
  <c r="W11" i="358"/>
  <c r="B11" i="358"/>
  <c r="Y10" i="358"/>
  <c r="Z10" i="358" s="1"/>
  <c r="X10" i="358"/>
  <c r="W10" i="358"/>
  <c r="B10" i="358"/>
  <c r="Y9" i="358"/>
  <c r="Z9" i="358" s="1"/>
  <c r="X9" i="358"/>
  <c r="W9" i="358"/>
  <c r="B9" i="358"/>
  <c r="Y8" i="358"/>
  <c r="Z8" i="358" s="1"/>
  <c r="X8" i="358"/>
  <c r="W8" i="358"/>
  <c r="B8" i="358"/>
  <c r="Y7" i="358"/>
  <c r="Z7" i="358" s="1"/>
  <c r="X7" i="358"/>
  <c r="W7" i="358"/>
  <c r="B7" i="358"/>
  <c r="Y6" i="358"/>
  <c r="Z6" i="358" s="1"/>
  <c r="X6" i="358"/>
  <c r="W6" i="358"/>
  <c r="B6" i="358"/>
  <c r="Y5" i="358"/>
  <c r="Z5" i="358" s="1"/>
  <c r="X5" i="358"/>
  <c r="W5" i="358"/>
  <c r="B5" i="358"/>
  <c r="AA579" i="358" s="1"/>
  <c r="L497" i="355"/>
  <c r="K497" i="355"/>
  <c r="J497" i="355"/>
  <c r="I497" i="355"/>
  <c r="H497" i="355"/>
  <c r="F497" i="355"/>
  <c r="E497" i="355"/>
  <c r="G497" i="355" s="1"/>
  <c r="C497" i="355"/>
  <c r="L496" i="355"/>
  <c r="K496" i="355"/>
  <c r="J496" i="355"/>
  <c r="I496" i="355"/>
  <c r="H496" i="355"/>
  <c r="F496" i="355"/>
  <c r="E496" i="355"/>
  <c r="G496" i="355" s="1"/>
  <c r="C496" i="355"/>
  <c r="L495" i="355"/>
  <c r="K495" i="355"/>
  <c r="J495" i="355"/>
  <c r="I495" i="355"/>
  <c r="H495" i="355"/>
  <c r="F495" i="355"/>
  <c r="E495" i="355"/>
  <c r="G495" i="355" s="1"/>
  <c r="C495" i="355"/>
  <c r="L494" i="355"/>
  <c r="K494" i="355"/>
  <c r="J494" i="355"/>
  <c r="I494" i="355"/>
  <c r="H494" i="355"/>
  <c r="F494" i="355"/>
  <c r="E494" i="355"/>
  <c r="G494" i="355" s="1"/>
  <c r="C494" i="355"/>
  <c r="L493" i="355"/>
  <c r="K493" i="355"/>
  <c r="J493" i="355"/>
  <c r="I493" i="355"/>
  <c r="H493" i="355"/>
  <c r="F493" i="355"/>
  <c r="E493" i="355"/>
  <c r="G493" i="355" s="1"/>
  <c r="C493" i="355"/>
  <c r="L492" i="355"/>
  <c r="K492" i="355"/>
  <c r="J492" i="355"/>
  <c r="I492" i="355"/>
  <c r="H492" i="355"/>
  <c r="F492" i="355"/>
  <c r="E492" i="355"/>
  <c r="G492" i="355" s="1"/>
  <c r="C492" i="355"/>
  <c r="L491" i="355"/>
  <c r="K491" i="355"/>
  <c r="J491" i="355"/>
  <c r="I491" i="355"/>
  <c r="H491" i="355"/>
  <c r="F491" i="355"/>
  <c r="E491" i="355"/>
  <c r="G491" i="355" s="1"/>
  <c r="C491" i="355"/>
  <c r="L490" i="355"/>
  <c r="K490" i="355"/>
  <c r="J490" i="355"/>
  <c r="I490" i="355"/>
  <c r="H490" i="355"/>
  <c r="F490" i="355"/>
  <c r="E490" i="355"/>
  <c r="G490" i="355" s="1"/>
  <c r="C490" i="355"/>
  <c r="L489" i="355"/>
  <c r="K489" i="355"/>
  <c r="J489" i="355"/>
  <c r="I489" i="355"/>
  <c r="H489" i="355"/>
  <c r="F489" i="355"/>
  <c r="E489" i="355"/>
  <c r="G489" i="355" s="1"/>
  <c r="C489" i="355"/>
  <c r="L488" i="355"/>
  <c r="K488" i="355"/>
  <c r="J488" i="355"/>
  <c r="I488" i="355"/>
  <c r="H488" i="355"/>
  <c r="F488" i="355"/>
  <c r="E488" i="355"/>
  <c r="G488" i="355" s="1"/>
  <c r="C488" i="355"/>
  <c r="L487" i="355"/>
  <c r="K487" i="355"/>
  <c r="J487" i="355"/>
  <c r="I487" i="355"/>
  <c r="H487" i="355"/>
  <c r="F487" i="355"/>
  <c r="E487" i="355"/>
  <c r="G487" i="355" s="1"/>
  <c r="C487" i="355"/>
  <c r="L486" i="355"/>
  <c r="K486" i="355"/>
  <c r="J486" i="355"/>
  <c r="I486" i="355"/>
  <c r="H486" i="355"/>
  <c r="F486" i="355"/>
  <c r="E486" i="355"/>
  <c r="G486" i="355" s="1"/>
  <c r="C486" i="355"/>
  <c r="L485" i="355"/>
  <c r="K485" i="355"/>
  <c r="J485" i="355"/>
  <c r="I485" i="355"/>
  <c r="H485" i="355"/>
  <c r="F485" i="355"/>
  <c r="E485" i="355"/>
  <c r="G485" i="355" s="1"/>
  <c r="C485" i="355"/>
  <c r="L484" i="355"/>
  <c r="K484" i="355"/>
  <c r="J484" i="355"/>
  <c r="I484" i="355"/>
  <c r="H484" i="355"/>
  <c r="F484" i="355"/>
  <c r="E484" i="355"/>
  <c r="G484" i="355" s="1"/>
  <c r="C484" i="355"/>
  <c r="L483" i="355"/>
  <c r="K483" i="355"/>
  <c r="J483" i="355"/>
  <c r="I483" i="355"/>
  <c r="H483" i="355"/>
  <c r="F483" i="355"/>
  <c r="E483" i="355"/>
  <c r="G483" i="355" s="1"/>
  <c r="C483" i="355"/>
  <c r="L482" i="355"/>
  <c r="K482" i="355"/>
  <c r="J482" i="355"/>
  <c r="I482" i="355"/>
  <c r="H482" i="355"/>
  <c r="F482" i="355"/>
  <c r="E482" i="355"/>
  <c r="G482" i="355" s="1"/>
  <c r="C482" i="355"/>
  <c r="L481" i="355"/>
  <c r="K481" i="355"/>
  <c r="J481" i="355"/>
  <c r="I481" i="355"/>
  <c r="H481" i="355"/>
  <c r="F481" i="355"/>
  <c r="E481" i="355"/>
  <c r="G481" i="355" s="1"/>
  <c r="C481" i="355"/>
  <c r="L480" i="355"/>
  <c r="K480" i="355"/>
  <c r="J480" i="355"/>
  <c r="I480" i="355"/>
  <c r="H480" i="355"/>
  <c r="F480" i="355"/>
  <c r="E480" i="355"/>
  <c r="G480" i="355" s="1"/>
  <c r="C480" i="355"/>
  <c r="L479" i="355"/>
  <c r="K479" i="355"/>
  <c r="J479" i="355"/>
  <c r="I479" i="355"/>
  <c r="H479" i="355"/>
  <c r="F479" i="355"/>
  <c r="E479" i="355"/>
  <c r="G479" i="355" s="1"/>
  <c r="C479" i="355"/>
  <c r="L478" i="355"/>
  <c r="K478" i="355"/>
  <c r="J478" i="355"/>
  <c r="I478" i="355"/>
  <c r="H478" i="355"/>
  <c r="F478" i="355"/>
  <c r="E478" i="355"/>
  <c r="G478" i="355" s="1"/>
  <c r="C478" i="355"/>
  <c r="L477" i="355"/>
  <c r="K477" i="355"/>
  <c r="J477" i="355"/>
  <c r="I477" i="355"/>
  <c r="H477" i="355"/>
  <c r="F477" i="355"/>
  <c r="E477" i="355"/>
  <c r="G477" i="355" s="1"/>
  <c r="C477" i="355"/>
  <c r="L476" i="355"/>
  <c r="K476" i="355"/>
  <c r="J476" i="355"/>
  <c r="I476" i="355"/>
  <c r="H476" i="355"/>
  <c r="F476" i="355"/>
  <c r="E476" i="355"/>
  <c r="G476" i="355" s="1"/>
  <c r="C476" i="355"/>
  <c r="L475" i="355"/>
  <c r="K475" i="355"/>
  <c r="J475" i="355"/>
  <c r="I475" i="355"/>
  <c r="H475" i="355"/>
  <c r="F475" i="355"/>
  <c r="E475" i="355"/>
  <c r="G475" i="355" s="1"/>
  <c r="C475" i="355"/>
  <c r="L474" i="355"/>
  <c r="K474" i="355"/>
  <c r="J474" i="355"/>
  <c r="I474" i="355"/>
  <c r="H474" i="355"/>
  <c r="F474" i="355"/>
  <c r="E474" i="355"/>
  <c r="G474" i="355" s="1"/>
  <c r="C474" i="355"/>
  <c r="L473" i="355"/>
  <c r="K473" i="355"/>
  <c r="J473" i="355"/>
  <c r="I473" i="355"/>
  <c r="H473" i="355"/>
  <c r="F473" i="355"/>
  <c r="E473" i="355"/>
  <c r="G473" i="355" s="1"/>
  <c r="C473" i="355"/>
  <c r="L472" i="355"/>
  <c r="K472" i="355"/>
  <c r="J472" i="355"/>
  <c r="I472" i="355"/>
  <c r="H472" i="355"/>
  <c r="F472" i="355"/>
  <c r="E472" i="355"/>
  <c r="G472" i="355" s="1"/>
  <c r="C472" i="355"/>
  <c r="L471" i="355"/>
  <c r="K471" i="355"/>
  <c r="J471" i="355"/>
  <c r="I471" i="355"/>
  <c r="H471" i="355"/>
  <c r="F471" i="355"/>
  <c r="E471" i="355"/>
  <c r="G471" i="355" s="1"/>
  <c r="C471" i="355"/>
  <c r="L470" i="355"/>
  <c r="K470" i="355"/>
  <c r="J470" i="355"/>
  <c r="I470" i="355"/>
  <c r="H470" i="355"/>
  <c r="F470" i="355"/>
  <c r="E470" i="355"/>
  <c r="G470" i="355" s="1"/>
  <c r="C470" i="355"/>
  <c r="L469" i="355"/>
  <c r="K469" i="355"/>
  <c r="J469" i="355"/>
  <c r="I469" i="355"/>
  <c r="H469" i="355"/>
  <c r="F469" i="355"/>
  <c r="E469" i="355"/>
  <c r="G469" i="355" s="1"/>
  <c r="C469" i="355"/>
  <c r="L468" i="355"/>
  <c r="K468" i="355"/>
  <c r="J468" i="355"/>
  <c r="I468" i="355"/>
  <c r="H468" i="355"/>
  <c r="F468" i="355"/>
  <c r="E468" i="355"/>
  <c r="G468" i="355" s="1"/>
  <c r="C468" i="355"/>
  <c r="L467" i="355"/>
  <c r="K467" i="355"/>
  <c r="J467" i="355"/>
  <c r="I467" i="355"/>
  <c r="H467" i="355"/>
  <c r="F467" i="355"/>
  <c r="E467" i="355"/>
  <c r="G467" i="355" s="1"/>
  <c r="C467" i="355"/>
  <c r="L466" i="355"/>
  <c r="K466" i="355"/>
  <c r="J466" i="355"/>
  <c r="I466" i="355"/>
  <c r="H466" i="355"/>
  <c r="F466" i="355"/>
  <c r="E466" i="355"/>
  <c r="G466" i="355" s="1"/>
  <c r="C466" i="355"/>
  <c r="L465" i="355"/>
  <c r="K465" i="355"/>
  <c r="J465" i="355"/>
  <c r="I465" i="355"/>
  <c r="H465" i="355"/>
  <c r="F465" i="355"/>
  <c r="E465" i="355"/>
  <c r="G465" i="355" s="1"/>
  <c r="C465" i="355"/>
  <c r="L464" i="355"/>
  <c r="K464" i="355"/>
  <c r="J464" i="355"/>
  <c r="I464" i="355"/>
  <c r="H464" i="355"/>
  <c r="F464" i="355"/>
  <c r="E464" i="355"/>
  <c r="G464" i="355" s="1"/>
  <c r="C464" i="355"/>
  <c r="L463" i="355"/>
  <c r="K463" i="355"/>
  <c r="J463" i="355"/>
  <c r="I463" i="355"/>
  <c r="H463" i="355"/>
  <c r="F463" i="355"/>
  <c r="E463" i="355"/>
  <c r="G463" i="355" s="1"/>
  <c r="C463" i="355"/>
  <c r="L462" i="355"/>
  <c r="K462" i="355"/>
  <c r="J462" i="355"/>
  <c r="I462" i="355"/>
  <c r="H462" i="355"/>
  <c r="F462" i="355"/>
  <c r="E462" i="355"/>
  <c r="G462" i="355" s="1"/>
  <c r="C462" i="355"/>
  <c r="L461" i="355"/>
  <c r="K461" i="355"/>
  <c r="J461" i="355"/>
  <c r="I461" i="355"/>
  <c r="H461" i="355"/>
  <c r="F461" i="355"/>
  <c r="E461" i="355"/>
  <c r="G461" i="355" s="1"/>
  <c r="C461" i="355"/>
  <c r="L460" i="355"/>
  <c r="K460" i="355"/>
  <c r="J460" i="355"/>
  <c r="I460" i="355"/>
  <c r="H460" i="355"/>
  <c r="F460" i="355"/>
  <c r="E460" i="355"/>
  <c r="G460" i="355" s="1"/>
  <c r="C460" i="355"/>
  <c r="L459" i="355"/>
  <c r="K459" i="355"/>
  <c r="J459" i="355"/>
  <c r="I459" i="355"/>
  <c r="H459" i="355"/>
  <c r="F459" i="355"/>
  <c r="E459" i="355"/>
  <c r="G459" i="355" s="1"/>
  <c r="C459" i="355"/>
  <c r="L458" i="355"/>
  <c r="K458" i="355"/>
  <c r="J458" i="355"/>
  <c r="I458" i="355"/>
  <c r="H458" i="355"/>
  <c r="F458" i="355"/>
  <c r="E458" i="355"/>
  <c r="G458" i="355" s="1"/>
  <c r="C458" i="355"/>
  <c r="L457" i="355"/>
  <c r="K457" i="355"/>
  <c r="J457" i="355"/>
  <c r="I457" i="355"/>
  <c r="H457" i="355"/>
  <c r="F457" i="355"/>
  <c r="E457" i="355"/>
  <c r="G457" i="355" s="1"/>
  <c r="C457" i="355"/>
  <c r="L456" i="355"/>
  <c r="K456" i="355"/>
  <c r="J456" i="355"/>
  <c r="I456" i="355"/>
  <c r="H456" i="355"/>
  <c r="F456" i="355"/>
  <c r="E456" i="355"/>
  <c r="G456" i="355" s="1"/>
  <c r="C456" i="355"/>
  <c r="L455" i="355"/>
  <c r="K455" i="355"/>
  <c r="J455" i="355"/>
  <c r="I455" i="355"/>
  <c r="H455" i="355"/>
  <c r="F455" i="355"/>
  <c r="E455" i="355"/>
  <c r="G455" i="355" s="1"/>
  <c r="C455" i="355"/>
  <c r="L454" i="355"/>
  <c r="K454" i="355"/>
  <c r="J454" i="355"/>
  <c r="I454" i="355"/>
  <c r="H454" i="355"/>
  <c r="F454" i="355"/>
  <c r="E454" i="355"/>
  <c r="G454" i="355" s="1"/>
  <c r="C454" i="355"/>
  <c r="L453" i="355"/>
  <c r="K453" i="355"/>
  <c r="J453" i="355"/>
  <c r="I453" i="355"/>
  <c r="H453" i="355"/>
  <c r="F453" i="355"/>
  <c r="E453" i="355"/>
  <c r="G453" i="355" s="1"/>
  <c r="C453" i="355"/>
  <c r="L452" i="355"/>
  <c r="K452" i="355"/>
  <c r="J452" i="355"/>
  <c r="I452" i="355"/>
  <c r="H452" i="355"/>
  <c r="F452" i="355"/>
  <c r="E452" i="355"/>
  <c r="G452" i="355" s="1"/>
  <c r="C452" i="355"/>
  <c r="L451" i="355"/>
  <c r="K451" i="355"/>
  <c r="J451" i="355"/>
  <c r="I451" i="355"/>
  <c r="H451" i="355"/>
  <c r="F451" i="355"/>
  <c r="E451" i="355"/>
  <c r="G451" i="355" s="1"/>
  <c r="C451" i="355"/>
  <c r="L450" i="355"/>
  <c r="K450" i="355"/>
  <c r="J450" i="355"/>
  <c r="I450" i="355"/>
  <c r="H450" i="355"/>
  <c r="F450" i="355"/>
  <c r="E450" i="355"/>
  <c r="G450" i="355" s="1"/>
  <c r="C450" i="355"/>
  <c r="L449" i="355"/>
  <c r="K449" i="355"/>
  <c r="J449" i="355"/>
  <c r="I449" i="355"/>
  <c r="H449" i="355"/>
  <c r="F449" i="355"/>
  <c r="E449" i="355"/>
  <c r="G449" i="355" s="1"/>
  <c r="C449" i="355"/>
  <c r="L448" i="355"/>
  <c r="K448" i="355"/>
  <c r="J448" i="355"/>
  <c r="I448" i="355"/>
  <c r="H448" i="355"/>
  <c r="F448" i="355"/>
  <c r="E448" i="355"/>
  <c r="G448" i="355" s="1"/>
  <c r="C448" i="355"/>
  <c r="L447" i="355"/>
  <c r="K447" i="355"/>
  <c r="J447" i="355"/>
  <c r="I447" i="355"/>
  <c r="H447" i="355"/>
  <c r="F447" i="355"/>
  <c r="E447" i="355"/>
  <c r="G447" i="355" s="1"/>
  <c r="C447" i="355"/>
  <c r="L446" i="355"/>
  <c r="K446" i="355"/>
  <c r="J446" i="355"/>
  <c r="I446" i="355"/>
  <c r="H446" i="355"/>
  <c r="F446" i="355"/>
  <c r="E446" i="355"/>
  <c r="G446" i="355" s="1"/>
  <c r="C446" i="355"/>
  <c r="L445" i="355"/>
  <c r="K445" i="355"/>
  <c r="J445" i="355"/>
  <c r="I445" i="355"/>
  <c r="H445" i="355"/>
  <c r="F445" i="355"/>
  <c r="E445" i="355"/>
  <c r="G445" i="355" s="1"/>
  <c r="C445" i="355"/>
  <c r="L444" i="355"/>
  <c r="K444" i="355"/>
  <c r="J444" i="355"/>
  <c r="I444" i="355"/>
  <c r="H444" i="355"/>
  <c r="F444" i="355"/>
  <c r="E444" i="355"/>
  <c r="G444" i="355" s="1"/>
  <c r="C444" i="355"/>
  <c r="L443" i="355"/>
  <c r="K443" i="355"/>
  <c r="J443" i="355"/>
  <c r="I443" i="355"/>
  <c r="H443" i="355"/>
  <c r="F443" i="355"/>
  <c r="E443" i="355"/>
  <c r="G443" i="355" s="1"/>
  <c r="C443" i="355"/>
  <c r="L442" i="355"/>
  <c r="K442" i="355"/>
  <c r="J442" i="355"/>
  <c r="I442" i="355"/>
  <c r="H442" i="355"/>
  <c r="F442" i="355"/>
  <c r="E442" i="355"/>
  <c r="G442" i="355" s="1"/>
  <c r="C442" i="355"/>
  <c r="L441" i="355"/>
  <c r="K441" i="355"/>
  <c r="J441" i="355"/>
  <c r="I441" i="355"/>
  <c r="H441" i="355"/>
  <c r="F441" i="355"/>
  <c r="E441" i="355"/>
  <c r="G441" i="355" s="1"/>
  <c r="C441" i="355"/>
  <c r="L440" i="355"/>
  <c r="K440" i="355"/>
  <c r="J440" i="355"/>
  <c r="I440" i="355"/>
  <c r="H440" i="355"/>
  <c r="F440" i="355"/>
  <c r="E440" i="355"/>
  <c r="G440" i="355" s="1"/>
  <c r="C440" i="355"/>
  <c r="L439" i="355"/>
  <c r="K439" i="355"/>
  <c r="J439" i="355"/>
  <c r="I439" i="355"/>
  <c r="H439" i="355"/>
  <c r="F439" i="355"/>
  <c r="E439" i="355"/>
  <c r="G439" i="355" s="1"/>
  <c r="C439" i="355"/>
  <c r="L438" i="355"/>
  <c r="K438" i="355"/>
  <c r="J438" i="355"/>
  <c r="I438" i="355"/>
  <c r="H438" i="355"/>
  <c r="F438" i="355"/>
  <c r="E438" i="355"/>
  <c r="G438" i="355" s="1"/>
  <c r="C438" i="355"/>
  <c r="L437" i="355"/>
  <c r="K437" i="355"/>
  <c r="J437" i="355"/>
  <c r="I437" i="355"/>
  <c r="H437" i="355"/>
  <c r="F437" i="355"/>
  <c r="E437" i="355"/>
  <c r="G437" i="355" s="1"/>
  <c r="C437" i="355"/>
  <c r="L436" i="355"/>
  <c r="K436" i="355"/>
  <c r="J436" i="355"/>
  <c r="I436" i="355"/>
  <c r="H436" i="355"/>
  <c r="F436" i="355"/>
  <c r="E436" i="355"/>
  <c r="G436" i="355" s="1"/>
  <c r="C436" i="355"/>
  <c r="L435" i="355"/>
  <c r="K435" i="355"/>
  <c r="J435" i="355"/>
  <c r="I435" i="355"/>
  <c r="H435" i="355"/>
  <c r="F435" i="355"/>
  <c r="E435" i="355"/>
  <c r="G435" i="355" s="1"/>
  <c r="C435" i="355"/>
  <c r="L434" i="355"/>
  <c r="K434" i="355"/>
  <c r="J434" i="355"/>
  <c r="I434" i="355"/>
  <c r="H434" i="355"/>
  <c r="F434" i="355"/>
  <c r="E434" i="355"/>
  <c r="G434" i="355" s="1"/>
  <c r="C434" i="355"/>
  <c r="L433" i="355"/>
  <c r="K433" i="355"/>
  <c r="J433" i="355"/>
  <c r="I433" i="355"/>
  <c r="H433" i="355"/>
  <c r="F433" i="355"/>
  <c r="E433" i="355"/>
  <c r="G433" i="355" s="1"/>
  <c r="C433" i="355"/>
  <c r="L432" i="355"/>
  <c r="K432" i="355"/>
  <c r="J432" i="355"/>
  <c r="I432" i="355"/>
  <c r="H432" i="355"/>
  <c r="F432" i="355"/>
  <c r="E432" i="355"/>
  <c r="G432" i="355" s="1"/>
  <c r="C432" i="355"/>
  <c r="L431" i="355"/>
  <c r="K431" i="355"/>
  <c r="J431" i="355"/>
  <c r="I431" i="355"/>
  <c r="H431" i="355"/>
  <c r="F431" i="355"/>
  <c r="E431" i="355"/>
  <c r="G431" i="355" s="1"/>
  <c r="C431" i="355"/>
  <c r="L430" i="355"/>
  <c r="K430" i="355"/>
  <c r="J430" i="355"/>
  <c r="I430" i="355"/>
  <c r="H430" i="355"/>
  <c r="F430" i="355"/>
  <c r="E430" i="355"/>
  <c r="G430" i="355" s="1"/>
  <c r="C430" i="355"/>
  <c r="L429" i="355"/>
  <c r="K429" i="355"/>
  <c r="J429" i="355"/>
  <c r="I429" i="355"/>
  <c r="H429" i="355"/>
  <c r="F429" i="355"/>
  <c r="E429" i="355"/>
  <c r="G429" i="355" s="1"/>
  <c r="C429" i="355"/>
  <c r="L428" i="355"/>
  <c r="K428" i="355"/>
  <c r="J428" i="355"/>
  <c r="I428" i="355"/>
  <c r="H428" i="355"/>
  <c r="F428" i="355"/>
  <c r="E428" i="355"/>
  <c r="G428" i="355" s="1"/>
  <c r="C428" i="355"/>
  <c r="L427" i="355"/>
  <c r="K427" i="355"/>
  <c r="J427" i="355"/>
  <c r="I427" i="355"/>
  <c r="H427" i="355"/>
  <c r="F427" i="355"/>
  <c r="E427" i="355"/>
  <c r="G427" i="355" s="1"/>
  <c r="C427" i="355"/>
  <c r="L426" i="355"/>
  <c r="K426" i="355"/>
  <c r="J426" i="355"/>
  <c r="I426" i="355"/>
  <c r="H426" i="355"/>
  <c r="F426" i="355"/>
  <c r="E426" i="355"/>
  <c r="G426" i="355" s="1"/>
  <c r="C426" i="355"/>
  <c r="L425" i="355"/>
  <c r="K425" i="355"/>
  <c r="J425" i="355"/>
  <c r="I425" i="355"/>
  <c r="H425" i="355"/>
  <c r="F425" i="355"/>
  <c r="E425" i="355"/>
  <c r="G425" i="355" s="1"/>
  <c r="C425" i="355"/>
  <c r="L424" i="355"/>
  <c r="K424" i="355"/>
  <c r="J424" i="355"/>
  <c r="I424" i="355"/>
  <c r="H424" i="355"/>
  <c r="F424" i="355"/>
  <c r="E424" i="355"/>
  <c r="G424" i="355" s="1"/>
  <c r="C424" i="355"/>
  <c r="L423" i="355"/>
  <c r="K423" i="355"/>
  <c r="J423" i="355"/>
  <c r="I423" i="355"/>
  <c r="H423" i="355"/>
  <c r="F423" i="355"/>
  <c r="E423" i="355"/>
  <c r="G423" i="355" s="1"/>
  <c r="C423" i="355"/>
  <c r="L422" i="355"/>
  <c r="K422" i="355"/>
  <c r="J422" i="355"/>
  <c r="I422" i="355"/>
  <c r="H422" i="355"/>
  <c r="F422" i="355"/>
  <c r="E422" i="355"/>
  <c r="G422" i="355" s="1"/>
  <c r="C422" i="355"/>
  <c r="L421" i="355"/>
  <c r="K421" i="355"/>
  <c r="J421" i="355"/>
  <c r="I421" i="355"/>
  <c r="H421" i="355"/>
  <c r="F421" i="355"/>
  <c r="E421" i="355"/>
  <c r="G421" i="355" s="1"/>
  <c r="C421" i="355"/>
  <c r="L420" i="355"/>
  <c r="K420" i="355"/>
  <c r="J420" i="355"/>
  <c r="I420" i="355"/>
  <c r="H420" i="355"/>
  <c r="F420" i="355"/>
  <c r="E420" i="355"/>
  <c r="G420" i="355" s="1"/>
  <c r="C420" i="355"/>
  <c r="L419" i="355"/>
  <c r="K419" i="355"/>
  <c r="J419" i="355"/>
  <c r="I419" i="355"/>
  <c r="H419" i="355"/>
  <c r="F419" i="355"/>
  <c r="E419" i="355"/>
  <c r="G419" i="355" s="1"/>
  <c r="C419" i="355"/>
  <c r="L418" i="355"/>
  <c r="K418" i="355"/>
  <c r="J418" i="355"/>
  <c r="I418" i="355"/>
  <c r="H418" i="355"/>
  <c r="F418" i="355"/>
  <c r="E418" i="355"/>
  <c r="G418" i="355" s="1"/>
  <c r="C418" i="355"/>
  <c r="L417" i="355"/>
  <c r="K417" i="355"/>
  <c r="J417" i="355"/>
  <c r="I417" i="355"/>
  <c r="H417" i="355"/>
  <c r="F417" i="355"/>
  <c r="E417" i="355"/>
  <c r="G417" i="355" s="1"/>
  <c r="C417" i="355"/>
  <c r="L416" i="355"/>
  <c r="K416" i="355"/>
  <c r="J416" i="355"/>
  <c r="I416" i="355"/>
  <c r="H416" i="355"/>
  <c r="F416" i="355"/>
  <c r="E416" i="355"/>
  <c r="G416" i="355" s="1"/>
  <c r="C416" i="355"/>
  <c r="L415" i="355"/>
  <c r="K415" i="355"/>
  <c r="J415" i="355"/>
  <c r="I415" i="355"/>
  <c r="H415" i="355"/>
  <c r="F415" i="355"/>
  <c r="E415" i="355"/>
  <c r="G415" i="355" s="1"/>
  <c r="C415" i="355"/>
  <c r="L414" i="355"/>
  <c r="K414" i="355"/>
  <c r="J414" i="355"/>
  <c r="I414" i="355"/>
  <c r="H414" i="355"/>
  <c r="F414" i="355"/>
  <c r="E414" i="355"/>
  <c r="G414" i="355" s="1"/>
  <c r="C414" i="355"/>
  <c r="L413" i="355"/>
  <c r="K413" i="355"/>
  <c r="J413" i="355"/>
  <c r="I413" i="355"/>
  <c r="H413" i="355"/>
  <c r="F413" i="355"/>
  <c r="E413" i="355"/>
  <c r="G413" i="355" s="1"/>
  <c r="C413" i="355"/>
  <c r="L412" i="355"/>
  <c r="K412" i="355"/>
  <c r="J412" i="355"/>
  <c r="I412" i="355"/>
  <c r="H412" i="355"/>
  <c r="F412" i="355"/>
  <c r="E412" i="355"/>
  <c r="G412" i="355" s="1"/>
  <c r="C412" i="355"/>
  <c r="L411" i="355"/>
  <c r="K411" i="355"/>
  <c r="J411" i="355"/>
  <c r="I411" i="355"/>
  <c r="H411" i="355"/>
  <c r="F411" i="355"/>
  <c r="E411" i="355"/>
  <c r="G411" i="355" s="1"/>
  <c r="C411" i="355"/>
  <c r="L410" i="355"/>
  <c r="K410" i="355"/>
  <c r="J410" i="355"/>
  <c r="I410" i="355"/>
  <c r="H410" i="355"/>
  <c r="F410" i="355"/>
  <c r="E410" i="355"/>
  <c r="G410" i="355" s="1"/>
  <c r="C410" i="355"/>
  <c r="L409" i="355"/>
  <c r="K409" i="355"/>
  <c r="J409" i="355"/>
  <c r="I409" i="355"/>
  <c r="H409" i="355"/>
  <c r="F409" i="355"/>
  <c r="E409" i="355"/>
  <c r="G409" i="355" s="1"/>
  <c r="C409" i="355"/>
  <c r="L408" i="355"/>
  <c r="K408" i="355"/>
  <c r="J408" i="355"/>
  <c r="I408" i="355"/>
  <c r="H408" i="355"/>
  <c r="F408" i="355"/>
  <c r="E408" i="355"/>
  <c r="G408" i="355" s="1"/>
  <c r="C408" i="355"/>
  <c r="L407" i="355"/>
  <c r="K407" i="355"/>
  <c r="J407" i="355"/>
  <c r="I407" i="355"/>
  <c r="H407" i="355"/>
  <c r="F407" i="355"/>
  <c r="E407" i="355"/>
  <c r="G407" i="355" s="1"/>
  <c r="C407" i="355"/>
  <c r="L406" i="355"/>
  <c r="K406" i="355"/>
  <c r="J406" i="355"/>
  <c r="I406" i="355"/>
  <c r="H406" i="355"/>
  <c r="F406" i="355"/>
  <c r="E406" i="355"/>
  <c r="G406" i="355" s="1"/>
  <c r="C406" i="355"/>
  <c r="L405" i="355"/>
  <c r="K405" i="355"/>
  <c r="J405" i="355"/>
  <c r="I405" i="355"/>
  <c r="H405" i="355"/>
  <c r="F405" i="355"/>
  <c r="E405" i="355"/>
  <c r="G405" i="355" s="1"/>
  <c r="C405" i="355"/>
  <c r="L404" i="355"/>
  <c r="K404" i="355"/>
  <c r="J404" i="355"/>
  <c r="I404" i="355"/>
  <c r="H404" i="355"/>
  <c r="F404" i="355"/>
  <c r="E404" i="355"/>
  <c r="G404" i="355" s="1"/>
  <c r="C404" i="355"/>
  <c r="L403" i="355"/>
  <c r="K403" i="355"/>
  <c r="J403" i="355"/>
  <c r="I403" i="355"/>
  <c r="H403" i="355"/>
  <c r="F403" i="355"/>
  <c r="E403" i="355"/>
  <c r="G403" i="355" s="1"/>
  <c r="C403" i="355"/>
  <c r="L402" i="355"/>
  <c r="K402" i="355"/>
  <c r="J402" i="355"/>
  <c r="I402" i="355"/>
  <c r="H402" i="355"/>
  <c r="F402" i="355"/>
  <c r="E402" i="355"/>
  <c r="G402" i="355" s="1"/>
  <c r="C402" i="355"/>
  <c r="L401" i="355"/>
  <c r="K401" i="355"/>
  <c r="J401" i="355"/>
  <c r="I401" i="355"/>
  <c r="H401" i="355"/>
  <c r="F401" i="355"/>
  <c r="E401" i="355"/>
  <c r="G401" i="355" s="1"/>
  <c r="C401" i="355"/>
  <c r="L400" i="355"/>
  <c r="K400" i="355"/>
  <c r="J400" i="355"/>
  <c r="I400" i="355"/>
  <c r="H400" i="355"/>
  <c r="F400" i="355"/>
  <c r="E400" i="355"/>
  <c r="G400" i="355" s="1"/>
  <c r="C400" i="355"/>
  <c r="L399" i="355"/>
  <c r="K399" i="355"/>
  <c r="J399" i="355"/>
  <c r="I399" i="355"/>
  <c r="H399" i="355"/>
  <c r="F399" i="355"/>
  <c r="E399" i="355"/>
  <c r="G399" i="355" s="1"/>
  <c r="C399" i="355"/>
  <c r="L398" i="355"/>
  <c r="K398" i="355"/>
  <c r="J398" i="355"/>
  <c r="I398" i="355"/>
  <c r="H398" i="355"/>
  <c r="F398" i="355"/>
  <c r="E398" i="355"/>
  <c r="G398" i="355" s="1"/>
  <c r="C398" i="355"/>
  <c r="L397" i="355"/>
  <c r="K397" i="355"/>
  <c r="J397" i="355"/>
  <c r="I397" i="355"/>
  <c r="H397" i="355"/>
  <c r="F397" i="355"/>
  <c r="E397" i="355"/>
  <c r="G397" i="355" s="1"/>
  <c r="C397" i="355"/>
  <c r="L396" i="355"/>
  <c r="K396" i="355"/>
  <c r="J396" i="355"/>
  <c r="I396" i="355"/>
  <c r="H396" i="355"/>
  <c r="F396" i="355"/>
  <c r="E396" i="355"/>
  <c r="G396" i="355" s="1"/>
  <c r="C396" i="355"/>
  <c r="L395" i="355"/>
  <c r="K395" i="355"/>
  <c r="J395" i="355"/>
  <c r="I395" i="355"/>
  <c r="H395" i="355"/>
  <c r="F395" i="355"/>
  <c r="E395" i="355"/>
  <c r="G395" i="355" s="1"/>
  <c r="C395" i="355"/>
  <c r="L394" i="355"/>
  <c r="K394" i="355"/>
  <c r="J394" i="355"/>
  <c r="I394" i="355"/>
  <c r="H394" i="355"/>
  <c r="F394" i="355"/>
  <c r="E394" i="355"/>
  <c r="G394" i="355" s="1"/>
  <c r="C394" i="355"/>
  <c r="L393" i="355"/>
  <c r="K393" i="355"/>
  <c r="J393" i="355"/>
  <c r="I393" i="355"/>
  <c r="H393" i="355"/>
  <c r="F393" i="355"/>
  <c r="E393" i="355"/>
  <c r="G393" i="355" s="1"/>
  <c r="C393" i="355"/>
  <c r="L392" i="355"/>
  <c r="K392" i="355"/>
  <c r="J392" i="355"/>
  <c r="I392" i="355"/>
  <c r="H392" i="355"/>
  <c r="F392" i="355"/>
  <c r="E392" i="355"/>
  <c r="G392" i="355" s="1"/>
  <c r="C392" i="355"/>
  <c r="L391" i="355"/>
  <c r="K391" i="355"/>
  <c r="J391" i="355"/>
  <c r="I391" i="355"/>
  <c r="H391" i="355"/>
  <c r="F391" i="355"/>
  <c r="E391" i="355"/>
  <c r="G391" i="355" s="1"/>
  <c r="C391" i="355"/>
  <c r="L390" i="355"/>
  <c r="K390" i="355"/>
  <c r="J390" i="355"/>
  <c r="I390" i="355"/>
  <c r="H390" i="355"/>
  <c r="F390" i="355"/>
  <c r="E390" i="355"/>
  <c r="G390" i="355" s="1"/>
  <c r="C390" i="355"/>
  <c r="L389" i="355"/>
  <c r="K389" i="355"/>
  <c r="J389" i="355"/>
  <c r="I389" i="355"/>
  <c r="H389" i="355"/>
  <c r="F389" i="355"/>
  <c r="E389" i="355"/>
  <c r="G389" i="355" s="1"/>
  <c r="C389" i="355"/>
  <c r="L388" i="355"/>
  <c r="K388" i="355"/>
  <c r="J388" i="355"/>
  <c r="I388" i="355"/>
  <c r="H388" i="355"/>
  <c r="F388" i="355"/>
  <c r="E388" i="355"/>
  <c r="G388" i="355" s="1"/>
  <c r="C388" i="355"/>
  <c r="L387" i="355"/>
  <c r="K387" i="355"/>
  <c r="J387" i="355"/>
  <c r="I387" i="355"/>
  <c r="H387" i="355"/>
  <c r="F387" i="355"/>
  <c r="E387" i="355"/>
  <c r="G387" i="355" s="1"/>
  <c r="C387" i="355"/>
  <c r="L386" i="355"/>
  <c r="K386" i="355"/>
  <c r="J386" i="355"/>
  <c r="I386" i="355"/>
  <c r="H386" i="355"/>
  <c r="F386" i="355"/>
  <c r="E386" i="355"/>
  <c r="G386" i="355" s="1"/>
  <c r="C386" i="355"/>
  <c r="L385" i="355"/>
  <c r="K385" i="355"/>
  <c r="J385" i="355"/>
  <c r="I385" i="355"/>
  <c r="H385" i="355"/>
  <c r="F385" i="355"/>
  <c r="E385" i="355"/>
  <c r="G385" i="355" s="1"/>
  <c r="C385" i="355"/>
  <c r="L384" i="355"/>
  <c r="K384" i="355"/>
  <c r="J384" i="355"/>
  <c r="I384" i="355"/>
  <c r="H384" i="355"/>
  <c r="F384" i="355"/>
  <c r="E384" i="355"/>
  <c r="G384" i="355" s="1"/>
  <c r="C384" i="355"/>
  <c r="L383" i="355"/>
  <c r="K383" i="355"/>
  <c r="J383" i="355"/>
  <c r="I383" i="355"/>
  <c r="H383" i="355"/>
  <c r="F383" i="355"/>
  <c r="E383" i="355"/>
  <c r="G383" i="355" s="1"/>
  <c r="C383" i="355"/>
  <c r="L382" i="355"/>
  <c r="K382" i="355"/>
  <c r="J382" i="355"/>
  <c r="I382" i="355"/>
  <c r="H382" i="355"/>
  <c r="F382" i="355"/>
  <c r="E382" i="355"/>
  <c r="G382" i="355" s="1"/>
  <c r="C382" i="355"/>
  <c r="L381" i="355"/>
  <c r="K381" i="355"/>
  <c r="J381" i="355"/>
  <c r="I381" i="355"/>
  <c r="H381" i="355"/>
  <c r="F381" i="355"/>
  <c r="E381" i="355"/>
  <c r="G381" i="355" s="1"/>
  <c r="C381" i="355"/>
  <c r="L380" i="355"/>
  <c r="K380" i="355"/>
  <c r="J380" i="355"/>
  <c r="I380" i="355"/>
  <c r="H380" i="355"/>
  <c r="F380" i="355"/>
  <c r="E380" i="355"/>
  <c r="G380" i="355" s="1"/>
  <c r="C380" i="355"/>
  <c r="L379" i="355"/>
  <c r="K379" i="355"/>
  <c r="J379" i="355"/>
  <c r="I379" i="355"/>
  <c r="H379" i="355"/>
  <c r="F379" i="355"/>
  <c r="E379" i="355"/>
  <c r="G379" i="355" s="1"/>
  <c r="C379" i="355"/>
  <c r="L378" i="355"/>
  <c r="K378" i="355"/>
  <c r="J378" i="355"/>
  <c r="I378" i="355"/>
  <c r="H378" i="355"/>
  <c r="F378" i="355"/>
  <c r="E378" i="355"/>
  <c r="G378" i="355" s="1"/>
  <c r="C378" i="355"/>
  <c r="L377" i="355"/>
  <c r="K377" i="355"/>
  <c r="J377" i="355"/>
  <c r="I377" i="355"/>
  <c r="H377" i="355"/>
  <c r="F377" i="355"/>
  <c r="E377" i="355"/>
  <c r="G377" i="355" s="1"/>
  <c r="C377" i="355"/>
  <c r="L376" i="355"/>
  <c r="K376" i="355"/>
  <c r="J376" i="355"/>
  <c r="I376" i="355"/>
  <c r="H376" i="355"/>
  <c r="F376" i="355"/>
  <c r="E376" i="355"/>
  <c r="G376" i="355" s="1"/>
  <c r="C376" i="355"/>
  <c r="L375" i="355"/>
  <c r="K375" i="355"/>
  <c r="J375" i="355"/>
  <c r="I375" i="355"/>
  <c r="H375" i="355"/>
  <c r="F375" i="355"/>
  <c r="E375" i="355"/>
  <c r="G375" i="355" s="1"/>
  <c r="C375" i="355"/>
  <c r="L374" i="355"/>
  <c r="K374" i="355"/>
  <c r="J374" i="355"/>
  <c r="I374" i="355"/>
  <c r="H374" i="355"/>
  <c r="F374" i="355"/>
  <c r="E374" i="355"/>
  <c r="G374" i="355" s="1"/>
  <c r="C374" i="355"/>
  <c r="L373" i="355"/>
  <c r="K373" i="355"/>
  <c r="J373" i="355"/>
  <c r="I373" i="355"/>
  <c r="H373" i="355"/>
  <c r="F373" i="355"/>
  <c r="E373" i="355"/>
  <c r="G373" i="355" s="1"/>
  <c r="C373" i="355"/>
  <c r="L372" i="355"/>
  <c r="K372" i="355"/>
  <c r="J372" i="355"/>
  <c r="I372" i="355"/>
  <c r="H372" i="355"/>
  <c r="F372" i="355"/>
  <c r="E372" i="355"/>
  <c r="G372" i="355" s="1"/>
  <c r="C372" i="355"/>
  <c r="L371" i="355"/>
  <c r="K371" i="355"/>
  <c r="J371" i="355"/>
  <c r="I371" i="355"/>
  <c r="H371" i="355"/>
  <c r="F371" i="355"/>
  <c r="E371" i="355"/>
  <c r="G371" i="355" s="1"/>
  <c r="C371" i="355"/>
  <c r="L370" i="355"/>
  <c r="K370" i="355"/>
  <c r="J370" i="355"/>
  <c r="I370" i="355"/>
  <c r="H370" i="355"/>
  <c r="F370" i="355"/>
  <c r="E370" i="355"/>
  <c r="G370" i="355" s="1"/>
  <c r="C370" i="355"/>
  <c r="L369" i="355"/>
  <c r="K369" i="355"/>
  <c r="J369" i="355"/>
  <c r="I369" i="355"/>
  <c r="H369" i="355"/>
  <c r="F369" i="355"/>
  <c r="E369" i="355"/>
  <c r="G369" i="355" s="1"/>
  <c r="C369" i="355"/>
  <c r="L368" i="355"/>
  <c r="K368" i="355"/>
  <c r="J368" i="355"/>
  <c r="I368" i="355"/>
  <c r="H368" i="355"/>
  <c r="F368" i="355"/>
  <c r="E368" i="355"/>
  <c r="G368" i="355" s="1"/>
  <c r="C368" i="355"/>
  <c r="L367" i="355"/>
  <c r="K367" i="355"/>
  <c r="J367" i="355"/>
  <c r="I367" i="355"/>
  <c r="H367" i="355"/>
  <c r="F367" i="355"/>
  <c r="E367" i="355"/>
  <c r="G367" i="355" s="1"/>
  <c r="C367" i="355"/>
  <c r="L366" i="355"/>
  <c r="K366" i="355"/>
  <c r="J366" i="355"/>
  <c r="I366" i="355"/>
  <c r="H366" i="355"/>
  <c r="F366" i="355"/>
  <c r="E366" i="355"/>
  <c r="G366" i="355" s="1"/>
  <c r="C366" i="355"/>
  <c r="L365" i="355"/>
  <c r="K365" i="355"/>
  <c r="J365" i="355"/>
  <c r="I365" i="355"/>
  <c r="H365" i="355"/>
  <c r="F365" i="355"/>
  <c r="E365" i="355"/>
  <c r="G365" i="355" s="1"/>
  <c r="C365" i="355"/>
  <c r="L364" i="355"/>
  <c r="K364" i="355"/>
  <c r="J364" i="355"/>
  <c r="I364" i="355"/>
  <c r="H364" i="355"/>
  <c r="F364" i="355"/>
  <c r="E364" i="355"/>
  <c r="G364" i="355" s="1"/>
  <c r="C364" i="355"/>
  <c r="L363" i="355"/>
  <c r="K363" i="355"/>
  <c r="J363" i="355"/>
  <c r="I363" i="355"/>
  <c r="H363" i="355"/>
  <c r="F363" i="355"/>
  <c r="E363" i="355"/>
  <c r="G363" i="355" s="1"/>
  <c r="C363" i="355"/>
  <c r="L362" i="355"/>
  <c r="K362" i="355"/>
  <c r="J362" i="355"/>
  <c r="I362" i="355"/>
  <c r="H362" i="355"/>
  <c r="F362" i="355"/>
  <c r="E362" i="355"/>
  <c r="G362" i="355" s="1"/>
  <c r="C362" i="355"/>
  <c r="L361" i="355"/>
  <c r="K361" i="355"/>
  <c r="J361" i="355"/>
  <c r="I361" i="355"/>
  <c r="H361" i="355"/>
  <c r="F361" i="355"/>
  <c r="E361" i="355"/>
  <c r="G361" i="355" s="1"/>
  <c r="C361" i="355"/>
  <c r="L360" i="355"/>
  <c r="K360" i="355"/>
  <c r="J360" i="355"/>
  <c r="I360" i="355"/>
  <c r="H360" i="355"/>
  <c r="F360" i="355"/>
  <c r="E360" i="355"/>
  <c r="G360" i="355" s="1"/>
  <c r="C360" i="355"/>
  <c r="L359" i="355"/>
  <c r="K359" i="355"/>
  <c r="J359" i="355"/>
  <c r="I359" i="355"/>
  <c r="H359" i="355"/>
  <c r="F359" i="355"/>
  <c r="E359" i="355"/>
  <c r="G359" i="355" s="1"/>
  <c r="C359" i="355"/>
  <c r="L358" i="355"/>
  <c r="K358" i="355"/>
  <c r="J358" i="355"/>
  <c r="I358" i="355"/>
  <c r="H358" i="355"/>
  <c r="F358" i="355"/>
  <c r="E358" i="355"/>
  <c r="G358" i="355" s="1"/>
  <c r="C358" i="355"/>
  <c r="L357" i="355"/>
  <c r="K357" i="355"/>
  <c r="J357" i="355"/>
  <c r="I357" i="355"/>
  <c r="H357" i="355"/>
  <c r="F357" i="355"/>
  <c r="E357" i="355"/>
  <c r="G357" i="355" s="1"/>
  <c r="C357" i="355"/>
  <c r="L356" i="355"/>
  <c r="K356" i="355"/>
  <c r="J356" i="355"/>
  <c r="I356" i="355"/>
  <c r="H356" i="355"/>
  <c r="F356" i="355"/>
  <c r="E356" i="355"/>
  <c r="G356" i="355" s="1"/>
  <c r="C356" i="355"/>
  <c r="L355" i="355"/>
  <c r="K355" i="355"/>
  <c r="J355" i="355"/>
  <c r="I355" i="355"/>
  <c r="H355" i="355"/>
  <c r="F355" i="355"/>
  <c r="E355" i="355"/>
  <c r="G355" i="355" s="1"/>
  <c r="C355" i="355"/>
  <c r="L354" i="355"/>
  <c r="K354" i="355"/>
  <c r="J354" i="355"/>
  <c r="I354" i="355"/>
  <c r="H354" i="355"/>
  <c r="F354" i="355"/>
  <c r="E354" i="355"/>
  <c r="G354" i="355" s="1"/>
  <c r="C354" i="355"/>
  <c r="L353" i="355"/>
  <c r="K353" i="355"/>
  <c r="J353" i="355"/>
  <c r="I353" i="355"/>
  <c r="H353" i="355"/>
  <c r="F353" i="355"/>
  <c r="E353" i="355"/>
  <c r="G353" i="355" s="1"/>
  <c r="C353" i="355"/>
  <c r="L352" i="355"/>
  <c r="K352" i="355"/>
  <c r="J352" i="355"/>
  <c r="I352" i="355"/>
  <c r="H352" i="355"/>
  <c r="F352" i="355"/>
  <c r="E352" i="355"/>
  <c r="G352" i="355" s="1"/>
  <c r="C352" i="355"/>
  <c r="L351" i="355"/>
  <c r="K351" i="355"/>
  <c r="J351" i="355"/>
  <c r="I351" i="355"/>
  <c r="H351" i="355"/>
  <c r="F351" i="355"/>
  <c r="E351" i="355"/>
  <c r="G351" i="355" s="1"/>
  <c r="C351" i="355"/>
  <c r="L350" i="355"/>
  <c r="K350" i="355"/>
  <c r="J350" i="355"/>
  <c r="I350" i="355"/>
  <c r="H350" i="355"/>
  <c r="F350" i="355"/>
  <c r="E350" i="355"/>
  <c r="G350" i="355" s="1"/>
  <c r="C350" i="355"/>
  <c r="L349" i="355"/>
  <c r="K349" i="355"/>
  <c r="J349" i="355"/>
  <c r="I349" i="355"/>
  <c r="H349" i="355"/>
  <c r="F349" i="355"/>
  <c r="E349" i="355"/>
  <c r="G349" i="355" s="1"/>
  <c r="C349" i="355"/>
  <c r="L348" i="355"/>
  <c r="K348" i="355"/>
  <c r="J348" i="355"/>
  <c r="I348" i="355"/>
  <c r="H348" i="355"/>
  <c r="F348" i="355"/>
  <c r="E348" i="355"/>
  <c r="G348" i="355" s="1"/>
  <c r="C348" i="355"/>
  <c r="L347" i="355"/>
  <c r="K347" i="355"/>
  <c r="J347" i="355"/>
  <c r="I347" i="355"/>
  <c r="H347" i="355"/>
  <c r="F347" i="355"/>
  <c r="E347" i="355"/>
  <c r="G347" i="355" s="1"/>
  <c r="C347" i="355"/>
  <c r="L346" i="355"/>
  <c r="K346" i="355"/>
  <c r="J346" i="355"/>
  <c r="I346" i="355"/>
  <c r="H346" i="355"/>
  <c r="F346" i="355"/>
  <c r="E346" i="355"/>
  <c r="G346" i="355" s="1"/>
  <c r="C346" i="355"/>
  <c r="L345" i="355"/>
  <c r="K345" i="355"/>
  <c r="J345" i="355"/>
  <c r="I345" i="355"/>
  <c r="H345" i="355"/>
  <c r="F345" i="355"/>
  <c r="E345" i="355"/>
  <c r="G345" i="355" s="1"/>
  <c r="C345" i="355"/>
  <c r="L344" i="355"/>
  <c r="K344" i="355"/>
  <c r="J344" i="355"/>
  <c r="I344" i="355"/>
  <c r="H344" i="355"/>
  <c r="F344" i="355"/>
  <c r="E344" i="355"/>
  <c r="G344" i="355" s="1"/>
  <c r="C344" i="355"/>
  <c r="L343" i="355"/>
  <c r="K343" i="355"/>
  <c r="J343" i="355"/>
  <c r="I343" i="355"/>
  <c r="H343" i="355"/>
  <c r="F343" i="355"/>
  <c r="E343" i="355"/>
  <c r="G343" i="355" s="1"/>
  <c r="C343" i="355"/>
  <c r="L342" i="355"/>
  <c r="K342" i="355"/>
  <c r="J342" i="355"/>
  <c r="I342" i="355"/>
  <c r="H342" i="355"/>
  <c r="F342" i="355"/>
  <c r="E342" i="355"/>
  <c r="G342" i="355" s="1"/>
  <c r="C342" i="355"/>
  <c r="L341" i="355"/>
  <c r="K341" i="355"/>
  <c r="J341" i="355"/>
  <c r="I341" i="355"/>
  <c r="H341" i="355"/>
  <c r="F341" i="355"/>
  <c r="E341" i="355"/>
  <c r="G341" i="355" s="1"/>
  <c r="C341" i="355"/>
  <c r="L340" i="355"/>
  <c r="K340" i="355"/>
  <c r="J340" i="355"/>
  <c r="I340" i="355"/>
  <c r="H340" i="355"/>
  <c r="F340" i="355"/>
  <c r="E340" i="355"/>
  <c r="G340" i="355" s="1"/>
  <c r="C340" i="355"/>
  <c r="L339" i="355"/>
  <c r="K339" i="355"/>
  <c r="J339" i="355"/>
  <c r="I339" i="355"/>
  <c r="H339" i="355"/>
  <c r="F339" i="355"/>
  <c r="E339" i="355"/>
  <c r="G339" i="355" s="1"/>
  <c r="C339" i="355"/>
  <c r="L338" i="355"/>
  <c r="K338" i="355"/>
  <c r="J338" i="355"/>
  <c r="I338" i="355"/>
  <c r="H338" i="355"/>
  <c r="F338" i="355"/>
  <c r="E338" i="355"/>
  <c r="G338" i="355" s="1"/>
  <c r="C338" i="355"/>
  <c r="L337" i="355"/>
  <c r="K337" i="355"/>
  <c r="J337" i="355"/>
  <c r="I337" i="355"/>
  <c r="H337" i="355"/>
  <c r="F337" i="355"/>
  <c r="E337" i="355"/>
  <c r="G337" i="355" s="1"/>
  <c r="C337" i="355"/>
  <c r="L336" i="355"/>
  <c r="K336" i="355"/>
  <c r="J336" i="355"/>
  <c r="I336" i="355"/>
  <c r="H336" i="355"/>
  <c r="F336" i="355"/>
  <c r="E336" i="355"/>
  <c r="G336" i="355" s="1"/>
  <c r="C336" i="355"/>
  <c r="L335" i="355"/>
  <c r="K335" i="355"/>
  <c r="J335" i="355"/>
  <c r="I335" i="355"/>
  <c r="H335" i="355"/>
  <c r="F335" i="355"/>
  <c r="E335" i="355"/>
  <c r="G335" i="355" s="1"/>
  <c r="C335" i="355"/>
  <c r="L334" i="355"/>
  <c r="K334" i="355"/>
  <c r="J334" i="355"/>
  <c r="I334" i="355"/>
  <c r="H334" i="355"/>
  <c r="F334" i="355"/>
  <c r="E334" i="355"/>
  <c r="G334" i="355" s="1"/>
  <c r="C334" i="355"/>
  <c r="L333" i="355"/>
  <c r="K333" i="355"/>
  <c r="J333" i="355"/>
  <c r="I333" i="355"/>
  <c r="H333" i="355"/>
  <c r="F333" i="355"/>
  <c r="E333" i="355"/>
  <c r="G333" i="355" s="1"/>
  <c r="C333" i="355"/>
  <c r="L332" i="355"/>
  <c r="K332" i="355"/>
  <c r="J332" i="355"/>
  <c r="I332" i="355"/>
  <c r="H332" i="355"/>
  <c r="F332" i="355"/>
  <c r="E332" i="355"/>
  <c r="G332" i="355" s="1"/>
  <c r="C332" i="355"/>
  <c r="L331" i="355"/>
  <c r="K331" i="355"/>
  <c r="J331" i="355"/>
  <c r="I331" i="355"/>
  <c r="H331" i="355"/>
  <c r="F331" i="355"/>
  <c r="E331" i="355"/>
  <c r="G331" i="355" s="1"/>
  <c r="C331" i="355"/>
  <c r="L330" i="355"/>
  <c r="K330" i="355"/>
  <c r="J330" i="355"/>
  <c r="I330" i="355"/>
  <c r="H330" i="355"/>
  <c r="F330" i="355"/>
  <c r="E330" i="355"/>
  <c r="G330" i="355" s="1"/>
  <c r="C330" i="355"/>
  <c r="L329" i="355"/>
  <c r="K329" i="355"/>
  <c r="J329" i="355"/>
  <c r="I329" i="355"/>
  <c r="H329" i="355"/>
  <c r="F329" i="355"/>
  <c r="E329" i="355"/>
  <c r="G329" i="355" s="1"/>
  <c r="C329" i="355"/>
  <c r="L328" i="355"/>
  <c r="K328" i="355"/>
  <c r="J328" i="355"/>
  <c r="I328" i="355"/>
  <c r="H328" i="355"/>
  <c r="G328" i="355"/>
  <c r="F328" i="355"/>
  <c r="E328" i="355"/>
  <c r="C328" i="355"/>
  <c r="L327" i="355"/>
  <c r="K327" i="355"/>
  <c r="J327" i="355"/>
  <c r="I327" i="355"/>
  <c r="H327" i="355"/>
  <c r="F327" i="355"/>
  <c r="E327" i="355"/>
  <c r="G327" i="355" s="1"/>
  <c r="C327" i="355"/>
  <c r="L326" i="355"/>
  <c r="K326" i="355"/>
  <c r="J326" i="355"/>
  <c r="I326" i="355"/>
  <c r="H326" i="355"/>
  <c r="F326" i="355"/>
  <c r="E326" i="355"/>
  <c r="G326" i="355" s="1"/>
  <c r="C326" i="355"/>
  <c r="L325" i="355"/>
  <c r="K325" i="355"/>
  <c r="J325" i="355"/>
  <c r="I325" i="355"/>
  <c r="H325" i="355"/>
  <c r="F325" i="355"/>
  <c r="E325" i="355"/>
  <c r="G325" i="355" s="1"/>
  <c r="C325" i="355"/>
  <c r="L324" i="355"/>
  <c r="K324" i="355"/>
  <c r="J324" i="355"/>
  <c r="I324" i="355"/>
  <c r="H324" i="355"/>
  <c r="F324" i="355"/>
  <c r="E324" i="355"/>
  <c r="G324" i="355" s="1"/>
  <c r="C324" i="355"/>
  <c r="L323" i="355"/>
  <c r="K323" i="355"/>
  <c r="J323" i="355"/>
  <c r="I323" i="355"/>
  <c r="H323" i="355"/>
  <c r="F323" i="355"/>
  <c r="E323" i="355"/>
  <c r="G323" i="355" s="1"/>
  <c r="C323" i="355"/>
  <c r="L322" i="355"/>
  <c r="K322" i="355"/>
  <c r="J322" i="355"/>
  <c r="I322" i="355"/>
  <c r="H322" i="355"/>
  <c r="F322" i="355"/>
  <c r="E322" i="355"/>
  <c r="G322" i="355" s="1"/>
  <c r="C322" i="355"/>
  <c r="L321" i="355"/>
  <c r="K321" i="355"/>
  <c r="J321" i="355"/>
  <c r="I321" i="355"/>
  <c r="H321" i="355"/>
  <c r="F321" i="355"/>
  <c r="E321" i="355"/>
  <c r="G321" i="355" s="1"/>
  <c r="C321" i="355"/>
  <c r="L320" i="355"/>
  <c r="K320" i="355"/>
  <c r="J320" i="355"/>
  <c r="I320" i="355"/>
  <c r="H320" i="355"/>
  <c r="F320" i="355"/>
  <c r="E320" i="355"/>
  <c r="G320" i="355" s="1"/>
  <c r="C320" i="355"/>
  <c r="L319" i="355"/>
  <c r="K319" i="355"/>
  <c r="J319" i="355"/>
  <c r="I319" i="355"/>
  <c r="H319" i="355"/>
  <c r="F319" i="355"/>
  <c r="E319" i="355"/>
  <c r="G319" i="355" s="1"/>
  <c r="C319" i="355"/>
  <c r="L318" i="355"/>
  <c r="K318" i="355"/>
  <c r="J318" i="355"/>
  <c r="I318" i="355"/>
  <c r="H318" i="355"/>
  <c r="F318" i="355"/>
  <c r="E318" i="355"/>
  <c r="G318" i="355" s="1"/>
  <c r="C318" i="355"/>
  <c r="L317" i="355"/>
  <c r="K317" i="355"/>
  <c r="J317" i="355"/>
  <c r="I317" i="355"/>
  <c r="H317" i="355"/>
  <c r="F317" i="355"/>
  <c r="E317" i="355"/>
  <c r="G317" i="355" s="1"/>
  <c r="C317" i="355"/>
  <c r="L316" i="355"/>
  <c r="K316" i="355"/>
  <c r="J316" i="355"/>
  <c r="I316" i="355"/>
  <c r="H316" i="355"/>
  <c r="F316" i="355"/>
  <c r="E316" i="355"/>
  <c r="G316" i="355" s="1"/>
  <c r="C316" i="355"/>
  <c r="L315" i="355"/>
  <c r="K315" i="355"/>
  <c r="J315" i="355"/>
  <c r="I315" i="355"/>
  <c r="H315" i="355"/>
  <c r="F315" i="355"/>
  <c r="E315" i="355"/>
  <c r="G315" i="355" s="1"/>
  <c r="C315" i="355"/>
  <c r="L314" i="355"/>
  <c r="K314" i="355"/>
  <c r="J314" i="355"/>
  <c r="I314" i="355"/>
  <c r="H314" i="355"/>
  <c r="F314" i="355"/>
  <c r="E314" i="355"/>
  <c r="G314" i="355" s="1"/>
  <c r="C314" i="355"/>
  <c r="L313" i="355"/>
  <c r="K313" i="355"/>
  <c r="J313" i="355"/>
  <c r="I313" i="355"/>
  <c r="H313" i="355"/>
  <c r="F313" i="355"/>
  <c r="E313" i="355"/>
  <c r="G313" i="355" s="1"/>
  <c r="C313" i="355"/>
  <c r="L312" i="355"/>
  <c r="K312" i="355"/>
  <c r="J312" i="355"/>
  <c r="I312" i="355"/>
  <c r="H312" i="355"/>
  <c r="F312" i="355"/>
  <c r="E312" i="355"/>
  <c r="G312" i="355" s="1"/>
  <c r="C312" i="355"/>
  <c r="L311" i="355"/>
  <c r="K311" i="355"/>
  <c r="J311" i="355"/>
  <c r="I311" i="355"/>
  <c r="H311" i="355"/>
  <c r="F311" i="355"/>
  <c r="E311" i="355"/>
  <c r="G311" i="355" s="1"/>
  <c r="C311" i="355"/>
  <c r="L310" i="355"/>
  <c r="K310" i="355"/>
  <c r="J310" i="355"/>
  <c r="I310" i="355"/>
  <c r="H310" i="355"/>
  <c r="F310" i="355"/>
  <c r="E310" i="355"/>
  <c r="G310" i="355" s="1"/>
  <c r="C310" i="355"/>
  <c r="L309" i="355"/>
  <c r="K309" i="355"/>
  <c r="J309" i="355"/>
  <c r="I309" i="355"/>
  <c r="H309" i="355"/>
  <c r="F309" i="355"/>
  <c r="E309" i="355"/>
  <c r="G309" i="355" s="1"/>
  <c r="C309" i="355"/>
  <c r="L308" i="355"/>
  <c r="K308" i="355"/>
  <c r="J308" i="355"/>
  <c r="I308" i="355"/>
  <c r="H308" i="355"/>
  <c r="F308" i="355"/>
  <c r="E308" i="355"/>
  <c r="G308" i="355" s="1"/>
  <c r="C308" i="355"/>
  <c r="L307" i="355"/>
  <c r="K307" i="355"/>
  <c r="J307" i="355"/>
  <c r="I307" i="355"/>
  <c r="H307" i="355"/>
  <c r="F307" i="355"/>
  <c r="E307" i="355"/>
  <c r="G307" i="355" s="1"/>
  <c r="C307" i="355"/>
  <c r="L306" i="355"/>
  <c r="K306" i="355"/>
  <c r="J306" i="355"/>
  <c r="I306" i="355"/>
  <c r="H306" i="355"/>
  <c r="F306" i="355"/>
  <c r="E306" i="355"/>
  <c r="G306" i="355" s="1"/>
  <c r="C306" i="355"/>
  <c r="L305" i="355"/>
  <c r="K305" i="355"/>
  <c r="J305" i="355"/>
  <c r="I305" i="355"/>
  <c r="H305" i="355"/>
  <c r="F305" i="355"/>
  <c r="E305" i="355"/>
  <c r="G305" i="355" s="1"/>
  <c r="C305" i="355"/>
  <c r="L304" i="355"/>
  <c r="K304" i="355"/>
  <c r="J304" i="355"/>
  <c r="I304" i="355"/>
  <c r="H304" i="355"/>
  <c r="F304" i="355"/>
  <c r="E304" i="355"/>
  <c r="G304" i="355" s="1"/>
  <c r="C304" i="355"/>
  <c r="L303" i="355"/>
  <c r="K303" i="355"/>
  <c r="J303" i="355"/>
  <c r="I303" i="355"/>
  <c r="H303" i="355"/>
  <c r="F303" i="355"/>
  <c r="E303" i="355"/>
  <c r="G303" i="355" s="1"/>
  <c r="C303" i="355"/>
  <c r="L302" i="355"/>
  <c r="K302" i="355"/>
  <c r="J302" i="355"/>
  <c r="I302" i="355"/>
  <c r="H302" i="355"/>
  <c r="F302" i="355"/>
  <c r="E302" i="355"/>
  <c r="G302" i="355" s="1"/>
  <c r="C302" i="355"/>
  <c r="L301" i="355"/>
  <c r="K301" i="355"/>
  <c r="J301" i="355"/>
  <c r="I301" i="355"/>
  <c r="H301" i="355"/>
  <c r="F301" i="355"/>
  <c r="E301" i="355"/>
  <c r="G301" i="355" s="1"/>
  <c r="C301" i="355"/>
  <c r="L300" i="355"/>
  <c r="K300" i="355"/>
  <c r="J300" i="355"/>
  <c r="I300" i="355"/>
  <c r="H300" i="355"/>
  <c r="F300" i="355"/>
  <c r="E300" i="355"/>
  <c r="G300" i="355" s="1"/>
  <c r="C300" i="355"/>
  <c r="L299" i="355"/>
  <c r="K299" i="355"/>
  <c r="J299" i="355"/>
  <c r="I299" i="355"/>
  <c r="H299" i="355"/>
  <c r="F299" i="355"/>
  <c r="E299" i="355"/>
  <c r="G299" i="355" s="1"/>
  <c r="C299" i="355"/>
  <c r="L298" i="355"/>
  <c r="K298" i="355"/>
  <c r="J298" i="355"/>
  <c r="I298" i="355"/>
  <c r="H298" i="355"/>
  <c r="F298" i="355"/>
  <c r="E298" i="355"/>
  <c r="G298" i="355" s="1"/>
  <c r="C298" i="355"/>
  <c r="L297" i="355"/>
  <c r="K297" i="355"/>
  <c r="J297" i="355"/>
  <c r="I297" i="355"/>
  <c r="H297" i="355"/>
  <c r="F297" i="355"/>
  <c r="E297" i="355"/>
  <c r="G297" i="355" s="1"/>
  <c r="C297" i="355"/>
  <c r="L296" i="355"/>
  <c r="K296" i="355"/>
  <c r="J296" i="355"/>
  <c r="I296" i="355"/>
  <c r="H296" i="355"/>
  <c r="F296" i="355"/>
  <c r="E296" i="355"/>
  <c r="G296" i="355" s="1"/>
  <c r="C296" i="355"/>
  <c r="L295" i="355"/>
  <c r="K295" i="355"/>
  <c r="J295" i="355"/>
  <c r="I295" i="355"/>
  <c r="H295" i="355"/>
  <c r="F295" i="355"/>
  <c r="E295" i="355"/>
  <c r="G295" i="355" s="1"/>
  <c r="C295" i="355"/>
  <c r="L294" i="355"/>
  <c r="K294" i="355"/>
  <c r="J294" i="355"/>
  <c r="I294" i="355"/>
  <c r="H294" i="355"/>
  <c r="F294" i="355"/>
  <c r="E294" i="355"/>
  <c r="G294" i="355" s="1"/>
  <c r="C294" i="355"/>
  <c r="L293" i="355"/>
  <c r="K293" i="355"/>
  <c r="J293" i="355"/>
  <c r="I293" i="355"/>
  <c r="H293" i="355"/>
  <c r="F293" i="355"/>
  <c r="E293" i="355"/>
  <c r="G293" i="355" s="1"/>
  <c r="C293" i="355"/>
  <c r="L292" i="355"/>
  <c r="K292" i="355"/>
  <c r="J292" i="355"/>
  <c r="I292" i="355"/>
  <c r="H292" i="355"/>
  <c r="F292" i="355"/>
  <c r="E292" i="355"/>
  <c r="G292" i="355" s="1"/>
  <c r="C292" i="355"/>
  <c r="L291" i="355"/>
  <c r="K291" i="355"/>
  <c r="J291" i="355"/>
  <c r="I291" i="355"/>
  <c r="H291" i="355"/>
  <c r="F291" i="355"/>
  <c r="E291" i="355"/>
  <c r="G291" i="355" s="1"/>
  <c r="C291" i="355"/>
  <c r="L290" i="355"/>
  <c r="K290" i="355"/>
  <c r="J290" i="355"/>
  <c r="I290" i="355"/>
  <c r="H290" i="355"/>
  <c r="F290" i="355"/>
  <c r="E290" i="355"/>
  <c r="G290" i="355" s="1"/>
  <c r="C290" i="355"/>
  <c r="L289" i="355"/>
  <c r="K289" i="355"/>
  <c r="J289" i="355"/>
  <c r="I289" i="355"/>
  <c r="H289" i="355"/>
  <c r="F289" i="355"/>
  <c r="E289" i="355"/>
  <c r="G289" i="355" s="1"/>
  <c r="C289" i="355"/>
  <c r="L288" i="355"/>
  <c r="K288" i="355"/>
  <c r="J288" i="355"/>
  <c r="I288" i="355"/>
  <c r="H288" i="355"/>
  <c r="F288" i="355"/>
  <c r="E288" i="355"/>
  <c r="G288" i="355" s="1"/>
  <c r="C288" i="355"/>
  <c r="L287" i="355"/>
  <c r="K287" i="355"/>
  <c r="J287" i="355"/>
  <c r="I287" i="355"/>
  <c r="H287" i="355"/>
  <c r="F287" i="355"/>
  <c r="E287" i="355"/>
  <c r="G287" i="355" s="1"/>
  <c r="C287" i="355"/>
  <c r="L286" i="355"/>
  <c r="K286" i="355"/>
  <c r="J286" i="355"/>
  <c r="I286" i="355"/>
  <c r="H286" i="355"/>
  <c r="F286" i="355"/>
  <c r="E286" i="355"/>
  <c r="G286" i="355" s="1"/>
  <c r="C286" i="355"/>
  <c r="L285" i="355"/>
  <c r="K285" i="355"/>
  <c r="J285" i="355"/>
  <c r="I285" i="355"/>
  <c r="H285" i="355"/>
  <c r="F285" i="355"/>
  <c r="E285" i="355"/>
  <c r="G285" i="355" s="1"/>
  <c r="C285" i="355"/>
  <c r="L284" i="355"/>
  <c r="K284" i="355"/>
  <c r="J284" i="355"/>
  <c r="I284" i="355"/>
  <c r="H284" i="355"/>
  <c r="F284" i="355"/>
  <c r="E284" i="355"/>
  <c r="G284" i="355" s="1"/>
  <c r="C284" i="355"/>
  <c r="L283" i="355"/>
  <c r="K283" i="355"/>
  <c r="J283" i="355"/>
  <c r="I283" i="355"/>
  <c r="H283" i="355"/>
  <c r="F283" i="355"/>
  <c r="E283" i="355"/>
  <c r="G283" i="355" s="1"/>
  <c r="C283" i="355"/>
  <c r="L282" i="355"/>
  <c r="K282" i="355"/>
  <c r="J282" i="355"/>
  <c r="I282" i="355"/>
  <c r="H282" i="355"/>
  <c r="F282" i="355"/>
  <c r="E282" i="355"/>
  <c r="G282" i="355" s="1"/>
  <c r="C282" i="355"/>
  <c r="L281" i="355"/>
  <c r="K281" i="355"/>
  <c r="J281" i="355"/>
  <c r="I281" i="355"/>
  <c r="H281" i="355"/>
  <c r="F281" i="355"/>
  <c r="E281" i="355"/>
  <c r="G281" i="355" s="1"/>
  <c r="C281" i="355"/>
  <c r="L280" i="355"/>
  <c r="K280" i="355"/>
  <c r="J280" i="355"/>
  <c r="I280" i="355"/>
  <c r="H280" i="355"/>
  <c r="G280" i="355"/>
  <c r="F280" i="355"/>
  <c r="E280" i="355"/>
  <c r="C280" i="355"/>
  <c r="L279" i="355"/>
  <c r="K279" i="355"/>
  <c r="J279" i="355"/>
  <c r="I279" i="355"/>
  <c r="H279" i="355"/>
  <c r="F279" i="355"/>
  <c r="E279" i="355"/>
  <c r="G279" i="355" s="1"/>
  <c r="C279" i="355"/>
  <c r="L278" i="355"/>
  <c r="K278" i="355"/>
  <c r="J278" i="355"/>
  <c r="I278" i="355"/>
  <c r="H278" i="355"/>
  <c r="F278" i="355"/>
  <c r="E278" i="355"/>
  <c r="G278" i="355" s="1"/>
  <c r="C278" i="355"/>
  <c r="L277" i="355"/>
  <c r="K277" i="355"/>
  <c r="J277" i="355"/>
  <c r="I277" i="355"/>
  <c r="H277" i="355"/>
  <c r="F277" i="355"/>
  <c r="E277" i="355"/>
  <c r="G277" i="355" s="1"/>
  <c r="C277" i="355"/>
  <c r="L276" i="355"/>
  <c r="K276" i="355"/>
  <c r="J276" i="355"/>
  <c r="I276" i="355"/>
  <c r="H276" i="355"/>
  <c r="F276" i="355"/>
  <c r="E276" i="355"/>
  <c r="G276" i="355" s="1"/>
  <c r="C276" i="355"/>
  <c r="L275" i="355"/>
  <c r="K275" i="355"/>
  <c r="J275" i="355"/>
  <c r="I275" i="355"/>
  <c r="H275" i="355"/>
  <c r="F275" i="355"/>
  <c r="E275" i="355"/>
  <c r="G275" i="355" s="1"/>
  <c r="C275" i="355"/>
  <c r="L274" i="355"/>
  <c r="K274" i="355"/>
  <c r="J274" i="355"/>
  <c r="I274" i="355"/>
  <c r="H274" i="355"/>
  <c r="F274" i="355"/>
  <c r="E274" i="355"/>
  <c r="G274" i="355" s="1"/>
  <c r="C274" i="355"/>
  <c r="L273" i="355"/>
  <c r="K273" i="355"/>
  <c r="J273" i="355"/>
  <c r="I273" i="355"/>
  <c r="H273" i="355"/>
  <c r="F273" i="355"/>
  <c r="E273" i="355"/>
  <c r="G273" i="355" s="1"/>
  <c r="C273" i="355"/>
  <c r="L272" i="355"/>
  <c r="K272" i="355"/>
  <c r="J272" i="355"/>
  <c r="I272" i="355"/>
  <c r="H272" i="355"/>
  <c r="F272" i="355"/>
  <c r="E272" i="355"/>
  <c r="G272" i="355" s="1"/>
  <c r="C272" i="355"/>
  <c r="L271" i="355"/>
  <c r="K271" i="355"/>
  <c r="J271" i="355"/>
  <c r="I271" i="355"/>
  <c r="H271" i="355"/>
  <c r="F271" i="355"/>
  <c r="E271" i="355"/>
  <c r="G271" i="355" s="1"/>
  <c r="C271" i="355"/>
  <c r="L270" i="355"/>
  <c r="K270" i="355"/>
  <c r="J270" i="355"/>
  <c r="I270" i="355"/>
  <c r="H270" i="355"/>
  <c r="F270" i="355"/>
  <c r="E270" i="355"/>
  <c r="G270" i="355" s="1"/>
  <c r="C270" i="355"/>
  <c r="L269" i="355"/>
  <c r="K269" i="355"/>
  <c r="J269" i="355"/>
  <c r="I269" i="355"/>
  <c r="H269" i="355"/>
  <c r="F269" i="355"/>
  <c r="E269" i="355"/>
  <c r="G269" i="355" s="1"/>
  <c r="C269" i="355"/>
  <c r="L268" i="355"/>
  <c r="K268" i="355"/>
  <c r="J268" i="355"/>
  <c r="I268" i="355"/>
  <c r="H268" i="355"/>
  <c r="F268" i="355"/>
  <c r="E268" i="355"/>
  <c r="G268" i="355" s="1"/>
  <c r="C268" i="355"/>
  <c r="L267" i="355"/>
  <c r="K267" i="355"/>
  <c r="J267" i="355"/>
  <c r="I267" i="355"/>
  <c r="H267" i="355"/>
  <c r="F267" i="355"/>
  <c r="E267" i="355"/>
  <c r="G267" i="355" s="1"/>
  <c r="C267" i="355"/>
  <c r="L266" i="355"/>
  <c r="K266" i="355"/>
  <c r="J266" i="355"/>
  <c r="I266" i="355"/>
  <c r="H266" i="355"/>
  <c r="F266" i="355"/>
  <c r="E266" i="355"/>
  <c r="G266" i="355" s="1"/>
  <c r="C266" i="355"/>
  <c r="L265" i="355"/>
  <c r="K265" i="355"/>
  <c r="J265" i="355"/>
  <c r="I265" i="355"/>
  <c r="H265" i="355"/>
  <c r="F265" i="355"/>
  <c r="E265" i="355"/>
  <c r="G265" i="355" s="1"/>
  <c r="C265" i="355"/>
  <c r="L264" i="355"/>
  <c r="K264" i="355"/>
  <c r="J264" i="355"/>
  <c r="I264" i="355"/>
  <c r="H264" i="355"/>
  <c r="F264" i="355"/>
  <c r="E264" i="355"/>
  <c r="G264" i="355" s="1"/>
  <c r="C264" i="355"/>
  <c r="L263" i="355"/>
  <c r="K263" i="355"/>
  <c r="J263" i="355"/>
  <c r="I263" i="355"/>
  <c r="H263" i="355"/>
  <c r="F263" i="355"/>
  <c r="E263" i="355"/>
  <c r="G263" i="355" s="1"/>
  <c r="C263" i="355"/>
  <c r="L262" i="355"/>
  <c r="K262" i="355"/>
  <c r="J262" i="355"/>
  <c r="I262" i="355"/>
  <c r="H262" i="355"/>
  <c r="F262" i="355"/>
  <c r="E262" i="355"/>
  <c r="G262" i="355" s="1"/>
  <c r="C262" i="355"/>
  <c r="L261" i="355"/>
  <c r="K261" i="355"/>
  <c r="J261" i="355"/>
  <c r="I261" i="355"/>
  <c r="H261" i="355"/>
  <c r="F261" i="355"/>
  <c r="E261" i="355"/>
  <c r="G261" i="355" s="1"/>
  <c r="C261" i="355"/>
  <c r="L260" i="355"/>
  <c r="K260" i="355"/>
  <c r="J260" i="355"/>
  <c r="I260" i="355"/>
  <c r="H260" i="355"/>
  <c r="F260" i="355"/>
  <c r="E260" i="355"/>
  <c r="G260" i="355" s="1"/>
  <c r="C260" i="355"/>
  <c r="L259" i="355"/>
  <c r="K259" i="355"/>
  <c r="J259" i="355"/>
  <c r="I259" i="355"/>
  <c r="H259" i="355"/>
  <c r="F259" i="355"/>
  <c r="E259" i="355"/>
  <c r="G259" i="355" s="1"/>
  <c r="C259" i="355"/>
  <c r="L258" i="355"/>
  <c r="K258" i="355"/>
  <c r="J258" i="355"/>
  <c r="I258" i="355"/>
  <c r="H258" i="355"/>
  <c r="F258" i="355"/>
  <c r="E258" i="355"/>
  <c r="G258" i="355" s="1"/>
  <c r="C258" i="355"/>
  <c r="L257" i="355"/>
  <c r="K257" i="355"/>
  <c r="J257" i="355"/>
  <c r="I257" i="355"/>
  <c r="H257" i="355"/>
  <c r="F257" i="355"/>
  <c r="E257" i="355"/>
  <c r="G257" i="355" s="1"/>
  <c r="C257" i="355"/>
  <c r="L256" i="355"/>
  <c r="K256" i="355"/>
  <c r="J256" i="355"/>
  <c r="I256" i="355"/>
  <c r="H256" i="355"/>
  <c r="F256" i="355"/>
  <c r="E256" i="355"/>
  <c r="G256" i="355" s="1"/>
  <c r="C256" i="355"/>
  <c r="L255" i="355"/>
  <c r="K255" i="355"/>
  <c r="J255" i="355"/>
  <c r="I255" i="355"/>
  <c r="H255" i="355"/>
  <c r="F255" i="355"/>
  <c r="E255" i="355"/>
  <c r="G255" i="355" s="1"/>
  <c r="C255" i="355"/>
  <c r="L254" i="355"/>
  <c r="K254" i="355"/>
  <c r="J254" i="355"/>
  <c r="I254" i="355"/>
  <c r="H254" i="355"/>
  <c r="F254" i="355"/>
  <c r="E254" i="355"/>
  <c r="G254" i="355" s="1"/>
  <c r="C254" i="355"/>
  <c r="L253" i="355"/>
  <c r="K253" i="355"/>
  <c r="J253" i="355"/>
  <c r="I253" i="355"/>
  <c r="H253" i="355"/>
  <c r="F253" i="355"/>
  <c r="E253" i="355"/>
  <c r="G253" i="355" s="1"/>
  <c r="C253" i="355"/>
  <c r="L252" i="355"/>
  <c r="K252" i="355"/>
  <c r="J252" i="355"/>
  <c r="I252" i="355"/>
  <c r="H252" i="355"/>
  <c r="F252" i="355"/>
  <c r="E252" i="355"/>
  <c r="G252" i="355" s="1"/>
  <c r="C252" i="355"/>
  <c r="L251" i="355"/>
  <c r="K251" i="355"/>
  <c r="J251" i="355"/>
  <c r="I251" i="355"/>
  <c r="H251" i="355"/>
  <c r="F251" i="355"/>
  <c r="E251" i="355"/>
  <c r="G251" i="355" s="1"/>
  <c r="C251" i="355"/>
  <c r="L250" i="355"/>
  <c r="K250" i="355"/>
  <c r="J250" i="355"/>
  <c r="I250" i="355"/>
  <c r="H250" i="355"/>
  <c r="F250" i="355"/>
  <c r="E250" i="355"/>
  <c r="G250" i="355" s="1"/>
  <c r="C250" i="355"/>
  <c r="L249" i="355"/>
  <c r="K249" i="355"/>
  <c r="J249" i="355"/>
  <c r="I249" i="355"/>
  <c r="H249" i="355"/>
  <c r="F249" i="355"/>
  <c r="E249" i="355"/>
  <c r="G249" i="355" s="1"/>
  <c r="C249" i="355"/>
  <c r="L248" i="355"/>
  <c r="K248" i="355"/>
  <c r="J248" i="355"/>
  <c r="I248" i="355"/>
  <c r="H248" i="355"/>
  <c r="F248" i="355"/>
  <c r="E248" i="355"/>
  <c r="G248" i="355" s="1"/>
  <c r="C248" i="355"/>
  <c r="L247" i="355"/>
  <c r="K247" i="355"/>
  <c r="J247" i="355"/>
  <c r="I247" i="355"/>
  <c r="H247" i="355"/>
  <c r="F247" i="355"/>
  <c r="E247" i="355"/>
  <c r="G247" i="355" s="1"/>
  <c r="C247" i="355"/>
  <c r="L246" i="355"/>
  <c r="K246" i="355"/>
  <c r="J246" i="355"/>
  <c r="I246" i="355"/>
  <c r="H246" i="355"/>
  <c r="F246" i="355"/>
  <c r="E246" i="355"/>
  <c r="G246" i="355" s="1"/>
  <c r="C246" i="355"/>
  <c r="L245" i="355"/>
  <c r="K245" i="355"/>
  <c r="J245" i="355"/>
  <c r="I245" i="355"/>
  <c r="H245" i="355"/>
  <c r="F245" i="355"/>
  <c r="E245" i="355"/>
  <c r="G245" i="355" s="1"/>
  <c r="C245" i="355"/>
  <c r="L244" i="355"/>
  <c r="K244" i="355"/>
  <c r="J244" i="355"/>
  <c r="I244" i="355"/>
  <c r="H244" i="355"/>
  <c r="F244" i="355"/>
  <c r="E244" i="355"/>
  <c r="G244" i="355" s="1"/>
  <c r="C244" i="355"/>
  <c r="L243" i="355"/>
  <c r="K243" i="355"/>
  <c r="J243" i="355"/>
  <c r="I243" i="355"/>
  <c r="H243" i="355"/>
  <c r="F243" i="355"/>
  <c r="E243" i="355"/>
  <c r="G243" i="355" s="1"/>
  <c r="C243" i="355"/>
  <c r="L242" i="355"/>
  <c r="K242" i="355"/>
  <c r="J242" i="355"/>
  <c r="I242" i="355"/>
  <c r="H242" i="355"/>
  <c r="F242" i="355"/>
  <c r="E242" i="355"/>
  <c r="G242" i="355" s="1"/>
  <c r="C242" i="355"/>
  <c r="L241" i="355"/>
  <c r="K241" i="355"/>
  <c r="J241" i="355"/>
  <c r="I241" i="355"/>
  <c r="H241" i="355"/>
  <c r="F241" i="355"/>
  <c r="E241" i="355"/>
  <c r="G241" i="355" s="1"/>
  <c r="C241" i="355"/>
  <c r="L240" i="355"/>
  <c r="K240" i="355"/>
  <c r="J240" i="355"/>
  <c r="I240" i="355"/>
  <c r="H240" i="355"/>
  <c r="F240" i="355"/>
  <c r="E240" i="355"/>
  <c r="G240" i="355" s="1"/>
  <c r="C240" i="355"/>
  <c r="L239" i="355"/>
  <c r="K239" i="355"/>
  <c r="J239" i="355"/>
  <c r="I239" i="355"/>
  <c r="H239" i="355"/>
  <c r="F239" i="355"/>
  <c r="E239" i="355"/>
  <c r="G239" i="355" s="1"/>
  <c r="C239" i="355"/>
  <c r="L238" i="355"/>
  <c r="K238" i="355"/>
  <c r="J238" i="355"/>
  <c r="I238" i="355"/>
  <c r="H238" i="355"/>
  <c r="F238" i="355"/>
  <c r="E238" i="355"/>
  <c r="G238" i="355" s="1"/>
  <c r="C238" i="355"/>
  <c r="L237" i="355"/>
  <c r="K237" i="355"/>
  <c r="J237" i="355"/>
  <c r="I237" i="355"/>
  <c r="H237" i="355"/>
  <c r="F237" i="355"/>
  <c r="E237" i="355"/>
  <c r="G237" i="355" s="1"/>
  <c r="C237" i="355"/>
  <c r="L236" i="355"/>
  <c r="K236" i="355"/>
  <c r="J236" i="355"/>
  <c r="I236" i="355"/>
  <c r="H236" i="355"/>
  <c r="F236" i="355"/>
  <c r="E236" i="355"/>
  <c r="G236" i="355" s="1"/>
  <c r="C236" i="355"/>
  <c r="L235" i="355"/>
  <c r="K235" i="355"/>
  <c r="J235" i="355"/>
  <c r="I235" i="355"/>
  <c r="H235" i="355"/>
  <c r="F235" i="355"/>
  <c r="E235" i="355"/>
  <c r="G235" i="355" s="1"/>
  <c r="C235" i="355"/>
  <c r="L234" i="355"/>
  <c r="K234" i="355"/>
  <c r="J234" i="355"/>
  <c r="I234" i="355"/>
  <c r="H234" i="355"/>
  <c r="F234" i="355"/>
  <c r="E234" i="355"/>
  <c r="G234" i="355" s="1"/>
  <c r="C234" i="355"/>
  <c r="L233" i="355"/>
  <c r="K233" i="355"/>
  <c r="J233" i="355"/>
  <c r="I233" i="355"/>
  <c r="H233" i="355"/>
  <c r="F233" i="355"/>
  <c r="E233" i="355"/>
  <c r="G233" i="355" s="1"/>
  <c r="C233" i="355"/>
  <c r="L232" i="355"/>
  <c r="K232" i="355"/>
  <c r="J232" i="355"/>
  <c r="I232" i="355"/>
  <c r="H232" i="355"/>
  <c r="F232" i="355"/>
  <c r="E232" i="355"/>
  <c r="G232" i="355" s="1"/>
  <c r="C232" i="355"/>
  <c r="L231" i="355"/>
  <c r="K231" i="355"/>
  <c r="J231" i="355"/>
  <c r="I231" i="355"/>
  <c r="H231" i="355"/>
  <c r="F231" i="355"/>
  <c r="E231" i="355"/>
  <c r="G231" i="355" s="1"/>
  <c r="C231" i="355"/>
  <c r="L230" i="355"/>
  <c r="K230" i="355"/>
  <c r="J230" i="355"/>
  <c r="I230" i="355"/>
  <c r="H230" i="355"/>
  <c r="G230" i="355"/>
  <c r="F230" i="355"/>
  <c r="E230" i="355"/>
  <c r="C230" i="355"/>
  <c r="L229" i="355"/>
  <c r="K229" i="355"/>
  <c r="J229" i="355"/>
  <c r="I229" i="355"/>
  <c r="H229" i="355"/>
  <c r="G229" i="355"/>
  <c r="F229" i="355"/>
  <c r="E229" i="355"/>
  <c r="C229" i="355"/>
  <c r="L228" i="355"/>
  <c r="K228" i="355"/>
  <c r="J228" i="355"/>
  <c r="I228" i="355"/>
  <c r="H228" i="355"/>
  <c r="F228" i="355"/>
  <c r="E228" i="355"/>
  <c r="G228" i="355" s="1"/>
  <c r="C228" i="355"/>
  <c r="L227" i="355"/>
  <c r="K227" i="355"/>
  <c r="J227" i="355"/>
  <c r="I227" i="355"/>
  <c r="H227" i="355"/>
  <c r="F227" i="355"/>
  <c r="E227" i="355"/>
  <c r="G227" i="355" s="1"/>
  <c r="C227" i="355"/>
  <c r="L226" i="355"/>
  <c r="K226" i="355"/>
  <c r="J226" i="355"/>
  <c r="I226" i="355"/>
  <c r="H226" i="355"/>
  <c r="F226" i="355"/>
  <c r="E226" i="355"/>
  <c r="G226" i="355" s="1"/>
  <c r="C226" i="355"/>
  <c r="L225" i="355"/>
  <c r="K225" i="355"/>
  <c r="J225" i="355"/>
  <c r="I225" i="355"/>
  <c r="H225" i="355"/>
  <c r="F225" i="355"/>
  <c r="E225" i="355"/>
  <c r="G225" i="355" s="1"/>
  <c r="C225" i="355"/>
  <c r="L224" i="355"/>
  <c r="K224" i="355"/>
  <c r="J224" i="355"/>
  <c r="I224" i="355"/>
  <c r="H224" i="355"/>
  <c r="F224" i="355"/>
  <c r="E224" i="355"/>
  <c r="G224" i="355" s="1"/>
  <c r="C224" i="355"/>
  <c r="L223" i="355"/>
  <c r="K223" i="355"/>
  <c r="J223" i="355"/>
  <c r="I223" i="355"/>
  <c r="H223" i="355"/>
  <c r="F223" i="355"/>
  <c r="E223" i="355"/>
  <c r="G223" i="355" s="1"/>
  <c r="C223" i="355"/>
  <c r="L222" i="355"/>
  <c r="K222" i="355"/>
  <c r="J222" i="355"/>
  <c r="I222" i="355"/>
  <c r="H222" i="355"/>
  <c r="F222" i="355"/>
  <c r="E222" i="355"/>
  <c r="G222" i="355" s="1"/>
  <c r="C222" i="355"/>
  <c r="L221" i="355"/>
  <c r="K221" i="355"/>
  <c r="J221" i="355"/>
  <c r="I221" i="355"/>
  <c r="H221" i="355"/>
  <c r="F221" i="355"/>
  <c r="E221" i="355"/>
  <c r="G221" i="355" s="1"/>
  <c r="C221" i="355"/>
  <c r="L220" i="355"/>
  <c r="K220" i="355"/>
  <c r="J220" i="355"/>
  <c r="I220" i="355"/>
  <c r="H220" i="355"/>
  <c r="F220" i="355"/>
  <c r="E220" i="355"/>
  <c r="G220" i="355" s="1"/>
  <c r="C220" i="355"/>
  <c r="L219" i="355"/>
  <c r="K219" i="355"/>
  <c r="J219" i="355"/>
  <c r="I219" i="355"/>
  <c r="H219" i="355"/>
  <c r="F219" i="355"/>
  <c r="E219" i="355"/>
  <c r="G219" i="355" s="1"/>
  <c r="C219" i="355"/>
  <c r="L218" i="355"/>
  <c r="K218" i="355"/>
  <c r="J218" i="355"/>
  <c r="I218" i="355"/>
  <c r="H218" i="355"/>
  <c r="F218" i="355"/>
  <c r="E218" i="355"/>
  <c r="G218" i="355" s="1"/>
  <c r="C218" i="355"/>
  <c r="L217" i="355"/>
  <c r="K217" i="355"/>
  <c r="J217" i="355"/>
  <c r="I217" i="355"/>
  <c r="H217" i="355"/>
  <c r="F217" i="355"/>
  <c r="E217" i="355"/>
  <c r="G217" i="355" s="1"/>
  <c r="C217" i="355"/>
  <c r="L216" i="355"/>
  <c r="K216" i="355"/>
  <c r="J216" i="355"/>
  <c r="I216" i="355"/>
  <c r="H216" i="355"/>
  <c r="F216" i="355"/>
  <c r="E216" i="355"/>
  <c r="G216" i="355" s="1"/>
  <c r="C216" i="355"/>
  <c r="L215" i="355"/>
  <c r="K215" i="355"/>
  <c r="J215" i="355"/>
  <c r="I215" i="355"/>
  <c r="H215" i="355"/>
  <c r="F215" i="355"/>
  <c r="E215" i="355"/>
  <c r="G215" i="355" s="1"/>
  <c r="C215" i="355"/>
  <c r="L214" i="355"/>
  <c r="K214" i="355"/>
  <c r="J214" i="355"/>
  <c r="I214" i="355"/>
  <c r="H214" i="355"/>
  <c r="F214" i="355"/>
  <c r="E214" i="355"/>
  <c r="G214" i="355" s="1"/>
  <c r="C214" i="355"/>
  <c r="L213" i="355"/>
  <c r="K213" i="355"/>
  <c r="J213" i="355"/>
  <c r="I213" i="355"/>
  <c r="H213" i="355"/>
  <c r="F213" i="355"/>
  <c r="E213" i="355"/>
  <c r="G213" i="355" s="1"/>
  <c r="C213" i="355"/>
  <c r="L212" i="355"/>
  <c r="K212" i="355"/>
  <c r="J212" i="355"/>
  <c r="I212" i="355"/>
  <c r="H212" i="355"/>
  <c r="F212" i="355"/>
  <c r="E212" i="355"/>
  <c r="G212" i="355" s="1"/>
  <c r="C212" i="355"/>
  <c r="L211" i="355"/>
  <c r="K211" i="355"/>
  <c r="J211" i="355"/>
  <c r="I211" i="355"/>
  <c r="H211" i="355"/>
  <c r="F211" i="355"/>
  <c r="E211" i="355"/>
  <c r="G211" i="355" s="1"/>
  <c r="C211" i="355"/>
  <c r="L210" i="355"/>
  <c r="K210" i="355"/>
  <c r="J210" i="355"/>
  <c r="I210" i="355"/>
  <c r="H210" i="355"/>
  <c r="F210" i="355"/>
  <c r="E210" i="355"/>
  <c r="G210" i="355" s="1"/>
  <c r="C210" i="355"/>
  <c r="L209" i="355"/>
  <c r="K209" i="355"/>
  <c r="J209" i="355"/>
  <c r="I209" i="355"/>
  <c r="H209" i="355"/>
  <c r="F209" i="355"/>
  <c r="E209" i="355"/>
  <c r="G209" i="355" s="1"/>
  <c r="C209" i="355"/>
  <c r="L208" i="355"/>
  <c r="K208" i="355"/>
  <c r="J208" i="355"/>
  <c r="I208" i="355"/>
  <c r="H208" i="355"/>
  <c r="F208" i="355"/>
  <c r="E208" i="355"/>
  <c r="G208" i="355" s="1"/>
  <c r="C208" i="355"/>
  <c r="L207" i="355"/>
  <c r="K207" i="355"/>
  <c r="J207" i="355"/>
  <c r="I207" i="355"/>
  <c r="H207" i="355"/>
  <c r="F207" i="355"/>
  <c r="E207" i="355"/>
  <c r="G207" i="355" s="1"/>
  <c r="C207" i="355"/>
  <c r="L206" i="355"/>
  <c r="K206" i="355"/>
  <c r="J206" i="355"/>
  <c r="I206" i="355"/>
  <c r="H206" i="355"/>
  <c r="F206" i="355"/>
  <c r="E206" i="355"/>
  <c r="G206" i="355" s="1"/>
  <c r="C206" i="355"/>
  <c r="L205" i="355"/>
  <c r="K205" i="355"/>
  <c r="J205" i="355"/>
  <c r="I205" i="355"/>
  <c r="H205" i="355"/>
  <c r="F205" i="355"/>
  <c r="E205" i="355"/>
  <c r="G205" i="355" s="1"/>
  <c r="C205" i="355"/>
  <c r="L204" i="355"/>
  <c r="K204" i="355"/>
  <c r="J204" i="355"/>
  <c r="I204" i="355"/>
  <c r="H204" i="355"/>
  <c r="F204" i="355"/>
  <c r="E204" i="355"/>
  <c r="G204" i="355" s="1"/>
  <c r="C204" i="355"/>
  <c r="L203" i="355"/>
  <c r="K203" i="355"/>
  <c r="J203" i="355"/>
  <c r="I203" i="355"/>
  <c r="H203" i="355"/>
  <c r="F203" i="355"/>
  <c r="E203" i="355"/>
  <c r="G203" i="355" s="1"/>
  <c r="C203" i="355"/>
  <c r="L202" i="355"/>
  <c r="K202" i="355"/>
  <c r="J202" i="355"/>
  <c r="I202" i="355"/>
  <c r="H202" i="355"/>
  <c r="F202" i="355"/>
  <c r="E202" i="355"/>
  <c r="G202" i="355" s="1"/>
  <c r="C202" i="355"/>
  <c r="L201" i="355"/>
  <c r="K201" i="355"/>
  <c r="J201" i="355"/>
  <c r="I201" i="355"/>
  <c r="H201" i="355"/>
  <c r="F201" i="355"/>
  <c r="E201" i="355"/>
  <c r="G201" i="355" s="1"/>
  <c r="C201" i="355"/>
  <c r="L200" i="355"/>
  <c r="K200" i="355"/>
  <c r="J200" i="355"/>
  <c r="I200" i="355"/>
  <c r="H200" i="355"/>
  <c r="F200" i="355"/>
  <c r="E200" i="355"/>
  <c r="G200" i="355" s="1"/>
  <c r="C200" i="355"/>
  <c r="L199" i="355"/>
  <c r="K199" i="355"/>
  <c r="J199" i="355"/>
  <c r="I199" i="355"/>
  <c r="H199" i="355"/>
  <c r="F199" i="355"/>
  <c r="E199" i="355"/>
  <c r="G199" i="355" s="1"/>
  <c r="C199" i="355"/>
  <c r="L198" i="355"/>
  <c r="K198" i="355"/>
  <c r="J198" i="355"/>
  <c r="I198" i="355"/>
  <c r="H198" i="355"/>
  <c r="F198" i="355"/>
  <c r="E198" i="355"/>
  <c r="G198" i="355" s="1"/>
  <c r="C198" i="355"/>
  <c r="L197" i="355"/>
  <c r="K197" i="355"/>
  <c r="J197" i="355"/>
  <c r="I197" i="355"/>
  <c r="H197" i="355"/>
  <c r="F197" i="355"/>
  <c r="E197" i="355"/>
  <c r="G197" i="355" s="1"/>
  <c r="C197" i="355"/>
  <c r="L196" i="355"/>
  <c r="K196" i="355"/>
  <c r="J196" i="355"/>
  <c r="I196" i="355"/>
  <c r="H196" i="355"/>
  <c r="F196" i="355"/>
  <c r="E196" i="355"/>
  <c r="G196" i="355" s="1"/>
  <c r="C196" i="355"/>
  <c r="L195" i="355"/>
  <c r="K195" i="355"/>
  <c r="J195" i="355"/>
  <c r="I195" i="355"/>
  <c r="H195" i="355"/>
  <c r="F195" i="355"/>
  <c r="E195" i="355"/>
  <c r="G195" i="355" s="1"/>
  <c r="C195" i="355"/>
  <c r="L194" i="355"/>
  <c r="K194" i="355"/>
  <c r="J194" i="355"/>
  <c r="I194" i="355"/>
  <c r="H194" i="355"/>
  <c r="F194" i="355"/>
  <c r="E194" i="355"/>
  <c r="G194" i="355" s="1"/>
  <c r="C194" i="355"/>
  <c r="L193" i="355"/>
  <c r="K193" i="355"/>
  <c r="J193" i="355"/>
  <c r="I193" i="355"/>
  <c r="H193" i="355"/>
  <c r="F193" i="355"/>
  <c r="E193" i="355"/>
  <c r="G193" i="355" s="1"/>
  <c r="C193" i="355"/>
  <c r="L192" i="355"/>
  <c r="K192" i="355"/>
  <c r="J192" i="355"/>
  <c r="I192" i="355"/>
  <c r="H192" i="355"/>
  <c r="F192" i="355"/>
  <c r="E192" i="355"/>
  <c r="G192" i="355" s="1"/>
  <c r="C192" i="355"/>
  <c r="L191" i="355"/>
  <c r="K191" i="355"/>
  <c r="J191" i="355"/>
  <c r="I191" i="355"/>
  <c r="H191" i="355"/>
  <c r="F191" i="355"/>
  <c r="E191" i="355"/>
  <c r="G191" i="355" s="1"/>
  <c r="C191" i="355"/>
  <c r="L190" i="355"/>
  <c r="K190" i="355"/>
  <c r="J190" i="355"/>
  <c r="I190" i="355"/>
  <c r="H190" i="355"/>
  <c r="F190" i="355"/>
  <c r="E190" i="355"/>
  <c r="G190" i="355" s="1"/>
  <c r="C190" i="355"/>
  <c r="L189" i="355"/>
  <c r="K189" i="355"/>
  <c r="J189" i="355"/>
  <c r="I189" i="355"/>
  <c r="H189" i="355"/>
  <c r="F189" i="355"/>
  <c r="E189" i="355"/>
  <c r="G189" i="355" s="1"/>
  <c r="C189" i="355"/>
  <c r="L188" i="355"/>
  <c r="K188" i="355"/>
  <c r="J188" i="355"/>
  <c r="I188" i="355"/>
  <c r="H188" i="355"/>
  <c r="F188" i="355"/>
  <c r="E188" i="355"/>
  <c r="G188" i="355" s="1"/>
  <c r="C188" i="355"/>
  <c r="L187" i="355"/>
  <c r="K187" i="355"/>
  <c r="J187" i="355"/>
  <c r="I187" i="355"/>
  <c r="H187" i="355"/>
  <c r="F187" i="355"/>
  <c r="E187" i="355"/>
  <c r="G187" i="355" s="1"/>
  <c r="C187" i="355"/>
  <c r="L186" i="355"/>
  <c r="K186" i="355"/>
  <c r="J186" i="355"/>
  <c r="I186" i="355"/>
  <c r="H186" i="355"/>
  <c r="F186" i="355"/>
  <c r="E186" i="355"/>
  <c r="G186" i="355" s="1"/>
  <c r="C186" i="355"/>
  <c r="L185" i="355"/>
  <c r="K185" i="355"/>
  <c r="J185" i="355"/>
  <c r="I185" i="355"/>
  <c r="H185" i="355"/>
  <c r="F185" i="355"/>
  <c r="E185" i="355"/>
  <c r="G185" i="355" s="1"/>
  <c r="C185" i="355"/>
  <c r="L184" i="355"/>
  <c r="K184" i="355"/>
  <c r="J184" i="355"/>
  <c r="I184" i="355"/>
  <c r="H184" i="355"/>
  <c r="F184" i="355"/>
  <c r="E184" i="355"/>
  <c r="G184" i="355" s="1"/>
  <c r="C184" i="355"/>
  <c r="L183" i="355"/>
  <c r="K183" i="355"/>
  <c r="J183" i="355"/>
  <c r="I183" i="355"/>
  <c r="H183" i="355"/>
  <c r="F183" i="355"/>
  <c r="E183" i="355"/>
  <c r="G183" i="355" s="1"/>
  <c r="C183" i="355"/>
  <c r="L182" i="355"/>
  <c r="K182" i="355"/>
  <c r="J182" i="355"/>
  <c r="I182" i="355"/>
  <c r="H182" i="355"/>
  <c r="F182" i="355"/>
  <c r="E182" i="355"/>
  <c r="G182" i="355" s="1"/>
  <c r="C182" i="355"/>
  <c r="L181" i="355"/>
  <c r="K181" i="355"/>
  <c r="J181" i="355"/>
  <c r="I181" i="355"/>
  <c r="H181" i="355"/>
  <c r="F181" i="355"/>
  <c r="E181" i="355"/>
  <c r="G181" i="355" s="1"/>
  <c r="C181" i="355"/>
  <c r="L180" i="355"/>
  <c r="K180" i="355"/>
  <c r="J180" i="355"/>
  <c r="I180" i="355"/>
  <c r="H180" i="355"/>
  <c r="F180" i="355"/>
  <c r="E180" i="355"/>
  <c r="G180" i="355" s="1"/>
  <c r="C180" i="355"/>
  <c r="L179" i="355"/>
  <c r="K179" i="355"/>
  <c r="J179" i="355"/>
  <c r="I179" i="355"/>
  <c r="H179" i="355"/>
  <c r="F179" i="355"/>
  <c r="E179" i="355"/>
  <c r="G179" i="355" s="1"/>
  <c r="C179" i="355"/>
  <c r="L178" i="355"/>
  <c r="K178" i="355"/>
  <c r="J178" i="355"/>
  <c r="I178" i="355"/>
  <c r="H178" i="355"/>
  <c r="F178" i="355"/>
  <c r="E178" i="355"/>
  <c r="G178" i="355" s="1"/>
  <c r="C178" i="355"/>
  <c r="L177" i="355"/>
  <c r="K177" i="355"/>
  <c r="J177" i="355"/>
  <c r="I177" i="355"/>
  <c r="H177" i="355"/>
  <c r="F177" i="355"/>
  <c r="E177" i="355"/>
  <c r="G177" i="355" s="1"/>
  <c r="C177" i="355"/>
  <c r="L176" i="355"/>
  <c r="K176" i="355"/>
  <c r="J176" i="355"/>
  <c r="I176" i="355"/>
  <c r="H176" i="355"/>
  <c r="F176" i="355"/>
  <c r="E176" i="355"/>
  <c r="G176" i="355" s="1"/>
  <c r="C176" i="355"/>
  <c r="L175" i="355"/>
  <c r="K175" i="355"/>
  <c r="J175" i="355"/>
  <c r="I175" i="355"/>
  <c r="H175" i="355"/>
  <c r="F175" i="355"/>
  <c r="E175" i="355"/>
  <c r="G175" i="355" s="1"/>
  <c r="C175" i="355"/>
  <c r="L174" i="355"/>
  <c r="K174" i="355"/>
  <c r="J174" i="355"/>
  <c r="I174" i="355"/>
  <c r="H174" i="355"/>
  <c r="F174" i="355"/>
  <c r="E174" i="355"/>
  <c r="G174" i="355" s="1"/>
  <c r="C174" i="355"/>
  <c r="L173" i="355"/>
  <c r="K173" i="355"/>
  <c r="J173" i="355"/>
  <c r="I173" i="355"/>
  <c r="H173" i="355"/>
  <c r="F173" i="355"/>
  <c r="E173" i="355"/>
  <c r="G173" i="355" s="1"/>
  <c r="C173" i="355"/>
  <c r="L172" i="355"/>
  <c r="K172" i="355"/>
  <c r="J172" i="355"/>
  <c r="I172" i="355"/>
  <c r="H172" i="355"/>
  <c r="F172" i="355"/>
  <c r="E172" i="355"/>
  <c r="G172" i="355" s="1"/>
  <c r="C172" i="355"/>
  <c r="L171" i="355"/>
  <c r="K171" i="355"/>
  <c r="J171" i="355"/>
  <c r="I171" i="355"/>
  <c r="H171" i="355"/>
  <c r="F171" i="355"/>
  <c r="E171" i="355"/>
  <c r="G171" i="355" s="1"/>
  <c r="C171" i="355"/>
  <c r="L170" i="355"/>
  <c r="K170" i="355"/>
  <c r="J170" i="355"/>
  <c r="I170" i="355"/>
  <c r="H170" i="355"/>
  <c r="F170" i="355"/>
  <c r="E170" i="355"/>
  <c r="G170" i="355" s="1"/>
  <c r="C170" i="355"/>
  <c r="L169" i="355"/>
  <c r="K169" i="355"/>
  <c r="J169" i="355"/>
  <c r="I169" i="355"/>
  <c r="H169" i="355"/>
  <c r="F169" i="355"/>
  <c r="E169" i="355"/>
  <c r="G169" i="355" s="1"/>
  <c r="C169" i="355"/>
  <c r="L168" i="355"/>
  <c r="K168" i="355"/>
  <c r="J168" i="355"/>
  <c r="I168" i="355"/>
  <c r="H168" i="355"/>
  <c r="F168" i="355"/>
  <c r="E168" i="355"/>
  <c r="G168" i="355" s="1"/>
  <c r="C168" i="355"/>
  <c r="L167" i="355"/>
  <c r="K167" i="355"/>
  <c r="J167" i="355"/>
  <c r="I167" i="355"/>
  <c r="H167" i="355"/>
  <c r="F167" i="355"/>
  <c r="E167" i="355"/>
  <c r="G167" i="355" s="1"/>
  <c r="C167" i="355"/>
  <c r="L166" i="355"/>
  <c r="K166" i="355"/>
  <c r="J166" i="355"/>
  <c r="I166" i="355"/>
  <c r="H166" i="355"/>
  <c r="F166" i="355"/>
  <c r="E166" i="355"/>
  <c r="G166" i="355" s="1"/>
  <c r="C166" i="355"/>
  <c r="L165" i="355"/>
  <c r="K165" i="355"/>
  <c r="J165" i="355"/>
  <c r="I165" i="355"/>
  <c r="H165" i="355"/>
  <c r="F165" i="355"/>
  <c r="E165" i="355"/>
  <c r="G165" i="355" s="1"/>
  <c r="C165" i="355"/>
  <c r="L164" i="355"/>
  <c r="K164" i="355"/>
  <c r="J164" i="355"/>
  <c r="I164" i="355"/>
  <c r="H164" i="355"/>
  <c r="F164" i="355"/>
  <c r="E164" i="355"/>
  <c r="G164" i="355" s="1"/>
  <c r="C164" i="355"/>
  <c r="L163" i="355"/>
  <c r="K163" i="355"/>
  <c r="J163" i="355"/>
  <c r="I163" i="355"/>
  <c r="H163" i="355"/>
  <c r="F163" i="355"/>
  <c r="E163" i="355"/>
  <c r="G163" i="355" s="1"/>
  <c r="C163" i="355"/>
  <c r="L162" i="355"/>
  <c r="K162" i="355"/>
  <c r="J162" i="355"/>
  <c r="I162" i="355"/>
  <c r="H162" i="355"/>
  <c r="F162" i="355"/>
  <c r="E162" i="355"/>
  <c r="G162" i="355" s="1"/>
  <c r="C162" i="355"/>
  <c r="L161" i="355"/>
  <c r="K161" i="355"/>
  <c r="J161" i="355"/>
  <c r="I161" i="355"/>
  <c r="H161" i="355"/>
  <c r="F161" i="355"/>
  <c r="E161" i="355"/>
  <c r="G161" i="355" s="1"/>
  <c r="C161" i="355"/>
  <c r="L160" i="355"/>
  <c r="K160" i="355"/>
  <c r="J160" i="355"/>
  <c r="I160" i="355"/>
  <c r="H160" i="355"/>
  <c r="F160" i="355"/>
  <c r="E160" i="355"/>
  <c r="G160" i="355" s="1"/>
  <c r="C160" i="355"/>
  <c r="L159" i="355"/>
  <c r="K159" i="355"/>
  <c r="J159" i="355"/>
  <c r="I159" i="355"/>
  <c r="H159" i="355"/>
  <c r="F159" i="355"/>
  <c r="E159" i="355"/>
  <c r="G159" i="355" s="1"/>
  <c r="C159" i="355"/>
  <c r="L158" i="355"/>
  <c r="K158" i="355"/>
  <c r="J158" i="355"/>
  <c r="I158" i="355"/>
  <c r="H158" i="355"/>
  <c r="F158" i="355"/>
  <c r="E158" i="355"/>
  <c r="G158" i="355" s="1"/>
  <c r="C158" i="355"/>
  <c r="L157" i="355"/>
  <c r="K157" i="355"/>
  <c r="J157" i="355"/>
  <c r="I157" i="355"/>
  <c r="H157" i="355"/>
  <c r="F157" i="355"/>
  <c r="E157" i="355"/>
  <c r="G157" i="355" s="1"/>
  <c r="C157" i="355"/>
  <c r="L156" i="355"/>
  <c r="K156" i="355"/>
  <c r="J156" i="355"/>
  <c r="I156" i="355"/>
  <c r="H156" i="355"/>
  <c r="F156" i="355"/>
  <c r="E156" i="355"/>
  <c r="G156" i="355" s="1"/>
  <c r="C156" i="355"/>
  <c r="L155" i="355"/>
  <c r="K155" i="355"/>
  <c r="J155" i="355"/>
  <c r="I155" i="355"/>
  <c r="H155" i="355"/>
  <c r="F155" i="355"/>
  <c r="E155" i="355"/>
  <c r="G155" i="355" s="1"/>
  <c r="C155" i="355"/>
  <c r="L154" i="355"/>
  <c r="K154" i="355"/>
  <c r="J154" i="355"/>
  <c r="I154" i="355"/>
  <c r="H154" i="355"/>
  <c r="F154" i="355"/>
  <c r="E154" i="355"/>
  <c r="G154" i="355" s="1"/>
  <c r="C154" i="355"/>
  <c r="L153" i="355"/>
  <c r="K153" i="355"/>
  <c r="J153" i="355"/>
  <c r="I153" i="355"/>
  <c r="H153" i="355"/>
  <c r="F153" i="355"/>
  <c r="E153" i="355"/>
  <c r="G153" i="355" s="1"/>
  <c r="C153" i="355"/>
  <c r="L152" i="355"/>
  <c r="K152" i="355"/>
  <c r="J152" i="355"/>
  <c r="I152" i="355"/>
  <c r="H152" i="355"/>
  <c r="F152" i="355"/>
  <c r="E152" i="355"/>
  <c r="G152" i="355" s="1"/>
  <c r="C152" i="355"/>
  <c r="L151" i="355"/>
  <c r="K151" i="355"/>
  <c r="J151" i="355"/>
  <c r="I151" i="355"/>
  <c r="H151" i="355"/>
  <c r="F151" i="355"/>
  <c r="E151" i="355"/>
  <c r="G151" i="355" s="1"/>
  <c r="C151" i="355"/>
  <c r="L150" i="355"/>
  <c r="K150" i="355"/>
  <c r="J150" i="355"/>
  <c r="I150" i="355"/>
  <c r="H150" i="355"/>
  <c r="F150" i="355"/>
  <c r="E150" i="355"/>
  <c r="G150" i="355" s="1"/>
  <c r="C150" i="355"/>
  <c r="L149" i="355"/>
  <c r="K149" i="355"/>
  <c r="J149" i="355"/>
  <c r="I149" i="355"/>
  <c r="H149" i="355"/>
  <c r="F149" i="355"/>
  <c r="E149" i="355"/>
  <c r="G149" i="355" s="1"/>
  <c r="C149" i="355"/>
  <c r="L148" i="355"/>
  <c r="K148" i="355"/>
  <c r="J148" i="355"/>
  <c r="I148" i="355"/>
  <c r="H148" i="355"/>
  <c r="F148" i="355"/>
  <c r="E148" i="355"/>
  <c r="G148" i="355" s="1"/>
  <c r="C148" i="355"/>
  <c r="L147" i="355"/>
  <c r="K147" i="355"/>
  <c r="J147" i="355"/>
  <c r="I147" i="355"/>
  <c r="H147" i="355"/>
  <c r="F147" i="355"/>
  <c r="E147" i="355"/>
  <c r="G147" i="355" s="1"/>
  <c r="C147" i="355"/>
  <c r="L146" i="355"/>
  <c r="K146" i="355"/>
  <c r="J146" i="355"/>
  <c r="I146" i="355"/>
  <c r="H146" i="355"/>
  <c r="F146" i="355"/>
  <c r="E146" i="355"/>
  <c r="G146" i="355" s="1"/>
  <c r="C146" i="355"/>
  <c r="L145" i="355"/>
  <c r="K145" i="355"/>
  <c r="J145" i="355"/>
  <c r="I145" i="355"/>
  <c r="H145" i="355"/>
  <c r="F145" i="355"/>
  <c r="E145" i="355"/>
  <c r="G145" i="355" s="1"/>
  <c r="C145" i="355"/>
  <c r="L144" i="355"/>
  <c r="K144" i="355"/>
  <c r="J144" i="355"/>
  <c r="I144" i="355"/>
  <c r="H144" i="355"/>
  <c r="F144" i="355"/>
  <c r="E144" i="355"/>
  <c r="G144" i="355" s="1"/>
  <c r="C144" i="355"/>
  <c r="L143" i="355"/>
  <c r="K143" i="355"/>
  <c r="J143" i="355"/>
  <c r="I143" i="355"/>
  <c r="H143" i="355"/>
  <c r="F143" i="355"/>
  <c r="E143" i="355"/>
  <c r="G143" i="355" s="1"/>
  <c r="C143" i="355"/>
  <c r="L142" i="355"/>
  <c r="K142" i="355"/>
  <c r="J142" i="355"/>
  <c r="I142" i="355"/>
  <c r="H142" i="355"/>
  <c r="F142" i="355"/>
  <c r="E142" i="355"/>
  <c r="G142" i="355" s="1"/>
  <c r="C142" i="355"/>
  <c r="L141" i="355"/>
  <c r="K141" i="355"/>
  <c r="J141" i="355"/>
  <c r="I141" i="355"/>
  <c r="H141" i="355"/>
  <c r="F141" i="355"/>
  <c r="E141" i="355"/>
  <c r="G141" i="355" s="1"/>
  <c r="C141" i="355"/>
  <c r="L140" i="355"/>
  <c r="K140" i="355"/>
  <c r="J140" i="355"/>
  <c r="I140" i="355"/>
  <c r="H140" i="355"/>
  <c r="F140" i="355"/>
  <c r="E140" i="355"/>
  <c r="G140" i="355" s="1"/>
  <c r="C140" i="355"/>
  <c r="L139" i="355"/>
  <c r="K139" i="355"/>
  <c r="J139" i="355"/>
  <c r="I139" i="355"/>
  <c r="H139" i="355"/>
  <c r="F139" i="355"/>
  <c r="E139" i="355"/>
  <c r="G139" i="355" s="1"/>
  <c r="C139" i="355"/>
  <c r="L138" i="355"/>
  <c r="K138" i="355"/>
  <c r="J138" i="355"/>
  <c r="I138" i="355"/>
  <c r="H138" i="355"/>
  <c r="F138" i="355"/>
  <c r="E138" i="355"/>
  <c r="G138" i="355" s="1"/>
  <c r="C138" i="355"/>
  <c r="L137" i="355"/>
  <c r="K137" i="355"/>
  <c r="J137" i="355"/>
  <c r="I137" i="355"/>
  <c r="H137" i="355"/>
  <c r="F137" i="355"/>
  <c r="E137" i="355"/>
  <c r="G137" i="355" s="1"/>
  <c r="C137" i="355"/>
  <c r="L136" i="355"/>
  <c r="K136" i="355"/>
  <c r="J136" i="355"/>
  <c r="I136" i="355"/>
  <c r="H136" i="355"/>
  <c r="F136" i="355"/>
  <c r="E136" i="355"/>
  <c r="G136" i="355" s="1"/>
  <c r="C136" i="355"/>
  <c r="L135" i="355"/>
  <c r="K135" i="355"/>
  <c r="J135" i="355"/>
  <c r="I135" i="355"/>
  <c r="H135" i="355"/>
  <c r="F135" i="355"/>
  <c r="E135" i="355"/>
  <c r="G135" i="355" s="1"/>
  <c r="C135" i="355"/>
  <c r="L134" i="355"/>
  <c r="K134" i="355"/>
  <c r="J134" i="355"/>
  <c r="I134" i="355"/>
  <c r="H134" i="355"/>
  <c r="F134" i="355"/>
  <c r="E134" i="355"/>
  <c r="G134" i="355" s="1"/>
  <c r="C134" i="355"/>
  <c r="L133" i="355"/>
  <c r="K133" i="355"/>
  <c r="J133" i="355"/>
  <c r="I133" i="355"/>
  <c r="H133" i="355"/>
  <c r="F133" i="355"/>
  <c r="E133" i="355"/>
  <c r="G133" i="355" s="1"/>
  <c r="C133" i="355"/>
  <c r="L132" i="355"/>
  <c r="K132" i="355"/>
  <c r="J132" i="355"/>
  <c r="I132" i="355"/>
  <c r="H132" i="355"/>
  <c r="F132" i="355"/>
  <c r="E132" i="355"/>
  <c r="G132" i="355" s="1"/>
  <c r="C132" i="355"/>
  <c r="L131" i="355"/>
  <c r="K131" i="355"/>
  <c r="J131" i="355"/>
  <c r="I131" i="355"/>
  <c r="H131" i="355"/>
  <c r="F131" i="355"/>
  <c r="E131" i="355"/>
  <c r="G131" i="355" s="1"/>
  <c r="C131" i="355"/>
  <c r="L130" i="355"/>
  <c r="K130" i="355"/>
  <c r="J130" i="355"/>
  <c r="I130" i="355"/>
  <c r="H130" i="355"/>
  <c r="F130" i="355"/>
  <c r="E130" i="355"/>
  <c r="G130" i="355" s="1"/>
  <c r="C130" i="355"/>
  <c r="L129" i="355"/>
  <c r="K129" i="355"/>
  <c r="J129" i="355"/>
  <c r="I129" i="355"/>
  <c r="H129" i="355"/>
  <c r="F129" i="355"/>
  <c r="E129" i="355"/>
  <c r="G129" i="355" s="1"/>
  <c r="C129" i="355"/>
  <c r="L128" i="355"/>
  <c r="K128" i="355"/>
  <c r="J128" i="355"/>
  <c r="I128" i="355"/>
  <c r="H128" i="355"/>
  <c r="F128" i="355"/>
  <c r="E128" i="355"/>
  <c r="G128" i="355" s="1"/>
  <c r="C128" i="355"/>
  <c r="L127" i="355"/>
  <c r="K127" i="355"/>
  <c r="J127" i="355"/>
  <c r="I127" i="355"/>
  <c r="H127" i="355"/>
  <c r="F127" i="355"/>
  <c r="E127" i="355"/>
  <c r="G127" i="355" s="1"/>
  <c r="C127" i="355"/>
  <c r="L126" i="355"/>
  <c r="K126" i="355"/>
  <c r="J126" i="355"/>
  <c r="I126" i="355"/>
  <c r="H126" i="355"/>
  <c r="F126" i="355"/>
  <c r="E126" i="355"/>
  <c r="G126" i="355" s="1"/>
  <c r="C126" i="355"/>
  <c r="L125" i="355"/>
  <c r="K125" i="355"/>
  <c r="J125" i="355"/>
  <c r="I125" i="355"/>
  <c r="H125" i="355"/>
  <c r="F125" i="355"/>
  <c r="E125" i="355"/>
  <c r="G125" i="355" s="1"/>
  <c r="C125" i="355"/>
  <c r="L124" i="355"/>
  <c r="K124" i="355"/>
  <c r="J124" i="355"/>
  <c r="I124" i="355"/>
  <c r="H124" i="355"/>
  <c r="F124" i="355"/>
  <c r="E124" i="355"/>
  <c r="G124" i="355" s="1"/>
  <c r="C124" i="355"/>
  <c r="L123" i="355"/>
  <c r="K123" i="355"/>
  <c r="J123" i="355"/>
  <c r="I123" i="355"/>
  <c r="H123" i="355"/>
  <c r="F123" i="355"/>
  <c r="E123" i="355"/>
  <c r="G123" i="355" s="1"/>
  <c r="C123" i="355"/>
  <c r="L122" i="355"/>
  <c r="K122" i="355"/>
  <c r="J122" i="355"/>
  <c r="I122" i="355"/>
  <c r="H122" i="355"/>
  <c r="F122" i="355"/>
  <c r="E122" i="355"/>
  <c r="G122" i="355" s="1"/>
  <c r="C122" i="355"/>
  <c r="L121" i="355"/>
  <c r="K121" i="355"/>
  <c r="J121" i="355"/>
  <c r="I121" i="355"/>
  <c r="H121" i="355"/>
  <c r="F121" i="355"/>
  <c r="E121" i="355"/>
  <c r="G121" i="355" s="1"/>
  <c r="C121" i="355"/>
  <c r="L120" i="355"/>
  <c r="K120" i="355"/>
  <c r="J120" i="355"/>
  <c r="I120" i="355"/>
  <c r="H120" i="355"/>
  <c r="F120" i="355"/>
  <c r="E120" i="355"/>
  <c r="G120" i="355" s="1"/>
  <c r="C120" i="355"/>
  <c r="L119" i="355"/>
  <c r="K119" i="355"/>
  <c r="J119" i="355"/>
  <c r="I119" i="355"/>
  <c r="H119" i="355"/>
  <c r="F119" i="355"/>
  <c r="E119" i="355"/>
  <c r="G119" i="355" s="1"/>
  <c r="C119" i="355"/>
  <c r="L118" i="355"/>
  <c r="K118" i="355"/>
  <c r="J118" i="355"/>
  <c r="I118" i="355"/>
  <c r="H118" i="355"/>
  <c r="F118" i="355"/>
  <c r="E118" i="355"/>
  <c r="G118" i="355" s="1"/>
  <c r="C118" i="355"/>
  <c r="L117" i="355"/>
  <c r="K117" i="355"/>
  <c r="J117" i="355"/>
  <c r="I117" i="355"/>
  <c r="H117" i="355"/>
  <c r="F117" i="355"/>
  <c r="E117" i="355"/>
  <c r="G117" i="355" s="1"/>
  <c r="C117" i="355"/>
  <c r="L116" i="355"/>
  <c r="K116" i="355"/>
  <c r="J116" i="355"/>
  <c r="I116" i="355"/>
  <c r="H116" i="355"/>
  <c r="F116" i="355"/>
  <c r="E116" i="355"/>
  <c r="G116" i="355" s="1"/>
  <c r="C116" i="355"/>
  <c r="L115" i="355"/>
  <c r="K115" i="355"/>
  <c r="J115" i="355"/>
  <c r="I115" i="355"/>
  <c r="H115" i="355"/>
  <c r="F115" i="355"/>
  <c r="E115" i="355"/>
  <c r="G115" i="355" s="1"/>
  <c r="C115" i="355"/>
  <c r="L114" i="355"/>
  <c r="K114" i="355"/>
  <c r="J114" i="355"/>
  <c r="I114" i="355"/>
  <c r="H114" i="355"/>
  <c r="F114" i="355"/>
  <c r="E114" i="355"/>
  <c r="G114" i="355" s="1"/>
  <c r="C114" i="355"/>
  <c r="L113" i="355"/>
  <c r="K113" i="355"/>
  <c r="J113" i="355"/>
  <c r="I113" i="355"/>
  <c r="H113" i="355"/>
  <c r="F113" i="355"/>
  <c r="E113" i="355"/>
  <c r="G113" i="355" s="1"/>
  <c r="C113" i="355"/>
  <c r="L112" i="355"/>
  <c r="K112" i="355"/>
  <c r="J112" i="355"/>
  <c r="I112" i="355"/>
  <c r="H112" i="355"/>
  <c r="F112" i="355"/>
  <c r="E112" i="355"/>
  <c r="G112" i="355" s="1"/>
  <c r="C112" i="355"/>
  <c r="L111" i="355"/>
  <c r="K111" i="355"/>
  <c r="J111" i="355"/>
  <c r="I111" i="355"/>
  <c r="H111" i="355"/>
  <c r="F111" i="355"/>
  <c r="E111" i="355"/>
  <c r="G111" i="355" s="1"/>
  <c r="C111" i="355"/>
  <c r="L110" i="355"/>
  <c r="K110" i="355"/>
  <c r="J110" i="355"/>
  <c r="I110" i="355"/>
  <c r="H110" i="355"/>
  <c r="F110" i="355"/>
  <c r="E110" i="355"/>
  <c r="G110" i="355" s="1"/>
  <c r="C110" i="355"/>
  <c r="L109" i="355"/>
  <c r="K109" i="355"/>
  <c r="J109" i="355"/>
  <c r="I109" i="355"/>
  <c r="H109" i="355"/>
  <c r="F109" i="355"/>
  <c r="E109" i="355"/>
  <c r="G109" i="355" s="1"/>
  <c r="C109" i="355"/>
  <c r="L108" i="355"/>
  <c r="K108" i="355"/>
  <c r="J108" i="355"/>
  <c r="I108" i="355"/>
  <c r="H108" i="355"/>
  <c r="F108" i="355"/>
  <c r="E108" i="355"/>
  <c r="G108" i="355" s="1"/>
  <c r="C108" i="355"/>
  <c r="L107" i="355"/>
  <c r="K107" i="355"/>
  <c r="J107" i="355"/>
  <c r="I107" i="355"/>
  <c r="H107" i="355"/>
  <c r="F107" i="355"/>
  <c r="E107" i="355"/>
  <c r="G107" i="355" s="1"/>
  <c r="C107" i="355"/>
  <c r="L106" i="355"/>
  <c r="K106" i="355"/>
  <c r="J106" i="355"/>
  <c r="I106" i="355"/>
  <c r="H106" i="355"/>
  <c r="F106" i="355"/>
  <c r="E106" i="355"/>
  <c r="G106" i="355" s="1"/>
  <c r="C106" i="355"/>
  <c r="L105" i="355"/>
  <c r="K105" i="355"/>
  <c r="J105" i="355"/>
  <c r="I105" i="355"/>
  <c r="H105" i="355"/>
  <c r="F105" i="355"/>
  <c r="E105" i="355"/>
  <c r="G105" i="355" s="1"/>
  <c r="C105" i="355"/>
  <c r="L104" i="355"/>
  <c r="K104" i="355"/>
  <c r="J104" i="355"/>
  <c r="I104" i="355"/>
  <c r="H104" i="355"/>
  <c r="F104" i="355"/>
  <c r="E104" i="355"/>
  <c r="G104" i="355" s="1"/>
  <c r="C104" i="355"/>
  <c r="L103" i="355"/>
  <c r="K103" i="355"/>
  <c r="J103" i="355"/>
  <c r="I103" i="355"/>
  <c r="H103" i="355"/>
  <c r="F103" i="355"/>
  <c r="E103" i="355"/>
  <c r="G103" i="355" s="1"/>
  <c r="C103" i="355"/>
  <c r="L102" i="355"/>
  <c r="K102" i="355"/>
  <c r="J102" i="355"/>
  <c r="I102" i="355"/>
  <c r="H102" i="355"/>
  <c r="F102" i="355"/>
  <c r="E102" i="355"/>
  <c r="G102" i="355" s="1"/>
  <c r="C102" i="355"/>
  <c r="L101" i="355"/>
  <c r="K101" i="355"/>
  <c r="J101" i="355"/>
  <c r="I101" i="355"/>
  <c r="H101" i="355"/>
  <c r="F101" i="355"/>
  <c r="E101" i="355"/>
  <c r="G101" i="355" s="1"/>
  <c r="C101" i="355"/>
  <c r="L100" i="355"/>
  <c r="K100" i="355"/>
  <c r="J100" i="355"/>
  <c r="I100" i="355"/>
  <c r="H100" i="355"/>
  <c r="F100" i="355"/>
  <c r="E100" i="355"/>
  <c r="G100" i="355" s="1"/>
  <c r="C100" i="355"/>
  <c r="L99" i="355"/>
  <c r="K99" i="355"/>
  <c r="J99" i="355"/>
  <c r="I99" i="355"/>
  <c r="H99" i="355"/>
  <c r="F99" i="355"/>
  <c r="E99" i="355"/>
  <c r="G99" i="355" s="1"/>
  <c r="C99" i="355"/>
  <c r="L98" i="355"/>
  <c r="K98" i="355"/>
  <c r="J98" i="355"/>
  <c r="I98" i="355"/>
  <c r="H98" i="355"/>
  <c r="F98" i="355"/>
  <c r="E98" i="355"/>
  <c r="G98" i="355" s="1"/>
  <c r="C98" i="355"/>
  <c r="L97" i="355"/>
  <c r="K97" i="355"/>
  <c r="J97" i="355"/>
  <c r="I97" i="355"/>
  <c r="H97" i="355"/>
  <c r="F97" i="355"/>
  <c r="E97" i="355"/>
  <c r="G97" i="355" s="1"/>
  <c r="C97" i="355"/>
  <c r="L96" i="355"/>
  <c r="K96" i="355"/>
  <c r="J96" i="355"/>
  <c r="I96" i="355"/>
  <c r="H96" i="355"/>
  <c r="F96" i="355"/>
  <c r="E96" i="355"/>
  <c r="G96" i="355" s="1"/>
  <c r="C96" i="355"/>
  <c r="L95" i="355"/>
  <c r="K95" i="355"/>
  <c r="J95" i="355"/>
  <c r="I95" i="355"/>
  <c r="H95" i="355"/>
  <c r="F95" i="355"/>
  <c r="E95" i="355"/>
  <c r="G95" i="355" s="1"/>
  <c r="C95" i="355"/>
  <c r="L94" i="355"/>
  <c r="K94" i="355"/>
  <c r="J94" i="355"/>
  <c r="I94" i="355"/>
  <c r="H94" i="355"/>
  <c r="F94" i="355"/>
  <c r="E94" i="355"/>
  <c r="G94" i="355" s="1"/>
  <c r="C94" i="355"/>
  <c r="L93" i="355"/>
  <c r="K93" i="355"/>
  <c r="J93" i="355"/>
  <c r="I93" i="355"/>
  <c r="H93" i="355"/>
  <c r="F93" i="355"/>
  <c r="E93" i="355"/>
  <c r="G93" i="355" s="1"/>
  <c r="C93" i="355"/>
  <c r="L92" i="355"/>
  <c r="K92" i="355"/>
  <c r="J92" i="355"/>
  <c r="I92" i="355"/>
  <c r="H92" i="355"/>
  <c r="F92" i="355"/>
  <c r="E92" i="355"/>
  <c r="G92" i="355" s="1"/>
  <c r="C92" i="355"/>
  <c r="L91" i="355"/>
  <c r="K91" i="355"/>
  <c r="J91" i="355"/>
  <c r="I91" i="355"/>
  <c r="H91" i="355"/>
  <c r="F91" i="355"/>
  <c r="E91" i="355"/>
  <c r="G91" i="355" s="1"/>
  <c r="C91" i="355"/>
  <c r="L90" i="355"/>
  <c r="K90" i="355"/>
  <c r="J90" i="355"/>
  <c r="I90" i="355"/>
  <c r="H90" i="355"/>
  <c r="F90" i="355"/>
  <c r="E90" i="355"/>
  <c r="G90" i="355" s="1"/>
  <c r="C90" i="355"/>
  <c r="L89" i="355"/>
  <c r="K89" i="355"/>
  <c r="J89" i="355"/>
  <c r="I89" i="355"/>
  <c r="H89" i="355"/>
  <c r="F89" i="355"/>
  <c r="E89" i="355"/>
  <c r="G89" i="355" s="1"/>
  <c r="C89" i="355"/>
  <c r="L88" i="355"/>
  <c r="K88" i="355"/>
  <c r="J88" i="355"/>
  <c r="I88" i="355"/>
  <c r="H88" i="355"/>
  <c r="F88" i="355"/>
  <c r="E88" i="355"/>
  <c r="G88" i="355" s="1"/>
  <c r="C88" i="355"/>
  <c r="L87" i="355"/>
  <c r="K87" i="355"/>
  <c r="J87" i="355"/>
  <c r="I87" i="355"/>
  <c r="H87" i="355"/>
  <c r="F87" i="355"/>
  <c r="E87" i="355"/>
  <c r="G87" i="355" s="1"/>
  <c r="C87" i="355"/>
  <c r="L86" i="355"/>
  <c r="K86" i="355"/>
  <c r="J86" i="355"/>
  <c r="I86" i="355"/>
  <c r="H86" i="355"/>
  <c r="F86" i="355"/>
  <c r="E86" i="355"/>
  <c r="G86" i="355" s="1"/>
  <c r="C86" i="355"/>
  <c r="L85" i="355"/>
  <c r="K85" i="355"/>
  <c r="J85" i="355"/>
  <c r="I85" i="355"/>
  <c r="H85" i="355"/>
  <c r="F85" i="355"/>
  <c r="E85" i="355"/>
  <c r="G85" i="355" s="1"/>
  <c r="C85" i="355"/>
  <c r="L84" i="355"/>
  <c r="K84" i="355"/>
  <c r="J84" i="355"/>
  <c r="I84" i="355"/>
  <c r="H84" i="355"/>
  <c r="F84" i="355"/>
  <c r="E84" i="355"/>
  <c r="G84" i="355" s="1"/>
  <c r="C84" i="355"/>
  <c r="L83" i="355"/>
  <c r="K83" i="355"/>
  <c r="J83" i="355"/>
  <c r="I83" i="355"/>
  <c r="H83" i="355"/>
  <c r="F83" i="355"/>
  <c r="E83" i="355"/>
  <c r="G83" i="355" s="1"/>
  <c r="C83" i="355"/>
  <c r="L82" i="355"/>
  <c r="K82" i="355"/>
  <c r="J82" i="355"/>
  <c r="I82" i="355"/>
  <c r="H82" i="355"/>
  <c r="F82" i="355"/>
  <c r="E82" i="355"/>
  <c r="G82" i="355" s="1"/>
  <c r="C82" i="355"/>
  <c r="L81" i="355"/>
  <c r="K81" i="355"/>
  <c r="J81" i="355"/>
  <c r="I81" i="355"/>
  <c r="H81" i="355"/>
  <c r="G81" i="355"/>
  <c r="F81" i="355"/>
  <c r="E81" i="355"/>
  <c r="C81" i="355"/>
  <c r="L80" i="355"/>
  <c r="K80" i="355"/>
  <c r="J80" i="355"/>
  <c r="I80" i="355"/>
  <c r="H80" i="355"/>
  <c r="G80" i="355"/>
  <c r="F80" i="355"/>
  <c r="E80" i="355"/>
  <c r="C80" i="355"/>
  <c r="L79" i="355"/>
  <c r="K79" i="355"/>
  <c r="J79" i="355"/>
  <c r="I79" i="355"/>
  <c r="H79" i="355"/>
  <c r="F79" i="355"/>
  <c r="E79" i="355"/>
  <c r="G79" i="355" s="1"/>
  <c r="C79" i="355"/>
  <c r="L78" i="355"/>
  <c r="K78" i="355"/>
  <c r="J78" i="355"/>
  <c r="I78" i="355"/>
  <c r="H78" i="355"/>
  <c r="F78" i="355"/>
  <c r="E78" i="355"/>
  <c r="G78" i="355" s="1"/>
  <c r="C78" i="355"/>
  <c r="L77" i="355"/>
  <c r="K77" i="355"/>
  <c r="J77" i="355"/>
  <c r="I77" i="355"/>
  <c r="H77" i="355"/>
  <c r="F77" i="355"/>
  <c r="E77" i="355"/>
  <c r="G77" i="355" s="1"/>
  <c r="C77" i="355"/>
  <c r="L76" i="355"/>
  <c r="K76" i="355"/>
  <c r="J76" i="355"/>
  <c r="I76" i="355"/>
  <c r="H76" i="355"/>
  <c r="F76" i="355"/>
  <c r="E76" i="355"/>
  <c r="G76" i="355" s="1"/>
  <c r="C76" i="355"/>
  <c r="L75" i="355"/>
  <c r="K75" i="355"/>
  <c r="J75" i="355"/>
  <c r="I75" i="355"/>
  <c r="H75" i="355"/>
  <c r="F75" i="355"/>
  <c r="E75" i="355"/>
  <c r="G75" i="355" s="1"/>
  <c r="C75" i="355"/>
  <c r="L74" i="355"/>
  <c r="K74" i="355"/>
  <c r="J74" i="355"/>
  <c r="I74" i="355"/>
  <c r="H74" i="355"/>
  <c r="F74" i="355"/>
  <c r="E74" i="355"/>
  <c r="G74" i="355" s="1"/>
  <c r="C74" i="355"/>
  <c r="L73" i="355"/>
  <c r="K73" i="355"/>
  <c r="J73" i="355"/>
  <c r="I73" i="355"/>
  <c r="H73" i="355"/>
  <c r="F73" i="355"/>
  <c r="E73" i="355"/>
  <c r="G73" i="355" s="1"/>
  <c r="C73" i="355"/>
  <c r="L72" i="355"/>
  <c r="K72" i="355"/>
  <c r="J72" i="355"/>
  <c r="I72" i="355"/>
  <c r="H72" i="355"/>
  <c r="F72" i="355"/>
  <c r="E72" i="355"/>
  <c r="G72" i="355" s="1"/>
  <c r="C72" i="355"/>
  <c r="L71" i="355"/>
  <c r="K71" i="355"/>
  <c r="J71" i="355"/>
  <c r="I71" i="355"/>
  <c r="H71" i="355"/>
  <c r="F71" i="355"/>
  <c r="E71" i="355"/>
  <c r="G71" i="355" s="1"/>
  <c r="C71" i="355"/>
  <c r="L70" i="355"/>
  <c r="K70" i="355"/>
  <c r="J70" i="355"/>
  <c r="I70" i="355"/>
  <c r="H70" i="355"/>
  <c r="F70" i="355"/>
  <c r="E70" i="355"/>
  <c r="G70" i="355" s="1"/>
  <c r="C70" i="355"/>
  <c r="L69" i="355"/>
  <c r="K69" i="355"/>
  <c r="J69" i="355"/>
  <c r="I69" i="355"/>
  <c r="H69" i="355"/>
  <c r="F69" i="355"/>
  <c r="E69" i="355"/>
  <c r="G69" i="355" s="1"/>
  <c r="C69" i="355"/>
  <c r="L68" i="355"/>
  <c r="K68" i="355"/>
  <c r="J68" i="355"/>
  <c r="I68" i="355"/>
  <c r="H68" i="355"/>
  <c r="F68" i="355"/>
  <c r="E68" i="355"/>
  <c r="G68" i="355" s="1"/>
  <c r="C68" i="355"/>
  <c r="L67" i="355"/>
  <c r="K67" i="355"/>
  <c r="J67" i="355"/>
  <c r="I67" i="355"/>
  <c r="H67" i="355"/>
  <c r="F67" i="355"/>
  <c r="E67" i="355"/>
  <c r="G67" i="355" s="1"/>
  <c r="C67" i="355"/>
  <c r="L66" i="355"/>
  <c r="K66" i="355"/>
  <c r="J66" i="355"/>
  <c r="I66" i="355"/>
  <c r="H66" i="355"/>
  <c r="F66" i="355"/>
  <c r="E66" i="355"/>
  <c r="G66" i="355" s="1"/>
  <c r="C66" i="355"/>
  <c r="L65" i="355"/>
  <c r="K65" i="355"/>
  <c r="J65" i="355"/>
  <c r="I65" i="355"/>
  <c r="H65" i="355"/>
  <c r="F65" i="355"/>
  <c r="E65" i="355"/>
  <c r="G65" i="355" s="1"/>
  <c r="C65" i="355"/>
  <c r="L64" i="355"/>
  <c r="K64" i="355"/>
  <c r="J64" i="355"/>
  <c r="I64" i="355"/>
  <c r="H64" i="355"/>
  <c r="F64" i="355"/>
  <c r="E64" i="355"/>
  <c r="G64" i="355" s="1"/>
  <c r="C64" i="355"/>
  <c r="L63" i="355"/>
  <c r="K63" i="355"/>
  <c r="J63" i="355"/>
  <c r="I63" i="355"/>
  <c r="H63" i="355"/>
  <c r="F63" i="355"/>
  <c r="E63" i="355"/>
  <c r="G63" i="355" s="1"/>
  <c r="C63" i="355"/>
  <c r="L62" i="355"/>
  <c r="K62" i="355"/>
  <c r="J62" i="355"/>
  <c r="I62" i="355"/>
  <c r="H62" i="355"/>
  <c r="F62" i="355"/>
  <c r="E62" i="355"/>
  <c r="G62" i="355" s="1"/>
  <c r="C62" i="355"/>
  <c r="L61" i="355"/>
  <c r="K61" i="355"/>
  <c r="J61" i="355"/>
  <c r="I61" i="355"/>
  <c r="H61" i="355"/>
  <c r="F61" i="355"/>
  <c r="E61" i="355"/>
  <c r="G61" i="355" s="1"/>
  <c r="C61" i="355"/>
  <c r="L60" i="355"/>
  <c r="K60" i="355"/>
  <c r="J60" i="355"/>
  <c r="I60" i="355"/>
  <c r="H60" i="355"/>
  <c r="F60" i="355"/>
  <c r="E60" i="355"/>
  <c r="G60" i="355" s="1"/>
  <c r="C60" i="355"/>
  <c r="L59" i="355"/>
  <c r="K59" i="355"/>
  <c r="J59" i="355"/>
  <c r="I59" i="355"/>
  <c r="H59" i="355"/>
  <c r="F59" i="355"/>
  <c r="E59" i="355"/>
  <c r="G59" i="355" s="1"/>
  <c r="C59" i="355"/>
  <c r="L58" i="355"/>
  <c r="K58" i="355"/>
  <c r="J58" i="355"/>
  <c r="I58" i="355"/>
  <c r="H58" i="355"/>
  <c r="F58" i="355"/>
  <c r="E58" i="355"/>
  <c r="G58" i="355" s="1"/>
  <c r="C58" i="355"/>
  <c r="L57" i="355"/>
  <c r="K57" i="355"/>
  <c r="J57" i="355"/>
  <c r="I57" i="355"/>
  <c r="H57" i="355"/>
  <c r="F57" i="355"/>
  <c r="E57" i="355"/>
  <c r="G57" i="355" s="1"/>
  <c r="C57" i="355"/>
  <c r="L56" i="355"/>
  <c r="K56" i="355"/>
  <c r="J56" i="355"/>
  <c r="I56" i="355"/>
  <c r="H56" i="355"/>
  <c r="F56" i="355"/>
  <c r="E56" i="355"/>
  <c r="G56" i="355" s="1"/>
  <c r="C56" i="355"/>
  <c r="L55" i="355"/>
  <c r="K55" i="355"/>
  <c r="J55" i="355"/>
  <c r="I55" i="355"/>
  <c r="H55" i="355"/>
  <c r="F55" i="355"/>
  <c r="E55" i="355"/>
  <c r="G55" i="355" s="1"/>
  <c r="C55" i="355"/>
  <c r="L54" i="355"/>
  <c r="K54" i="355"/>
  <c r="J54" i="355"/>
  <c r="I54" i="355"/>
  <c r="H54" i="355"/>
  <c r="F54" i="355"/>
  <c r="E54" i="355"/>
  <c r="G54" i="355" s="1"/>
  <c r="C54" i="355"/>
  <c r="L53" i="355"/>
  <c r="K53" i="355"/>
  <c r="J53" i="355"/>
  <c r="I53" i="355"/>
  <c r="H53" i="355"/>
  <c r="F53" i="355"/>
  <c r="E53" i="355"/>
  <c r="G53" i="355" s="1"/>
  <c r="C53" i="355"/>
  <c r="L52" i="355"/>
  <c r="K52" i="355"/>
  <c r="J52" i="355"/>
  <c r="I52" i="355"/>
  <c r="H52" i="355"/>
  <c r="F52" i="355"/>
  <c r="E52" i="355"/>
  <c r="G52" i="355" s="1"/>
  <c r="C52" i="355"/>
  <c r="L51" i="355"/>
  <c r="K51" i="355"/>
  <c r="J51" i="355"/>
  <c r="I51" i="355"/>
  <c r="H51" i="355"/>
  <c r="F51" i="355"/>
  <c r="E51" i="355"/>
  <c r="G51" i="355" s="1"/>
  <c r="C51" i="355"/>
  <c r="L50" i="355"/>
  <c r="K50" i="355"/>
  <c r="J50" i="355"/>
  <c r="I50" i="355"/>
  <c r="H50" i="355"/>
  <c r="F50" i="355"/>
  <c r="E50" i="355"/>
  <c r="G50" i="355" s="1"/>
  <c r="C50" i="355"/>
  <c r="L49" i="355"/>
  <c r="K49" i="355"/>
  <c r="J49" i="355"/>
  <c r="I49" i="355"/>
  <c r="H49" i="355"/>
  <c r="F49" i="355"/>
  <c r="E49" i="355"/>
  <c r="G49" i="355" s="1"/>
  <c r="C49" i="355"/>
  <c r="L48" i="355"/>
  <c r="K48" i="355"/>
  <c r="J48" i="355"/>
  <c r="I48" i="355"/>
  <c r="H48" i="355"/>
  <c r="F48" i="355"/>
  <c r="E48" i="355"/>
  <c r="G48" i="355" s="1"/>
  <c r="C48" i="355"/>
  <c r="L47" i="355"/>
  <c r="K47" i="355"/>
  <c r="J47" i="355"/>
  <c r="I47" i="355"/>
  <c r="H47" i="355"/>
  <c r="F47" i="355"/>
  <c r="E47" i="355"/>
  <c r="G47" i="355" s="1"/>
  <c r="C47" i="355"/>
  <c r="L46" i="355"/>
  <c r="K46" i="355"/>
  <c r="J46" i="355"/>
  <c r="I46" i="355"/>
  <c r="H46" i="355"/>
  <c r="F46" i="355"/>
  <c r="E46" i="355"/>
  <c r="G46" i="355" s="1"/>
  <c r="C46" i="355"/>
  <c r="L45" i="355"/>
  <c r="K45" i="355"/>
  <c r="J45" i="355"/>
  <c r="I45" i="355"/>
  <c r="H45" i="355"/>
  <c r="F45" i="355"/>
  <c r="E45" i="355"/>
  <c r="G45" i="355" s="1"/>
  <c r="C45" i="355"/>
  <c r="L44" i="355"/>
  <c r="K44" i="355"/>
  <c r="J44" i="355"/>
  <c r="I44" i="355"/>
  <c r="H44" i="355"/>
  <c r="F44" i="355"/>
  <c r="E44" i="355"/>
  <c r="G44" i="355" s="1"/>
  <c r="C44" i="355"/>
  <c r="L43" i="355"/>
  <c r="K43" i="355"/>
  <c r="J43" i="355"/>
  <c r="I43" i="355"/>
  <c r="H43" i="355"/>
  <c r="F43" i="355"/>
  <c r="E43" i="355"/>
  <c r="G43" i="355" s="1"/>
  <c r="C43" i="355"/>
  <c r="L42" i="355"/>
  <c r="K42" i="355"/>
  <c r="J42" i="355"/>
  <c r="I42" i="355"/>
  <c r="H42" i="355"/>
  <c r="F42" i="355"/>
  <c r="E42" i="355"/>
  <c r="G42" i="355" s="1"/>
  <c r="C42" i="355"/>
  <c r="L41" i="355"/>
  <c r="K41" i="355"/>
  <c r="J41" i="355"/>
  <c r="I41" i="355"/>
  <c r="H41" i="355"/>
  <c r="F41" i="355"/>
  <c r="E41" i="355"/>
  <c r="G41" i="355" s="1"/>
  <c r="C41" i="355"/>
  <c r="L40" i="355"/>
  <c r="K40" i="355"/>
  <c r="I40" i="355"/>
  <c r="J40" i="355" s="1"/>
  <c r="F40" i="355"/>
  <c r="E40" i="355"/>
  <c r="G40" i="355" s="1"/>
  <c r="C40" i="355"/>
  <c r="L39" i="355"/>
  <c r="K39" i="355"/>
  <c r="J39" i="355"/>
  <c r="I39" i="355"/>
  <c r="F39" i="355"/>
  <c r="E39" i="355"/>
  <c r="H39" i="355" s="1"/>
  <c r="C39" i="355"/>
  <c r="L38" i="355"/>
  <c r="K38" i="355"/>
  <c r="I38" i="355"/>
  <c r="J38" i="355" s="1"/>
  <c r="F38" i="355"/>
  <c r="E38" i="355"/>
  <c r="H38" i="355" s="1"/>
  <c r="C38" i="355"/>
  <c r="L37" i="355"/>
  <c r="K37" i="355"/>
  <c r="I37" i="355"/>
  <c r="J37" i="355" s="1"/>
  <c r="F37" i="355"/>
  <c r="E37" i="355"/>
  <c r="G37" i="355" s="1"/>
  <c r="C37" i="355"/>
  <c r="L36" i="355"/>
  <c r="K36" i="355"/>
  <c r="I36" i="355"/>
  <c r="J36" i="355" s="1"/>
  <c r="F36" i="355"/>
  <c r="E36" i="355"/>
  <c r="H36" i="355" s="1"/>
  <c r="C36" i="355"/>
  <c r="L35" i="355"/>
  <c r="K35" i="355"/>
  <c r="I35" i="355"/>
  <c r="J35" i="355" s="1"/>
  <c r="F35" i="355"/>
  <c r="E35" i="355"/>
  <c r="H35" i="355" s="1"/>
  <c r="C35" i="355"/>
  <c r="L34" i="355"/>
  <c r="K34" i="355"/>
  <c r="I34" i="355"/>
  <c r="J34" i="355" s="1"/>
  <c r="F34" i="355"/>
  <c r="E34" i="355"/>
  <c r="H34" i="355" s="1"/>
  <c r="C34" i="355"/>
  <c r="L33" i="355"/>
  <c r="K33" i="355"/>
  <c r="I33" i="355"/>
  <c r="J33" i="355" s="1"/>
  <c r="F33" i="355"/>
  <c r="E33" i="355"/>
  <c r="H33" i="355" s="1"/>
  <c r="C33" i="355"/>
  <c r="L32" i="355"/>
  <c r="K32" i="355"/>
  <c r="I32" i="355"/>
  <c r="J32" i="355" s="1"/>
  <c r="F32" i="355"/>
  <c r="E32" i="355"/>
  <c r="H32" i="355" s="1"/>
  <c r="C32" i="355"/>
  <c r="L31" i="355"/>
  <c r="K31" i="355"/>
  <c r="I31" i="355"/>
  <c r="J31" i="355" s="1"/>
  <c r="F31" i="355"/>
  <c r="E31" i="355"/>
  <c r="G31" i="355" s="1"/>
  <c r="C31" i="355"/>
  <c r="L30" i="355"/>
  <c r="K30" i="355"/>
  <c r="I30" i="355"/>
  <c r="J30" i="355" s="1"/>
  <c r="F30" i="355"/>
  <c r="E30" i="355"/>
  <c r="H30" i="355" s="1"/>
  <c r="C30" i="355"/>
  <c r="L29" i="355"/>
  <c r="K29" i="355"/>
  <c r="I29" i="355"/>
  <c r="J29" i="355" s="1"/>
  <c r="F29" i="355"/>
  <c r="E29" i="355"/>
  <c r="H29" i="355" s="1"/>
  <c r="C29" i="355"/>
  <c r="L28" i="355"/>
  <c r="K28" i="355"/>
  <c r="I28" i="355"/>
  <c r="J28" i="355" s="1"/>
  <c r="F28" i="355"/>
  <c r="E28" i="355"/>
  <c r="H28" i="355" s="1"/>
  <c r="C28" i="355"/>
  <c r="L27" i="355"/>
  <c r="K27" i="355"/>
  <c r="I27" i="355"/>
  <c r="J27" i="355" s="1"/>
  <c r="F27" i="355"/>
  <c r="E27" i="355"/>
  <c r="H27" i="355" s="1"/>
  <c r="C27" i="355"/>
  <c r="L26" i="355"/>
  <c r="K26" i="355"/>
  <c r="I26" i="355"/>
  <c r="J26" i="355" s="1"/>
  <c r="F26" i="355"/>
  <c r="E26" i="355"/>
  <c r="G26" i="355" s="1"/>
  <c r="C26" i="355"/>
  <c r="L25" i="355"/>
  <c r="K25" i="355"/>
  <c r="I25" i="355"/>
  <c r="J25" i="355" s="1"/>
  <c r="F25" i="355"/>
  <c r="E25" i="355"/>
  <c r="H25" i="355" s="1"/>
  <c r="C25" i="355"/>
  <c r="L24" i="355"/>
  <c r="K24" i="355"/>
  <c r="I24" i="355"/>
  <c r="J24" i="355" s="1"/>
  <c r="F24" i="355"/>
  <c r="E24" i="355"/>
  <c r="H24" i="355" s="1"/>
  <c r="C24" i="355"/>
  <c r="L23" i="355"/>
  <c r="K23" i="355"/>
  <c r="J23" i="355"/>
  <c r="I23" i="355"/>
  <c r="F23" i="355"/>
  <c r="E23" i="355"/>
  <c r="H23" i="355" s="1"/>
  <c r="C23" i="355"/>
  <c r="L22" i="355"/>
  <c r="K22" i="355"/>
  <c r="I22" i="355"/>
  <c r="J22" i="355" s="1"/>
  <c r="F22" i="355"/>
  <c r="E22" i="355"/>
  <c r="H22" i="355" s="1"/>
  <c r="C22" i="355"/>
  <c r="L21" i="355"/>
  <c r="K21" i="355"/>
  <c r="I21" i="355"/>
  <c r="J21" i="355" s="1"/>
  <c r="F21" i="355"/>
  <c r="E21" i="355"/>
  <c r="H21" i="355" s="1"/>
  <c r="C21" i="355"/>
  <c r="L20" i="355"/>
  <c r="K20" i="355"/>
  <c r="I20" i="355"/>
  <c r="J20" i="355" s="1"/>
  <c r="F20" i="355"/>
  <c r="E20" i="355"/>
  <c r="H20" i="355" s="1"/>
  <c r="C20" i="355"/>
  <c r="L19" i="355"/>
  <c r="K19" i="355"/>
  <c r="I19" i="355"/>
  <c r="J19" i="355" s="1"/>
  <c r="F19" i="355"/>
  <c r="E19" i="355"/>
  <c r="H19" i="355" s="1"/>
  <c r="C19" i="355"/>
  <c r="L18" i="355"/>
  <c r="K18" i="355"/>
  <c r="I18" i="355"/>
  <c r="J18" i="355" s="1"/>
  <c r="F18" i="355"/>
  <c r="E18" i="355"/>
  <c r="H18" i="355" s="1"/>
  <c r="C18" i="355"/>
  <c r="L17" i="355"/>
  <c r="K17" i="355"/>
  <c r="I17" i="355"/>
  <c r="J17" i="355" s="1"/>
  <c r="F17" i="355"/>
  <c r="E17" i="355"/>
  <c r="H17" i="355" s="1"/>
  <c r="C17" i="355"/>
  <c r="L16" i="355"/>
  <c r="K16" i="355"/>
  <c r="I16" i="355"/>
  <c r="J16" i="355" s="1"/>
  <c r="F16" i="355"/>
  <c r="E16" i="355"/>
  <c r="H16" i="355" s="1"/>
  <c r="C16" i="355"/>
  <c r="L15" i="355"/>
  <c r="K15" i="355"/>
  <c r="I15" i="355"/>
  <c r="J15" i="355" s="1"/>
  <c r="F15" i="355"/>
  <c r="E15" i="355"/>
  <c r="H15" i="355" s="1"/>
  <c r="C15" i="355"/>
  <c r="L14" i="355"/>
  <c r="K14" i="355"/>
  <c r="I14" i="355"/>
  <c r="J14" i="355" s="1"/>
  <c r="F14" i="355"/>
  <c r="E14" i="355"/>
  <c r="H14" i="355" s="1"/>
  <c r="C14" i="355"/>
  <c r="L13" i="355"/>
  <c r="K13" i="355"/>
  <c r="I13" i="355"/>
  <c r="J13" i="355" s="1"/>
  <c r="F13" i="355"/>
  <c r="E13" i="355"/>
  <c r="H13" i="355" s="1"/>
  <c r="C13" i="355"/>
  <c r="L12" i="355"/>
  <c r="K12" i="355"/>
  <c r="I12" i="355"/>
  <c r="J12" i="355" s="1"/>
  <c r="F12" i="355"/>
  <c r="E12" i="355"/>
  <c r="G12" i="355" s="1"/>
  <c r="C12" i="355"/>
  <c r="L11" i="355"/>
  <c r="K11" i="355"/>
  <c r="I11" i="355"/>
  <c r="J11" i="355" s="1"/>
  <c r="F11" i="355"/>
  <c r="E11" i="355"/>
  <c r="H11" i="355" s="1"/>
  <c r="C11" i="355"/>
  <c r="L55" i="366"/>
  <c r="H55" i="366"/>
  <c r="I55" i="366" s="1"/>
  <c r="L54" i="366"/>
  <c r="I54" i="366"/>
  <c r="H54" i="366"/>
  <c r="L53" i="366"/>
  <c r="H53" i="366"/>
  <c r="I53" i="366" s="1"/>
  <c r="L52" i="366"/>
  <c r="H52" i="366"/>
  <c r="I52" i="366" s="1"/>
  <c r="L51" i="366"/>
  <c r="H51" i="366"/>
  <c r="I51" i="366" s="1"/>
  <c r="L50" i="366"/>
  <c r="I50" i="366"/>
  <c r="H50" i="366"/>
  <c r="L49" i="366"/>
  <c r="H49" i="366"/>
  <c r="I49" i="366" s="1"/>
  <c r="L48" i="366"/>
  <c r="H48" i="366"/>
  <c r="I48" i="366" s="1"/>
  <c r="L47" i="366"/>
  <c r="H47" i="366"/>
  <c r="I47" i="366" s="1"/>
  <c r="L46" i="366"/>
  <c r="I46" i="366"/>
  <c r="H46" i="366"/>
  <c r="L45" i="366"/>
  <c r="H45" i="366"/>
  <c r="I45" i="366" s="1"/>
  <c r="L44" i="366"/>
  <c r="H44" i="366"/>
  <c r="I44" i="366" s="1"/>
  <c r="L43" i="366"/>
  <c r="H43" i="366"/>
  <c r="I43" i="366" s="1"/>
  <c r="L42" i="366"/>
  <c r="I42" i="366"/>
  <c r="H42" i="366"/>
  <c r="L41" i="366"/>
  <c r="H41" i="366"/>
  <c r="I41" i="366" s="1"/>
  <c r="L40" i="366"/>
  <c r="H40" i="366"/>
  <c r="I40" i="366" s="1"/>
  <c r="L39" i="366"/>
  <c r="H39" i="366"/>
  <c r="I39" i="366" s="1"/>
  <c r="L38" i="366"/>
  <c r="I38" i="366"/>
  <c r="H38" i="366"/>
  <c r="L37" i="366"/>
  <c r="H37" i="366"/>
  <c r="I37" i="366" s="1"/>
  <c r="L36" i="366"/>
  <c r="H36" i="366"/>
  <c r="I36" i="366" s="1"/>
  <c r="L35" i="366"/>
  <c r="H35" i="366"/>
  <c r="I35" i="366" s="1"/>
  <c r="L34" i="366"/>
  <c r="I34" i="366"/>
  <c r="H34" i="366"/>
  <c r="L33" i="366"/>
  <c r="H33" i="366"/>
  <c r="I33" i="366" s="1"/>
  <c r="L32" i="366"/>
  <c r="H32" i="366"/>
  <c r="I32" i="366" s="1"/>
  <c r="L31" i="366"/>
  <c r="H31" i="366"/>
  <c r="I31" i="366" s="1"/>
  <c r="L30" i="366"/>
  <c r="I30" i="366"/>
  <c r="H30" i="366"/>
  <c r="L29" i="366"/>
  <c r="H29" i="366"/>
  <c r="I29" i="366" s="1"/>
  <c r="L28" i="366"/>
  <c r="H28" i="366"/>
  <c r="I28" i="366" s="1"/>
  <c r="L27" i="366"/>
  <c r="H27" i="366"/>
  <c r="I27" i="366" s="1"/>
  <c r="L26" i="366"/>
  <c r="I26" i="366"/>
  <c r="H26" i="366"/>
  <c r="L25" i="366"/>
  <c r="H25" i="366"/>
  <c r="I25" i="366" s="1"/>
  <c r="L24" i="366"/>
  <c r="H24" i="366"/>
  <c r="I24" i="366" s="1"/>
  <c r="L23" i="366"/>
  <c r="H23" i="366"/>
  <c r="I23" i="366" s="1"/>
  <c r="L22" i="366"/>
  <c r="I22" i="366"/>
  <c r="H22" i="366"/>
  <c r="L21" i="366"/>
  <c r="H21" i="366"/>
  <c r="I21" i="366" s="1"/>
  <c r="L20" i="366"/>
  <c r="H20" i="366"/>
  <c r="I20" i="366" s="1"/>
  <c r="L19" i="366"/>
  <c r="H19" i="366"/>
  <c r="I19" i="366" s="1"/>
  <c r="L18" i="366"/>
  <c r="I18" i="366"/>
  <c r="H18" i="366"/>
  <c r="L17" i="366"/>
  <c r="H17" i="366"/>
  <c r="I17" i="366" s="1"/>
  <c r="L16" i="366"/>
  <c r="H16" i="366"/>
  <c r="I16" i="366" s="1"/>
  <c r="L15" i="366"/>
  <c r="H15" i="366"/>
  <c r="I15" i="366" s="1"/>
  <c r="L14" i="366"/>
  <c r="I14" i="366"/>
  <c r="H14" i="366"/>
  <c r="L13" i="366"/>
  <c r="H13" i="366"/>
  <c r="I13" i="366" s="1"/>
  <c r="L12" i="366"/>
  <c r="H12" i="366"/>
  <c r="I12" i="366" s="1"/>
  <c r="L11" i="366"/>
  <c r="H11" i="366"/>
  <c r="I11" i="366" s="1"/>
  <c r="L10" i="366"/>
  <c r="I10" i="366"/>
  <c r="H10" i="366"/>
  <c r="L9" i="366"/>
  <c r="H9" i="366"/>
  <c r="I9" i="366" s="1"/>
  <c r="L8" i="366"/>
  <c r="H8" i="366"/>
  <c r="I8" i="366" s="1"/>
  <c r="L7" i="366"/>
  <c r="H7" i="366"/>
  <c r="I7" i="366" s="1"/>
  <c r="L6" i="366"/>
  <c r="I6" i="366"/>
  <c r="H6" i="366"/>
  <c r="L5" i="366"/>
  <c r="H5" i="366"/>
  <c r="I5" i="366" s="1"/>
  <c r="N58" i="376"/>
  <c r="M58" i="376"/>
  <c r="L58" i="376"/>
  <c r="K58" i="376"/>
  <c r="J58" i="376"/>
  <c r="I58" i="376"/>
  <c r="H58" i="376"/>
  <c r="G58" i="376"/>
  <c r="F58" i="376"/>
  <c r="E58" i="376"/>
  <c r="D58" i="376"/>
  <c r="C58" i="376"/>
  <c r="P57" i="376" a="1"/>
  <c r="P57" i="376" s="1"/>
  <c r="B57" i="376"/>
  <c r="P56" i="376" a="1"/>
  <c r="P56" i="376" s="1"/>
  <c r="B56" i="376"/>
  <c r="P55" i="376" a="1"/>
  <c r="P55" i="376" s="1"/>
  <c r="B55" i="376"/>
  <c r="P54" i="376" a="1"/>
  <c r="P54" i="376" s="1"/>
  <c r="B54" i="376"/>
  <c r="P53" i="376" a="1"/>
  <c r="P53" i="376" s="1"/>
  <c r="B53" i="376"/>
  <c r="P52" i="376"/>
  <c r="P52" i="376" a="1"/>
  <c r="B52" i="376"/>
  <c r="P51" i="376" a="1"/>
  <c r="P51" i="376" s="1"/>
  <c r="B51" i="376"/>
  <c r="P50" i="376" a="1"/>
  <c r="P50" i="376" s="1"/>
  <c r="B50" i="376"/>
  <c r="P49" i="376" a="1"/>
  <c r="P49" i="376" s="1"/>
  <c r="B49" i="376"/>
  <c r="P48" i="376" a="1"/>
  <c r="P48" i="376" s="1"/>
  <c r="B48" i="376"/>
  <c r="P47" i="376" a="1"/>
  <c r="P47" i="376" s="1"/>
  <c r="B47" i="376"/>
  <c r="P46" i="376" a="1"/>
  <c r="P46" i="376" s="1"/>
  <c r="B46" i="376"/>
  <c r="P45" i="376" a="1"/>
  <c r="P45" i="376" s="1"/>
  <c r="B45" i="376"/>
  <c r="P44" i="376" a="1"/>
  <c r="P44" i="376" s="1"/>
  <c r="B44" i="376"/>
  <c r="P43" i="376" a="1"/>
  <c r="P43" i="376" s="1"/>
  <c r="B43" i="376"/>
  <c r="P42" i="376" a="1"/>
  <c r="P42" i="376" s="1"/>
  <c r="B42" i="376"/>
  <c r="P41" i="376" a="1"/>
  <c r="P41" i="376" s="1"/>
  <c r="B41" i="376"/>
  <c r="P40" i="376" a="1"/>
  <c r="P40" i="376" s="1"/>
  <c r="B40" i="376"/>
  <c r="P39" i="376" a="1"/>
  <c r="P39" i="376" s="1"/>
  <c r="B39" i="376"/>
  <c r="P38" i="376" a="1"/>
  <c r="P38" i="376" s="1"/>
  <c r="B38" i="376"/>
  <c r="P37" i="376" a="1"/>
  <c r="P37" i="376" s="1"/>
  <c r="B37" i="376"/>
  <c r="P36" i="376" a="1"/>
  <c r="P36" i="376" s="1"/>
  <c r="B36" i="376"/>
  <c r="P35" i="376" a="1"/>
  <c r="P35" i="376" s="1"/>
  <c r="B35" i="376"/>
  <c r="P34" i="376" a="1"/>
  <c r="P34" i="376" s="1"/>
  <c r="B34" i="376"/>
  <c r="N32" i="376"/>
  <c r="M32" i="376"/>
  <c r="L32" i="376"/>
  <c r="K32" i="376"/>
  <c r="J32" i="376"/>
  <c r="I32" i="376"/>
  <c r="H32" i="376"/>
  <c r="G32" i="376"/>
  <c r="F32" i="376"/>
  <c r="E32" i="376"/>
  <c r="D32" i="376"/>
  <c r="C32" i="376"/>
  <c r="N31" i="376"/>
  <c r="M31" i="376"/>
  <c r="L31" i="376"/>
  <c r="K31" i="376"/>
  <c r="J31" i="376"/>
  <c r="I31" i="376"/>
  <c r="H31" i="376"/>
  <c r="G31" i="376"/>
  <c r="F31" i="376"/>
  <c r="E31" i="376"/>
  <c r="D31" i="376"/>
  <c r="C31" i="376"/>
  <c r="N25" i="376" a="1"/>
  <c r="N25" i="376" s="1"/>
  <c r="J25" i="376"/>
  <c r="J25" i="376" a="1"/>
  <c r="I25" i="376"/>
  <c r="I25" i="376" a="1"/>
  <c r="U24" i="376" a="1"/>
  <c r="U24" i="376" s="1"/>
  <c r="Q24" i="376"/>
  <c r="Q24" i="376" a="1"/>
  <c r="P24" i="376"/>
  <c r="P24" i="376" a="1"/>
  <c r="N24" i="376" a="1"/>
  <c r="N24" i="376" s="1"/>
  <c r="J24" i="376"/>
  <c r="J24" i="376" a="1"/>
  <c r="I24" i="376"/>
  <c r="I24" i="376" a="1"/>
  <c r="U23" i="376" a="1"/>
  <c r="U23" i="376" s="1"/>
  <c r="Q23" i="376"/>
  <c r="Q23" i="376" a="1"/>
  <c r="P23" i="376"/>
  <c r="P23" i="376" a="1"/>
  <c r="N23" i="376" a="1"/>
  <c r="N23" i="376" s="1"/>
  <c r="J23" i="376"/>
  <c r="J23" i="376" a="1"/>
  <c r="I23" i="376"/>
  <c r="I23" i="376" a="1"/>
  <c r="U22" i="376" a="1"/>
  <c r="U22" i="376" s="1"/>
  <c r="Q22" i="376"/>
  <c r="Q22" i="376" a="1"/>
  <c r="P22" i="376"/>
  <c r="P22" i="376" a="1"/>
  <c r="N22" i="376" a="1"/>
  <c r="N22" i="376" s="1"/>
  <c r="J22" i="376"/>
  <c r="J22" i="376" a="1"/>
  <c r="I22" i="376"/>
  <c r="I22" i="376" a="1"/>
  <c r="F22" i="376"/>
  <c r="E22" i="376"/>
  <c r="D22" i="376"/>
  <c r="U21" i="376" a="1"/>
  <c r="U21" i="376" s="1"/>
  <c r="Q21" i="376"/>
  <c r="Q21" i="376" a="1"/>
  <c r="P21" i="376"/>
  <c r="P21" i="376" a="1"/>
  <c r="N21" i="376" a="1"/>
  <c r="N21" i="376" s="1"/>
  <c r="J21" i="376"/>
  <c r="J21" i="376" a="1"/>
  <c r="I21" i="376"/>
  <c r="I21" i="376" a="1"/>
  <c r="F21" i="376"/>
  <c r="E21" i="376"/>
  <c r="D21" i="376"/>
  <c r="D23" i="376" s="1"/>
  <c r="U20" i="376" a="1"/>
  <c r="U20" i="376" s="1"/>
  <c r="Q20" i="376"/>
  <c r="Q20" i="376" a="1"/>
  <c r="P20" i="376"/>
  <c r="P20" i="376" a="1"/>
  <c r="N20" i="376" a="1"/>
  <c r="N20" i="376" s="1"/>
  <c r="J20" i="376"/>
  <c r="J20" i="376" a="1"/>
  <c r="I20" i="376"/>
  <c r="I20" i="376" a="1"/>
  <c r="U19" i="376" a="1"/>
  <c r="U19" i="376" s="1"/>
  <c r="Q19" i="376"/>
  <c r="Q19" i="376" a="1"/>
  <c r="P19" i="376"/>
  <c r="P19" i="376" a="1"/>
  <c r="N19" i="376" a="1"/>
  <c r="N19" i="376" s="1"/>
  <c r="J19" i="376"/>
  <c r="J19" i="376" a="1"/>
  <c r="I19" i="376"/>
  <c r="I19" i="376" a="1"/>
  <c r="G19" i="376" a="1"/>
  <c r="G19" i="376" s="1"/>
  <c r="C19" i="376"/>
  <c r="C19" i="376" a="1"/>
  <c r="B19" i="376"/>
  <c r="B19" i="376" a="1"/>
  <c r="U18" i="376" a="1"/>
  <c r="U18" i="376" s="1"/>
  <c r="Q18" i="376"/>
  <c r="Q18" i="376" a="1"/>
  <c r="P18" i="376"/>
  <c r="P18" i="376" a="1"/>
  <c r="N18" i="376" a="1"/>
  <c r="N18" i="376" s="1"/>
  <c r="J18" i="376"/>
  <c r="J18" i="376" a="1"/>
  <c r="I18" i="376"/>
  <c r="I18" i="376" a="1"/>
  <c r="G18" i="376" a="1"/>
  <c r="G18" i="376" s="1"/>
  <c r="C18" i="376"/>
  <c r="C18" i="376" a="1"/>
  <c r="B18" i="376"/>
  <c r="B18" i="376" a="1"/>
  <c r="U17" i="376" a="1"/>
  <c r="U17" i="376" s="1"/>
  <c r="Q17" i="376"/>
  <c r="Q17" i="376" a="1"/>
  <c r="P17" i="376"/>
  <c r="P17" i="376" a="1"/>
  <c r="N17" i="376" a="1"/>
  <c r="N17" i="376" s="1"/>
  <c r="J17" i="376"/>
  <c r="J17" i="376" a="1"/>
  <c r="I17" i="376"/>
  <c r="I17" i="376" a="1"/>
  <c r="G17" i="376" a="1"/>
  <c r="G17" i="376" s="1"/>
  <c r="C17" i="376"/>
  <c r="C17" i="376" a="1"/>
  <c r="B17" i="376"/>
  <c r="B17" i="376" a="1"/>
  <c r="U16" i="376" a="1"/>
  <c r="U16" i="376" s="1"/>
  <c r="Q16" i="376"/>
  <c r="Q16" i="376" a="1"/>
  <c r="P16" i="376"/>
  <c r="P16" i="376" a="1"/>
  <c r="G16" i="376" a="1"/>
  <c r="G16" i="376" s="1"/>
  <c r="C16" i="376"/>
  <c r="C16" i="376" a="1"/>
  <c r="B16" i="376"/>
  <c r="B16" i="376" a="1"/>
  <c r="U15" i="376" a="1"/>
  <c r="U15" i="376" s="1"/>
  <c r="Q15" i="376"/>
  <c r="Q15" i="376" a="1"/>
  <c r="P15" i="376"/>
  <c r="P15" i="376" a="1"/>
  <c r="N15" i="376" a="1"/>
  <c r="N15" i="376" s="1"/>
  <c r="J15" i="376"/>
  <c r="J15" i="376" a="1"/>
  <c r="I15" i="376"/>
  <c r="I15" i="376" a="1"/>
  <c r="G15" i="376" a="1"/>
  <c r="G15" i="376" s="1"/>
  <c r="C15" i="376"/>
  <c r="C15" i="376" a="1"/>
  <c r="B15" i="376"/>
  <c r="B15" i="376" a="1"/>
  <c r="U14" i="376" a="1"/>
  <c r="U14" i="376" s="1"/>
  <c r="Q14" i="376"/>
  <c r="Q14" i="376" a="1"/>
  <c r="P14" i="376"/>
  <c r="P14" i="376" a="1"/>
  <c r="N14" i="376" a="1"/>
  <c r="N14" i="376" s="1"/>
  <c r="J14" i="376"/>
  <c r="J14" i="376" a="1"/>
  <c r="I14" i="376"/>
  <c r="I14" i="376" a="1"/>
  <c r="G14" i="376" a="1"/>
  <c r="G14" i="376" s="1"/>
  <c r="C14" i="376"/>
  <c r="C14" i="376" a="1"/>
  <c r="B14" i="376"/>
  <c r="B14" i="376" a="1"/>
  <c r="U13" i="376" a="1"/>
  <c r="U13" i="376" s="1"/>
  <c r="Q13" i="376"/>
  <c r="Q13" i="376" a="1"/>
  <c r="P13" i="376"/>
  <c r="P13" i="376" a="1"/>
  <c r="N13" i="376" a="1"/>
  <c r="N13" i="376" s="1"/>
  <c r="J13" i="376"/>
  <c r="J13" i="376" a="1"/>
  <c r="I13" i="376"/>
  <c r="I13" i="376" a="1"/>
  <c r="G13" i="376" a="1"/>
  <c r="G13" i="376" s="1"/>
  <c r="C13" i="376"/>
  <c r="C13" i="376" a="1"/>
  <c r="B13" i="376"/>
  <c r="B13" i="376" a="1"/>
  <c r="U12" i="376" a="1"/>
  <c r="U12" i="376" s="1"/>
  <c r="Q12" i="376"/>
  <c r="Q12" i="376" a="1"/>
  <c r="P12" i="376"/>
  <c r="P12" i="376" a="1"/>
  <c r="N12" i="376" a="1"/>
  <c r="N12" i="376" s="1"/>
  <c r="J12" i="376"/>
  <c r="J12" i="376" a="1"/>
  <c r="I12" i="376"/>
  <c r="I12" i="376" a="1"/>
  <c r="G12" i="376" a="1"/>
  <c r="G12" i="376" s="1"/>
  <c r="C12" i="376"/>
  <c r="C12" i="376" a="1"/>
  <c r="B12" i="376"/>
  <c r="B12" i="376" a="1"/>
  <c r="U11" i="376" a="1"/>
  <c r="U11" i="376" s="1"/>
  <c r="Q11" i="376"/>
  <c r="Q11" i="376" a="1"/>
  <c r="P11" i="376"/>
  <c r="P11" i="376" a="1"/>
  <c r="N11" i="376" a="1"/>
  <c r="N11" i="376" s="1"/>
  <c r="J11" i="376"/>
  <c r="J11" i="376" a="1"/>
  <c r="I11" i="376"/>
  <c r="I11" i="376" a="1"/>
  <c r="G11" i="376" a="1"/>
  <c r="G11" i="376" s="1"/>
  <c r="C11" i="376"/>
  <c r="C11" i="376" a="1"/>
  <c r="B11" i="376"/>
  <c r="B11" i="376" a="1"/>
  <c r="U10" i="376" a="1"/>
  <c r="U10" i="376" s="1"/>
  <c r="Q10" i="376"/>
  <c r="Q10" i="376" a="1"/>
  <c r="P10" i="376"/>
  <c r="P10" i="376" a="1"/>
  <c r="N10" i="376" a="1"/>
  <c r="N10" i="376" s="1"/>
  <c r="J10" i="376"/>
  <c r="J10" i="376" a="1"/>
  <c r="I10" i="376"/>
  <c r="I10" i="376" a="1"/>
  <c r="G10" i="376" a="1"/>
  <c r="G10" i="376" s="1"/>
  <c r="C10" i="376"/>
  <c r="C10" i="376" a="1"/>
  <c r="B10" i="376"/>
  <c r="B10" i="376" a="1"/>
  <c r="Z9" i="376"/>
  <c r="U9" i="376" a="1"/>
  <c r="U9" i="376" s="1"/>
  <c r="Q9" i="376"/>
  <c r="Q9" i="376" a="1"/>
  <c r="P9" i="376"/>
  <c r="P9" i="376" a="1"/>
  <c r="G9" i="376" a="1"/>
  <c r="G9" i="376" s="1"/>
  <c r="C9" i="376"/>
  <c r="C9" i="376" a="1"/>
  <c r="B9" i="376"/>
  <c r="B9" i="376" a="1"/>
  <c r="Z8" i="376"/>
  <c r="Y8" i="376" a="1"/>
  <c r="Y8" i="376" s="1"/>
  <c r="T8" i="376"/>
  <c r="S8" i="376"/>
  <c r="R8" i="376"/>
  <c r="M8" i="376"/>
  <c r="L8" i="376"/>
  <c r="K8" i="376"/>
  <c r="F8" i="376"/>
  <c r="E8" i="376"/>
  <c r="D8" i="376"/>
  <c r="Z7" i="376"/>
  <c r="Y7" i="376" a="1"/>
  <c r="Y7" i="376" s="1"/>
  <c r="Z6" i="376"/>
  <c r="Y6" i="376" a="1"/>
  <c r="Y6" i="376" s="1"/>
  <c r="C5" i="376"/>
  <c r="J4" i="376"/>
  <c r="E4" i="376"/>
  <c r="I15" i="367"/>
  <c r="L12" i="367"/>
  <c r="L11" i="367"/>
  <c r="J16" i="393" s="1" a="1"/>
  <c r="J16" i="393" s="1"/>
  <c r="L10" i="367"/>
  <c r="C11" i="353"/>
  <c r="C33" i="343"/>
  <c r="K27" i="344" s="1"/>
  <c r="G29" i="343"/>
  <c r="F29" i="343"/>
  <c r="E29" i="343"/>
  <c r="D29" i="343"/>
  <c r="C44" i="343" l="1"/>
  <c r="D27" i="344"/>
  <c r="T27" i="344" s="1"/>
  <c r="L27" i="344"/>
  <c r="C10" i="343"/>
  <c r="C41" i="343"/>
  <c r="A3" i="344"/>
  <c r="E27" i="344"/>
  <c r="M27" i="344"/>
  <c r="C11" i="343"/>
  <c r="P27" i="344"/>
  <c r="F27" i="344"/>
  <c r="C12" i="343"/>
  <c r="C36" i="343"/>
  <c r="G27" i="344"/>
  <c r="H27" i="344"/>
  <c r="C13" i="343"/>
  <c r="C37" i="343"/>
  <c r="C6" i="343"/>
  <c r="C14" i="343"/>
  <c r="I27" i="344"/>
  <c r="J27" i="344"/>
  <c r="C8" i="343"/>
  <c r="C9" i="343" s="1"/>
  <c r="C39" i="343"/>
  <c r="C27" i="344"/>
  <c r="Q27" i="344" s="1"/>
  <c r="R27" i="344" s="1"/>
  <c r="E23" i="376"/>
  <c r="Y9" i="376"/>
  <c r="P58" i="376"/>
  <c r="F23" i="376"/>
  <c r="N40" i="378"/>
  <c r="AB40" i="378" s="1"/>
  <c r="N39" i="378"/>
  <c r="AB39" i="378" s="1"/>
  <c r="AB38" i="378"/>
  <c r="N37" i="378"/>
  <c r="AB37" i="378" s="1"/>
  <c r="N36" i="378"/>
  <c r="AB36" i="378" s="1"/>
  <c r="N31" i="378"/>
  <c r="AB31" i="378" s="1"/>
  <c r="N30" i="378"/>
  <c r="AB30" i="378" s="1"/>
  <c r="N29" i="378"/>
  <c r="AB29" i="378" s="1"/>
  <c r="N28" i="378"/>
  <c r="AB28" i="378" s="1"/>
  <c r="N27" i="378"/>
  <c r="AB27" i="378" s="1"/>
  <c r="N26" i="378"/>
  <c r="AB26" i="378" s="1"/>
  <c r="N25" i="378"/>
  <c r="AB25" i="378" s="1"/>
  <c r="N24" i="378"/>
  <c r="AB24" i="378" s="1"/>
  <c r="N23" i="378"/>
  <c r="AB23" i="378" s="1"/>
  <c r="N22" i="378"/>
  <c r="AB22" i="378" s="1"/>
  <c r="N21" i="378"/>
  <c r="AB21" i="378" s="1"/>
  <c r="N20" i="378"/>
  <c r="AB20" i="378" s="1"/>
  <c r="N19" i="378"/>
  <c r="AB19" i="378" s="1"/>
  <c r="N18" i="378"/>
  <c r="AB18" i="378" s="1"/>
  <c r="N17" i="378"/>
  <c r="AB17" i="378" s="1"/>
  <c r="N16" i="378"/>
  <c r="AB16" i="378" s="1"/>
  <c r="N15" i="378"/>
  <c r="AB15" i="378" s="1"/>
  <c r="N14" i="378"/>
  <c r="AB14" i="378" s="1"/>
  <c r="N13" i="378"/>
  <c r="AB13" i="378" s="1"/>
  <c r="N12" i="378"/>
  <c r="AB12" i="378" s="1"/>
  <c r="N11" i="378"/>
  <c r="AB11" i="378" s="1"/>
  <c r="N10" i="378"/>
  <c r="AB10" i="378" s="1"/>
  <c r="AN38" i="379"/>
  <c r="AN37" i="379"/>
  <c r="AN36" i="379"/>
  <c r="AN35" i="379"/>
  <c r="AN34" i="379"/>
  <c r="AN33" i="379"/>
  <c r="AN32" i="379"/>
  <c r="AN31" i="379"/>
  <c r="N35" i="378"/>
  <c r="AB35" i="378" s="1"/>
  <c r="N34" i="378"/>
  <c r="AB34" i="378" s="1"/>
  <c r="N32" i="378"/>
  <c r="AB32" i="378" s="1"/>
  <c r="J35" i="393" a="1"/>
  <c r="J35" i="393" s="1"/>
  <c r="N12" i="391"/>
  <c r="N9" i="391"/>
  <c r="N10" i="391"/>
  <c r="G26" i="391"/>
  <c r="J22" i="393" a="1"/>
  <c r="J22" i="393" s="1"/>
  <c r="AA596" i="358"/>
  <c r="AA565" i="358"/>
  <c r="AA550" i="358"/>
  <c r="AA614" i="358"/>
  <c r="AA583" i="358"/>
  <c r="AA552" i="358"/>
  <c r="AA616" i="358"/>
  <c r="AA569" i="358"/>
  <c r="AA546" i="358"/>
  <c r="AA610" i="358"/>
  <c r="AA603" i="358"/>
  <c r="AA524" i="358"/>
  <c r="AA612" i="358"/>
  <c r="AA573" i="358"/>
  <c r="AA558" i="358"/>
  <c r="AA527" i="358"/>
  <c r="AA591" i="358"/>
  <c r="AA560" i="358"/>
  <c r="AA577" i="358"/>
  <c r="AA585" i="358"/>
  <c r="AA554" i="358"/>
  <c r="AA523" i="358"/>
  <c r="AA587" i="358"/>
  <c r="AA532" i="358"/>
  <c r="AA589" i="358"/>
  <c r="AA597" i="358"/>
  <c r="AA566" i="358"/>
  <c r="AA535" i="358"/>
  <c r="AA599" i="358"/>
  <c r="AA568" i="358"/>
  <c r="AA609" i="358"/>
  <c r="AA593" i="358"/>
  <c r="AA562" i="358"/>
  <c r="AA531" i="358"/>
  <c r="AA595" i="358"/>
  <c r="AA540" i="358"/>
  <c r="AA525" i="358"/>
  <c r="AA605" i="358"/>
  <c r="AA574" i="358"/>
  <c r="AA543" i="358"/>
  <c r="AA607" i="358"/>
  <c r="AA576" i="358"/>
  <c r="AA529" i="358"/>
  <c r="AA601" i="358"/>
  <c r="AA570" i="358"/>
  <c r="AA539" i="358"/>
  <c r="AA611" i="358"/>
  <c r="AA556" i="358"/>
  <c r="AA533" i="358"/>
  <c r="AA613" i="358"/>
  <c r="AA582" i="358"/>
  <c r="AA551" i="358"/>
  <c r="AA615" i="358"/>
  <c r="AA584" i="358"/>
  <c r="AA537" i="358"/>
  <c r="AA617" i="358"/>
  <c r="AA578" i="358"/>
  <c r="AA547" i="358"/>
  <c r="AA548" i="358"/>
  <c r="AA564" i="358"/>
  <c r="AA541" i="358"/>
  <c r="AA526" i="358"/>
  <c r="AA590" i="358"/>
  <c r="AA559" i="358"/>
  <c r="AA528" i="358"/>
  <c r="AA592" i="358"/>
  <c r="AA545" i="358"/>
  <c r="AA618" i="358"/>
  <c r="AA586" i="358"/>
  <c r="AA555" i="358"/>
  <c r="AA588" i="358"/>
  <c r="AA572" i="358"/>
  <c r="AA549" i="358"/>
  <c r="AA534" i="358"/>
  <c r="AA598" i="358"/>
  <c r="AA567" i="358"/>
  <c r="AA536" i="358"/>
  <c r="AA600" i="358"/>
  <c r="AA553" i="358"/>
  <c r="AA530" i="358"/>
  <c r="AA594" i="358"/>
  <c r="AA563" i="358"/>
  <c r="AA604" i="358"/>
  <c r="AA580" i="358"/>
  <c r="AA557" i="358"/>
  <c r="AA542" i="358"/>
  <c r="AA606" i="358"/>
  <c r="AA575" i="358"/>
  <c r="AA544" i="358"/>
  <c r="AA608" i="358"/>
  <c r="AA561" i="358"/>
  <c r="AA538" i="358"/>
  <c r="AA602" i="358"/>
  <c r="AA571" i="358"/>
  <c r="AA581" i="358"/>
  <c r="G23" i="355"/>
  <c r="H31" i="355"/>
  <c r="G16" i="355"/>
  <c r="G38" i="355"/>
  <c r="H37" i="355"/>
  <c r="H40" i="355"/>
  <c r="G24" i="355"/>
  <c r="AA19" i="358"/>
  <c r="H12" i="355"/>
  <c r="G13" i="355"/>
  <c r="G17" i="355"/>
  <c r="G30" i="355"/>
  <c r="AA31" i="358"/>
  <c r="G21" i="355"/>
  <c r="AA12" i="358"/>
  <c r="G14" i="355"/>
  <c r="G15" i="355"/>
  <c r="G22" i="355"/>
  <c r="G29" i="355"/>
  <c r="AA95" i="358"/>
  <c r="G32" i="355"/>
  <c r="G39" i="355"/>
  <c r="G25" i="355"/>
  <c r="G33" i="355"/>
  <c r="AA41" i="358"/>
  <c r="AA63" i="358"/>
  <c r="AA299" i="358"/>
  <c r="AA29" i="358"/>
  <c r="AA51" i="358"/>
  <c r="AA61" i="358"/>
  <c r="AA83" i="358"/>
  <c r="AA127" i="358"/>
  <c r="AA159" i="358"/>
  <c r="F11" i="389"/>
  <c r="G11" i="389" s="1"/>
  <c r="AA9" i="358"/>
  <c r="AA16" i="358"/>
  <c r="AA131" i="358"/>
  <c r="AA11" i="358"/>
  <c r="AA35" i="358"/>
  <c r="AA45" i="358"/>
  <c r="AA67" i="358"/>
  <c r="AA99" i="358"/>
  <c r="AA111" i="358"/>
  <c r="AA143" i="358"/>
  <c r="AA25" i="358"/>
  <c r="AA47" i="358"/>
  <c r="AA57" i="358"/>
  <c r="AA79" i="358"/>
  <c r="AA8" i="358"/>
  <c r="AA15" i="358"/>
  <c r="AA76" i="358"/>
  <c r="AA115" i="358"/>
  <c r="AA147" i="358"/>
  <c r="AA22" i="358"/>
  <c r="AA27" i="358"/>
  <c r="AA38" i="358"/>
  <c r="AA43" i="358"/>
  <c r="AA54" i="358"/>
  <c r="AA59" i="358"/>
  <c r="AA70" i="358"/>
  <c r="AA75" i="358"/>
  <c r="AA86" i="358"/>
  <c r="AA91" i="358"/>
  <c r="AA102" i="358"/>
  <c r="AA107" i="358"/>
  <c r="AA118" i="358"/>
  <c r="AA123" i="358"/>
  <c r="AA134" i="358"/>
  <c r="AA139" i="358"/>
  <c r="AA150" i="358"/>
  <c r="AA155" i="358"/>
  <c r="AA181" i="358"/>
  <c r="AA191" i="358"/>
  <c r="AA208" i="358"/>
  <c r="AA221" i="358"/>
  <c r="AA228" i="358"/>
  <c r="AA239" i="358"/>
  <c r="AA297" i="358"/>
  <c r="AA321" i="358"/>
  <c r="AA354" i="358"/>
  <c r="AA405" i="358"/>
  <c r="AA412" i="358"/>
  <c r="AA145" i="358"/>
  <c r="AA178" i="358"/>
  <c r="AA129" i="358"/>
  <c r="AA265" i="358"/>
  <c r="AA317" i="358"/>
  <c r="G34" i="355"/>
  <c r="AA13" i="358"/>
  <c r="AA18" i="358"/>
  <c r="AA23" i="358"/>
  <c r="AA34" i="358"/>
  <c r="AA39" i="358"/>
  <c r="AA50" i="358"/>
  <c r="AA55" i="358"/>
  <c r="AA66" i="358"/>
  <c r="AA71" i="358"/>
  <c r="AA82" i="358"/>
  <c r="AA87" i="358"/>
  <c r="AA98" i="358"/>
  <c r="AA103" i="358"/>
  <c r="AA114" i="358"/>
  <c r="AA119" i="358"/>
  <c r="AA130" i="358"/>
  <c r="AA135" i="358"/>
  <c r="AA146" i="358"/>
  <c r="AA151" i="358"/>
  <c r="AA167" i="358"/>
  <c r="AA175" i="358"/>
  <c r="AA183" i="358"/>
  <c r="AA193" i="358"/>
  <c r="AA200" i="358"/>
  <c r="AA212" i="358"/>
  <c r="AA224" i="358"/>
  <c r="AA231" i="358"/>
  <c r="AA235" i="358"/>
  <c r="AA255" i="358"/>
  <c r="AA272" i="358"/>
  <c r="AA289" i="358"/>
  <c r="AA324" i="358"/>
  <c r="AA340" i="358"/>
  <c r="AA383" i="358"/>
  <c r="AA81" i="358"/>
  <c r="AA108" i="358"/>
  <c r="AA113" i="358"/>
  <c r="AA140" i="358"/>
  <c r="AA156" i="358"/>
  <c r="AA170" i="358"/>
  <c r="AA217" i="358"/>
  <c r="AA241" i="358"/>
  <c r="AA248" i="358"/>
  <c r="AA258" i="358"/>
  <c r="AA396" i="358"/>
  <c r="G18" i="355"/>
  <c r="G11" i="355"/>
  <c r="G19" i="355"/>
  <c r="H26" i="355"/>
  <c r="G27" i="355"/>
  <c r="G35" i="355"/>
  <c r="AA14" i="358"/>
  <c r="AA24" i="358"/>
  <c r="AA40" i="358"/>
  <c r="AA56" i="358"/>
  <c r="AA72" i="358"/>
  <c r="AA77" i="358"/>
  <c r="AA88" i="358"/>
  <c r="AA93" i="358"/>
  <c r="AA104" i="358"/>
  <c r="AA109" i="358"/>
  <c r="AA120" i="358"/>
  <c r="AA125" i="358"/>
  <c r="AA136" i="358"/>
  <c r="AA141" i="358"/>
  <c r="AA152" i="358"/>
  <c r="AA157" i="358"/>
  <c r="AA164" i="358"/>
  <c r="AA172" i="358"/>
  <c r="AA180" i="358"/>
  <c r="AA189" i="358"/>
  <c r="AA196" i="358"/>
  <c r="AA207" i="358"/>
  <c r="AA285" i="358"/>
  <c r="AA296" i="358"/>
  <c r="AA313" i="358"/>
  <c r="AA320" i="358"/>
  <c r="AA344" i="358"/>
  <c r="AA17" i="358"/>
  <c r="AA28" i="358"/>
  <c r="AA65" i="358"/>
  <c r="AA304" i="358"/>
  <c r="G20" i="355"/>
  <c r="G28" i="355"/>
  <c r="G36" i="355"/>
  <c r="AA5" i="358"/>
  <c r="AA10" i="358"/>
  <c r="AA30" i="358"/>
  <c r="AA46" i="358"/>
  <c r="AA62" i="358"/>
  <c r="AA78" i="358"/>
  <c r="AA94" i="358"/>
  <c r="AA110" i="358"/>
  <c r="AA126" i="358"/>
  <c r="AA142" i="358"/>
  <c r="AA158" i="358"/>
  <c r="AA185" i="358"/>
  <c r="AA209" i="358"/>
  <c r="AA216" i="358"/>
  <c r="AA226" i="358"/>
  <c r="AA233" i="358"/>
  <c r="AA247" i="358"/>
  <c r="AA257" i="358"/>
  <c r="AA264" i="358"/>
  <c r="AA281" i="358"/>
  <c r="AA292" i="358"/>
  <c r="AA331" i="358"/>
  <c r="AA337" i="358"/>
  <c r="AA33" i="358"/>
  <c r="AA44" i="358"/>
  <c r="AA49" i="358"/>
  <c r="AA60" i="358"/>
  <c r="AA92" i="358"/>
  <c r="AA97" i="358"/>
  <c r="AA124" i="358"/>
  <c r="AA162" i="358"/>
  <c r="AA328" i="358"/>
  <c r="AA6" i="358"/>
  <c r="AA20" i="358"/>
  <c r="AA36" i="358"/>
  <c r="AA52" i="358"/>
  <c r="AA68" i="358"/>
  <c r="AA73" i="358"/>
  <c r="AA84" i="358"/>
  <c r="AA89" i="358"/>
  <c r="AA100" i="358"/>
  <c r="AA105" i="358"/>
  <c r="AA116" i="358"/>
  <c r="AA121" i="358"/>
  <c r="AA132" i="358"/>
  <c r="AA137" i="358"/>
  <c r="AA148" i="358"/>
  <c r="AA153" i="358"/>
  <c r="AA166" i="358"/>
  <c r="AA174" i="358"/>
  <c r="AA182" i="358"/>
  <c r="AA192" i="358"/>
  <c r="AA199" i="358"/>
  <c r="AA203" i="358"/>
  <c r="AA223" i="358"/>
  <c r="AA240" i="358"/>
  <c r="AA253" i="358"/>
  <c r="AA260" i="358"/>
  <c r="AA271" i="358"/>
  <c r="AA288" i="358"/>
  <c r="AA322" i="358"/>
  <c r="AA329" i="358"/>
  <c r="AA332" i="358"/>
  <c r="AA26" i="358"/>
  <c r="AA42" i="358"/>
  <c r="AA58" i="358"/>
  <c r="AA74" i="358"/>
  <c r="AA90" i="358"/>
  <c r="AA106" i="358"/>
  <c r="AA122" i="358"/>
  <c r="AA138" i="358"/>
  <c r="AA154" i="358"/>
  <c r="AA163" i="358"/>
  <c r="AA171" i="358"/>
  <c r="AA179" i="358"/>
  <c r="AA249" i="358"/>
  <c r="AA305" i="358"/>
  <c r="AA312" i="358"/>
  <c r="AA357" i="358"/>
  <c r="Q26" i="344"/>
  <c r="I26" i="344"/>
  <c r="L25" i="344"/>
  <c r="D25" i="344"/>
  <c r="T25" i="344" s="1"/>
  <c r="P24" i="344"/>
  <c r="H24" i="344"/>
  <c r="O23" i="344"/>
  <c r="G23" i="344"/>
  <c r="N22" i="344"/>
  <c r="F22" i="344"/>
  <c r="R21" i="344"/>
  <c r="J21" i="344"/>
  <c r="M20" i="344"/>
  <c r="E20" i="344"/>
  <c r="P19" i="344"/>
  <c r="H19" i="344"/>
  <c r="M18" i="344"/>
  <c r="E18" i="344"/>
  <c r="R17" i="344"/>
  <c r="J17" i="344"/>
  <c r="O16" i="344"/>
  <c r="G16" i="344"/>
  <c r="L15" i="344"/>
  <c r="D15" i="344"/>
  <c r="T15" i="344" s="1"/>
  <c r="O14" i="344"/>
  <c r="G14" i="344"/>
  <c r="R13" i="344"/>
  <c r="J13" i="344"/>
  <c r="M12" i="344"/>
  <c r="E12" i="344"/>
  <c r="P11" i="344"/>
  <c r="H11" i="344"/>
  <c r="K10" i="344"/>
  <c r="C10" i="344"/>
  <c r="N9" i="344"/>
  <c r="F9" i="344"/>
  <c r="Q8" i="344"/>
  <c r="I8" i="344"/>
  <c r="O7" i="344"/>
  <c r="G7" i="344"/>
  <c r="L26" i="344"/>
  <c r="C26" i="344"/>
  <c r="M25" i="344"/>
  <c r="C25" i="344"/>
  <c r="M24" i="344"/>
  <c r="D24" i="344"/>
  <c r="T24" i="344" s="1"/>
  <c r="R23" i="344"/>
  <c r="I23" i="344"/>
  <c r="L22" i="344"/>
  <c r="C22" i="344"/>
  <c r="S22" i="344" s="1"/>
  <c r="M21" i="344"/>
  <c r="D21" i="344"/>
  <c r="T21" i="344" s="1"/>
  <c r="N20" i="344"/>
  <c r="D20" i="344"/>
  <c r="T20" i="344" s="1"/>
  <c r="M19" i="344"/>
  <c r="D19" i="344"/>
  <c r="P18" i="344"/>
  <c r="G18" i="344"/>
  <c r="Q17" i="344"/>
  <c r="H17" i="344"/>
  <c r="K16" i="344"/>
  <c r="N15" i="344"/>
  <c r="E15" i="344"/>
  <c r="M14" i="344"/>
  <c r="D14" i="344"/>
  <c r="T14" i="344" s="1"/>
  <c r="M13" i="344"/>
  <c r="D13" i="344"/>
  <c r="T13" i="344" s="1"/>
  <c r="N12" i="344"/>
  <c r="D12" i="344"/>
  <c r="T12" i="344" s="1"/>
  <c r="M11" i="344"/>
  <c r="D11" i="344"/>
  <c r="N10" i="344"/>
  <c r="E10" i="344"/>
  <c r="M9" i="344"/>
  <c r="D9" i="344"/>
  <c r="T9" i="344" s="1"/>
  <c r="M8" i="344"/>
  <c r="D8" i="344"/>
  <c r="T8" i="344" s="1"/>
  <c r="P7" i="344"/>
  <c r="F7" i="344"/>
  <c r="K6" i="344"/>
  <c r="C6" i="344"/>
  <c r="S6" i="344" s="1"/>
  <c r="R5" i="344"/>
  <c r="J5" i="344"/>
  <c r="Q4" i="344"/>
  <c r="I4" i="344"/>
  <c r="P3" i="344"/>
  <c r="H3" i="344"/>
  <c r="J26" i="344"/>
  <c r="J25" i="344"/>
  <c r="K24" i="344"/>
  <c r="P23" i="344"/>
  <c r="F23" i="344"/>
  <c r="J22" i="344"/>
  <c r="K21" i="344"/>
  <c r="K20" i="344"/>
  <c r="K19" i="344"/>
  <c r="N18" i="344"/>
  <c r="D18" i="344"/>
  <c r="T18" i="344" s="1"/>
  <c r="O17" i="344"/>
  <c r="F17" i="344"/>
  <c r="R16" i="344"/>
  <c r="I16" i="344"/>
  <c r="K15" i="344"/>
  <c r="K14" i="344"/>
  <c r="K13" i="344"/>
  <c r="K12" i="344"/>
  <c r="K11" i="344"/>
  <c r="L10" i="344"/>
  <c r="K9" i="344"/>
  <c r="K8" i="344"/>
  <c r="M7" i="344"/>
  <c r="D7" i="344"/>
  <c r="T7" i="344" s="1"/>
  <c r="Q6" i="344"/>
  <c r="I6" i="344"/>
  <c r="P5" i="344"/>
  <c r="H5" i="344"/>
  <c r="O4" i="344"/>
  <c r="G4" i="344"/>
  <c r="N3" i="344"/>
  <c r="F3" i="344"/>
  <c r="P26" i="344"/>
  <c r="G26" i="344"/>
  <c r="Q25" i="344"/>
  <c r="H25" i="344"/>
  <c r="R24" i="344"/>
  <c r="I24" i="344"/>
  <c r="M23" i="344"/>
  <c r="D23" i="344"/>
  <c r="T23" i="344" s="1"/>
  <c r="Q22" i="344"/>
  <c r="H22" i="344"/>
  <c r="Q21" i="344"/>
  <c r="H21" i="344"/>
  <c r="R20" i="344"/>
  <c r="I20" i="344"/>
  <c r="R19" i="344"/>
  <c r="I19" i="344"/>
  <c r="K18" i="344"/>
  <c r="M17" i="344"/>
  <c r="D17" i="344"/>
  <c r="T17" i="344" s="1"/>
  <c r="P16" i="344"/>
  <c r="F16" i="344"/>
  <c r="R15" i="344"/>
  <c r="I15" i="344"/>
  <c r="R14" i="344"/>
  <c r="I14" i="344"/>
  <c r="Q13" i="344"/>
  <c r="H13" i="344"/>
  <c r="R12" i="344"/>
  <c r="I12" i="344"/>
  <c r="R11" i="344"/>
  <c r="I11" i="344"/>
  <c r="R10" i="344"/>
  <c r="I10" i="344"/>
  <c r="R9" i="344"/>
  <c r="I9" i="344"/>
  <c r="R8" i="344"/>
  <c r="H8" i="344"/>
  <c r="K7" i="344"/>
  <c r="O6" i="344"/>
  <c r="G6" i="344"/>
  <c r="N5" i="344"/>
  <c r="F5" i="344"/>
  <c r="M4" i="344"/>
  <c r="E4" i="344"/>
  <c r="L3" i="344"/>
  <c r="D3" i="344"/>
  <c r="E26" i="344"/>
  <c r="F25" i="344"/>
  <c r="G24" i="344"/>
  <c r="Q23" i="344"/>
  <c r="E22" i="344"/>
  <c r="G21" i="344"/>
  <c r="J20" i="344"/>
  <c r="L19" i="344"/>
  <c r="Q18" i="344"/>
  <c r="E17" i="344"/>
  <c r="J16" i="344"/>
  <c r="P15" i="344"/>
  <c r="Q14" i="344"/>
  <c r="C14" i="344"/>
  <c r="S14" i="344" s="1"/>
  <c r="E13" i="344"/>
  <c r="G12" i="344"/>
  <c r="G11" i="344"/>
  <c r="J10" i="344"/>
  <c r="L9" i="344"/>
  <c r="N8" i="344"/>
  <c r="Q7" i="344"/>
  <c r="F6" i="344"/>
  <c r="L5" i="344"/>
  <c r="F4" i="344"/>
  <c r="M3" i="344"/>
  <c r="AA521" i="358"/>
  <c r="AA514" i="358"/>
  <c r="O26" i="344"/>
  <c r="P25" i="344"/>
  <c r="E24" i="344"/>
  <c r="L23" i="344"/>
  <c r="P22" i="344"/>
  <c r="E21" i="344"/>
  <c r="G20" i="344"/>
  <c r="G19" i="344"/>
  <c r="L18" i="344"/>
  <c r="P17" i="344"/>
  <c r="E16" i="344"/>
  <c r="M15" i="344"/>
  <c r="N14" i="344"/>
  <c r="O13" i="344"/>
  <c r="Q12" i="344"/>
  <c r="C12" i="344"/>
  <c r="S12" i="344" s="1"/>
  <c r="E11" i="344"/>
  <c r="G10" i="344"/>
  <c r="H9" i="344"/>
  <c r="J8" i="344"/>
  <c r="L7" i="344"/>
  <c r="P6" i="344"/>
  <c r="D6" i="344"/>
  <c r="T6" i="344" s="1"/>
  <c r="I5" i="344"/>
  <c r="P4" i="344"/>
  <c r="C4" i="344"/>
  <c r="S4" i="344" s="1"/>
  <c r="N26" i="344"/>
  <c r="O25" i="344"/>
  <c r="Q24" i="344"/>
  <c r="C24" i="344"/>
  <c r="S24" i="344" s="1"/>
  <c r="K23" i="344"/>
  <c r="O22" i="344"/>
  <c r="P21" i="344"/>
  <c r="C21" i="344"/>
  <c r="S21" i="344" s="1"/>
  <c r="F20" i="344"/>
  <c r="F19" i="344"/>
  <c r="J18" i="344"/>
  <c r="N17" i="344"/>
  <c r="D16" i="344"/>
  <c r="T16" i="344" s="1"/>
  <c r="J15" i="344"/>
  <c r="L14" i="344"/>
  <c r="N13" i="344"/>
  <c r="P12" i="344"/>
  <c r="Q11" i="344"/>
  <c r="C11" i="344"/>
  <c r="F10" i="344"/>
  <c r="G9" i="344"/>
  <c r="G8" i="344"/>
  <c r="J7" i="344"/>
  <c r="N6" i="344"/>
  <c r="G5" i="344"/>
  <c r="N4" i="344"/>
  <c r="I3" i="344"/>
  <c r="AA497" i="358"/>
  <c r="AA493" i="358"/>
  <c r="AA489" i="358"/>
  <c r="M26" i="344"/>
  <c r="N25" i="344"/>
  <c r="O24" i="344"/>
  <c r="J23" i="344"/>
  <c r="M22" i="344"/>
  <c r="O21" i="344"/>
  <c r="Q20" i="344"/>
  <c r="C20" i="344"/>
  <c r="S20" i="344" s="1"/>
  <c r="E19" i="344"/>
  <c r="I18" i="344"/>
  <c r="L17" i="344"/>
  <c r="Q16" i="344"/>
  <c r="C16" i="344"/>
  <c r="S16" i="344" s="1"/>
  <c r="H15" i="344"/>
  <c r="J14" i="344"/>
  <c r="L13" i="344"/>
  <c r="O12" i="344"/>
  <c r="O11" i="344"/>
  <c r="Q10" i="344"/>
  <c r="D10" i="344"/>
  <c r="T10" i="344" s="1"/>
  <c r="E9" i="344"/>
  <c r="F8" i="344"/>
  <c r="I7" i="344"/>
  <c r="M6" i="344"/>
  <c r="E5" i="344"/>
  <c r="L4" i="344"/>
  <c r="G3" i="344"/>
  <c r="K26" i="344"/>
  <c r="K25" i="344"/>
  <c r="N24" i="344"/>
  <c r="H23" i="344"/>
  <c r="K22" i="344"/>
  <c r="N21" i="344"/>
  <c r="P20" i="344"/>
  <c r="Q19" i="344"/>
  <c r="C19" i="344"/>
  <c r="H18" i="344"/>
  <c r="K17" i="344"/>
  <c r="N16" i="344"/>
  <c r="G15" i="344"/>
  <c r="H14" i="344"/>
  <c r="I13" i="344"/>
  <c r="L12" i="344"/>
  <c r="N11" i="344"/>
  <c r="P10" i="344"/>
  <c r="Q9" i="344"/>
  <c r="C9" i="344"/>
  <c r="S9" i="344" s="1"/>
  <c r="E8" i="344"/>
  <c r="H7" i="344"/>
  <c r="L6" i="344"/>
  <c r="Q5" i="344"/>
  <c r="D5" i="344"/>
  <c r="T5" i="344" s="1"/>
  <c r="K4" i="344"/>
  <c r="R3" i="344"/>
  <c r="E3" i="344"/>
  <c r="H26" i="344"/>
  <c r="I25" i="344"/>
  <c r="L24" i="344"/>
  <c r="E23" i="344"/>
  <c r="I22" i="344"/>
  <c r="L21" i="344"/>
  <c r="O20" i="344"/>
  <c r="O19" i="344"/>
  <c r="F18" i="344"/>
  <c r="I17" i="344"/>
  <c r="M16" i="344"/>
  <c r="F15" i="344"/>
  <c r="F14" i="344"/>
  <c r="G13" i="344"/>
  <c r="J12" i="344"/>
  <c r="L11" i="344"/>
  <c r="O10" i="344"/>
  <c r="P9" i="344"/>
  <c r="P8" i="344"/>
  <c r="C8" i="344"/>
  <c r="S8" i="344" s="1"/>
  <c r="E7" i="344"/>
  <c r="J6" i="344"/>
  <c r="O5" i="344"/>
  <c r="C5" i="344"/>
  <c r="S5" i="344" s="1"/>
  <c r="J4" i="344"/>
  <c r="Q3" i="344"/>
  <c r="C3" i="344"/>
  <c r="AA513" i="358"/>
  <c r="AA506" i="358"/>
  <c r="J11" i="344"/>
  <c r="H10" i="344"/>
  <c r="M5" i="344"/>
  <c r="H4" i="344"/>
  <c r="K3" i="344"/>
  <c r="AA518" i="358"/>
  <c r="AA481" i="358"/>
  <c r="AA471" i="358"/>
  <c r="AA465" i="358"/>
  <c r="AA455" i="358"/>
  <c r="AA449" i="358"/>
  <c r="AA439" i="358"/>
  <c r="AA433" i="358"/>
  <c r="AA423" i="358"/>
  <c r="AA351" i="358"/>
  <c r="AA347" i="358"/>
  <c r="AA343" i="358"/>
  <c r="AA339" i="358"/>
  <c r="P13" i="344"/>
  <c r="H12" i="344"/>
  <c r="F11" i="344"/>
  <c r="R7" i="344"/>
  <c r="R6" i="344"/>
  <c r="K5" i="344"/>
  <c r="D4" i="344"/>
  <c r="T4" i="344" s="1"/>
  <c r="J3" i="344"/>
  <c r="AA495" i="358"/>
  <c r="AA487" i="358"/>
  <c r="AA417" i="358"/>
  <c r="AA399" i="358"/>
  <c r="AA392" i="358"/>
  <c r="AA385" i="358"/>
  <c r="AA367" i="358"/>
  <c r="R18" i="344"/>
  <c r="F13" i="344"/>
  <c r="F12" i="344"/>
  <c r="N7" i="344"/>
  <c r="H6" i="344"/>
  <c r="AA485" i="358"/>
  <c r="AA475" i="358"/>
  <c r="AA472" i="358"/>
  <c r="AA469" i="358"/>
  <c r="AA459" i="358"/>
  <c r="AA456" i="358"/>
  <c r="AA453" i="358"/>
  <c r="AA443" i="358"/>
  <c r="AA440" i="358"/>
  <c r="AA437" i="358"/>
  <c r="AA427" i="358"/>
  <c r="AA424" i="358"/>
  <c r="AA421" i="358"/>
  <c r="N19" i="344"/>
  <c r="O18" i="344"/>
  <c r="P14" i="344"/>
  <c r="C13" i="344"/>
  <c r="S13" i="344" s="1"/>
  <c r="O8" i="344"/>
  <c r="C7" i="344"/>
  <c r="S7" i="344" s="1"/>
  <c r="E6" i="344"/>
  <c r="AA496" i="358"/>
  <c r="AA488" i="358"/>
  <c r="AA407" i="358"/>
  <c r="AA400" i="358"/>
  <c r="AA393" i="358"/>
  <c r="AA375" i="358"/>
  <c r="AA368" i="358"/>
  <c r="R25" i="344"/>
  <c r="J24" i="344"/>
  <c r="J19" i="344"/>
  <c r="C18" i="344"/>
  <c r="S18" i="344" s="1"/>
  <c r="G17" i="344"/>
  <c r="Q15" i="344"/>
  <c r="E14" i="344"/>
  <c r="L8" i="344"/>
  <c r="AA479" i="358"/>
  <c r="AA473" i="358"/>
  <c r="AA463" i="358"/>
  <c r="AA457" i="358"/>
  <c r="AA447" i="358"/>
  <c r="AA441" i="358"/>
  <c r="AA431" i="358"/>
  <c r="AA425" i="358"/>
  <c r="R26" i="344"/>
  <c r="G25" i="344"/>
  <c r="F24" i="344"/>
  <c r="R22" i="344"/>
  <c r="L20" i="344"/>
  <c r="C17" i="344"/>
  <c r="S17" i="344" s="1"/>
  <c r="L16" i="344"/>
  <c r="O15" i="344"/>
  <c r="O9" i="344"/>
  <c r="AA499" i="358"/>
  <c r="AA491" i="358"/>
  <c r="F26" i="344"/>
  <c r="E25" i="344"/>
  <c r="N23" i="344"/>
  <c r="G22" i="344"/>
  <c r="I21" i="344"/>
  <c r="H20" i="344"/>
  <c r="H16" i="344"/>
  <c r="C15" i="344"/>
  <c r="S15" i="344" s="1"/>
  <c r="J9" i="344"/>
  <c r="AA517" i="358"/>
  <c r="AA483" i="358"/>
  <c r="AA477" i="358"/>
  <c r="AA467" i="358"/>
  <c r="AA461" i="358"/>
  <c r="AA451" i="358"/>
  <c r="AA445" i="358"/>
  <c r="AA435" i="358"/>
  <c r="AA429" i="358"/>
  <c r="AA419" i="358"/>
  <c r="D26" i="344"/>
  <c r="T26" i="344" s="1"/>
  <c r="C23" i="344"/>
  <c r="S23" i="344" s="1"/>
  <c r="D22" i="344"/>
  <c r="T22" i="344" s="1"/>
  <c r="F21" i="344"/>
  <c r="M10" i="344"/>
  <c r="R4" i="344"/>
  <c r="O3" i="344"/>
  <c r="AA510" i="358"/>
  <c r="AA500" i="358"/>
  <c r="AA492" i="358"/>
  <c r="AA416" i="358"/>
  <c r="AA409" i="358"/>
  <c r="AA391" i="358"/>
  <c r="AA384" i="358"/>
  <c r="AA377" i="358"/>
  <c r="AA389" i="358"/>
  <c r="AA356" i="358"/>
  <c r="AA335" i="358"/>
  <c r="AA303" i="358"/>
  <c r="AA325" i="358"/>
  <c r="AA307" i="358"/>
  <c r="AA300" i="358"/>
  <c r="AA293" i="358"/>
  <c r="AA275" i="358"/>
  <c r="AA268" i="358"/>
  <c r="AA261" i="358"/>
  <c r="AA243" i="358"/>
  <c r="AA236" i="358"/>
  <c r="AA229" i="358"/>
  <c r="AA211" i="358"/>
  <c r="AA204" i="358"/>
  <c r="AA197" i="358"/>
  <c r="AA348" i="358"/>
  <c r="AA311" i="358"/>
  <c r="AA279" i="358"/>
  <c r="AA360" i="358"/>
  <c r="AA333" i="358"/>
  <c r="AA315" i="358"/>
  <c r="AA308" i="358"/>
  <c r="AA301" i="358"/>
  <c r="AA283" i="358"/>
  <c r="AA276" i="358"/>
  <c r="AA269" i="358"/>
  <c r="AA251" i="358"/>
  <c r="AA219" i="358"/>
  <c r="AA205" i="358"/>
  <c r="AA187" i="358"/>
  <c r="AA371" i="358"/>
  <c r="AA319" i="358"/>
  <c r="AA287" i="358"/>
  <c r="AA403" i="358"/>
  <c r="AA352" i="358"/>
  <c r="AA323" i="358"/>
  <c r="AA316" i="358"/>
  <c r="AA309" i="358"/>
  <c r="AA291" i="358"/>
  <c r="AA284" i="358"/>
  <c r="AA277" i="358"/>
  <c r="AA259" i="358"/>
  <c r="AA252" i="358"/>
  <c r="AA245" i="358"/>
  <c r="AA227" i="358"/>
  <c r="AA220" i="358"/>
  <c r="AA213" i="358"/>
  <c r="AA195" i="358"/>
  <c r="AA188" i="358"/>
  <c r="AA364" i="358"/>
  <c r="AA327" i="358"/>
  <c r="AA295" i="358"/>
  <c r="AA177" i="358"/>
  <c r="AA173" i="358"/>
  <c r="AA169" i="358"/>
  <c r="AA165" i="358"/>
  <c r="AA161" i="358"/>
  <c r="AA7" i="358"/>
  <c r="AA21" i="358"/>
  <c r="AA32" i="358"/>
  <c r="AA37" i="358"/>
  <c r="AA48" i="358"/>
  <c r="AA53" i="358"/>
  <c r="AA64" i="358"/>
  <c r="AA69" i="358"/>
  <c r="AA80" i="358"/>
  <c r="AA85" i="358"/>
  <c r="AA96" i="358"/>
  <c r="AA101" i="358"/>
  <c r="AA112" i="358"/>
  <c r="AA117" i="358"/>
  <c r="AA128" i="358"/>
  <c r="AA133" i="358"/>
  <c r="AA144" i="358"/>
  <c r="AA149" i="358"/>
  <c r="AA160" i="358"/>
  <c r="AA168" i="358"/>
  <c r="AA176" i="358"/>
  <c r="AA184" i="358"/>
  <c r="AA194" i="358"/>
  <c r="AA201" i="358"/>
  <c r="AA215" i="358"/>
  <c r="AA225" i="358"/>
  <c r="AA232" i="358"/>
  <c r="AA237" i="358"/>
  <c r="AA244" i="358"/>
  <c r="AA256" i="358"/>
  <c r="AA263" i="358"/>
  <c r="AA267" i="358"/>
  <c r="AA273" i="358"/>
  <c r="AA280" i="358"/>
  <c r="AA290" i="358"/>
  <c r="AA336" i="358"/>
  <c r="AA190" i="358"/>
  <c r="AA222" i="358"/>
  <c r="AA254" i="358"/>
  <c r="AA286" i="358"/>
  <c r="AA318" i="358"/>
  <c r="AA342" i="358"/>
  <c r="AA345" i="358"/>
  <c r="AA373" i="358"/>
  <c r="AA380" i="358"/>
  <c r="AA387" i="358"/>
  <c r="AA397" i="358"/>
  <c r="AA476" i="358"/>
  <c r="AA522" i="358"/>
  <c r="AA186" i="358"/>
  <c r="AA218" i="358"/>
  <c r="AA250" i="358"/>
  <c r="AA282" i="358"/>
  <c r="AA314" i="358"/>
  <c r="AA359" i="358"/>
  <c r="AA362" i="358"/>
  <c r="AA365" i="358"/>
  <c r="AA480" i="358"/>
  <c r="AA214" i="358"/>
  <c r="AA246" i="358"/>
  <c r="AA278" i="358"/>
  <c r="AA310" i="358"/>
  <c r="AA350" i="358"/>
  <c r="AA353" i="358"/>
  <c r="AA394" i="358"/>
  <c r="AA404" i="358"/>
  <c r="AA411" i="358"/>
  <c r="AA428" i="358"/>
  <c r="AA444" i="358"/>
  <c r="AA460" i="358"/>
  <c r="AA210" i="358"/>
  <c r="AA242" i="358"/>
  <c r="AA274" i="358"/>
  <c r="AA306" i="358"/>
  <c r="AA338" i="358"/>
  <c r="AA341" i="358"/>
  <c r="AA372" i="358"/>
  <c r="AA379" i="358"/>
  <c r="AA401" i="358"/>
  <c r="AA432" i="358"/>
  <c r="AA448" i="358"/>
  <c r="AA464" i="358"/>
  <c r="AA484" i="358"/>
  <c r="AA206" i="358"/>
  <c r="AA238" i="358"/>
  <c r="AA270" i="358"/>
  <c r="AA302" i="358"/>
  <c r="AA334" i="358"/>
  <c r="AA355" i="358"/>
  <c r="AA358" i="358"/>
  <c r="AA361" i="358"/>
  <c r="AA369" i="358"/>
  <c r="AA408" i="358"/>
  <c r="AA413" i="358"/>
  <c r="AA202" i="358"/>
  <c r="AA234" i="358"/>
  <c r="N27" i="344"/>
  <c r="AA266" i="358"/>
  <c r="AA298" i="358"/>
  <c r="AA330" i="358"/>
  <c r="AA346" i="358"/>
  <c r="AA349" i="358"/>
  <c r="AA376" i="358"/>
  <c r="AA381" i="358"/>
  <c r="AA388" i="358"/>
  <c r="AA420" i="358"/>
  <c r="AA436" i="358"/>
  <c r="AA452" i="358"/>
  <c r="AA468" i="358"/>
  <c r="AA504" i="358"/>
  <c r="AA198" i="358"/>
  <c r="AA230" i="358"/>
  <c r="O27" i="344"/>
  <c r="AA262" i="358"/>
  <c r="AA294" i="358"/>
  <c r="AA326" i="358"/>
  <c r="AA363" i="358"/>
  <c r="AA395" i="358"/>
  <c r="AA415" i="358"/>
  <c r="AA382" i="358"/>
  <c r="AA414" i="358"/>
  <c r="AA434" i="358"/>
  <c r="AA450" i="358"/>
  <c r="AA466" i="358"/>
  <c r="AA482" i="358"/>
  <c r="AA378" i="358"/>
  <c r="AA410" i="358"/>
  <c r="AA501" i="358"/>
  <c r="AA516" i="358"/>
  <c r="AA374" i="358"/>
  <c r="AA406" i="358"/>
  <c r="AA430" i="358"/>
  <c r="AA446" i="358"/>
  <c r="AA462" i="358"/>
  <c r="AA478" i="358"/>
  <c r="AA490" i="358"/>
  <c r="AA498" i="358"/>
  <c r="AA508" i="358"/>
  <c r="AA370" i="358"/>
  <c r="AA402" i="358"/>
  <c r="AA366" i="358"/>
  <c r="AA398" i="358"/>
  <c r="AA426" i="358"/>
  <c r="AA442" i="358"/>
  <c r="AA458" i="358"/>
  <c r="AA474" i="358"/>
  <c r="AA505" i="358"/>
  <c r="AA515" i="358"/>
  <c r="AA520" i="358"/>
  <c r="AA390" i="358"/>
  <c r="AA422" i="358"/>
  <c r="AA438" i="358"/>
  <c r="AA454" i="358"/>
  <c r="AA470" i="358"/>
  <c r="AA486" i="358"/>
  <c r="AA494" i="358"/>
  <c r="AA502" i="358"/>
  <c r="AA512" i="358"/>
  <c r="AA386" i="358"/>
  <c r="AA418" i="358"/>
  <c r="AA509" i="358"/>
  <c r="AA511" i="358"/>
  <c r="AA507" i="358"/>
  <c r="AA503" i="358"/>
  <c r="AA519" i="358"/>
  <c r="K2199" i="364"/>
  <c r="K2191" i="364"/>
  <c r="K2254" i="364"/>
  <c r="K2318" i="364"/>
  <c r="K2382" i="364"/>
  <c r="K2207" i="364"/>
  <c r="K2271" i="364"/>
  <c r="K2335" i="364"/>
  <c r="K2399" i="364"/>
  <c r="K2463" i="364"/>
  <c r="K2240" i="364"/>
  <c r="K2304" i="364"/>
  <c r="K2368" i="364"/>
  <c r="K2432" i="364"/>
  <c r="K2225" i="364"/>
  <c r="K2289" i="364"/>
  <c r="K2353" i="364"/>
  <c r="K2417" i="364"/>
  <c r="K2481" i="364"/>
  <c r="K2242" i="364"/>
  <c r="K2306" i="364"/>
  <c r="K2370" i="364"/>
  <c r="K2434" i="364"/>
  <c r="K2243" i="364"/>
  <c r="K2307" i="364"/>
  <c r="K2371" i="364"/>
  <c r="K2435" i="364"/>
  <c r="K2220" i="364"/>
  <c r="K2284" i="364"/>
  <c r="K2348" i="364"/>
  <c r="K2412" i="364"/>
  <c r="K2476" i="364"/>
  <c r="K2253" i="364"/>
  <c r="K2317" i="364"/>
  <c r="K2381" i="364"/>
  <c r="K2445" i="364"/>
  <c r="K2198" i="364"/>
  <c r="K2190" i="364"/>
  <c r="K2262" i="364"/>
  <c r="K2326" i="364"/>
  <c r="K2390" i="364"/>
  <c r="K2215" i="364"/>
  <c r="K2279" i="364"/>
  <c r="K2343" i="364"/>
  <c r="K2407" i="364"/>
  <c r="K2471" i="364"/>
  <c r="K2248" i="364"/>
  <c r="K2312" i="364"/>
  <c r="K2376" i="364"/>
  <c r="K2440" i="364"/>
  <c r="K2233" i="364"/>
  <c r="K2297" i="364"/>
  <c r="K2361" i="364"/>
  <c r="K2425" i="364"/>
  <c r="K2450" i="364"/>
  <c r="K2250" i="364"/>
  <c r="K2314" i="364"/>
  <c r="K2378" i="364"/>
  <c r="K2442" i="364"/>
  <c r="K2251" i="364"/>
  <c r="K2315" i="364"/>
  <c r="K2379" i="364"/>
  <c r="K2443" i="364"/>
  <c r="K2228" i="364"/>
  <c r="K2292" i="364"/>
  <c r="K2356" i="364"/>
  <c r="K2420" i="364"/>
  <c r="K2446" i="364"/>
  <c r="K2261" i="364"/>
  <c r="K2325" i="364"/>
  <c r="K2389" i="364"/>
  <c r="K76" i="364"/>
  <c r="K19" i="364"/>
  <c r="K75" i="364"/>
  <c r="K2205" i="364"/>
  <c r="K2197" i="364"/>
  <c r="K2206" i="364"/>
  <c r="K2270" i="364"/>
  <c r="K2334" i="364"/>
  <c r="K2398" i="364"/>
  <c r="K2223" i="364"/>
  <c r="K2287" i="364"/>
  <c r="K2351" i="364"/>
  <c r="K2415" i="364"/>
  <c r="K2479" i="364"/>
  <c r="K2256" i="364"/>
  <c r="K2320" i="364"/>
  <c r="K2384" i="364"/>
  <c r="K2448" i="364"/>
  <c r="K2241" i="364"/>
  <c r="K2305" i="364"/>
  <c r="K2369" i="364"/>
  <c r="K2433" i="364"/>
  <c r="K2466" i="364"/>
  <c r="K2258" i="364"/>
  <c r="K2322" i="364"/>
  <c r="K2386" i="364"/>
  <c r="K2458" i="364"/>
  <c r="K2259" i="364"/>
  <c r="K2323" i="364"/>
  <c r="K2387" i="364"/>
  <c r="K2451" i="364"/>
  <c r="K2236" i="364"/>
  <c r="K2300" i="364"/>
  <c r="K2364" i="364"/>
  <c r="K2428" i="364"/>
  <c r="K2478" i="364"/>
  <c r="K2269" i="364"/>
  <c r="K2333" i="364"/>
  <c r="K2397" i="364"/>
  <c r="K2461" i="364"/>
  <c r="K52" i="364"/>
  <c r="K84" i="364"/>
  <c r="K2204" i="364"/>
  <c r="K2196" i="364"/>
  <c r="K2214" i="364"/>
  <c r="K2278" i="364"/>
  <c r="K2342" i="364"/>
  <c r="K2406" i="364"/>
  <c r="K2231" i="364"/>
  <c r="K2295" i="364"/>
  <c r="K2359" i="364"/>
  <c r="K2423" i="364"/>
  <c r="K2472" i="364"/>
  <c r="K2264" i="364"/>
  <c r="K2328" i="364"/>
  <c r="K2392" i="364"/>
  <c r="K2456" i="364"/>
  <c r="K2249" i="364"/>
  <c r="K2313" i="364"/>
  <c r="K2377" i="364"/>
  <c r="K2441" i="364"/>
  <c r="K2482" i="364"/>
  <c r="K2266" i="364"/>
  <c r="K2330" i="364"/>
  <c r="K2394" i="364"/>
  <c r="K2474" i="364"/>
  <c r="K2267" i="364"/>
  <c r="K2331" i="364"/>
  <c r="K2395" i="364"/>
  <c r="K2459" i="364"/>
  <c r="K2244" i="364"/>
  <c r="K2308" i="364"/>
  <c r="K2372" i="364"/>
  <c r="K2436" i="364"/>
  <c r="K2213" i="364"/>
  <c r="K2277" i="364"/>
  <c r="K2341" i="364"/>
  <c r="K2405" i="364"/>
  <c r="K2469" i="364"/>
  <c r="K21" i="364"/>
  <c r="K2203" i="364"/>
  <c r="K2195" i="364"/>
  <c r="K2222" i="364"/>
  <c r="K2286" i="364"/>
  <c r="K2350" i="364"/>
  <c r="K2414" i="364"/>
  <c r="K2239" i="364"/>
  <c r="K2303" i="364"/>
  <c r="K2367" i="364"/>
  <c r="K2431" i="364"/>
  <c r="K2208" i="364"/>
  <c r="K2272" i="364"/>
  <c r="K2336" i="364"/>
  <c r="K2400" i="364"/>
  <c r="K2464" i="364"/>
  <c r="K2257" i="364"/>
  <c r="K2321" i="364"/>
  <c r="K2385" i="364"/>
  <c r="K2449" i="364"/>
  <c r="K2210" i="364"/>
  <c r="K2274" i="364"/>
  <c r="K2338" i="364"/>
  <c r="K2402" i="364"/>
  <c r="K2211" i="364"/>
  <c r="K2275" i="364"/>
  <c r="K2339" i="364"/>
  <c r="K2403" i="364"/>
  <c r="K2467" i="364"/>
  <c r="K2252" i="364"/>
  <c r="K2316" i="364"/>
  <c r="K2380" i="364"/>
  <c r="K2444" i="364"/>
  <c r="K2221" i="364"/>
  <c r="K2285" i="364"/>
  <c r="K2349" i="364"/>
  <c r="K2413" i="364"/>
  <c r="K2477" i="364"/>
  <c r="K2202" i="364"/>
  <c r="K2194" i="364"/>
  <c r="K2230" i="364"/>
  <c r="K2294" i="364"/>
  <c r="K2358" i="364"/>
  <c r="K2422" i="364"/>
  <c r="K2247" i="364"/>
  <c r="K2311" i="364"/>
  <c r="K2375" i="364"/>
  <c r="K2439" i="364"/>
  <c r="K2216" i="364"/>
  <c r="K2280" i="364"/>
  <c r="K2344" i="364"/>
  <c r="K2408" i="364"/>
  <c r="K2480" i="364"/>
  <c r="K2265" i="364"/>
  <c r="K2329" i="364"/>
  <c r="K2393" i="364"/>
  <c r="K2457" i="364"/>
  <c r="K2218" i="364"/>
  <c r="K2282" i="364"/>
  <c r="K2346" i="364"/>
  <c r="K2410" i="364"/>
  <c r="K2219" i="364"/>
  <c r="K2283" i="364"/>
  <c r="K2347" i="364"/>
  <c r="K2411" i="364"/>
  <c r="K2475" i="364"/>
  <c r="K2260" i="364"/>
  <c r="K2324" i="364"/>
  <c r="K2388" i="364"/>
  <c r="K2452" i="364"/>
  <c r="K2229" i="364"/>
  <c r="K2293" i="364"/>
  <c r="K2357" i="364"/>
  <c r="K2421" i="364"/>
  <c r="K2430" i="364"/>
  <c r="K2201" i="364"/>
  <c r="K2193" i="364"/>
  <c r="K2238" i="364"/>
  <c r="K2302" i="364"/>
  <c r="K2366" i="364"/>
  <c r="K2438" i="364"/>
  <c r="K2255" i="364"/>
  <c r="K2319" i="364"/>
  <c r="K2383" i="364"/>
  <c r="K2447" i="364"/>
  <c r="K2224" i="364"/>
  <c r="K2288" i="364"/>
  <c r="K2352" i="364"/>
  <c r="K2416" i="364"/>
  <c r="K2209" i="364"/>
  <c r="K2273" i="364"/>
  <c r="K2337" i="364"/>
  <c r="K2401" i="364"/>
  <c r="K2465" i="364"/>
  <c r="K2226" i="364"/>
  <c r="K2290" i="364"/>
  <c r="K2354" i="364"/>
  <c r="K2418" i="364"/>
  <c r="K2227" i="364"/>
  <c r="K2291" i="364"/>
  <c r="K2355" i="364"/>
  <c r="K2419" i="364"/>
  <c r="K2483" i="364"/>
  <c r="K2268" i="364"/>
  <c r="K2332" i="364"/>
  <c r="K2396" i="364"/>
  <c r="K2460" i="364"/>
  <c r="K2237" i="364"/>
  <c r="K2301" i="364"/>
  <c r="K2365" i="364"/>
  <c r="K2429" i="364"/>
  <c r="K2454" i="364"/>
  <c r="K16" i="364"/>
  <c r="K40" i="364"/>
  <c r="K48" i="364"/>
  <c r="K56" i="364"/>
  <c r="K72" i="364"/>
  <c r="K80" i="364"/>
  <c r="K88" i="364"/>
  <c r="K2200" i="364"/>
  <c r="K2192" i="364"/>
  <c r="K2246" i="364"/>
  <c r="K2310" i="364"/>
  <c r="K2374" i="364"/>
  <c r="K2462" i="364"/>
  <c r="K2263" i="364"/>
  <c r="K2327" i="364"/>
  <c r="K2391" i="364"/>
  <c r="K2455" i="364"/>
  <c r="K2232" i="364"/>
  <c r="K2296" i="364"/>
  <c r="K2360" i="364"/>
  <c r="K2424" i="364"/>
  <c r="K2217" i="364"/>
  <c r="K2281" i="364"/>
  <c r="K2345" i="364"/>
  <c r="K2409" i="364"/>
  <c r="K2473" i="364"/>
  <c r="K2234" i="364"/>
  <c r="K2298" i="364"/>
  <c r="K2362" i="364"/>
  <c r="K2426" i="364"/>
  <c r="K2235" i="364"/>
  <c r="K2299" i="364"/>
  <c r="K2363" i="364"/>
  <c r="K2427" i="364"/>
  <c r="K2212" i="364"/>
  <c r="K2276" i="364"/>
  <c r="K2340" i="364"/>
  <c r="K2404" i="364"/>
  <c r="K2468" i="364"/>
  <c r="K2245" i="364"/>
  <c r="K2309" i="364"/>
  <c r="K2373" i="364"/>
  <c r="K2437" i="364"/>
  <c r="K2470" i="364"/>
  <c r="K18" i="364"/>
  <c r="K42" i="364"/>
  <c r="K55" i="364"/>
  <c r="K74" i="364"/>
  <c r="K87" i="364"/>
  <c r="K109" i="364"/>
  <c r="K117" i="364"/>
  <c r="K141" i="364"/>
  <c r="K149" i="364"/>
  <c r="K173" i="364"/>
  <c r="K181" i="364"/>
  <c r="K205" i="364"/>
  <c r="K317" i="364"/>
  <c r="K341" i="364"/>
  <c r="K349" i="364"/>
  <c r="K24" i="364"/>
  <c r="K30" i="364"/>
  <c r="K36" i="364"/>
  <c r="K43" i="364"/>
  <c r="K62" i="364"/>
  <c r="K68" i="364"/>
  <c r="K14" i="364"/>
  <c r="K31" i="364"/>
  <c r="K50" i="364"/>
  <c r="K63" i="364"/>
  <c r="K82" i="364"/>
  <c r="K103" i="364"/>
  <c r="K111" i="364"/>
  <c r="K135" i="364"/>
  <c r="K143" i="364"/>
  <c r="K167" i="364"/>
  <c r="K183" i="364"/>
  <c r="K191" i="364"/>
  <c r="K215" i="364"/>
  <c r="K327" i="364"/>
  <c r="K351" i="364"/>
  <c r="K359" i="364"/>
  <c r="K9" i="364"/>
  <c r="K15" i="364"/>
  <c r="K20" i="364"/>
  <c r="K25" i="364"/>
  <c r="K38" i="364"/>
  <c r="K44" i="364"/>
  <c r="K51" i="364"/>
  <c r="K70" i="364"/>
  <c r="K83" i="364"/>
  <c r="K112" i="364"/>
  <c r="K120" i="364"/>
  <c r="K144" i="364"/>
  <c r="K152" i="364"/>
  <c r="K176" i="364"/>
  <c r="K264" i="364"/>
  <c r="K288" i="364"/>
  <c r="K296" i="364"/>
  <c r="K320" i="364"/>
  <c r="K328" i="364"/>
  <c r="K336" i="364"/>
  <c r="K352" i="364"/>
  <c r="K2074" i="364"/>
  <c r="K10" i="364"/>
  <c r="K26" i="364"/>
  <c r="K32" i="364"/>
  <c r="K39" i="364"/>
  <c r="K58" i="364"/>
  <c r="K64" i="364"/>
  <c r="K71" i="364"/>
  <c r="K90" i="364"/>
  <c r="K85" i="364"/>
  <c r="K121" i="364"/>
  <c r="K129" i="364"/>
  <c r="K153" i="364"/>
  <c r="K161" i="364"/>
  <c r="K201" i="364"/>
  <c r="K233" i="364"/>
  <c r="K249" i="364"/>
  <c r="K265" i="364"/>
  <c r="K273" i="364"/>
  <c r="K281" i="364"/>
  <c r="K297" i="364"/>
  <c r="K305" i="364"/>
  <c r="K313" i="364"/>
  <c r="K337" i="364"/>
  <c r="K345" i="364"/>
  <c r="K5" i="364"/>
  <c r="K11" i="364"/>
  <c r="K27" i="364"/>
  <c r="K46" i="364"/>
  <c r="K59" i="364"/>
  <c r="K78" i="364"/>
  <c r="K91" i="364"/>
  <c r="K185" i="364"/>
  <c r="K22" i="364"/>
  <c r="K34" i="364"/>
  <c r="K47" i="364"/>
  <c r="K66" i="364"/>
  <c r="K79" i="364"/>
  <c r="K99" i="364"/>
  <c r="K123" i="364"/>
  <c r="K131" i="364"/>
  <c r="K155" i="364"/>
  <c r="K163" i="364"/>
  <c r="K235" i="364"/>
  <c r="K259" i="364"/>
  <c r="K267" i="364"/>
  <c r="K283" i="364"/>
  <c r="K291" i="364"/>
  <c r="K299" i="364"/>
  <c r="K315" i="364"/>
  <c r="K323" i="364"/>
  <c r="K331" i="364"/>
  <c r="K347" i="364"/>
  <c r="K125" i="364"/>
  <c r="K12" i="364"/>
  <c r="K17" i="364"/>
  <c r="K23" i="364"/>
  <c r="K28" i="364"/>
  <c r="K35" i="364"/>
  <c r="K54" i="364"/>
  <c r="K60" i="364"/>
  <c r="K67" i="364"/>
  <c r="K86" i="364"/>
  <c r="K92" i="364"/>
  <c r="K100" i="364"/>
  <c r="K108" i="364"/>
  <c r="K132" i="364"/>
  <c r="K140" i="364"/>
  <c r="K164" i="364"/>
  <c r="K172" i="364"/>
  <c r="K180" i="364"/>
  <c r="K196" i="364"/>
  <c r="K204" i="364"/>
  <c r="K212" i="364"/>
  <c r="K228" i="364"/>
  <c r="K236" i="364"/>
  <c r="K244" i="364"/>
  <c r="K260" i="364"/>
  <c r="K268" i="364"/>
  <c r="K292" i="364"/>
  <c r="N33" i="378"/>
  <c r="AB33" i="378" s="1"/>
  <c r="J12" i="393" a="1"/>
  <c r="J12" i="393" s="1"/>
  <c r="J26" i="393" a="1"/>
  <c r="J26" i="393" s="1"/>
  <c r="P39" i="378"/>
  <c r="AF39" i="378" s="1"/>
  <c r="P37" i="378"/>
  <c r="AF37" i="378" s="1"/>
  <c r="P35" i="378"/>
  <c r="AF35" i="378" s="1"/>
  <c r="P33" i="378"/>
  <c r="AF33" i="378" s="1"/>
  <c r="P31" i="378"/>
  <c r="AF31" i="378" s="1"/>
  <c r="P29" i="378"/>
  <c r="AF29" i="378" s="1"/>
  <c r="P27" i="378"/>
  <c r="AF27" i="378" s="1"/>
  <c r="P25" i="378"/>
  <c r="AF25" i="378" s="1"/>
  <c r="P23" i="378"/>
  <c r="AF23" i="378" s="1"/>
  <c r="P21" i="378"/>
  <c r="AF21" i="378" s="1"/>
  <c r="P19" i="378"/>
  <c r="AF19" i="378" s="1"/>
  <c r="P17" i="378"/>
  <c r="AF17" i="378" s="1"/>
  <c r="P15" i="378"/>
  <c r="AF15" i="378" s="1"/>
  <c r="P13" i="378"/>
  <c r="AF13" i="378" s="1"/>
  <c r="P11" i="378"/>
  <c r="AF11" i="378" s="1"/>
  <c r="O39" i="378"/>
  <c r="AE39" i="378" s="1"/>
  <c r="O37" i="378"/>
  <c r="AE37" i="378" s="1"/>
  <c r="O35" i="378"/>
  <c r="AE35" i="378" s="1"/>
  <c r="O33" i="378"/>
  <c r="AE33" i="378" s="1"/>
  <c r="O31" i="378"/>
  <c r="AE31" i="378" s="1"/>
  <c r="O29" i="378"/>
  <c r="AE29" i="378" s="1"/>
  <c r="O27" i="378"/>
  <c r="AE27" i="378" s="1"/>
  <c r="O25" i="378"/>
  <c r="AE25" i="378" s="1"/>
  <c r="O23" i="378"/>
  <c r="AE23" i="378" s="1"/>
  <c r="O21" i="378"/>
  <c r="AE21" i="378" s="1"/>
  <c r="O19" i="378"/>
  <c r="AE19" i="378" s="1"/>
  <c r="O17" i="378"/>
  <c r="AE17" i="378" s="1"/>
  <c r="O15" i="378"/>
  <c r="AE15" i="378" s="1"/>
  <c r="O13" i="378"/>
  <c r="AE13" i="378" s="1"/>
  <c r="O11" i="378"/>
  <c r="AE11" i="378" s="1"/>
  <c r="P40" i="378"/>
  <c r="AF40" i="378" s="1"/>
  <c r="P38" i="378"/>
  <c r="AF38" i="378" s="1"/>
  <c r="P36" i="378"/>
  <c r="AF36" i="378" s="1"/>
  <c r="P34" i="378"/>
  <c r="AF34" i="378" s="1"/>
  <c r="P32" i="378"/>
  <c r="AF32" i="378" s="1"/>
  <c r="P30" i="378"/>
  <c r="AF30" i="378" s="1"/>
  <c r="P28" i="378"/>
  <c r="AF28" i="378" s="1"/>
  <c r="P26" i="378"/>
  <c r="AF26" i="378" s="1"/>
  <c r="P24" i="378"/>
  <c r="AF24" i="378" s="1"/>
  <c r="P22" i="378"/>
  <c r="AF22" i="378" s="1"/>
  <c r="P20" i="378"/>
  <c r="AF20" i="378" s="1"/>
  <c r="P18" i="378"/>
  <c r="AF18" i="378" s="1"/>
  <c r="P16" i="378"/>
  <c r="AF16" i="378" s="1"/>
  <c r="P14" i="378"/>
  <c r="AF14" i="378" s="1"/>
  <c r="P12" i="378"/>
  <c r="AF12" i="378" s="1"/>
  <c r="P10" i="378"/>
  <c r="AF10" i="378" s="1"/>
  <c r="O40" i="378"/>
  <c r="AE40" i="378" s="1"/>
  <c r="O38" i="378"/>
  <c r="AE38" i="378" s="1"/>
  <c r="O36" i="378"/>
  <c r="AE36" i="378" s="1"/>
  <c r="O34" i="378"/>
  <c r="AE34" i="378" s="1"/>
  <c r="O32" i="378"/>
  <c r="AE32" i="378" s="1"/>
  <c r="O30" i="378"/>
  <c r="AE30" i="378" s="1"/>
  <c r="O28" i="378"/>
  <c r="AE28" i="378" s="1"/>
  <c r="O26" i="378"/>
  <c r="AE26" i="378" s="1"/>
  <c r="O24" i="378"/>
  <c r="AE24" i="378" s="1"/>
  <c r="O22" i="378"/>
  <c r="AE22" i="378" s="1"/>
  <c r="O20" i="378"/>
  <c r="AE20" i="378" s="1"/>
  <c r="O18" i="378"/>
  <c r="AE18" i="378" s="1"/>
  <c r="O16" i="378"/>
  <c r="AE16" i="378" s="1"/>
  <c r="O14" i="378"/>
  <c r="AE14" i="378" s="1"/>
  <c r="O12" i="378"/>
  <c r="AE12" i="378" s="1"/>
  <c r="O10" i="378"/>
  <c r="AE10" i="378" s="1"/>
  <c r="C27" i="391"/>
  <c r="D27" i="391"/>
  <c r="E27" i="391"/>
  <c r="L27" i="391" s="1"/>
  <c r="N27" i="391"/>
  <c r="G27" i="391"/>
  <c r="H27" i="391"/>
  <c r="J27" i="391"/>
  <c r="I26" i="391"/>
  <c r="J26" i="391"/>
  <c r="C26" i="391"/>
  <c r="D26" i="391"/>
  <c r="E26" i="391"/>
  <c r="L26" i="391" s="1"/>
  <c r="B28" i="391" a="1"/>
  <c r="B28" i="391" s="1"/>
  <c r="N26" i="391"/>
  <c r="H26" i="391"/>
  <c r="I11" i="389"/>
  <c r="AX18" i="294"/>
  <c r="AX23" i="294"/>
  <c r="AV27" i="294"/>
  <c r="AX17" i="294"/>
  <c r="AX21" i="294"/>
  <c r="AX27" i="294" s="1"/>
  <c r="AY11" i="294" s="1"/>
  <c r="AX26" i="294"/>
  <c r="AV23" i="294"/>
  <c r="AV21" i="294"/>
  <c r="Z34" i="382"/>
  <c r="Z33" i="382"/>
  <c r="Z32" i="382"/>
  <c r="Z39" i="382"/>
  <c r="Z31" i="382"/>
  <c r="Z38" i="382"/>
  <c r="Z30" i="382"/>
  <c r="Z37" i="382"/>
  <c r="Z36" i="382"/>
  <c r="Z35" i="382"/>
  <c r="AV32" i="382"/>
  <c r="AV38" i="382"/>
  <c r="AB38" i="382" a="1"/>
  <c r="AB38" i="382" s="1"/>
  <c r="AB30" i="382" a="1"/>
  <c r="AB30" i="382" s="1"/>
  <c r="AV30" i="382"/>
  <c r="AB37" i="382" a="1"/>
  <c r="AB37" i="382" s="1"/>
  <c r="AV37" i="382"/>
  <c r="AV36" i="382"/>
  <c r="AB36" i="382" a="1"/>
  <c r="AB36" i="382" s="1"/>
  <c r="AB35" i="382" a="1"/>
  <c r="AB35" i="382" s="1"/>
  <c r="AV35" i="382"/>
  <c r="AV33" i="382"/>
  <c r="AB34" i="382" a="1"/>
  <c r="AB34" i="382" s="1"/>
  <c r="AB33" i="382" a="1"/>
  <c r="AB33" i="382" s="1"/>
  <c r="AB32" i="382" a="1"/>
  <c r="AB32" i="382" s="1"/>
  <c r="AV34" i="382"/>
  <c r="AB31" i="382" a="1"/>
  <c r="AB31" i="382" s="1"/>
  <c r="AB39" i="382" a="1"/>
  <c r="AB39" i="382" s="1"/>
  <c r="K6" i="364"/>
  <c r="K122" i="364"/>
  <c r="K154" i="364"/>
  <c r="K182" i="364"/>
  <c r="K206" i="364"/>
  <c r="K211" i="364"/>
  <c r="K225" i="364"/>
  <c r="K293" i="364"/>
  <c r="K312" i="364"/>
  <c r="K322" i="364"/>
  <c r="K346" i="364"/>
  <c r="K1946" i="364"/>
  <c r="K95" i="364"/>
  <c r="K104" i="364"/>
  <c r="K113" i="364"/>
  <c r="K118" i="364"/>
  <c r="K127" i="364"/>
  <c r="K136" i="364"/>
  <c r="K145" i="364"/>
  <c r="K150" i="364"/>
  <c r="K159" i="364"/>
  <c r="K168" i="364"/>
  <c r="K177" i="364"/>
  <c r="K187" i="364"/>
  <c r="K192" i="364"/>
  <c r="K197" i="364"/>
  <c r="K216" i="364"/>
  <c r="K221" i="364"/>
  <c r="K226" i="364"/>
  <c r="K231" i="364"/>
  <c r="K240" i="364"/>
  <c r="K245" i="364"/>
  <c r="K250" i="364"/>
  <c r="K255" i="364"/>
  <c r="K269" i="364"/>
  <c r="K274" i="364"/>
  <c r="K279" i="364"/>
  <c r="K284" i="364"/>
  <c r="K294" i="364"/>
  <c r="K303" i="364"/>
  <c r="K308" i="364"/>
  <c r="K318" i="364"/>
  <c r="K332" i="364"/>
  <c r="K342" i="364"/>
  <c r="K356" i="364"/>
  <c r="K361" i="364"/>
  <c r="K366" i="364"/>
  <c r="K373" i="364"/>
  <c r="K394" i="364"/>
  <c r="K2146" i="364"/>
  <c r="K7" i="364"/>
  <c r="K114" i="364"/>
  <c r="K146" i="364"/>
  <c r="K178" i="364"/>
  <c r="K188" i="364"/>
  <c r="K198" i="364"/>
  <c r="K207" i="364"/>
  <c r="K222" i="364"/>
  <c r="K246" i="364"/>
  <c r="K270" i="364"/>
  <c r="K275" i="364"/>
  <c r="K289" i="364"/>
  <c r="K357" i="364"/>
  <c r="K2138" i="364"/>
  <c r="K96" i="364"/>
  <c r="K105" i="364"/>
  <c r="K110" i="364"/>
  <c r="K119" i="364"/>
  <c r="K128" i="364"/>
  <c r="K137" i="364"/>
  <c r="K142" i="364"/>
  <c r="K151" i="364"/>
  <c r="K160" i="364"/>
  <c r="K169" i="364"/>
  <c r="K174" i="364"/>
  <c r="K179" i="364"/>
  <c r="K193" i="364"/>
  <c r="K203" i="364"/>
  <c r="K217" i="364"/>
  <c r="K227" i="364"/>
  <c r="K232" i="364"/>
  <c r="K241" i="364"/>
  <c r="K251" i="364"/>
  <c r="K256" i="364"/>
  <c r="K261" i="364"/>
  <c r="K280" i="364"/>
  <c r="K285" i="364"/>
  <c r="K290" i="364"/>
  <c r="K295" i="364"/>
  <c r="K304" i="364"/>
  <c r="K309" i="364"/>
  <c r="K314" i="364"/>
  <c r="K319" i="364"/>
  <c r="K333" i="364"/>
  <c r="K338" i="364"/>
  <c r="K343" i="364"/>
  <c r="K348" i="364"/>
  <c r="K358" i="364"/>
  <c r="K389" i="364"/>
  <c r="K2082" i="364"/>
  <c r="K101" i="364"/>
  <c r="K106" i="364"/>
  <c r="K115" i="364"/>
  <c r="K124" i="364"/>
  <c r="K133" i="364"/>
  <c r="K138" i="364"/>
  <c r="K147" i="364"/>
  <c r="K156" i="364"/>
  <c r="K165" i="364"/>
  <c r="K170" i="364"/>
  <c r="K184" i="364"/>
  <c r="K189" i="364"/>
  <c r="K194" i="364"/>
  <c r="K199" i="364"/>
  <c r="K208" i="364"/>
  <c r="K213" i="364"/>
  <c r="K218" i="364"/>
  <c r="K223" i="364"/>
  <c r="K237" i="364"/>
  <c r="K242" i="364"/>
  <c r="K247" i="364"/>
  <c r="K252" i="364"/>
  <c r="K262" i="364"/>
  <c r="K271" i="364"/>
  <c r="K276" i="364"/>
  <c r="K286" i="364"/>
  <c r="K300" i="364"/>
  <c r="K310" i="364"/>
  <c r="K324" i="364"/>
  <c r="K329" i="364"/>
  <c r="K334" i="364"/>
  <c r="K339" i="364"/>
  <c r="K353" i="364"/>
  <c r="K363" i="364"/>
  <c r="K1906" i="364"/>
  <c r="K1970" i="364"/>
  <c r="K2034" i="364"/>
  <c r="K2098" i="364"/>
  <c r="K2162" i="364"/>
  <c r="K1914" i="364"/>
  <c r="K1978" i="364"/>
  <c r="K2042" i="364"/>
  <c r="K2106" i="364"/>
  <c r="K2170" i="364"/>
  <c r="K1922" i="364"/>
  <c r="K1986" i="364"/>
  <c r="K2050" i="364"/>
  <c r="K2114" i="364"/>
  <c r="K2178" i="364"/>
  <c r="K1930" i="364"/>
  <c r="K1994" i="364"/>
  <c r="K2058" i="364"/>
  <c r="K2122" i="364"/>
  <c r="K2186" i="364"/>
  <c r="K1938" i="364"/>
  <c r="K2002" i="364"/>
  <c r="K2066" i="364"/>
  <c r="K2130" i="364"/>
  <c r="K1898" i="364"/>
  <c r="K1962" i="364"/>
  <c r="K2026" i="364"/>
  <c r="K2090" i="364"/>
  <c r="K2154" i="364"/>
  <c r="K97" i="364"/>
  <c r="K102" i="364"/>
  <c r="K134" i="364"/>
  <c r="K166" i="364"/>
  <c r="K175" i="364"/>
  <c r="K190" i="364"/>
  <c r="K214" i="364"/>
  <c r="K238" i="364"/>
  <c r="K243" i="364"/>
  <c r="K257" i="364"/>
  <c r="K325" i="364"/>
  <c r="K344" i="364"/>
  <c r="K354" i="364"/>
  <c r="K2018" i="364"/>
  <c r="K29" i="364"/>
  <c r="K33" i="364"/>
  <c r="K37" i="364"/>
  <c r="K41" i="364"/>
  <c r="K45" i="364"/>
  <c r="K49" i="364"/>
  <c r="K53" i="364"/>
  <c r="K57" i="364"/>
  <c r="K61" i="364"/>
  <c r="K65" i="364"/>
  <c r="K69" i="364"/>
  <c r="K73" i="364"/>
  <c r="K77" i="364"/>
  <c r="K81" i="364"/>
  <c r="K89" i="364"/>
  <c r="K93" i="364"/>
  <c r="K98" i="364"/>
  <c r="K107" i="364"/>
  <c r="K116" i="364"/>
  <c r="K130" i="364"/>
  <c r="K139" i="364"/>
  <c r="K148" i="364"/>
  <c r="K157" i="364"/>
  <c r="K162" i="364"/>
  <c r="K171" i="364"/>
  <c r="K195" i="364"/>
  <c r="K200" i="364"/>
  <c r="K209" i="364"/>
  <c r="K219" i="364"/>
  <c r="K224" i="364"/>
  <c r="K229" i="364"/>
  <c r="K248" i="364"/>
  <c r="K253" i="364"/>
  <c r="K258" i="364"/>
  <c r="K263" i="364"/>
  <c r="K272" i="364"/>
  <c r="K277" i="364"/>
  <c r="K282" i="364"/>
  <c r="K287" i="364"/>
  <c r="K301" i="364"/>
  <c r="K306" i="364"/>
  <c r="K311" i="364"/>
  <c r="K316" i="364"/>
  <c r="K326" i="364"/>
  <c r="K335" i="364"/>
  <c r="K340" i="364"/>
  <c r="K350" i="364"/>
  <c r="K364" i="364"/>
  <c r="K2188" i="364"/>
  <c r="K2180" i="364"/>
  <c r="K2172" i="364"/>
  <c r="K2164" i="364"/>
  <c r="K2156" i="364"/>
  <c r="K2148" i="364"/>
  <c r="K2140" i="364"/>
  <c r="K2132" i="364"/>
  <c r="K2124" i="364"/>
  <c r="K2116" i="364"/>
  <c r="K2108" i="364"/>
  <c r="K2100" i="364"/>
  <c r="K2092" i="364"/>
  <c r="K2084" i="364"/>
  <c r="K2076" i="364"/>
  <c r="K2068" i="364"/>
  <c r="K2060" i="364"/>
  <c r="K2052" i="364"/>
  <c r="K2044" i="364"/>
  <c r="K2036" i="364"/>
  <c r="K2028" i="364"/>
  <c r="K2020" i="364"/>
  <c r="K2012" i="364"/>
  <c r="K2004" i="364"/>
  <c r="K1996" i="364"/>
  <c r="K1988" i="364"/>
  <c r="K1980" i="364"/>
  <c r="K1972" i="364"/>
  <c r="K1964" i="364"/>
  <c r="K1956" i="364"/>
  <c r="K1948" i="364"/>
  <c r="K1940" i="364"/>
  <c r="K1932" i="364"/>
  <c r="K1924" i="364"/>
  <c r="K1916" i="364"/>
  <c r="K1908" i="364"/>
  <c r="K1900" i="364"/>
  <c r="K2010" i="364"/>
  <c r="K94" i="364"/>
  <c r="K126" i="364"/>
  <c r="K158" i="364"/>
  <c r="K186" i="364"/>
  <c r="K210" i="364"/>
  <c r="K220" i="364"/>
  <c r="K230" i="364"/>
  <c r="K239" i="364"/>
  <c r="K254" i="364"/>
  <c r="K278" i="364"/>
  <c r="K302" i="364"/>
  <c r="K307" i="364"/>
  <c r="K321" i="364"/>
  <c r="K355" i="364"/>
  <c r="K360" i="364"/>
  <c r="K378" i="364"/>
  <c r="K2187" i="364"/>
  <c r="K2179" i="364"/>
  <c r="K2171" i="364"/>
  <c r="K2163" i="364"/>
  <c r="K2155" i="364"/>
  <c r="K2147" i="364"/>
  <c r="K2139" i="364"/>
  <c r="K2131" i="364"/>
  <c r="K2123" i="364"/>
  <c r="K2115" i="364"/>
  <c r="K2107" i="364"/>
  <c r="K2099" i="364"/>
  <c r="K2091" i="364"/>
  <c r="K2083" i="364"/>
  <c r="K2075" i="364"/>
  <c r="K2067" i="364"/>
  <c r="K2059" i="364"/>
  <c r="K2051" i="364"/>
  <c r="K2043" i="364"/>
  <c r="K2035" i="364"/>
  <c r="K2027" i="364"/>
  <c r="K2019" i="364"/>
  <c r="K2011" i="364"/>
  <c r="K2003" i="364"/>
  <c r="K1995" i="364"/>
  <c r="K1987" i="364"/>
  <c r="K1979" i="364"/>
  <c r="K1971" i="364"/>
  <c r="K1963" i="364"/>
  <c r="K1955" i="364"/>
  <c r="K1947" i="364"/>
  <c r="K1939" i="364"/>
  <c r="K1931" i="364"/>
  <c r="K1923" i="364"/>
  <c r="K1915" i="364"/>
  <c r="K1907" i="364"/>
  <c r="K1899" i="364"/>
  <c r="K1954" i="364"/>
  <c r="K2189" i="364"/>
  <c r="K2181" i="364"/>
  <c r="K2173" i="364"/>
  <c r="K2165" i="364"/>
  <c r="K2157" i="364"/>
  <c r="K2149" i="364"/>
  <c r="K2141" i="364"/>
  <c r="K2133" i="364"/>
  <c r="K2125" i="364"/>
  <c r="K2117" i="364"/>
  <c r="K2109" i="364"/>
  <c r="K2101" i="364"/>
  <c r="K2093" i="364"/>
  <c r="K2085" i="364"/>
  <c r="K2077" i="364"/>
  <c r="K2069" i="364"/>
  <c r="K2061" i="364"/>
  <c r="K2053" i="364"/>
  <c r="K2045" i="364"/>
  <c r="K2037" i="364"/>
  <c r="K2029" i="364"/>
  <c r="K2021" i="364"/>
  <c r="K2013" i="364"/>
  <c r="K2005" i="364"/>
  <c r="K1997" i="364"/>
  <c r="K1989" i="364"/>
  <c r="K1981" i="364"/>
  <c r="K1973" i="364"/>
  <c r="K1965" i="364"/>
  <c r="K1957" i="364"/>
  <c r="K1949" i="364"/>
  <c r="K1941" i="364"/>
  <c r="K1933" i="364"/>
  <c r="K1925" i="364"/>
  <c r="K1917" i="364"/>
  <c r="K1909" i="364"/>
  <c r="K1901" i="364"/>
  <c r="K2185" i="364"/>
  <c r="K2177" i="364"/>
  <c r="K2169" i="364"/>
  <c r="K2161" i="364"/>
  <c r="K2153" i="364"/>
  <c r="K2145" i="364"/>
  <c r="K2137" i="364"/>
  <c r="K2129" i="364"/>
  <c r="K2121" i="364"/>
  <c r="K2113" i="364"/>
  <c r="K2105" i="364"/>
  <c r="K2097" i="364"/>
  <c r="K2089" i="364"/>
  <c r="K2081" i="364"/>
  <c r="K2073" i="364"/>
  <c r="K2065" i="364"/>
  <c r="K2057" i="364"/>
  <c r="K2049" i="364"/>
  <c r="K2041" i="364"/>
  <c r="K2033" i="364"/>
  <c r="K2025" i="364"/>
  <c r="K2017" i="364"/>
  <c r="K2009" i="364"/>
  <c r="K2001" i="364"/>
  <c r="K1993" i="364"/>
  <c r="K1985" i="364"/>
  <c r="K1977" i="364"/>
  <c r="K1969" i="364"/>
  <c r="K1961" i="364"/>
  <c r="K1953" i="364"/>
  <c r="K1945" i="364"/>
  <c r="K1937" i="364"/>
  <c r="K1929" i="364"/>
  <c r="K1921" i="364"/>
  <c r="K1913" i="364"/>
  <c r="K1905" i="364"/>
  <c r="K202" i="364"/>
  <c r="K234" i="364"/>
  <c r="K266" i="364"/>
  <c r="K298" i="364"/>
  <c r="K330" i="364"/>
  <c r="K362" i="364"/>
  <c r="K2184" i="364"/>
  <c r="K2176" i="364"/>
  <c r="K2168" i="364"/>
  <c r="K2160" i="364"/>
  <c r="K2152" i="364"/>
  <c r="K2144" i="364"/>
  <c r="K2136" i="364"/>
  <c r="K2128" i="364"/>
  <c r="K2120" i="364"/>
  <c r="K2112" i="364"/>
  <c r="K2104" i="364"/>
  <c r="K2096" i="364"/>
  <c r="K2088" i="364"/>
  <c r="K2080" i="364"/>
  <c r="K2072" i="364"/>
  <c r="K2064" i="364"/>
  <c r="K2056" i="364"/>
  <c r="K2048" i="364"/>
  <c r="K2040" i="364"/>
  <c r="K2032" i="364"/>
  <c r="K2024" i="364"/>
  <c r="K2016" i="364"/>
  <c r="K2008" i="364"/>
  <c r="K2000" i="364"/>
  <c r="K1992" i="364"/>
  <c r="K1984" i="364"/>
  <c r="K1976" i="364"/>
  <c r="K1968" i="364"/>
  <c r="K1960" i="364"/>
  <c r="K1952" i="364"/>
  <c r="K1944" i="364"/>
  <c r="K1936" i="364"/>
  <c r="K1928" i="364"/>
  <c r="K1920" i="364"/>
  <c r="K1912" i="364"/>
  <c r="K1904" i="364"/>
  <c r="K2183" i="364"/>
  <c r="K2175" i="364"/>
  <c r="K2167" i="364"/>
  <c r="K2159" i="364"/>
  <c r="K2151" i="364"/>
  <c r="K2143" i="364"/>
  <c r="K2135" i="364"/>
  <c r="K2127" i="364"/>
  <c r="K2119" i="364"/>
  <c r="K2111" i="364"/>
  <c r="K2103" i="364"/>
  <c r="K2095" i="364"/>
  <c r="K2087" i="364"/>
  <c r="K2079" i="364"/>
  <c r="K2071" i="364"/>
  <c r="K2063" i="364"/>
  <c r="K2055" i="364"/>
  <c r="K2047" i="364"/>
  <c r="K2039" i="364"/>
  <c r="K2031" i="364"/>
  <c r="K2023" i="364"/>
  <c r="K2015" i="364"/>
  <c r="K2007" i="364"/>
  <c r="K1999" i="364"/>
  <c r="K1991" i="364"/>
  <c r="K1983" i="364"/>
  <c r="K1975" i="364"/>
  <c r="K1967" i="364"/>
  <c r="K1959" i="364"/>
  <c r="K1951" i="364"/>
  <c r="K1943" i="364"/>
  <c r="K1935" i="364"/>
  <c r="K1927" i="364"/>
  <c r="K1919" i="364"/>
  <c r="K1911" i="364"/>
  <c r="K1903" i="364"/>
  <c r="K2182" i="364"/>
  <c r="K2174" i="364"/>
  <c r="K2166" i="364"/>
  <c r="K2158" i="364"/>
  <c r="K2150" i="364"/>
  <c r="K2142" i="364"/>
  <c r="K2134" i="364"/>
  <c r="K2126" i="364"/>
  <c r="K2118" i="364"/>
  <c r="K2110" i="364"/>
  <c r="K2102" i="364"/>
  <c r="K2094" i="364"/>
  <c r="K2086" i="364"/>
  <c r="K2078" i="364"/>
  <c r="K2070" i="364"/>
  <c r="K2062" i="364"/>
  <c r="K2054" i="364"/>
  <c r="K2046" i="364"/>
  <c r="K2038" i="364"/>
  <c r="K2030" i="364"/>
  <c r="K2022" i="364"/>
  <c r="K2014" i="364"/>
  <c r="K2006" i="364"/>
  <c r="K1998" i="364"/>
  <c r="K1990" i="364"/>
  <c r="K1982" i="364"/>
  <c r="K1974" i="364"/>
  <c r="K1966" i="364"/>
  <c r="K1958" i="364"/>
  <c r="K1950" i="364"/>
  <c r="K1942" i="364"/>
  <c r="K1934" i="364"/>
  <c r="K1926" i="364"/>
  <c r="K1918" i="364"/>
  <c r="K1910" i="364"/>
  <c r="K1902" i="364"/>
  <c r="K410" i="364"/>
  <c r="K523" i="364"/>
  <c r="K369" i="364"/>
  <c r="K406" i="364"/>
  <c r="K374" i="364"/>
  <c r="K385" i="364"/>
  <c r="K401" i="364"/>
  <c r="K365" i="364"/>
  <c r="K390" i="364"/>
  <c r="K370" i="364"/>
  <c r="K381" i="364"/>
  <c r="K397" i="364"/>
  <c r="K402" i="364"/>
  <c r="K386" i="364"/>
  <c r="K371" i="364"/>
  <c r="K377" i="364"/>
  <c r="K393" i="364"/>
  <c r="K398" i="364"/>
  <c r="K367" i="364"/>
  <c r="K382" i="364"/>
  <c r="K487" i="364"/>
  <c r="K496" i="364"/>
  <c r="K375" i="364"/>
  <c r="K379" i="364"/>
  <c r="K383" i="364"/>
  <c r="K387" i="364"/>
  <c r="K391" i="364"/>
  <c r="K395" i="364"/>
  <c r="K399" i="364"/>
  <c r="K403" i="364"/>
  <c r="K407" i="364"/>
  <c r="K411" i="364"/>
  <c r="K415" i="364"/>
  <c r="K419" i="364"/>
  <c r="K423" i="364"/>
  <c r="K427" i="364"/>
  <c r="K431" i="364"/>
  <c r="K435" i="364"/>
  <c r="K439" i="364"/>
  <c r="K443" i="364"/>
  <c r="K447" i="364"/>
  <c r="K451" i="364"/>
  <c r="K455" i="364"/>
  <c r="K459" i="364"/>
  <c r="K463" i="364"/>
  <c r="K467" i="364"/>
  <c r="K471" i="364"/>
  <c r="K475" i="364"/>
  <c r="K479" i="364"/>
  <c r="K483" i="364"/>
  <c r="K492" i="364"/>
  <c r="K506" i="364"/>
  <c r="K511" i="364"/>
  <c r="K516" i="364"/>
  <c r="K540" i="364"/>
  <c r="K700" i="364"/>
  <c r="K708" i="364"/>
  <c r="K724" i="364"/>
  <c r="K732" i="364"/>
  <c r="K740" i="364"/>
  <c r="K488" i="364"/>
  <c r="K502" i="364"/>
  <c r="K528" i="364"/>
  <c r="K368" i="364"/>
  <c r="K372" i="364"/>
  <c r="K376" i="364"/>
  <c r="K380" i="364"/>
  <c r="K384" i="364"/>
  <c r="K388" i="364"/>
  <c r="K392" i="364"/>
  <c r="K396" i="364"/>
  <c r="K400" i="364"/>
  <c r="K404" i="364"/>
  <c r="K408" i="364"/>
  <c r="K412" i="364"/>
  <c r="K416" i="364"/>
  <c r="K420" i="364"/>
  <c r="K424" i="364"/>
  <c r="K428" i="364"/>
  <c r="K432" i="364"/>
  <c r="K436" i="364"/>
  <c r="K440" i="364"/>
  <c r="K444" i="364"/>
  <c r="K448" i="364"/>
  <c r="K452" i="364"/>
  <c r="K456" i="364"/>
  <c r="K460" i="364"/>
  <c r="K464" i="364"/>
  <c r="K468" i="364"/>
  <c r="K472" i="364"/>
  <c r="K476" i="364"/>
  <c r="K480" i="364"/>
  <c r="K484" i="364"/>
  <c r="K498" i="364"/>
  <c r="K507" i="364"/>
  <c r="K512" i="364"/>
  <c r="K646" i="364"/>
  <c r="K662" i="364"/>
  <c r="K678" i="364"/>
  <c r="K694" i="364"/>
  <c r="K1892" i="364"/>
  <c r="K1878" i="364"/>
  <c r="K1869" i="364"/>
  <c r="K1860" i="364"/>
  <c r="K1846" i="364"/>
  <c r="K1837" i="364"/>
  <c r="K1828" i="364"/>
  <c r="K1814" i="364"/>
  <c r="K1805" i="364"/>
  <c r="K1796" i="364"/>
  <c r="K1782" i="364"/>
  <c r="K1773" i="364"/>
  <c r="K1764" i="364"/>
  <c r="K1750" i="364"/>
  <c r="K1741" i="364"/>
  <c r="K1890" i="364"/>
  <c r="K1881" i="364"/>
  <c r="K1872" i="364"/>
  <c r="K1858" i="364"/>
  <c r="K1849" i="364"/>
  <c r="K1840" i="364"/>
  <c r="K1826" i="364"/>
  <c r="K1817" i="364"/>
  <c r="K1808" i="364"/>
  <c r="K1794" i="364"/>
  <c r="K1785" i="364"/>
  <c r="K1853" i="364"/>
  <c r="K1844" i="364"/>
  <c r="K1830" i="364"/>
  <c r="K1821" i="364"/>
  <c r="K1812" i="364"/>
  <c r="K1798" i="364"/>
  <c r="K1789" i="364"/>
  <c r="K1780" i="364"/>
  <c r="K1766" i="364"/>
  <c r="K1757" i="364"/>
  <c r="K1748" i="364"/>
  <c r="K1734" i="364"/>
  <c r="K1725" i="364"/>
  <c r="K1716" i="364"/>
  <c r="K1702" i="364"/>
  <c r="K1693" i="364"/>
  <c r="K1854" i="364"/>
  <c r="K1810" i="364"/>
  <c r="K1804" i="364"/>
  <c r="K1760" i="364"/>
  <c r="K1645" i="364"/>
  <c r="K1877" i="364"/>
  <c r="K1865" i="364"/>
  <c r="K1790" i="364"/>
  <c r="K1765" i="364"/>
  <c r="K1746" i="364"/>
  <c r="K1740" i="364"/>
  <c r="K1728" i="364"/>
  <c r="K1710" i="364"/>
  <c r="K1705" i="364"/>
  <c r="K1682" i="364"/>
  <c r="K1654" i="364"/>
  <c r="K1644" i="364"/>
  <c r="K1638" i="364"/>
  <c r="K1628" i="364"/>
  <c r="K1596" i="364"/>
  <c r="K1590" i="364"/>
  <c r="K1570" i="364"/>
  <c r="K1554" i="364"/>
  <c r="K1538" i="364"/>
  <c r="K1522" i="364"/>
  <c r="K1506" i="364"/>
  <c r="K1490" i="364"/>
  <c r="K1474" i="364"/>
  <c r="K1845" i="364"/>
  <c r="K1833" i="364"/>
  <c r="K1758" i="364"/>
  <c r="K1686" i="364"/>
  <c r="K1676" i="364"/>
  <c r="K1670" i="364"/>
  <c r="K1621" i="364"/>
  <c r="K1574" i="364"/>
  <c r="K1888" i="364"/>
  <c r="K1838" i="364"/>
  <c r="K1820" i="364"/>
  <c r="K1813" i="364"/>
  <c r="K1801" i="364"/>
  <c r="K1709" i="364"/>
  <c r="K1692" i="364"/>
  <c r="K1664" i="364"/>
  <c r="K1653" i="364"/>
  <c r="K1856" i="364"/>
  <c r="K1806" i="364"/>
  <c r="K1788" i="364"/>
  <c r="K1781" i="364"/>
  <c r="K1769" i="364"/>
  <c r="K1732" i="364"/>
  <c r="K1726" i="364"/>
  <c r="K1714" i="364"/>
  <c r="K1685" i="364"/>
  <c r="K1669" i="364"/>
  <c r="K1620" i="364"/>
  <c r="K1614" i="364"/>
  <c r="K1609" i="364"/>
  <c r="K1604" i="364"/>
  <c r="K1573" i="364"/>
  <c r="K1568" i="364"/>
  <c r="K1552" i="364"/>
  <c r="K1536" i="364"/>
  <c r="K1520" i="364"/>
  <c r="K1504" i="364"/>
  <c r="K1874" i="364"/>
  <c r="K1868" i="364"/>
  <c r="K1824" i="364"/>
  <c r="K1774" i="364"/>
  <c r="K1749" i="364"/>
  <c r="K1737" i="364"/>
  <c r="K1708" i="364"/>
  <c r="K1652" i="364"/>
  <c r="K1646" i="364"/>
  <c r="K1641" i="364"/>
  <c r="K1636" i="364"/>
  <c r="K1630" i="364"/>
  <c r="K1598" i="364"/>
  <c r="K1593" i="364"/>
  <c r="K1588" i="364"/>
  <c r="K1562" i="364"/>
  <c r="K1546" i="364"/>
  <c r="K1530" i="364"/>
  <c r="K1514" i="364"/>
  <c r="K1498" i="364"/>
  <c r="K1482" i="364"/>
  <c r="K1466" i="364"/>
  <c r="K1450" i="364"/>
  <c r="K1886" i="364"/>
  <c r="K1842" i="364"/>
  <c r="K1836" i="364"/>
  <c r="K1792" i="364"/>
  <c r="K1718" i="364"/>
  <c r="K1684" i="364"/>
  <c r="K1668" i="364"/>
  <c r="K1662" i="364"/>
  <c r="K1613" i="364"/>
  <c r="K1572" i="364"/>
  <c r="K1637" i="364"/>
  <c r="K1589" i="364"/>
  <c r="K1542" i="364"/>
  <c r="K1528" i="364"/>
  <c r="K1488" i="364"/>
  <c r="K1897" i="364"/>
  <c r="K1629" i="364"/>
  <c r="K1622" i="364"/>
  <c r="K1602" i="364"/>
  <c r="K1534" i="364"/>
  <c r="K1494" i="364"/>
  <c r="K1462" i="364"/>
  <c r="K1456" i="364"/>
  <c r="K1438" i="364"/>
  <c r="K1432" i="364"/>
  <c r="K1426" i="364"/>
  <c r="K1772" i="364"/>
  <c r="K1717" i="364"/>
  <c r="K1650" i="364"/>
  <c r="K1560" i="364"/>
  <c r="K1480" i="364"/>
  <c r="K1414" i="364"/>
  <c r="K1408" i="364"/>
  <c r="K1402" i="364"/>
  <c r="K1397" i="364"/>
  <c r="K1381" i="364"/>
  <c r="K1365" i="364"/>
  <c r="K1349" i="364"/>
  <c r="K1333" i="364"/>
  <c r="K1317" i="364"/>
  <c r="K1301" i="364"/>
  <c r="K1285" i="364"/>
  <c r="K1275" i="364"/>
  <c r="K1266" i="364"/>
  <c r="K1257" i="364"/>
  <c r="K1778" i="364"/>
  <c r="K1694" i="364"/>
  <c r="K1581" i="364"/>
  <c r="K1526" i="364"/>
  <c r="K1512" i="364"/>
  <c r="K1442" i="364"/>
  <c r="K1700" i="364"/>
  <c r="K1606" i="364"/>
  <c r="K1586" i="364"/>
  <c r="K1518" i="364"/>
  <c r="K1472" i="364"/>
  <c r="K1454" i="364"/>
  <c r="K1430" i="364"/>
  <c r="K1424" i="364"/>
  <c r="K1418" i="364"/>
  <c r="K1396" i="364"/>
  <c r="K1385" i="364"/>
  <c r="K1369" i="364"/>
  <c r="K1353" i="364"/>
  <c r="K1337" i="364"/>
  <c r="K1321" i="364"/>
  <c r="K1305" i="364"/>
  <c r="K1822" i="364"/>
  <c r="K1677" i="364"/>
  <c r="K1612" i="364"/>
  <c r="K1558" i="364"/>
  <c r="K1544" i="364"/>
  <c r="K1661" i="364"/>
  <c r="K1618" i="364"/>
  <c r="K1550" i="364"/>
  <c r="K1510" i="364"/>
  <c r="K1496" i="364"/>
  <c r="K1464" i="364"/>
  <c r="K1458" i="364"/>
  <c r="K1446" i="364"/>
  <c r="K1440" i="364"/>
  <c r="K1434" i="364"/>
  <c r="K1389" i="364"/>
  <c r="K1373" i="364"/>
  <c r="K1357" i="364"/>
  <c r="K1341" i="364"/>
  <c r="K1325" i="364"/>
  <c r="K1309" i="364"/>
  <c r="K1797" i="364"/>
  <c r="K1597" i="364"/>
  <c r="K1584" i="364"/>
  <c r="K1410" i="364"/>
  <c r="K1371" i="364"/>
  <c r="K1252" i="364"/>
  <c r="K1243" i="364"/>
  <c r="K1229" i="364"/>
  <c r="K1220" i="364"/>
  <c r="K1211" i="364"/>
  <c r="K1197" i="364"/>
  <c r="K1188" i="364"/>
  <c r="K1179" i="364"/>
  <c r="K1165" i="364"/>
  <c r="K1156" i="364"/>
  <c r="K1147" i="364"/>
  <c r="K1133" i="364"/>
  <c r="K1124" i="364"/>
  <c r="K1115" i="364"/>
  <c r="K1101" i="364"/>
  <c r="K1092" i="364"/>
  <c r="K1355" i="364"/>
  <c r="K1289" i="364"/>
  <c r="K1274" i="364"/>
  <c r="K1262" i="364"/>
  <c r="K1256" i="364"/>
  <c r="K1247" i="364"/>
  <c r="K1233" i="364"/>
  <c r="K1224" i="364"/>
  <c r="K1215" i="364"/>
  <c r="K1201" i="364"/>
  <c r="K1192" i="364"/>
  <c r="K1183" i="364"/>
  <c r="K1169" i="364"/>
  <c r="K1151" i="364"/>
  <c r="K1339" i="364"/>
  <c r="K1251" i="364"/>
  <c r="K1237" i="364"/>
  <c r="K1228" i="364"/>
  <c r="K1219" i="364"/>
  <c r="K1205" i="364"/>
  <c r="K1196" i="364"/>
  <c r="K1187" i="364"/>
  <c r="K1173" i="364"/>
  <c r="K1164" i="364"/>
  <c r="K1155" i="364"/>
  <c r="K1141" i="364"/>
  <c r="K1132" i="364"/>
  <c r="K1123" i="364"/>
  <c r="K1323" i="364"/>
  <c r="K1293" i="364"/>
  <c r="K1273" i="364"/>
  <c r="K1255" i="364"/>
  <c r="K1241" i="364"/>
  <c r="K1232" i="364"/>
  <c r="K1223" i="364"/>
  <c r="K1209" i="364"/>
  <c r="K1200" i="364"/>
  <c r="K1191" i="364"/>
  <c r="K1177" i="364"/>
  <c r="K1159" i="364"/>
  <c r="K1127" i="364"/>
  <c r="K1307" i="364"/>
  <c r="K1245" i="364"/>
  <c r="K1236" i="364"/>
  <c r="K1227" i="364"/>
  <c r="K1213" i="364"/>
  <c r="K1204" i="364"/>
  <c r="K1195" i="364"/>
  <c r="K1181" i="364"/>
  <c r="K1172" i="364"/>
  <c r="K1163" i="364"/>
  <c r="K1149" i="364"/>
  <c r="K1265" i="364"/>
  <c r="K1259" i="364"/>
  <c r="K1249" i="364"/>
  <c r="K1240" i="364"/>
  <c r="K1231" i="364"/>
  <c r="K1217" i="364"/>
  <c r="K1208" i="364"/>
  <c r="K1199" i="364"/>
  <c r="K1185" i="364"/>
  <c r="K1176" i="364"/>
  <c r="K1167" i="364"/>
  <c r="K1153" i="364"/>
  <c r="K1144" i="364"/>
  <c r="K1135" i="364"/>
  <c r="K1291" i="364"/>
  <c r="K1271" i="364"/>
  <c r="K1253" i="364"/>
  <c r="K1244" i="364"/>
  <c r="K1235" i="364"/>
  <c r="K1221" i="364"/>
  <c r="K1212" i="364"/>
  <c r="K1203" i="364"/>
  <c r="K1189" i="364"/>
  <c r="K1180" i="364"/>
  <c r="K1171" i="364"/>
  <c r="K1157" i="364"/>
  <c r="K1139" i="364"/>
  <c r="K1387" i="364"/>
  <c r="K1248" i="364"/>
  <c r="K1239" i="364"/>
  <c r="K1225" i="364"/>
  <c r="K1216" i="364"/>
  <c r="K1207" i="364"/>
  <c r="K1193" i="364"/>
  <c r="K1184" i="364"/>
  <c r="K1175" i="364"/>
  <c r="K1161" i="364"/>
  <c r="K1152" i="364"/>
  <c r="K1143" i="364"/>
  <c r="K1129" i="364"/>
  <c r="K1120" i="364"/>
  <c r="K1111" i="364"/>
  <c r="K1131" i="364"/>
  <c r="K1061" i="364"/>
  <c r="K915" i="364"/>
  <c r="K901" i="364"/>
  <c r="K892" i="364"/>
  <c r="K883" i="364"/>
  <c r="K1065" i="364"/>
  <c r="K1109" i="364"/>
  <c r="K1103" i="364"/>
  <c r="K1091" i="364"/>
  <c r="K1080" i="364"/>
  <c r="K1069" i="364"/>
  <c r="K1060" i="364"/>
  <c r="K1051" i="364"/>
  <c r="K1037" i="364"/>
  <c r="K1028" i="364"/>
  <c r="K1019" i="364"/>
  <c r="K1005" i="364"/>
  <c r="K996" i="364"/>
  <c r="K987" i="364"/>
  <c r="K1121" i="364"/>
  <c r="K1097" i="364"/>
  <c r="K1079" i="364"/>
  <c r="K1068" i="364"/>
  <c r="K1059" i="364"/>
  <c r="K1045" i="364"/>
  <c r="K1036" i="364"/>
  <c r="K1027" i="364"/>
  <c r="K1013" i="364"/>
  <c r="K1004" i="364"/>
  <c r="K995" i="364"/>
  <c r="K981" i="364"/>
  <c r="K972" i="364"/>
  <c r="K963" i="364"/>
  <c r="K949" i="364"/>
  <c r="K1089" i="364"/>
  <c r="K1049" i="364"/>
  <c r="K1140" i="364"/>
  <c r="K1112" i="364"/>
  <c r="K1100" i="364"/>
  <c r="K1083" i="364"/>
  <c r="K1067" i="364"/>
  <c r="K1053" i="364"/>
  <c r="K1044" i="364"/>
  <c r="K1035" i="364"/>
  <c r="K1021" i="364"/>
  <c r="K1012" i="364"/>
  <c r="K1003" i="364"/>
  <c r="K989" i="364"/>
  <c r="K980" i="364"/>
  <c r="K971" i="364"/>
  <c r="K957" i="364"/>
  <c r="K948" i="364"/>
  <c r="K1077" i="364"/>
  <c r="K1071" i="364"/>
  <c r="K1057" i="364"/>
  <c r="K941" i="364"/>
  <c r="K923" i="364"/>
  <c r="K885" i="364"/>
  <c r="K861" i="364"/>
  <c r="K955" i="364"/>
  <c r="K916" i="364"/>
  <c r="K909" i="364"/>
  <c r="K891" i="364"/>
  <c r="K867" i="364"/>
  <c r="K720" i="364"/>
  <c r="K684" i="364"/>
  <c r="K668" i="364"/>
  <c r="K652" i="364"/>
  <c r="K637" i="364"/>
  <c r="K633" i="364"/>
  <c r="K629" i="364"/>
  <c r="K625" i="364"/>
  <c r="K621" i="364"/>
  <c r="K617" i="364"/>
  <c r="K613" i="364"/>
  <c r="K609" i="364"/>
  <c r="K605" i="364"/>
  <c r="K601" i="364"/>
  <c r="K597" i="364"/>
  <c r="K593" i="364"/>
  <c r="K589" i="364"/>
  <c r="K585" i="364"/>
  <c r="K581" i="364"/>
  <c r="K577" i="364"/>
  <c r="K573" i="364"/>
  <c r="K569" i="364"/>
  <c r="K565" i="364"/>
  <c r="K561" i="364"/>
  <c r="K557" i="364"/>
  <c r="K553" i="364"/>
  <c r="K549" i="364"/>
  <c r="K545" i="364"/>
  <c r="K541" i="364"/>
  <c r="K537" i="364"/>
  <c r="K533" i="364"/>
  <c r="K529" i="364"/>
  <c r="K525" i="364"/>
  <c r="K521" i="364"/>
  <c r="K517" i="364"/>
  <c r="K513" i="364"/>
  <c r="K509" i="364"/>
  <c r="K505" i="364"/>
  <c r="K501" i="364"/>
  <c r="K497" i="364"/>
  <c r="K493" i="364"/>
  <c r="K489" i="364"/>
  <c r="K485" i="364"/>
  <c r="K940" i="364"/>
  <c r="K884" i="364"/>
  <c r="K877" i="364"/>
  <c r="K860" i="364"/>
  <c r="K908" i="364"/>
  <c r="K853" i="364"/>
  <c r="K744" i="364"/>
  <c r="K712" i="364"/>
  <c r="K688" i="364"/>
  <c r="K672" i="364"/>
  <c r="K656" i="364"/>
  <c r="K640" i="364"/>
  <c r="K636" i="364"/>
  <c r="K632" i="364"/>
  <c r="K628" i="364"/>
  <c r="K624" i="364"/>
  <c r="K620" i="364"/>
  <c r="K616" i="364"/>
  <c r="K612" i="364"/>
  <c r="K608" i="364"/>
  <c r="K604" i="364"/>
  <c r="K600" i="364"/>
  <c r="K596" i="364"/>
  <c r="K592" i="364"/>
  <c r="K588" i="364"/>
  <c r="K584" i="364"/>
  <c r="K580" i="364"/>
  <c r="K576" i="364"/>
  <c r="K572" i="364"/>
  <c r="K568" i="364"/>
  <c r="K564" i="364"/>
  <c r="K560" i="364"/>
  <c r="K556" i="364"/>
  <c r="K552" i="364"/>
  <c r="K548" i="364"/>
  <c r="K544" i="364"/>
  <c r="K939" i="364"/>
  <c r="K932" i="364"/>
  <c r="K876" i="364"/>
  <c r="K859" i="364"/>
  <c r="K973" i="364"/>
  <c r="K925" i="364"/>
  <c r="K907" i="364"/>
  <c r="K900" i="364"/>
  <c r="K869" i="364"/>
  <c r="K852" i="364"/>
  <c r="K736" i="364"/>
  <c r="K704" i="364"/>
  <c r="K692" i="364"/>
  <c r="K676" i="364"/>
  <c r="K660" i="364"/>
  <c r="K644" i="364"/>
  <c r="K639" i="364"/>
  <c r="K635" i="364"/>
  <c r="K631" i="364"/>
  <c r="K627" i="364"/>
  <c r="K623" i="364"/>
  <c r="K619" i="364"/>
  <c r="K615" i="364"/>
  <c r="K611" i="364"/>
  <c r="K607" i="364"/>
  <c r="K603" i="364"/>
  <c r="K599" i="364"/>
  <c r="K595" i="364"/>
  <c r="K591" i="364"/>
  <c r="K587" i="364"/>
  <c r="K583" i="364"/>
  <c r="K579" i="364"/>
  <c r="K575" i="364"/>
  <c r="K571" i="364"/>
  <c r="K567" i="364"/>
  <c r="K563" i="364"/>
  <c r="K559" i="364"/>
  <c r="K555" i="364"/>
  <c r="K551" i="364"/>
  <c r="K547" i="364"/>
  <c r="K543" i="364"/>
  <c r="K539" i="364"/>
  <c r="K535" i="364"/>
  <c r="K531" i="364"/>
  <c r="K527" i="364"/>
  <c r="K931" i="364"/>
  <c r="K893" i="364"/>
  <c r="K875" i="364"/>
  <c r="K716" i="364"/>
  <c r="K686" i="364"/>
  <c r="K670" i="364"/>
  <c r="K654" i="364"/>
  <c r="K964" i="364"/>
  <c r="K917" i="364"/>
  <c r="K899" i="364"/>
  <c r="K868" i="364"/>
  <c r="K851" i="364"/>
  <c r="K728" i="364"/>
  <c r="K696" i="364"/>
  <c r="K680" i="364"/>
  <c r="K664" i="364"/>
  <c r="K648" i="364"/>
  <c r="K638" i="364"/>
  <c r="K634" i="364"/>
  <c r="K630" i="364"/>
  <c r="K626" i="364"/>
  <c r="K622" i="364"/>
  <c r="K618" i="364"/>
  <c r="K614" i="364"/>
  <c r="K610" i="364"/>
  <c r="K606" i="364"/>
  <c r="K602" i="364"/>
  <c r="K598" i="364"/>
  <c r="K594" i="364"/>
  <c r="K590" i="364"/>
  <c r="K586" i="364"/>
  <c r="K582" i="364"/>
  <c r="K578" i="364"/>
  <c r="K574" i="364"/>
  <c r="K570" i="364"/>
  <c r="K566" i="364"/>
  <c r="K562" i="364"/>
  <c r="K558" i="364"/>
  <c r="K554" i="364"/>
  <c r="K550" i="364"/>
  <c r="K546" i="364"/>
  <c r="K542" i="364"/>
  <c r="K538" i="364"/>
  <c r="K534" i="364"/>
  <c r="K530" i="364"/>
  <c r="K526" i="364"/>
  <c r="K522" i="364"/>
  <c r="K518" i="364"/>
  <c r="K514" i="364"/>
  <c r="K510" i="364"/>
  <c r="K494" i="364"/>
  <c r="K503" i="364"/>
  <c r="K536" i="364"/>
  <c r="K405" i="364"/>
  <c r="K409" i="364"/>
  <c r="K413" i="364"/>
  <c r="K417" i="364"/>
  <c r="K421" i="364"/>
  <c r="K425" i="364"/>
  <c r="K429" i="364"/>
  <c r="K433" i="364"/>
  <c r="K437" i="364"/>
  <c r="K441" i="364"/>
  <c r="K445" i="364"/>
  <c r="K449" i="364"/>
  <c r="K453" i="364"/>
  <c r="K457" i="364"/>
  <c r="K461" i="364"/>
  <c r="K465" i="364"/>
  <c r="K469" i="364"/>
  <c r="K473" i="364"/>
  <c r="K477" i="364"/>
  <c r="K481" i="364"/>
  <c r="K490" i="364"/>
  <c r="K499" i="364"/>
  <c r="K508" i="364"/>
  <c r="K519" i="364"/>
  <c r="K524" i="364"/>
  <c r="K486" i="364"/>
  <c r="K495" i="364"/>
  <c r="K504" i="364"/>
  <c r="K414" i="364"/>
  <c r="K418" i="364"/>
  <c r="K422" i="364"/>
  <c r="K426" i="364"/>
  <c r="K430" i="364"/>
  <c r="K434" i="364"/>
  <c r="K438" i="364"/>
  <c r="K442" i="364"/>
  <c r="K446" i="364"/>
  <c r="K450" i="364"/>
  <c r="K454" i="364"/>
  <c r="K458" i="364"/>
  <c r="K462" i="364"/>
  <c r="K466" i="364"/>
  <c r="K470" i="364"/>
  <c r="K474" i="364"/>
  <c r="K478" i="364"/>
  <c r="K482" i="364"/>
  <c r="K491" i="364"/>
  <c r="K500" i="364"/>
  <c r="K515" i="364"/>
  <c r="K520" i="364"/>
  <c r="K532" i="364"/>
  <c r="K642" i="364"/>
  <c r="K650" i="364"/>
  <c r="K658" i="364"/>
  <c r="K666" i="364"/>
  <c r="K674" i="364"/>
  <c r="K682" i="364"/>
  <c r="K690" i="364"/>
  <c r="K643" i="364"/>
  <c r="K659" i="364"/>
  <c r="K675" i="364"/>
  <c r="K691" i="364"/>
  <c r="K703" i="364"/>
  <c r="K709" i="364"/>
  <c r="K722" i="364"/>
  <c r="K735" i="364"/>
  <c r="K741" i="364"/>
  <c r="K748" i="364"/>
  <c r="K756" i="364"/>
  <c r="K764" i="364"/>
  <c r="K772" i="364"/>
  <c r="K780" i="364"/>
  <c r="K788" i="364"/>
  <c r="K796" i="364"/>
  <c r="K804" i="364"/>
  <c r="K812" i="364"/>
  <c r="K820" i="364"/>
  <c r="K828" i="364"/>
  <c r="K836" i="364"/>
  <c r="K844" i="364"/>
  <c r="K857" i="364"/>
  <c r="K880" i="364"/>
  <c r="K911" i="364"/>
  <c r="K924" i="364"/>
  <c r="K937" i="364"/>
  <c r="K979" i="364"/>
  <c r="K1011" i="364"/>
  <c r="K1043" i="364"/>
  <c r="K1099" i="364"/>
  <c r="K649" i="364"/>
  <c r="K665" i="364"/>
  <c r="K681" i="364"/>
  <c r="K697" i="364"/>
  <c r="K710" i="364"/>
  <c r="K723" i="364"/>
  <c r="K729" i="364"/>
  <c r="K742" i="364"/>
  <c r="K749" i="364"/>
  <c r="K757" i="364"/>
  <c r="K765" i="364"/>
  <c r="K773" i="364"/>
  <c r="K781" i="364"/>
  <c r="K789" i="364"/>
  <c r="K797" i="364"/>
  <c r="K805" i="364"/>
  <c r="K813" i="364"/>
  <c r="K821" i="364"/>
  <c r="K829" i="364"/>
  <c r="K837" i="364"/>
  <c r="K845" i="364"/>
  <c r="K858" i="364"/>
  <c r="K863" i="364"/>
  <c r="K881" i="364"/>
  <c r="K887" i="364"/>
  <c r="K912" i="364"/>
  <c r="K943" i="364"/>
  <c r="K951" i="364"/>
  <c r="K965" i="364"/>
  <c r="K988" i="364"/>
  <c r="K1020" i="364"/>
  <c r="K1052" i="364"/>
  <c r="K1076" i="364"/>
  <c r="K1108" i="364"/>
  <c r="K655" i="364"/>
  <c r="K671" i="364"/>
  <c r="K687" i="364"/>
  <c r="K698" i="364"/>
  <c r="K711" i="364"/>
  <c r="K717" i="364"/>
  <c r="K730" i="364"/>
  <c r="K743" i="364"/>
  <c r="K750" i="364"/>
  <c r="K758" i="364"/>
  <c r="K766" i="364"/>
  <c r="K774" i="364"/>
  <c r="K782" i="364"/>
  <c r="K790" i="364"/>
  <c r="K798" i="364"/>
  <c r="K806" i="364"/>
  <c r="K814" i="364"/>
  <c r="K822" i="364"/>
  <c r="K830" i="364"/>
  <c r="K838" i="364"/>
  <c r="K846" i="364"/>
  <c r="K864" i="364"/>
  <c r="K882" i="364"/>
  <c r="K888" i="364"/>
  <c r="K913" i="364"/>
  <c r="K919" i="364"/>
  <c r="K944" i="364"/>
  <c r="K952" i="364"/>
  <c r="K959" i="364"/>
  <c r="K997" i="364"/>
  <c r="K1029" i="364"/>
  <c r="K1085" i="364"/>
  <c r="K1117" i="364"/>
  <c r="K645" i="364"/>
  <c r="K661" i="364"/>
  <c r="K677" i="364"/>
  <c r="K693" i="364"/>
  <c r="K699" i="364"/>
  <c r="K705" i="364"/>
  <c r="K718" i="364"/>
  <c r="K731" i="364"/>
  <c r="K737" i="364"/>
  <c r="K751" i="364"/>
  <c r="K759" i="364"/>
  <c r="K767" i="364"/>
  <c r="K775" i="364"/>
  <c r="K783" i="364"/>
  <c r="K791" i="364"/>
  <c r="K799" i="364"/>
  <c r="K807" i="364"/>
  <c r="K815" i="364"/>
  <c r="K823" i="364"/>
  <c r="K831" i="364"/>
  <c r="K839" i="364"/>
  <c r="K847" i="364"/>
  <c r="K865" i="364"/>
  <c r="K889" i="364"/>
  <c r="K895" i="364"/>
  <c r="K914" i="364"/>
  <c r="K920" i="364"/>
  <c r="K945" i="364"/>
  <c r="K953" i="364"/>
  <c r="K960" i="364"/>
  <c r="K967" i="364"/>
  <c r="K651" i="364"/>
  <c r="K667" i="364"/>
  <c r="K683" i="364"/>
  <c r="K706" i="364"/>
  <c r="K719" i="364"/>
  <c r="K725" i="364"/>
  <c r="K738" i="364"/>
  <c r="K752" i="364"/>
  <c r="K760" i="364"/>
  <c r="K768" i="364"/>
  <c r="K776" i="364"/>
  <c r="K784" i="364"/>
  <c r="K792" i="364"/>
  <c r="K800" i="364"/>
  <c r="K808" i="364"/>
  <c r="K816" i="364"/>
  <c r="K824" i="364"/>
  <c r="K832" i="364"/>
  <c r="K840" i="364"/>
  <c r="K848" i="364"/>
  <c r="K866" i="364"/>
  <c r="K871" i="364"/>
  <c r="K890" i="364"/>
  <c r="K896" i="364"/>
  <c r="K921" i="364"/>
  <c r="K927" i="364"/>
  <c r="K933" i="364"/>
  <c r="K946" i="364"/>
  <c r="K961" i="364"/>
  <c r="K968" i="364"/>
  <c r="K975" i="364"/>
  <c r="K983" i="364"/>
  <c r="K991" i="364"/>
  <c r="K999" i="364"/>
  <c r="K1007" i="364"/>
  <c r="K1015" i="364"/>
  <c r="K1023" i="364"/>
  <c r="K1031" i="364"/>
  <c r="K1039" i="364"/>
  <c r="K1047" i="364"/>
  <c r="K1055" i="364"/>
  <c r="K1063" i="364"/>
  <c r="K641" i="364"/>
  <c r="K657" i="364"/>
  <c r="K673" i="364"/>
  <c r="K689" i="364"/>
  <c r="K707" i="364"/>
  <c r="K713" i="364"/>
  <c r="K726" i="364"/>
  <c r="K739" i="364"/>
  <c r="K745" i="364"/>
  <c r="K753" i="364"/>
  <c r="K761" i="364"/>
  <c r="K769" i="364"/>
  <c r="K777" i="364"/>
  <c r="K785" i="364"/>
  <c r="K793" i="364"/>
  <c r="K801" i="364"/>
  <c r="K809" i="364"/>
  <c r="K817" i="364"/>
  <c r="K825" i="364"/>
  <c r="K833" i="364"/>
  <c r="K841" i="364"/>
  <c r="K849" i="364"/>
  <c r="K872" i="364"/>
  <c r="K897" i="364"/>
  <c r="K903" i="364"/>
  <c r="K922" i="364"/>
  <c r="K928" i="364"/>
  <c r="K947" i="364"/>
  <c r="K969" i="364"/>
  <c r="K976" i="364"/>
  <c r="K984" i="364"/>
  <c r="K992" i="364"/>
  <c r="K1000" i="364"/>
  <c r="K1008" i="364"/>
  <c r="K1016" i="364"/>
  <c r="K1024" i="364"/>
  <c r="K1032" i="364"/>
  <c r="K1040" i="364"/>
  <c r="K1048" i="364"/>
  <c r="K1056" i="364"/>
  <c r="K1064" i="364"/>
  <c r="K1088" i="364"/>
  <c r="K647" i="364"/>
  <c r="K663" i="364"/>
  <c r="K679" i="364"/>
  <c r="K695" i="364"/>
  <c r="K701" i="364"/>
  <c r="K714" i="364"/>
  <c r="K727" i="364"/>
  <c r="K733" i="364"/>
  <c r="K746" i="364"/>
  <c r="K754" i="364"/>
  <c r="K762" i="364"/>
  <c r="K770" i="364"/>
  <c r="K778" i="364"/>
  <c r="K786" i="364"/>
  <c r="K794" i="364"/>
  <c r="K802" i="364"/>
  <c r="K810" i="364"/>
  <c r="K818" i="364"/>
  <c r="K826" i="364"/>
  <c r="K834" i="364"/>
  <c r="K842" i="364"/>
  <c r="K850" i="364"/>
  <c r="K855" i="364"/>
  <c r="K873" i="364"/>
  <c r="K898" i="364"/>
  <c r="K904" i="364"/>
  <c r="K929" i="364"/>
  <c r="K935" i="364"/>
  <c r="K977" i="364"/>
  <c r="K985" i="364"/>
  <c r="K993" i="364"/>
  <c r="K1001" i="364"/>
  <c r="K1009" i="364"/>
  <c r="K1017" i="364"/>
  <c r="K1025" i="364"/>
  <c r="K1033" i="364"/>
  <c r="K1041" i="364"/>
  <c r="K653" i="364"/>
  <c r="K669" i="364"/>
  <c r="K685" i="364"/>
  <c r="K702" i="364"/>
  <c r="K715" i="364"/>
  <c r="K721" i="364"/>
  <c r="K734" i="364"/>
  <c r="K747" i="364"/>
  <c r="K755" i="364"/>
  <c r="K763" i="364"/>
  <c r="K771" i="364"/>
  <c r="K779" i="364"/>
  <c r="K787" i="364"/>
  <c r="K795" i="364"/>
  <c r="K803" i="364"/>
  <c r="K811" i="364"/>
  <c r="K819" i="364"/>
  <c r="K827" i="364"/>
  <c r="K835" i="364"/>
  <c r="K843" i="364"/>
  <c r="K856" i="364"/>
  <c r="K879" i="364"/>
  <c r="K905" i="364"/>
  <c r="K930" i="364"/>
  <c r="K936" i="364"/>
  <c r="K956" i="364"/>
  <c r="K870" i="364"/>
  <c r="K902" i="364"/>
  <c r="K934" i="364"/>
  <c r="K966" i="364"/>
  <c r="K998" i="364"/>
  <c r="K1030" i="364"/>
  <c r="K1062" i="364"/>
  <c r="K1094" i="364"/>
  <c r="K1125" i="364"/>
  <c r="K962" i="364"/>
  <c r="K994" i="364"/>
  <c r="K1026" i="364"/>
  <c r="K1058" i="364"/>
  <c r="K1072" i="364"/>
  <c r="K1095" i="364"/>
  <c r="K1107" i="364"/>
  <c r="K1119" i="364"/>
  <c r="K1126" i="364"/>
  <c r="K1148" i="364"/>
  <c r="K862" i="364"/>
  <c r="K894" i="364"/>
  <c r="K926" i="364"/>
  <c r="K958" i="364"/>
  <c r="K990" i="364"/>
  <c r="K1022" i="364"/>
  <c r="K1054" i="364"/>
  <c r="K1073" i="364"/>
  <c r="K1084" i="364"/>
  <c r="K1096" i="364"/>
  <c r="K1113" i="364"/>
  <c r="K954" i="364"/>
  <c r="K986" i="364"/>
  <c r="K1018" i="364"/>
  <c r="K1050" i="364"/>
  <c r="K1074" i="364"/>
  <c r="K1090" i="364"/>
  <c r="K1102" i="364"/>
  <c r="K1128" i="364"/>
  <c r="K854" i="364"/>
  <c r="K886" i="364"/>
  <c r="K918" i="364"/>
  <c r="K950" i="364"/>
  <c r="K982" i="364"/>
  <c r="K1014" i="364"/>
  <c r="K1046" i="364"/>
  <c r="K1075" i="364"/>
  <c r="K1136" i="364"/>
  <c r="K978" i="364"/>
  <c r="K1010" i="364"/>
  <c r="K1042" i="364"/>
  <c r="K1116" i="364"/>
  <c r="K1122" i="364"/>
  <c r="K1137" i="364"/>
  <c r="K1160" i="364"/>
  <c r="K1168" i="364"/>
  <c r="K878" i="364"/>
  <c r="K910" i="364"/>
  <c r="K942" i="364"/>
  <c r="K974" i="364"/>
  <c r="K1006" i="364"/>
  <c r="K1038" i="364"/>
  <c r="K1070" i="364"/>
  <c r="K1081" i="364"/>
  <c r="K1087" i="364"/>
  <c r="K1104" i="364"/>
  <c r="K1145" i="364"/>
  <c r="K874" i="364"/>
  <c r="K906" i="364"/>
  <c r="K938" i="364"/>
  <c r="K970" i="364"/>
  <c r="K1002" i="364"/>
  <c r="K1034" i="364"/>
  <c r="K1066" i="364"/>
  <c r="K1082" i="364"/>
  <c r="K1093" i="364"/>
  <c r="K1105" i="364"/>
  <c r="K1134" i="364"/>
  <c r="K1166" i="364"/>
  <c r="K1198" i="364"/>
  <c r="K1230" i="364"/>
  <c r="K1258" i="364"/>
  <c r="K1264" i="364"/>
  <c r="K1276" i="364"/>
  <c r="K1284" i="364"/>
  <c r="K1297" i="364"/>
  <c r="K1327" i="364"/>
  <c r="K1335" i="364"/>
  <c r="K1350" i="364"/>
  <c r="K1403" i="364"/>
  <c r="K1098" i="364"/>
  <c r="K1130" i="364"/>
  <c r="K1162" i="364"/>
  <c r="K1194" i="364"/>
  <c r="K1226" i="364"/>
  <c r="K1277" i="364"/>
  <c r="K1313" i="364"/>
  <c r="K1343" i="364"/>
  <c r="K1351" i="364"/>
  <c r="K1366" i="364"/>
  <c r="K1158" i="364"/>
  <c r="K1190" i="364"/>
  <c r="K1222" i="364"/>
  <c r="K1254" i="364"/>
  <c r="K1278" i="364"/>
  <c r="K1286" i="364"/>
  <c r="K1299" i="364"/>
  <c r="K1329" i="364"/>
  <c r="K1359" i="364"/>
  <c r="K1367" i="364"/>
  <c r="K1382" i="364"/>
  <c r="K1421" i="364"/>
  <c r="K1154" i="364"/>
  <c r="K1186" i="364"/>
  <c r="K1218" i="364"/>
  <c r="K1250" i="364"/>
  <c r="K1279" i="364"/>
  <c r="K1287" i="364"/>
  <c r="K1315" i="364"/>
  <c r="K1345" i="364"/>
  <c r="K1375" i="364"/>
  <c r="K1383" i="364"/>
  <c r="K1398" i="364"/>
  <c r="K1406" i="364"/>
  <c r="K1422" i="364"/>
  <c r="K1470" i="364"/>
  <c r="K1478" i="364"/>
  <c r="K1486" i="364"/>
  <c r="K1502" i="364"/>
  <c r="K1566" i="364"/>
  <c r="K1086" i="364"/>
  <c r="K1118" i="364"/>
  <c r="K1150" i="364"/>
  <c r="K1182" i="364"/>
  <c r="K1214" i="364"/>
  <c r="K1246" i="364"/>
  <c r="K1261" i="364"/>
  <c r="K1267" i="364"/>
  <c r="K1288" i="364"/>
  <c r="K1331" i="364"/>
  <c r="K1361" i="364"/>
  <c r="K1391" i="364"/>
  <c r="K1114" i="364"/>
  <c r="K1146" i="364"/>
  <c r="K1178" i="364"/>
  <c r="K1210" i="364"/>
  <c r="K1242" i="364"/>
  <c r="K1281" i="364"/>
  <c r="K1302" i="364"/>
  <c r="K1347" i="364"/>
  <c r="K1377" i="364"/>
  <c r="K1400" i="364"/>
  <c r="K1416" i="364"/>
  <c r="K1448" i="364"/>
  <c r="K1078" i="364"/>
  <c r="K1110" i="364"/>
  <c r="K1142" i="364"/>
  <c r="K1174" i="364"/>
  <c r="K1206" i="364"/>
  <c r="K1238" i="364"/>
  <c r="K1269" i="364"/>
  <c r="K1295" i="364"/>
  <c r="K1303" i="364"/>
  <c r="K1318" i="364"/>
  <c r="K1363" i="364"/>
  <c r="K1393" i="364"/>
  <c r="K1409" i="364"/>
  <c r="K1106" i="364"/>
  <c r="K1138" i="364"/>
  <c r="K1170" i="364"/>
  <c r="K1202" i="364"/>
  <c r="K1234" i="364"/>
  <c r="K1263" i="364"/>
  <c r="K1270" i="364"/>
  <c r="K1283" i="364"/>
  <c r="K1311" i="364"/>
  <c r="K1319" i="364"/>
  <c r="K1334" i="364"/>
  <c r="K1379" i="364"/>
  <c r="K1268" i="364"/>
  <c r="K1282" i="364"/>
  <c r="K1298" i="364"/>
  <c r="K1314" i="364"/>
  <c r="K1330" i="364"/>
  <c r="K1346" i="364"/>
  <c r="K1362" i="364"/>
  <c r="K1378" i="364"/>
  <c r="K1394" i="364"/>
  <c r="K1405" i="364"/>
  <c r="K1428" i="364"/>
  <c r="K1452" i="364"/>
  <c r="K1483" i="364"/>
  <c r="K1489" i="364"/>
  <c r="K1516" i="364"/>
  <c r="K1523" i="364"/>
  <c r="K1529" i="364"/>
  <c r="K1683" i="364"/>
  <c r="K1852" i="364"/>
  <c r="K1884" i="364"/>
  <c r="K1304" i="364"/>
  <c r="K1320" i="364"/>
  <c r="K1336" i="364"/>
  <c r="K1352" i="364"/>
  <c r="K1368" i="364"/>
  <c r="K1384" i="364"/>
  <c r="K1395" i="364"/>
  <c r="K1411" i="364"/>
  <c r="K1417" i="364"/>
  <c r="K1429" i="364"/>
  <c r="K1453" i="364"/>
  <c r="K1484" i="364"/>
  <c r="K1524" i="364"/>
  <c r="K1537" i="364"/>
  <c r="K1564" i="364"/>
  <c r="K1571" i="364"/>
  <c r="K1591" i="364"/>
  <c r="K1605" i="364"/>
  <c r="K1632" i="364"/>
  <c r="K1706" i="364"/>
  <c r="K1729" i="364"/>
  <c r="K1829" i="364"/>
  <c r="K1861" i="364"/>
  <c r="K1885" i="364"/>
  <c r="K1893" i="364"/>
  <c r="K1260" i="364"/>
  <c r="K1294" i="364"/>
  <c r="K1310" i="364"/>
  <c r="K1326" i="364"/>
  <c r="K1342" i="364"/>
  <c r="K1358" i="364"/>
  <c r="K1374" i="364"/>
  <c r="K1390" i="364"/>
  <c r="K1412" i="364"/>
  <c r="K1435" i="364"/>
  <c r="K1441" i="364"/>
  <c r="K1459" i="364"/>
  <c r="K1465" i="364"/>
  <c r="K1491" i="364"/>
  <c r="K1497" i="364"/>
  <c r="K1580" i="364"/>
  <c r="K1592" i="364"/>
  <c r="K1648" i="364"/>
  <c r="K1655" i="364"/>
  <c r="K1754" i="364"/>
  <c r="K1870" i="364"/>
  <c r="K1300" i="364"/>
  <c r="K1316" i="364"/>
  <c r="K1332" i="364"/>
  <c r="K1348" i="364"/>
  <c r="K1364" i="364"/>
  <c r="K1380" i="364"/>
  <c r="K1401" i="364"/>
  <c r="K1413" i="364"/>
  <c r="K1436" i="364"/>
  <c r="K1460" i="364"/>
  <c r="K1492" i="364"/>
  <c r="K1505" i="364"/>
  <c r="K1532" i="364"/>
  <c r="K1539" i="364"/>
  <c r="K1545" i="364"/>
  <c r="K1600" i="364"/>
  <c r="K1627" i="364"/>
  <c r="K1634" i="364"/>
  <c r="K1678" i="364"/>
  <c r="K1747" i="364"/>
  <c r="K1816" i="364"/>
  <c r="K1847" i="364"/>
  <c r="K1290" i="364"/>
  <c r="K1306" i="364"/>
  <c r="K1322" i="364"/>
  <c r="K1338" i="364"/>
  <c r="K1354" i="364"/>
  <c r="K1370" i="364"/>
  <c r="K1386" i="364"/>
  <c r="K1419" i="364"/>
  <c r="K1425" i="364"/>
  <c r="K1437" i="364"/>
  <c r="K1467" i="364"/>
  <c r="K1473" i="364"/>
  <c r="K1499" i="364"/>
  <c r="K1540" i="364"/>
  <c r="K1553" i="364"/>
  <c r="K1587" i="364"/>
  <c r="K1672" i="364"/>
  <c r="K1701" i="364"/>
  <c r="K1724" i="364"/>
  <c r="K1756" i="364"/>
  <c r="K1280" i="364"/>
  <c r="K1296" i="364"/>
  <c r="K1312" i="364"/>
  <c r="K1328" i="364"/>
  <c r="K1344" i="364"/>
  <c r="K1360" i="364"/>
  <c r="K1376" i="364"/>
  <c r="K1392" i="364"/>
  <c r="K1420" i="364"/>
  <c r="K1443" i="364"/>
  <c r="K1449" i="364"/>
  <c r="K1468" i="364"/>
  <c r="K1500" i="364"/>
  <c r="K1507" i="364"/>
  <c r="K1513" i="364"/>
  <c r="K1582" i="364"/>
  <c r="K1595" i="364"/>
  <c r="K1643" i="364"/>
  <c r="K1673" i="364"/>
  <c r="K1688" i="364"/>
  <c r="K1733" i="364"/>
  <c r="K1841" i="364"/>
  <c r="K1444" i="364"/>
  <c r="K1469" i="364"/>
  <c r="K1475" i="364"/>
  <c r="K1481" i="364"/>
  <c r="K1508" i="364"/>
  <c r="K1521" i="364"/>
  <c r="K1548" i="364"/>
  <c r="K1555" i="364"/>
  <c r="K1561" i="364"/>
  <c r="K1576" i="364"/>
  <c r="K1696" i="364"/>
  <c r="K1742" i="364"/>
  <c r="K1866" i="364"/>
  <c r="K1272" i="364"/>
  <c r="K1292" i="364"/>
  <c r="K1308" i="364"/>
  <c r="K1324" i="364"/>
  <c r="K1340" i="364"/>
  <c r="K1356" i="364"/>
  <c r="K1372" i="364"/>
  <c r="K1388" i="364"/>
  <c r="K1404" i="364"/>
  <c r="K1427" i="364"/>
  <c r="K1433" i="364"/>
  <c r="K1451" i="364"/>
  <c r="K1457" i="364"/>
  <c r="K1476" i="364"/>
  <c r="K1556" i="364"/>
  <c r="K1569" i="364"/>
  <c r="K1577" i="364"/>
  <c r="K1610" i="364"/>
  <c r="K1623" i="364"/>
  <c r="K1660" i="364"/>
  <c r="K1667" i="364"/>
  <c r="K1891" i="364"/>
  <c r="K1407" i="364"/>
  <c r="K1423" i="364"/>
  <c r="K1439" i="364"/>
  <c r="K1455" i="364"/>
  <c r="K1471" i="364"/>
  <c r="K1487" i="364"/>
  <c r="K1503" i="364"/>
  <c r="K1519" i="364"/>
  <c r="K1535" i="364"/>
  <c r="K1551" i="364"/>
  <c r="K1567" i="364"/>
  <c r="K1603" i="364"/>
  <c r="K1608" i="364"/>
  <c r="K1619" i="364"/>
  <c r="K1624" i="364"/>
  <c r="K1657" i="364"/>
  <c r="K1690" i="364"/>
  <c r="K1713" i="364"/>
  <c r="K1731" i="364"/>
  <c r="K1761" i="364"/>
  <c r="K1768" i="364"/>
  <c r="K1811" i="364"/>
  <c r="K1818" i="364"/>
  <c r="K1880" i="364"/>
  <c r="K1445" i="364"/>
  <c r="K1461" i="364"/>
  <c r="K1477" i="364"/>
  <c r="K1493" i="364"/>
  <c r="K1509" i="364"/>
  <c r="K1525" i="364"/>
  <c r="K1541" i="364"/>
  <c r="K1557" i="364"/>
  <c r="K1578" i="364"/>
  <c r="K1625" i="364"/>
  <c r="K1658" i="364"/>
  <c r="K1674" i="364"/>
  <c r="K1691" i="364"/>
  <c r="K1719" i="364"/>
  <c r="K1762" i="364"/>
  <c r="K1793" i="364"/>
  <c r="K1800" i="364"/>
  <c r="K1843" i="364"/>
  <c r="K1850" i="364"/>
  <c r="K1862" i="364"/>
  <c r="K1515" i="364"/>
  <c r="K1531" i="364"/>
  <c r="K1547" i="364"/>
  <c r="K1563" i="364"/>
  <c r="K1579" i="364"/>
  <c r="K1594" i="364"/>
  <c r="K1626" i="364"/>
  <c r="K1642" i="364"/>
  <c r="K1659" i="364"/>
  <c r="K1675" i="364"/>
  <c r="K1680" i="364"/>
  <c r="K1697" i="364"/>
  <c r="K1720" i="364"/>
  <c r="K1738" i="364"/>
  <c r="K1744" i="364"/>
  <c r="K1763" i="364"/>
  <c r="K1825" i="364"/>
  <c r="K1832" i="364"/>
  <c r="K1875" i="364"/>
  <c r="K1882" i="364"/>
  <c r="K1894" i="364"/>
  <c r="K1681" i="364"/>
  <c r="K1698" i="364"/>
  <c r="K1704" i="364"/>
  <c r="K1715" i="364"/>
  <c r="K1721" i="364"/>
  <c r="K1745" i="364"/>
  <c r="K1751" i="364"/>
  <c r="K1770" i="364"/>
  <c r="K1776" i="364"/>
  <c r="K1795" i="364"/>
  <c r="K1857" i="364"/>
  <c r="K1864" i="364"/>
  <c r="K1876" i="364"/>
  <c r="K1399" i="364"/>
  <c r="K1415" i="364"/>
  <c r="K1431" i="364"/>
  <c r="K1447" i="364"/>
  <c r="K1463" i="364"/>
  <c r="K1479" i="364"/>
  <c r="K1495" i="364"/>
  <c r="K1511" i="364"/>
  <c r="K1527" i="364"/>
  <c r="K1543" i="364"/>
  <c r="K1559" i="364"/>
  <c r="K1585" i="364"/>
  <c r="K1611" i="364"/>
  <c r="K1616" i="364"/>
  <c r="K1649" i="364"/>
  <c r="K1665" i="364"/>
  <c r="K1699" i="364"/>
  <c r="K1722" i="364"/>
  <c r="K1752" i="364"/>
  <c r="K1777" i="364"/>
  <c r="K1783" i="364"/>
  <c r="K1802" i="364"/>
  <c r="K1827" i="364"/>
  <c r="K1889" i="364"/>
  <c r="K1896" i="364"/>
  <c r="K1485" i="364"/>
  <c r="K1501" i="364"/>
  <c r="K1517" i="364"/>
  <c r="K1533" i="364"/>
  <c r="K1549" i="364"/>
  <c r="K1565" i="364"/>
  <c r="K1575" i="364"/>
  <c r="K1601" i="364"/>
  <c r="K1617" i="364"/>
  <c r="K1633" i="364"/>
  <c r="K1666" i="364"/>
  <c r="K1687" i="364"/>
  <c r="K1723" i="364"/>
  <c r="K1753" i="364"/>
  <c r="K1784" i="364"/>
  <c r="K1809" i="364"/>
  <c r="K1815" i="364"/>
  <c r="K1834" i="364"/>
  <c r="K1859" i="364"/>
  <c r="K1635" i="364"/>
  <c r="K1640" i="364"/>
  <c r="K1651" i="364"/>
  <c r="K1656" i="364"/>
  <c r="K1689" i="364"/>
  <c r="K1712" i="364"/>
  <c r="K1730" i="364"/>
  <c r="K1736" i="364"/>
  <c r="K1779" i="364"/>
  <c r="K1786" i="364"/>
  <c r="K1848" i="364"/>
  <c r="K1873" i="364"/>
  <c r="K1879" i="364"/>
  <c r="K1707" i="364"/>
  <c r="K1739" i="364"/>
  <c r="K1771" i="364"/>
  <c r="K1803" i="364"/>
  <c r="K1835" i="364"/>
  <c r="K1867" i="364"/>
  <c r="K1607" i="364"/>
  <c r="K1639" i="364"/>
  <c r="K1671" i="364"/>
  <c r="K1703" i="364"/>
  <c r="K1735" i="364"/>
  <c r="K1767" i="364"/>
  <c r="K1799" i="364"/>
  <c r="K1831" i="364"/>
  <c r="K1863" i="364"/>
  <c r="K1895" i="364"/>
  <c r="K1599" i="364"/>
  <c r="K1631" i="364"/>
  <c r="K1663" i="364"/>
  <c r="K1695" i="364"/>
  <c r="K1727" i="364"/>
  <c r="K1759" i="364"/>
  <c r="K1791" i="364"/>
  <c r="K1823" i="364"/>
  <c r="K1855" i="364"/>
  <c r="K1887" i="364"/>
  <c r="K1755" i="364"/>
  <c r="K1787" i="364"/>
  <c r="K1819" i="364"/>
  <c r="K1851" i="364"/>
  <c r="K1883" i="364"/>
  <c r="K1583" i="364"/>
  <c r="K1615" i="364"/>
  <c r="K1647" i="364"/>
  <c r="K1679" i="364"/>
  <c r="K1711" i="364"/>
  <c r="K1743" i="364"/>
  <c r="K1775" i="364"/>
  <c r="K1807" i="364"/>
  <c r="K1839" i="364"/>
  <c r="K1871" i="364"/>
  <c r="C14" i="353"/>
  <c r="C28" i="385" s="1"/>
  <c r="C12" i="353" a="1"/>
  <c r="C12" i="353" s="1"/>
  <c r="J5" i="376" s="1"/>
  <c r="C13" i="353"/>
  <c r="P46" i="379" s="1"/>
  <c r="AC46" i="379"/>
  <c r="C23" i="385"/>
  <c r="AD46" i="379"/>
  <c r="C13" i="385"/>
  <c r="F10" i="389" s="1"/>
  <c r="G10" i="389" s="1"/>
  <c r="U46" i="379"/>
  <c r="T46" i="380"/>
  <c r="C16" i="385"/>
  <c r="C35" i="385"/>
  <c r="E8" i="355"/>
  <c r="J3" i="346"/>
  <c r="L46" i="379"/>
  <c r="U46" i="380"/>
  <c r="C4" i="385"/>
  <c r="C17" i="385"/>
  <c r="J46" i="378"/>
  <c r="N46" i="380"/>
  <c r="C8" i="385"/>
  <c r="AA42" i="380"/>
  <c r="Z45" i="380"/>
  <c r="AA43" i="380"/>
  <c r="AA45" i="380"/>
  <c r="AA44" i="380"/>
  <c r="Z42" i="380"/>
  <c r="Z43" i="380"/>
  <c r="Z44" i="380"/>
  <c r="AN30" i="379"/>
  <c r="AN29" i="379"/>
  <c r="AN28" i="379"/>
  <c r="AN27" i="379"/>
  <c r="AN26" i="379"/>
  <c r="AN25" i="379"/>
  <c r="AN24" i="379"/>
  <c r="AN23" i="379"/>
  <c r="AN22" i="379"/>
  <c r="AN21" i="379"/>
  <c r="AN20" i="379"/>
  <c r="AN19" i="379"/>
  <c r="AN18" i="379"/>
  <c r="AN17" i="379"/>
  <c r="AN16" i="379"/>
  <c r="AN15" i="379"/>
  <c r="AN14" i="379"/>
  <c r="AN13" i="379"/>
  <c r="AI45" i="379"/>
  <c r="O43" i="379"/>
  <c r="AN12" i="379"/>
  <c r="AM45" i="379"/>
  <c r="AE45" i="379"/>
  <c r="AA42" i="379"/>
  <c r="W45" i="379"/>
  <c r="S42" i="379"/>
  <c r="AN11" i="379"/>
  <c r="K43" i="379"/>
  <c r="G44" i="379"/>
  <c r="AM42" i="379"/>
  <c r="AM44" i="379"/>
  <c r="AM43" i="379"/>
  <c r="AI42" i="379"/>
  <c r="AI44" i="379"/>
  <c r="AI43" i="379"/>
  <c r="AE44" i="379"/>
  <c r="AE43" i="379"/>
  <c r="AE42" i="379"/>
  <c r="AA43" i="379"/>
  <c r="AA45" i="379"/>
  <c r="AA44" i="379"/>
  <c r="W42" i="379"/>
  <c r="W43" i="379"/>
  <c r="W44" i="379"/>
  <c r="S45" i="379"/>
  <c r="S43" i="379"/>
  <c r="S46" i="379" s="1"/>
  <c r="S44" i="379"/>
  <c r="O44" i="379"/>
  <c r="O45" i="379"/>
  <c r="O42" i="379"/>
  <c r="K42" i="379"/>
  <c r="K44" i="379"/>
  <c r="K45" i="379"/>
  <c r="G43" i="379"/>
  <c r="G46" i="379" s="1"/>
  <c r="AN10" i="379"/>
  <c r="G45" i="379"/>
  <c r="G42" i="379"/>
  <c r="I45" i="378"/>
  <c r="I44" i="378"/>
  <c r="I42" i="378"/>
  <c r="F44" i="378"/>
  <c r="I43" i="378"/>
  <c r="I46" i="378" s="1"/>
  <c r="F43" i="378"/>
  <c r="F42" i="378"/>
  <c r="F45" i="378"/>
  <c r="E19" i="349"/>
  <c r="G15" i="349"/>
  <c r="G18" i="349"/>
  <c r="E17" i="349"/>
  <c r="E18" i="349"/>
  <c r="E16" i="349"/>
  <c r="G17" i="349"/>
  <c r="J16" i="349"/>
  <c r="G16" i="349"/>
  <c r="G19" i="349"/>
  <c r="J18" i="349"/>
  <c r="D18" i="349"/>
  <c r="E15" i="349"/>
  <c r="J17" i="349"/>
  <c r="J20" i="349"/>
  <c r="J15" i="349"/>
  <c r="D17" i="349"/>
  <c r="J19" i="349"/>
  <c r="D16" i="349"/>
  <c r="E20" i="349"/>
  <c r="D15" i="349"/>
  <c r="D19" i="349"/>
  <c r="AK107" i="344" l="1"/>
  <c r="AL107" i="344" s="1"/>
  <c r="AK103" i="344"/>
  <c r="AL103" i="344" s="1"/>
  <c r="AK101" i="344"/>
  <c r="AL101" i="344" s="1"/>
  <c r="AK111" i="344"/>
  <c r="AL111" i="344" s="1"/>
  <c r="AK105" i="344"/>
  <c r="AL105" i="344" s="1"/>
  <c r="C38" i="343" a="1"/>
  <c r="C38" i="343" s="1"/>
  <c r="C43" i="343" a="1"/>
  <c r="C43" i="343" s="1"/>
  <c r="AN112" i="344"/>
  <c r="AO112" i="344" s="1"/>
  <c r="AN108" i="344"/>
  <c r="AO108" i="344" s="1"/>
  <c r="AN106" i="344"/>
  <c r="AO106" i="344" s="1"/>
  <c r="AN104" i="344"/>
  <c r="AO104" i="344" s="1"/>
  <c r="AN102" i="344"/>
  <c r="AO102" i="344" s="1"/>
  <c r="AN110" i="344"/>
  <c r="AO110" i="344" s="1"/>
  <c r="AK112" i="344"/>
  <c r="AL112" i="344" s="1"/>
  <c r="AK104" i="344"/>
  <c r="AL104" i="344" s="1"/>
  <c r="C42" i="343" a="1"/>
  <c r="C42" i="343" s="1"/>
  <c r="AK108" i="344"/>
  <c r="AL108" i="344" s="1"/>
  <c r="AK106" i="344"/>
  <c r="AL106" i="344" s="1"/>
  <c r="AK102" i="344"/>
  <c r="AL102" i="344" s="1"/>
  <c r="AK110" i="344"/>
  <c r="AL110" i="344" s="1"/>
  <c r="AN111" i="344"/>
  <c r="AO111" i="344" s="1"/>
  <c r="AN107" i="344"/>
  <c r="AO107" i="344" s="1"/>
  <c r="AN105" i="344"/>
  <c r="AO105" i="344" s="1"/>
  <c r="AN103" i="344"/>
  <c r="AO103" i="344" s="1"/>
  <c r="AN101" i="344"/>
  <c r="AO101" i="344" s="1"/>
  <c r="AB24" i="344"/>
  <c r="AB15" i="344"/>
  <c r="AB7" i="344"/>
  <c r="AB18" i="344"/>
  <c r="AB12" i="344"/>
  <c r="AB20" i="344"/>
  <c r="AB4" i="344"/>
  <c r="AB26" i="344"/>
  <c r="AB22" i="344"/>
  <c r="AB9" i="344"/>
  <c r="AB16" i="344"/>
  <c r="AB14" i="344"/>
  <c r="AB6" i="344"/>
  <c r="AB19" i="344"/>
  <c r="AB11" i="344"/>
  <c r="AB3" i="344"/>
  <c r="AB8" i="344"/>
  <c r="AB25" i="344"/>
  <c r="AB21" i="344"/>
  <c r="AB17" i="344"/>
  <c r="AB13" i="344"/>
  <c r="AB5" i="344"/>
  <c r="AB23" i="344"/>
  <c r="AB10" i="344"/>
  <c r="C25" i="345"/>
  <c r="C16" i="345"/>
  <c r="C5" i="345"/>
  <c r="C14" i="345"/>
  <c r="C10" i="345"/>
  <c r="C34" i="345"/>
  <c r="C23" i="345"/>
  <c r="C12" i="345"/>
  <c r="C32" i="345"/>
  <c r="C30" i="345"/>
  <c r="C21" i="345"/>
  <c r="C19" i="345"/>
  <c r="C28" i="345"/>
  <c r="C26" i="345"/>
  <c r="C17" i="345"/>
  <c r="C8" i="345"/>
  <c r="C15" i="345"/>
  <c r="C6" i="345"/>
  <c r="C33" i="345"/>
  <c r="C24" i="345"/>
  <c r="C13" i="345"/>
  <c r="C35" i="345"/>
  <c r="C11" i="345"/>
  <c r="C31" i="345"/>
  <c r="C29" i="345"/>
  <c r="C22" i="345"/>
  <c r="C20" i="345"/>
  <c r="C18" i="345"/>
  <c r="C9" i="345"/>
  <c r="C27" i="345"/>
  <c r="C7" i="345"/>
  <c r="S25" i="344"/>
  <c r="AN63" i="344"/>
  <c r="C40" i="343"/>
  <c r="S26" i="344"/>
  <c r="S10" i="344"/>
  <c r="AC20" i="344"/>
  <c r="AC18" i="344"/>
  <c r="AC12" i="344"/>
  <c r="AC4" i="344"/>
  <c r="AC26" i="344"/>
  <c r="AC22" i="344"/>
  <c r="AC9" i="344"/>
  <c r="AC16" i="344"/>
  <c r="AC14" i="344"/>
  <c r="AC6" i="344"/>
  <c r="AC19" i="344"/>
  <c r="AC11" i="344"/>
  <c r="AC3" i="344"/>
  <c r="AC25" i="344"/>
  <c r="AC8" i="344"/>
  <c r="AC17" i="344"/>
  <c r="AC21" i="344"/>
  <c r="AC13" i="344"/>
  <c r="AC5" i="344"/>
  <c r="AC23" i="344"/>
  <c r="AC10" i="344"/>
  <c r="AC24" i="344"/>
  <c r="AC15" i="344"/>
  <c r="AC7" i="344"/>
  <c r="AA23" i="344"/>
  <c r="AA10" i="344"/>
  <c r="AA24" i="344"/>
  <c r="AA7" i="344"/>
  <c r="AA15" i="344"/>
  <c r="AA20" i="344"/>
  <c r="AA18" i="344"/>
  <c r="AA12" i="344"/>
  <c r="AA4" i="344"/>
  <c r="AA26" i="344"/>
  <c r="AA22" i="344"/>
  <c r="AA9" i="344"/>
  <c r="AA16" i="344"/>
  <c r="AA14" i="344"/>
  <c r="AA6" i="344"/>
  <c r="AA19" i="344"/>
  <c r="AA11" i="344"/>
  <c r="AA3" i="344"/>
  <c r="AA25" i="344"/>
  <c r="AA8" i="344"/>
  <c r="AA21" i="344"/>
  <c r="AA17" i="344"/>
  <c r="AA13" i="344"/>
  <c r="AA5" i="344"/>
  <c r="C7" i="343"/>
  <c r="AI2" i="344" s="1"/>
  <c r="J17" i="393" a="1"/>
  <c r="J17" i="393" s="1"/>
  <c r="M26" i="391"/>
  <c r="F26" i="391"/>
  <c r="K26" i="391" s="1"/>
  <c r="E5" i="355"/>
  <c r="C14" i="385"/>
  <c r="E6" i="355"/>
  <c r="E7" i="355"/>
  <c r="J49" i="393" a="1"/>
  <c r="J49" i="393" s="1"/>
  <c r="U3" i="344"/>
  <c r="T19" i="344"/>
  <c r="AL4" i="344"/>
  <c r="X3" i="344"/>
  <c r="T11" i="344"/>
  <c r="AK4" i="344"/>
  <c r="S11" i="344"/>
  <c r="AK3" i="344"/>
  <c r="T3" i="344"/>
  <c r="AJ4" i="344"/>
  <c r="AL3" i="344"/>
  <c r="S19" i="344"/>
  <c r="AJ3" i="344"/>
  <c r="S3" i="344"/>
  <c r="I10" i="389"/>
  <c r="J50" i="393" a="1"/>
  <c r="J50" i="393" s="1"/>
  <c r="B29" i="391" a="1"/>
  <c r="B29" i="391" s="1"/>
  <c r="F27" i="391"/>
  <c r="K27" i="391" s="1"/>
  <c r="M27" i="391"/>
  <c r="E28" i="391"/>
  <c r="N28" i="391"/>
  <c r="G28" i="391"/>
  <c r="H28" i="391"/>
  <c r="I28" i="391"/>
  <c r="J28" i="391"/>
  <c r="D28" i="391"/>
  <c r="C28" i="391"/>
  <c r="D48" i="378"/>
  <c r="N42" i="378" s="1"/>
  <c r="N44" i="378" s="1"/>
  <c r="T46" i="379"/>
  <c r="X46" i="380"/>
  <c r="C29" i="385"/>
  <c r="F46" i="378"/>
  <c r="AA46" i="379"/>
  <c r="Z46" i="380"/>
  <c r="V46" i="380"/>
  <c r="M46" i="380"/>
  <c r="D46" i="380"/>
  <c r="J46" i="380"/>
  <c r="AE46" i="379"/>
  <c r="F46" i="380"/>
  <c r="H46" i="378"/>
  <c r="C34" i="385"/>
  <c r="C32" i="385"/>
  <c r="K46" i="379"/>
  <c r="O46" i="379"/>
  <c r="M46" i="379"/>
  <c r="C24" i="385"/>
  <c r="C25" i="385" s="1"/>
  <c r="Q46" i="380"/>
  <c r="E4" i="355"/>
  <c r="D3" i="379"/>
  <c r="W46" i="379"/>
  <c r="AI46" i="379"/>
  <c r="AA46" i="380"/>
  <c r="AH46" i="379"/>
  <c r="AG46" i="379"/>
  <c r="L46" i="380"/>
  <c r="K46" i="380"/>
  <c r="D46" i="378"/>
  <c r="C10" i="385"/>
  <c r="K4" i="355"/>
  <c r="AM46" i="379"/>
  <c r="C18" i="385"/>
  <c r="C27" i="385"/>
  <c r="J46" i="379"/>
  <c r="E46" i="378"/>
  <c r="AL46" i="379"/>
  <c r="C9" i="385"/>
  <c r="F9" i="389" s="1"/>
  <c r="K5" i="355"/>
  <c r="G46" i="378"/>
  <c r="C33" i="385"/>
  <c r="AB46" i="379"/>
  <c r="D46" i="379"/>
  <c r="Q46" i="379"/>
  <c r="C3" i="385"/>
  <c r="D3" i="382"/>
  <c r="AJ46" i="379"/>
  <c r="D3" i="378"/>
  <c r="R46" i="379"/>
  <c r="AK46" i="379"/>
  <c r="D3" i="380"/>
  <c r="Z46" i="379"/>
  <c r="C30" i="385"/>
  <c r="V5" i="346"/>
  <c r="X46" i="379"/>
  <c r="E46" i="380"/>
  <c r="I30" i="346"/>
  <c r="I22" i="346"/>
  <c r="I14" i="346"/>
  <c r="I5" i="346"/>
  <c r="I29" i="346"/>
  <c r="I21" i="346"/>
  <c r="I13" i="346"/>
  <c r="I8" i="346"/>
  <c r="I28" i="346"/>
  <c r="I20" i="346"/>
  <c r="I12" i="346"/>
  <c r="I35" i="346"/>
  <c r="I27" i="346"/>
  <c r="I19" i="346"/>
  <c r="I11" i="346"/>
  <c r="I7" i="346"/>
  <c r="I34" i="346"/>
  <c r="I26" i="346"/>
  <c r="I18" i="346"/>
  <c r="I33" i="346"/>
  <c r="I25" i="346"/>
  <c r="I17" i="346"/>
  <c r="I10" i="346"/>
  <c r="I6" i="346"/>
  <c r="I31" i="346"/>
  <c r="I23" i="346"/>
  <c r="I15" i="346"/>
  <c r="I9" i="346"/>
  <c r="I32" i="346"/>
  <c r="I24" i="346"/>
  <c r="I16" i="346"/>
  <c r="AF46" i="379"/>
  <c r="S46" i="380"/>
  <c r="R46" i="380"/>
  <c r="I46" i="380"/>
  <c r="W46" i="380"/>
  <c r="Y46" i="380"/>
  <c r="B37" i="380"/>
  <c r="B33" i="380"/>
  <c r="B30" i="380"/>
  <c r="B28" i="380"/>
  <c r="B26" i="380"/>
  <c r="B24" i="380"/>
  <c r="B22" i="380"/>
  <c r="B20" i="380"/>
  <c r="B18" i="380"/>
  <c r="B16" i="380"/>
  <c r="B14" i="380"/>
  <c r="B12" i="380"/>
  <c r="B10" i="380"/>
  <c r="B40" i="379"/>
  <c r="B36" i="379"/>
  <c r="B32" i="379"/>
  <c r="B25" i="379"/>
  <c r="C25" i="379" s="1"/>
  <c r="B17" i="379"/>
  <c r="C17" i="379" s="1"/>
  <c r="B30" i="378"/>
  <c r="B28" i="378"/>
  <c r="B26" i="378"/>
  <c r="B24" i="378"/>
  <c r="B15" i="378"/>
  <c r="B13" i="378"/>
  <c r="B11" i="378"/>
  <c r="B30" i="379"/>
  <c r="C30" i="379" s="1"/>
  <c r="B22" i="379"/>
  <c r="C22" i="379" s="1"/>
  <c r="B14" i="379"/>
  <c r="C14" i="379" s="1"/>
  <c r="B37" i="378"/>
  <c r="B33" i="378"/>
  <c r="B22" i="378"/>
  <c r="B38" i="380"/>
  <c r="B34" i="380"/>
  <c r="B37" i="379"/>
  <c r="B33" i="379"/>
  <c r="B27" i="379"/>
  <c r="C27" i="379" s="1"/>
  <c r="B19" i="379"/>
  <c r="C19" i="379" s="1"/>
  <c r="B11" i="379"/>
  <c r="C11" i="379" s="1"/>
  <c r="B20" i="378"/>
  <c r="B18" i="378"/>
  <c r="B24" i="379"/>
  <c r="C24" i="379" s="1"/>
  <c r="B16" i="379"/>
  <c r="C16" i="379" s="1"/>
  <c r="B38" i="378"/>
  <c r="B34" i="378"/>
  <c r="B39" i="380"/>
  <c r="B35" i="380"/>
  <c r="B31" i="380"/>
  <c r="B29" i="380"/>
  <c r="B27" i="380"/>
  <c r="B25" i="380"/>
  <c r="B23" i="380"/>
  <c r="B21" i="380"/>
  <c r="B19" i="380"/>
  <c r="B17" i="380"/>
  <c r="B15" i="380"/>
  <c r="B13" i="380"/>
  <c r="B11" i="380"/>
  <c r="B38" i="379"/>
  <c r="B34" i="379"/>
  <c r="B29" i="379"/>
  <c r="C29" i="379" s="1"/>
  <c r="B21" i="379"/>
  <c r="C21" i="379" s="1"/>
  <c r="B13" i="379"/>
  <c r="C13" i="379" s="1"/>
  <c r="B31" i="378"/>
  <c r="B29" i="378"/>
  <c r="B27" i="378"/>
  <c r="B25" i="378"/>
  <c r="B16" i="378"/>
  <c r="B14" i="378"/>
  <c r="B12" i="378"/>
  <c r="B26" i="379"/>
  <c r="C26" i="379" s="1"/>
  <c r="B18" i="379"/>
  <c r="C18" i="379" s="1"/>
  <c r="B10" i="379"/>
  <c r="C10" i="379" s="1"/>
  <c r="B39" i="378"/>
  <c r="B35" i="378"/>
  <c r="B23" i="378"/>
  <c r="B21" i="378"/>
  <c r="B10" i="378"/>
  <c r="B40" i="380"/>
  <c r="B28" i="379"/>
  <c r="C28" i="379" s="1"/>
  <c r="B20" i="379"/>
  <c r="C20" i="379" s="1"/>
  <c r="B12" i="379"/>
  <c r="C12" i="379" s="1"/>
  <c r="B40" i="378"/>
  <c r="B36" i="378"/>
  <c r="B32" i="378"/>
  <c r="B35" i="379"/>
  <c r="B19" i="378"/>
  <c r="C7" i="353" a="1"/>
  <c r="C7" i="353" s="1"/>
  <c r="B36" i="380"/>
  <c r="B31" i="379"/>
  <c r="B39" i="379"/>
  <c r="B15" i="379"/>
  <c r="C15" i="379" s="1"/>
  <c r="B17" i="378"/>
  <c r="B32" i="380"/>
  <c r="B23" i="379"/>
  <c r="C23" i="379" s="1"/>
  <c r="V46" i="379"/>
  <c r="O46" i="380"/>
  <c r="E46" i="379"/>
  <c r="G46" i="380"/>
  <c r="AO30" i="379" a="1"/>
  <c r="AO30" i="379" s="1"/>
  <c r="I46" i="379"/>
  <c r="H46" i="379"/>
  <c r="F46" i="379"/>
  <c r="P46" i="380"/>
  <c r="Y46" i="379"/>
  <c r="AO10" i="379" a="1"/>
  <c r="AO10" i="379" s="1"/>
  <c r="AO16" i="379" a="1"/>
  <c r="AO16" i="379" s="1"/>
  <c r="H46" i="380"/>
  <c r="N46" i="379"/>
  <c r="AO25" i="379" a="1"/>
  <c r="AO25" i="379" s="1"/>
  <c r="AN44" i="379"/>
  <c r="AN42" i="379"/>
  <c r="AN45" i="379"/>
  <c r="AN43" i="379"/>
  <c r="AN46" i="379" s="1"/>
  <c r="D20" i="349"/>
  <c r="G20" i="349"/>
  <c r="J21" i="349"/>
  <c r="H7" i="345" l="1"/>
  <c r="AK66" i="344" s="1"/>
  <c r="F7" i="345"/>
  <c r="G7" i="345" s="1"/>
  <c r="D7" i="345"/>
  <c r="E7" i="345" s="1"/>
  <c r="AJ66" i="344" s="1"/>
  <c r="H11" i="345"/>
  <c r="AK70" i="344" s="1"/>
  <c r="F11" i="345"/>
  <c r="G11" i="345" s="1"/>
  <c r="D11" i="345"/>
  <c r="E11" i="345" s="1"/>
  <c r="AJ70" i="344" s="1"/>
  <c r="H17" i="345"/>
  <c r="AK76" i="344" s="1"/>
  <c r="F17" i="345"/>
  <c r="G17" i="345" s="1"/>
  <c r="D17" i="345"/>
  <c r="E17" i="345" s="1"/>
  <c r="AJ76" i="344" s="1"/>
  <c r="D23" i="345"/>
  <c r="E23" i="345" s="1"/>
  <c r="AJ82" i="344" s="1"/>
  <c r="H23" i="345"/>
  <c r="AK82" i="344" s="1"/>
  <c r="F23" i="345"/>
  <c r="G23" i="345" s="1"/>
  <c r="AL63" i="344"/>
  <c r="AL23" i="344"/>
  <c r="AK23" i="344"/>
  <c r="AJ23" i="344"/>
  <c r="H27" i="345"/>
  <c r="AK86" i="344" s="1"/>
  <c r="F27" i="345"/>
  <c r="G27" i="345" s="1"/>
  <c r="D27" i="345"/>
  <c r="E27" i="345" s="1"/>
  <c r="AJ86" i="344" s="1"/>
  <c r="I35" i="345"/>
  <c r="H35" i="345"/>
  <c r="AK94" i="344" s="1"/>
  <c r="F35" i="345"/>
  <c r="G35" i="345" s="1"/>
  <c r="D35" i="345"/>
  <c r="E35" i="345" s="1"/>
  <c r="AJ94" i="344" s="1"/>
  <c r="H26" i="345"/>
  <c r="AK85" i="344" s="1"/>
  <c r="F26" i="345"/>
  <c r="D26" i="345"/>
  <c r="E26" i="345" s="1"/>
  <c r="AJ85" i="344" s="1"/>
  <c r="D34" i="345"/>
  <c r="E34" i="345" s="1"/>
  <c r="AJ93" i="344" s="1"/>
  <c r="H34" i="345"/>
  <c r="AK93" i="344" s="1"/>
  <c r="F34" i="345"/>
  <c r="AL29" i="344"/>
  <c r="AM63" i="344"/>
  <c r="AK29" i="344"/>
  <c r="AJ29" i="344"/>
  <c r="H9" i="345"/>
  <c r="AK68" i="344" s="1"/>
  <c r="F9" i="345"/>
  <c r="G9" i="345" s="1"/>
  <c r="D9" i="345"/>
  <c r="E9" i="345" s="1"/>
  <c r="AJ68" i="344" s="1"/>
  <c r="H13" i="345"/>
  <c r="AK72" i="344" s="1"/>
  <c r="F13" i="345"/>
  <c r="G13" i="345" s="1"/>
  <c r="D13" i="345"/>
  <c r="E13" i="345" s="1"/>
  <c r="AJ72" i="344" s="1"/>
  <c r="H28" i="345"/>
  <c r="AK87" i="344" s="1"/>
  <c r="F28" i="345"/>
  <c r="G28" i="345" s="1"/>
  <c r="D28" i="345"/>
  <c r="E28" i="345" s="1"/>
  <c r="AJ87" i="344" s="1"/>
  <c r="D10" i="345"/>
  <c r="E10" i="345" s="1"/>
  <c r="AJ69" i="344" s="1"/>
  <c r="H10" i="345"/>
  <c r="AK69" i="344" s="1"/>
  <c r="F10" i="345"/>
  <c r="AY7" i="294"/>
  <c r="J29" i="393" s="1" a="1"/>
  <c r="J29" i="393" s="1"/>
  <c r="AP62" i="344"/>
  <c r="AI62" i="344"/>
  <c r="AL27" i="344"/>
  <c r="AL21" i="344"/>
  <c r="H18" i="345"/>
  <c r="AK77" i="344" s="1"/>
  <c r="F18" i="345"/>
  <c r="D18" i="345"/>
  <c r="E18" i="345" s="1"/>
  <c r="AJ77" i="344" s="1"/>
  <c r="H24" i="345"/>
  <c r="F24" i="345"/>
  <c r="G24" i="345" s="1"/>
  <c r="D24" i="345"/>
  <c r="E24" i="345" s="1"/>
  <c r="AJ83" i="344" s="1"/>
  <c r="F19" i="345"/>
  <c r="G19" i="345" s="1"/>
  <c r="D19" i="345"/>
  <c r="E19" i="345" s="1"/>
  <c r="AJ78" i="344" s="1"/>
  <c r="H19" i="345"/>
  <c r="AK78" i="344" s="1"/>
  <c r="I19" i="345"/>
  <c r="D14" i="345"/>
  <c r="E14" i="345" s="1"/>
  <c r="AJ73" i="344" s="1"/>
  <c r="H14" i="345"/>
  <c r="AK73" i="344" s="1"/>
  <c r="F14" i="345"/>
  <c r="G14" i="345" s="1"/>
  <c r="H20" i="345"/>
  <c r="AK79" i="344" s="1"/>
  <c r="F20" i="345"/>
  <c r="G20" i="345" s="1"/>
  <c r="D20" i="345"/>
  <c r="E20" i="345" s="1"/>
  <c r="AJ79" i="344" s="1"/>
  <c r="H33" i="345"/>
  <c r="AK92" i="344" s="1"/>
  <c r="F33" i="345"/>
  <c r="G33" i="345" s="1"/>
  <c r="D33" i="345"/>
  <c r="E33" i="345" s="1"/>
  <c r="AJ92" i="344" s="1"/>
  <c r="F21" i="345"/>
  <c r="G21" i="345" s="1"/>
  <c r="D21" i="345"/>
  <c r="E21" i="345" s="1"/>
  <c r="AJ80" i="344" s="1"/>
  <c r="H21" i="345"/>
  <c r="AK80" i="344" s="1"/>
  <c r="H5" i="345"/>
  <c r="F5" i="345"/>
  <c r="G5" i="345" s="1"/>
  <c r="D5" i="345"/>
  <c r="J56" i="393" a="1"/>
  <c r="J56" i="393" s="1"/>
  <c r="H22" i="345"/>
  <c r="AK81" i="344" s="1"/>
  <c r="F22" i="345"/>
  <c r="G22" i="345" s="1"/>
  <c r="D22" i="345"/>
  <c r="E22" i="345" s="1"/>
  <c r="AJ81" i="344" s="1"/>
  <c r="H6" i="345"/>
  <c r="AK65" i="344" s="1"/>
  <c r="F6" i="345"/>
  <c r="G6" i="345" s="1"/>
  <c r="D6" i="345"/>
  <c r="E6" i="345" s="1"/>
  <c r="AJ65" i="344" s="1"/>
  <c r="F30" i="345"/>
  <c r="G30" i="345" s="1"/>
  <c r="D30" i="345"/>
  <c r="E30" i="345" s="1"/>
  <c r="AJ89" i="344" s="1"/>
  <c r="H30" i="345"/>
  <c r="AK89" i="344" s="1"/>
  <c r="H16" i="345"/>
  <c r="F16" i="345"/>
  <c r="G16" i="345" s="1"/>
  <c r="D16" i="345"/>
  <c r="E16" i="345" s="1"/>
  <c r="AJ75" i="344" s="1"/>
  <c r="H29" i="345"/>
  <c r="AK88" i="344" s="1"/>
  <c r="F29" i="345"/>
  <c r="G29" i="345" s="1"/>
  <c r="D29" i="345"/>
  <c r="E29" i="345" s="1"/>
  <c r="AJ88" i="344" s="1"/>
  <c r="H15" i="345"/>
  <c r="AK74" i="344" s="1"/>
  <c r="AJ28" i="344" s="1" a="1"/>
  <c r="AJ28" i="344" s="1"/>
  <c r="AJ30" i="344" s="1"/>
  <c r="F15" i="345"/>
  <c r="G15" i="345" s="1"/>
  <c r="D15" i="345"/>
  <c r="E15" i="345" s="1"/>
  <c r="AJ74" i="344" s="1"/>
  <c r="F32" i="345"/>
  <c r="G32" i="345" s="1"/>
  <c r="D32" i="345"/>
  <c r="E32" i="345" s="1"/>
  <c r="AJ91" i="344" s="1"/>
  <c r="H32" i="345"/>
  <c r="AK91" i="344" s="1"/>
  <c r="H25" i="345"/>
  <c r="AK84" i="344" s="1"/>
  <c r="F25" i="345"/>
  <c r="G25" i="345" s="1"/>
  <c r="D25" i="345"/>
  <c r="E25" i="345" s="1"/>
  <c r="AJ84" i="344" s="1"/>
  <c r="H31" i="345"/>
  <c r="AK90" i="344" s="1"/>
  <c r="F31" i="345"/>
  <c r="G31" i="345" s="1"/>
  <c r="D31" i="345"/>
  <c r="E31" i="345" s="1"/>
  <c r="AJ90" i="344" s="1"/>
  <c r="AL94" i="344" s="1"/>
  <c r="F8" i="345"/>
  <c r="G8" i="345" s="1"/>
  <c r="D8" i="345"/>
  <c r="E8" i="345" s="1"/>
  <c r="AJ67" i="344" s="1"/>
  <c r="H8" i="345"/>
  <c r="D12" i="345"/>
  <c r="E12" i="345" s="1"/>
  <c r="AJ71" i="344" s="1"/>
  <c r="H12" i="345"/>
  <c r="AK71" i="344" s="1"/>
  <c r="F12" i="345"/>
  <c r="G12" i="345" s="1"/>
  <c r="I12" i="345"/>
  <c r="M28" i="391"/>
  <c r="J37" i="393" a="1"/>
  <c r="J37" i="393" s="1"/>
  <c r="S27" i="344"/>
  <c r="U27" i="344" s="1"/>
  <c r="T29" i="344" s="1"/>
  <c r="AL6" i="344"/>
  <c r="G9" i="389"/>
  <c r="I9" i="389"/>
  <c r="C12" i="385"/>
  <c r="F14" i="389"/>
  <c r="F13" i="389"/>
  <c r="F12" i="389"/>
  <c r="AJ6" i="344"/>
  <c r="AM4" i="344"/>
  <c r="C21" i="385"/>
  <c r="F16" i="389" s="1"/>
  <c r="I16" i="389" s="1"/>
  <c r="AK6" i="344"/>
  <c r="AL7" i="344"/>
  <c r="AL5" i="344"/>
  <c r="J49" i="378"/>
  <c r="P42" i="378"/>
  <c r="P44" i="378" s="1"/>
  <c r="O42" i="378"/>
  <c r="O44" i="378" s="1"/>
  <c r="Z3" i="344"/>
  <c r="X4" i="344"/>
  <c r="Y3" i="344"/>
  <c r="AJ5" i="344"/>
  <c r="AM3" i="344"/>
  <c r="AJ7" i="344"/>
  <c r="AK7" i="344"/>
  <c r="AK5" i="344"/>
  <c r="V3" i="344"/>
  <c r="U4" i="344"/>
  <c r="W3" i="344"/>
  <c r="G16" i="389"/>
  <c r="J36" i="393" a="1"/>
  <c r="J36" i="393" s="1"/>
  <c r="B30" i="391" a="1"/>
  <c r="B30" i="391" s="1"/>
  <c r="F28" i="391"/>
  <c r="K28" i="391" s="1"/>
  <c r="L28" i="391"/>
  <c r="G29" i="391"/>
  <c r="H29" i="391"/>
  <c r="I29" i="391"/>
  <c r="J29" i="391"/>
  <c r="C29" i="391"/>
  <c r="D29" i="391"/>
  <c r="N29" i="391"/>
  <c r="E29" i="391"/>
  <c r="L29" i="391" s="1"/>
  <c r="AO24" i="379" a="1"/>
  <c r="AO24" i="379" s="1"/>
  <c r="C19" i="385"/>
  <c r="F17" i="389" s="1"/>
  <c r="C20" i="385"/>
  <c r="F15" i="389" s="1"/>
  <c r="I49" i="378"/>
  <c r="AO17" i="379" a="1"/>
  <c r="AO17" i="379" s="1"/>
  <c r="F49" i="378"/>
  <c r="C11" i="385"/>
  <c r="F7" i="389" s="1"/>
  <c r="AO29" i="379" a="1"/>
  <c r="AO29" i="379" s="1"/>
  <c r="AO21" i="379" a="1"/>
  <c r="AO21" i="379" s="1"/>
  <c r="AO15" i="379" a="1"/>
  <c r="AO15" i="379" s="1"/>
  <c r="AO11" i="379" a="1"/>
  <c r="AO11" i="379" s="1"/>
  <c r="AO22" i="379" a="1"/>
  <c r="AO22" i="379" s="1"/>
  <c r="AO14" i="379" a="1"/>
  <c r="AO14" i="379" s="1"/>
  <c r="U9" i="346"/>
  <c r="U6" i="346"/>
  <c r="U5" i="346"/>
  <c r="U8" i="346"/>
  <c r="U7" i="346"/>
  <c r="U10" i="346"/>
  <c r="C19" i="378"/>
  <c r="K19" i="378" a="1"/>
  <c r="K19" i="378" s="1"/>
  <c r="K31" i="378" a="1"/>
  <c r="K31" i="378" s="1"/>
  <c r="C31" i="378"/>
  <c r="C15" i="380"/>
  <c r="AB15" i="380" a="1"/>
  <c r="AB15" i="380" s="1"/>
  <c r="AB31" i="380" a="1"/>
  <c r="AB31" i="380" s="1"/>
  <c r="C31" i="380"/>
  <c r="C33" i="378"/>
  <c r="K33" i="378" a="1"/>
  <c r="K33" i="378" s="1"/>
  <c r="C24" i="378"/>
  <c r="K24" i="378" a="1"/>
  <c r="K24" i="378" s="1"/>
  <c r="AO40" i="379" a="1"/>
  <c r="AO40" i="379" s="1"/>
  <c r="C40" i="379"/>
  <c r="C24" i="380"/>
  <c r="AB24" i="380" a="1"/>
  <c r="AB24" i="380" s="1"/>
  <c r="AO20" i="379" a="1"/>
  <c r="AO20" i="379" s="1"/>
  <c r="AO27" i="379" a="1"/>
  <c r="AO27" i="379" s="1"/>
  <c r="AO19" i="379" a="1"/>
  <c r="AO19" i="379" s="1"/>
  <c r="AB32" i="380" a="1"/>
  <c r="AB32" i="380" s="1"/>
  <c r="C32" i="380"/>
  <c r="AO35" i="379" a="1"/>
  <c r="AO35" i="379" s="1"/>
  <c r="C35" i="379"/>
  <c r="K10" i="378" a="1"/>
  <c r="K10" i="378" s="1"/>
  <c r="C10" i="378"/>
  <c r="C12" i="378"/>
  <c r="K12" i="378" a="1"/>
  <c r="K12" i="378" s="1"/>
  <c r="C19" i="380"/>
  <c r="AB19" i="380" a="1"/>
  <c r="AB19" i="380" s="1"/>
  <c r="AB39" i="380" a="1"/>
  <c r="AB39" i="380" s="1"/>
  <c r="C39" i="380"/>
  <c r="C28" i="378"/>
  <c r="K28" i="378" a="1"/>
  <c r="K28" i="378" s="1"/>
  <c r="C12" i="380"/>
  <c r="AB12" i="380" a="1"/>
  <c r="AB12" i="380" s="1"/>
  <c r="C28" i="380"/>
  <c r="AB28" i="380" a="1"/>
  <c r="AB28" i="380" s="1"/>
  <c r="C10" i="380"/>
  <c r="AB10" i="380" a="1"/>
  <c r="AB10" i="380" s="1"/>
  <c r="C17" i="378"/>
  <c r="K17" i="378" a="1"/>
  <c r="K17" i="378" s="1"/>
  <c r="K32" i="378" a="1"/>
  <c r="K32" i="378" s="1"/>
  <c r="C32" i="378"/>
  <c r="C21" i="378"/>
  <c r="K21" i="378" a="1"/>
  <c r="K21" i="378" s="1"/>
  <c r="C14" i="378"/>
  <c r="K14" i="378" a="1"/>
  <c r="K14" i="378" s="1"/>
  <c r="C21" i="380"/>
  <c r="AB21" i="380" a="1"/>
  <c r="AB21" i="380" s="1"/>
  <c r="C34" i="378"/>
  <c r="K34" i="378" a="1"/>
  <c r="K34" i="378" s="1"/>
  <c r="C33" i="379"/>
  <c r="AO33" i="379" a="1"/>
  <c r="AO33" i="379" s="1"/>
  <c r="C30" i="378"/>
  <c r="K30" i="378" a="1"/>
  <c r="K30" i="378" s="1"/>
  <c r="C14" i="380"/>
  <c r="AB14" i="380" a="1"/>
  <c r="AB14" i="380" s="1"/>
  <c r="C30" i="380"/>
  <c r="AB30" i="380" a="1"/>
  <c r="AB30" i="380" s="1"/>
  <c r="AO23" i="379" a="1"/>
  <c r="AO23" i="379" s="1"/>
  <c r="K36" i="378" a="1"/>
  <c r="K36" i="378" s="1"/>
  <c r="C36" i="378"/>
  <c r="K23" i="378" a="1"/>
  <c r="K23" i="378" s="1"/>
  <c r="C23" i="378"/>
  <c r="K16" i="378" a="1"/>
  <c r="K16" i="378" s="1"/>
  <c r="C16" i="378"/>
  <c r="AO34" i="379" a="1"/>
  <c r="AO34" i="379" s="1"/>
  <c r="C34" i="379"/>
  <c r="C23" i="380"/>
  <c r="AB23" i="380" a="1"/>
  <c r="AB23" i="380" s="1"/>
  <c r="C38" i="378"/>
  <c r="K38" i="378" a="1"/>
  <c r="K38" i="378" s="1"/>
  <c r="C37" i="379"/>
  <c r="AO37" i="379" a="1"/>
  <c r="AO37" i="379" s="1"/>
  <c r="C16" i="380"/>
  <c r="AB16" i="380" a="1"/>
  <c r="AB16" i="380" s="1"/>
  <c r="AB33" i="380" a="1"/>
  <c r="AB33" i="380" s="1"/>
  <c r="C33" i="380"/>
  <c r="AB40" i="380" a="1"/>
  <c r="AB40" i="380" s="1"/>
  <c r="C40" i="380"/>
  <c r="C17" i="380"/>
  <c r="AB17" i="380" a="1"/>
  <c r="AB17" i="380" s="1"/>
  <c r="C37" i="378"/>
  <c r="K37" i="378" a="1"/>
  <c r="K37" i="378" s="1"/>
  <c r="C26" i="378"/>
  <c r="K26" i="378" a="1"/>
  <c r="K26" i="378" s="1"/>
  <c r="AO13" i="379" a="1"/>
  <c r="AO13" i="379" s="1"/>
  <c r="AO39" i="379" a="1"/>
  <c r="AO39" i="379" s="1"/>
  <c r="C39" i="379"/>
  <c r="K40" i="378" a="1"/>
  <c r="K40" i="378" s="1"/>
  <c r="C40" i="378"/>
  <c r="K35" i="378" a="1"/>
  <c r="K35" i="378" s="1"/>
  <c r="C35" i="378"/>
  <c r="C25" i="378"/>
  <c r="K25" i="378" a="1"/>
  <c r="K25" i="378" s="1"/>
  <c r="AO38" i="379" a="1"/>
  <c r="AO38" i="379" s="1"/>
  <c r="C38" i="379"/>
  <c r="C25" i="380"/>
  <c r="AB25" i="380" a="1"/>
  <c r="AB25" i="380" s="1"/>
  <c r="C34" i="380"/>
  <c r="AB34" i="380" a="1"/>
  <c r="AB34" i="380" s="1"/>
  <c r="C11" i="378"/>
  <c r="K11" i="378" a="1"/>
  <c r="K11" i="378" s="1"/>
  <c r="C18" i="380"/>
  <c r="AB18" i="380" a="1"/>
  <c r="AB18" i="380" s="1"/>
  <c r="AB37" i="380" a="1"/>
  <c r="AB37" i="380" s="1"/>
  <c r="C37" i="380"/>
  <c r="AO26" i="379" a="1"/>
  <c r="AO26" i="379" s="1"/>
  <c r="AO31" i="379" a="1"/>
  <c r="AO31" i="379" s="1"/>
  <c r="C31" i="379"/>
  <c r="K39" i="378" a="1"/>
  <c r="K39" i="378" s="1"/>
  <c r="C39" i="378"/>
  <c r="C27" i="378"/>
  <c r="K27" i="378" a="1"/>
  <c r="K27" i="378" s="1"/>
  <c r="C11" i="380"/>
  <c r="AB11" i="380" a="1"/>
  <c r="AB11" i="380" s="1"/>
  <c r="C27" i="380"/>
  <c r="AB27" i="380" a="1"/>
  <c r="AB27" i="380" s="1"/>
  <c r="C18" i="378"/>
  <c r="K18" i="378" a="1"/>
  <c r="K18" i="378" s="1"/>
  <c r="C38" i="380"/>
  <c r="AB38" i="380" a="1"/>
  <c r="AB38" i="380" s="1"/>
  <c r="C13" i="378"/>
  <c r="K13" i="378" a="1"/>
  <c r="K13" i="378" s="1"/>
  <c r="AO32" i="379" a="1"/>
  <c r="AO32" i="379" s="1"/>
  <c r="C32" i="379"/>
  <c r="C20" i="380"/>
  <c r="AB20" i="380" a="1"/>
  <c r="AB20" i="380" s="1"/>
  <c r="AO18" i="379" a="1"/>
  <c r="AO18" i="379" s="1"/>
  <c r="AB35" i="380" a="1"/>
  <c r="AB35" i="380" s="1"/>
  <c r="C35" i="380"/>
  <c r="C26" i="380"/>
  <c r="AB26" i="380" a="1"/>
  <c r="AB26" i="380" s="1"/>
  <c r="AB36" i="380" a="1"/>
  <c r="AB36" i="380" s="1"/>
  <c r="C36" i="380"/>
  <c r="C29" i="378"/>
  <c r="K29" i="378" a="1"/>
  <c r="K29" i="378" s="1"/>
  <c r="C13" i="380"/>
  <c r="AB13" i="380" a="1"/>
  <c r="AB13" i="380" s="1"/>
  <c r="C29" i="380"/>
  <c r="AB29" i="380" a="1"/>
  <c r="AB29" i="380" s="1"/>
  <c r="C20" i="378"/>
  <c r="K20" i="378" a="1"/>
  <c r="K20" i="378" s="1"/>
  <c r="C22" i="378"/>
  <c r="K22" i="378" a="1"/>
  <c r="K22" i="378" s="1"/>
  <c r="C15" i="378"/>
  <c r="K15" i="378" a="1"/>
  <c r="K15" i="378" s="1"/>
  <c r="AO36" i="379" a="1"/>
  <c r="AO36" i="379" s="1"/>
  <c r="C36" i="379"/>
  <c r="C22" i="380"/>
  <c r="AB22" i="380" a="1"/>
  <c r="AB22" i="380" s="1"/>
  <c r="AO28" i="379" a="1"/>
  <c r="AO28" i="379" s="1"/>
  <c r="AO12" i="379" a="1"/>
  <c r="AO12" i="379" s="1"/>
  <c r="I13" i="345" l="1"/>
  <c r="I25" i="345"/>
  <c r="I31" i="345"/>
  <c r="I32" i="345"/>
  <c r="I20" i="345"/>
  <c r="I22" i="345"/>
  <c r="I21" i="345"/>
  <c r="AJ22" i="344" a="1"/>
  <c r="AJ22" i="344" s="1"/>
  <c r="AJ24" i="344" s="1"/>
  <c r="I16" i="345"/>
  <c r="AK75" i="344"/>
  <c r="AM75" i="344" s="1"/>
  <c r="I9" i="345"/>
  <c r="I30" i="345"/>
  <c r="AK64" i="344"/>
  <c r="F8" i="389"/>
  <c r="I24" i="345"/>
  <c r="AK83" i="344"/>
  <c r="AM89" i="344" s="1"/>
  <c r="I26" i="345"/>
  <c r="G26" i="345"/>
  <c r="I17" i="345"/>
  <c r="I7" i="345"/>
  <c r="I10" i="345"/>
  <c r="G10" i="345"/>
  <c r="I18" i="345"/>
  <c r="G18" i="345"/>
  <c r="AL75" i="344"/>
  <c r="AL82" i="344"/>
  <c r="I6" i="345"/>
  <c r="AM82" i="344"/>
  <c r="I28" i="345"/>
  <c r="I34" i="345"/>
  <c r="G34" i="345"/>
  <c r="I29" i="345"/>
  <c r="AM94" i="344"/>
  <c r="I15" i="345"/>
  <c r="I5" i="345"/>
  <c r="I33" i="345"/>
  <c r="AK22" i="344"/>
  <c r="AK24" i="344" s="1"/>
  <c r="I8" i="345"/>
  <c r="AK67" i="344"/>
  <c r="E5" i="345"/>
  <c r="AJ64" i="344" s="1"/>
  <c r="I14" i="345"/>
  <c r="AL89" i="344"/>
  <c r="I27" i="345"/>
  <c r="I23" i="345"/>
  <c r="I11" i="345"/>
  <c r="AK28" i="344"/>
  <c r="AK30" i="344" s="1"/>
  <c r="AM5" i="344"/>
  <c r="G13" i="389"/>
  <c r="I13" i="389"/>
  <c r="G14" i="389"/>
  <c r="I14" i="389"/>
  <c r="G12" i="389"/>
  <c r="I12" i="389"/>
  <c r="W4" i="344"/>
  <c r="U5" i="344"/>
  <c r="V4" i="344"/>
  <c r="Y4" i="344"/>
  <c r="X5" i="344"/>
  <c r="Z4" i="344"/>
  <c r="I7" i="389"/>
  <c r="G7" i="389"/>
  <c r="AM6" i="344"/>
  <c r="G17" i="389"/>
  <c r="I17" i="389"/>
  <c r="G15" i="389"/>
  <c r="I15" i="389"/>
  <c r="F29" i="391"/>
  <c r="K29" i="391" s="1"/>
  <c r="M29" i="391"/>
  <c r="I30" i="391"/>
  <c r="J30" i="391"/>
  <c r="C30" i="391"/>
  <c r="D30" i="391"/>
  <c r="E30" i="391"/>
  <c r="M30" i="391" s="1"/>
  <c r="N30" i="391"/>
  <c r="H30" i="391"/>
  <c r="G30" i="391"/>
  <c r="B31" i="391" a="1"/>
  <c r="B31" i="391" s="1"/>
  <c r="D4" i="379"/>
  <c r="J19" i="393" s="1" a="1"/>
  <c r="J19" i="393" s="1"/>
  <c r="D4" i="380"/>
  <c r="J20" i="393" s="1" a="1"/>
  <c r="J20" i="393" s="1"/>
  <c r="D4" i="378"/>
  <c r="J18" i="393" s="1" a="1"/>
  <c r="J18" i="393" s="1"/>
  <c r="AL28" i="344" l="1"/>
  <c r="AN109" i="344" s="1"/>
  <c r="AL22" i="344"/>
  <c r="AL68" i="344"/>
  <c r="AJ95" i="344"/>
  <c r="AM68" i="344"/>
  <c r="AK95" i="344"/>
  <c r="AM28" i="344"/>
  <c r="AM30" i="344" s="1"/>
  <c r="J34" i="393" a="1"/>
  <c r="J34" i="393" s="1"/>
  <c r="G8" i="389"/>
  <c r="I8" i="389"/>
  <c r="F30" i="391"/>
  <c r="K30" i="391" s="1"/>
  <c r="L30" i="391"/>
  <c r="C19" i="389"/>
  <c r="C43" i="385" s="1"/>
  <c r="Z5" i="344"/>
  <c r="X6" i="344"/>
  <c r="Y5" i="344"/>
  <c r="V5" i="344"/>
  <c r="U6" i="344"/>
  <c r="W5" i="344"/>
  <c r="C31" i="391"/>
  <c r="D31" i="391"/>
  <c r="E31" i="391"/>
  <c r="L31" i="391" s="1"/>
  <c r="N31" i="391"/>
  <c r="G31" i="391"/>
  <c r="H31" i="391"/>
  <c r="J31" i="391"/>
  <c r="I31" i="391"/>
  <c r="B32" i="391" a="1"/>
  <c r="B32" i="391" s="1"/>
  <c r="AL30" i="344" l="1"/>
  <c r="AM22" i="344"/>
  <c r="AM24" i="344" s="1"/>
  <c r="AL24" i="344"/>
  <c r="AO109" i="344"/>
  <c r="AO113" i="344" s="1"/>
  <c r="AN113" i="344"/>
  <c r="AK96" i="344" s="1"/>
  <c r="V6" i="344"/>
  <c r="U7" i="344"/>
  <c r="W6" i="344"/>
  <c r="Z6" i="344"/>
  <c r="X7" i="344"/>
  <c r="Y6" i="344"/>
  <c r="J30" i="393" a="1"/>
  <c r="J30" i="393" s="1"/>
  <c r="F31" i="391"/>
  <c r="K31" i="391" s="1"/>
  <c r="M31" i="391"/>
  <c r="B33" i="391" a="1"/>
  <c r="B33" i="391" s="1"/>
  <c r="B34" i="391" s="1" a="1"/>
  <c r="B34" i="391" s="1"/>
  <c r="E32" i="391"/>
  <c r="N32" i="391"/>
  <c r="G32" i="391"/>
  <c r="H32" i="391"/>
  <c r="I32" i="391"/>
  <c r="J32" i="391"/>
  <c r="F32" i="391" s="1"/>
  <c r="K32" i="391" s="1"/>
  <c r="D32" i="391"/>
  <c r="C32" i="391"/>
  <c r="AL113" i="344" l="1"/>
  <c r="AL114" i="344" s="1"/>
  <c r="AK113" i="344"/>
  <c r="M32" i="391"/>
  <c r="L32" i="391"/>
  <c r="Y7" i="344"/>
  <c r="X8" i="344"/>
  <c r="Z7" i="344"/>
  <c r="W7" i="344"/>
  <c r="V7" i="344"/>
  <c r="U8" i="344"/>
  <c r="J34" i="391"/>
  <c r="C34" i="391"/>
  <c r="D34" i="391"/>
  <c r="E34" i="391"/>
  <c r="L34" i="391" s="1"/>
  <c r="N34" i="391"/>
  <c r="H34" i="391"/>
  <c r="I34" i="391"/>
  <c r="G34" i="391"/>
  <c r="B35" i="391" a="1"/>
  <c r="B35" i="391" s="1"/>
  <c r="G33" i="391"/>
  <c r="H33" i="391"/>
  <c r="I33" i="391"/>
  <c r="J33" i="391"/>
  <c r="C33" i="391"/>
  <c r="D33" i="391"/>
  <c r="N33" i="391"/>
  <c r="E33" i="391"/>
  <c r="L33" i="391" s="1"/>
  <c r="AK114" i="344" l="1"/>
  <c r="AJ96" i="344"/>
  <c r="M33" i="391"/>
  <c r="F33" i="391"/>
  <c r="K33" i="391" s="1"/>
  <c r="V8" i="344"/>
  <c r="U9" i="344"/>
  <c r="W8" i="344"/>
  <c r="Y8" i="344"/>
  <c r="X9" i="344"/>
  <c r="Z8" i="344"/>
  <c r="F34" i="391"/>
  <c r="K34" i="391" s="1"/>
  <c r="M34" i="391"/>
  <c r="C35" i="391"/>
  <c r="D35" i="391"/>
  <c r="E35" i="391"/>
  <c r="N35" i="391"/>
  <c r="G35" i="391"/>
  <c r="H35" i="391"/>
  <c r="J35" i="391"/>
  <c r="I35" i="391"/>
  <c r="B36" i="391" a="1"/>
  <c r="B36" i="391" s="1"/>
  <c r="F35" i="391" l="1"/>
  <c r="K35" i="391" s="1"/>
  <c r="M35" i="391"/>
  <c r="V9" i="344"/>
  <c r="W9" i="344"/>
  <c r="U10" i="344"/>
  <c r="Z9" i="344"/>
  <c r="Y9" i="344"/>
  <c r="X10" i="344"/>
  <c r="E36" i="391"/>
  <c r="N36" i="391"/>
  <c r="G36" i="391"/>
  <c r="H36" i="391"/>
  <c r="I36" i="391"/>
  <c r="J36" i="391"/>
  <c r="D36" i="391"/>
  <c r="C36" i="391"/>
  <c r="B37" i="391" a="1"/>
  <c r="B37" i="391" s="1"/>
  <c r="L35" i="391"/>
  <c r="M36" i="391" l="1"/>
  <c r="W10" i="344"/>
  <c r="V10" i="344"/>
  <c r="U11" i="344"/>
  <c r="X11" i="344"/>
  <c r="Y10" i="344"/>
  <c r="Z10" i="344"/>
  <c r="G37" i="391"/>
  <c r="H37" i="391"/>
  <c r="I37" i="391"/>
  <c r="J37" i="391"/>
  <c r="C37" i="391"/>
  <c r="D37" i="391"/>
  <c r="N37" i="391"/>
  <c r="E37" i="391"/>
  <c r="M37" i="391" s="1"/>
  <c r="B38" i="391" a="1"/>
  <c r="B38" i="391" s="1"/>
  <c r="F36" i="391"/>
  <c r="K36" i="391" s="1"/>
  <c r="L36" i="391"/>
  <c r="Z11" i="344" l="1"/>
  <c r="Y11" i="344"/>
  <c r="X12" i="344"/>
  <c r="U12" i="344"/>
  <c r="V11" i="344"/>
  <c r="W11" i="344"/>
  <c r="F37" i="391"/>
  <c r="K37" i="391" s="1"/>
  <c r="L37" i="391"/>
  <c r="J38" i="391"/>
  <c r="C38" i="391"/>
  <c r="D38" i="391"/>
  <c r="E38" i="391"/>
  <c r="N38" i="391"/>
  <c r="H38" i="391"/>
  <c r="I38" i="391"/>
  <c r="G38" i="391"/>
  <c r="B39" i="391" a="1"/>
  <c r="B39" i="391" s="1"/>
  <c r="M38" i="391" l="1"/>
  <c r="W12" i="344"/>
  <c r="V12" i="344"/>
  <c r="U13" i="344"/>
  <c r="X13" i="344"/>
  <c r="Z12" i="344"/>
  <c r="Y12" i="344"/>
  <c r="D39" i="391"/>
  <c r="E39" i="391"/>
  <c r="L39" i="391" s="1"/>
  <c r="N39" i="391"/>
  <c r="G39" i="391"/>
  <c r="H39" i="391"/>
  <c r="J39" i="391"/>
  <c r="C39" i="391"/>
  <c r="I39" i="391"/>
  <c r="B40" i="391" a="1"/>
  <c r="B40" i="391" s="1"/>
  <c r="L38" i="391"/>
  <c r="F38" i="391"/>
  <c r="K38" i="391" s="1"/>
  <c r="Z13" i="344" l="1"/>
  <c r="Y13" i="344"/>
  <c r="X14" i="344"/>
  <c r="V13" i="344"/>
  <c r="U14" i="344"/>
  <c r="W13" i="344"/>
  <c r="N40" i="391"/>
  <c r="G40" i="391"/>
  <c r="H40" i="391"/>
  <c r="I40" i="391"/>
  <c r="J40" i="391"/>
  <c r="D40" i="391"/>
  <c r="E40" i="391"/>
  <c r="C40" i="391"/>
  <c r="B41" i="391" a="1"/>
  <c r="B41" i="391" s="1"/>
  <c r="F39" i="391"/>
  <c r="K39" i="391" s="1"/>
  <c r="M39" i="391"/>
  <c r="F40" i="391" l="1"/>
  <c r="K40" i="391" s="1"/>
  <c r="L40" i="391"/>
  <c r="M40" i="391"/>
  <c r="Z14" i="344"/>
  <c r="X15" i="344"/>
  <c r="Y14" i="344"/>
  <c r="W14" i="344"/>
  <c r="V14" i="344"/>
  <c r="U15" i="344"/>
  <c r="H41" i="391"/>
  <c r="I41" i="391"/>
  <c r="J41" i="391"/>
  <c r="C41" i="391"/>
  <c r="D41" i="391"/>
  <c r="N41" i="391"/>
  <c r="G41" i="391"/>
  <c r="E41" i="391"/>
  <c r="L41" i="391" s="1"/>
  <c r="B42" i="391" a="1"/>
  <c r="B42" i="391" s="1"/>
  <c r="W15" i="344" l="1"/>
  <c r="U16" i="344"/>
  <c r="V15" i="344"/>
  <c r="X16" i="344"/>
  <c r="Z15" i="344"/>
  <c r="Y15" i="344"/>
  <c r="F41" i="391"/>
  <c r="K41" i="391" s="1"/>
  <c r="I42" i="391"/>
  <c r="J42" i="391"/>
  <c r="C42" i="391"/>
  <c r="D42" i="391"/>
  <c r="E42" i="391"/>
  <c r="N42" i="391"/>
  <c r="H42" i="391"/>
  <c r="G42" i="391"/>
  <c r="B43" i="391" a="1"/>
  <c r="B43" i="391" s="1"/>
  <c r="M41" i="391"/>
  <c r="M42" i="391" l="1"/>
  <c r="X17" i="344"/>
  <c r="Y16" i="344"/>
  <c r="Z16" i="344"/>
  <c r="W16" i="344"/>
  <c r="U17" i="344"/>
  <c r="V16" i="344"/>
  <c r="C43" i="391"/>
  <c r="D43" i="391"/>
  <c r="E43" i="391"/>
  <c r="N43" i="391"/>
  <c r="G43" i="391"/>
  <c r="H43" i="391"/>
  <c r="J43" i="391"/>
  <c r="I43" i="391"/>
  <c r="B44" i="391" a="1"/>
  <c r="B44" i="391" s="1"/>
  <c r="L42" i="391"/>
  <c r="F42" i="391"/>
  <c r="K42" i="391" s="1"/>
  <c r="M43" i="391" l="1"/>
  <c r="U18" i="344"/>
  <c r="V17" i="344"/>
  <c r="W17" i="344"/>
  <c r="Z17" i="344"/>
  <c r="X18" i="344"/>
  <c r="Y17" i="344"/>
  <c r="E44" i="391"/>
  <c r="M44" i="391" s="1"/>
  <c r="N44" i="391"/>
  <c r="G44" i="391"/>
  <c r="H44" i="391"/>
  <c r="I44" i="391"/>
  <c r="J44" i="391"/>
  <c r="D44" i="391"/>
  <c r="C44" i="391"/>
  <c r="B45" i="391" a="1"/>
  <c r="B45" i="391" s="1"/>
  <c r="L43" i="391"/>
  <c r="F43" i="391"/>
  <c r="K43" i="391" s="1"/>
  <c r="F44" i="391" l="1"/>
  <c r="K44" i="391" s="1"/>
  <c r="L44" i="391"/>
  <c r="W18" i="344"/>
  <c r="U19" i="344"/>
  <c r="V18" i="344"/>
  <c r="X19" i="344"/>
  <c r="Y18" i="344"/>
  <c r="Z18" i="344"/>
  <c r="G45" i="391"/>
  <c r="H45" i="391"/>
  <c r="I45" i="391"/>
  <c r="J45" i="391"/>
  <c r="C45" i="391"/>
  <c r="K45" i="391"/>
  <c r="D45" i="391"/>
  <c r="L45" i="391"/>
  <c r="F45" i="391"/>
  <c r="N45" i="391"/>
  <c r="E45" i="391"/>
  <c r="M45" i="391"/>
  <c r="B46" i="391" a="1"/>
  <c r="B46" i="391" s="1"/>
  <c r="Z19" i="344" l="1"/>
  <c r="Y19" i="344"/>
  <c r="X20" i="344"/>
  <c r="U20" i="344"/>
  <c r="V19" i="344"/>
  <c r="W19" i="344"/>
  <c r="J46" i="391"/>
  <c r="C46" i="391"/>
  <c r="K46" i="391"/>
  <c r="D46" i="391"/>
  <c r="L46" i="391"/>
  <c r="E46" i="391"/>
  <c r="M46" i="391"/>
  <c r="F46" i="391"/>
  <c r="N46" i="391"/>
  <c r="H46" i="391"/>
  <c r="I46" i="391"/>
  <c r="G46" i="391"/>
  <c r="B47" i="391" a="1"/>
  <c r="B47" i="391" s="1"/>
  <c r="W20" i="344" l="1"/>
  <c r="V20" i="344"/>
  <c r="U21" i="344"/>
  <c r="Y20" i="344"/>
  <c r="Z20" i="344"/>
  <c r="X21" i="344"/>
  <c r="D47" i="391"/>
  <c r="L47" i="391"/>
  <c r="E47" i="391"/>
  <c r="M47" i="391"/>
  <c r="F47" i="391"/>
  <c r="N47" i="391"/>
  <c r="G47" i="391"/>
  <c r="H47" i="391"/>
  <c r="J47" i="391"/>
  <c r="C47" i="391"/>
  <c r="K47" i="391"/>
  <c r="I47" i="391"/>
  <c r="B48" i="391" a="1"/>
  <c r="B48" i="391" s="1"/>
  <c r="U22" i="344" l="1"/>
  <c r="V21" i="344"/>
  <c r="W21" i="344"/>
  <c r="Z21" i="344"/>
  <c r="X22" i="344"/>
  <c r="Y21" i="344"/>
  <c r="F48" i="391"/>
  <c r="N48" i="391"/>
  <c r="G48" i="391"/>
  <c r="H48" i="391"/>
  <c r="I48" i="391"/>
  <c r="J48" i="391"/>
  <c r="D48" i="391"/>
  <c r="L48" i="391"/>
  <c r="E48" i="391"/>
  <c r="M48" i="391"/>
  <c r="K48" i="391"/>
  <c r="C48" i="391"/>
  <c r="B49" i="391" a="1"/>
  <c r="B49" i="391" s="1"/>
  <c r="Z22" i="344" l="1"/>
  <c r="X23" i="344"/>
  <c r="Y22" i="344"/>
  <c r="V22" i="344"/>
  <c r="U23" i="344"/>
  <c r="W22" i="344"/>
  <c r="H49" i="391"/>
  <c r="I49" i="391"/>
  <c r="J49" i="391"/>
  <c r="C49" i="391"/>
  <c r="K49" i="391"/>
  <c r="D49" i="391"/>
  <c r="L49" i="391"/>
  <c r="F49" i="391"/>
  <c r="N49" i="391"/>
  <c r="G49" i="391"/>
  <c r="E49" i="391"/>
  <c r="M49" i="391"/>
  <c r="B50" i="391" a="1"/>
  <c r="B50" i="391" s="1"/>
  <c r="W23" i="344" l="1"/>
  <c r="V23" i="344"/>
  <c r="U24" i="344"/>
  <c r="X24" i="344"/>
  <c r="Y23" i="344"/>
  <c r="Z23" i="344"/>
  <c r="J50" i="391"/>
  <c r="C50" i="391"/>
  <c r="K50" i="391"/>
  <c r="D50" i="391"/>
  <c r="L50" i="391"/>
  <c r="E50" i="391"/>
  <c r="M50" i="391"/>
  <c r="F50" i="391"/>
  <c r="N50" i="391"/>
  <c r="H50" i="391"/>
  <c r="G50" i="391"/>
  <c r="I50" i="391"/>
  <c r="B51" i="391" a="1"/>
  <c r="B51" i="391" s="1"/>
  <c r="X25" i="344" l="1"/>
  <c r="Z24" i="344"/>
  <c r="Y24" i="344"/>
  <c r="V24" i="344"/>
  <c r="U25" i="344"/>
  <c r="W24" i="344"/>
  <c r="D51" i="391"/>
  <c r="L51" i="391"/>
  <c r="E51" i="391"/>
  <c r="M51" i="391"/>
  <c r="F51" i="391"/>
  <c r="N51" i="391"/>
  <c r="G51" i="391"/>
  <c r="H51" i="391"/>
  <c r="J51" i="391"/>
  <c r="I51" i="391"/>
  <c r="K51" i="391"/>
  <c r="C51" i="391"/>
  <c r="B52" i="391" a="1"/>
  <c r="B52" i="391" s="1"/>
  <c r="U26" i="344" l="1"/>
  <c r="V25" i="344"/>
  <c r="W25" i="344"/>
  <c r="Z25" i="344"/>
  <c r="X26" i="344"/>
  <c r="Y25" i="344"/>
  <c r="F52" i="391"/>
  <c r="N52" i="391"/>
  <c r="G52" i="391"/>
  <c r="H52" i="391"/>
  <c r="I52" i="391"/>
  <c r="J52" i="391"/>
  <c r="D52" i="391"/>
  <c r="L52" i="391"/>
  <c r="C52" i="391"/>
  <c r="E52" i="391"/>
  <c r="K52" i="391"/>
  <c r="M52" i="391"/>
  <c r="B53" i="391" a="1"/>
  <c r="B53" i="391" s="1"/>
  <c r="Y26" i="344" l="1"/>
  <c r="Z26" i="344"/>
  <c r="J33" i="393" s="1" a="1"/>
  <c r="J33" i="393" s="1"/>
  <c r="W26" i="344"/>
  <c r="V26" i="344"/>
  <c r="H53" i="391"/>
  <c r="J53" i="391"/>
  <c r="C53" i="391"/>
  <c r="K53" i="391"/>
  <c r="D53" i="391"/>
  <c r="L53" i="391"/>
  <c r="F53" i="391"/>
  <c r="N53" i="391"/>
  <c r="I53" i="391"/>
  <c r="M53" i="391"/>
  <c r="E53" i="391"/>
  <c r="G53" i="391"/>
  <c r="B54" i="391" a="1"/>
  <c r="B54" i="391" s="1"/>
  <c r="J54" i="391" l="1"/>
  <c r="D54" i="391"/>
  <c r="L54" i="391"/>
  <c r="E54" i="391"/>
  <c r="M54" i="391"/>
  <c r="F54" i="391"/>
  <c r="N54" i="391"/>
  <c r="H54" i="391"/>
  <c r="C54" i="391"/>
  <c r="G54" i="391"/>
  <c r="I54" i="391"/>
  <c r="K54" i="391"/>
  <c r="B55" i="391" a="1"/>
  <c r="B55" i="391" s="1"/>
  <c r="D55" i="391" l="1"/>
  <c r="L55" i="391"/>
  <c r="F55" i="391"/>
  <c r="N55" i="391"/>
  <c r="G55" i="391"/>
  <c r="H55" i="391"/>
  <c r="J55" i="391"/>
  <c r="C55" i="391"/>
  <c r="E55" i="391"/>
  <c r="I55" i="391"/>
  <c r="K55" i="391"/>
  <c r="M55" i="391"/>
  <c r="B56" i="391" a="1"/>
  <c r="B56" i="391" s="1"/>
  <c r="F56" i="391" l="1"/>
  <c r="N56" i="391"/>
  <c r="H56" i="391"/>
  <c r="J56" i="391"/>
  <c r="D56" i="391"/>
  <c r="L56" i="391"/>
  <c r="I56" i="391"/>
  <c r="K56" i="391"/>
  <c r="M56" i="391"/>
  <c r="C56" i="391"/>
  <c r="E56" i="391"/>
  <c r="G56" i="391"/>
  <c r="B57" i="391" a="1"/>
  <c r="B57" i="391" s="1"/>
  <c r="H57" i="391" l="1"/>
  <c r="J57" i="391"/>
  <c r="D57" i="391"/>
  <c r="L57" i="391"/>
  <c r="F57" i="391"/>
  <c r="N57" i="391"/>
  <c r="K57" i="391"/>
  <c r="M57" i="391"/>
  <c r="C57" i="391"/>
  <c r="E57" i="391"/>
  <c r="G57" i="391"/>
  <c r="I57" i="391"/>
  <c r="B58" i="391" a="1"/>
  <c r="B58" i="391" s="1"/>
  <c r="J58" i="391" l="1"/>
  <c r="D58" i="391"/>
  <c r="L58" i="391"/>
  <c r="F58" i="391"/>
  <c r="N58" i="391"/>
  <c r="H58" i="391"/>
  <c r="M58" i="391"/>
  <c r="C58" i="391"/>
  <c r="E58" i="391"/>
  <c r="G58" i="391"/>
  <c r="I58" i="391"/>
  <c r="K58" i="391"/>
  <c r="B59" i="391" a="1"/>
  <c r="B59" i="391" s="1"/>
  <c r="D59" i="391" l="1"/>
  <c r="L59" i="391"/>
  <c r="F59" i="391"/>
  <c r="N59" i="391"/>
  <c r="H59" i="391"/>
  <c r="J59" i="391"/>
  <c r="C59" i="391"/>
  <c r="E59" i="391"/>
  <c r="G59" i="391"/>
  <c r="I59" i="391"/>
  <c r="K59" i="391"/>
  <c r="M59" i="391"/>
  <c r="B60" i="391" a="1"/>
  <c r="B60" i="391" s="1"/>
  <c r="F60" i="391" l="1"/>
  <c r="N60" i="391"/>
  <c r="H60" i="391"/>
  <c r="J60" i="391"/>
  <c r="D60" i="391"/>
  <c r="L60" i="391"/>
  <c r="C60" i="391"/>
  <c r="E60" i="391"/>
  <c r="G60" i="391"/>
  <c r="I60" i="391"/>
  <c r="K60" i="391"/>
  <c r="M60" i="391"/>
  <c r="B61" i="391" a="1"/>
  <c r="B61" i="391" s="1"/>
  <c r="H61" i="391" l="1"/>
  <c r="J61" i="391"/>
  <c r="D61" i="391"/>
  <c r="L61" i="391"/>
  <c r="F61" i="391"/>
  <c r="N61" i="391"/>
  <c r="C61" i="391"/>
  <c r="E61" i="391"/>
  <c r="G61" i="391"/>
  <c r="I61" i="391"/>
  <c r="K61" i="391"/>
  <c r="M61" i="391"/>
  <c r="B62" i="391" a="1"/>
  <c r="B62" i="391" s="1"/>
  <c r="J62" i="391" l="1"/>
  <c r="D62" i="391"/>
  <c r="L62" i="391"/>
  <c r="F62" i="391"/>
  <c r="N62" i="391"/>
  <c r="H62" i="391"/>
  <c r="E62" i="391"/>
  <c r="G62" i="391"/>
  <c r="I62" i="391"/>
  <c r="K62" i="391"/>
  <c r="M62" i="391"/>
  <c r="C62" i="391"/>
  <c r="B63" i="391" a="1"/>
  <c r="B63" i="391" s="1"/>
  <c r="D63" i="391" l="1"/>
  <c r="L63" i="391"/>
  <c r="F63" i="391"/>
  <c r="N63" i="391"/>
  <c r="H63" i="391"/>
  <c r="J63" i="391"/>
  <c r="G63" i="391"/>
  <c r="I63" i="391"/>
  <c r="K63" i="391"/>
  <c r="M63" i="391"/>
  <c r="C63" i="391"/>
  <c r="E63" i="391"/>
  <c r="B64" i="391" a="1"/>
  <c r="B64" i="391" s="1"/>
  <c r="F64" i="391" l="1"/>
  <c r="N64" i="391"/>
  <c r="H64" i="391"/>
  <c r="J64" i="391"/>
  <c r="D64" i="391"/>
  <c r="L64" i="391"/>
  <c r="I64" i="391"/>
  <c r="K64" i="391"/>
  <c r="M64" i="391"/>
  <c r="C64" i="391"/>
  <c r="E64" i="391"/>
  <c r="G64" i="391"/>
  <c r="B65" i="391" a="1"/>
  <c r="B65" i="391" s="1"/>
  <c r="H65" i="391" l="1"/>
  <c r="J65" i="391"/>
  <c r="D65" i="391"/>
  <c r="L65" i="391"/>
  <c r="F65" i="391"/>
  <c r="N65" i="391"/>
  <c r="K65" i="391"/>
  <c r="M65" i="391"/>
  <c r="C65" i="391"/>
  <c r="E65" i="391"/>
  <c r="G65" i="391"/>
  <c r="I65" i="391"/>
  <c r="I10" i="391"/>
  <c r="C47" i="385" l="1"/>
  <c r="C48" i="385"/>
  <c r="C45" i="385"/>
  <c r="J32" i="393" a="1"/>
  <c r="J32" i="393" s="1"/>
  <c r="J31" i="393" l="1" a="1"/>
  <c r="J31" i="393" s="1"/>
  <c r="D9" i="39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14" authorId="0" shapeId="0" xr:uid="{BC055A6E-C08E-478E-ABE6-C61D24685617}">
      <text>
        <r>
          <rPr>
            <sz val="11"/>
            <color theme="1"/>
            <rFont val="Calibri"/>
            <scheme val="minor"/>
          </rPr>
          <t>======
ID#AAABwdQetjw
Rommel2025    (2025-11-18 04:31:24)
El trabajo ya fue realizado.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K14" authorId="0" shapeId="0" xr:uid="{680B1BBB-1D70-4E5A-992F-68B3E78D7487}">
      <text>
        <r>
          <rPr>
            <sz val="11"/>
            <color theme="1"/>
            <rFont val="Calibri"/>
            <scheme val="minor"/>
          </rPr>
          <t>======
ID#AAABwdQetjw
Rommel2025    (2025-11-18 04:31:24)
El trabajo ya fue realizado.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K14" authorId="0" shapeId="0" xr:uid="{454DCC8B-4278-4BF5-B447-14F984E7EDEF}">
      <text>
        <r>
          <rPr>
            <sz val="11"/>
            <color theme="1"/>
            <rFont val="Calibri"/>
            <scheme val="minor"/>
          </rPr>
          <t>======
ID#AAABwdQetjw
Rommel2025    (2025-11-18 04:31:24)
El trabajo ya fue realizado.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K14" authorId="0" shapeId="0" xr:uid="{19385A5F-F870-492D-A7AA-AD6B3B2FFB5B}">
      <text>
        <r>
          <rPr>
            <sz val="11"/>
            <color theme="1"/>
            <rFont val="Calibri"/>
            <scheme val="minor"/>
          </rPr>
          <t>======
ID#AAABwdQetjw
Rommel2025    (2025-11-18 04:31:24)
El trabajo ya fue realizado.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K8" authorId="0" shapeId="0" xr:uid="{311A7CEE-05DC-4C4E-8BDC-90006AF5F739}">
      <text>
        <r>
          <rPr>
            <sz val="11"/>
            <color theme="1"/>
            <rFont val="Calibri"/>
            <scheme val="minor"/>
          </rPr>
          <t>======
ID#AAABwdQetjw
Rommel2025    (2025-11-18 04:31:24)
El trabajo ya fue realizado.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<sst xmlns="http://schemas.openxmlformats.org/spreadsheetml/2006/main" count="71258" uniqueCount="12623">
  <si>
    <t>REPORTE DIARIO</t>
  </si>
  <si>
    <t>1 al 3</t>
  </si>
  <si>
    <t>5 al 9</t>
  </si>
  <si>
    <t>Fecha</t>
  </si>
  <si>
    <t>h</t>
  </si>
  <si>
    <t>MINERAL 
(TMS)</t>
  </si>
  <si>
    <t>S</t>
  </si>
  <si>
    <t>RM 1/2/3
DTT-100 S</t>
  </si>
  <si>
    <t>RM 1/2/3
DTT-100 S/F</t>
  </si>
  <si>
    <t>RM 5/6/7/8/9
DTT-100 S</t>
  </si>
  <si>
    <t>RM 5/6/7/8/9
DTT-100 S/F</t>
  </si>
  <si>
    <t>ESP.Ant Fe</t>
  </si>
  <si>
    <t>ESP.N Fe Sol</t>
  </si>
  <si>
    <t>ESP.Ant FeO</t>
  </si>
  <si>
    <t>ESP.N FeO</t>
  </si>
  <si>
    <t>Promedio de Fe Sol</t>
  </si>
  <si>
    <t>Promedio de FeO</t>
  </si>
  <si>
    <t>H2O</t>
  </si>
  <si>
    <t>%RECUP.    PESO</t>
  </si>
  <si>
    <t>RATIO</t>
  </si>
  <si>
    <t>Eficiencia Alimentación</t>
  </si>
  <si>
    <t>Eficiencia Concentrado</t>
  </si>
  <si>
    <t>Mediana</t>
  </si>
  <si>
    <t>Mayor</t>
  </si>
  <si>
    <t>Menor</t>
  </si>
  <si>
    <t>KPI S</t>
  </si>
  <si>
    <t>KPI Fe</t>
  </si>
  <si>
    <t>KPI FeO</t>
  </si>
  <si>
    <t>Turno A</t>
  </si>
  <si>
    <t>Turno B</t>
  </si>
  <si>
    <t>Turno C</t>
  </si>
  <si>
    <t>Día</t>
  </si>
  <si>
    <t>Tratamiento (TMH)</t>
  </si>
  <si>
    <t>Concentrado (TMS)</t>
  </si>
  <si>
    <t>Ratio</t>
  </si>
  <si>
    <t>Recuperación (%)</t>
  </si>
  <si>
    <t> </t>
  </si>
  <si>
    <t>Datos metalúrgicos</t>
  </si>
  <si>
    <t>S (%)</t>
  </si>
  <si>
    <t>Malla 200 (%)</t>
  </si>
  <si>
    <t>Malla 325 (%)</t>
  </si>
  <si>
    <t>Embarque</t>
  </si>
  <si>
    <t>Nave</t>
  </si>
  <si>
    <t>Fecha de inicio</t>
  </si>
  <si>
    <t>Fecha de término</t>
  </si>
  <si>
    <t>Embarcado (TMH)</t>
  </si>
  <si>
    <t>Concentrado</t>
  </si>
  <si>
    <t>Diario</t>
  </si>
  <si>
    <t>Semana</t>
  </si>
  <si>
    <t>Agosto</t>
  </si>
  <si>
    <t>Anual</t>
  </si>
  <si>
    <t>Acumulado (TMS)</t>
  </si>
  <si>
    <t>Ppto 2026 (TMS)</t>
  </si>
  <si>
    <t>% cumplimiento</t>
  </si>
  <si>
    <t>Sinter Calibrado</t>
  </si>
  <si>
    <t>Total</t>
  </si>
  <si>
    <t>SETIEMBRE</t>
  </si>
  <si>
    <t>Nro</t>
  </si>
  <si>
    <t>Setiembre</t>
  </si>
  <si>
    <t>Inicio</t>
  </si>
  <si>
    <t>Fin</t>
  </si>
  <si>
    <t>Total (TM)</t>
  </si>
  <si>
    <t>oxidado</t>
  </si>
  <si>
    <t>sinter</t>
  </si>
  <si>
    <t xml:space="preserve"> M/V “EPIC UNION ” </t>
  </si>
  <si>
    <t>26/08/2026  12:15hrs</t>
  </si>
  <si>
    <t>01/09/2026  11:55 hrs</t>
  </si>
  <si>
    <t>M/V “ASL LOONG”</t>
  </si>
  <si>
    <t xml:space="preserve">01/09/2026  14:15hrs </t>
  </si>
  <si>
    <t>03/09/2026 🕐 20:13 hrs</t>
  </si>
  <si>
    <t>M/V "SHANDOND HUA ZHANG”</t>
  </si>
  <si>
    <t>04/09/2026 🕐 00:00 hrs</t>
  </si>
  <si>
    <t>128010 TM</t>
  </si>
  <si>
    <t>7{}</t>
  </si>
  <si>
    <t>Mes</t>
  </si>
  <si>
    <t>Budget</t>
  </si>
  <si>
    <t>Real</t>
  </si>
  <si>
    <t>Diferencia</t>
  </si>
  <si>
    <t>Enero</t>
  </si>
  <si>
    <t>Febrero</t>
  </si>
  <si>
    <t>Marzo</t>
  </si>
  <si>
    <t>Abril</t>
  </si>
  <si>
    <t>Mayo</t>
  </si>
  <si>
    <t>Junio</t>
  </si>
  <si>
    <t>Julio</t>
  </si>
  <si>
    <t>Octubre</t>
  </si>
  <si>
    <t>Noviembre</t>
  </si>
  <si>
    <t>Diciembre</t>
  </si>
  <si>
    <t>Bancos KYF10 trabajando en manual</t>
  </si>
  <si>
    <t>Rm01 reponen guardas del motor.. /// Se reduce dosificación de acido oxalico</t>
  </si>
  <si>
    <t>21:00 a 21:20 hrs paró espesador 053-003 por alto torque, se observa lubricación deficiente en cajas de transmision, se agrega aceite operando con parametros normales</t>
  </si>
  <si>
    <t>Se realizó agregado de barras molinos 032-082/083/084/085</t>
  </si>
  <si>
    <t>22:49 hrs arrancó barras 1 en reemplazo del Rm02</t>
  </si>
  <si>
    <t>Personal mecánico culmina lubricación de cajas de transmisión lado norte y sur del espesador 053-003</t>
  </si>
  <si>
    <t>Se reduce dosificación de acido oxalico</t>
  </si>
  <si>
    <t>Se inicia agregado de conos</t>
  </si>
  <si>
    <t>210-295A/B.- Limpieza cajón de concentrado PURGA</t>
  </si>
  <si>
    <t>210-296A/B.- Limpieza cajón de concentrado PURGA. // Se incrementa dosificación de xantato, se reduce colchones celdas grandes</t>
  </si>
  <si>
    <t>Agregado de barras molinos 032-086/088/089</t>
  </si>
  <si>
    <t>Se continua agregado de conos</t>
  </si>
  <si>
    <t>Desde las 07:00, parada de línea 2 por cambio de reductor de la faja 051-150</t>
  </si>
  <si>
    <t>Parada de linea 9 por reparación de carrete distribuidor 212-893</t>
  </si>
  <si>
    <t>Se realiza agregado de barras a Rm01 y 08</t>
  </si>
  <si>
    <t>Se concluye reparación de carrete distribuidor 212-893, arranca linea 9. // Bolas 9 paró por falla en excitación del motor.</t>
  </si>
  <si>
    <t>Arrancó bolas 9, Jefatura electricista brindo el soporte</t>
  </si>
  <si>
    <t>Restricción de carga por mantenimiento programado de L-4. Agitador 053-080: 62%</t>
  </si>
  <si>
    <t>Rm09 entró en operación 16:16 hrs</t>
  </si>
  <si>
    <t>Agregado de barras al Rm09</t>
  </si>
  <si>
    <t>Agregado de barras al Rm07, arrancó Rm05 en reemplazo. // Se giró bolas 5 sistema de lubricación en manual</t>
  </si>
  <si>
    <t>Se reducen colchones de espumas celdas antiguas y nuevas. Se reduce dosificación de reactivos en planta</t>
  </si>
  <si>
    <t>20:00 a 20:20 hrs parada por falla en stacker de transferencia</t>
  </si>
  <si>
    <t>Arrancó Rm07, en stand by Rm05</t>
  </si>
  <si>
    <t>21:20 a 21:40 hrs parada por activación de emergencia en stacker de transferencia por electricistas trabajando</t>
  </si>
  <si>
    <t>Se incrementa colchones de espumas en celdas de planta</t>
  </si>
  <si>
    <t>21:40 hrs arrancó linea 4 por control de nivel de agitadores</t>
  </si>
  <si>
    <t>Se desatora bomba de xantato a fase 2</t>
  </si>
  <si>
    <t>Agregando barras molino Rm3/4</t>
  </si>
  <si>
    <t>09:20 a 09:52, parada de linea 1 y 2 por cambio de polin de retorno roto en la faja 051-185.</t>
  </si>
  <si>
    <t>15:15 a 15:44 parÓ faja de transferencia 071-051; por consiguiente, pararon las 3 líneas de filtros.</t>
  </si>
  <si>
    <t>Se inicia agregado de medio moledor. // se reduce dosificación de acido oxalico</t>
  </si>
  <si>
    <t>Bolas 05 se gira molino para continuar cambio de forros</t>
  </si>
  <si>
    <t>Se continua reduciendo dosificacion de acido oxalico</t>
  </si>
  <si>
    <t>Bm05 se continuan trabajos de cambio de forros</t>
  </si>
  <si>
    <t>210-317 entra en operacion</t>
  </si>
  <si>
    <t>08:40 hrs paró Rm03 para reparación de brida ciega en manguera de alimentación de 213-802 al bolas 10</t>
  </si>
  <si>
    <t>Se gira molino bolas 5 para continuar instalacion de forros</t>
  </si>
  <si>
    <t>10:16 hrs arrancó barras 3</t>
  </si>
  <si>
    <t>Se reduce dosificación de xantato en planta antigua y celdas nuevas</t>
  </si>
  <si>
    <t>Prueba en vacio motor del bolas 5</t>
  </si>
  <si>
    <t>Se gira nuevamente molino bolas 5 para continuar instalacion de forros</t>
  </si>
  <si>
    <t>Se giro molino de bolas 5</t>
  </si>
  <si>
    <t>213-304 reparando tubo de succion, (parcharon y resanan con roback), reemplazando 213-104</t>
  </si>
  <si>
    <t>Se bajo dosificacion de xantato en todas las lineas (1000cc).</t>
  </si>
  <si>
    <t>Cobber 210-107 perforado cajon de concentrado, se habilitara 210-108 (usaran tambor de linea 5).</t>
  </si>
  <si>
    <t>10:00 a 10:22, parada de línea 1-2 porevaluación del sistema de frenado de la faja 051-186</t>
  </si>
  <si>
    <t>Calibración de la balanza 071-051</t>
  </si>
  <si>
    <t>Falla en soplador 2003 desde el primer turno por falta de lubricacion. // se reduce tonelaje de alimentacion</t>
  </si>
  <si>
    <t>se agrega aceite a la estación de lubricacion del soplador, se regula presion y se resetea control del motor</t>
  </si>
  <si>
    <t>Se incremento concentracion de xantato al 9% y dosiificacion.</t>
  </si>
  <si>
    <t>Se llena las celdas nuevas con agua fresca, se inicia derivacion de carga</t>
  </si>
  <si>
    <t>100% de carga derivada a celdas nuevas. // Rm03 paró 21:30 hrs por perforación en sumidero 213-233</t>
  </si>
  <si>
    <t>Se abre circuito linea 6, por exceso de perdida de carga por bocina 213-241 // Rm03 arrancó 23:30 hrs</t>
  </si>
  <si>
    <t>Linea 6 continua en circuito abierto, motor de la bomba con rodamientos dañados.</t>
  </si>
  <si>
    <t>Agregando barras a molinos Rm1/2/3</t>
  </si>
  <si>
    <t>Continua el agegado de barras en Rm-6/7/8</t>
  </si>
  <si>
    <t>Bolas 4 paro 21:12h por 213-214 / Bolas 5 paro 21:41h por temperatura pedestal STE</t>
  </si>
  <si>
    <t>Bolas 5 arranco 22:50h.</t>
  </si>
  <si>
    <t>Bolas 4 arranco 02:07h.</t>
  </si>
  <si>
    <t>Agregado de barras molino Rm9/3</t>
  </si>
  <si>
    <t>Se incrementa tonelaje al Rm03 (200 TMH). // continua agregado de medio moledor</t>
  </si>
  <si>
    <t>Reduce progresivamente dosificación de acido oxalico y xantato. // 210-114 se cambia tapa de ventilador de motor</t>
  </si>
  <si>
    <t>23:26 hrs paró bolas 4 por perforación en manguera de descarga 213-214</t>
  </si>
  <si>
    <t>00:08 hrs arrancó bolas 4, se instaló abrazadera en manguera de descarga 213-214</t>
  </si>
  <si>
    <t>Continua agregado de medio moledor</t>
  </si>
  <si>
    <t>210-281: Citic continúa reparación de tina lado A.</t>
  </si>
  <si>
    <t>Bm01 se recorta parte de reten de trunnion lado alimentación salido, perdia aceite.</t>
  </si>
  <si>
    <t>Se continúa reduciendo dosificación de reactivos</t>
  </si>
  <si>
    <t>Se baja concentración del xantato al 7%</t>
  </si>
  <si>
    <t>05:00 arrancó linea 4 por control de nivel agitadores</t>
  </si>
  <si>
    <t>210-298 queda parado por forros de tambor B en mal estado</t>
  </si>
  <si>
    <t>06:45 hrs paró bomba 213-351 linea 4 por polea suelta y fajas rotas. // Stand by 213-350 presenta ruido fuerte en bomba.</t>
  </si>
  <si>
    <t>Barras 9 paró por mantenimiento programado</t>
  </si>
  <si>
    <t>Spdtendencia mtto eléctrico revisa falla para pase de arranque bolas9, queda impulsion lenta off dando pase</t>
  </si>
  <si>
    <t>Se reajustan fugas en ciclón 212-893. 01:00 hrs arrancó bolas 9. 01:02 hrs arrancó barras 9</t>
  </si>
  <si>
    <t>Rm08 se revisó sistema de lubricacion, arrancó en reemplazo del Rm04 (stand by). // Celda 039-274 parada por mtto de bomba 213-817</t>
  </si>
  <si>
    <t>Rm07: Paró 02:53 a 02:59 hrs por retiro de barretilla atravesada en malla trommel.</t>
  </si>
  <si>
    <t>02:00 hrs paró linea 4 por control de nivel agitadores</t>
  </si>
  <si>
    <t>Se incremento dosificacion de xantato en celdas antiguas y nuevas, asimismo se regulo colchones de espumas</t>
  </si>
  <si>
    <t>Rm04: Reparando malla trommel</t>
  </si>
  <si>
    <t>09:45 a 10:15, parada de línea 1 y 2 por reparación de empalme de la faja 051-170 y cambio de polines de las fajas 051-152/153.</t>
  </si>
  <si>
    <t>13:30 a 14:00, parada de línea 1 y 2 por cambio de polín de retorno en la faja 051-185 y reposición del sistema de freno de la faja 051-186</t>
  </si>
  <si>
    <t>Agregado de barras Rm9/8/2</t>
  </si>
  <si>
    <t>210-107: Se culmina reparacion, entra en operacion</t>
  </si>
  <si>
    <t>213-243 se paró bomba para reposición de fajas, revisión de poleas. Entra en operación 213-431.</t>
  </si>
  <si>
    <t>213-653 fuera de servicio por bocina rota, mecanicos habilitando bomba 213-654 manguera descarga y tubo succión</t>
  </si>
  <si>
    <t>Se deriva carga de lineas 5 y 6 a bomba 213-002</t>
  </si>
  <si>
    <t>213-136 se conecta motor</t>
  </si>
  <si>
    <t>Celdas 1001/2001 arenadas, dardos al 100% con minima descarga, rebose de concentrado por espumas. Op dos bombas transferencia</t>
  </si>
  <si>
    <t>Se descargan celdas de ambas fases, se retoma descarga de celdas nuevas. // Se reduce tonelaje en planta</t>
  </si>
  <si>
    <t>Aumenta concentración de xantato al 9%. // 01:50 hrs se derivan bombas 213-477/480 a celdas nuevas</t>
  </si>
  <si>
    <t>213-124 se desempalma tramo de manguera altura del bolas 1 para liberar. // 03:15 hrs entra en operación.</t>
  </si>
  <si>
    <t>Se reduce progresivamente colchones de espumas en celdas nuevas para evitar sobrecarga en cajón de espumas</t>
  </si>
  <si>
    <t>Se gira molino de bolas 4 para continuar retiro de pernos del baflering</t>
  </si>
  <si>
    <t>Celda 2001 continua con descarga intermitente, sedimentada parcialmente parte inferior, produce arrastre de fierro por espumas, se regula</t>
  </si>
  <si>
    <t>Agregado de barras Rm1/3/5</t>
  </si>
  <si>
    <t>Se continua agregado de conos. // Bolas 4 se giro molino para continuar reajuste de pernos del trommel</t>
  </si>
  <si>
    <t>213-651 limpieza del area para reparación de sumidero, mecanicos soldando parche. // Rm06 paro 21:35 a 21:47 hrs atoro cajon concentrado</t>
  </si>
  <si>
    <t>210-103: Se desatora descarga de separador. operando</t>
  </si>
  <si>
    <t>Bm04: arranco 23:21 hrs para descargar molino. / Rm03 arrancó 23:48 hrs para el bolas 10</t>
  </si>
  <si>
    <t>Se continuo agregado de conos. // Se desatora bomba de xantato fase 2</t>
  </si>
  <si>
    <t>Bm04: paro molino 01.10 hrs se retira malla reten</t>
  </si>
  <si>
    <t>Bm07 paró de 03:45 a 04:22 hrs por falla en sistema hidrostatico</t>
  </si>
  <si>
    <t>Bm1 paró por alarma alta temperatura lado condicional, bomba #1 generando alta temperatura, se reduce setting de arranque de ventiladores</t>
  </si>
  <si>
    <t>Bm01 operando 06:16 hrs</t>
  </si>
  <si>
    <t>Bolas 1 paro 18:21 a 19:08 h cambio bomba, y habilitar tuberia del 2do ventilador.</t>
  </si>
  <si>
    <t>Agregando barras a los molino Rm-3/5/9</t>
  </si>
  <si>
    <t>Barras 1 arranco 21:28h en reemplazo del barras 2.</t>
  </si>
  <si>
    <t>Se continua agregado de medio moledor. // Se reduce dosificacion de acido oxalico por %S bajo</t>
  </si>
  <si>
    <t>Arrancaron 02:36 y 02:34 hrs respecticamente</t>
  </si>
  <si>
    <t>Bolas 04: se continuo instalacion de forros de shell, calafateo de tapa descarga</t>
  </si>
  <si>
    <t>Se continuo reduciendo dosificacion de acido en planta</t>
  </si>
  <si>
    <t>039-283 se reparo paletas. // Bolas 4 terminan instalacion de malla reten, retiro de motor auxiliar. colocando cachimba</t>
  </si>
  <si>
    <t>Se continua agregado de conos. // Bolas '08 maestranza toma medidas al eje y diametro int del babbit para continuar asentado</t>
  </si>
  <si>
    <t>Giro molino bolas 10 para continuar cambio de forros. // Se incrementa concentracion xantato al 9%</t>
  </si>
  <si>
    <t>01.44 a 02.02 hrs se derivó carga por la 071-717 cambio de polin faja 051 transferencia</t>
  </si>
  <si>
    <t>Se indica a procesos mejorar blending, S/FeS por encima de estandar</t>
  </si>
  <si>
    <t>Bm08 arrancó 03:47 hrs, Rm8 arranco 03:50 hrs.</t>
  </si>
  <si>
    <t>Bm10se continua con cambio de forros</t>
  </si>
  <si>
    <t>Se reduce dosificacion de acido oxalico progresivamente</t>
  </si>
  <si>
    <t>Se modifica seteo de pedestal ste del bolas 8 parada en 75 °C</t>
  </si>
  <si>
    <t>Se continua agregado de medio moledor</t>
  </si>
  <si>
    <t>Reduce dosificación de acido oxalico en planta</t>
  </si>
  <si>
    <t>Se realiza agregado de barras a molinos Rm01/02/07/09</t>
  </si>
  <si>
    <t>Paró filtro 053-041: cambio de jebe de sello y filtro 053-011 se desvistió cambio de sacas</t>
  </si>
  <si>
    <t>Se giró molino de bolas 10 para continuar instalacion de forros</t>
  </si>
  <si>
    <t>Continua agregado de conos, se concluye</t>
  </si>
  <si>
    <t>Linea 1 y 2 pararon por faja de transferencia 071-051, corte de la energia.(01:15 a 01:32)</t>
  </si>
  <si>
    <t>Bm10 se giró media vuelta para verificar hermeticidad</t>
  </si>
  <si>
    <t>Bm10 con bajo aislamiento se cubre motor e instala resistencias</t>
  </si>
  <si>
    <t>Se realizo agregado de barras a RM09,08,06,05,01</t>
  </si>
  <si>
    <t>Se reduce dosificacion de xantato en planta</t>
  </si>
  <si>
    <t>21:06 hrs arranco bolas 10</t>
  </si>
  <si>
    <t>Se continuo agregado de bolas y conos</t>
  </si>
  <si>
    <t>Se redujo dosificacion de xantato en planta</t>
  </si>
  <si>
    <t>Bolas 04 y bolas 10 se encuentran descargando por orificio central, se baja tonelaje y redistribuye cargas para minimizar descarga</t>
  </si>
  <si>
    <t>Bolas 5 y 9 presentan misma condicion de descarga por orificio central</t>
  </si>
  <si>
    <t>Barras 4 y bolas 10 pararon para retiro de forro plano no sacado durante cambio de forros</t>
  </si>
  <si>
    <t>Bolas10 demora en arranque por falla en aplicacion del motor, se regulo factor de potencia</t>
  </si>
  <si>
    <t>se pone en operacion bomba 213-431 en reemplazo de 213-243</t>
  </si>
  <si>
    <t>Probo motor del barras 3 en vacio para medicion de gap</t>
  </si>
  <si>
    <t>Se regulan aguas de bombas de transferencia por bajo % solido en celdas nuevas</t>
  </si>
  <si>
    <t>Se reducen colchones en celdas nuevas, mejoran solidos en alimentacion. // Arranco Rm03 probar pedestal STE</t>
  </si>
  <si>
    <t>Paro Rm03 por incremento de temperatura pedestal STE, arranco Rmo2</t>
  </si>
  <si>
    <t>Paró Rm09 por perdida de carga cuello de trommel, arranco Rm07 en reemplazo</t>
  </si>
  <si>
    <t>Bm07, instalan bronce, colocan tapa, alineando reductor- molino</t>
  </si>
  <si>
    <t>Arrancó Rm03 se rectifico peine del coupling, paró Rm02</t>
  </si>
  <si>
    <t>Bolas 10 paro de 17:00 a 18:08 hrs por cambio de valvula de retorno de aceite del sistema de lubricacion</t>
  </si>
  <si>
    <t>Faja 071-051 paro 23:45 a 00:10 falla electrica.</t>
  </si>
  <si>
    <t>Se sube concentracion de xantato al 9%</t>
  </si>
  <si>
    <t>Bolas 7 paro 02:47 a 03:46h no presento motivo de parada, electricos revisaron señales del motor.</t>
  </si>
  <si>
    <t>10:00 a 10:40, parada de L-1 y 2 por cambio de polines en las fajas 051-170/185/186.</t>
  </si>
  <si>
    <t>Calibración de la balanza faja 071-051</t>
  </si>
  <si>
    <t>Se bajo concentracion de xantato al 7% por %S bajo; asimismo dosificacion</t>
  </si>
  <si>
    <t>Se reduce dosificacion de acido oxalico en planta</t>
  </si>
  <si>
    <t>Bm09 entro en operacion, se cambiaron 5 pernos cuello trommel, amplio agujeros de malla reten y cambio de reten de alimentacion</t>
  </si>
  <si>
    <t>Bm07 continua asentado de bronce</t>
  </si>
  <si>
    <t>Bm09 continua perdida de carga por reten de alimentacion</t>
  </si>
  <si>
    <t>Paro bolas 4 para retiro de conos de malla trommel.</t>
  </si>
  <si>
    <t>Linea 5 se bajo tonelaje por fuga de carga por reten alimentacion.</t>
  </si>
  <si>
    <t>Barras 5 paro por alta temperatura aceite de retorno. se puso en operacion radiador</t>
  </si>
  <si>
    <t>Paro bolas 5 para ampliar ranuras de malla reten de descarga y cambio de reten alimentacion</t>
  </si>
  <si>
    <t>Bolas 7 paro por dializado de aceite</t>
  </si>
  <si>
    <t>Revision de filtros de aceite de alta del bolas 7, cambio de filtros del dializador</t>
  </si>
  <si>
    <t>Bolas 5 se concluyen trabajos entre en operacion</t>
  </si>
  <si>
    <t>Equipo</t>
  </si>
  <si>
    <t>Inicio de parada</t>
  </si>
  <si>
    <t>Arranque</t>
  </si>
  <si>
    <t>Concentrado no producido (TMS)</t>
  </si>
  <si>
    <t>Motivo</t>
  </si>
  <si>
    <t>032-081</t>
  </si>
  <si>
    <t>Operaciones</t>
  </si>
  <si>
    <t>Arranco en reemplazo Rm02</t>
  </si>
  <si>
    <t>032-082</t>
  </si>
  <si>
    <t>Paró por ajuste de pernos. Stand by</t>
  </si>
  <si>
    <t>032-089</t>
  </si>
  <si>
    <t>Por parada del bolas 9</t>
  </si>
  <si>
    <t>032-209</t>
  </si>
  <si>
    <t>Falla excitación del motor</t>
  </si>
  <si>
    <t>Arranco en reemplazo Rm04</t>
  </si>
  <si>
    <t>032-084</t>
  </si>
  <si>
    <t>Paró por limpieza trunnion alimentación. Stand by</t>
  </si>
  <si>
    <t>032-085</t>
  </si>
  <si>
    <t>Arranco en reemplazo Rm07</t>
  </si>
  <si>
    <t>032-087</t>
  </si>
  <si>
    <t>Paró por arranque Rm05. Stand by</t>
  </si>
  <si>
    <t>Cambio de manguera descarga 213-135</t>
  </si>
  <si>
    <t>032-083</t>
  </si>
  <si>
    <t>Perforación en brida ciega de manguera alimentación de la bomba 213-802 al Bm10</t>
  </si>
  <si>
    <t>Perforación en sumidero 213-233</t>
  </si>
  <si>
    <t>032-204</t>
  </si>
  <si>
    <t>Fuga de carga bomba 213-214- cambio impulsor/cilindro.</t>
  </si>
  <si>
    <t>Perforación en manguera de descarga de bomba 213-214</t>
  </si>
  <si>
    <t>Retiro de barretilla atravesada en malla trommel.</t>
  </si>
  <si>
    <t>RM01/09</t>
  </si>
  <si>
    <t>Corte general de energia</t>
  </si>
  <si>
    <t>BM01/10</t>
  </si>
  <si>
    <t>Falla en bombas de alta del sistema lubricacion</t>
  </si>
  <si>
    <t>por perforación del sumidero 213-651.</t>
  </si>
  <si>
    <t>por perforacion del sumidero 213-233, stand by</t>
  </si>
  <si>
    <t>032-086</t>
  </si>
  <si>
    <t>atoro en cajón de concentrado descarga sep 210-103/104.</t>
  </si>
  <si>
    <t>por parada del bolas 7</t>
  </si>
  <si>
    <t>032-201</t>
  </si>
  <si>
    <t>parada por alarma de temperatura lado limpio</t>
  </si>
  <si>
    <t>032-207</t>
  </si>
  <si>
    <t>Falla del sistema hidrostatico bomba alta #2</t>
  </si>
  <si>
    <t>Cambio de bomba aceite rductor y acoplr nuevo ventilador.</t>
  </si>
  <si>
    <t>Por parada del bolas 10</t>
  </si>
  <si>
    <t>032-210</t>
  </si>
  <si>
    <t>032-088</t>
  </si>
  <si>
    <t>por parada del bolas 08</t>
  </si>
  <si>
    <t>032-208</t>
  </si>
  <si>
    <t>alta temperatura de pedestal STE</t>
  </si>
  <si>
    <t>por parada del bolas 07</t>
  </si>
  <si>
    <t>Baja presion de aceite bomba de alta #2, bomba #1 fuerte ruido mecanico// salida de malla reten</t>
  </si>
  <si>
    <t>por parada del bolas 10</t>
  </si>
  <si>
    <t>Retirar forro caido del interior</t>
  </si>
  <si>
    <t>alta temperatura de pedestal STE, se rectifico peine</t>
  </si>
  <si>
    <t>Perdida de carga por cuello trommel</t>
  </si>
  <si>
    <t>Fuga de aceite por valvula de retorno sistema hidrostatico, se cambio</t>
  </si>
  <si>
    <t>Por parada del bolas 1</t>
  </si>
  <si>
    <t>por parada del bolas 9</t>
  </si>
  <si>
    <t>Falla en sensor de temperatura lado condicional</t>
  </si>
  <si>
    <t>Bajo flujo y presion de la bomba de alta #1, se cambio a la #2</t>
  </si>
  <si>
    <t>Limpieza de conos de malla trommel</t>
  </si>
  <si>
    <t>Cambio de reten de alimentacion, pernos del trommel y modificacion de malla descarga</t>
  </si>
  <si>
    <t>Alta temperatura aceite retorno</t>
  </si>
  <si>
    <t>Parada del bolas 5</t>
  </si>
  <si>
    <t>Por parada del bolas 7</t>
  </si>
  <si>
    <t>032-205</t>
  </si>
  <si>
    <t>Ampliar ranuras de la malla descarga y cambio de reten</t>
  </si>
  <si>
    <t>Dializado de aceite sistema lubricacion</t>
  </si>
  <si>
    <t>FECHA</t>
  </si>
  <si>
    <t>MES:</t>
  </si>
  <si>
    <t>AGOSTO</t>
  </si>
  <si>
    <t>N°</t>
  </si>
  <si>
    <t>1 TURNO</t>
  </si>
  <si>
    <t>2 TURNO</t>
  </si>
  <si>
    <t>3 TURNO</t>
  </si>
  <si>
    <t>✔</t>
  </si>
  <si>
    <t>✖</t>
  </si>
  <si>
    <t>Filtro Linea # 5</t>
  </si>
  <si>
    <t>Filtro Linea # 6</t>
  </si>
  <si>
    <t>RESUMEN OPERACIONAL</t>
  </si>
  <si>
    <t>% CUMPLIMIENTO</t>
  </si>
  <si>
    <t>Realizado por:</t>
  </si>
  <si>
    <t>Linea 1</t>
  </si>
  <si>
    <t>TK-MG-001</t>
  </si>
  <si>
    <t>Linea 5</t>
  </si>
  <si>
    <t>TK-MG-002</t>
  </si>
  <si>
    <t>Linea 8</t>
  </si>
  <si>
    <t>TK-MG-003</t>
  </si>
  <si>
    <t>Linea 10</t>
  </si>
  <si>
    <t>TK-MG-005</t>
  </si>
  <si>
    <t>Linea 7</t>
  </si>
  <si>
    <t>X</t>
  </si>
  <si>
    <t>TK-MG-006</t>
  </si>
  <si>
    <t>TK-MG-007</t>
  </si>
  <si>
    <t>MB-1</t>
  </si>
  <si>
    <t>TK-MG-004</t>
  </si>
  <si>
    <t>MB-4</t>
  </si>
  <si>
    <t>TK-MG-008</t>
  </si>
  <si>
    <t>MB-5</t>
  </si>
  <si>
    <t>TK-MG-009</t>
  </si>
  <si>
    <t>MB-6</t>
  </si>
  <si>
    <t>TK-MG-010</t>
  </si>
  <si>
    <t>MB-7</t>
  </si>
  <si>
    <t>TK-MG-011</t>
  </si>
  <si>
    <t>MB-8</t>
  </si>
  <si>
    <t>TK-MG-012</t>
  </si>
  <si>
    <t>MB-9</t>
  </si>
  <si>
    <t>TK-MG-013</t>
  </si>
  <si>
    <t>RM-9</t>
  </si>
  <si>
    <t>TK-MG-014</t>
  </si>
  <si>
    <t>MB-10</t>
  </si>
  <si>
    <t>MES</t>
  </si>
  <si>
    <t>Turno</t>
  </si>
  <si>
    <t>210-097</t>
  </si>
  <si>
    <t>210-098</t>
  </si>
  <si>
    <t>210-099</t>
  </si>
  <si>
    <t>210-100</t>
  </si>
  <si>
    <t>210-114</t>
  </si>
  <si>
    <t>210-115</t>
  </si>
  <si>
    <t>210-101</t>
  </si>
  <si>
    <t>210-102</t>
  </si>
  <si>
    <t>210-103</t>
  </si>
  <si>
    <t>210-104</t>
  </si>
  <si>
    <t>210-105</t>
  </si>
  <si>
    <t>210-106</t>
  </si>
  <si>
    <t>210-107</t>
  </si>
  <si>
    <t>210-108</t>
  </si>
  <si>
    <t>210-268</t>
  </si>
  <si>
    <t>210-269</t>
  </si>
  <si>
    <t>Cumplimiento</t>
  </si>
  <si>
    <t>Estado</t>
  </si>
  <si>
    <t>1° Turno</t>
  </si>
  <si>
    <t>2° Turno</t>
  </si>
  <si>
    <t>Molino barras 1</t>
  </si>
  <si>
    <t>Molino barras 2</t>
  </si>
  <si>
    <t>Molino barras 3</t>
  </si>
  <si>
    <t>Molino barras 4</t>
  </si>
  <si>
    <t>Molino barras 5</t>
  </si>
  <si>
    <t>Molino barras 6</t>
  </si>
  <si>
    <t>Molino barras 7</t>
  </si>
  <si>
    <t>Molino barras 8</t>
  </si>
  <si>
    <t>Molino barras 9</t>
  </si>
  <si>
    <t>1° turno</t>
  </si>
  <si>
    <t>2° turno</t>
  </si>
  <si>
    <t>3° turno</t>
  </si>
  <si>
    <t>PISO</t>
  </si>
  <si>
    <t>CANALETA</t>
  </si>
  <si>
    <t>TIPO</t>
  </si>
  <si>
    <t>PUNTO REFERENCIA</t>
  </si>
  <si>
    <t>RESPONSABLE</t>
  </si>
  <si>
    <t>OBSERVACIÓN</t>
  </si>
  <si>
    <t>Solo cuentan con 7 personas de limpieza. Se da prioridad a limpieza de area de bombas 213-431 / 213-243 / 213-817 /213-818</t>
  </si>
  <si>
    <t>032-206</t>
  </si>
  <si>
    <t>H8</t>
  </si>
  <si>
    <t>H9</t>
  </si>
  <si>
    <t>Avanze de manguereo .</t>
  </si>
  <si>
    <t>BARRAS RM1</t>
  </si>
  <si>
    <t>BARRAS RM2</t>
  </si>
  <si>
    <t>BARRAS RM3</t>
  </si>
  <si>
    <t>BARRAS RM4</t>
  </si>
  <si>
    <t>BARRAS RM5</t>
  </si>
  <si>
    <t>BARRAS RM6</t>
  </si>
  <si>
    <t>BARRAS RM7</t>
  </si>
  <si>
    <t>BARRAS RM8</t>
  </si>
  <si>
    <t>BARRAS 9 RM9</t>
  </si>
  <si>
    <t>TOTAL BARRAS</t>
  </si>
  <si>
    <t>CONOS 40X50 BM1</t>
  </si>
  <si>
    <t>CONOS 40X50 BM2</t>
  </si>
  <si>
    <t>CONOS 40X50 BM3</t>
  </si>
  <si>
    <t>CONOS 40X50 BM4</t>
  </si>
  <si>
    <t>CONOS 30X35 BM5</t>
  </si>
  <si>
    <t>CONOS 40X50 BM6</t>
  </si>
  <si>
    <t>CONOS 40X50 BM7</t>
  </si>
  <si>
    <t>CONOS 40X50</t>
  </si>
  <si>
    <t>CONOS 30X35</t>
  </si>
  <si>
    <t>BOLAS BM8</t>
  </si>
  <si>
    <t>BOLAS BM9</t>
  </si>
  <si>
    <t>BOLAS BM10</t>
  </si>
  <si>
    <t>BOLAS ALTO CROM</t>
  </si>
  <si>
    <t>CARGA NOMINAL MOLINO DE BARRAS</t>
  </si>
  <si>
    <t>CARGA NOMINAL MOLINO DE BOLAS</t>
  </si>
  <si>
    <t>RM - 1</t>
  </si>
  <si>
    <t>RM - 2</t>
  </si>
  <si>
    <t>RM - 3</t>
  </si>
  <si>
    <t>RM - 4</t>
  </si>
  <si>
    <t>RM - 5</t>
  </si>
  <si>
    <t>RM - 6</t>
  </si>
  <si>
    <t>RM - 7</t>
  </si>
  <si>
    <t>RM - 8</t>
  </si>
  <si>
    <t>RM - 9</t>
  </si>
  <si>
    <t>BM - 1</t>
  </si>
  <si>
    <t>BM - 3</t>
  </si>
  <si>
    <t>BM - 4</t>
  </si>
  <si>
    <t>BM - 5</t>
  </si>
  <si>
    <t>BM - 6</t>
  </si>
  <si>
    <t>BM - 7</t>
  </si>
  <si>
    <t>BM - 8</t>
  </si>
  <si>
    <t>BM - 9</t>
  </si>
  <si>
    <t>BM - 10</t>
  </si>
  <si>
    <t>.</t>
  </si>
  <si>
    <t>CONTROL MENSUAL DE CALIBRACIÓN DE BALANZAS DE FAJA - PLANTA MAGNETICA</t>
  </si>
  <si>
    <t>EQUIPO</t>
  </si>
  <si>
    <t>FAJA TRANSP</t>
  </si>
  <si>
    <t>ZERO AS FOUND</t>
  </si>
  <si>
    <t>ZERO AS         LEFT</t>
  </si>
  <si>
    <t>DELTA    ZERO</t>
  </si>
  <si>
    <t>ERROR ZERO ENCONTRADO (%)</t>
  </si>
  <si>
    <t>ERROR ZERO DEJADO (%)</t>
  </si>
  <si>
    <t>SPAN AS FOUND</t>
  </si>
  <si>
    <t>SPAN AS         LEFT</t>
  </si>
  <si>
    <t>DELTA      SPAN</t>
  </si>
  <si>
    <t>ERROR SPAN ENCONTRADO (%)</t>
  </si>
  <si>
    <t>ERROR SPAN DEJADO (%)</t>
  </si>
  <si>
    <t>OBSERVACION</t>
  </si>
  <si>
    <t>031-071</t>
  </si>
  <si>
    <t>031-061</t>
  </si>
  <si>
    <t>Mantener limpio tren de pesaje</t>
  </si>
  <si>
    <t>031-072</t>
  </si>
  <si>
    <t>031-062</t>
  </si>
  <si>
    <t>031-073</t>
  </si>
  <si>
    <t>031-063</t>
  </si>
  <si>
    <t>031-074</t>
  </si>
  <si>
    <t>031-064</t>
  </si>
  <si>
    <t>Mantener limpio el tren de pesaje</t>
  </si>
  <si>
    <t>031-083</t>
  </si>
  <si>
    <t>031-065</t>
  </si>
  <si>
    <t>031-076</t>
  </si>
  <si>
    <t>031-066</t>
  </si>
  <si>
    <t>031-082</t>
  </si>
  <si>
    <t>031-067</t>
  </si>
  <si>
    <t>031-081</t>
  </si>
  <si>
    <t>031-068</t>
  </si>
  <si>
    <t>INSPECCION DE COMPONENTES DE HIDROCICLONES</t>
  </si>
  <si>
    <t>Medidas de Diseño</t>
  </si>
  <si>
    <t>Proveedor : HAIWANG</t>
  </si>
  <si>
    <t>Apex Diámetro Nominal Superior (mm)</t>
  </si>
  <si>
    <t>Apex Diámetro Nominal Inferior (mm)</t>
  </si>
  <si>
    <t>Espesor del apex Diámetro superior (mm)</t>
  </si>
  <si>
    <t>Espesor del apex Diámetro Inferior (mm)</t>
  </si>
  <si>
    <t>Vortex Diámetro Nominal (mm)</t>
  </si>
  <si>
    <t>Espesor del Vortex (mm)</t>
  </si>
  <si>
    <t>Ene-26</t>
  </si>
  <si>
    <t>BM 01</t>
  </si>
  <si>
    <t>Numero de Ciclones</t>
  </si>
  <si>
    <t>212-161~164</t>
  </si>
  <si>
    <t>Comentarios:</t>
  </si>
  <si>
    <t>Apex: Presentan minimo desgaste</t>
  </si>
  <si>
    <t>164A</t>
  </si>
  <si>
    <t>Fecha de Inspección</t>
  </si>
  <si>
    <t>mm</t>
  </si>
  <si>
    <t>Desg.</t>
  </si>
  <si>
    <t xml:space="preserve">Apex Diámetro Real Superior </t>
  </si>
  <si>
    <t>Vortex: 212-164A presenta mayor desgaste (15%); sin embargo, se encuentra dentro del rango permisible.</t>
  </si>
  <si>
    <t>Apex Diámetro Real Inferior</t>
  </si>
  <si>
    <t>Vortex Diámetro Real</t>
  </si>
  <si>
    <t>BM 02</t>
  </si>
  <si>
    <t>212-831~833</t>
  </si>
  <si>
    <t xml:space="preserve">Apex: </t>
  </si>
  <si>
    <t>Implementar</t>
  </si>
  <si>
    <t xml:space="preserve"> PM </t>
  </si>
  <si>
    <t>Vortex:</t>
  </si>
  <si>
    <t>BM 03</t>
  </si>
  <si>
    <t>212-153 ~154</t>
  </si>
  <si>
    <t>Apex: 212-153/155 se encontraron con ceramico rejado, se reemplazaron por apex nuevos D. Inferior 2 1/8"</t>
  </si>
  <si>
    <t xml:space="preserve"> PM 06/03/2026</t>
  </si>
  <si>
    <t>Vortex: Desgaste dentro de rango permisible.</t>
  </si>
  <si>
    <t>BM 04</t>
  </si>
  <si>
    <t>212-158~160</t>
  </si>
  <si>
    <t>Apex:  212-158 se encontró con ceramico rejado, se reemplazó por apex nuevo D. Inferior 2 1/8"</t>
  </si>
  <si>
    <t>Vortex: 212-159 Se reemplazó vortex por encontrarse cortado. 212-158/160 presentan minimo desgaste en la parte superior; sin emargo, parte inferor se encontraron resanados con nordbak.</t>
  </si>
  <si>
    <t>BM 05</t>
  </si>
  <si>
    <t>212-148 A/B/C/D/E/F</t>
  </si>
  <si>
    <t>A</t>
  </si>
  <si>
    <t>B</t>
  </si>
  <si>
    <t>C</t>
  </si>
  <si>
    <t>D</t>
  </si>
  <si>
    <t>E</t>
  </si>
  <si>
    <t>F</t>
  </si>
  <si>
    <t>Vortex: Presentan mínimo desgaste en la parte superior; sin embargo, parte inferior 02 vortex se encuentran resanados con nordbak.</t>
  </si>
  <si>
    <t>BM 06</t>
  </si>
  <si>
    <t>212-149 A/B/C/D/E</t>
  </si>
  <si>
    <t>Apex: 212-149 C y D presentaban rajaduras del cerámico, se reemplazó por nuevos. 212-149 A/B/E presentan mínimo desgaste. / 212-149D Presentaba forro conico hinchado, se reemplazó.</t>
  </si>
  <si>
    <t>27/01/2026</t>
  </si>
  <si>
    <t>Vortex: Presentan minimo desgaste</t>
  </si>
  <si>
    <t>BM 07</t>
  </si>
  <si>
    <t>212-897 A/B/C/D/E</t>
  </si>
  <si>
    <t>PM</t>
  </si>
  <si>
    <t>BM 08</t>
  </si>
  <si>
    <t>212-150 A/B/C/D/E/F</t>
  </si>
  <si>
    <t>Apex: 212-150A y D presentaban rajaduras del cerámico, se reemplazó por nuevos. 212-150B/C/E/F presentan mínimo desgaste.</t>
  </si>
  <si>
    <t>Vortex: 212-150 presentan mínimo desgaste en la parte superior; sin embargo, parte inferior se encuentran resanados con nordbak.</t>
  </si>
  <si>
    <t>BM 09</t>
  </si>
  <si>
    <t>212-893 A/B/C/D/E/F</t>
  </si>
  <si>
    <t>Apex: A/C/E presentan rajaduras; sin embargo, se realizó el cambio de los 6 apex.</t>
  </si>
  <si>
    <t xml:space="preserve">Vortex: 212-893C presenta mayor desgaste (5.26%); </t>
  </si>
  <si>
    <t>BM 10</t>
  </si>
  <si>
    <t>212-892 A/B/C/D/E/F</t>
  </si>
  <si>
    <t>16/01/2026</t>
  </si>
  <si>
    <t>Apex: 212-162/164 presentaban rajaduras del cerámico, se reemplazó por nuevos. 212-161/163/164A presentan mínimo desgaste.</t>
  </si>
  <si>
    <t>16/5/2026</t>
  </si>
  <si>
    <t>29/5/2026</t>
  </si>
  <si>
    <t>19/5/2026</t>
  </si>
  <si>
    <t>REQUERIMIENTO DE FORROS PARA MOLINO</t>
  </si>
  <si>
    <t>MOLINO</t>
  </si>
  <si>
    <t>SOLICITUD</t>
  </si>
  <si>
    <t>CATALOGACIÓN</t>
  </si>
  <si>
    <t>SOLPED</t>
  </si>
  <si>
    <t>FECHA LIBERACION</t>
  </si>
  <si>
    <t>ESTADO DE LIBERACION</t>
  </si>
  <si>
    <t>ESTATUS</t>
  </si>
  <si>
    <t>ORDEN DE COMPRA</t>
  </si>
  <si>
    <t>PROVEEDOR</t>
  </si>
  <si>
    <t>FECHA ENTREGA</t>
  </si>
  <si>
    <t>COMENTARIO</t>
  </si>
  <si>
    <t>ESTADO</t>
  </si>
  <si>
    <t>JUEGO COMPLETO</t>
  </si>
  <si>
    <t>SI</t>
  </si>
  <si>
    <t>14-ene.-26</t>
  </si>
  <si>
    <t>LIBERADO</t>
  </si>
  <si>
    <t>COTIZACION</t>
  </si>
  <si>
    <t>Actualizacion de EVT / DAM2026-1853 / DAM2026-2046</t>
  </si>
  <si>
    <t>PERNERIA DE FORROS</t>
  </si>
  <si>
    <t>FORROS TAPA DESCARGA</t>
  </si>
  <si>
    <t>STOCK EN ALMACEN</t>
  </si>
  <si>
    <t>ACSA</t>
  </si>
  <si>
    <t>En stock</t>
  </si>
  <si>
    <t>PERNERIA DE TAPA</t>
  </si>
  <si>
    <t>10-ene.-26</t>
  </si>
  <si>
    <t>FABRICACION</t>
  </si>
  <si>
    <t>PEG</t>
  </si>
  <si>
    <t>---</t>
  </si>
  <si>
    <t>Destinado para el molino 032-081 / Cambio de molino completo</t>
  </si>
  <si>
    <t>09-ene.-26</t>
  </si>
  <si>
    <t>Actualizacion de EVT / DAM2026-1855 / DAM2026-2046</t>
  </si>
  <si>
    <t>13-ene.-26</t>
  </si>
  <si>
    <t>setiembre PEn</t>
  </si>
  <si>
    <t>Actualizacion de EVT / DAM2026-2311 / DAM2026-2046</t>
  </si>
  <si>
    <t>17-jul.-25</t>
  </si>
  <si>
    <t>16/03/2026</t>
  </si>
  <si>
    <t xml:space="preserve"> Se confirma recepción a almacén el 25 de marzo </t>
  </si>
  <si>
    <t>14/01/26</t>
  </si>
  <si>
    <t>NAIPU</t>
  </si>
  <si>
    <t>24-Ago</t>
  </si>
  <si>
    <t>032-202</t>
  </si>
  <si>
    <t>En Almacen 5</t>
  </si>
  <si>
    <t>032-203</t>
  </si>
  <si>
    <t>17/02/26</t>
  </si>
  <si>
    <t>Sin DAM</t>
  </si>
  <si>
    <t>24/05/25</t>
  </si>
  <si>
    <t>29/08/25</t>
  </si>
  <si>
    <t>Se instala en molino 032-208</t>
  </si>
  <si>
    <t>llega el 15 de agosto</t>
  </si>
  <si>
    <t>16-Ago</t>
  </si>
  <si>
    <t>Se intalará en molino 032-206</t>
  </si>
  <si>
    <t>14/0126</t>
  </si>
  <si>
    <t>Se intalará en molino 032-207</t>
  </si>
  <si>
    <t>Si</t>
  </si>
  <si>
    <t>22/04/26</t>
  </si>
  <si>
    <t>INDELAT</t>
  </si>
  <si>
    <t>En Almacen 3</t>
  </si>
  <si>
    <t>23/05/26</t>
  </si>
  <si>
    <t>PROGRAMA CAMBIO DE FORROS DE MOLINOS  - CONCENTRACION BENEFICIO 2026</t>
  </si>
  <si>
    <t>MOLINOS</t>
  </si>
  <si>
    <t>CODIGO</t>
  </si>
  <si>
    <t>CAMBIO</t>
  </si>
  <si>
    <t>Abr-26</t>
  </si>
  <si>
    <t>Ago-26</t>
  </si>
  <si>
    <t>Set-26</t>
  </si>
  <si>
    <t>Dic-26</t>
  </si>
  <si>
    <t>BARRAS</t>
  </si>
  <si>
    <t>Dic-22</t>
  </si>
  <si>
    <t>Ago-22</t>
  </si>
  <si>
    <t>Dic-23</t>
  </si>
  <si>
    <t xml:space="preserve"> BOLAS</t>
  </si>
  <si>
    <t>Dic-24</t>
  </si>
  <si>
    <t>Ago-18</t>
  </si>
  <si>
    <t>Abr-22</t>
  </si>
  <si>
    <t>Ago-21</t>
  </si>
  <si>
    <t>Ago-24</t>
  </si>
  <si>
    <t>Leyenda Molinos Barras:</t>
  </si>
  <si>
    <t>Leyenda Molinos Bolas:</t>
  </si>
  <si>
    <t xml:space="preserve">Cambio Forros </t>
  </si>
  <si>
    <t>Cambio Forros Elevadores</t>
  </si>
  <si>
    <t>Cambio Forros Magneticos</t>
  </si>
  <si>
    <t>STD:</t>
  </si>
  <si>
    <t>3,500,000 TMS</t>
  </si>
  <si>
    <t>Cambio Forros Planos</t>
  </si>
  <si>
    <t>2,500,000 TMS</t>
  </si>
  <si>
    <t>Cambio Forros Elevadores + Forros Planos</t>
  </si>
  <si>
    <t>STD: Planos BG</t>
  </si>
  <si>
    <t>4,000,000 TMS</t>
  </si>
  <si>
    <t>STD: Elevadores BG</t>
  </si>
  <si>
    <t>2,000,000 TMS</t>
  </si>
  <si>
    <t>STD: Planos BCH</t>
  </si>
  <si>
    <t>2,400,000 TMS</t>
  </si>
  <si>
    <t>STD: Elevadores BCH</t>
  </si>
  <si>
    <t>1,200,000 TMS</t>
  </si>
  <si>
    <t>REPORTE DE TRABAJOS DE MANTENIMIENTO</t>
  </si>
  <si>
    <t>Fecha de reporte</t>
  </si>
  <si>
    <t>Aviso SAP</t>
  </si>
  <si>
    <t>Descripción</t>
  </si>
  <si>
    <t>Area Ejec.</t>
  </si>
  <si>
    <t>Criticidad</t>
  </si>
  <si>
    <t>21/11/2025</t>
  </si>
  <si>
    <t>029-115</t>
  </si>
  <si>
    <t xml:space="preserve">EQUIPO PARADO / INSTALAR IMPULSOR </t>
  </si>
  <si>
    <t>Mantto Mecánico</t>
  </si>
  <si>
    <t>P</t>
  </si>
  <si>
    <t>Baja</t>
  </si>
  <si>
    <t>029-070</t>
  </si>
  <si>
    <t>REVISAR FUGA DE ACEITE POR CHUMACERAS LADO MOTOR Y PLAYA</t>
  </si>
  <si>
    <t>Media</t>
  </si>
  <si>
    <t>021-116</t>
  </si>
  <si>
    <t xml:space="preserve">PERDIDA DE ACEITE DEL REDUCTOR </t>
  </si>
  <si>
    <t>Alta</t>
  </si>
  <si>
    <t>22/11/2025</t>
  </si>
  <si>
    <t>022-042</t>
  </si>
  <si>
    <t>FAJAS SUELTAS Y REPARAR GUARDA DE POLEA DE MOTOR</t>
  </si>
  <si>
    <t>Parada</t>
  </si>
  <si>
    <t>021-134</t>
  </si>
  <si>
    <t>REVISION DE ZERO SWITCH</t>
  </si>
  <si>
    <t>Mantto Electrico</t>
  </si>
  <si>
    <t>24/11/2025</t>
  </si>
  <si>
    <t>021-057</t>
  </si>
  <si>
    <t xml:space="preserve">CAMBIO DE LIMPIAFAJA </t>
  </si>
  <si>
    <t>25/11/2025</t>
  </si>
  <si>
    <t>021-036</t>
  </si>
  <si>
    <t>CAMBIO DE MANGUERA DEL ZERO</t>
  </si>
  <si>
    <t>021-031</t>
  </si>
  <si>
    <t>MODIFICACION DE PORTAMANDILES</t>
  </si>
  <si>
    <t>021-033</t>
  </si>
  <si>
    <t>Oculta el trabajo</t>
  </si>
  <si>
    <t>021-055</t>
  </si>
  <si>
    <t>020-110</t>
  </si>
  <si>
    <t>CAMBIO DE LINNER</t>
  </si>
  <si>
    <t>021-132</t>
  </si>
  <si>
    <t xml:space="preserve">CAMBIO DE MANDIL </t>
  </si>
  <si>
    <t>17/12/2025</t>
  </si>
  <si>
    <t>022-021</t>
  </si>
  <si>
    <t>REPARACION DE TUBERIA POR FUGA DE ACEITE</t>
  </si>
  <si>
    <t>22/12/2025</t>
  </si>
  <si>
    <t>022-128</t>
  </si>
  <si>
    <t>HERMETIZACION TAPA HACIA 021-132</t>
  </si>
  <si>
    <t>23/12/2025</t>
  </si>
  <si>
    <t xml:space="preserve">REPOSICION DE 2 POSTES DE FIJACION </t>
  </si>
  <si>
    <t>211-024</t>
  </si>
  <si>
    <t>CAMBIO DE MALLA 3/4</t>
  </si>
  <si>
    <t>24/12/2025</t>
  </si>
  <si>
    <t>CAMBIO DUCTO SUCCION ALTURA CHANCADORA 022-042</t>
  </si>
  <si>
    <t>26/12/2025</t>
  </si>
  <si>
    <t>CAMBIO MALLA 3/4</t>
  </si>
  <si>
    <t>27/12/2025</t>
  </si>
  <si>
    <t>211-051</t>
  </si>
  <si>
    <t>HERMETIZACION CHUTE FINOS HACIA 021-632</t>
  </si>
  <si>
    <t>28/12/2025</t>
  </si>
  <si>
    <t>211-140</t>
  </si>
  <si>
    <t>CAMBIO MALLA SET INFERIOR</t>
  </si>
  <si>
    <t>29/12/2025</t>
  </si>
  <si>
    <t>022-130</t>
  </si>
  <si>
    <t xml:space="preserve">REPOSICION DE 1 POSTE DE FIJACION </t>
  </si>
  <si>
    <t>30/12/2025</t>
  </si>
  <si>
    <t>CAMBIO DE EXCENTRICA</t>
  </si>
  <si>
    <t>020-124</t>
  </si>
  <si>
    <t>REPARACION DE BANDEJA DEL FEEDER POR FISURA</t>
  </si>
  <si>
    <t>REPARACION / CAMBIO MOTOR</t>
  </si>
  <si>
    <t>211-050</t>
  </si>
  <si>
    <t>210-402</t>
  </si>
  <si>
    <t>CAMBIO DE FAJA DENTADA</t>
  </si>
  <si>
    <t>275-032</t>
  </si>
  <si>
    <t>CONFIGURACION DE SEÑAL DE ZARANDAS POR MTTO EN LINEA 1</t>
  </si>
  <si>
    <t>Mantto Instrumentacion</t>
  </si>
  <si>
    <t>211-025</t>
  </si>
  <si>
    <t>CAMBIO CANTONERA</t>
  </si>
  <si>
    <t>021-616</t>
  </si>
  <si>
    <t>REPARACION DE COMPUERTA DE TOLVA DE GRANZA, CAMBIO DE BOMBA HIDRAULICA</t>
  </si>
  <si>
    <t>021-066</t>
  </si>
  <si>
    <t>REGULACION DE FRENO DE TRIPPER</t>
  </si>
  <si>
    <t>211-018</t>
  </si>
  <si>
    <t>021-510 a 021-625</t>
  </si>
  <si>
    <t>CAMBIO DE CHUTE</t>
  </si>
  <si>
    <t>tolva a separadores 210-400/401/402</t>
  </si>
  <si>
    <t>CAMBIO DE CHUTES</t>
  </si>
  <si>
    <t>CAMBIO EXCENTRICA</t>
  </si>
  <si>
    <t>021-134 A 021-061</t>
  </si>
  <si>
    <t>CAMBIO PLATINAS</t>
  </si>
  <si>
    <t>021-063</t>
  </si>
  <si>
    <t>BAJAR MANDILES</t>
  </si>
  <si>
    <t>021-022</t>
  </si>
  <si>
    <t>REPARACION EMPALME</t>
  </si>
  <si>
    <t>Mantto Fajas</t>
  </si>
  <si>
    <t>211-126</t>
  </si>
  <si>
    <t xml:space="preserve">EVALUACION DE BASE DE MOTOR </t>
  </si>
  <si>
    <t>211-127</t>
  </si>
  <si>
    <t>HERMETIZADO DE TAPAS</t>
  </si>
  <si>
    <t xml:space="preserve">CAMBIO DE FAJA </t>
  </si>
  <si>
    <t>CAMBIO MOTOREDUCTOR</t>
  </si>
  <si>
    <t>CAMBIO POLEA TENSORA</t>
  </si>
  <si>
    <t>021-047</t>
  </si>
  <si>
    <t>COLOCACION COBERTURA ETERNIT</t>
  </si>
  <si>
    <t>INSTALACION DE CARRETES Y CODOS DE 6" HACIA EL TANQUE 400-255</t>
  </si>
  <si>
    <t>021-059</t>
  </si>
  <si>
    <t>INSTALACION DE BASES PARA REGULAR COMANDOS</t>
  </si>
  <si>
    <t>211-049</t>
  </si>
  <si>
    <t>CAMBIO RESORTE POSTERIOR</t>
  </si>
  <si>
    <t>REVISION DE CHUMACERA DE PARED</t>
  </si>
  <si>
    <t>021-509</t>
  </si>
  <si>
    <t>CAMBIO RETEN DE CHUMACERA DE POLEA DOBLADORA</t>
  </si>
  <si>
    <t>021-629</t>
  </si>
  <si>
    <t>CAMBIAR CHUMACERA DE TRIPPER</t>
  </si>
  <si>
    <t>INSTALACION DE PORTAMANDILES</t>
  </si>
  <si>
    <t>INSTALACION DE CHUTE DE FINOS Y DESCARGA HACIA ZARANDA 211-018.</t>
  </si>
  <si>
    <t>021-633</t>
  </si>
  <si>
    <t>INSTALACION DE MANDIL DOBLE LABIO</t>
  </si>
  <si>
    <t>021-119</t>
  </si>
  <si>
    <t>INSTALACION DE CAJON PARA CHUTE DE FINOS</t>
  </si>
  <si>
    <t>MODIFICACION DE MANDIL LADO NORTE</t>
  </si>
  <si>
    <t>HERMETIZADO, CAMBIO DE TAPAS</t>
  </si>
  <si>
    <t>REGULACION DE MANDILES</t>
  </si>
  <si>
    <t>30/1/2026</t>
  </si>
  <si>
    <t>CAMBIO DE TAPAS</t>
  </si>
  <si>
    <t>021-632</t>
  </si>
  <si>
    <t>021-631</t>
  </si>
  <si>
    <t>INSTALACION DE PLANCHA POLIURETANO EN CHUTE DE FINOS</t>
  </si>
  <si>
    <t>021-037</t>
  </si>
  <si>
    <t>INSTALACION DE COBERTURA</t>
  </si>
  <si>
    <t>021-061</t>
  </si>
  <si>
    <t>CAMBIO DE FAJAS EN V</t>
  </si>
  <si>
    <t>021-045</t>
  </si>
  <si>
    <t>MODIFICACION DE BASE AUTOLINEANTE</t>
  </si>
  <si>
    <t>CAMBIO DE RADIADOR</t>
  </si>
  <si>
    <t>INSTALACION DE MANDIL</t>
  </si>
  <si>
    <t>021-012</t>
  </si>
  <si>
    <t>INSTALACION DE PORTAMANDILES Y MANDILES</t>
  </si>
  <si>
    <t>021-040</t>
  </si>
  <si>
    <t>CAMBIO SEGMENTO DE LIMPIADOR SECUNDARIO</t>
  </si>
  <si>
    <t>021-014</t>
  </si>
  <si>
    <t>CAMBIO DE PLATINAS DE RETENCION</t>
  </si>
  <si>
    <t>CAMBIO BLINDAJES LADO ALIMENTACION</t>
  </si>
  <si>
    <t>CAMBIO DE MANDIL</t>
  </si>
  <si>
    <t>CAMBIO 1 MALLA SUPERIOR</t>
  </si>
  <si>
    <t>211-124</t>
  </si>
  <si>
    <t>REPARACION DE PARRILA</t>
  </si>
  <si>
    <t>15/11/2025</t>
  </si>
  <si>
    <t>ALINEAR POLEA DE COLA</t>
  </si>
  <si>
    <t>Manto. Mecánico</t>
  </si>
  <si>
    <t>213-231</t>
  </si>
  <si>
    <t>BOMBEO DEFICIENTE</t>
  </si>
  <si>
    <t>213-822</t>
  </si>
  <si>
    <t>REPONER BOMBA DE ST-BY</t>
  </si>
  <si>
    <t>19/11/2025</t>
  </si>
  <si>
    <t>210-107/108</t>
  </si>
  <si>
    <t>CAMBIO DE VALVULA DE LINEA PRINCIPAL</t>
  </si>
  <si>
    <t>213-221</t>
  </si>
  <si>
    <t>ALINEAR MANGUERA DE DESCARGA</t>
  </si>
  <si>
    <t>210-279</t>
  </si>
  <si>
    <t>REPONER TAMBORES MAGNETICOS</t>
  </si>
  <si>
    <t>Equipo Parado</t>
  </si>
  <si>
    <t>ALINEAR MANGUERA DESCARGA 213.211</t>
  </si>
  <si>
    <t>210-114/115</t>
  </si>
  <si>
    <t>INSTALAR CODO EN MANGUERA DE COLAS HACIA CANAL</t>
  </si>
  <si>
    <t>032-084/085/086</t>
  </si>
  <si>
    <t>INSTALAR TINA EN REBOSE LADO ALIMENTACION</t>
  </si>
  <si>
    <t>DESATORAR MANGUERA DE DESCARGA/HABILITAR MALLA DESCARGA HACIA SUMIDERO</t>
  </si>
  <si>
    <t>20/11/2025</t>
  </si>
  <si>
    <t>213-817</t>
  </si>
  <si>
    <t>CAMBIAR MANGUERA DESCARGA CON HUECO</t>
  </si>
  <si>
    <t>PIERDE CARGA POR RETEN ALIMENTACIÓN</t>
  </si>
  <si>
    <t>Observado</t>
  </si>
  <si>
    <t>213-818</t>
  </si>
  <si>
    <t>REPARAR TAPA DESCARGA SUMIDERO</t>
  </si>
  <si>
    <t>213-312</t>
  </si>
  <si>
    <t>CAMBIAR VCN</t>
  </si>
  <si>
    <t>213-105</t>
  </si>
  <si>
    <t>CAMBIAR JEBE DE SELLO</t>
  </si>
  <si>
    <t>210-270</t>
  </si>
  <si>
    <t>COLOCAR BRAZO REGULADOR</t>
  </si>
  <si>
    <t>OPERATIVO</t>
  </si>
  <si>
    <t>213-213</t>
  </si>
  <si>
    <t>039-272</t>
  </si>
  <si>
    <t>REPARA CODO DE PVC 2" DE REACTIVOS DEBAJO DE TANQUE</t>
  </si>
  <si>
    <t>039-282</t>
  </si>
  <si>
    <t>CAMBIAR VÁLVULA DE 2" REACTIVO</t>
  </si>
  <si>
    <t>210-278</t>
  </si>
  <si>
    <t>REPONER TINA Y TAMBORES</t>
  </si>
  <si>
    <t>213-123</t>
  </si>
  <si>
    <t xml:space="preserve">BOMBEO DEFICIENTE, CAMBIO DE COMPONENTES HUMEDOS </t>
  </si>
  <si>
    <t>210-311</t>
  </si>
  <si>
    <t>REPONER MOTOR EN TAMBOR B</t>
  </si>
  <si>
    <t>OPERATIVO (21/11 18:00HR)</t>
  </si>
  <si>
    <t>039-280 B</t>
  </si>
  <si>
    <t>CAMBIO DE RODAMIETO POR EXCESIVA VIBRACION</t>
  </si>
  <si>
    <t>039-274/275</t>
  </si>
  <si>
    <t>HABILITAR VENTANAS PARA MUESTREO</t>
  </si>
  <si>
    <t>213-233</t>
  </si>
  <si>
    <t xml:space="preserve">CAMBIAR FAJAS EN V </t>
  </si>
  <si>
    <t>210-319</t>
  </si>
  <si>
    <t>MANTENIMIENTO GENERAL</t>
  </si>
  <si>
    <t>039-290</t>
  </si>
  <si>
    <t>CAMBIAR FILTRO DEL SOPLADOR</t>
  </si>
  <si>
    <t>213-804/805</t>
  </si>
  <si>
    <t>CAMBIAR Ye EN DESCARGA</t>
  </si>
  <si>
    <t>039-281</t>
  </si>
  <si>
    <t>CAMBIAR CILINDRO LADO DESCARGA</t>
  </si>
  <si>
    <t xml:space="preserve">039-237 </t>
  </si>
  <si>
    <t>REPONER CADENA DEL LANZADOR DE BARRAS</t>
  </si>
  <si>
    <t>LINEA 4</t>
  </si>
  <si>
    <t xml:space="preserve">REVISAR TOMA DE 440v </t>
  </si>
  <si>
    <t>26/11/2025</t>
  </si>
  <si>
    <t>CAMBIO DE MANGUERA DE ALIMENTACION</t>
  </si>
  <si>
    <t>039-289</t>
  </si>
  <si>
    <t>REVISAR POSICIONADOR AUTOMATICO</t>
  </si>
  <si>
    <t>REPARAR CADENA DEL TOLVIN DE AGREGADOS</t>
  </si>
  <si>
    <t>CAMBIO DE CODO DE DESCARGA HACIA SUMIDERO 213-808/809</t>
  </si>
  <si>
    <t>27/11/2025</t>
  </si>
  <si>
    <t>RETIRO DE TAPA DE INSPECION DEL TANQUE #1 (PLANTA OXALICO)</t>
  </si>
  <si>
    <t>ALINEAR POLEA DE COLAS 031-066</t>
  </si>
  <si>
    <t>213-478</t>
  </si>
  <si>
    <t>CAMBIO DE TRAMO MANGUERA DE 12PLG . PERFORADA ALTURA DE PLANTA FILTROS</t>
  </si>
  <si>
    <t>MANTENIMIENTO POR BOMBEO DEFICIENTE</t>
  </si>
  <si>
    <t>AJUSTAR PERNOS DE SHELL</t>
  </si>
  <si>
    <t>210-295</t>
  </si>
  <si>
    <t>LIMPIEZA DE TAMBOR A</t>
  </si>
  <si>
    <t>PARCHAR CANALETA DE CONCENTRADO</t>
  </si>
  <si>
    <t>REPARAR CAJON ALIMENTACION</t>
  </si>
  <si>
    <t>213-688</t>
  </si>
  <si>
    <t>REPARAR FUGA DE ACIDO</t>
  </si>
  <si>
    <t>213-800</t>
  </si>
  <si>
    <t>DESMONTAR MANGUERA DE DESCARGA  PARA REALIZAR LIMPIEZA</t>
  </si>
  <si>
    <t>EQUIPO PARADO</t>
  </si>
  <si>
    <t>302-081</t>
  </si>
  <si>
    <t>AJUSTAR PERNOS DEL SHELL</t>
  </si>
  <si>
    <t>213-811</t>
  </si>
  <si>
    <t>REALIZAR MANTENIMIENTO BOMBA DE PULPA</t>
  </si>
  <si>
    <t>210-317</t>
  </si>
  <si>
    <t>REVISAR TINA DE CONCENTRADO POR PERDIDA DE FeO POR LAS COLAS</t>
  </si>
  <si>
    <t>213-813</t>
  </si>
  <si>
    <t>CAMBIAR EJE ROTO DEL AGITADOR Y REPONER MOTOREDUCTOR</t>
  </si>
  <si>
    <t xml:space="preserve">CAMBIAR Y AJUSTAR PERNOS EN TAPA DE DESCARGA </t>
  </si>
  <si>
    <t>213-682</t>
  </si>
  <si>
    <t>039-274</t>
  </si>
  <si>
    <t>RETIRAR TUBO DAMPING PARA LIMPIEZA</t>
  </si>
  <si>
    <t>CAMBIAR TRAMO DE MANGUERA DE DESCARAG DE 213-478</t>
  </si>
  <si>
    <t>213-111</t>
  </si>
  <si>
    <t xml:space="preserve"> REUBICAR MANGUERA DE DESCARGA DE 213-111</t>
  </si>
  <si>
    <t>210-285</t>
  </si>
  <si>
    <t xml:space="preserve"> Limpieza de manguera de alimentación.</t>
  </si>
  <si>
    <t>039-275</t>
  </si>
  <si>
    <t>HERMETIZAR CAJON DE DESCARGA</t>
  </si>
  <si>
    <t>EMBONAR MANGUERA DE DESCARGA</t>
  </si>
  <si>
    <t>AJUSTAR PERNOS EN SHELL</t>
  </si>
  <si>
    <t>MANTENIMIENTO DE BOMBA DE PULPA 213-113</t>
  </si>
  <si>
    <t xml:space="preserve">REPARAR PALETAS </t>
  </si>
  <si>
    <t>213-113</t>
  </si>
  <si>
    <t>039-288</t>
  </si>
  <si>
    <t>CAMBIAR PISTON LADO DESCARGA DE 039-288</t>
  </si>
  <si>
    <t>CAMBIAR BASTAGO Y PLANCHA DE DESCARGA</t>
  </si>
  <si>
    <t>213-214</t>
  </si>
  <si>
    <t>REVISAR BOMBA POR PERDIDA DE ACEITE POR RETEN</t>
  </si>
  <si>
    <t>REPONER PERNO EN TORMELL</t>
  </si>
  <si>
    <t>CAMBIAR PLANCHA DE IMPACTO</t>
  </si>
  <si>
    <t>210-279 B</t>
  </si>
  <si>
    <t>CAMBIAR TAMBOR CON REVESTIMIENTO DE JEBE</t>
  </si>
  <si>
    <t>039-270/271</t>
  </si>
  <si>
    <t>REVISAR SISTEMA AUTOMATICO DE LA CELDA</t>
  </si>
  <si>
    <t>cambio de fajas en V</t>
  </si>
  <si>
    <t>213-108/404</t>
  </si>
  <si>
    <t>REPARAR LINEA DE AGUA DE SELLO</t>
  </si>
  <si>
    <t>213-480</t>
  </si>
  <si>
    <t>CAMBIO JEBE DE SELLO</t>
  </si>
  <si>
    <t>CAMBIO DE VALVULA DE CUCHILLA</t>
  </si>
  <si>
    <t>ALINEAR MANGUERA DESCARGA-CONCENTRADO</t>
  </si>
  <si>
    <t xml:space="preserve">CAMBIO DE TAMBOR-RODAMIENTOS </t>
  </si>
  <si>
    <t>213-122</t>
  </si>
  <si>
    <t xml:space="preserve">REVISAR BOMBA </t>
  </si>
  <si>
    <t>REVISAR BASE DE LA BOMBA-PRESENTA VIBRACION</t>
  </si>
  <si>
    <t>CAMBIO DE CABEZAL MANGUERA DE DESCARGA DE COLAS</t>
  </si>
  <si>
    <t>18/12/2025</t>
  </si>
  <si>
    <t>19/12/2025</t>
  </si>
  <si>
    <t>CAMBIAR RETEN LADO ALIMENTACIN-ROTO</t>
  </si>
  <si>
    <t>039-288/289</t>
  </si>
  <si>
    <t>MODFICAR MANGUERA DE DESCARGA ESPUMAS HACIA 213-297</t>
  </si>
  <si>
    <t>EQUIPO OPERATIVO</t>
  </si>
  <si>
    <t xml:space="preserve">CAMBIAR RETEN </t>
  </si>
  <si>
    <t>20/12/2025</t>
  </si>
  <si>
    <t>CAMBIAR VALVULA DE DILUCION</t>
  </si>
  <si>
    <t>REVISAR VALVULA CUCHILLA AUTOMATICA NO APERTURA</t>
  </si>
  <si>
    <t>213-211</t>
  </si>
  <si>
    <t>REVISAR BOMBA FUGA DE CARGA</t>
  </si>
  <si>
    <t>REVISAR MOTOR RUIDO</t>
  </si>
  <si>
    <t>Manto. Electrico</t>
  </si>
  <si>
    <t>210-318</t>
  </si>
  <si>
    <t>REVISAR MOTOREDUCTOR</t>
  </si>
  <si>
    <t>REVISAR SBOMBA Y SUMIDERO-PRESENCIA DE CONOS</t>
  </si>
  <si>
    <t>DESATORAR DUCHAS DE CANAL DE ESPUMAS</t>
  </si>
  <si>
    <t>213-108</t>
  </si>
  <si>
    <t>CAMBIAR JEBE DE SELLO Y FAJAS EN V</t>
  </si>
  <si>
    <t>REVISAR-BOMBEO DEFICIENTE</t>
  </si>
  <si>
    <t>CAMBIAR SWITCH DE FLUJO LADO CARGA</t>
  </si>
  <si>
    <t>REVISAR BOMBA PRESENTA FUGA DE CARGA POR SELLO</t>
  </si>
  <si>
    <t>EVALUAR MOTOR-FUERTE RUIDO</t>
  </si>
  <si>
    <t>REVISAR EMPALME DE FAJA</t>
  </si>
  <si>
    <t>Taller de fajas</t>
  </si>
  <si>
    <t>213-817/817</t>
  </si>
  <si>
    <t>REVISAR BOMBITA DE SELLO-BAJA PRESION DE .</t>
  </si>
  <si>
    <t>039-284</t>
  </si>
  <si>
    <t>MANGUERA DE DESCARGA DESPRENDIDA</t>
  </si>
  <si>
    <t>REALIZAR MANTENIMIENTO FUGA DE CARGA</t>
  </si>
  <si>
    <t>HABILITAR MANGUERA DE DESCARGA HACIA DISTRIBUIDOR DE CELDAS</t>
  </si>
  <si>
    <t>039-488</t>
  </si>
  <si>
    <t>CAMBIAR BOMBA DE ACIDO #1-BOMBEO DEFICIENTE</t>
  </si>
  <si>
    <t>213-809</t>
  </si>
  <si>
    <t>213-804</t>
  </si>
  <si>
    <t xml:space="preserve">213-817 </t>
  </si>
  <si>
    <t>CAMBIO POLEA DE BOMBA</t>
  </si>
  <si>
    <t>INSTALAR TAMBOR</t>
  </si>
  <si>
    <t>CAMBIA BOCINA, JEBE DE SELLO</t>
  </si>
  <si>
    <t>MANTENIMIENTO-BOMBEO DEFICIENTE</t>
  </si>
  <si>
    <t>213-808</t>
  </si>
  <si>
    <t>CAMBIO RETEN DE ACEITE-PRESENTA FUGA</t>
  </si>
  <si>
    <t>CAMBIAR MOTOR FUERTE RUIDO</t>
  </si>
  <si>
    <t>REVISAR MOTOR -FUERTE RUIDO</t>
  </si>
  <si>
    <t>FUGA DE ACEITE POR RETEN LADO DESCARGA</t>
  </si>
  <si>
    <t>FUGA DE ACEITE POR RETEN LADO ALIMENTACION</t>
  </si>
  <si>
    <t>MOTOR DE BOMBA DE ACEITE-REDUCTOR, REVISAR VENTILADOR</t>
  </si>
  <si>
    <t>REVISAR ELECTROVALVULA-BAJA PRESION DE AGUA</t>
  </si>
  <si>
    <t>PIERDE CARGA POR CUELLO LADO DESCARGA</t>
  </si>
  <si>
    <t>REPONER PERNO EN CUELLO DEL TROMELL.</t>
  </si>
  <si>
    <t>PERNOS ROTOS EN CUELLO DEL TROMELL (2)</t>
  </si>
  <si>
    <t>PERNO ROTO EN CUELLO TORMEL (1)</t>
  </si>
  <si>
    <t>COLOCAR TAPA CONEXION AL MOTOR</t>
  </si>
  <si>
    <t>31/12/2025</t>
  </si>
  <si>
    <t xml:space="preserve">PRESENTA FUGA DE ACEITE </t>
  </si>
  <si>
    <t>REVISAR MOTOR FUERTE RUIDO</t>
  </si>
  <si>
    <t>REPONER TAMBOR</t>
  </si>
  <si>
    <t>210-313</t>
  </si>
  <si>
    <t>REPARAR CAJON DE ALIMENTACION</t>
  </si>
  <si>
    <t>213-479</t>
  </si>
  <si>
    <t>CAMBIAR CILINDRO E IMPULSOR</t>
  </si>
  <si>
    <t xml:space="preserve">CAMBIAR MOTOR </t>
  </si>
  <si>
    <t>CAMBIO DE MOTOR</t>
  </si>
  <si>
    <t>FUGA DE AGUA POR DUCHA DE ASPERSOR</t>
  </si>
  <si>
    <t>213-242</t>
  </si>
  <si>
    <t>CAMBIAR FAJAS EN V</t>
  </si>
  <si>
    <t>AJUSTAR PERNOS EN SHELL (3)</t>
  </si>
  <si>
    <t>RETIRAR TAMBORES POR LIMPIEZA DE TINA</t>
  </si>
  <si>
    <t>CAMBIAR CODO DE ALIMENTACION DE AGUA</t>
  </si>
  <si>
    <t>MANTENIMIENTO-CAMBIO IMPULSOR/FORROS</t>
  </si>
  <si>
    <t>REPARAR PALETA DE LA CELDA-ESPUMAS</t>
  </si>
  <si>
    <t>CAMBIAR BOCINA ROTA</t>
  </si>
  <si>
    <t>CAMBIAR CILINDRO Y VALVULA DE CUCHULLA DE 10 PLG</t>
  </si>
  <si>
    <t xml:space="preserve">REALIZAR MANTENIMIENTO-FUGA CARGA </t>
  </si>
  <si>
    <t>HABILITAR INYECTOR DE AGUA HACIA 213-107</t>
  </si>
  <si>
    <t>210-285/286</t>
  </si>
  <si>
    <t>CAMBIAR NIPLE DE 2PLG EN DUCHA DE TAMBORES B</t>
  </si>
  <si>
    <t>TERMINAR DE ARMAR BOMBA</t>
  </si>
  <si>
    <t>LIMPIAR TUBO DAMPING</t>
  </si>
  <si>
    <t>INSTRUMENTACION</t>
  </si>
  <si>
    <t>039-284C</t>
  </si>
  <si>
    <t>REPONER MOTOR</t>
  </si>
  <si>
    <t>CAMBIAR RETEN DE ALIMENTACION</t>
  </si>
  <si>
    <t>TERMINAR DE HABILITAR EQUIPO- REPONER FUNDAS</t>
  </si>
  <si>
    <t>REPONER TAMBORES</t>
  </si>
  <si>
    <t>CAMBIAR TRAMO DE MANGUERA DE DESCARGA</t>
  </si>
  <si>
    <t>DESACOPLAR LINEA DE AGUA HACIA DUCHAS-ATORADAS</t>
  </si>
  <si>
    <t>20-097/098</t>
  </si>
  <si>
    <t>CAMBIAR CABEZAL DE MANGUERA DE COLAS</t>
  </si>
  <si>
    <t>REVISAR GUARDA DE CHUMACERA - ROZAMIENTO</t>
  </si>
  <si>
    <t xml:space="preserve">213-312 </t>
  </si>
  <si>
    <t>MANTENIMIENTO BOMBA</t>
  </si>
  <si>
    <t>210-297</t>
  </si>
  <si>
    <t>REPARAR JEBE DEL TAMBOR A-PERFORADO</t>
  </si>
  <si>
    <t>039-271A</t>
  </si>
  <si>
    <t xml:space="preserve">REVISAR AGITADOR </t>
  </si>
  <si>
    <t>REPONER PERNOS EN EL CUELLO DEL TROMELL</t>
  </si>
  <si>
    <t>REVISAR COMPUERTAS ALIMENTACION/DESCARGA</t>
  </si>
  <si>
    <t>13/1/2026</t>
  </si>
  <si>
    <t>JUSTAR PERNOS DEL SHELL</t>
  </si>
  <si>
    <t>039-291</t>
  </si>
  <si>
    <t>213-802</t>
  </si>
  <si>
    <t>CAMBIAR  JEBE DE RETEN</t>
  </si>
  <si>
    <t>PIERDE CARGA POR RETEN ALIMENTACION</t>
  </si>
  <si>
    <t>213-002</t>
  </si>
  <si>
    <t xml:space="preserve">CAMBIAR CILINDRO </t>
  </si>
  <si>
    <t>14/01/2026</t>
  </si>
  <si>
    <t>213-654</t>
  </si>
  <si>
    <t>DESACOPLAR MANGUERAS PARA REALIZAR LIPIEZA EN SU INTERIOR</t>
  </si>
  <si>
    <t>210-291</t>
  </si>
  <si>
    <t>DESEMPALMAR MANGUERA CONCENTRADO-ATORADA</t>
  </si>
  <si>
    <t>DESATORARA LINEA DE AGUA -DUCHA DEL TROMELL.</t>
  </si>
  <si>
    <t>15/01/2026</t>
  </si>
  <si>
    <t>HABILITAR MANGUERA DE DESCARGA</t>
  </si>
  <si>
    <t>23-805</t>
  </si>
  <si>
    <t>210-320</t>
  </si>
  <si>
    <t>LIMPIAR DUCHAS</t>
  </si>
  <si>
    <t>REVISAR ELECTROVALVULA</t>
  </si>
  <si>
    <t>CAMBIO VALVULA DE AGUA-DILUCION</t>
  </si>
  <si>
    <t>17/01/2026</t>
  </si>
  <si>
    <t>TERMINAR DE HABILITAR BOMBA</t>
  </si>
  <si>
    <t>210-280A</t>
  </si>
  <si>
    <t>ACOPLAR MANGUERA DESCARGA HACIA DISTRIBUIDOR</t>
  </si>
  <si>
    <t>CAMBIAR RETEN</t>
  </si>
  <si>
    <t>19/01/2026</t>
  </si>
  <si>
    <t xml:space="preserve">REPARAR TAMBOR </t>
  </si>
  <si>
    <t>CAMBIO DE FORROS EN SHELL</t>
  </si>
  <si>
    <t>REVISAR BOMBA</t>
  </si>
  <si>
    <t>20/01/2026</t>
  </si>
  <si>
    <t>213-477</t>
  </si>
  <si>
    <t>CAMBIO JEBE DE RETEN</t>
  </si>
  <si>
    <t>DESEMPALMAR MANGUERA CONCENTRADO-LIMPIEZA</t>
  </si>
  <si>
    <t xml:space="preserve">039-280 </t>
  </si>
  <si>
    <t>REPARAR PALETS DE CELDA</t>
  </si>
  <si>
    <t>REPARAR PALETAS DE CELDA</t>
  </si>
  <si>
    <t>21/01/2026</t>
  </si>
  <si>
    <t>039-237</t>
  </si>
  <si>
    <t>lanzador de barras-reparar cadena</t>
  </si>
  <si>
    <t>213-121</t>
  </si>
  <si>
    <t>REVISAR BOMBA-MOTOR</t>
  </si>
  <si>
    <t>DESACOPLAR MANGUERA ALIMENTAION-DESATORAR</t>
  </si>
  <si>
    <t>039-285</t>
  </si>
  <si>
    <t>CAMBIAR RETEN DE SELLO</t>
  </si>
  <si>
    <t>22/01/2026</t>
  </si>
  <si>
    <t>213-241</t>
  </si>
  <si>
    <t>CAMBIAR FAJAS(TOMAR MEDIDAS DE POLEA PARA PREPARAR NUEVA)</t>
  </si>
  <si>
    <t>213-653</t>
  </si>
  <si>
    <t>23/01/2026</t>
  </si>
  <si>
    <t>REVISAR PERNOS DE LA TAPA DESCARGA-PIERDE CARGA</t>
  </si>
  <si>
    <t>CAMBIAR RETEN LADO ALIMENTACION</t>
  </si>
  <si>
    <t>24/01/2026</t>
  </si>
  <si>
    <t>CAMBIAR MANGUERA DE COLAS</t>
  </si>
  <si>
    <t>213-107</t>
  </si>
  <si>
    <t>REPARAR LINEA DE AGUA(2PLG) AGUA DE SELLO</t>
  </si>
  <si>
    <t>REVISAR SISTEMA DE AGREGADO DE CONOS-CHAVETA SALIDA</t>
  </si>
  <si>
    <t>Maestranza</t>
  </si>
  <si>
    <t>26/01/2026</t>
  </si>
  <si>
    <t>213-106</t>
  </si>
  <si>
    <t>231-154</t>
  </si>
  <si>
    <t>CAMBIAR BOTONERA DE CAMPO</t>
  </si>
  <si>
    <t>039-292</t>
  </si>
  <si>
    <t>REVISAR SOPLADOR</t>
  </si>
  <si>
    <t>PERNO ROTO EN EL TROMELL(2)</t>
  </si>
  <si>
    <t>28/01/2026</t>
  </si>
  <si>
    <t>212-150</t>
  </si>
  <si>
    <t>CAMBIAR CABEZAL DE MANGUERA DE OVER LINEA 8</t>
  </si>
  <si>
    <t>REVISAR SENSORES DE VIBRACION</t>
  </si>
  <si>
    <t>213-431</t>
  </si>
  <si>
    <t>CAMBIAR FAJAS EN V-SUELTAS</t>
  </si>
  <si>
    <t>29/01/2026</t>
  </si>
  <si>
    <t>REVISAR VALVULA AUTOMATICA</t>
  </si>
  <si>
    <t>400-001</t>
  </si>
  <si>
    <t>CAMBIAR VALVULA DE 4PLG</t>
  </si>
  <si>
    <t>30/01/2026</t>
  </si>
  <si>
    <t>REVISAR BOMBA-FUGA DE CARGA</t>
  </si>
  <si>
    <t>213-243</t>
  </si>
  <si>
    <t>REVISAR BOMBA-BOMBEO DEFICIENTE</t>
  </si>
  <si>
    <t>REVISAR TAPAS FUGA DE CARGA</t>
  </si>
  <si>
    <t>DESACOPLAR MANGUERA DESCARGA -ATORO DE LINEA</t>
  </si>
  <si>
    <t>31/01/2026</t>
  </si>
  <si>
    <t>REVISAR TAPON/ANILLO LADO DESCARGA -NO SELLA</t>
  </si>
  <si>
    <t>REPARAR PUERTA DEL TROMELL</t>
  </si>
  <si>
    <t>213-218</t>
  </si>
  <si>
    <t>CAMBIAR TRAMO DE TUBERIA DE AGUA -SELLO</t>
  </si>
  <si>
    <t>REVISAR BOMBAS Y POLEA-FAJAS SUELTAS</t>
  </si>
  <si>
    <t>LIMPIEZA DEL INTERIOR DEL SUMIDERO</t>
  </si>
  <si>
    <t>FUGA DE CARGA POR SELLO</t>
  </si>
  <si>
    <t>DESACOPLAR MANGUERA DE ALIMENTACION -ATORADA</t>
  </si>
  <si>
    <t>REVISAR BOMBA -BOMBEO DEFICIENTE</t>
  </si>
  <si>
    <t>213-114</t>
  </si>
  <si>
    <t>CAMBIA FAJAS EN V Y JEBE DE SELLO</t>
  </si>
  <si>
    <t>210-292B</t>
  </si>
  <si>
    <t>TAMBOR PARADO POR RODAMIENTOS</t>
  </si>
  <si>
    <t>212-155</t>
  </si>
  <si>
    <t>REPARAR CAJON DE U/F(BOLAS3)</t>
  </si>
  <si>
    <t>CAMBIO VALVULA DE 3PLG DILUSION</t>
  </si>
  <si>
    <t>CAJON DE DESCARGA -PERFORADO</t>
  </si>
  <si>
    <t>REALIZAR MANTENIMIENTO</t>
  </si>
  <si>
    <t>FUGA DE CERGA POR SELLO</t>
  </si>
  <si>
    <t>039-270</t>
  </si>
  <si>
    <t>PARCHAR TUBERIA DE SUCCION</t>
  </si>
  <si>
    <t>CAMBIAR CILINDRO</t>
  </si>
  <si>
    <t>DESACOPLARTRAMO MANGUERA -LIMPIEZA</t>
  </si>
  <si>
    <t>REPARAR FORRO DEL TAMBOR</t>
  </si>
  <si>
    <t>210-289b</t>
  </si>
  <si>
    <t>DESATORAR LINEA DE AGUA A DUCHAS</t>
  </si>
  <si>
    <t>REPARAR DUCHA Y MALLA DEL TROMELL</t>
  </si>
  <si>
    <t>030-056</t>
  </si>
  <si>
    <t xml:space="preserve">CAMBIAR TUBO AUXILIAR </t>
  </si>
  <si>
    <t>CAMBIAR VALVULA DE 6 PLG AGUA DE DILUCION</t>
  </si>
  <si>
    <t>CAMBIAR BRIDAEN CAJON DE ALIMENTACION</t>
  </si>
  <si>
    <t>REPARAR CAJON DE ALIMENTACION PRESENTA PERFORACION</t>
  </si>
  <si>
    <t>REPARAR TUBO DE DESCARGA HACIA 213-212</t>
  </si>
  <si>
    <t>REVISAR MOTOR - SALTA RELAY</t>
  </si>
  <si>
    <t>039-283C</t>
  </si>
  <si>
    <t>REPARAR PALETA DE LA CELDA</t>
  </si>
  <si>
    <t>210-290a</t>
  </si>
  <si>
    <t>CAMBIAR NIPLE DE 2PLG</t>
  </si>
  <si>
    <t>13/02/2026</t>
  </si>
  <si>
    <t>REVISAR ELECTOVALVULA SE TIENE BAJA PRESION DE AGUA</t>
  </si>
  <si>
    <t>REPARAR DUCHA EN LA DESCARGA</t>
  </si>
  <si>
    <t>210-291A</t>
  </si>
  <si>
    <t>REPARAR CABEZAL DE MANGUERA DE DESCARGA</t>
  </si>
  <si>
    <t>HABILITAR LINEA DE AGUA EN LA DESCARGA</t>
  </si>
  <si>
    <t xml:space="preserve">10014645
</t>
  </si>
  <si>
    <t>457-351</t>
  </si>
  <si>
    <t>Reparacion del reductor de la bomba de vacio 457-351</t>
  </si>
  <si>
    <t>Mecánico</t>
  </si>
  <si>
    <t>458-077</t>
  </si>
  <si>
    <t>Puente Grua 458-077: Desde el dia 18-11-25 comenzaron los trabajos de montaje, se proyecta que el dia 19-11-25, se volvio a retirar, continua fuera de servicio.</t>
  </si>
  <si>
    <t>Mecánico/Eléctrico</t>
  </si>
  <si>
    <t>213-110</t>
  </si>
  <si>
    <t>Bomba 213-110: Fuera de servicio por sello mecanico desde el dia 30/10/2024 se realizo la orden de trabajo y se actualizo en el nuevo sistema SAP con numero de aviso 10014604</t>
  </si>
  <si>
    <t>pendiente</t>
  </si>
  <si>
    <t>SOLPED generadas 10006859 / 10006861</t>
  </si>
  <si>
    <t>400-084</t>
  </si>
  <si>
    <t>Bomba 400-084: Ruptura de eje, se encuentra en espera de repuestos.</t>
  </si>
  <si>
    <t>213-401</t>
  </si>
  <si>
    <t>Bomba 213-401: Se requiere repotenciar motor de 50Hp a 75Hp.</t>
  </si>
  <si>
    <t>Eléctrico</t>
  </si>
  <si>
    <t>071-717</t>
  </si>
  <si>
    <t>Contrapesos de faja con tecle 071-717</t>
  </si>
  <si>
    <t>Pendiente</t>
  </si>
  <si>
    <t>051-150</t>
  </si>
  <si>
    <t xml:space="preserve">Contrapesos de faja con tecle 051-150 </t>
  </si>
  <si>
    <t>051-151</t>
  </si>
  <si>
    <t xml:space="preserve">Contrapesos de faja con tecle 051-151 </t>
  </si>
  <si>
    <t>051-152</t>
  </si>
  <si>
    <t>Contrapesos de faja con tecle 051-152</t>
  </si>
  <si>
    <t>051-153</t>
  </si>
  <si>
    <t xml:space="preserve">Contrapesos de faja con tecle 051-153 </t>
  </si>
  <si>
    <t>051-171</t>
  </si>
  <si>
    <t>Mantenimiento de motor electrcio en taller (motor de faja de recuperación del stock auxiliar</t>
  </si>
  <si>
    <t>458-066</t>
  </si>
  <si>
    <t xml:space="preserve">Mantenimiento a motor de grua en taller eléctrico </t>
  </si>
  <si>
    <t>053-023</t>
  </si>
  <si>
    <t>Fuera de servcio por alta temperatura de motoreductor del disco</t>
  </si>
  <si>
    <t>Salio humo de zapatas del freno</t>
  </si>
  <si>
    <t>051-428</t>
  </si>
  <si>
    <t>Revisión de linea a tierra a tierra de faja de recuperacion del stock auxiliar.</t>
  </si>
  <si>
    <t>457-899</t>
  </si>
  <si>
    <t xml:space="preserve">cambio de reductor </t>
  </si>
  <si>
    <t>Cambio de bomba de vacio</t>
  </si>
  <si>
    <t>457-354</t>
  </si>
  <si>
    <t>cambio de reducrtor y motor</t>
  </si>
  <si>
    <t>213-847</t>
  </si>
  <si>
    <t>Cambio de motor y estructura de base</t>
  </si>
  <si>
    <t xml:space="preserve">457-354 </t>
  </si>
  <si>
    <t xml:space="preserve">cambio de motor </t>
  </si>
  <si>
    <t>alta</t>
  </si>
  <si>
    <t>053-020</t>
  </si>
  <si>
    <t>Cambio de motoreductor de disco</t>
  </si>
  <si>
    <t>053-036</t>
  </si>
  <si>
    <t>Cambio de motoreductor de agitador</t>
  </si>
  <si>
    <t>400-091</t>
  </si>
  <si>
    <t>Cambio de bomba</t>
  </si>
  <si>
    <t>Bomba de sello de linea 4 y bombas de espesador 053-003 pierde agua agua por sellos</t>
  </si>
  <si>
    <t>457-360</t>
  </si>
  <si>
    <t>Motor de bomba de vacio fuera de servicio por calentamiento de motor salio humo de caja de conexion</t>
  </si>
  <si>
    <t>213-293</t>
  </si>
  <si>
    <t>REQUIERE CAMBIO DE BOMBA</t>
  </si>
  <si>
    <t>MANTTO. MECÁNICO PLANTA RELAVES</t>
  </si>
  <si>
    <t>213-655</t>
  </si>
  <si>
    <t>BOMBA PRESENTA ALTA VIBRACIÓN Y TEMPERATURA</t>
  </si>
  <si>
    <t>213-253</t>
  </si>
  <si>
    <t>POLEA GENERA ALTO AMPERAJE</t>
  </si>
  <si>
    <t>213-272</t>
  </si>
  <si>
    <t>VIBRACIÓN EXCESIVA, FALLA EN BASE</t>
  </si>
  <si>
    <t>213-267</t>
  </si>
  <si>
    <t>BOMBA PRESENTA ALTA VIBRACIÓN Y PÉRDIDA DE AGUA</t>
  </si>
  <si>
    <t>FACILIDADES GENERALES</t>
  </si>
  <si>
    <t>213-280</t>
  </si>
  <si>
    <t>BOMBA PRESENTA VIBRACIÓN</t>
  </si>
  <si>
    <t>213-257</t>
  </si>
  <si>
    <t>POLEA DESALINEADA, REQUIERE CAMBIO</t>
  </si>
  <si>
    <t>213-873</t>
  </si>
  <si>
    <t>REPONER BOMBA</t>
  </si>
  <si>
    <t>053-004</t>
  </si>
  <si>
    <t>POSIBLE PERFORACIÓN EN FEEDBOX</t>
  </si>
  <si>
    <t>213-364</t>
  </si>
  <si>
    <t>213-281</t>
  </si>
  <si>
    <t>213-264</t>
  </si>
  <si>
    <t>VARIADOR INOPERATIVO</t>
  </si>
  <si>
    <t>INSTRUMENTACIÓN</t>
  </si>
  <si>
    <t>213-881</t>
  </si>
  <si>
    <t>CODO DE DESCARGA DESPUÉS DE VCN PERFORADO</t>
  </si>
  <si>
    <t>313-362</t>
  </si>
  <si>
    <t>TUBERÍA DE HDPE 16" PERFORADA - FINISHER II</t>
  </si>
  <si>
    <t>TUBERÍA DE HDPE 16" PERFORADA - COBBER II</t>
  </si>
  <si>
    <t>400-250</t>
  </si>
  <si>
    <t>OBS SEGURIDAD - CONSTRUIR BASE DE ESCALERA</t>
  </si>
  <si>
    <t>213-656</t>
  </si>
  <si>
    <t>BARCAZA Y BOMBA REQUIERE MANTENIMIENTO</t>
  </si>
  <si>
    <t>053-009</t>
  </si>
  <si>
    <t>BARANDA DE CASETA DE OPERADOR R2 NO CUENTA C/RODAPIES</t>
  </si>
  <si>
    <t>PARED DEL ESPESADOR PERFORADO</t>
  </si>
  <si>
    <t>213-044</t>
  </si>
  <si>
    <t>REPONER COUPLING DE MOTOR</t>
  </si>
  <si>
    <t>MANTTO. ELÉCTRICO</t>
  </si>
  <si>
    <t>213-850</t>
  </si>
  <si>
    <t>PERFORACIÓN DE CANAL DE ESPUMAS DETRAS DE SUMIDERO</t>
  </si>
  <si>
    <t>213-889</t>
  </si>
  <si>
    <t>CARRETE DE SUCCIÓN PERFORADO</t>
  </si>
  <si>
    <t>213-849</t>
  </si>
  <si>
    <t>BOCINA PARTIDA</t>
  </si>
  <si>
    <t>213-262</t>
  </si>
  <si>
    <t>REVISAR SUCCIÓN Y VCN 114</t>
  </si>
  <si>
    <t>213-269</t>
  </si>
  <si>
    <t>213-270</t>
  </si>
  <si>
    <t>RECTIFICAR DRESSER DE DESCARGA CON PÉRDIDA DE AGUA</t>
  </si>
  <si>
    <t>213-282</t>
  </si>
  <si>
    <t>CAMBIAR CHEK DE DESCARGA</t>
  </si>
  <si>
    <t>15/12/2025</t>
  </si>
  <si>
    <t>FUGA DE TUBERÍA L2 16" HDPE</t>
  </si>
  <si>
    <t>213-294</t>
  </si>
  <si>
    <t>CAMBIAR BOMBA CON ALTA VIBRACIÓN</t>
  </si>
  <si>
    <t>213-260</t>
  </si>
  <si>
    <t>CAMBIAR BOMBA POR HORAS DE OPERACIÓN</t>
  </si>
  <si>
    <t>213-250</t>
  </si>
  <si>
    <t>cAMBIAR BOMBA POR HORAS DE OPERACIÓN</t>
  </si>
  <si>
    <t>FABRICAR TUBERÍA DE LLEGADA A SUMIDERO DE COLAS 053-009</t>
  </si>
  <si>
    <t>513-655</t>
  </si>
  <si>
    <t>TUBERÍA DE HDPE 24" PERFORADA - CHCLON</t>
  </si>
  <si>
    <t>ROTOPALA</t>
  </si>
  <si>
    <t>FUGA DE ACEITE DE CILINDRO DE ELEVACION</t>
  </si>
  <si>
    <t>Mecanico</t>
  </si>
  <si>
    <t>PENDIENTE</t>
  </si>
  <si>
    <t>ALTA</t>
  </si>
  <si>
    <t>DESPLAZAMIENTO AXIAL DEL EJE DEL BUCKET</t>
  </si>
  <si>
    <t>RUEDA TRASLACION SE ENCUENTRA INCLIANDO</t>
  </si>
  <si>
    <t>25/01/2026</t>
  </si>
  <si>
    <t>TAMBOR DE FRENO RAYADURAS EN SU ENTORNO</t>
  </si>
  <si>
    <t>PROBLEMAS COMUNICACION RADIO ROTOPALA</t>
  </si>
  <si>
    <t>LUMINARIA INOPERATIVO - ROTOPALA</t>
  </si>
  <si>
    <t>ELECTRICO</t>
  </si>
  <si>
    <t>MANTENIMIENTO DE BOMBA - ENGRASE</t>
  </si>
  <si>
    <t>15/02/2026</t>
  </si>
  <si>
    <t>ILUMINARIA INOPEARTIVA LD IZQUIERDO PLUM</t>
  </si>
  <si>
    <t>ILUMINARIAS INOPERATIVAS EQUIPO ROTOPALA</t>
  </si>
  <si>
    <t>MANTENIMIENTO AIRE ACONDICIONADO</t>
  </si>
  <si>
    <t>TALLER DE EQUIPO PESADO</t>
  </si>
  <si>
    <t>SENSOR DE REPOSO INHABILITADOS</t>
  </si>
  <si>
    <t>RADARES DE MINERAL INOPERATIVOS</t>
  </si>
  <si>
    <t>SE REQUIERE CALIBRAR BALANZA DEL BOOM</t>
  </si>
  <si>
    <t>UÑAS DE ROTOPALA PRESENTA DESGASTE</t>
  </si>
  <si>
    <t>CABLE DE COLIZION TRABAJA PUENTEADO</t>
  </si>
  <si>
    <t>014-029</t>
  </si>
  <si>
    <t>POLEA DE COLA PRESENTA DESGASTE</t>
  </si>
  <si>
    <t>Luminarias del puente hacia motriz inoperativas y la do cola</t>
  </si>
  <si>
    <t>REPONER TODO LOS LIMPIADORES DE RETORNO</t>
  </si>
  <si>
    <t>LIMPIADOR PRIMARIO INOPERATIVO</t>
  </si>
  <si>
    <t>014-030</t>
  </si>
  <si>
    <t>POLEA DE COLA PRESENT DESGASTE IRREGULAR</t>
  </si>
  <si>
    <t>COBERTORES DE CALAMINA DE ETERNIT PRESENTA DAÑO UBICADO DEBAJO DE PRIMER PUENTE EN LADO MOTRIZ</t>
  </si>
  <si>
    <t>Facilidades</t>
  </si>
  <si>
    <t>Luminarias inoperativas</t>
  </si>
  <si>
    <t>14/02/2026</t>
  </si>
  <si>
    <t>014-031</t>
  </si>
  <si>
    <t>FAJA PRESENTA ABERTURA PASANTE</t>
  </si>
  <si>
    <t>Fajero</t>
  </si>
  <si>
    <t>POLIETILENO CHUTE DESCARGA CON DESGASTE</t>
  </si>
  <si>
    <t>CAMBIAR LUMINARIA UBICADO EN COMEDOR</t>
  </si>
  <si>
    <t>REPONER LIMPIADOR RETORO UBICADO #561</t>
  </si>
  <si>
    <t>CALAMINA DE PLASTICO POR DESPRENDERSE EN TORRE 4</t>
  </si>
  <si>
    <t>071-706</t>
  </si>
  <si>
    <t>RENOVACIÓN DE PELDANOS Y BARANDAS</t>
  </si>
  <si>
    <t>BOMBA UPH1 TRABAJA DE FORMA LOCAL</t>
  </si>
  <si>
    <t>FUGA DE ACEITE DE BOMBA UPH1</t>
  </si>
  <si>
    <t>FUGA DE HIDROLINA PISTON CHUTE 11 Y 12</t>
  </si>
  <si>
    <t>IMPLEMENTAR CUERDA DE EMERGENCIA EN CARRITO DE CONTRAPESO</t>
  </si>
  <si>
    <t>PONER ALINEAMIENTO TIPO PEINE A COMANDOS DE CARGA PARA DEGAR DE USAR LAS CADENAS</t>
  </si>
  <si>
    <t>REPONER GUIADORES EN COMANDO RETORNOS</t>
  </si>
  <si>
    <t>18/01/2026</t>
  </si>
  <si>
    <t>071-710</t>
  </si>
  <si>
    <t>EMPALME DE FAJA  DESPRENDIENDO CAPA LONA</t>
  </si>
  <si>
    <t>Realizado</t>
  </si>
  <si>
    <t>FALLA EN SIRENA Y BALIZA POR INSTRUMENTISTA</t>
  </si>
  <si>
    <t>TUBERIAS ELECTRICAS ESTAN CAIDAS TUNEL</t>
  </si>
  <si>
    <t>071-712</t>
  </si>
  <si>
    <t>BLINDAJE DE CHUTE PRESENTA DESGASTE</t>
  </si>
  <si>
    <t>FUGA DE AGUA DE DUCTO BOMBA SUMERGIBLE</t>
  </si>
  <si>
    <t>MOTOR PREST SONIDO Y VIBRA PEDIEN CAMBIO</t>
  </si>
  <si>
    <t>CAMBIAR GUARDAS OXIDADES</t>
  </si>
  <si>
    <t>POLEA AUTOALINEABLE UB LADO COLA DESGAST</t>
  </si>
  <si>
    <t>POLIN GUIADOR PRESENTENTA DAÑO</t>
  </si>
  <si>
    <t>CAMBIO DE COMANDOS DE CARGA Y RETORNO SE REALIZA EL ALIMEAMIENTO CON CADENAS</t>
  </si>
  <si>
    <t>071-716</t>
  </si>
  <si>
    <t>FAJA PRESENTA DESGASTE PARTE CENTRICA</t>
  </si>
  <si>
    <t>FAJA PRESENTA DESGAST EN TODO SU TRAYECT</t>
  </si>
  <si>
    <t>QUENA INOPERTAIVA REALIZAR MANTENIENTO</t>
  </si>
  <si>
    <t>BOCINA RECEPTORA ESTA INOPERATIVA</t>
  </si>
  <si>
    <t>GRATING DE LA POLEA COLA #071-716</t>
  </si>
  <si>
    <t>FUGA DE MINERAL POR HUECO EN CHUTE</t>
  </si>
  <si>
    <t>CAMBIO DE GUARDA POLEA DE COLA</t>
  </si>
  <si>
    <t>071-714</t>
  </si>
  <si>
    <t>COMANDOS REQUIEREN CAMBIO AUN SE SIGUE ALINEANDO CON CADENAS</t>
  </si>
  <si>
    <t>REPARACIÓN DE LA GEOMEMBRANA PERDIDAD DE MINERAL POR RAMPA</t>
  </si>
  <si>
    <t>REPONER ESTRUCTURA CONTENSION DERRAME UBICADA EN TOVA 1</t>
  </si>
  <si>
    <t>071-081</t>
  </si>
  <si>
    <t>COMPLETAR RODAPIES  - MUESTREADOR</t>
  </si>
  <si>
    <t>REPARACIÓN DE ABERTURA GRATING - 071-081</t>
  </si>
  <si>
    <t>EMPALME DE FAJA PRESENTA ABERTURA</t>
  </si>
  <si>
    <t>PULLCORD INOPERATIVO UBICAD BASTIDOR #63</t>
  </si>
  <si>
    <t>PONER LIMPIADOR PRIMARIO EVITA ACUMULACION</t>
  </si>
  <si>
    <t>071-019</t>
  </si>
  <si>
    <t>PLANCHA INOX DE TOLVA 1 DESPRENDIENDOSE</t>
  </si>
  <si>
    <t>02/11/0205</t>
  </si>
  <si>
    <t>TECLE REQUIERE MANTENIMIENTO CORROSION</t>
  </si>
  <si>
    <t>071-241</t>
  </si>
  <si>
    <t>CAMBIO DE FAJA DE LA TOLVA 3</t>
  </si>
  <si>
    <t>GANTRY</t>
  </si>
  <si>
    <t>TABLERO PARADA EMERGENCIA PUNTEADO INOPE</t>
  </si>
  <si>
    <t>SENSOR COLISION LD DERECHO BOOM INOPERAT</t>
  </si>
  <si>
    <t>HMI PROGRAMACION -AMPERAJE Y EVENTO FAJA</t>
  </si>
  <si>
    <t>CONSTRUCCION LOZA PARA INSTALAC CAJON</t>
  </si>
  <si>
    <t>SISTEMA FRENOS TRASLACION INOPERATIVO</t>
  </si>
  <si>
    <t>071-801</t>
  </si>
  <si>
    <t>CAMBIO DE FAJA DE LA 071-801</t>
  </si>
  <si>
    <t>REVISION Y AJUSTE DE ENCODER DEL GANTRY, SE DESAJUSTA LOS PARAMETROS DE PARQUEO Y FINAL DE CARRERA</t>
  </si>
  <si>
    <t>Joystick de giro con desgaste y en mal estado</t>
  </si>
  <si>
    <t>riel de equipo gantry presenta averturas que pueden causar daño al equipo, reparacion urgente</t>
  </si>
  <si>
    <t>REPORTE DIARIO DE OPERACIONES</t>
  </si>
  <si>
    <t>FECHA:</t>
  </si>
  <si>
    <t>GUARDIA</t>
  </si>
  <si>
    <t>TRITURACION</t>
  </si>
  <si>
    <t>FILTROS</t>
  </si>
  <si>
    <t>Envío de mina</t>
  </si>
  <si>
    <t>C2</t>
  </si>
  <si>
    <t>Agitadores</t>
  </si>
  <si>
    <t>Chute</t>
  </si>
  <si>
    <t>9 AL 15</t>
  </si>
  <si>
    <t>12 AL 15</t>
  </si>
  <si>
    <t>053-050 (%)</t>
  </si>
  <si>
    <t>053-008 (%)</t>
  </si>
  <si>
    <t>Transferido (TMH)</t>
  </si>
  <si>
    <t>053-007 (%)</t>
  </si>
  <si>
    <t>% Humedad (%)</t>
  </si>
  <si>
    <t>Nivel de silos</t>
  </si>
  <si>
    <t>Malla -325</t>
  </si>
  <si>
    <t>%S</t>
  </si>
  <si>
    <t>PRODUCCION (TMS)</t>
  </si>
  <si>
    <t>TMS</t>
  </si>
  <si>
    <t>DESALADORA</t>
  </si>
  <si>
    <t>Bbas de captación</t>
  </si>
  <si>
    <t>2, 3, 4</t>
  </si>
  <si>
    <t>2,3</t>
  </si>
  <si>
    <t>2,5</t>
  </si>
  <si>
    <t>Unidades de SF</t>
  </si>
  <si>
    <t>Unidades de UF</t>
  </si>
  <si>
    <t>Unidades de RO</t>
  </si>
  <si>
    <t>Nivel de TK - Pq 7 (m)</t>
  </si>
  <si>
    <t>3 chancadoras C2</t>
  </si>
  <si>
    <t>Flujo a Pq 7 (m3/h)</t>
  </si>
  <si>
    <t>TK de filtros (mt)</t>
  </si>
  <si>
    <t>Linea 2</t>
  </si>
  <si>
    <t xml:space="preserve">2 chancadoras C2 </t>
  </si>
  <si>
    <t>Flujo a Filtros (m3/h)</t>
  </si>
  <si>
    <t>Conductividad Us/cm</t>
  </si>
  <si>
    <t>PLANTA MAGNETICA</t>
  </si>
  <si>
    <t>RELAVES</t>
  </si>
  <si>
    <t>Tratamiento (Ton)</t>
  </si>
  <si>
    <t>CB1</t>
  </si>
  <si>
    <t>Molinos de barras</t>
  </si>
  <si>
    <t>1,2,3,5,6,8,9</t>
  </si>
  <si>
    <t>1,3,4,5,6,7,8,9</t>
  </si>
  <si>
    <t>2,3,4,5,6,7,8,9</t>
  </si>
  <si>
    <t>Linea</t>
  </si>
  <si>
    <t>AX3</t>
  </si>
  <si>
    <t>CX3</t>
  </si>
  <si>
    <t>Molinos de bolas</t>
  </si>
  <si>
    <t>2,3,4,6,7,8,9,10</t>
  </si>
  <si>
    <t>1,2,3,4,5,6,7,8,9,10</t>
  </si>
  <si>
    <t>Presión (PSI)</t>
  </si>
  <si>
    <t>Separadores Magneticos</t>
  </si>
  <si>
    <t>Flujo (GPM)</t>
  </si>
  <si>
    <t>BOMBAS DE RECUPERACION</t>
  </si>
  <si>
    <t>1H/1V</t>
  </si>
  <si>
    <t>NIVEL DE POZA</t>
  </si>
  <si>
    <t>R2</t>
  </si>
  <si>
    <t>L2</t>
  </si>
  <si>
    <t>Celdas de flotación</t>
  </si>
  <si>
    <t>3H</t>
  </si>
  <si>
    <t>CB2</t>
  </si>
  <si>
    <t>EMBARQUE</t>
  </si>
  <si>
    <t>AX1</t>
  </si>
  <si>
    <t>M/V "EPIC UNION”</t>
  </si>
  <si>
    <t>M/V "ASL LOONG”</t>
  </si>
  <si>
    <t>BX3</t>
  </si>
  <si>
    <t>Material</t>
  </si>
  <si>
    <t>FKPS</t>
  </si>
  <si>
    <t>Fecha de parada/reinicio</t>
  </si>
  <si>
    <t>Enviado a:</t>
  </si>
  <si>
    <t>Shouxin</t>
  </si>
  <si>
    <t>Fecha de Término</t>
  </si>
  <si>
    <t>CHOCLON</t>
  </si>
  <si>
    <t>Embarcado  (TMH)</t>
  </si>
  <si>
    <t xml:space="preserve">Bomba </t>
  </si>
  <si>
    <t>TK 250 (ft)</t>
  </si>
  <si>
    <t>TK 255 (ft)</t>
  </si>
  <si>
    <t>TK 338 (ft)</t>
  </si>
  <si>
    <t>MUELLE</t>
  </si>
  <si>
    <t>GUARDIA  A</t>
  </si>
  <si>
    <t>TRABAJOS REALIZADOS:
1- 022-021se cambio fajas en V.
2. 211-051 se cambio 1malla superior.
2- faja 061 se cambio  polin carga
3- faja 021/631 se cambio mandil posterior.</t>
  </si>
  <si>
    <t>MOLIENDA</t>
  </si>
  <si>
    <t>032-082 arranco 17:28 h en reemplazo del barras 7</t>
  </si>
  <si>
    <t>032-087 queda como no requerido, se revisa líneas de agua a las duchas.</t>
  </si>
  <si>
    <t>032-210, se continúan monitoreando parámetro de temperatura rodamientos, se mantiene constantes, según grafico de tendencias.</t>
  </si>
  <si>
    <t>SEPARADORES MAGNETICOS, BOMBAS</t>
  </si>
  <si>
    <t>213-393, se termina mantenimiento.</t>
  </si>
  <si>
    <t>210-295 se corrige instalación eléctrica, queda operando.</t>
  </si>
  <si>
    <t>210-293, se concluye con instalación del chute de alimentación-operando.213-479 cambiaron manguera de descarga.</t>
  </si>
  <si>
    <t>FLOTACION</t>
  </si>
  <si>
    <t xml:space="preserve">7/6/4/0
*Filtro 053-027: Mantenimiento programado.
*Filtro 053-023: Motoreductor del agitador con vibracion, mecanicos corrige el eje del agitador.
*Bomba 213-398: Mantenimiento general, se cambiara cilindro, impulsor, plato succion y empaquetadura a la caja del sello.
*Filtro 053-041: Se cambio jebe de sello lado "A" y "B".
*Filtro 053-021: Se habilita tuercas de bronce, queda operativo.
*Bomba 213-200: Se corta angulo cortante de la malla grating que dañaba la manguera 8" de descarga.
*Comprensora kayser 457-601: Entra en operacion a las 10:15hrs.
*Bomba vacio 458-354: Electricos e instrumentacion realizan conexion al motor, pendiente probar motor en vacio.
*Se continua con el agregado de floculante a los espesadores 053-002/003.
Linea 1-2-3 al 100% agua desalinizada.
Bombas de vacio linea 1-2-3 con agua desalinizada.
</t>
  </si>
  <si>
    <t>1. Se continua la LQC de la Ro#01, etapa acida. 
2. Se realiza la toma de SDI de 5 y 15 minutos: OUT SF, IN RO, IN F.C, SF #03 
3. ⁠Se realizó cambio de posicionador de la válvula de venteo H de la SF#10.  
4. Se realiza el mantenimiento en los techos del contenedor Ro#08, lijado y pintado. 
5. Se dosifico hipoclorito de sodio desde captación.
6. Inspeccion y mantenimeinto de compresor</t>
  </si>
  <si>
    <t>SISTEMA DE PETROLEO</t>
  </si>
  <si>
    <t>Pintado de letreros de sistema ds petroleo</t>
  </si>
  <si>
    <t xml:space="preserve">TRABAJOS REALIZADOS 
1. Alineamiento de bomba 213-891.  
2. Monitoreo vibración de bomba 213-352. 
3. Habilitar carrete de acero 8" para instalación de flujómetro en linea 1 de R2. 
4. Cambio vcn CB2 n°113(se requiere grua)  
5. Continuar habilitación de codo 12" de línea 3 en CB1. 
6. Verificación de niveles de aceite en bombas de agua de sello. 
7. Armado de andamios para cambio de niple de 213-291( se requiere telescópica)
</t>
  </si>
  <si>
    <t>M/V "NAVIOS ARMONIA”</t>
  </si>
  <si>
    <t>GUARDIA    B</t>
  </si>
  <si>
    <t>Chanc 01/09/26
Segundo turno 
Nivel 333/414/322
Trit 1901
Transf 1560
Con polea arriba abajo con tambores 
Emvio de mina 
C-2 a chute de 12,13,14,15
L.1 en operación con tres Chanc para R Esp silos 501 y C-2 para silos 9
L.2 en operación con  tres Chanc para silos de 1 al 8</t>
  </si>
  <si>
    <t xml:space="preserve">Cto: MF. Operando: RM: 1,3,4,5,6,7,8,9 / BM: 1,2,3,4,5,6,7,8,9,10
-032-081: Arrancó 22:49 hrs.
-032-082: Paró 22:53 hrs Stand by para ajuste de pernos del shell.
</t>
  </si>
  <si>
    <t>SEPARADORES MAGNETICOS, BOMBAS, OTROS</t>
  </si>
  <si>
    <t xml:space="preserve">TRABAJOS REALIZADOS:
-213-654: Cambio de jebe de sello.
-213-477: Cambiaron forros.
</t>
  </si>
  <si>
    <t>FLOTACION, SOPLADORES</t>
  </si>
  <si>
    <t>No se realizaron trabajos</t>
  </si>
  <si>
    <t xml:space="preserve">Línea 1/2/3/4: 6/6/4/Parada
Nivel de Agitadores: 007: 50% / 008: 60% / 050: vacío
-053-003: Paró 21:00 a 21:20 hrs por alto torque de rastra, se lubricó cajas de transmisión.
-Dosificando floculante ambos espesadores.
</t>
  </si>
  <si>
    <t>BBs de Captación # 2,3
BBs de Alimentación a SF #1,2,3,,6
BBs de Alimentación a RO # 1,2,3,6
BBs de Envío a Pqt 7 #1,2
BB de Envío a Filtros # 4
Unds SF: 11
Unds UF: 12
Unds RO: 16
TK 7/8 =  7.3 m 
TK 3/4 = 7.8 m
TK 1/2 =  6.2 m
TK Pqt 7 = 6.3 m 
TK Filtros = 4.4 m</t>
  </si>
  <si>
    <t>CB1
L C x L3 / 123 psi / 2660 gpm
1  horizontal / 1 verticales
Poza   3.3
R 2 
L 2    115 psi / 2540 gpm
3 horizontales 
CB2
LA x L1  / 40 psi a Shx
LC x L3  / 88  psi a  Shx
Choclon 
 655   1415 gpm / 129
Muelle   #  5
Tk 338  18.09
Tk 250   29.39</t>
  </si>
  <si>
    <t>M/V "ASL LOONG”
✅ INICIO 
📆 01/09/2026 🕐 14:15 hrs
- - - - - - - - - - - - - - - - - - - - -
✅ PRODUCTO = FKPS
📌 TOTAL EMBARCAR = 163,050 TM
📌 ABORDO = 37,000 TM
📌 X EMBARCAR = 126,050 TM
- - - - - - - - - - - - - - - - - - - - -
✅ PARADAS
📌 22:25/22:40 FAJA 071-108 Parada por switch rotura de faja punta del muelle. 
✅ INCIDENCIAS
📌 20:35/20:40 FAJA 071-710 falla de contactor inicio de arranque. 
📌 20:40/20:55 Esperando carga de zona nueva. 
📌 Carga de tolvas inestable. 
✅ OPERACIONES
📌 Inspección y operación sistema de embarque 
📌 BOMBA 213-367 Trabajando con normalidad bomba A/B
✅ ELECTRICO e INSTRUMENTACION  
📌 20:35/20:40 FAJA 071-710 falla de contactor inicio de arranque. 
📌 FAJA 071-706 Trabajando en local.
✅ MECANICO
📌 FAJA 014-031 Mecanico cambian polin  con sonido de carga #75. 
📌 FAJA 071-714 Mecánicos solucionaron  tecle de tolva #1 quedando operativo.
- - - - - - - - - - - - - - - - - - - - -
✅ OO.MM. 🕐  23:00 hrs
📌 Mar   = 0.3 m
📌 Vien = 3.1 n
📌 Direc = 234º
✅ BARCOS EN BAHÍA (3)
🚢 SHANDONG HUA ZHANG
🚢 NEW FUTURE
🚢 MINERAL KAEDE</t>
  </si>
  <si>
    <t>GUARDIA    C</t>
  </si>
  <si>
    <t xml:space="preserve">1.- CRUDOS: 
C2 chute 9 al 15
2.- CHANCADORA:  
Nivel de silos: 1.1.2. 2.1.1. 1.1.1.
Línea dos en operación con #3 chancadoras 022-130/131/128.
Línea uno en operación con tres chancadoras para el silo 9.y 501.
-Triturado= 2650 t
-Transferido = 2614 t.
- L.2 paró 04:30 a 05:05hrs por control de nivel de silos
</t>
  </si>
  <si>
    <t xml:space="preserve">Cto: MF. Operando: RM: 1,3,4,5,6,7,8,9 / BM: 1,2,3,4,5,6,7,8,9,10
-032-081: Arrancó 22:49 hrs.
-032-082: Paró 22:53 hrs Ajustaron 02 pernos del shell. Stand by.
</t>
  </si>
  <si>
    <t xml:space="preserve">-213-654: Cambio de jebe de sello.
-213-477: Cambiaron forros. Mtto de bomba.
-210-270B: Cambio de niple de ducha.
-210-295/296/294: Limpieza de cajón de alimentación y tina de concentrado.
-212-897: Desatoraron 03 ciclones.
</t>
  </si>
  <si>
    <t>No se realizaron trabjaos</t>
  </si>
  <si>
    <t xml:space="preserve">Línea 1/2/3/4: 8/6/4/Parada
Nivel de Agitadores: 007: 42% / 008: 40% / 050: vacío
-053-003: Paró 21:00 a 21:20 hrs por alto torque de rastra, se agregó aceite en ambas cajas de transmisión, torque se normaliza.
-051-170/151: Se alineó faja polea cabeza.
-457-354: alineando motor bomba.
-Dosificando floculante ambos espesadores.
</t>
  </si>
  <si>
    <t xml:space="preserve">CB1
LC x L3 / 122 psi / 2640 gpm
1  horizontal / 1 verticales
Poza 2.20 m
R 2 
L 2    118 psi / 2590 gpm
3 horizontales 
CB2
LA x L1  / 38 psi a Shx
LCx L3  / 92 psi a  Shx
Choclon: 213-655 (1400 gpm/129psi)
Muelle   #  05
Tk 338  19 ft
Tk 250   28 ft
**Bombas 213-124 trabajando.
</t>
  </si>
  <si>
    <t xml:space="preserve">Bombas de Captación # 2/5
Bombas de Envío a Pqt 7 # 1/2
Bomba de Envío a Filtros # 4
SF: 11 | UF: 12 | RO: 16
TK Pqt 7 = 6.28 m 
TK Filtros = 2.60 m
Flujo de envío a Filtros = 415 m3/h
Flujo envío pqt7 = 600 m3/h
Conductividad: 966 uS/cm
-RO#01/UF#04 Limpieza química completa.
</t>
  </si>
  <si>
    <t xml:space="preserve">M/V "ASL LOONG”
✅ INICIO 
📆 01/09/2026 🕐 14:15 hrs
- - - - - - - - - - - - - - - - - - - - -
✅ ENVIO
📌 ROTOPALA = 4,000 TM. Pila #1.
📌 TOLVA #2 = 1,500 TM
- - - - - - - - - - - - - - - - - - - - -
✅ PRODUCTO = FKPS
📌 TOTAL EMBARCAR = 163,050 TM
📌 ABORDO = 68,000 TM
📌 X EMBARCAR = 95,050 TM
- - - - - - - - - - - - - - - - - - - - -
📌 Eficiencia   : 91  %
📌 Disponibilidad mantenimiento: 97.9 % 
📌 Disponibilidad operativa: 91 % 
📌 Régimen efectivo:  4,722 TM
📌 Régimen general: 4,317 TM
- - - - - - - - - - - - - - - - - - - - -
✅ CONTROL DE CALIDAD
 📌 Fe             =  69.8
 📌 S               = 0.202
📌 H2O          = 7.81
- - - - - - - - - - - - - - - - - - - - -
✅ PARADAS
📌 22:25/22:40 FAJA 071-108 Parada por switch rotura de faja punta del muelle. 
✅ INCIDENCIAS
📌 20:35/20:40 FAJA 071-710 falla de contactor inicio de bodega. 
📌 23:00/23:05 FAJA 071-710 falla de contactor inicio de bodega. 
📌 01:50/01:55 FAJA 071-710 falla de contactor inicio de bodega. 
📌 04:00/04:05 FAJA 071-710 falla de contactor inicio de bodega. 
📌 20:40/20:55 Esperando carga de zona nueva. 
📌 03:00/03:20 ROTOPALA Parada por falla del bucket wheel.
📌 Carga de tolvas inestable. 
✅ OPERACIONES
📌 Inspección y operación sistema de embarque 
📌 BOMBA 213-367 Trabajando con normalidad bomba A/B
📌 FAJA 071-714 Se libero mineral de lado angosto de polín de retorno #20.
✅ ELECTRICO e INSTRUMENTACION  
📌 20:35/20:40 FAJA 071-710 falla de contactor inicio de bodega. 
📌 23:00/23:05 FAJA 071-710 falla de contactor inicio de bodega. 
📌 01:50/01:55 FAJA 071-710 falla de contactor inicio de bodega. 
📌 04:00/04:05 FAJA 071-710 falla de contactor inicio de bodega. 
📌 FAJA 071-706 Trabajando en local.
📌 FAJAS sin indicadores de amperaje en las siguientes fajas:
- 071-108 motor A
- 071-710
- 014-031
- 014-030
- 014-029
- ⁠Tolva #1.
✅ MECANICO
📌 FAJA 014-031 Mecánico cambian polin con sonido de carga #75. 
📌 FAJA 071-714 Mecánicos solucionaron  tecle de tolva #1 quedando operativo.
📌 FAJA 014-030 Cambio polin de retorno #435 con hueco.
- - - - - - - - - - - - - - - - - - - - -
✅ OO.MM. 🕐  06:00 hrs
📌 Mar   = 0.4m
📌 Vien = 6.2 n
📌 Direc = 136º
✅ BARCOS EN BAHÍA (3)
🚢 SHANDONG HUA ZHANG
🚢 NEW FUTURE
🚢 MINERAL KAEDE
</t>
  </si>
  <si>
    <t>1, 3</t>
  </si>
  <si>
    <t>1,3,4</t>
  </si>
  <si>
    <t>3 chancadoras C2 / 3 chancadora C7</t>
  </si>
  <si>
    <t>TRABAJOS REALIZADOS:
1- 029 070 : Revision de compuerta del ventilador en campo con plc.</t>
  </si>
  <si>
    <t xml:space="preserve">7/6/4/0
*Filtro 053-033: Se cambia empaquetadura a la caja sello lado "A".
*Filtro 053-035: Se cambia reten en la caja de transmision.
*Faja 051-151: Se cambia 2 polines de retorno y 1 polin cargador.
*Bomba 213-398: Se cambio cilindro, impulsor, plato succion y empaquetadura a la caja del sello.
*Se cambia linea de agua 6" y filtro de choro de las bombas de vacio linea 1-2-3.
*Linea 4: Se cambio niple 2" perforado de la linea de agua del sello del filtro 053-046.
*Se continua con el agregado de floculante a los espesadores 053-002/003.
Linea 1-2-3 al 100% agua desalinizada.
Bombas de vacio linea 1-2-3 con agua desalinizada.
</t>
  </si>
  <si>
    <t>1. Se realizó la toma de SDI de 5 y 15 minutos : OUT SF, IN RO, IN F.C ,SF #03 
2. ⁠Se realiza mantenimiento del filtro autolimpiante UF#14. 
3. Se realizó limpieza de phmetro en línea ingreso a membranas RO. 
4. Se realizó mantenimiento a los manómetros de ingreso y salida del Cip RO. 
5. Se finaliza la LQA de la UF#04. 
6. Se inicia la LQA UF#06.
7. Se inicia la LQA del skid de limpieza con 10 membranas de RO.
8. Se realiza esmerilado del techo del contenedor de limpieza CIP.</t>
  </si>
  <si>
    <t>Se esta descargando petroleo diesel 16:004240 BB de un total de 25000 BB (12:42 inicio de descarga)</t>
  </si>
  <si>
    <t>TRABAJOS REALIZADOS 
1. Monitoreo de vibración y temperatura en  bombas 213-891/352.  
2. Cambio de bomba de sello 213-294
3. Habilitar carrete de acero 8" para instalación de flujómetro en linea 1 de R2. 
4. Lubricación 213-328/655
5. Continuar habilitación de codo 12" de línea 3 en CB1.</t>
  </si>
  <si>
    <t>Nivel de silos: 212 216 623</t>
  </si>
  <si>
    <t>Línea dos en operación con #3 chancadoras 022-130/131/128.</t>
  </si>
  <si>
    <t>Línea uno en operación con tres chancadoras para el silo 9.y 501.</t>
  </si>
  <si>
    <t>-Triturado= 2289 t</t>
  </si>
  <si>
    <t>-Transferido = 2250 t.</t>
  </si>
  <si>
    <t>032-082, se giro molino para terminar calafateo de forros.</t>
  </si>
  <si>
    <t>210-270B se retira motor del reductor, se traslada al taller eléctrico-cambio carcasa.</t>
  </si>
  <si>
    <t>210-282, instalando cajón de alimentación.</t>
  </si>
  <si>
    <t>210-317 se colocó tambor en su base.</t>
  </si>
  <si>
    <t>213-477, se termina mantenimiento, operando.</t>
  </si>
  <si>
    <t>213-808, se limpió tramos de manguera de descarga.</t>
  </si>
  <si>
    <t>Celdas nuevas, se soldó parche en campana de bombas 1003/1004.</t>
  </si>
  <si>
    <t>Línea 1/2/3/4: 7/6/4/Parada</t>
  </si>
  <si>
    <t>Nivel de Agitadores: 007: 50% / 008: 40% / 050: vacío</t>
  </si>
  <si>
    <t>-053-040, cambio eje el motor-caja de trasmisión.</t>
  </si>
  <si>
    <t>051-170, se alineo polea de cabeza.</t>
  </si>
  <si>
    <t>053-025, paro por cambio de sacas programadas.</t>
  </si>
  <si>
    <t>Por cambio de reductor de faja 051-150 se para línea 2, lo reemplaza línea 4.</t>
  </si>
  <si>
    <t>LA x L1  / 35 psi a Shx</t>
  </si>
  <si>
    <t>LBx L3  / 78 psi a  Shx</t>
  </si>
  <si>
    <t>Choclon: 213-655 (1396 gpm/132psi)</t>
  </si>
  <si>
    <t>Muelle   #  05</t>
  </si>
  <si>
    <t>Tk 338  17 ft</t>
  </si>
  <si>
    <t>Tk 250   28 ft</t>
  </si>
  <si>
    <t>**Bombas 213-124 trabajando.</t>
  </si>
  <si>
    <t>Bombas de Captación # 1,3,4</t>
  </si>
  <si>
    <t>Bombas de Envío a Pqt 7 # 1/2</t>
  </si>
  <si>
    <t>Bomba de Envío a Filtros # 4</t>
  </si>
  <si>
    <t>SF: 12 | UF: 13 | RO: 17</t>
  </si>
  <si>
    <t>TK Pqt 7 = 6.49 m</t>
  </si>
  <si>
    <t>TK Filtros = 3.80 m</t>
  </si>
  <si>
    <t>Flujo de envío a Filtros = 412 m3/h</t>
  </si>
  <si>
    <t>Flujo envío pqt7 = 703 m3/h</t>
  </si>
  <si>
    <t>NO HUBO ENVIO</t>
  </si>
  <si>
    <t>MTTO</t>
  </si>
  <si>
    <t>12 al 13</t>
  </si>
  <si>
    <t>1, 5</t>
  </si>
  <si>
    <t>1,5</t>
  </si>
  <si>
    <t xml:space="preserve">3 chancadoras C2 </t>
  </si>
  <si>
    <t>1,3,4,6,7,8,9</t>
  </si>
  <si>
    <t>1,2,3,4,6,7,8,9,10</t>
  </si>
  <si>
    <t>TERMINO: 03/09/2026   🕐 20:13 h.</t>
  </si>
  <si>
    <t>TRABAJOS REALIZADOS:
021-012 se bajo mandiles
Chutes 2,4,6.
021-111se bajo mandil
Chute 12.</t>
  </si>
  <si>
    <t xml:space="preserve">8/6/4/3
Filtro 053-025: Mantenimiento programado.
*Filtro 053-010: Se modifico mandil y portamandil lateral del chute de descarga.
*Faja 051-150: Se cambia reductor, se cambio 1 polin de retorno y 1 polin cargador.
*Filtro 053-012: Se soldo plancha metalica a la perforacion del cajon de reboce.
*Filtro 053-045: Se cambia microswitch de soplado. 
*Se continua con el agregado de floculante a los espesadores 053-002/003.
Linea 1-2-3 al 100% agua desalinizada.
Bombas de vacio linea 1-2-3 con agua desalinizada.
</t>
  </si>
  <si>
    <t>1. Se retiro las membranas del Skid de limpieza química 
2. Se realizó la toma de SDI de 5 y 15 minutos: OUT SF, IN RO, IN F.C ,SF #03
3. Se peso las membranas de la primera posición de la Ro#02   
4. ⁠Trasvase de NaClO en captación
5. Inspección y verificación de manómetros del filtro autolimpiante N°02 de captación por mala lectura.
6. Reparación de válvula diafragma de la UF#14, aun sigue habiendo un poco de pase.
7. Se retira los manómetros del filtro autolimpiante N°02 para su inspección y verificación en el taller eléctrico</t>
  </si>
  <si>
    <t>TRABAJOS REALIZADOS
1. Cambio de Carrete y flujometro  8" R2
2. Cambio de union dresser de 14" descarga de 213-891
3. habilitado carrete 213-883
4. habiitado de tuberia "Y" perteneciende casa 2
5. lubricacion y engrase 213-328/655
6. Traslado a maestranza bomba de sello 213-352
7. instalacion porta hojas msds floculantes 1(mejora)</t>
  </si>
  <si>
    <t>Altura de los silos       
     414414414
Triturado
1720
Transferencia
1710
Con polea arriba y tambores abajo
   Envío de mineral
C2 al chute 12_13.
Línea dos en operación  con dos chancadoras para los silos 1_9 del chute 12_13.
Línea uno  en operación con tres chancadoras para el silo 9.y 501.</t>
  </si>
  <si>
    <t xml:space="preserve">Cto: MF. Operando: RM: 1,3,4,6,7,8,9 / BM: 1,2,3,4,6,7,8,9,10
-032-089: Paró 17:20 a 19:14 hrs por parada del bolas 9. // paró 19:28 a 22:03 hrs por parada bolas 9.
-032-209: Paró 17:27 a 19:13 hrs por perforación en distribuidor de ciclones 212-893. // paró 19:27 a 22:00 hrs por falla de excitación del motor, cambiaron fusible y revisaron arrancador.
TRABAJOS REALIZADOS:
-032-205: Retirando forros del interior, instalando motor auxiliar soldando base, mantenimiento al embrague.
</t>
  </si>
  <si>
    <t xml:space="preserve">-213-215: Cambio de base de bomba.
-213-105: Cambiaron impulsor, fajas.
-212-893: Retiraron carrete perforado y reparan.
-210-282: Habilitando cajón de alimentación y tapas laterales.
-212-897: Desatoraron 03 ciclones.
</t>
  </si>
  <si>
    <t xml:space="preserve">-039-291/280: Reparan paletas.
-039-270: Cambiaron codo y niple agua de dilución.
</t>
  </si>
  <si>
    <t xml:space="preserve">Línea 1/2/3/4: 8/6/4/Parada
Nivel de Agitadores: 007: 50% / 008: 40% / 050: vacío
-053-025: Cambio de sacas. Operando
-Dosificando floculante ambos espesadores.
</t>
  </si>
  <si>
    <t xml:space="preserve">Bombas de Captación # 1/5
Bombas de Envío a Pqt 7 # 2/3
Bomba de Envío a Filtros # 4
SF: 11 | UF: 12 | RO: 17
TK Pqt 7 = 7.31 m 
TK Filtros = 5.00 m
Flujo de envío a Filtros = 400 m3/h
Flujo envío pqt7 = 590 m3/h
Conductividad: 966 uS/cm
-UF#07 Limpieza química completa.
</t>
  </si>
  <si>
    <t xml:space="preserve">CB1
L C x L3 / 120 psi / 2640 gpm
1  horizontal / 1 verticales
Poza:  2.85
R 2 
L 2    110 psi / 2760 gpm
4 horizontales 
CB2
LA x L1  / 48 psi a Shx
LB x L3  / 85  psi a  Shx
Choclon: 213-655   (1350 gpm / 137psi)
Muelle   # 5
Tk 338  18ft
Tk 250   28ft
**Bombas 213-124 trabajando.
*213-891: entra en operación.
</t>
  </si>
  <si>
    <t xml:space="preserve">M/V "ASL LOONG”
✅ INICIO 
📆 01/09/2026 🕐 14:15 hrs
- - - - - - - - - - - - - - - - - - - - -
✅ TERMINO
📆 03/09/2026 🕐 20:13 hrs
- - - - - - - - - - - - - - - - - - - - -
✅ PRODUCTO = FKPS
📌 TOTAL EMBARCAR = 163,050 TM
📌 ABORDO = 162,585 TM
📌 PESO X SGS = 163,104.86 TM
📌 % ERROR = -0.320%
- - - - - - - - - - - - - - - - - - - - -
📌 Eficiencia   : 94 %
📌 Disponibilidad mantenimiento: 97.7  % 
📌 Disponibilidad operativa: 62 % 
📌 Régimen efectivo:  4,891 TM
📌 Régimen general: 3,047 TM
- - - - - - - - - - - - - - - - - - - - -
✅ CONTROL DE CALIDAD
 📌 Fe             =  69.6
 📌 S               = 0.215
 📌 Cu             = 0.002
 📌 H2O          = 7.92
 📌 Na2O        =0.092
 📌 K2O          =0.048
 📌 Alcalis      = 0.140
 📌 Zn             = 0.008
- - - - - - - - - - - - - - - - - - - - -
✅ OPERACIONES
📌 Inspección y operación sistema de embarque 
📌 BOMBA 213-367 Trabajando con normalidad bomba A/B
📌 FAJA 071-706 Se realiza limpieza de polea tensora
📌 FAJA 071-108 Limpieza de loza cuarto de bombas-punta del muelle.
📌 Limpieza de chutes de Gantry a faja 071-706 por cambio de mineral. 
✅ ELECTRICO e INSTRUMENTACION   
📌 FAJAS sin indicadores de amperaje en las siguientes fajas:
- 071-108 motor A
- 071-710
- 014-031
- 014-030
- 014-029
✅ MECANICO
📌 FAJA 071-108 (motriz) Cambio polin de comando autoalineante con  hueco.
- - -- - - - - - - - - - - - - - - - - -
✅ OO.MM. 🕐  23:00 hrs
📌 Mar   = 0.3m
📌 Vien = 5.7 n
📌 Direc = 123º
✅ BARCOS EN BAHÍA (3)
🚢 SHANDONG HUA ZHANG
🚢 NEW FUTURE
🚢 MINERAL KAEDE
</t>
  </si>
  <si>
    <t>Nivel de silos:   313 312 211</t>
  </si>
  <si>
    <t>Línea dos en operación con dos chancadoras para los silos 1/9 del chute 12/13</t>
  </si>
  <si>
    <t>-Triturado= 2518 t</t>
  </si>
  <si>
    <t>-Transferido = 2518 t.</t>
  </si>
  <si>
    <t>032-084, paro 01:50 a 02:05 para retirar barras del canal de over size.</t>
  </si>
  <si>
    <t>-032-205: se evacuo forros usados, en proceso de instalación de forros del lado Shell. Se realizó giro del molino.</t>
  </si>
  <si>
    <t>213-479, reponen pernos brida de descarga.</t>
  </si>
  <si>
    <t>213-135 se paró por perforación manguera de descarga, se arranco 213-811.</t>
  </si>
  <si>
    <t>Línea 1/2/3/4: 8/6/3/Parada</t>
  </si>
  <si>
    <t>Nivel de Agitadores: 007: 40% / 008: 40% / 050: vacío</t>
  </si>
  <si>
    <t>-053-170 se alineo polea de cabeza</t>
  </si>
  <si>
    <t>-053-035: desvestido, cambio de sacas.</t>
  </si>
  <si>
    <t>-Líneas 1,2 y 3 con agua desalinizada.</t>
  </si>
  <si>
    <t>-Dosificando floculante ambos espesadores.</t>
  </si>
  <si>
    <t>LA x L1  / 46 psi a shouxin</t>
  </si>
  <si>
    <t>LB x L3  / 81  psi a shouxin</t>
  </si>
  <si>
    <t>Choclón: 213-655   (1428 gpm / 126psi)</t>
  </si>
  <si>
    <t>Tk 338  16ft</t>
  </si>
  <si>
    <t>Tk 250   29ft</t>
  </si>
  <si>
    <t>*213-891: se arranca para controlar nivel de poza, evitar sobre flujo hacia la cocha.</t>
  </si>
  <si>
    <t>Bombas de Captación # 2,5</t>
  </si>
  <si>
    <t>Bombas de Envío a Pqt 7 # 2,3</t>
  </si>
  <si>
    <t>SF: 10 | UF: 11 | RO: 15</t>
  </si>
  <si>
    <t>TK Pqt 7 = 7.25 m</t>
  </si>
  <si>
    <t>TK Filtros = 3.83 m</t>
  </si>
  <si>
    <t>Flujo de envío a Filtros = 400 m3/h</t>
  </si>
  <si>
    <t>Flujo envío pqt7 = 560 m3/h</t>
  </si>
  <si>
    <t>C2 / C7</t>
  </si>
  <si>
    <t>10 AL 11 / 1 AL 3</t>
  </si>
  <si>
    <t>12 AL 13 / 1 AL 3</t>
  </si>
  <si>
    <t>10 al 15</t>
  </si>
  <si>
    <t>1,3,5</t>
  </si>
  <si>
    <t>3 chancadoras C2 / 3 chancadoras C7</t>
  </si>
  <si>
    <t>1,2,3,6,7,8,9</t>
  </si>
  <si>
    <t>CX2</t>
  </si>
  <si>
    <t>PARADO</t>
  </si>
  <si>
    <t>TRABAJOS REALIZADOS:
021 031: Cambio de polin de retorno 
021 033: Cambio de polin de retorno 
021 057: Cambio de válvula compuerta de campana de colector de polvo 
211 051: Se inicia fabricación de chute de descarga 
029 070: Traslado de compresora,se cambio comprensora de marca sullair en mitigacion de polvo, falta la conectar lap  parte electrica.
021 510: Soldeo de parche en el chute 
210. 401: Soldeo de platinas,cambio de pernos en líner de bandeja
021 632 hacia 059: Cambio de paso de escalera.
021 014: Reparacion emapalme de faja.</t>
  </si>
  <si>
    <t>TRABAJOS REALIZADOS
1. Cambio de niple en descarga 213-291 (de confirmarse telescópica).
2. Liberación de motor para traslado a taller eléctrico BC 213-132.
3. Inspección y monitoreo BC 213-891.
4. Habilitado de tubería de reducción en descarga de 213-883.
5. Habilitado de tubería "Y" en casa 2.
6. Culminación de codo de descarga en cono colector casa 1.
7. Limpieza mecánica de niple y tubería R2.</t>
  </si>
  <si>
    <t xml:space="preserve">1.- CRUDOS: 
C2 al chute 12_13.
C7 al chute 1_2_3_4.
2.- CHANCADORA:  
Nivel de silos: 4.3.4. 2.3.4. 3.1.2.
Línea dos en operación con dos chancadoras para los silos 1/9 del chute 12/13
Línea uno en operación con tres chancadoras para el silo 9.y 501.
-Triturado= 3100 t
-Transferido = 3005 t.
</t>
  </si>
  <si>
    <t xml:space="preserve">Cto: MF. Operando: RM: 1,3,4,6,7,8,9 / BM: 1,2,3,4,6,7,8,9,10.
032-082: Arrancó 16:57 hrs en reemplazo Rm04.
032-084: Paró 16:50 hrs por limpieza del trunnion de alimentación.
032-085: Arrancó de 18:39 a 20:36 hrs en reemplazo Rm07.
032-087: Paró 18:01 a 18:14 hrs agregado de barras. / Paró 18:15 hrs marcó protección del motor, quedó stand by por arranque RM05.
032-089: Arrancó 15:20 a 16:16 hrs / paró 17:40 A 17:57 hrs agregado de barras
TRABAJOS REALIZADOS:
-032-205: se continúa evacuando forros usados, en proceso de instalación de forros del lado Shell. Se realizó giro del molino.
-032-201: Se agregó cilindro de aceite.
</t>
  </si>
  <si>
    <t xml:space="preserve">-213-135: Cambiaron tramo manguera de descarga.
-213-811: Cambiando polea de bomba.
-210-282: Se termina de habilitar mecánicamente, conectan operando 22:10 hrs.
-210-317: Colocan reductor, pendiente terminar de habilitar.
-212-897: Desatoraron 03 ciclones.
-212-154: Desatoran ciclón
</t>
  </si>
  <si>
    <t>039-284 reparan paletas</t>
  </si>
  <si>
    <t xml:space="preserve">Línea 1/2/3/4: 7/6/3/3
Nivel de Agitadores: 007: 40% / 008: 54% / 050: 46%
*Filtro 053-035: Mantenimiento programado. Se termino de vestir.
*Filtro 053-023: Electricos termino de conectar el motoreductor, mecanicos acoplan, queda operativo. Personal de operaciones habilitara el filtro para su arranque.
-21:40 hrs arrancó línea 4 por control de nivel de agitadores
-20:00 a 20:20/ 21:20 a 21:40 hrs parada por falla en stacker de transferencia
-Líneas 1,2 y 3 con agua desalinizada.
-Dosificando floculante ambos espesadores.
</t>
  </si>
  <si>
    <t xml:space="preserve">Bombas de Captación # 1/3/5
Bombas de Envío a Pqt 7 # 2/3
Bomba de Envío a Filtros # 4
SF: 11 | UF: 12 | RO: 16
TK Pqt 7 = 7.37 m 
TK Filtros = 2.70 m
Flujo de envío a Filtros = 400 m3/h
Flujo envío pqt7 = 5.80 m3/h
Conductividad: 975 uS/cm
-UF#08 Limpieza química, en proceso.
</t>
  </si>
  <si>
    <t xml:space="preserve">CB1
L A x L3 / 121 psi / 2750 gpm
1  horizontal / 1 verticales
Poza   3.44
R 2 
L 2    97 psi / 2740 gpm
3 horizontales 
CB2
LB x L3  / 97 psi a Shx
LC x L2  / 72  psi a  Shx
Choclon 
 655   1410 gpm / 128 psi
Muelle   #  5
Tk 338  14ft
Tk 250   25ft
-Casa 1 mecanicos revisan succion de bombas 213-253 y 255 por posible atoro.
</t>
  </si>
  <si>
    <t xml:space="preserve">M/V "SHANDONG HUA ZHANG”
✅ INICIO 
📆 04/09/2026 🕐 00:00 hrs
- - - - - - - - - - - - - - - - - - - - -
✅ ENVIO
📌 CHUTE #49 = 47%
- - - - - - - - - - - - - - - - - - - - -
✅ PRODUCTO = CKIS
📌 TOTAL EMBARCAR = 168,304 TM
📌 ABORDO = 47,000 TM
📌 X EMBARCAR = 121,404 TM
- - - - - - - - - - - - - - - - - - - - -
📌 Eficiencia   : 71  %
📌 Disponibilidad mantenimiento: 94.4 % 
📌 Disponibilidad operativa: 86 % 
📌 Régimen efectivo:  2,350 TM
📌 Régimen general: 2.022 TM
- - - - - - - - - - - - - - - - - - - - -
✅ CONTROL DE CALIDAD
 📌 Fe             =  68.9
 📌 S               = 0.664
 📌 H2O          = 5,90
- - - - - - - - - - - - - - - - - - - - -
✅ OPERACIONES
📌 Inspección y operación sistema de embarque 
📌 BOMBA 213-367 Trabajando con normalidad bomba A/B
📌 FAJA 071-710 Se realizó limpieza de mineral derramado en pasadizo.CHUTE 21.
✅ ELECTRICO e INSTRUMENTACION  
📌 FAJA 071-706 Trabajando en local.
📌 FAJAS sin indicadores de amperaje en las siguientes fajas:
- 071-108 motor A
- 071-710
- 014-031
- 014-030
- 014-029
✅ MECANICO
📌 FAJA 071-108 Mecánicos cambiaron polin guiador # 593 (motriz) trancado.
- - - - - - - - - - - - - - - - - - - - -
✅ OO.MM. 🕐  23:00 hrs
📌 Mar   = 0.7 m
📌 Vien = 3.6 n
📌 Direc = 162º
✅ BARCOS EN BAHÍA (2)
🚢 NEW FUTURE
🚢 MINERAL KAEDE
</t>
  </si>
  <si>
    <t>Nivel de silos: 332 112 122.</t>
  </si>
  <si>
    <t>-Triturado= 3813 t</t>
  </si>
  <si>
    <t>-Transferido = 3752 t.</t>
  </si>
  <si>
    <t>032-205, retiro de pernos del Shell, instalando forros, retiran scroll. Se entregó 50 pernos con sus platinas.</t>
  </si>
  <si>
    <t>213-811 regulan motor, falta reponer fajas.</t>
  </si>
  <si>
    <t>212-897 desatoran ciclones (3).</t>
  </si>
  <si>
    <t>210-317, colocaron espárragos, preparando líneas de agua.</t>
  </si>
  <si>
    <t>039-284, se reparó paletas.</t>
  </si>
  <si>
    <t>Línea 1/2/3/4: 8/6/3/parado</t>
  </si>
  <si>
    <t>*Filtro 053-031: mantenimiento programado-cambio de sacas.</t>
  </si>
  <si>
    <t>*Filtro 053-023: cambio motorecductor-agitador- operativo.</t>
  </si>
  <si>
    <t>-Faja 051-153 retiran polietileno del chute, genero parada de línea 2</t>
  </si>
  <si>
    <t>LB x L3  / 97 psi a Shx</t>
  </si>
  <si>
    <t>LC x L2  / 71  psi a  Shx</t>
  </si>
  <si>
    <t>Choclon: Parado por perforación en línea B</t>
  </si>
  <si>
    <t>Tk 338  17ft</t>
  </si>
  <si>
    <t>Tk 250   28ft</t>
  </si>
  <si>
    <t>-Casa 1; se revisó bombas 254/255, y pinch, no se encontró obstrucción, se procede a</t>
  </si>
  <si>
    <t>reponer componentes.</t>
  </si>
  <si>
    <t>Bombas de Captación # 1/3/5</t>
  </si>
  <si>
    <t>Bombas de Envío a Pqt 7 # 2/3</t>
  </si>
  <si>
    <t>TK Pqt 7 = 6.85 m</t>
  </si>
  <si>
    <t>TK Filtros = 4.37 m</t>
  </si>
  <si>
    <t>Flujo de envío a Filtros = 380 m3/h</t>
  </si>
  <si>
    <t>Flujo envío pqt7 = 740 m3/h</t>
  </si>
  <si>
    <t xml:space="preserve">C2 </t>
  </si>
  <si>
    <t>10 al 11</t>
  </si>
  <si>
    <t xml:space="preserve">9 AL 15 </t>
  </si>
  <si>
    <t>1, 2</t>
  </si>
  <si>
    <t>1,3</t>
  </si>
  <si>
    <t>L1</t>
  </si>
  <si>
    <t>TRABAJOS REALIZADOS:
211 140: Cambio de media malla
211 051. Hacia ,022 021: Fabricación de chute 
211 018: Se repuso resorte posterior 
211 049: Cambio de resorte posterior 
021 022: Cambio de limpia faja
021 037: Se regula mandil ambos lados</t>
  </si>
  <si>
    <t xml:space="preserve">Cto: MF. Operando: RM: 1,2,3,6,7,8,9 / BM: 1,2,3,4,6,7,8,9,10.
TRABAJOS REALIZADOS:
032-205, se giró molino, continúan con la instalación de forros del Shell y tapa de descarga. // Asentado de babbit
</t>
  </si>
  <si>
    <t xml:space="preserve">
210-317: Habilitando separador
212-897, línea 7: desatoran 03 ciclones
</t>
  </si>
  <si>
    <t xml:space="preserve">Línea 1/2/3/4: 8/6/3/parado
Nivel de Agitadores: 007: 50% / 008: 64% / 050: vacío
*Filtro 053-033: Mantenimiento, cambio de sacas.
-Dosificando floculante ambos espesadores.
</t>
  </si>
  <si>
    <t xml:space="preserve">BBs de Captación #1,2
BBs de Envío a Pqt 7 #1,2
BB de Envío a Filtros # 4
Unds SF: 11
Unds UF: 12
Unds RO: 17
TK Pqt 7 = 7.25 m 
TK Filtros = 3.8 m
Flujo de envío a Filtros = 360 m3/h
Flujo envío pqt7 600 m3/h
Conductividad:  978 uS/cm
</t>
  </si>
  <si>
    <t xml:space="preserve">M/V "SHANDONG HUA ZHANG”
✅ INICIO 
📆 04/09/2026 🕐 00:00 hrs
✅ PUERTO CERRADO 
📆 04/09/2026 🕐 23:30 hrs
✅ PRODUCTO = CKIS
📌 TOTAL EMBARCAR = 168,304 TM
📌 ABORDO = 48,055 TM
📌 X EMBARCAR = 120,249 TM
- - - - - - - - - - - - - - - - - - - -
✅OPERACIONES
📌BOMBA 213-367 trabajando solo con bomba A. Flujo alto
📌071-710:Avance limpieza en lado angosto altura chute#21 y #27
📌071-712:Avance limpieza en lado angosto y retornos
📌071-081:Avance limpieza lado cola y retornos
📌Rotopala:Limpieza del bucket Wheel
- - - - - - - - - - - - - - - - - - - - -
✅ OO.MM. 🕐  15:00 hrs
📌 Mar   = 3/4 cm
📌 Vien =  10 nudos
📌 Direc = 150°
✅BARCOS EN BAHÍA (3)
🚢 SHANDONG HUA ZHANG
🚢 NEW FUTURE
🚢 MINERAL KAEDE
</t>
  </si>
  <si>
    <t xml:space="preserve">
1.- CRUDOS: 
C2 al chute 9  al 15
2.- CHANCADORA:  
Nivel de silos: 1.1.1. 1.1.1. 1.1.2.
Línea dos en operación con dos chancadoras para los silos 1/9 del chute 12/13
Línea uno en operación con tres chancadoras para el silo 9.y 501.
-Triturado= 1247 t
-Transferido = 1230 t.
L.2 21:50 paró por control de nivel de silos</t>
  </si>
  <si>
    <t>3.- MAGNETICA: 
Cto: MF. Operando: RM: 1,2,3,6,7,8,9 / BM: 1,2,3,4,6,7,8,9,10.
No hubo parada de molinos.
TRABAJOS REALIZADOS:
032-205, retiro de pernos del Shell, instalando nuevos forros, se realiza asentado del pedestal lado anillos. Se reposicionó molino para continuar instalación.</t>
  </si>
  <si>
    <t>213-808: Se realiza montaje de 02 tramos de manguera de descarga.
210-317: Mecanicos terminan de habilitarlo, se regula magneto. Operando.
**No se contó con personal mecánico de Citic desde las 19:00 hrs. Solo personal electricista.</t>
  </si>
  <si>
    <t xml:space="preserve">Línea 1/2/3/4: 8/6/4/parado
Nivel de Agitadores: 007: 38% / 008: 46% / 050: vacío
*Filtro 053-031: Se vistió filtro. Reparan barril central. Operando.
-Dosificando floculante ambos espesadores.
</t>
  </si>
  <si>
    <t>Bombas de Captación # 2/3
Bombas de Envío a Pqt 7 # 1/2
Bomba de Envío a Filtros # 4
SF: 10 | UF: 11 | RO: 16
TK Pqt 7 = 7.30m 
TK Filtros = 4.73 m
Flujo de envío a Filtros = 412 m3/h
Flujo envío pqt7 =  580 m3/h
Conductividad: 964 uS/cm</t>
  </si>
  <si>
    <t>CB1
L A x L3 / 118 psi / 2550 gpm
1  horizontal / 1 verticales
Poza   3.10
R 2 
L 1    118 psi / 2790 gpm
3 horizontales 
CB2
LA x L1  / 71 psi a Shx
LC x L2  / 50  psi a  Shx
Choclon: parado
Muelle   #  5
Tk 338  15ft
Tk 250   25ft
** Mec cambian empaques a 213-131, desatoran manguera de sello.</t>
  </si>
  <si>
    <t>🚢 M/V "SHANDONG HUA ZHANG”
✅ INICIO 
📆 04/09/2026 🕐 00:00 hrs
✅ PUERTO CERRADO 
📆 04/09/2026 🕐 23:30 hrs
✅ PRODUCTO = CKIS
📌 TOTAL EMBARCAR = 168,304 TM
📌 ABORDO = 48,055 TM
📌 X EMBARCAR = 120,249 TM
- - - - - - - - - - - - - - - - - - - -
✅OPERACIONES
📌BOMBA 213-367 trabajando solo con bomba A.
📌014-029:Limpieza lado pasadizo de mineral subiendo a la faja.  
📌071-714:Limpieza de mineral túnel tolva 1 y tolva 2.
📌071-714:Limpieza de mineral lado angosto de tolva 2.
- - - - - - - - - - - - - - - - - - - - -
✅ OO.MM. 🕐  21:00 hrs
📌 Mar   = 1 cm
📌 Vien =  11 nudos
📌 Direc = 150°
✅BARCOS EN BAHÍA (3)
🚢 SHANDONG HUA ZHANG
🚢 NEW FUTURE
🚢 MINERAL KAEDE</t>
  </si>
  <si>
    <t>Nivel de silos: 3 3 1 1 1 1 1 1 2.</t>
  </si>
  <si>
    <t>-Triturado= 2510 t</t>
  </si>
  <si>
    <t>-Transferido = 2510 t.</t>
  </si>
  <si>
    <t>032-205, se giró molino, continúan con la instalación de forros del Shell y tapa de descarga.</t>
  </si>
  <si>
    <t>213-651, reponen pernos en brida de descarga.</t>
  </si>
  <si>
    <t>*Filtro 053-033, mantenimiento programado-cambio de sacas.</t>
  </si>
  <si>
    <t>213-236, cambio de codo de 2plg.</t>
  </si>
  <si>
    <t>LA x L1 / 68 psi a Shx</t>
  </si>
  <si>
    <t>LC x L2 / 48 psi a  Shx</t>
  </si>
  <si>
    <t>Choclón: parado</t>
  </si>
  <si>
    <t>Bombas de Captación # 1/3</t>
  </si>
  <si>
    <t>SF: 11 | UF: 12 | RO: 16</t>
  </si>
  <si>
    <t>TK Pqt 7 = 7.27m</t>
  </si>
  <si>
    <t>TK Filtros = 4.85 m</t>
  </si>
  <si>
    <t>Flujo de envío a Filtros = 420 m3/h</t>
  </si>
  <si>
    <t>Flujo envío pqt7 = 622 m3/h</t>
  </si>
  <si>
    <t>Conductividad: 960 uS/cm</t>
  </si>
  <si>
    <t>mesa conveyor de impacto de TOLVA #2</t>
  </si>
  <si>
    <t>Se realizó la segregación de residuos sólidos desde la 108 lado cola hasta la 031</t>
  </si>
  <si>
    <t xml:space="preserve">9 AL 10 </t>
  </si>
  <si>
    <t>3,4 ,5</t>
  </si>
  <si>
    <t>2,4,5</t>
  </si>
  <si>
    <t>4h</t>
  </si>
  <si>
    <t xml:space="preserve">1.- CRUDOS: 
C2 al chute 09 al 10
2.- CHANCADORA:  
Nivel de silos: 1.3.3.2.1.4.4.1.2
Línea dos en operación con dos chancadoras para los silos 1/9 del chute 12/13
Línea uno en operación con tres chancadoras para el silo 9.y 501.
-Triturado= 0 t
-Transferido = 1209 t.
Trabajo realizado
211_024 se cambió cantonera de la segunda malla 
021_625 se cambió polin de retorno # 8_9_1
022_128 se liberó la olla se abrió dos dientes. Paró de 12:50 a 15:00 hrs.
021_132 se bajó mandil lado sur.
</t>
  </si>
  <si>
    <t xml:space="preserve">Cto: MF. Operando: RM: 1,2,3,6,7,8,9 / BM: 1,2,3,4,6,7,8,9,10.
-Rm03: Paró 08:40 a 10:16 hrs por reparar brida ciega de Yee descarga bomba 213-802 a bolas 10.
TRABAJOS REALIZADOS:
032-205, se giró molino, continúan con la instalación de forros del Shell y tapa de descarga. // Asentado de babbit, medición del eje del motor para prueba en vacío.
</t>
  </si>
  <si>
    <t xml:space="preserve">213-215: Reponen tubo de succión.
210-281: Retiran tambores, se reparará tinas por estado de corrosión.
212-897, línea 7: desatoran 02 ciclones
</t>
  </si>
  <si>
    <t>039-275 reparan paletas.</t>
  </si>
  <si>
    <t xml:space="preserve">Línea 1/2/3/4: 8/6/3/parado
Nivel de Agitadores: 007: 34% / 008: 40% / 050: vacío
*Filtro 053-033: Mantenimiento, cambio de sacas.
-Compresora 601: en stand by.
-Dosificando floculante ambos espesadores.
</t>
  </si>
  <si>
    <t xml:space="preserve">BBs de Captación #3,4,5
BBs de Envío a Pqt 7 #1,2
BB de Envío a Filtros # 4
Unds SF: 11
Unds UF: 12
Unds RO: 17
TK Pqt 7 = 7.1 m 
TK Filtros = 3.3 m
Flujo de envío a Filtros = 400 m3/h
Flujo envío pqt7 660 m3/h
Conductividad:  978 uS/cm
</t>
  </si>
  <si>
    <t xml:space="preserve">- HABILITADO TUBERIA "Y" CASA 2
- CULMINACION DE HABILITADO CARRETE REDUCCION EN DESCARGA DE 213-133
- HABILITADO DE "Y" DESCARGA 213-364
- CAMBIO DE VALVULA DE 8" CASA 2
- MITIGACION DE FUGA TUBERIA TAYLOR CASA 2
- MONITOREO DE VIBRACION Y TEMPERATURA CASA1/CASA2/R2
- INSPECCION BOMBA CENTRIFUGA 213-890
</t>
  </si>
  <si>
    <t>Altura de los silos       
   444213312
Triturado
1210
Transferencia
1209
Con polea arriba y tambores abajo
   Envío de mineral
C2 al chute 14_15
Línea dos en operación  con dos chancadoras para los silos 1_9 del chute 12_13.
Línea uno  en operación con tres chancadoras para el silo 9.y 501.</t>
  </si>
  <si>
    <t>Nivel de silos: 2 3 2 1 1 2 2 1 5</t>
  </si>
  <si>
    <t>-Triturado= 3790 t</t>
  </si>
  <si>
    <t>-Transferido = 3750 t.</t>
  </si>
  <si>
    <t>*Línea 2 paro 00:00 a 03:00 por control nivel de silos.</t>
  </si>
  <si>
    <t>032-205, se giró molino, se termina instalación de forros del Shell, en la tapa de alimentación y descarga continúan colocando forros elevadores.</t>
  </si>
  <si>
    <t>213-403, reparan tubo de succión, perforado (con imán).</t>
  </si>
  <si>
    <t>213-215, reponen tubo de succión, manguera de descarga.</t>
  </si>
  <si>
    <t>213-818, cambiaron pernos en brida de descarga/succión.</t>
  </si>
  <si>
    <t>213-107, perforación cajón de descarga, se coloca imán, se está habilitando 210-108.</t>
  </si>
  <si>
    <t>039-282, se reparó paletas.</t>
  </si>
  <si>
    <t>*Filtro 053-023: cambio de aceite caja de trasmisión.</t>
  </si>
  <si>
    <t>Faja 170, se alinea polea de cabeza.</t>
  </si>
  <si>
    <t>LB x L3 / 94 psi a Shx</t>
  </si>
  <si>
    <t>LC x L2 / 51 psi a  Shx</t>
  </si>
  <si>
    <t>Muelle   #  5</t>
  </si>
  <si>
    <t>Tk 338  19 ft</t>
  </si>
  <si>
    <t>Tk 250   29 ft</t>
  </si>
  <si>
    <t>BBs de Captación #2,4,5</t>
  </si>
  <si>
    <t>BBs de Envío a Pqt 7 #1,2</t>
  </si>
  <si>
    <t>BB de Envío a Filtros # 4</t>
  </si>
  <si>
    <t>TK Pqt 7 = 7.26 m</t>
  </si>
  <si>
    <t>TK Filtros = 3.59 m</t>
  </si>
  <si>
    <t>Flujo envío pqt7 660 m3/h</t>
  </si>
  <si>
    <t>Conductividad:  1025 uS/cm</t>
  </si>
  <si>
    <t xml:space="preserve">014-029: Se levantó mineral acumulado a la faja del lado pasadizo del bastidor #270 al #302 </t>
  </si>
  <si>
    <t>071-714: Se limpieza de chute</t>
  </si>
  <si>
    <t>071-714: Mecánicos cambiaron polietileno de la deflectora y lateral.</t>
  </si>
  <si>
    <t>C7 y C2</t>
  </si>
  <si>
    <t>1 al  3 / 13 al 14</t>
  </si>
  <si>
    <t>3, 5</t>
  </si>
  <si>
    <t>Reinicia: 7/9/2026   13:30h.</t>
  </si>
  <si>
    <t>Trabajos en ejecución 
Chute 021_134__021_061 se esta cambiando planchas de blindaje .
211_124 se está cambiando mandil lateral</t>
  </si>
  <si>
    <t>6/8/3/0
*Filtro 053-033: Se retira el barril central para instalarlo en el filtro 053-036, debido al alto deterioro de la tina del filtro de disco 053-033.
*Faja 051-186: Se realiza evaluacion del sistema de frenado, electricos retiran el componente de accionamiento para realizar mantenimiento, queda pendiente.
*Faja 071-051: Personal de instrumentacion realiza la calibracion de la balanza.
*Bomba 213-333: Se esta habilitando las bases de la bomba y motor.
*Se continua con el agregado de floculante a los espesadores 053-002/003.
Linea 1-2-3 al 100% agua desalinizada.
Bombas de vacio linea 1-2-3 con agua desalinizada.</t>
  </si>
  <si>
    <t>1.	Se continua con el enjuague del skid de limpieza en su etapa alcalina. 
2.	Se continúa con la toma de SDI de 5 y 15 minutos: OUT SF, IN RO, IN F.C, SF #03
3.	Se finalizó al colocar la tubería de drenaje en la UF#05 
4. Mantenimiento de limpieza externa en la bomba de agua producida N°01, 02,03 y 05 
5.	⁠Se continua con el esmerilado en los techos del contenedor del CIP y Ro#13
6.	Se continua con los trabajos de soldadura en el techo del contenedor de la UF#09
7. Se traslada químicos de la base a planta desaladora</t>
  </si>
  <si>
    <t>Se cambio valvula de 4 de sistemas contraincendio en manifold de descarga</t>
  </si>
  <si>
    <t>- HABILITADO TUBERIA "Y" CASA 2
- CULMINACION DE HABILITADO CARRETE REDUCCION EN DESCARGA DE 213-133
- HABILITADO DE "Y" DESCARGA 213-364
- CAMBIO DE VALVULA DE 8" CASA 2
- MITIGACION DE FUGA TUBERIA TAYLOR CASA 2
- MONITOREO DE VIBRACION Y TEMPERATURA CASA1/CASA2/R2
- INSPECCION BOMBA CENTRIFUGA 213-890</t>
  </si>
  <si>
    <t xml:space="preserve"> ✅ REINICIO 
📆 07/09/2026 🕐 13:30 hrs
- - - - - - - - - - - - - - - - - - - - -
✅ CONTROL DE CALIDAD
 📌 Fe             =  68.9
 📌 S               = 0.664
 📌 H2O          = 5,90
📌 MALLA -100 = 99.0
📌MALLA -200 = 90.8 
- - - - - - - - - - - - - - - - - - - - -
✅ ATRAQUE
 📌 11:01 PRACTICÓ ABORDO 
 📌11:33 PROCEDE 
 📌 12:24 PRIMERA LÍNEA 
📌 13:00 BARCO AMARRADA 
📌13:00/13:20 Traslado del gantry a bodega #1. 
📌 13:30/13:30 Apertura de chute #49
📌 13:30 REINICIO. 
- - - - - - - - - - - - - - - - - - - - -
✅ PARADAS
📌 14:45/14:50 FAJA 071-712 Parada por personal de instrumentación. 
📌 15:00/15:05 FAJA 071-712 Parada por personal de instrumentación. 
📌 15:07/15/10 FAJA 071-108 Parada por desalineamiento. 
✅ OPERACIONES
📌 Inspección y operación sistema de embarque 
📌 BOMBA 213-367 Trabajando con normalidad bomba A/B
✅ ELECTRICO e INSTRUMENTACION  
📌 FAJA 071-706 Trabajando en local.
📌 FAJAS sin indicadores de amperaje en las siguientes fajas:
- 014-031
- 014-030
- 014-029
- - - - - - - - - - - - - - - - - - - - -
✅ OO.MM. 🕐  14:00 hrs
📌 Mar   = 0.76m
📌 Vien = 2.6 n
📌 Direc = 115º
✅BARCOS EN BAHÍA (3)
🚢 NEW FUTURE
🚢 MINERAL KAEDE
🚢 YH ODYSSEY
</t>
  </si>
  <si>
    <t xml:space="preserve">1.- CRUDOS: 
C2 al chute 9 al 15
2.- CHANCADORA:  
Nivel de silos: 333/111/111
Línea dos en operación con dos chancadoras para los silos 1/9 del chute 12/13
Línea uno en operación con tres chancadoras para el silo 9.y 501.
-Triturado= 1489 t
-Transferido = 2010 t.
</t>
  </si>
  <si>
    <t xml:space="preserve">Cto: MF. Operando: RM: 1,2,3,6,7,8,9 / BM: 1,2,3,4,6,7,8,9,10.
-032-083: Paró de 21:30 a 23:30 hrs por perforación en sumidero 213-233.  
TRABAJOS REALIZADOS:
-032-205, -Soldeo de pernos, instalacion de segmentos, aplicación de nordbak, instalan porta reten en proceso de calafateo para giro del molino. Instalan bomba de alta #2.
</t>
  </si>
  <si>
    <t xml:space="preserve">-213-233: Mecánicos sueldan parche exterior.
-213-808: Culminaron montaje de manguera de descarga.
-210-108: Entró en operación.
-210-283: Limpieza de duchas y quenas.
**Celdas nuevas: soplador 2003: Se agregó aceite al sistema de lubricación del soplador. Se reguló presión; queda operando normalizando el envío de carga a nuevas celdas.
</t>
  </si>
  <si>
    <t>039-284 Repararon paletas</t>
  </si>
  <si>
    <t xml:space="preserve">Línea 1/2/3/4: 8/6/3/parado
Nivel de Agitadores: 007: 55% / 008: 50% / 050: vacío
*Filtro 053-029: cambio de sacas.
*Filtro 053-036: Habilitando motoreductor
-Dosificando floculante ambos espesadores.
</t>
  </si>
  <si>
    <t xml:space="preserve">BBs de Captación #3/5
BBs de Envío a Pqt 7 #1/2
BB de Envío a Filtros # 4
SF: 11 | UF: 12 | RO: 15
TK Pqt 7 = 7.27 m 
TK Filtros = 5.82 m
Flujo de envío a Filtros = 390 m3/h
Flujo envío pqt7 600 m3/h
Conductividad:  1069 uS/cm
</t>
  </si>
  <si>
    <t xml:space="preserve">CB1
L A x L3 / 119 psi / 2570 gpm
1  horizontal / 1 verticales
Poza   3.00
R 2 
L 1    116 psi / 2560 gpm
3 horizontales 
CB2
LB x L3  / 68 psi a Shx
LC x L2  / 69 psi a  Shx
Choclon 
 655   parado
Muelle   #  5
Tk 338  18ft
Tk 250   27ft
-VCN#107: Se cambió conector.
-Linea B: Se finalizó acoplamiento de cabezal en tubería hdpe 24"
</t>
  </si>
  <si>
    <t xml:space="preserve">M/V " SHANDONG HUA ZHANG”
🟫 INICIO
📆 04/09/2026   🕐 00:00 hrs
🟫 REINICIO
📆 07/09/2026   🕐 13:30 hrs
- - - - - - - - - - - - - - - - - - - - - - - - - -
🟩 DATOS DE EMBARQUE
◼️	Envío: 
  Chute #46 y #49, trabajando con 4 tractores.
◼️ Producto:		CKIS	
◼️ Total a embarcar:	168304 TM
◼️ Total abordo:	70000  TM
◼️ Tonelaje jornada:	7000 TM
- - - - - -  - - - -  - - - - - - - - - - - - - -
◼️Eficiencia:		75%
◼️Disp. Mantenimiento:	93.1%
◼️Disp. Operativa:	86%
◼️Régimen efectivo:	2485 TM
◼️Régimen general :	2140 TM
- - - - - - - - - - - - - - - - - - - - - - - - - -
🟧 CONTROL DE CALIDAD  %
 ◼️ Fe		=	68.5
 ◼️ S		=	0.664
 ◼️ H2O		= 5.90
 ◼️ Malla -200	=	90.8
 ◼️ Malla -100	=	99.0
- - - - - - - - - - - - - - - - - - - - - - - - - -
🟫 OPERACIONES
▫️Bombas 213-367, se trabajó solo con la bomba A, sin rebose hacia la canaleta.
▫️Faja 071-716, se realizó la limpieza de tina constantemente.
▫️Se realizó limpieza de chutes en seco.
🟫 MECANICOS
▫️Faja 071-710, se cambio el polin #5 de retorno.
▫️Faja 071-801, Se regulo limpiador secundario.
🟫 FAJEROS
▫️Faja 071-801, se instalaron grapas en el empalme.
🟫 DEMORAS
▫️19:11-19:40, Evaluacion de empalme por parte de fajeros
▫️21:50- 22:46 Intervinieron con grapas los fajeros
 - - - - - - - - - - - - - - - - - - - - - - - - -
🟦 OO.MM. 🕐 23:00 hrs
▫️ Mar   =  0.4 metros
▫️ Vien  =  1 nudos
▫️ Direc =  25°
- - - - - - - - - - - - - - - - - - - - - - - - - -
🟦 BARCOS EN BAHIA
🚢 YH ODISSEY
🚢 NEW FUTURE
🚢 MINERAL KAEDE
</t>
  </si>
  <si>
    <t>C2 al chute 14 al 15</t>
  </si>
  <si>
    <t>Nivel de silos: 333/111/111</t>
  </si>
  <si>
    <t>-Transferido = 3225 t.</t>
  </si>
  <si>
    <t>Línea 2 paro 01:30 a 03:15h control nivel de silos.</t>
  </si>
  <si>
    <t>-032-205, se realiza el último giro del molino. Se instaló manguera de alimentación, ajustaron pernos de las tapas.</t>
  </si>
  <si>
    <t>213-215, se mego motor, alinean polea, instalaron línea de agua de sello.</t>
  </si>
  <si>
    <t>210-115, cambiando cabezal perforado.</t>
  </si>
  <si>
    <t>213-221, alinean polea, reponen fajas y guarda.</t>
  </si>
  <si>
    <t>213-241, cambiaron jebe de sello, motor con rodamientos crítico.</t>
  </si>
  <si>
    <t>*Filtro 053-029: cambio de sacas-programadas.</t>
  </si>
  <si>
    <t>*Filtro 053-036: instalaron motoreductor del disco.</t>
  </si>
  <si>
    <t>LB x L3 / 70 psi a Shx</t>
  </si>
  <si>
    <t>LC x L2 / 73 psi a Shx</t>
  </si>
  <si>
    <t>Muelle   # 5</t>
  </si>
  <si>
    <t>Tk 338 18ft</t>
  </si>
  <si>
    <t>Tk 250   27ft</t>
  </si>
  <si>
    <t>BBs de Captación #1/3/5</t>
  </si>
  <si>
    <t>BBs de Envío a Pqt 7 #1/2</t>
  </si>
  <si>
    <t>TK Pqt 7 = 7.20 m</t>
  </si>
  <si>
    <t>Flujo de envío a Filtros = 390 m3/h</t>
  </si>
  <si>
    <t>Flujo envío pqt7 614 m3/h</t>
  </si>
  <si>
    <t>Conductividad:  1068 uS/cm</t>
  </si>
  <si>
    <t xml:space="preserve">12 AL 15 </t>
  </si>
  <si>
    <t>12  al 15</t>
  </si>
  <si>
    <t>1, 2 4</t>
  </si>
  <si>
    <t>1,2</t>
  </si>
  <si>
    <t>1,2,3,5,6,7,8,9</t>
  </si>
  <si>
    <t>TRABAJOS:
211 025: Cambio de labio de descarga,cambio de cantoneras 
211 018: Cambio de malla y media malla 
021 040: Cambio de mandil doble labio lado sur
021 045: Cambio de bases comando de retorno 
211 051: Chute de descarga en fabricación 
021 022: Cambio de mandil lado sur 
275 032: Instalación de paneles informativos</t>
  </si>
  <si>
    <t>8/6/3/0
*Faja 051-172: Se cambió 3 polines cargadores.
*Faja 051-175: Se cambió 2 polines cargadores y 2 polines guiadores 
*Bomba 213-398: Se cambia cilindro y empaquetadura a la caja de sello.
*Bomba 213-359: Se cambia manguera de descarga de 4" a 6".
*Filtro 053-036: Se habilita barril central.
*Se continua con el agregado de floculante a los espesadores 053-002/003.
Linea 1-2-3 al 100% agua desalinizada.
Bombas de vacio linea 1-2-3 con agua desalinizada.</t>
  </si>
  <si>
    <t>1. Se retira membranas del Skid luego de su lavado químico. 
2. Se continua con la toma de SDI de 5 y 15 minutos. 
3. Se finaliza la LQ de la UF#13 
4. ⁠Limpieza de los aires acondicionados de la sala 100B
5. ⁠Mantenimiento de limpieza externas a las bombas superalimentadora 1,2,6
7. ⁠Mantenimiento a la Stocka 
8. Se continua en colocar la tubería de drenaje en el contenedor de la UF#06 
9. Se continua con los trabajos de esmerilado en el contenedor del Tk Cip y Ro#13
10. Trabajos de soldadura en los techos del contenedor de la UF#09 
11. Se restablece la señal de alarma en la válvula de venteo de la SF#10
12. Inspección de las membranas de la Ro#09</t>
  </si>
  <si>
    <t>Se instala bomba en area de punto de drenaje 2 para vaciado de tuberia de diesel</t>
  </si>
  <si>
    <t xml:space="preserve">
1.- Habilitación de brida 10" con salida para tubería 8", cambio en CB1.
2.- Culminar soldeo de codo 14" para cambio en PDP.
3.- Traslado y cambio de válvula pinch 8" en linea C de CB1.
4.- Monitoreo de bombas en overflow R2.
5.- Lectura de alineamiento en bomba 213-890.
6.- Refuerzo interno con nordbak de tuberías habilitadas en taller.
7.- Trasladar tuberías al área de arenado.</t>
  </si>
  <si>
    <t>OPERACIONES
📌 Inspección y operación sistema de embarque 
📌 BOMBA 213-367 Trabajando con normalidad bomba A/B
📌 FAJA 071-712 Limpieza de polea de cola alineadora
📌 ROTOPALA Limpieza de tornamesa superior, barandas y estructuras.
📌 FAJA 071-716 Limpieza de polea de cola 
📌 FAJA 071-706 Limpieza de pasadizo y polines de impacto chute #49
📌 FAJA 071-710 Limpieza de retornos 
✅ PARADAS
📌 12:30/12:55 FAJA 071-108 Parada por falla de contactor 
📌 FAJA 071-706 Rotura de acople hidráulico del chute #46
✅ ELECTRICO e INSTRUMENTACION  
📌 FAJAS sin indicadores de amperaje en las siguientes fajas:
- 014-031
- 014-030
- 014-029
 📌 FAJA 071-706 Altavoz chute #46 requiere mantenimiento 
✅ MECANICO
📌 Faja 071-706, mecánicos instalaron bomba manual de hidrolina en chute #46.
✅ OO.MM. 🕐  15:20 hrs
📌 Mar   = 0.5m
📌 Vien = 7.2 n
📌 Direc = 157º
✅ BARCOS EN BAHÍA (2)
🚢 NEW FUTURE
🚢 MINERAL KAEDE
🚢 YH ODYSSEY
🚢 WILLIAM OLDENDORFF</t>
  </si>
  <si>
    <t>📌 FAJAS sin indicadores de amperaje en las siguientes fajas:</t>
  </si>
  <si>
    <t>📌 Direc = 157º</t>
  </si>
  <si>
    <t>🚢 WILLIAM OLDENDORFF</t>
  </si>
  <si>
    <t>Nivel de silos: 232/122/112</t>
  </si>
  <si>
    <t>-Transferido = 2340 t.</t>
  </si>
  <si>
    <t>Trabajos pendiente</t>
  </si>
  <si>
    <t>Alimentador 020/126 cambio de polietileno.</t>
  </si>
  <si>
    <t>032-204 paro 21:12 a 02:07h por bomba 213-124.</t>
  </si>
  <si>
    <t>032-205 paro 21:40 a 2:50h por alta temperatura pedestal STE&gt;68°C.</t>
  </si>
  <si>
    <t>y de 03:35 a 03:48h, por baja presión de aire.</t>
  </si>
  <si>
    <t>032-089 03:33 a a03:45h por baja presión de aire.</t>
  </si>
  <si>
    <t>213-124 fuga de carga (cambio impulsor, cilindro, bocina, jebe de sello).</t>
  </si>
  <si>
    <t>210-101 se realiza conexión eléctrica, se esperó secado del norback, antes de arrancar.</t>
  </si>
  <si>
    <t>213-478, cambiando impulsor, forro succión.</t>
  </si>
  <si>
    <t>210-281, reparando planchas laterales de la tina.</t>
  </si>
  <si>
    <t>*Filtro 053-024 se cambió motorecductor de agitador arranco 04:00h.</t>
  </si>
  <si>
    <t>*Filtro 053-036 barril central coloco  en base-pendiente alineamiento.</t>
  </si>
  <si>
    <t>LB x L3 / 69 psi a shouxin</t>
  </si>
  <si>
    <t>LC x L2 / 72 psi a shouxin</t>
  </si>
  <si>
    <t>Choclón: 213-655 (135psi / 13007 gpm).</t>
  </si>
  <si>
    <t>Tk 338 17ft</t>
  </si>
  <si>
    <t>Tk 250   29.ft</t>
  </si>
  <si>
    <t>Bombas de Captación #1/2</t>
  </si>
  <si>
    <t>Bombas de Envío a Pqt 7 #1/2</t>
  </si>
  <si>
    <t>TK Pqt 7 = 7.19 m</t>
  </si>
  <si>
    <t>TK Filtros = 6.22 m</t>
  </si>
  <si>
    <t>Flujo de envío a Filtros = 410 m3/h</t>
  </si>
  <si>
    <t>Conductividad:  1085 uS/cm</t>
  </si>
  <si>
    <t>C2  / C7</t>
  </si>
  <si>
    <t>12 AL 14</t>
  </si>
  <si>
    <t>13 AL 14 / 1,2,3</t>
  </si>
  <si>
    <t xml:space="preserve">1, 2 </t>
  </si>
  <si>
    <t>2, 4</t>
  </si>
  <si>
    <t>1,4</t>
  </si>
  <si>
    <t>TERMINO: 10/09/2026 🕐 01:57 h.</t>
  </si>
  <si>
    <t>M/V “MINERAL KAEDE"</t>
  </si>
  <si>
    <t xml:space="preserve"> 10/09/2026   🕐 06:15 hrs</t>
  </si>
  <si>
    <t>TRABAJOS:
021 037: Cambio de mandil 
210 401: Reparación de bandeja,cambio de líner de bandeja
210 402: Retirando tapas de tambor de separador en gabinete 
021 014: Corte de topes de polines de base comando 
021 ,031 033 055: Cambio de limpiafajas.
211 051:Se continúa  con fabricación de chute</t>
  </si>
  <si>
    <t>8/6/3/0
*Filtro 053-033: Se está realizando reparación a la tina.
*Filtro 053-036: Se suelda barril central rajado, se continúa con trabajos mecánicos del filtro.
*Bomba 213-333: Se realiza montaje de las bases de la bomba-motor.
*Se continua con el agregado de floculante a los espesadores 053-002/003.
Linea 1-2-3 al 100% agua desalinizada.
Bombas de vacio linea 1-2-3 con agua desalinizada.</t>
  </si>
  <si>
    <t>1. Se continuará con la toma de SDI de 5 y 15 minutos. 
2. Se continua con los trabajos de mantenimiento al techo de contenedor CIP
3. Se continua con los trabajos de mantenimiento del contenedor de la UF #09
4. Se realizó el alineamiento de bomba de refuerzo de la RO #15
5. ⁠Limpieza y contraste del sensor de ORP
6. ⁠Se continua con el mantenimiento de limpieza externas a las bombas que están cerca a los tk´s de concreto 
7. Se continua con el mejoramiento de la tubería de drenaje en el contenedor de la UF#06</t>
  </si>
  <si>
    <t>Limpieza en filtros con bot cat</t>
  </si>
  <si>
    <t>Altura de los silos       
   433141112
Triturado
670
Transferencia
644
Con polea arriba y tambores abajo
 Envío de mineral
C2 al chute 12_13_14
Línea dos en operación  con dos chancadoras para los silos 1_9 del chute 12_13.14
Línea uno  en operación con tres chancadoras para el silo 9.y 501.</t>
  </si>
  <si>
    <t>TRABAJOS REALIZADOS:
213-241: Mantenimiento de bomba.
213-214: Se colocó abrazadera en manguera.
210-281, reparando planchas laterales de la tina.
210-114: Se cambia tapa de ventilador.
Se realiza el agregado de medios moledores.</t>
  </si>
  <si>
    <t xml:space="preserve">Línea 1/2/3/4: 8/6/3/parado
Nivel de Agitadores: 007: 40% / 008: 48% / 050: vacío
*Filtro 053-036: Se vistió filtro.
-Dosificando floculante ambos espesadores.
</t>
  </si>
  <si>
    <t xml:space="preserve">Bombas de Captación #2/4
Bombas de Envío a Pqt 7 #4
Bomba de Envío a Filtros # 2
SF: 11 | UF: 12 | RO: 16
TK Pqt 7 = 7.05 m 
TK Filtros = 3.82 m
Flujo de envío a Filtros = 650 m3/h
Flujo envío pqt7 380 m3/h
</t>
  </si>
  <si>
    <t>CB1
L A x L3 / 121 psi / 2570 gpm
1  horizontal / 1 verticales
Poza   3.20
R 2 
L 1    92 psi / 3100 gpm
3 horizontales 
CB2
LA x L1 / 55 psi a Shx
LB x L3  / 69 psi a  Shx
Choclon 
 655  / 1320 gpm / 136 psi
Muelle   #  5
Tk 338  16.60
Tk 250   26.80</t>
  </si>
  <si>
    <t>M/V "SHANDOND HUA ZHANG”
✅ PRODUCTO = CKIS
INICIO: 04/09/2026 🕐 00:00 h.
APERTURA PUERTO: 07/09/2026 🕐 11:30 h.
Espera de plea 22:20 hrs, reinicio 24:00 hrs
Embarcando: 164,800 tns</t>
  </si>
  <si>
    <t xml:space="preserve">1.- CRUDOS: 
C-2 a chute 13,14 y C-7 a chute 1,2,3
2.- CHANCADORA:  
Nivel de silos: 323/122/212
Línea dos en operación con dos chancadoras para los silos 1/9 del chute 12/13
Línea uno en operación con tres chancadoras para el silo 9.y 501.
-Triturado= 2566 t
-Transferido = 2460 t.
Trabajos pendiente 
</t>
  </si>
  <si>
    <t xml:space="preserve">Cto: MF. Operando: RM: 1,2,3,5,6,7,8,9 / BM: 1,2,3,4,5,6,7,8,9,10.
032-204: Paró 23:26 hrs a 00:08 hrs por perforación en manguera de descarga 213-214.
TRABAJOS REALIZADOS:
032-201: recorte del retén de aceite (lado libre) por fuga.
</t>
  </si>
  <si>
    <t xml:space="preserve">213-241: Mantenimiento de bomba.
213-214: Se colocó abrazadera en manguera.
213-480: Sueldan orejas en tubo descarga.
210-281, reparando planchas laterales de la tina.
210-290A: Cambio de niple 2” ducha.
210-114: Se cambia tapa de ventilador de motor.
Se realiza el agregado de medios moledores.
</t>
  </si>
  <si>
    <t>No hubo trabajos</t>
  </si>
  <si>
    <t xml:space="preserve">Línea 1/2/3/4: 8/7/3/3
Nivel de Agitadores: 007: 48% / 008: 54% / 050: vacío
*Filtro 053-036: Se vistió filtro. Operando
*05:00 hrs arrancó línea 4 control de nivel agitadores.
-Dosificando floculante ambos espesadores.
</t>
  </si>
  <si>
    <t xml:space="preserve">CB1
L A x L3 / 121 psi / 2610 gpm
1  horizontal / 1 verticales
Poza   3.10
R 2 
L 1    95 psi / 3130 gpm
3 horizontales 
CB2
LA x L1 / 61 psi a Shx
LB x L3 / 69 psi a  Shx
Choclon 213-655  / 1310 gpm / 136 psi
Muelle   #  5
Tk 338  15ft
Tk 250   26ft
</t>
  </si>
  <si>
    <t xml:space="preserve">Bombas de Captación #1/4
Bombas de Envío a Pqt 7 #1/2
Bomba de Envío a Filtros # 4
SF: 12 | UF: 13 | RO: 17
TK Pqt 7 = 7.28 m 
TK Filtros = 4.06 m
Flujo de envío a Filtros = 574 m3/h
Flujo envío pqt7 422 m3/h
Conductividad:  1022 uS/cm
</t>
  </si>
  <si>
    <t xml:space="preserve">13 AL 15 </t>
  </si>
  <si>
    <t>TRABAJOS:
021 132: Instalacion de tuberia de agua para ducha. 
021 632: Tendido de tuberia de agua para ducha.
029 070: Realizando pruebas con compresora sullair.</t>
  </si>
  <si>
    <t>8/6/0/3 
*Filtro 053-040: Mantenimiento por cambio de sacas programadas.
*Bomba 213-225: Se realiza mantenimiento general, se cambió impulsor, plato succión y empaquetadura a la caja del sello.
*Filtro 053-033: Mecánicos continúan con la reparación de la tina.
*Bomba 213-351: Se está cambiando cilindro y empaquetadura a la caja del sello.
*Bomba 213-333: Se continúa con el montaje de la bomba, avance 70%.
*Bomba 213-350: Instrumentista realiza mantenimiento al variador.</t>
  </si>
  <si>
    <t>1. Se realizará  la toma de SDI de 5 y 15 minutos: OUT SF, IN RO, IN F.C, SF#03. 
2. Mantenimiento de actuadores SF#05.
3. Se continua con los trabajos de soldadura parte superior del  contenedor de la UF #09.
4. RO#14 se realizó inspección y cambio de posición de membranas.
5. ⁠Se continua con el mantenimiento de limpieza externas a las bombas que están cerca a los tk´s de concreto 
6. Limpieza sala eléctrica 100A , 100C.</t>
  </si>
  <si>
    <t xml:space="preserve">Pintado de letreros de area de tanques y ductos </t>
  </si>
  <si>
    <t xml:space="preserve">1.- Traslado de tubería Y hacia casa de bomba 2.
2.- Cambio de tubería Y en ingreso de la linea 2 hacia CB2.
3.- Cambio de carrete de 12" en descarga de bomba 213-293.
4.- Cambio de carrete en CB1.
5.- Habilitación de tubería Y con reducción de 24" a 14" en linea de descarga de bomba 213-364.
</t>
  </si>
  <si>
    <t xml:space="preserve">🗓️"🚢 M/V ""MINERAL KAEDE”
✅ CONTROL DE CALIDAD
 📌 Fe             =  69.6
 📌 S               = 0.190
 📌 Cu             = 0.002
 📌 H2O          = 7.67
 📌 Na2O        = 0
 📌 K2O          = 0
 📌 Alcalis      = 0
 📌 Zn             = 0.007
- - - - - - - - - - - - - - - - - - - - -
✅ INCIDENCIAS
📌06:15/07:40 Falla instrumentacion Faja 014-030 Activación de todos los pull cord
📌 BOMBA 213-367 B trabajos de mecánicos en el sello 
✅ OPERACIONES
📌 Inspección y operación sistema de embarque 
📌 BOMBA 213-340 y 341 Trabajando con normalidad 
📌014-031 Limpieza con minicargador 
📌 071-714 Limpieza de motores
✅ ELECTRICO e INSTRUMENTACION  
📌06:15/07:40 FAJA 014-030 parada por falla instrumentacion Faja 014-030 Activación de todos los pull cord
📌071-706 Arreglaron megáfono de chute #46
📌 FAJAS sin indicadores de amperaje en las siguientes fajas:
- 014-031
- 014-030
- 014-029
✅ MECANICO
📌 00:27/0:37 FAJA 071-108 cambio de polines de carga #281. #264
- - - - - - - - - - - - - - - - - - - - -
✅ OO.MM. 🕐  03:00 hrs
📌 Mar   = 0.6m
📌 Vien = 8.7 n
📌 Direc = 152º
✅ BARCOS EN BAHÍA (4)
🚢 SHANDONG HUA ZHANG
🚢 NEW FUTURE
🚢 WILLIAM OLDENDORFF
🚢YH ODYSSEY"	</t>
  </si>
  <si>
    <t xml:space="preserve">1.- CRUDOS: 
C-2 a chute 13 al 15
2.- CHANCADORA:  
Nivel de silos: 111111123
Línea dos en operación con dos chancadoras para los silos 1/9 del chute 12/13
Línea uno en operación con tres chancadoras para el silo 9.y 501.
-Triturado= 2834 t
-Transferido = 2691 t.
-L.1 paró 02:30 a 04:05 hrs para retiro de plancha descarga zaranda 211-025
</t>
  </si>
  <si>
    <t xml:space="preserve">Cto: MF. Operando: RM: 1,2,3,5,6,7,8,9 / BM: 1,2,3,4,5,6,7,8,9,10.
-032-084: Paró 01:14 hrs por arranque Rm08. Stand by
-032-088: Arrancó 01:13 hrs.
-032-089: Arrancó 01:02 hrs
-032-209: Arrancó 01:00 hrs. Revisan sistema de impulsión lenta. Ajustaron pernos de brida de distribuidor 212-893.
TRABAJOS REALIZADOS:
-032-209: Revisan sistema de impulsión lenta.
-032-084: Reparan malla de trommel.
</t>
  </si>
  <si>
    <t xml:space="preserve">-212-893: Reajustan pernos de unión del distribuidor por fuga. Desatoran ciclon, reparan tubo overflow.
-213-817: Mtto bomba, cambio de impulsor y plato succión.
-210-269: Conexión eléctrica, operando.
-210-281: Reparando tina, soldeo de plancha.
</t>
  </si>
  <si>
    <t xml:space="preserve">Línea 1/2/3/4: 8/7/3/Parada
Nivel de Agitadores: 007: 40% / 008: 44% / 050: vacío
*051-151: Cambio de polines de retorno.
*053-023/027: Agregaron aceite caja de transmisión
*051-170: Alinearon faja.
-Línea 4 paro 02:00hrs control de nivel agitadores.
-Dosificando floculante ambos espesadores.
</t>
  </si>
  <si>
    <t xml:space="preserve">CB1
L A x L3 / 124 psi / 2610 gpm
1  horizontal / 1 verticales
Poza 1.9  
R 2 
L 1   105  psi / 3060 gpm
3 horizontales 
CB2
LA x L1 / 71 psi a Shx
LB x L3 / 70 psi a  Shx
Choclon 213-655 / 1240 gpm / 137 psi
Muelle   # 3
Tk 338  15ft
Tk 250   27ft
</t>
  </si>
  <si>
    <t xml:space="preserve">Bombas de Captación # 1/5
Bombas de Envío a Pqt 7 # 2/3
Bomba de Envío a Filtros # 4
SF: 11 | UF: 12 | RO: 16
TK Pqt 7 = 7.33 m 
TK Filtros = 1.71 m
Flujo de envío a Filtros = 425 m3/h
Flujo envío pqt7 560 m3/h
Conductividad: 1018 uS/cm
</t>
  </si>
  <si>
    <t xml:space="preserve">M/V " MINERAL KAEDE”
🟫 INICIO
📆 10/09/2026   🕐 06:15 hrs
- - - - - - - - - - - - - - - - - - - - - - - - - -
🟩 DATOS DE EMBARQUE
◼️	Envío: 
Tolva 1, Rotopala pila 1 , trabajando con 2 tractores.
◼️ Producto:	FKPS
◼️ Total a embarcar:	 171095 TM
◼️ Total abordo:	96000  TM
◼️ Tonelaje jornada:	  15700TM
- - - - - - - - - - - - - - - - - - - - - - - - - -
◼️Eficiencia:		91%
◼️Disp. Mantenimiento:	93%
◼️Disp. Operativa:	90%
◼️Régimen efectivo:	4694 TM
◼️Régimen general :	4220 TM
- - - - - - - - - - - - - - - - - - - - - - - - - -
🟧 CONTROL DE CALIDAD  %
 ◼️ Fe		=	69.6
 ◼️ S		=	0.202
 ◼️ H2O	= 	7.69
 ◼️ Na2O	= 	0.085
 ◼️ K2O	=	0.042
 ◼️ Cu		=	0.002
◼️ Zn		= 	0.007
- - - - - - - - - - - - - - - - - - - - - - - - - -
🟫 OPERACIONES
▫️Bombas 213-367, se trabajó solo con la bomba A, sin rebose hacia la canaleta.
▫️Faja 071-108, se realizo la limpieza de chute
▫️Faja 071-716, se realizo la limpieza de tina constantemente.
▫️Se realizo limpieza de chutes en seco.
🟫 MECANICOS
▫️071-706, Se regresa a su posicion la media luna.
▫️014-029, Se realiza cambio de polin de retorno#400 desbocado.
▫️071-108,  Se realizo cambio de polin de carga desbocado.
- - - - - - - - - - - - - - - - - - - - - - - - - -
🟦 OO.MM. 🕐 05:00 hrs
▫️ Mar   =  0.3 metros
▫️ Vien  =  7.2 nudos
▫️ Direc =  148°
- - - - - - - - - - - - - - - - - - - - - - - - - -
🟦 BARCOS EN BAHIA
🚢 YH ODISSEY
🚢 NEW FUTURE
🚢 MINERAL KEVIN
🚢 WILLIAM OLDENDORFF
</t>
  </si>
  <si>
    <t>13 AL 15  / 1 al 5</t>
  </si>
  <si>
    <t>1, 2, 4</t>
  </si>
  <si>
    <t>3h</t>
  </si>
  <si>
    <t>TRABAJOS:
210 400 :Cambio de correa de transmisión 
210 401: Reparación de chute, cambio de tapón de sellado de reductor 
211 051: Habilitado de blindajes para chute 
211 140: Instalación de grapas en pisos greiting 
021 132: Se continua instalación de tuberías de agua para duchas</t>
  </si>
  <si>
    <t>8/6/3/0
*Filtro 053-031: Se cambia el pin del selenoide lado "A".
*Faja 051-152: Se cambió 1 polín de retorno.
*Faja 051-151: Se cambió 1 polín de retorno.
*Faja 051-150: Se cambió 1 polín cargador.
*Faja 051-185: Se cambió 1 polín de retorno.
*Faja 051-170: Personal de fajas reparan el empalme.
*Faja 051-186: Se repuso el sistema de frenado queda operativo.
*Filtro 053-012: Se cambió válvula de la purga del tanque de aire.
*Filtro 053-033: Se continúa con la reparación de la tina.
*Pozos barometricos: Se cambió niple a la línea de agua para limpieza de los spigots.
*Bomba 213-333: Eléctricos conectan motor y se prueba rotación. Mecánicos alineando motor-bomba.
*Se continua con el agregado de floculante a los espesadores 053-002/003.
Linea 1-2-3 al 100% agua desalinizada.
Bombas de vacio linea 1-2-3 con agua desalinizada.</t>
  </si>
  <si>
    <t>1. Se realizará  la toma de SDI de 5 y 15 minutos: OUT SF, IN RO, IN F.C, SF#03. 
2. RO#10 inspección de alarma de válvula de ingreso y válvula de venteo.
3. Se continua con los trabajos de soldadura parte superior del contenedor de la UF #09.
4. RO#09 se realizo inspección de membranas en los tubos 1-3;1-7;1-6
5. Limpieza sala eléctrica 100.
6. ⁠Inspección del display del calentador CIP UF.
7. ⁠Bomba#02 de retro lavado de UF se retiro el ventilador para su inspección.</t>
  </si>
  <si>
    <t>Limpieza con Bot Cat en filtros stock auxiliar</t>
  </si>
  <si>
    <t>Nivel de silos: 333 232 333</t>
  </si>
  <si>
    <t>-Transferido = 1353 t.</t>
  </si>
  <si>
    <t>No hubo parada de molinos.</t>
  </si>
  <si>
    <t>210-298B, cambiando de tambor, alineando motor.</t>
  </si>
  <si>
    <t>213-808, cambio bomba completa.</t>
  </si>
  <si>
    <t>210-107, soldaron plancha en canal de descarga.</t>
  </si>
  <si>
    <t>213-136, retiran motor, acondicionaron bases para instalación de motor.</t>
  </si>
  <si>
    <t>213-817, terminan mantenimiento-operando</t>
  </si>
  <si>
    <t>039-272 reparan paleta.</t>
  </si>
  <si>
    <t>Línea 1/2/3/4: 8/7/3/Parada</t>
  </si>
  <si>
    <t>Nivel de Agitadores: 007: 30% / 008: 40% / 050: vacío</t>
  </si>
  <si>
    <t>Línea 1/2/3 y bombas con agua desalinizada</t>
  </si>
  <si>
    <t>*053-010, ajustan cabezal lado A.</t>
  </si>
  <si>
    <t>Bombas de Captación # 1/5</t>
  </si>
  <si>
    <t>TK Pqt 7 = 7.33 m</t>
  </si>
  <si>
    <t>TK Filtros = 1.71 m</t>
  </si>
  <si>
    <t>Flujo de envío a Filtros = 425 m3/h</t>
  </si>
  <si>
    <t>Flujo envío pqt7 560 m3/h</t>
  </si>
  <si>
    <t>Conductividad: 1018 uS/cm</t>
  </si>
  <si>
    <t>LA x L1 / 67 psi a shouxin</t>
  </si>
  <si>
    <t>LB x L3 / 67 psi a shouxin</t>
  </si>
  <si>
    <t>Choclón 213-655 / 1240 gpm / 125 psi</t>
  </si>
  <si>
    <t>Tk 338= 19.5ft</t>
  </si>
  <si>
    <t>Tk 250= 24.7ft.</t>
  </si>
  <si>
    <t>* Trabajando l bomba de recuperación 21-124</t>
  </si>
  <si>
    <t>M/V " MINERAL KAEDE”</t>
  </si>
  <si>
    <t>Total abordo: 162,137 TM</t>
  </si>
  <si>
    <t>🟦 BARCOS EN BAHIA (4)</t>
  </si>
  <si>
    <t xml:space="preserve">1.- CRUDOS: 
C-7 a chute de 1 al 5
C-2 a chute 13,14,15
2.- CHANCADORA:  
Nivel de silos: 4.4.4. 1.1.2. 3.4.3.
Línea dos en operación con dos chancadoras para los silos 1/9 del chute 12/13
Línea uno en operación con tres chancadoras para el silo 9.y 501.
-Triturado= 2518 t
-Transferido = 2310 t.
</t>
  </si>
  <si>
    <t xml:space="preserve">Cto: MF. Operando: RM: 1,2,3,5,6,7,8,9 / BM: 1,2,3,4,5,6,7,8,9,10.
-No hubo parada de molinos
TRABAJOS REALIZADOS:
-032-204: Soldando soporte para motor auxiliar.
</t>
  </si>
  <si>
    <t xml:space="preserve">-213-136: cambiaron motor
-213-480: Cambio de valvula de agua de dilución.
-213-654: Instalan tubo de succión, empalmando mangueras de descarga.
-213-653: Fuera de servicio por bocina rota, se paró bomba.
-213-243: Cambio de fajas.
-213-808: Revisando bomba por ruido interior.
-210-107: Reparan canal de descarga.
-210-298B: Alinean motoreductor.
</t>
  </si>
  <si>
    <t xml:space="preserve">Línea 1/2/3/4: 8/7/3/Parada
Nivel de Agitadores: 007: 55% / 008: 46% / 050: vacío
-Tres líneas con agua desalinizada.
-Dosificando floculante ambos espesadores.
</t>
  </si>
  <si>
    <t xml:space="preserve">CB1
L A x L3 / 122 psi / 2587 gpm
1  horizontal / 1 verticales
Poza  2.53mts
R 2 
L 1   102  psi / 3035 gpm
3 horizontales 
CB2
LA x L1 / 66 psi a Shx
LB x L3 / 59 psi a  Shx
Choclon 213-655 paró 23:50 hrs por generar bajo flujo.
Muelle   # 5
Tk 338  18ft
Tk 250   29ft
-213-124: Operando
</t>
  </si>
  <si>
    <t xml:space="preserve">Bombas de Captación # 1/2
Bombas de Envío a Pqt 7 #2/3
Bomba de Envío a Filtros # 4
SF: 11 | UF: 12 | RO: 16
TK Pqt 7 = 7.06 m 
TK Filtros = 4.38 m
Flujo de envío a Filtros = 350 m3/h
Flujo envío pqt7 647 m3/h
Conductividad: 1020 uS/cm
</t>
  </si>
  <si>
    <t xml:space="preserve">M/V " MINERAL KAEDE”
🟫 INICIO
📆 10/09/2026   🕐 06:15 hrs
🟫 PLEA
📆 11/09/2026   🕐 20:57 hrs
Reinicio
12/09/2026
01:45 hrs
- - - - - - - - - - - - - - - - - - - - - - - - - -
🟩 DATOS DE EMBARQUE
◼️	Envío: 
Tolva 1, Rotopala pila 5 , trabajando con 3 tractores.
◼️ Producto:	FKPS
◼️ Total a embarcar:	 171095 TM
◼️ Total abordo:	 166000 TM
◼️ Tonelaje jornada:	  12900 TM
- - - - - - - - - - - - - - - - - - - - - - - - - -
◼️Eficiencia:		91%
◼️Disp. Mantenimiento:	93%
◼️Disp. Operativa:	76%
◼️Régimen efectivo:	4700 TM
◼️Régimen general :	3551 TM
- - - - - - - - - - - - - - - - - - - - - - - - - -
🟧 CONTROL DE CALIDAD  %
 ◼️ Fe		=	69.2
 ◼️ S		=	0.209
 ◼️ H2O		= 	7.82
 ◼️ Na2O	= 	0.081
 ◼️ K2O		=	0.041
 ◼️ Cu		=	0.002
◼️ Zn		= 	0.009
- - - - - - - - - - - - - - - - - - - - - - - - - -
🟫 OPERACIONES
▫️Bombas 213-367, se trabajó solo con la bomba A, sin rebose hacia la canaleta.
▫️Faja 071-108, se realizó la limpieza de chute
▫️Faja 071-716, se realizó la limpieza de tina constantemente.
▫️Se realizó inspección de equipos durante la PLEA.
🟫 MECANICOS
▫️071- 108, Se realizo cambio de polin de carga central #357.
▫️014-030, Se realiza cambio de polin de retorno# 336.
▫️071- 714, Se realiza cambio de polin de carga # 80
🟫 DEMORAS
▫️01:45 - 02:00, Desalinemiento por condiciones climaticas de la faja 071-108.
▫️02:00 - 02:15, Inspeccion de motor A de la faja 071-108.
▫️02:15 - 02:25, Descarga de mineral de la faja 071-108.
▫️02:25 - 02:40, Desalinemiento por condiciones climaticas de la faja 071-108.
▫️02:40 - 03:00, Descarga de mineral de la faja 071-108.
▫️03:00 - 03:25, Desalineamiento de la faja 071-714.
▫️04:25 - 04:40, Desalinemiento por condiciones climaticas de la faja 071-108.
▫️04:40 - 04:52, Alineamiento de la faja 071- 108.
- - - - - - - - - - - - - - - - - - - - - - - - - -
🟦 OO.MM. 🕐 05:00 hrs
▫️ Mar   =  0.5 metros
▫️ Vien  =  6.2 nudos
▫️ Direc =  135°
- - - - - - - - - - - - - - - - - - - - - - - - - -
🟦 BARCOS EN BAHIA
🚢 YH ODISSEY
🚢 NEW FUTURE
🚢 MINERAL KEVIN
🚢 WILLIAM OLDENDORFF
</t>
  </si>
  <si>
    <t>13al 14</t>
  </si>
  <si>
    <t>1,3,5,</t>
  </si>
  <si>
    <t>M/V “NEW FUTURE"</t>
  </si>
  <si>
    <t xml:space="preserve"> 12/09/2026   🕐 10:05 hrs</t>
  </si>
  <si>
    <t>TRABAJOS:
211 140: Cambio de malla inferior 
210 400: Desmontaje de tambor separador magnético 
022 130: Chancadora queda desatorado, operativo.
Pendiente:
Reestablecer energia en sinter calibrado.</t>
  </si>
  <si>
    <t xml:space="preserve">1. Se realizará la toma de SDI de 5 y 15 minutos : OUT SF, IN RO,IN F.C, SF#03
2. ⁠LQ de la UF#02 
3. ⁠Se va colocar visagras en los tableros de las UF´s4.  Mantenimiento al ventilador de la bomba N°02 de Retrolavado de UF
5. Se va continuar con los trabajos de esmerilado y trabajos de soldadura en el contenedor de la UF#09, cuando pare la llovizna.
6. SF#01 mantenimiento de actuadores y posicionadores de las válvulas de venteo.
7. ⁠⁠UF#06 se retira diafragma del filtro autolimpiante para su inspección.
8. ⁠Se dosifica NaClO desde captación.
</t>
  </si>
  <si>
    <t>Limpieza de area de tanque 402-026</t>
  </si>
  <si>
    <t xml:space="preserve">1.- CRUDOS: 
C-2 a chute 13/14, paró 02:00 hrs por control de stock.
2.- CHANCADORA:  
Nivel de silos: 
Línea dos en operación con dos chancadoras para los silos 1/9 del chute 12/13
Línea uno en operación con tres chancadoras para el silo 9.y 501.
-Triturado= 850 t
-Transferido = 820 t.
-L2 paró 04:45 hrs por Control de nivel de silos.
</t>
  </si>
  <si>
    <t xml:space="preserve">Cto: MF. Operando: RM: 1,2,3,5,6,7,8,9 / BM: 1,2,3,5,6,7,8,9,10.
-No hubo parada de molinos.
TRABAJOS REALIZADOS:
032-204 En proceso de retiro de pernos del bafle ring para cambio.
</t>
  </si>
  <si>
    <t xml:space="preserve">213-114: Cambio de cilindro, impulsor, jebe de sello.
213-214: Cambio de tramo de manguera de descarga, jebe de sello.
210-115: Mtto separador, limpieza de tinas, reinstalación.
</t>
  </si>
  <si>
    <t>039-282: Reparando paletas.</t>
  </si>
  <si>
    <t xml:space="preserve">Línea 1/2/3/4: 8/6/3/Parada
Nivel de Agitadores: 007: 50% / 008: 44% / 050: vacío
Línea 1/2/3 y bombas con agua desalinizada
-053-010: Cambio de sacas programadas.
-Dosificando floculante ambos espesadores.
</t>
  </si>
  <si>
    <t xml:space="preserve">CB1
L A x L3 / 111 psi / 2770 gpm
1 horizontal / 1 verticales
Poza  2.00 
R 2 
L 2   119 psi / 2570 gpm
4 horizontales 
CB2
LA x L1 / 41 psi a shouxin
LC x L3 / 90 psi a shouxin
Choclón 213-655 – Parado.
Muelle   # 5
Tk 338= 18ft
Tk 250= 30ft.
** Bomba de recuperación 213-124, se desempalmó tramo de manguera y liberó. Operando 03:15 hrs.
</t>
  </si>
  <si>
    <t xml:space="preserve">Bombas de Captación # 1/3/5
Bombas de Envío a Pqt 7 # 1/3
Bomba de Envío a Filtros # 4
SF: 10 | UF: 11 | RO: 15
TK Pqt 7 = 7.10 m 
TK Filtros = 3.37 m
Flujo de envío a Filtros = 380 m3/h
Flujo envío pqt7= 540 m3/h
Conductividad: 1020 uS/cm
</t>
  </si>
  <si>
    <t xml:space="preserve">M/V "NEW FUTURE”
🟫 INICIO
📆 12/09/2026   🕐 10:05 hrs
- - - - - - - - - - - - - - - - - - - - - - - - - -
🟩 DATOS DE EMBARQUE
◼️	Envío: 
Tolva 1, Rotopala pila 5 , trabajando con 3 tractores.
◼️ Producto:	FKPS
◼️ Total a embarcar:	 170373 TM
◼️ Total abordo:	 79500 TM
◼️ Tonelaje jornada:	  39700 TM
- - - - - - - - - - - - - - - - - - - - - - - - - -
◼️Eficiencia:		90%
◼️Disp. Mantenimiento:	99.6%
◼️Disp. Operativa:	91%
◼️Régimen efectivo:	4618 TM
◼️Régimen general :	4203 TM
- - - - - - - - - - - - - - - - - - - - - - - - - -
🟧 CONTROL DE CALIDAD  %
 ◼️ Fe		=	69.6
 ◼️ S		=	0.224
 ◼️ H2O		= 7.74
- - - - - - - - - - - - - - - - - - - - - - - - - -
🟫 OPERACIONES
▫️Bombas 213-367, se trabajó solo con la bomba A, sin rebose hacia la canaleta.
▫️Faja 071-108, se realizo la limpieza de chute
▫️Faja 071-716, se realizo la limpieza de tina constantemente.
🟫 MECANICOS
▫️071- 714, Apoyo alineando la tolva 1.
▫️014 - 030, Se regulo limpiador lado cola.
- - - - - - - - - - - - - - - - - - - - - - - - - -
🟦 OO.MM. 🕐 05:00 hrs
▫️ Mar   =  0.3 metros
▫️ Vien  =  7.2 nudos
▫️ Direc =  155°
- - - - - - - - - - - - - - - - - - - - - - - - - -
🟦 BARCOS EN BAHIA
🚢 YH ODISSEY
🚢 MINERAL KEVIN
🚢 WILLIAM OLDENDORFF
</t>
  </si>
  <si>
    <t>2,3,4,</t>
  </si>
  <si>
    <t>1,2,3,5,6,7,8,9,10</t>
  </si>
  <si>
    <t>4H</t>
  </si>
  <si>
    <t>3,12</t>
  </si>
  <si>
    <t>02-201 paro 08:06 a 09:19h., por temperatura aceite lado limpio, se varió rango de temperatura para que ventiladores arranque a 45°C.
032-081 paro 08:06 a 09:20h por el bolas 1
032-088 paro 09:33 a 09:48h falla en el sistema hidrostático.</t>
  </si>
  <si>
    <t>Altura de los silos       
  332222224
Triturado
2310
Transferencia
2309
Con polea arriba y tambores abajo
 Envío de mineral
C2 al chute 12_13_14
Línea dos en operación  con dos chancadoras para los silos 1_9 del chute 12_13.14
Línea uno  en operación con tres chancadoras para el silo 9.y 501.</t>
  </si>
  <si>
    <t xml:space="preserve">Cto: MF. Operando: RM: 1,2,3,5,6,7,8,9 / BM: 1,2,3,5,6,7,8,9,10.
-Rm04: Paró 19:22 a 23:48 hrs por sumidero perforación del 213-651.
-Bolas 04: Arrancó 23:21 hrs para descargar molino.
</t>
  </si>
  <si>
    <t>210-288B se desconecta motor, presenta falla.</t>
  </si>
  <si>
    <t>210-294 A, se paró por arenarse tina- se libero</t>
  </si>
  <si>
    <t>213-653 cambio forro gland, bocina.</t>
  </si>
  <si>
    <t>213-241 corren pernos de anclaje, se coloca base del motor.</t>
  </si>
  <si>
    <t>039-284 A, repara vástago del tapón.</t>
  </si>
  <si>
    <t>039-283D/E, se arenaron agitadores- se liberó.</t>
  </si>
  <si>
    <t xml:space="preserve">Línea 1/2/3/4: 8/6/3/Parada
Nivel de Agitadores: 007: 38% / 008: 42% / 050: vacío
Línea 1/2/3 y bombas con agua desalinizada
-053-010: se realizó mantenimiento.
213-357 cambio jebe de sello y niple.
-Dosificando floculante ambos espesadores.
</t>
  </si>
  <si>
    <t>Bombas de Envío a Pqt 7 # 1/3</t>
  </si>
  <si>
    <t>TK Pqt 7 = 7.18 m</t>
  </si>
  <si>
    <t>TK Filtros = 3.97 m</t>
  </si>
  <si>
    <t>Flujo de envío a Filtros = 370 m3/h</t>
  </si>
  <si>
    <t>Flujo envío pqt7= 600 m3/h</t>
  </si>
  <si>
    <t>Conductividad: 1017 uS/cm</t>
  </si>
  <si>
    <t>LA x L1 / 47 psi a shouxin</t>
  </si>
  <si>
    <t>LC x L3 / 94 psi a shouxin</t>
  </si>
  <si>
    <t>Choclón 213-655 – Parado.</t>
  </si>
  <si>
    <t>Muelle   # 3,12</t>
  </si>
  <si>
    <t>* Trabajando l bomba de recuperación 213-124</t>
  </si>
  <si>
    <t>M/V "New Future”</t>
  </si>
  <si>
    <t xml:space="preserve">1.- CRUDOS: 
C-2 a chute 12,13,14,15
2.- CHANCADORA:  
Nivel de silos: 111133225
Línea dos en operación con dos chancadoras para los silos 1/9 del chute 12/13
Línea uno en operación con tres chancadoras para el silo 9.y 501.
-Triturado= 5100 t
-Transferido = 5050 t.
</t>
  </si>
  <si>
    <t xml:space="preserve">Cto: MF. Operando: RM: 1,2,3,5,6,7,8,9 / BM: 1,2,3,5,6,7,8,9,10.
-Rm03: Paró 19:22 a 23:48 hrs por perforación del sumidero 213-651./ Paró 00:50 hrs por perforación en sumidero 213-233.
-Rm06: Paró 21:35 a 21:47 hrs por atoro en cajón de concentrado descarga sep 210-103/104.
-Rm04: Arrancó 00:52 hrs en reemplazo del Rm03.
-Rm07: Paró 03:45 a 4:25 hrs por parada del bolas 7.
-BM04: Arrancó de 23:21 a 01:10 hrs para descargar molino. Se drena agua del interior e inspecciona forros.
-BM07: Paró 03:45 a 04:20 hrs por falla en sistema hidrostático (bomba de alta #2).
-Rm01: Paró 05:30 hrs por parada del bolas 1.
-BM01: Paró 05:30 a 06:16 hrs por alarma de temperatura de aceite lado condicional.
TRABAJOS REALIZADOS:
-032-204 se giró molino y terminó de ajustar pernos del trommel. Cambio de reten de alimentación, centrado de manguera, montaje de media luna del cajón de descarga. Se realizará retiro de forros dañados. 
</t>
  </si>
  <si>
    <t xml:space="preserve">-213-651: Se reparó sumidero. Operando
-213-311: Mtto de bomba.
*Se realiza agregado medios moledores.
**Celdas nuevas: fase 2 se desatoró bomba de xantato
</t>
  </si>
  <si>
    <t>-039-283D/E, Se liberó agitadores. Operando</t>
  </si>
  <si>
    <t xml:space="preserve">Línea 1/2/3/4: 7/7/3/Parada
Nivel de Agitadores: 007: 30% / 008: 46% / 050: vacío
Línea 1/2/3 y bombas con agua desalinizada
-053-013: Cambio de sacas.
-Dosificando floculante ambos espesadores.
</t>
  </si>
  <si>
    <t xml:space="preserve">CB1
L A x L3 / 119 psi / 2584 gpm
1 horizontal / 1 verticales
Poza: 2.10m
R 2 
L 1   112 psi / 3060 gpm
4 horizontales 
CB2
LA x L1 / 68 psi a shouxin
LC x L3 / 69 psi a shouxin
Choclón Parado.
Muelle   #5/12 
Tk 338= 17ft
Tk 250= 28ft.
** Bomba de recuperación 213-124, operando.
</t>
  </si>
  <si>
    <t xml:space="preserve">Bombas de Captación # 2/3/4
Bombas de Envío a Pqt 7 # 1/2
Bomba de Envío a Filtros #4 
SF: 11 | UF: 12 | RO: 17
TK Pqt 7 = 6.90 m 
TK Filtros = 3.00m
Flujo de envío a Filtros = 390 m3/h
Flujo envío pqt7= 840 m3/h
Conductividad: 1050uS/cm
</t>
  </si>
  <si>
    <t xml:space="preserve">M/V "NEW FUTURE”
🕐TURNO, 19:00 a 07:00 hrs
🗓️ REPORTE 05:00 hrs
13/14 de setiembre del 2026
🟫 INICIO
📆 12/09/2026   🕐 10:05 hrs
- - - - - - - - - - - - - - - - - - - - - - - - - -
🟩 DATOS DE EMBARQUE
◼️	Envío: 
Tolva 1, Rotopala pila 5 , trabajando con 3 tractores.
◼️ Producto:	FKPS
◼️ Total a embarcar:	 170373 TM
◼️ Total abordo:	 167300 TM
◼️ Tonelaje jornada:	  25800 TM
- - - - - - - - - - - - - - - - - - - - - - - - - -
◼️Eficiencia:		83%
◼️Disp. Mantenimiento:	99.4%
◼️Disp. Operativa:	90%
◼️Régimen efectivo:	4326 TM
◼️Régimen general :	3899 TM
- - - - - - - - - - - - - - - - - - - - - - - - - -
🟧 CONTROL DE CALIDAD  %
 ◼️ Fe		=	69.7
 ◼️ S		=	0.228
 ◼️ H2O		= 7.65
 ◼️ Na2O	= 0.082
 ◼️ K2O		= 0.043
 ◼️ Cu	=	0.002
◼️ Zn= 0.011
- - - - - - - - - - - - - - - - - - - - - - - - - -
🟫 OPERACIONES
▫️Bombas 213-367, se trabajó solo con la bomba A, sin rebose hacia la canaleta.
▫️Faja 071-108, se realizo la limpieza de chute
▫️Faja 071-716, se realizo la limpieza de tina constantemente.
▫️Faja 071-716, se
🟫 MECANICOS
▫️014 - 029, Se cambio polin de retorno #503 y carga #207
- - - - - - - - - - - - - - - - - - - - - - - - - -
🟦 OO.MM. 🕐 05:00 hrs
▫️ Mar   =  0.3 metros
▫️ Vien  =  3.6 nudos
▫️ Direc =  142°
- - - - - - - - - - - - - - - - - - - - - - - - - -
🟦 BARCOS EN BAHIA
🚢 YH ODISSEY
🚢 MINERAL KEVIN
🚢 WILLIAM OLDENDORFF
🚢AQUA VENTURE
</t>
  </si>
  <si>
    <t>C3</t>
  </si>
  <si>
    <t>9 al 14</t>
  </si>
  <si>
    <t>1,2,</t>
  </si>
  <si>
    <t>3 chancadoras C2 / 3chancadoras C7</t>
  </si>
  <si>
    <t>M/V YH ODYSSEY</t>
  </si>
  <si>
    <t>53,000TM</t>
  </si>
  <si>
    <t>5,12</t>
  </si>
  <si>
    <t xml:space="preserve">TRABAJOS:
021 036: Cambio de deflectoras,cambio de repisa de impacto 
211 140: Cambio de blindajes de chute de finos..
021 119: Cambio de polin de retorno 
211 051: Cambio de perno en blindajes lado alimentación 
211 051: Instalación de blindajes en chute nuevo
</t>
  </si>
  <si>
    <t>Nivel de silos: 132 223 222</t>
  </si>
  <si>
    <t>-Transferido = 1452 t.</t>
  </si>
  <si>
    <t>Planta mitigación paro por falta de aire a las electroválvulas, el acumulador tiene aire, pero no transfiere a los tks que accionan estas válvulas, necesita cambiar válvula de 1 ½ plg, personal mecánico planta magnética atenderá este pendiente.</t>
  </si>
  <si>
    <t>032-201, paro 18:21 a 19:08h por cambiar bomba y acondicionar tubería del nuevo ventilador de aceite del reductor.</t>
  </si>
  <si>
    <t>032-082, paro 18:05 a 19:09h por parada del bolas 1.</t>
  </si>
  <si>
    <t>032-081 arranco 21:43h dieron pase de probar sistema hidrostático.</t>
  </si>
  <si>
    <t>032-081 paro 21:45, queda como no requerido.</t>
  </si>
  <si>
    <t>032-204, cambiando forros elevadores del Shell, lado descarga, se cortaron forros a medida en maestranza, instalando.</t>
  </si>
  <si>
    <t>213-241, cambiando base del motor</t>
  </si>
  <si>
    <t>213-431, reparan mochila de descarga.</t>
  </si>
  <si>
    <t>213-393, cambio niple de agua</t>
  </si>
  <si>
    <t>210-276 se revisa forro está en buen estado, le falta presión de agua.</t>
  </si>
  <si>
    <t>210-270, se rompe vástago en el distribuidor- pendiente retiro luego de parar línea 10.</t>
  </si>
  <si>
    <t>Línea 1/2/3/4: 7/7/2/Parada</t>
  </si>
  <si>
    <t>-053-039: cambio jebe de sello lado A.</t>
  </si>
  <si>
    <t>Bombas de Captación # 1/2</t>
  </si>
  <si>
    <t>Bomba de Envío a Filtros #4</t>
  </si>
  <si>
    <t>SF: 11 | UF: 12 | RO: 17</t>
  </si>
  <si>
    <t>TK Pqt 7 = 6.116 m</t>
  </si>
  <si>
    <t>TK Filtros = 3.30m</t>
  </si>
  <si>
    <t>Flujo de envío a Filtros = 323 m3/h</t>
  </si>
  <si>
    <t>Flujo envío pqt7= 646 m3/h</t>
  </si>
  <si>
    <t>Conductividad: 1040uS/cm</t>
  </si>
  <si>
    <t>LA x L1 / 64 psi a shouxin</t>
  </si>
  <si>
    <t>LC x L3 / 68 psi a shouxin</t>
  </si>
  <si>
    <t>Choclón Parado.</t>
  </si>
  <si>
    <t>Muelle   #5/12</t>
  </si>
  <si>
    <t>Tk 338= 18ft</t>
  </si>
  <si>
    <t>Tk 250= 28ft.</t>
  </si>
  <si>
    <t>** Bomba de recuperación 213-124, operando.</t>
  </si>
  <si>
    <t>S=0.220</t>
  </si>
  <si>
    <t>H2O=8.0</t>
  </si>
  <si>
    <t xml:space="preserve">1.- CRUDOS: 
C-2 a chute 12_13_14_9_10_11.
2.- CHANCADORA:  
Nivel de silos: 3.1.2.2.3.3.3.3.3
Línea dos en operación con dos chancadoras para los silos 1/9 del chute 12/13
Línea uno en operación con tres chancadoras para el silo 9.y 501.
-Triturado= 3621 t
-Transferido = 3600 t.
**Planta mitigación 01:00 hrs entro en operación.
</t>
  </si>
  <si>
    <t xml:space="preserve">Cto: MF. Operando: RM: 1,3,4,5,6,7,8,9 / BM: 1,2,3,5,6,7,8,9,10.
032-084: Paró 01:45 a 02:36 hrs por parada del bolas 10.
032-210: Paró 01:58 a 02:34 hrs por pérdida de carga por canal de alimentación, se reparó.
TRABAJOS REALIZADOS:
-032-204, cambio de forros elevadores del Shell, se calafatea tapa lado descarga, en proceso de instalación de malla reten y acoplamiento de manguera alimentación.
</t>
  </si>
  <si>
    <t xml:space="preserve">-213-241, instalan motor en base nueva, sueldan pernos reguladores, en proceso de alineamiento.
-Se reparó tolvin de agregado.
*Se realiza agregado medios moledores.
</t>
  </si>
  <si>
    <t xml:space="preserve">Línea 1/2/3/4: 7/7/2/Parada
Nivel de Agitadores: 007: 30% / 008: 42% / 050: vacío
Línea 1/2/3 y bombas con agua desalinizada
-053-029: Cambio de plato de jebe, sueldan brazo del cabezal lado B.
-Dosificando floculante ambos espesadores.
</t>
  </si>
  <si>
    <t xml:space="preserve">CB1
L A x L3 / 117 psi / 2587 gpm
1 horizontal / 1 verticales
Poza: 2.4.m
R 2 
L 1   107 psi / 3122 gpm
4 horizontales 
CB2
LA x L1 / 60 psi a shouxin
LC x L3 / 69 psi a shouxin
Choclón Parado.
Muelle   #5
Tk 338= 17ft
Tk 250= 27ft.
** Bomba de recuperación 213-124, operando.
</t>
  </si>
  <si>
    <t xml:space="preserve">Bombas de Captación # 1/2
Bombas de Envío a Pqt 7 # 1/2
Bomba de Envío a Filtros # 4
SF: 11 | UF: 12 | RO: 16
TK Pqt 7 = 6.28 m 
TK Filtros = 3.60 m
Flujo de envío a Filtros = 348 m3/h
Flujo envío pqt7= 642 m3/h
Conductividad: 1041 uS/cm
</t>
  </si>
  <si>
    <t xml:space="preserve">🚢M/V YH ODYSSEY
Material: FKPS
✅Inicio de embarque: 
🗓️14-09-2026🕰️10:35hrs
📍Peso a embarcar: 163,220TM
📍Peso por balanza: 82,000TM
⚖️Faltante a embarcar: 81,220TM
- - - - - - - - - - - - - - - - - - - - - -
CALIDAD M/V YH ODYSSEY
S=0.220
H2O=8.0
•••••••••••••••••••••••••••••••••
🔹 TRABAJO REALIZADOS
✅OPERACIONES 
📌Bombas 213-367, trabajando con bomba B, flujo normal
📌Inspección y reporte constante de sistema de embarque.
📌071-706:Limpieza de polea tensora lado motriz y lado cola
📌071-716:Limpieza de chumaceras en lado cola y motriz
📌071-108:Se corta lengüeta lado angosto
📌014-029:Limpieza retorno lado motriz
🔹TIEMPO a las 05:00hrs
● Mare:0.75 m
● Viento: 13 nudos
● Dirección:160°
🔹BARCOS EN BAHÍA (3):
🚢 M/V MINERAL KEVIN
🚢 M/V WILLIAN OLDENDORFF
🚢 M/V AQUA VENTURE
</t>
  </si>
  <si>
    <t>2, 3</t>
  </si>
  <si>
    <t>1,2.</t>
  </si>
  <si>
    <t>1,2,5,6,7,8,9</t>
  </si>
  <si>
    <t>1,2,3,4,5,6,7,8,9</t>
  </si>
  <si>
    <t>TRABAJOS:
211 051 hacia 632: Cambio de blindajes 
211 051: Cambio de mandil lado descarga
021 036: Soldeo de plancha de impacto lado alimentación 
021 014: Cambio de pólin de retorno 
021 059: Cambio de polines de retorno 
021 012: Limpieza y engrase de rodamiento de polea de balanza
021 132: Se habilita portamandiles 
211 051: Instalación de blindajes en chute.
PENDIENTE:
faja 021012 en planta chancadora, detector de metales ubicado en esta faja detecta el metal pero no para la faja, este riesgo es alto debido a que puede ocasionar atoro de chutes, chancadoras, rotura fajas, etc, se requiere una atencion inmediata para solucionar este problema, por seguridad y evitar eventos estams a la espera q solucionen el problema para el reinicio de arranque de linea 1</t>
  </si>
  <si>
    <t>8/6/3/0
* 213-398 se cambia cilindro de bomba
*213-333: Se ajusta tapas de bomba..
*Se continua con el agregado de floculante a los espesadores 053-002/003.
* 053-013 mentenimiento por cambio de sacas
Linea 1-2-3 al 100% agua desalinizada.
Bombas de vacio linea 1-2-3 con agua desalinizada.</t>
  </si>
  <si>
    <t xml:space="preserve">1. Se realizará  la toma de SDI de 5 y 15 minutos: OUT SF, IN RO, IN F.C, SF#03. 
2. SF#04 cambio de actuadores y posicionadores válvulas de venteo.
3. RO#04 cambio de bomba de alta por vibración alta. 
4. Culminación de montaje de tubería de descarga  bomba#05 de captación.
5. ⁠Cambio de sensor de ORP en línea de alimentación a RO.
6. ⁠Mejoramiento de estructura de contenedor UF#09.
7. UF#05 esmerilado y pintado del contenedor⁠
</t>
  </si>
  <si>
    <t>Se atiende descarga de barco petrolero de diesel</t>
  </si>
  <si>
    <t xml:space="preserve">1.- CRUDOS: 
C-2 a chute 12 al14.
2.- CHANCADORA:  
Nivel de silos: 4.2.1.1.2.3.3.2.4
Línea dos en operación con dos chancadoras para los silos 1/9 del chute 12/13
Línea uno en operación con tres chancadoras para el silo 9.y 501.
-Triturado= 4942 t
-Transferido = 4940 t.
</t>
  </si>
  <si>
    <t xml:space="preserve">Cto: MF. Operando: RM: 1,2,5,6,7,9 / BM: 1,2,3,4,5,6,7,9,10.
032-208 arrancó en vacío 03:35 hrs, acoplado con carga 03:47 hrs.
032-088: arrancó 03:50 hrs.
032-210: se instaló 10 filas del Shell y 8 elevadores de ambas tapas, se giró molino dos veces.
TRABAJOS REALIZADOS:
-032-208: Personal de maestranza verificó medida del eje del motor y diámetro interior del babbit del molino, se concluye asentado, realizan procedimiento de armado y cambio de aceite. Monitoreo de temperatura pedestal lado embrague.
-032-201: Se reguló relay de sobrecarga de ventiladores #2 y #4. Operando
</t>
  </si>
  <si>
    <t xml:space="preserve">-213-802 mantenimiento de bomba.
-213-241: Se repone tubo de succión, jebe de sello, manguera, instalando guarda.
-212-897: Desatoran ciclones.
*Se realiza agregado medios moledores.
</t>
  </si>
  <si>
    <t xml:space="preserve">Línea 1/2/3/4: 7/7/3/Parada
Nivel de Agitadores: 007: 50% / 008: 40% / 050: vacío
Línea 1/2/3 y bombas con agua desalinizada
-053-037: se vistió con sacas nuevas.
-053-023: Cambio de jebe de sello lado B.
Dosificando floculante ambos espesadores.
</t>
  </si>
  <si>
    <t xml:space="preserve">CB1
L A x L3 / 109 psi / 2689 gpm
1 horizontal / 1 verticales
Poza: 2.50.m
R 2 
L 2   101 psi / 2760 gpm
3 horizontales 
CB2
LA x L1 / 44 psi a shouxin
LC x L3 / 81 psi a shouxin
Choclón Parado.
Muelle   #5
Tk 338= 18ft
Tk 250= 27ft.
** Bomba de recuperación 213-124, operando.
</t>
  </si>
  <si>
    <t xml:space="preserve">Bombas de Captación # 1/2
Bombas de Envío a Pqt 7 # 2/3
Bomba de Envío a Filtros # 4
SF: 12 | UF: 13 | RO: 17
TK Pqt 7 = 5.14 m 
TK Filtros = 2.44 m
Flujo de envío a Filtros = 320 m3/h
Flujo envío pqt7= 670 m3/h
Conductividad: 1030 uS/cm
</t>
  </si>
  <si>
    <t xml:space="preserve">***M/V YH ODYSSEY
Material: FKPS
✅Inicio de embarque: 
🗓️14-09-2026🕰️10:35hrs
✅Parada por PLEA:
🗓️16-09-2026🕰️01:25hrs
📍Peso a embarcar:163,220TM
📍Peso por balanza:156,169TM
⚖️Faltante a embarcar:7,051TM
- - - - - - - - - - - - - - - - - - - - - -
⚪️Embarque parado por PLEA desde las 01:25 Hrs.
•••••••••••••••••••••••••••••••••
🔹 TRABAJO REALIZADOS
✅OPERACIONES 
📌Bombas 213-367, trabajando solo con la bomba A, sin rebose hacia la canaleta.
📌Inspección y reporte constante de sistema de embarque.
📌071-716:Limpieza de polea de cola
📌071-706:Limpieza de polea de cola y polea dobladora
📌014-031:Limpieza de Polea dobladora y plataforma torre nueva
📌014-031:Limpieza TT#03 lado cola primer nivel
📌071-108:Limpieza de tina lado motriz
📌071-714:Limpieza chute
📌071-710:Limpieza chute
📌071-712:Limpieza chute
📌071-081:Limpieza chute
📌071-108:Limpieza chute y limpieza lado cola, loza
📌071-800:Limpieza chute
📌014-029:Limpieza chute y avanze liberando polea tensora lado motriz
📌Rotopala:Limpieza chute anular
✅MECANICOS 
📌014-029:Cambio polin#295 carga central
✅FAJAS 
📌071-801:Intervienen empalme aplicando jebe liquido
🔹TIEMPO a las 01:00hrs
● Marea:0.75 m
● Viento:8 nudos
● Dirección:170°
🔹BARCOS EN BAHÍA (4):
🚢M/V MINERAL KEVIN
🚢M/V WILLIAN OLDENDORFF
🚢M/V AQUA VENTURE
🚢M/V AUSPICIOUS
</t>
  </si>
  <si>
    <t>1, 3, 4</t>
  </si>
  <si>
    <t>1,3.</t>
  </si>
  <si>
    <t>1,2,5,6,8,9</t>
  </si>
  <si>
    <t>1,2,3,4,5,6,8,9</t>
  </si>
  <si>
    <t>M/V WILLIAM OLDENDORFF</t>
  </si>
  <si>
    <t>TRABAJOS:
021 045: Se instala 2 bases comando de carga 
211 140: Cambio de 4 blindajes de 12x 24" lado alimentación 
021 059: Lado polea de cola cambio de límpia faja
021 132:  Regulación de mandiles 
211 051: Habilitado e instalación de blindajes en chute
021 132: Habilitado de planchas portamandiles</t>
  </si>
  <si>
    <t>7/7/3/0
* 053-037 Se retiro barril central
* 213-350 se coloca malla en la guarda
* 051-187/188 Se cambia malla grating del piso.
* 053-039 Se cambio manguera de alimetación
* 457-601 ⁠Habilitado de planchas para fabricación de ducto de ventilación.
Linea 1-2-3 al 100% agua desalinizada.
Bombas de vacio linea 1-2-3 con agua desalinizada7</t>
  </si>
  <si>
    <t xml:space="preserve">1. Se continua con la toma de SDI de 5 y 15 minutos: OUT SF, IN RO,IN F.C, SF#03
2. ⁠Mantenimiento de posicionadores de venteo de la SF#04
3. ⁠Se continua con el acoplamiento en la línea de descarga de la bomba de captación N°05
4. ⁠Se continua con los trabajos de mejoramiento en el contenedor de la UF#05
5. Inspección de la válvula de Retrolavado de la UF#08, se encuentra en buenas condiciones
6. Se está inspeccionando la válvula de 10” de ingreso en la UF#03
</t>
  </si>
  <si>
    <t>Se termimno la descarga de barco petrolero a las 11:18 /11:49 desconexión de manguera / se revisa lineas de descarga y se baja la presión.</t>
  </si>
  <si>
    <t>Nivel 332/143/332
Trit 2506
Transf 2400
Con polea arriba y abajo con tambores 
Emvio de mina 
C-2 a chute de 9 al 15
L.1 en operación con tres Chanc para R Esp silos 501 y C-2 para silos 9
L.2 en operación con dos Chanc para silos de 1 al 8</t>
  </si>
  <si>
    <t>032-210, cambiando forros elevadores del Shell y de tapas.</t>
  </si>
  <si>
    <t>210-104: cambio de manguera de alimentacion.</t>
  </si>
  <si>
    <t>213-108: Reparan niple inyector</t>
  </si>
  <si>
    <t>213-393: Reponen pernos brida de descarga</t>
  </si>
  <si>
    <t>039-275: Reparan paletas</t>
  </si>
  <si>
    <t>M/V YH ODYSSEY
Material: FKPS
🔘N° de viaje: 03302
✅Inicio de embarque: 
🗓️14-09-2026🕰️10:35hrs
✅Fin de barco.
🗓️16-09-2026🕰️20:30hrs
📍Peso por balanza:163845TM
- - - - - - - - - - - - - - - - - - - - - -
✅EMBARCADO POR CONTROL 4
》Mineral: FKPS
 ▪️Eficiencia:91%
▪️ Disponibilidad operativa:60%
▪️ Disponibilidad mantenimiento:95%
▪️ Régimen general:4714TM
▪️ Régimen efectivo:2829TM
⚖️ Tonelaje en el turno:4600TM
-- - - - - - -- - - - - -- - - - - -- - - 
🔹STACKER 2 TRANSFERENCIA
● Apilando en Tolva 1
 - - - - - - - - - - - - - - - - - - - - - 
CALIDAD M/V YH ODYSSEY
Fe=69.5
S=0.214
H2O=8.13
Na2O=0.084
K2O=0.054
Alcalis=0.143
Cu=0.002
Zn=0.015
- - - - - - - - - - - - - - - - - - - - - - 
🔹 INCIDENCIAS
⚪️19:00:Sistema trabajando con Rotopala=4500TM y tolva2=1500TM.
⚪️18:30-19:15:Draft intermedio.
⚪️19:48-20:03:Cambio de bodega #8 a #2.
⚪️20:30:Fin de barco.
⚪️20:30-20:45:Draf final por SGS.
⚪️20:45-21:45:Maniobra de desatraque M/V YH ODYSSEY.
⚪️23:00: M/V WILLIAN OLDENDORFF en maniobras de atraque
•••••••••••••••••••••••••••••••••
🔹 TRABAJOS REALIZADOS
✅ OPERACIONES 
📌Inspección y reporte constante de sistema de embarque.
📌Gantry:Limpieza de polines de impacto faja 800.
📌071-081:Limpieza de loza.
📌071-714:Liberación de retornos y derrame y mesa conveyor.
📌071-712:Limpieza de polines de retorno.
📌071-710:Limpieza lado cola, pasadizo, poleas de cola, Lado angosto y área contrapeso.
📌071-706:Limpieza del chute
📌014-029:Limpieza en retorno Lado motriz
📌014-030:Limpieza chute y limpieza lado cola
📌014-031:Limpieza de chute e inspección de polietilenos
✅ OPERACIONES
📌071-706 Cambio de tubería y manguera de hidrolina del UPH2
🔹*TIEMPO a las:23:00hrs
● Mare:-metros
● Viento:-nudos
● Dirección:-grados
🔹BARCOS EN BAHÍA (3):
🚢M/V MINERAL KEVIN
🚢M/V AQUA VENTURE
🚢M/V VAN AUSPICIOUS</t>
  </si>
  <si>
    <t>1.- CRUDOS: 
C-2 a chute 12 al 14
2.- CHANCADORA:  
Nivel de silos: 4.4.1. 1.4.3. 2.2.2
Línea dos en operación con dos chancadoras para los silos 1/9 del chute 12/13
Línea uno en operación con tres chancadoras para el silo 9.y 501.
-Triturado= 3306 t
-Transferido = 3200 t.</t>
  </si>
  <si>
    <t>Cto: MF. Operando: RM: 1,2,5,6,7,8,9 / BM: 1,2,3,4,5,6,7,8,9,10.
032-210: se instaló 23 filas del Shell y 15 elevadores de ambas tapas, se giró molino dos veces.
032-207: Paró 04:30 hrs por baja presión de la bomba #2 de alta, se cambíó filtro y arrancó bomba #1 (continua con ruido), se revisará malla por pérdida de conos luego de arranque.
TRABAJOS REALIZADOS:
-032-208: Se continúa monitoreando temperatura del pedestal lado embrague.
-032-210: Beijing continua cambio de forros de tapas y shell.</t>
  </si>
  <si>
    <t>-210-104: Cambio de tramo manguera de alimentación.
-213-233: Refuerzan sumidero.
-213-393: Reponen perno brida descarga.</t>
  </si>
  <si>
    <t>039-275; Reparan paletas.</t>
  </si>
  <si>
    <t xml:space="preserve">Línea 1/2/3/4: 6/7/3/Parada
Nivel de Agitadores: 007: 30% / 008: 38% / 050: vacío
Línea 1/2/3 y bombas con agua desalinizada
-213-333: Cambiaron fajas.
-053-011: Cambio de sacas.
Dosificando floculante ambos espesadores.
</t>
  </si>
  <si>
    <t>CB1
L A x L3 / 111 psi / 2693 gpm
1 horizontal / 1 verticales
Poza: 2.50.m
R 2 
L 1   104 psi / 3159 gpm
4 horizontales 
CB2
LA x L1 /  65psi a shouxin
LC x L3 / 69psi a shouxin
Choclón Parado.
Muelle   #5
Tk 338= 17ft
Tk 250= 28ft.
** Bomba de recuperación 213-124, operando.</t>
  </si>
  <si>
    <t>Bombas de Captación # 1/3
Bombas de Envío a Pqt 7 # 1/2
Bomba de Envío a Filtros # 4
SF: 12 | UF: 13 | RO: 17
TK Pqt 7 = 6.10 m 
TK Filtros = 3.40 m
Flujo de envío a Filtros = 740 m3/h
Flujo envío pqt7= 372 m3/h
Conductividad: 998 uS/cm</t>
  </si>
  <si>
    <t>M/V YH ODYSSEY
Material: FKPS
🔘N° de viaje: 03302
✅Inicio de embarque: 
🗓️14-09-2026🕰️10:35hrs
✅Fin de barco.
🗓️16-09-2026🕰️20:30hrs
📍Peso por balanza:163845TM
- - - - - - - - - - - - - - - - - - - - - -
🚢M/V WILLIAM OLDENDORFF
Material: FKPS
🔘N° de viaje: 3303
✅Inicio de embarque: 
🗓️17-09-2026🕰️0005Hrs
📍Peso a embarcar:165500TM
📍Peso por balanza:29000TM
⚖️Faltante a embarcar:136500TM
✅EMBARCADO POR CONTROL 4
》Mineral: FKPS
 ▪️Eficiencia:97%
▪️ Disponibilidad operativa:97%
▪️ Disponibilidad mantenimiento:100%
▪️ Régimen general:4901TM
▪️ Régimen efectivo:5043TM
⚖️ Tonelaje en el turno:29000TM
- - - - - - - - - - - - - - - - - - - - - - 
🔹 INCIDENCIAS
⚪️19:00:Sistema trabajando con Rotopala=4500TM y tolva2=1500TM.
⚪️18:30-19:15:Draft intermedio.
⚪️19:48-20:03:Cambio de bodega #8 a #2.
⚪️20:30:Fin de barco.
⚪️20:30-20:45:Draf final por SGS.
⚪️20:45-21:45:Maniobra de desatraque M/V YH ODYSSEY.
⚪️23:00: M/V WILLIAN OLDENDORFF en maniobras de atraque
•••••••••••••••••••••••••••••••••
🔹 TRABAJOS REALIZADOS
✅ OPERACIONES 
📌Inspección y reporte constante de sistema de embarque
📌BOMBA 213-367: Se trabaja solo con bomba A, flujo normal
📌Gantry: Limpieza de polines de impacto faja 800.
📌071-081:Limpieza de loza.
📌071-710:Limpieza lado cola, pasadizo, poleas de cola, Lado angosto y área contrapeso.
📌071-706:Limpieza del chute
📌014-029:Limpieza en retorno Lado motriz
📌014-030:Limpieza chute y limpieza lado cola
📌014-031:Limpieza de chute e inspección de polietilenos
✅ OPERACIONES
📌071-706 Cambio de tubería y manguera de hidrolina del UPH2
🔹*TIEMPO a las:05:00hrs
● Mare:0.75 metros
● Viento:6 nudos
● Dirección: 160°
🔹BARCOS EN BAHÍA (3):
🚢M/V MINERAL KEVIN
🚢M/V AQUA VENTURE
🚢M/V VAN AUSPICIOUS</t>
  </si>
  <si>
    <t>2, 3 4</t>
  </si>
  <si>
    <t>2,3.</t>
  </si>
  <si>
    <t>TRABAJOS:
021 045: Se instala base comando de carga 
021 632: Instalación de tubería de agua para ducha 
211 051: Habilitado e instalación de blindajes en chute 
021 132: Habilitado de portamandiles 
021 014: Cambio de tapa de chute de bisagras a cuñas
275 032: Lubricación de equipos de planta chancadora
021 059: Pegado de empalme.</t>
  </si>
  <si>
    <t>7/7/0/0
*Filtro 053-011: Mantenimiento programado.
*Linea 3 paro a las 12:00hrs por control de nivel de agitadores.
*Faja 051-176: Se repone el freno de la faja.
*Espesador 053-002/003: Se conecta mangueras de 2", trabajos previos para la parada de Relaves.
*Bomba 213-357: Se realiza el cambio de aceite al cilindro.
*Se continúa con el agregado de floculante a los espesadores 053-002/003.
Linea 1-2 al 100% agua desalinizada.
Linea 3 al 100% agua desalinizada hasta las 12:00hrs
Bombas de vacio linea 1-2-3 con agua desalinizada.</t>
  </si>
  <si>
    <t>1. Se realizará  la toma de SDI de 5 y 15 minutos: OUT SF, IN RO, IN F.C, SF#03. 
2. SF#05 cambio de actuadores y posicionadores válvulas de venteo,mantenimiento válvula proporcional .
3. Alineamiento de bomba#03 de agua producida. 
4. Mantenimiento integral del secador#02.
5. ⁠Mejoramiento de estructura de contenedor UF#09.
6. ⁠Trasvase de NaClO en zona de captación.
7. ⁠bomba #01 de retrolavado de UF se realizó limpieza mecánica.
8. ⁠UF#09 se restauró alarma en válvula de descarga inferior.</t>
  </si>
  <si>
    <t xml:space="preserve">Se inicia a vaciar el agua de la tubería de petroleo diesel </t>
  </si>
  <si>
    <t>Nivel de silos: 331 112 133</t>
  </si>
  <si>
    <t>-Triturado= 3368 t</t>
  </si>
  <si>
    <t>-Transferido = 3360 t.</t>
  </si>
  <si>
    <t>032-207: se concluyen trabajos mecánicos, arranco 04:50h</t>
  </si>
  <si>
    <t>032-083 arranco 05:00h reemplazo del barras7.</t>
  </si>
  <si>
    <t>032-210, beijing reponen malla de reten, ajustaron pernos de las tapas, pendiente girar y continuar ajustando pernos del Shell.</t>
  </si>
  <si>
    <t>-032-207: Se continúa monitoreando temperatura del pedestal lado embrague, se mantiene en 69°C.</t>
  </si>
  <si>
    <t>032-201 presenta fuga de carga por manguera alimentación, y fuga de aceite por reten.</t>
  </si>
  <si>
    <t>213-688 se termina mantenimiento.</t>
  </si>
  <si>
    <t>212-897 desatoran ciclones.</t>
  </si>
  <si>
    <t>210-214 instalando cajón de alimentación.</t>
  </si>
  <si>
    <t>Línea 1/2/3/4: 6/7/3/Parada</t>
  </si>
  <si>
    <t>Nivel de Agitadores: 007: 50% / 008: 38% / 050: vacío</t>
  </si>
  <si>
    <t>-053-0123: Cambio de sacas.</t>
  </si>
  <si>
    <t>Línea 1 y 2 pararon por corte de energía stacker transferencia (01:15 a 01:25h).</t>
  </si>
  <si>
    <t>Dosificando floculante ambos espesadores.</t>
  </si>
  <si>
    <t>LA x L1 /  63psi a shouxin</t>
  </si>
  <si>
    <t>LC x L3 / 70psi a shouxin</t>
  </si>
  <si>
    <t>Muelle   #5</t>
  </si>
  <si>
    <t>Tk 250= 26ft.</t>
  </si>
  <si>
    <t>Bombas de Captación # 2/3</t>
  </si>
  <si>
    <t>TK Pqt 7 = 6.98 m</t>
  </si>
  <si>
    <t>TK Filtros = 4.40 m</t>
  </si>
  <si>
    <t>Flujo de envío a Filtros = 625 m3/h</t>
  </si>
  <si>
    <t>Flujo envío pqt7= 415 m3/h</t>
  </si>
  <si>
    <t>Conductividad: 947.8 uS/cm</t>
  </si>
  <si>
    <t>M/V WILLIAN OLDENDORFF</t>
  </si>
  <si>
    <t>Fe=69.6</t>
  </si>
  <si>
    <t>S=0.210</t>
  </si>
  <si>
    <t>NO HAY ENVIO</t>
  </si>
  <si>
    <t>12 al 14</t>
  </si>
  <si>
    <t xml:space="preserve">1, 3 </t>
  </si>
  <si>
    <t>3,4</t>
  </si>
  <si>
    <t>1,4.</t>
  </si>
  <si>
    <t>1,2,4,5,6,8,9</t>
  </si>
  <si>
    <t>1,2,3,4,5,6,8,9,10</t>
  </si>
  <si>
    <t>M/V MINERAL KEVIN</t>
  </si>
  <si>
    <t>✅Inicio de embarque: 19-09-2026🕰️02:50hrs</t>
  </si>
  <si>
    <t>📍Peso por balanza:14000TM</t>
  </si>
  <si>
    <t>5,</t>
  </si>
  <si>
    <t>TRABAJOS:
021 022: Cambio de mandil lado sur,cambio de limpia faja
021 037: Canbio de polin de retorno
021 014: Retiro  de tapas de chute, instalación de pernos en chute posterior
211 051: Instalación de blindajes en chute
021 134: Habilitado de portamandiles
211 050: Habilitado de media malla</t>
  </si>
  <si>
    <t>6/7/3/0
*Filtro 053-023: Mantenimiento programado.
*Faja 051-176: Se realiza mantenimiento a los brazos de accionamiento del freno.
*Bomba 213-409: Se cambia empaquetadura a la caja del sello.
*Bomba 213-333: Se modifica la guarda instalando ventana de inspección.
*Se continúa con el agregado de floculante a los espesadores 053-002/003.
Linea 1-2-3 al 100% agua desalinizada.
Bombas de vacio linea 1-2-3 con agua desalinizada.</t>
  </si>
  <si>
    <t xml:space="preserve">1. Se realizará  la toma de SDI de 5 y 15 minutos: OUT SF, IN RO, IN F.C y de cada unidad de SF el antes y despues cuando entre a su retrolavado.2.   SF#05cambio de actuador  de válvula proporcional.
3. Inspección del motor de bomba#04 SF, se realizó megado de motor. 
4. Continúan los trabajos de mantenimiento integral del secador#02.
5. ⁠Mejoramiento de estructura de contenedor UF#09.
6. LQ de la Ro#02 
7. Orden y limpieza en Captación 
8. ⁠Esmerilado y pintado del contenedor UF#03
</t>
  </si>
  <si>
    <t>Se continua vaciando ducto de petroleo Diesel, se arranca caldera para probar lineas de vapor, para luego acondicionar la bomba y tuberias para vaciar el tanque 402-011</t>
  </si>
  <si>
    <t xml:space="preserve">1.- CRUDOS: 
C-2 a chute 9
2.- CHANCADORA:  
Nivel de silos: 111/111/121
Línea dos en operación con dos chancadoras para los silos 1/9 del chute 12/13
Línea uno en operación con tres chancadoras para el silo 9.y 501.
-Triturado= 1811 t
-Transferido = 1811 t.
</t>
  </si>
  <si>
    <t xml:space="preserve">Cto: MF. Operando: RM: 1,2,3,5,6,8,9 / BM: 1,2,3,4,5,6,7,8,9.
-Barras 4: Arrancó 21:51 hrs 
-Bolas 10: Arrancó 21:06 hrs.
TRABAJOS REALIZADOS:
-032-207: Se retira bronce lado descarga a Maestranza para maquinado. // Empalmando manguera descarga a 213-217.
-032-083 Se realiza asentado de pedestal lado acople, queda habilitado.
-032-087: Reparando malla del trommel.
-032-210, Se giró molino media vuelta se asegura hermeticidad, electiricstas levantan aislamiento de motor. Operando.
</t>
  </si>
  <si>
    <t xml:space="preserve">-210-314B: Se reparo tina y coloco tambor.
-213-233: Repararon sumidero y cambiaron 2 tramos de manguera descarga.
-213-804: cambiaron bomba.
</t>
  </si>
  <si>
    <t xml:space="preserve">Línea 1/2/3/4: 8/7/Parada/Parada
Nivel de Agitadores: 007: 42% / 008: 40% / 050: vacío
Línea 1/2/3 y bombas con agua desalinizada
-467-352: Reparan niple 2” agua enfriamiento.
-051-151: Cambiaron polin de retorno.
-053-023: Cambio de sacas, se vistió.
-19:00 hrs paro línea 3 por nivel de agitadores.
Dosificando floculante ambos espesadores.
</t>
  </si>
  <si>
    <t xml:space="preserve">Bombas de Captación # 3/4
Bombas de Envío a Pqt 7 # 1/2
Bomba de Envío a Filtros # 4
SF: 11 | UF: 12 | RO: 16
TK Pqt 7 = 6.90m 
TK Filtros = 4.44m
Flujo de envío a Filtros = 360 m3/h
Flujo envío pqt7= 720 m3/h
Conductividad: 990 uS/cm
-RO#2 limpieza quimica
</t>
  </si>
  <si>
    <t xml:space="preserve">CB1
L A x L3 / 110 psi / 2840 gpm
1 horizontal / 1 verticales
Poza: 3.30 m
R 2 
L 12   97 psi / 2715 gpm
3 horizontales 
CB2
LA x L1 / 37 psi a shouxin
LC x L3 / 105 psi a shouxin
Choclón Parado.
Muelle   #5
Tk 338= 17ft
Tk 250= 27ft.
** Bomba de recuperación 213-124, operando.
</t>
  </si>
  <si>
    <t xml:space="preserve">M/V WILLIAN OLDENDORFF
Material: FKPS
✅Inicio de embarque: 
🗓️17-09-2026🕰️00:05hrs
✅Parada por plea:
🗓️18-09-2026🕰️16:15hrs
✅Reinicio de embarque:
🗓️18-09-2026🕰️20:10hrs
✅Fin de barco:
🗓️18-09-2026🕰️23:00hrs
📍Peso por balanza:166798TM
- - - - - - - - - - - - - - - - - - - - - -
✅EMBARCADO POR CONTROL 4
》Mineral: FKPS
 ▪️Eficiencia:86%
▪️ Disponibilidad operativa:80%
▪️ Disponibilidad mantenimiento:97.7%
▪️ Régimen general:3555TM
▪️ Régimen efectivo:4458TM
⚖️ Tonelaje en el turno:9290TM
-- - - - - - -- - - - - -- - - - - -- - - 
🔹STACKER 2 TRANSFERENCIA
● Apilando en Tolva 2
 - - - - - - - - - - - - - - - - - - - - - 
CALIDAD M/V WILLIAN OLDENDORFF
Fe=69.5
S=0.215
H2O=7.82
Na2O=0.065
K2O=0.044
Alcalis=0.109
Cu=0.002
Zn=0.011
- - - - - - - - - - - - - - - - - - - - - - 
🔹 INCIDENCIAS
⚪️16:15-20:10:parado por plea.
⚪️20:10:Reinicio de embarque.
21:00-21:50:Draft intermedio.
⚪️22:23-22:2235:Cambio de bodega #8 a #2.
⚪️23:00:Fin de barco.
•••••••••••••••••••••••••••••••••
🔹 TRABAJO REALIZADOS
✅ OPERACIONES 
📌Inspección y reporte constante de sistema de embarque.
🔹*TIEMPO a las:23:00hrs
● Mare:0.3metros
● Viento:6.2nudos
● Dirección:141grados
🔹BARCOS EN BAHÍA:
🚢M/V KEVIN
🚢M/V AQUA VENTURE
🚢M/V AUSPICIOUS
</t>
  </si>
  <si>
    <t>C-2 a chute 12 al 14</t>
  </si>
  <si>
    <t>Nivel de silos: 451 445 145</t>
  </si>
  <si>
    <t>-Transferido = 4630 t.</t>
  </si>
  <si>
    <t>-032-083 se probó motor en vacío, se mide GAP (10 mm), acoplaron.</t>
  </si>
  <si>
    <t>032-207: en maestranza se continua con el maquinado de la pista se tiene un avance aprox. del 40%. // Se empalmó manguera descarga a 213-217.</t>
  </si>
  <si>
    <t>032-087 se termina de soldar parches en malla del tromell.</t>
  </si>
  <si>
    <t>213-111, cambian cabezal manguera descarga</t>
  </si>
  <si>
    <t>213-653, colocando tubo succión para luego parar la 213-654 fuga de carga por reten.</t>
  </si>
  <si>
    <t>Línea 1/2/3 y bombas con agua desalinizada.</t>
  </si>
  <si>
    <t>053-021, cambio de sacas programadas.</t>
  </si>
  <si>
    <t>LA x L1 / 36 psi a shouxin</t>
  </si>
  <si>
    <t>LC x L3 / 107 psi a shouxin</t>
  </si>
  <si>
    <t>Tk 338= 16ft</t>
  </si>
  <si>
    <t>Tk 250= 27ft.</t>
  </si>
  <si>
    <t>Bombas de Captación # 1/4</t>
  </si>
  <si>
    <t>TK Pqt 7 = 6.72m</t>
  </si>
  <si>
    <t>TK Filtros = 3.80m</t>
  </si>
  <si>
    <t>Flujo envío pqt7= 655 m3/h</t>
  </si>
  <si>
    <t>Conductividad: 937 uS/cm</t>
  </si>
  <si>
    <t>📍Peso a embarcar:167300TM</t>
  </si>
  <si>
    <t>📌071-801: Evaluación de empalme y grapas, dan pase para seguir trabajando</t>
  </si>
  <si>
    <t>🔹TIEMPO a las 06:00h (Mare:0.75 m | Viento:12 nudos |Dirección:150°</t>
  </si>
  <si>
    <t>🔹BARCOS EN BAHÍA (2):</t>
  </si>
  <si>
    <t>11 al 15</t>
  </si>
  <si>
    <t>1,2,4</t>
  </si>
  <si>
    <t>2,4</t>
  </si>
  <si>
    <t>📍Peso por balanza:79000TM</t>
  </si>
  <si>
    <t>📍Peso por balanza:114000TM</t>
  </si>
  <si>
    <t>TRABAJOS:
021 022: Se regula mandil lado sur
211 051: Soldeo de vigas de soporte de chute
021 631: Soldeo de rodapiés
021 132: Se habilita mandiles de 5"
021 061: Cambio de polin de carga 
021 031: Soldeo de ducto de colector de polvo</t>
  </si>
  <si>
    <t xml:space="preserve">1.- CRUDOS: 
C-2 a chute 11 al 15
2.- CHANCADORA:  
Nivel de silos: 331/322/122
Línea dos en operación con dos chancadoras para los silos 1/9 del chute 12/13
Línea uno en operación con tres chancadoras para el silo 9.y 501.
-Triturado= 2536 t
-Transferido = 2536 t.
</t>
  </si>
  <si>
    <t xml:space="preserve">Cto: MF. Operando: RM: 1,2,4,5,6,8,9 / BM: 1,2,3,4,5,6,8,9,10.
-Rm04: Paró 19:10 a 20:49 hrs por parada del bolas 10.
-Bm10: Paró 19:30 a 20:00 hrs por retiro de forro plano del interior // 20:00 a 20:43 hrs por falla eléctrica en aplicación del motor, se reguló factor de potencia.
-Bm04: Paró 22:15 a 22:30 hrs por limpieza de conos de malla trommel.
TRABAJOS REALIZADOS:
-032-083: Realizan armado de pedestal, se probó motor en vacío para medición de GAP. Acoplaran.
-032-207: Continua asentado de bronce, se desacopla reductor, Maestranza verifica alineamiento motor-reductor, dentro de parámetros.
</t>
  </si>
  <si>
    <t xml:space="preserve">-213-480: Cambiado bomba completa.
-212-149: Desatoran 03 ciclones.
</t>
  </si>
  <si>
    <t xml:space="preserve">Línea 1/2/3/4: 6/7/3/Parada
Nivel de Agitadores: 007: 42% / 008: 40% / 050: vacío
-053-021: Se vistió filtro.
-053-041: Cambio de sacas.
Línea 1/2/3 y bombas con agua desalinizada.
Dosificando floculante ambos espesadores.
</t>
  </si>
  <si>
    <t xml:space="preserve">Bombas de Captación # 1/2/4
Bombas de Envío a Pqt 7 # 1/2
Bomba de Envío a Filtros # 4
SF: 12 | UF: 13 | RO: 17
TK Pqt 7 = 6.50m 
TK Filtros = 5.42m
Flujo de envío a Filtros = 360 m3/h
Flujo envío pqt7= 680 m3/h
Conductividad: 939 uS/cm
-UF#04: Limpieza química.
</t>
  </si>
  <si>
    <t xml:space="preserve">CB1
L A x L3 / 109 psi / 2800 gpm
1 horizontal / 1 verticales
Poza: 2.30 m
R 2 
L2   98 psi / 2720 gpm
4 horizontales 
CB2
LA x L1 / 35 psi a shouxin
LC x L3 / 106 psi a shouxin
Choclón Parado.
Muelle   #5
Tk 338= 19ft
Tk 250= 28ft.
** Bomba de recuperación 213-124, operando.
</t>
  </si>
  <si>
    <t xml:space="preserve">M/V MINERAL KEVIN
Material: FKPS
✅Inicio de embarque: 
🗓️19-09-2026🕰️02:50hrs
📍Peso a embarcar:167,300TM
📍Peso por balanza:79,000TM
⚖️Faltante a embarcar:88,300TM
- - - - - - - - - - - - - - - - - - - - - -
✅EMBARCADO POR CONTROL 4
》Mineral: FKPS
 ▪️Eficiencia:81%
▪️ Disponibilidad operativa:93%
▪️ Disponibilidad mantenimiento:1000%
▪️ Régimen general:3917TM
▪️ Régimen efectivo:4217TM
⚖️ Tonelaje en el turno:16500TM
-- - - - - - -- - - - - -- - - - - -- - - 
🔹STACKER 2 TRANSFERENCIA
● Apilando en Tolva 2
 - - - - - - - - - - - - - - - - - - - - - 
CALIDAD M/V MINERAL KEVIN
Fe=70.0
S=0.202
H2O=7.86
Na2O=0.058
K2O=0.036
Alcalis=0.095
Cu=0.002
Zn=0.011
- - - - - - - - - - - - - - - - - - - - - - 
🔹 INCIDENCIAS
⚪️19:00:Sistema trabajando con tolvas #1-2-3. 
⚪️19:30:Reinicio con zona nueva.
⚪️20:23-20:40:Cambio de bodega #9 a #2.
⚪️22:00-22:15:Cambio de bodega #2 a #8.
•••••••••••••••••••••••••••••••••
🔹 TRABAJO REALIZADOS
✅ OPERACIONES
📌Inspección y reporte constante de sistema de embarque
📌BOMBA 213-367: Se trabaja solo con bomba A, flujo normal
📌Faja 071-712:Limpieza de acumulación de mineral polin de retorno #21.
📌Faja 014-031: Limpieza de acumulación de mineral polin de retorno #265.
✅ MECANICOS 
📌Faja 014-029:Cambio de polin carga central #323
📌Faja 014-031:Cambio de polin retorno #265
🔹TIEMPO 22:00hrs
● Mare:0.75 metros
● Viento:19 nudos
● Dirección:160 grados
🔹BARCOS EN BAHÍA (2):
🚢M/V AQUA VENTURE
🚢M/V VAN AUSPICIOUS
</t>
  </si>
  <si>
    <t>Nivel de silos: 221/225/144</t>
  </si>
  <si>
    <t>-Transferido = 4158 t.</t>
  </si>
  <si>
    <t>-032-207: Continua asentado de bronce, personal de maestranza termina alineamiento motor-reductor.</t>
  </si>
  <si>
    <t>213-267 Canal A, se desatora operando bomba.</t>
  </si>
  <si>
    <t>-213-480: Cambiado bomba completa, falta concluir.</t>
  </si>
  <si>
    <t>213-478 se arrancó en reemplazo de la 213-477 (fuga de carga)</t>
  </si>
  <si>
    <t>-053-041: desvestido por cambio de sacas.</t>
  </si>
  <si>
    <t>051-151 se cambió polín guiador.</t>
  </si>
  <si>
    <t>053-020 cambio de moto reductor al disco y agitador.</t>
  </si>
  <si>
    <t>LA x L1 / 35 psi a shouxin</t>
  </si>
  <si>
    <t>Tk 250= 298ft.</t>
  </si>
  <si>
    <t>Bombas de Captación # 2/4</t>
  </si>
  <si>
    <t>TK Pqt 7 = 6.81m</t>
  </si>
  <si>
    <t>TK Filtros = 3.39m</t>
  </si>
  <si>
    <t>Flujo de envío a Filtros = 413 m3/h</t>
  </si>
  <si>
    <t>Flujo envío pqt7= 660 m3/h</t>
  </si>
  <si>
    <t>Conductividad: 927 uS/cm</t>
  </si>
  <si>
    <t>-UF#04: finaliza limpieza química.</t>
  </si>
  <si>
    <t>Fe=70.0</t>
  </si>
  <si>
    <t>S=0.202</t>
  </si>
  <si>
    <t>Álcalis=0.095</t>
  </si>
  <si>
    <t>Zn=0.011</t>
  </si>
  <si>
    <t>1, 2,5</t>
  </si>
  <si>
    <t>1,3,4,5,6,7,8</t>
  </si>
  <si>
    <t>1,2,3,5,6,8,9,10</t>
  </si>
  <si>
    <t>📍Peso por balanza:142500TM</t>
  </si>
  <si>
    <t xml:space="preserve">1.- CRUDOS: 
C2 al chute 12_13_14.
C-7 chute 2,3
2.- CHANCADORA:  
Nivel de silos: 44 33 44 32 2  
Línea dos en operación con dos chancadoras para los silos 1/9 del chute 12/13
Línea uno en operación con tres chancadoras para el silo 9.y 501.
-Triturado= 675 t
-Transferido = 738 t.
Trabajo realizado
211-140 se repuso pernos ala plancha posterior de la zaranda.
211-018 se cambió posición la 1ra malla de 3/4.
</t>
  </si>
  <si>
    <t xml:space="preserve">Cto: MF. Operando: RM: 1,2,4,5,6,8,9 / BM: 1,2,3,4,5,6,8,9,10.
-032-082: Paró 09:28 a 11:04 hrs por arranque del Rm03. / Paró 15:08 hrs arranque del Rm03.
-032-083: Arrancó 09:25 a 11:06 hrs paro por alta temperatura pedestal acople del motor. / Arrancó 15:06 hrs.
-032-087: Arrancó 11:44 hrs en reemplazo Rm09.
-032-089: Paró 11:40 hrs por perforación en cuello trommel.
TRABAJOS REALIZADOS:
-032-207: Se terminó asentado de bronce, se instala, colocan tapa de trunnion, instalando línea de lubricación. Maestranza en proceso de alineamiento reductor-molino.
-032-089: Reparando cuello trommel.
-032-083: Se rectificó peine del coupling.
</t>
  </si>
  <si>
    <t xml:space="preserve">-210-101: Repararon vitaulic tubería de las quenas
-210-314: Cambiaron válvula de 2" de la quena
-210-312:  Reparan tubería de ducha.
-213-431: Se liberó área de bomba.
-210-281A: Se trasladó a planta tambor 53 para instalación.
</t>
  </si>
  <si>
    <t xml:space="preserve">Línea 1/2/3/4: 6/7/3/Parada
Nivel de Agitadores: 007: 50% / 008: 40% / 050: vacío
-053-041: Mantenimiento programado.
-213-409: Cambiando bocina, impulsor y plato succion.
Línea 1/2/3 y bombas con agua desalinizada.
Dosificando floculante ambos espesadores.
</t>
  </si>
  <si>
    <t xml:space="preserve">Bombas de Captación # 1/2/5
Bombas de Envío a Pqt 7 # 1/2
Bomba de Envío a Filtros # 4
SF: 12 | UF: 13| RO: 17
TK Pqt 7 = 7.21 m 
TK Filtros = 4.44 m
Flujo de envío a Filtros = 370 m3/h
Flujo envío pqt7= 633 m3/h
Conductividad: 910 uS/cm
-UF#07: limpieza química.
</t>
  </si>
  <si>
    <t xml:space="preserve">CB1=LA x L3 / 108 psi / 2850 gpm
1 horizontal / 1 verticales / poza: 2.0 m
R 2= L2   98 psi / 2630 gpm / 3 horizontales 
CB2
LA x L1 / 35 psi a shouxin
LC x L3 / 99 psi a shouxin
Choclón Parado.
Muelle   #5
Tk 338= 17ft
Tk 250= 27ft.
-213-264: Cambiaron de fajas.
** Bomba de recuperación 213-124, operando.
</t>
  </si>
  <si>
    <t xml:space="preserve">M/V "MINERAL KEVIN”
🟩 INICIO
📆 19/09/2026   🕐 02:50 hrs
🟩 ENVIO Z.A y Z.N
◼️	(07:00/09:10): Rotopala pila #5 y Tolva #2
◼️	(09:10/15:00): Tolva #1 y 2
🟩 DATOS DE EMBARQUE
◼️ Producto             :		FKPS	
◼️ Total a embarcar:	167,300 TM
◼️ Total abordo (15:00 hrs): 142,500 TM
◼️ Falta embarcar:	24,800 TM
- - - - - - - - - - - - - - - - - - - - - - - - - -
▫️Eficiencia:		83%
▫️Disp. Mantenimiento:	100.0%
▫️Disp. Operativa:	92%
▫️Régimen efectivo:	4,296 TM
▫️Régimen general :	3,940 TM
- - - - - - - - - - - - - - - - - - - - - - - - - -
🟧 CONTROL DE CALIDAD  %
 ◼️ Fe		=	70.0
 ◼️ S		=	0.214
 ◼️ Cu		= 0.002
 ◼️ H2O		= 7.89
 ◼️ Na2O	= 	0.058
 ◼️ K2O		=	0.037
 ◼️ Álcalis	=	0.095
 ◼️ Zn		=	0.011
- - - - - - - - - - - - - - - - - - - - - - - - - -
🟫 INCIDENCIAS
▫️(09:10), Envío de carga de solo tolvas a muelle antiguo 
▫️(09:30), Envío de carga de Rotopala a muelle nuevo 
🟫 OPERACIONES
▫️ Inspección en todo sistema de embarque 
🟫 MECÁNICOS
▫️*Faja 071-108* , Cambian polín de carga desbocado #339
- - - - - - - - - - - - - - - - - - - - - - - - - -
🟦 OO.MM. 🕐 15:00 hrs
▫️ Mar   =  3/4 metros
▫️ Vien  =  14 nudos
▫️ Direc = 150 °
🟦 BARCOS EN BAHIA
🚢 VAN AUSPICIOUS
🚢 AQUA VENTURE
🚢 MAIRAKI
</t>
  </si>
  <si>
    <t>9 al 15</t>
  </si>
  <si>
    <t xml:space="preserve"> 2,5</t>
  </si>
  <si>
    <t xml:space="preserve"> 3,4</t>
  </si>
  <si>
    <t>✅Inicio : 19-09-2026🕰️02:50hrs</t>
  </si>
  <si>
    <t>✅Termino : 21-09-2026🕰️00:40hrs</t>
  </si>
  <si>
    <t>📍Peso por balanza:1692000TM</t>
  </si>
  <si>
    <t>PARADA</t>
  </si>
  <si>
    <t>M/V AQUA VENTURA</t>
  </si>
  <si>
    <t>✅Inicio: 21-09-2026🕰️04:25hrs</t>
  </si>
  <si>
    <t>📍Peso por balanza:6500TM</t>
  </si>
  <si>
    <t>3 y 12</t>
  </si>
  <si>
    <t xml:space="preserve">TRABAJOS:
029 070: Inspección de impulsor,lubricación de couplin 
211 140: Soldeo de parche parte posterior de zaranda 
021 045: Cambio de mandil
020 122: Recortar deflectoras 
021 632: Instalación de ducha
021 047: Toma de parámetros de vibración de moto engrase de Coupling, de acuerdo a lo evaluado por taller electrico mañana se llevara motor a taller electrico para reparacion indican que no hay uno listo de 50hp.
</t>
  </si>
  <si>
    <t>7/7/4/0
*Faja 051-150: Se cambia 1 polin de retorno.
*Faja 051-170: Se cambia 1 polin cargador.
*Faja 051-185: Se cambia 1 polin de retorno.
*Faja 051-186: Se cambia 1 polin de retorno. Se retira polín de retorno con oreja rota.
*Filtro 053-021: Se desacopla cabezal de la manguera de alimentacion a la tina, se desatora.
*Bomba 213-409: Se rectifica brida de descarga, por fuga de carga.
*Faja 071-051 Se calibra balanza de faja de trasnferencia.
*Se continua con el agregado de floculante a los espesadores 053-002/003.
Linea 1-2-3 al 100% agua desalinizada.
Bombas de vacio linea 1-2-3 con agua desalinizada.</t>
  </si>
  <si>
    <t>1. Toma de SDI de  OUT SF, IN RO, IN FC
2. ⁠Conexionado de bomba dosificadora floculante en contenedor DS#2.
3. Mantenimiento de actuadores neumaticos, filtros reguladores de aire, posicionadores en taller electrico hong kun.
4. Retiro de baranda escalera de acceso de plataforma de captacion para reparacion.
5. Esmerilado de platinas para trabajos de mejoramiento de contenedor UF#9.
6. Cambio de grating de canaleata de drenaje en zona de tanque 7/8
7. Pintado de guarda y ventilador de bomba #4 de alimentacion SF
8. Cambio de junta de expansion de bomba #1 de captacion.
9. Inspeccion de valvulas de descarga superior e inferior de UF#5, por pase de agua.</t>
  </si>
  <si>
    <t xml:space="preserve">Limpieza de area de transferencia y filtros con bot cat, </t>
  </si>
  <si>
    <t xml:space="preserve">Casa de Bombas 1
- Se realizó lubricación de bombas 213-328/903/904/905/267.
Bomba 213-888
- Se realizó inspección de coupling.
- Se puede apreciar que se encuentra alineado.
- Se volvió a reponer acoplamiento, previo engrase.
Bomba 213-252(en ejecución)
- Se realizó pruebas de motor en vacío por parte de área eléctrica.
- Se nos dió pase para reponer fajas de transmisión.
- Se realiza ojo chino en base metálica para alinear poleas motriz y conducida.
- Se viene soldando botadores en base metálica.
Taller mecánico
- Se viene soldando tubería 6" para alimentación de filtro de choros en CB2.
Taller de arenado(en ejecución)
- Se arenaron tuberías habilitadas para cambio en PDP.
- Se da apoyo a taller de gravimetrica con el arenado de componentes.
</t>
  </si>
  <si>
    <t xml:space="preserve">1.- CRUDOS: 
C-2 a chute 12 al 14
2.- CHANCADORA:  
Nivel de silos: 312322122
Línea dos en operación con dos chancadoras para los silos 1/9 del chute 12/13
Línea uno en operación con tres chancadoras para el silo 9.y 501.
-Triturado= 2627 t
-Transferido = 1800 t.
</t>
  </si>
  <si>
    <t xml:space="preserve">Cto: MF. Operando: RM: 1,3,4,5,6,8,9 / BM: 1,2,3,4,5,6,8,9,10.
-032-081: Paró 17:37 a 18:55 hrs por parada del bolas 1.
-032-089: Paró 14:13 a 19:34 hrs por parada del bolas 9.
-032-201: paró 17:37 a 18:17 hrs por falla en sensor de temperatura de aceite lado condicional. // de 18:17 a 18:53 hrs paró por baja presión y flujo de bomba de alta #1, se cambió por la #2. Operando.
-032-204: Paró 22:23 a 22:50 hrs por limpieza de conos del trommel
-032-209: Paró 14:46 a 19:25 hrs Cambiaron 05 pernos cuello trommel, ampliaron ranuras de malla reten y cambiaron reten de alimentación.
TRABAJOS REALIZADOS:
-032-207: Continua asentado de bronce.
-032-209: Cambiaron 05 pernos cuello trommel, ampliaron ranuras de malla reten y cambiaron reten de alimentación.
</t>
  </si>
  <si>
    <t xml:space="preserve">-213-651: Se reparo sumidero.
-213-477: Mantenimiento de bomba.
-210-294: Instalan nueva tina lado B.
</t>
  </si>
  <si>
    <t xml:space="preserve">Línea 1/2/3/4: 7/7/3/Parada
Nivel de Agitadores: 007: 58% / 008: 38% / 050: vacío
-053-020: Acoplando motoreductor.
-051-170: Se alineo faja.
Línea 1/2/3 y bombas con agua desalinizada.
Dosificando floculante ambos espesadores.
</t>
  </si>
  <si>
    <t xml:space="preserve">Bombas de Captación # 3/4
Bombas de Envío a Pqt 7 # 1/2
Bomba de Envío a Filtros # 5
SF: 12 | UF: 13 | RO: 17
TK Pqt 7 = 6.90 m 
TK Filtros = 4.90 m
Flujo de envío a Filtros =  320 m3/h
Flujo envío pqt7= 640m3/h
Conductividad: 940 uS/cm
-UF#09 limpieza química.
</t>
  </si>
  <si>
    <t xml:space="preserve">CB1=LA x L3 / 108 psi / 2745 gpm
1 horizontal / 1 verticales / poza: 2.10 m
R 2= L2   100 psi /2670 gpm / 3 horizontales 
CB2
LA x L1 / 37 psi a shouxin
LC x L3 / 100 psi a shouxin
Choclón Parado.
Muelle   #5
Tk 338= 17ft
Tk 250= 28ft.
** Bomba de recuperación 213-124, operando.
</t>
  </si>
  <si>
    <t xml:space="preserve">🚢 M/V "AQUA VENTURE”
✅ INICIO 
📆 21/09/2026 🕐 04:25hrs
- - - - - - - - - - - - - - - - - - - - -
✅ ENVIO
📌 ROTOPALA = 4000TM 
📌 TOLVA #2 = 1500TM
- - - - - - - - - - - - - - - - - - - - -
✅ PRODUCTO = FKPS
📌 TOTAL EMBARCAR = 167342 TM
📌 ABORDO =  65050 TM
📌 X EMBARCAR = 102292TM
- - - - - - - - -- - - - - - - - - - - -
📌 Eficiencia   : 52%
📌 Disponibilidad mantenimiento: 96.2% 
📌 Disponibilidad operativa:91% 
📌 Régimen efectivo:  2703 TM
📌 Régimen general: 2447 TM
- - - - - - - - - - - - - - - - - - - - -
✅ CONTROL DE CALIDAD
 📌 Fe             =  69.5
 📌 S               = 0.201
 📌 Cu             = 0.002
 📌 H2O          = 7.86
 📌 Na2O        = 0.077
 📌 K2O          = 0.048
 📌 Alcalis      =  0.125
 📌 Zn             = 0.011
- - - - - - - - - - - - - - - - - - - - -
✅ PARADAS
📌 22:50/23:00 071-081 Cambio de polin #1 de retorno
✅ INCIDENCIAS
📌20:35 Reinicio de envío de Zona nueva
✅ OPERACIONES
📌014-029 Limpieza de polea motriz 
✅ MECANICOS
📌 071-081 Cambiaron polin #1 de retorno
- - - - - - - - - - - - - - - - - - - -
✅ OO.MM. 🕐 23:00 hrs
📌 Mar   = 0.3m
📌 Vien = 7.7 n
📌 Direc = 142º
✅ BARCOS EN BAHÍA (3)
🚢 ES BLUE SEA
🚢 MAIRAKI
🚢VAN AUSPICIOUS
NUEVO MUELLE
🚢 M/V "CSB YEARS”
✅ INICIO 
📆 16/09/2026 🕐 10:30 hrs
- - - - -- - - - - - - - - - - - - - - -
✅ PRODUCTO = FKPS
📌 TOTAL EMBARCAR = 304,500 TM
📌 ABORDO = 55,176 TM
📌 X EMBARCAR = 249,324 TM
- - - - - - - - - - - - - - - - - - - - -
- - - - - - - - - - - - - - - - - - - - -
✅ PARADAS
📌 22:00/   -* Parada por verificación de riel traslado a la bodega 8
✅ OPERACIONES
📌 Inspección y operación sistema de embarque muelle 2
📌 Trabajando solo con Beltfeeder 8120-BF-003
</t>
  </si>
  <si>
    <t>1, 3,4</t>
  </si>
  <si>
    <t>3, 4</t>
  </si>
  <si>
    <t>1,3,4,5,6,8,9</t>
  </si>
  <si>
    <t>✅Inicio : 21-09-2026🕰️04:25hrs</t>
  </si>
  <si>
    <t>✅Termino : 23-09-2026🕰️03:30hrs</t>
  </si>
  <si>
    <t>📍Peso por balanza: 131200TM</t>
  </si>
  <si>
    <t>📍Peso por balanza: 151500TM</t>
  </si>
  <si>
    <t>📍Peso por balanza: 167363TM</t>
  </si>
  <si>
    <t xml:space="preserve">TRABAJOS:
15:45 parada por cambio de turno 
L.2 08:00/09:55 parada por control de nivel de silos 
15:45 parada por cambio de turno
</t>
  </si>
  <si>
    <t>5/7/4/0
*Filtro 053-049: Mantenimiento programado.
*Secador de humedad 059-078: Se cierra tapa de inspección, se resana con norbac codo de descarga 4" y tubería vacío 18", se tomó medidas para su fabricación.
*Bomba 213-409: Se cambia niple 2" a la purga.
*Filtro 053-020: Se termina el armado del filtro, mecánicos instalando motoreductor del agitador.
*Receptor 059-054: Se está soldando plancha metálica al tanque con perforación.
*Cajón distribuidor 059-001: Se cambia plancha metálica y carrete a la manguera de alimentación 12" al espesador 053-003.
*Se continua con el agregado de floculante a los espesadores 053-002/003.
Linea 1-2-3 al 100% agua desalinizada.
Bombas de vacio linea 1-2-3 con agua desalinizada.</t>
  </si>
  <si>
    <t xml:space="preserve">1. Toma de SDI de  OUT SF, IN RO, IN FC, SF #05,02
2. Se realizo la reparacion/ cambio de brida de purga del filtro autolimpiante #02 de captación 
3. ⁠Se inicia con la LQ alcalina de la  RO #07 
4. Se realizo la inspección del sistema de calentamiento CIP RO, al controlador de temperatura.
5. Cambio de empaque en brida de descarga inferior de la SF #06
6. Se realiza el mantenimiento a la valvula tipo mariposa de la descarga superior de la UF #05
7. Se realiza el pintado el contenedor UF #07
8. Se continua con el mantenimiento del techo del contenedor UF #09
</t>
  </si>
  <si>
    <t xml:space="preserve">Se continua lmpieza de area de transferencia y filtros con bot cat, </t>
  </si>
  <si>
    <t xml:space="preserve">1.- CRUDOS: 
C-2 a chute 12_13_14
2.- CHANCADORA:  
Nivel de silos: 112223122
Línea dos en operación con dos chancadoras para los silos 1/9 del chute 12/13
Línea uno en operación con tres chancadoras para el silo 9.y 501.
-Triturado= 0 t
-Transferido = 0 t.
-021-037: Fajeros reparan empalme.
-021-047: Maestranza maquina nuevo eje para motor, balancean en taller eléctrico, en proceso de armado.
</t>
  </si>
  <si>
    <t xml:space="preserve">Cto: MF. Operando: RM: 1,3,4,5,6,8,9 / BM: 1,2,3,4,5,6,8,9,10.
-032-085: Paró 15:50 a 16:25 hrs por alta temperatura aceite de retorno, se arrancó radiador. / Paró 17:30 a 22:03 hrs por parada del bolas 5.
-032-087: Paró 17:30 a 22:03 hrs por parada del bolas 5.
-032-205: Paró 18:00 a 21:59 hrs por ampliar ranuras de malla descarga y cambio de reten alimentación.
-032-207: Paró 19:21 hrs para dializado de aceite por contaminación con limaduras de bronce.
TRABAJOS REALIZADOS:
-032-205: ampliaron ranuras de malla descarga y cambio de reten alimentación.
-032-207: Dializando aceite, se revisaron filtros de alta.
</t>
  </si>
  <si>
    <t xml:space="preserve">-210-294B: Acondicionando planchas de descarga.
-210-268: Se cambió codo de 8” de colas.
</t>
  </si>
  <si>
    <t xml:space="preserve">Línea 1/2/3/4: 7/7/3/Parada
Nivel de Agitadores: 007: 35% / 008: 46% / 050: vacío
- Receptor 059-0058 se repuso tapa de inspección se arranco filtros 025 y 027 22:30 hrs
Línea 1/2/3 y bombas con agua desalinizada.
Dosificando floculante ambos espesadores.
</t>
  </si>
  <si>
    <t xml:space="preserve">Bombas de Captación # 1/3/4
Bombas de Envío a Pqt 7 # 1/2
Bomba de Envío a Filtros # 4
SF: 11 | UF: 12 | RO: 16
TK Pqt 7 =  6.53 m 
TK Filtros = 3.65 m
Flujo de envío a Filtros = 360 m3/h
Flujo envío pqt7= 650 m3/h
Conductividad: 932 uS/cm
-RO#07 limpieza química.
</t>
  </si>
  <si>
    <t xml:space="preserve">CB1=LA x L3 / 103 psi / 2800 gpm
1 horizontal / 1 verticales / poza: 3.10 m
R 2= L2   98 psi /2800 gpm / 4 horizontales 
CB2
LA x L1 / 35 psi a shouxin
LB x L3 / 100 psi a shouxin
Choclón Parado.
Muelle   #5
Tk 338= 16ft
Tk 250= 26ft.
** Bomba de recuperación 213-124, operando.
</t>
  </si>
  <si>
    <t xml:space="preserve">M/V "AQUA VENTURE”
✅ INICIO 
📆 21/09/2026 🕐 04:25hrs
- - - - - - - - - - - - - - - - - - - - -
✅ ENVIO
📌 ROTOPALA = 4000TM 
📌 TOLVA #2 = 1500TM
- - - - - - - - - - - - - - - - - - - - -
✅ PRODUCTO = FKPS
📌 TOTAL EMBARCAR = 167342 TM
📌 ABORDO =  151500 TM
📌 X EMBARCAR = 15842 TM
- - - - - - - - - - - - - - - - - - - - -
📌 Eficiencia   : 70%
📌 Disponibilidad mantenimiento: 97.5% 
📌 Disponibilidad operativa: 90% 
📌 Régimen efectivo:  3613 TM
📌 Régimen general: 3252 TM
- - - - - - - - - - - - - - - - - - - - -
✅ CONTROL DE CALIDAD
 📌 Fe             =  69.5
 📌 S               = 0.210
 📌 Cu             = 0.002
 📌 H2O          = 7.87
 📌 Na2O        = 0.078
 📌 K2O          = 0.047
 📌 Alcalis      =  0.125
 📌 Zn             = 0.011
- - - - - - - - - - - - - - - - - - - - -
✅ PARADAS
✅ INCIDENCIAS
📌20:40 Reinicio de envío de Zona nueva
📌071-108 Cambio de polin de carga #270 #117
✅ OPERACIONES
📌 Inspección y monitoreo de equipos y componentes 
✅ MECANICOS
📌071-108 Cambio de polin de carga #270 #117
✅INSTRUMENTISTAS
📌Faja 014-029/014-030/014-031 no marcan amperajes 
- - - - - - - - - - - - - - - - - - - -
✅ OO.MM. 🕐 23:00 hrs
📌 Mar   = 0.3m
📌 Vien = 6.7 n
📌 Direc = 155º
✅ BARCOS EN BAHÍA (3)
🚢 ES BLUE SEA
🚢 MAIRAKI
🚢VAN AUSPICIOUS
NUEVO MUELLE
M/V "CSB YEARS”
✅ INICIO 
📆 16/09/2026 🕐 10:30 hrs
- - - - - - - - - - - - - - - - - - - - -
✅ PRODUCTO = FKPS
📌 TOTAL EMBARCAR = 304,500 TM
📌 ABORDO = 88,300 TM
📌 X EMBARCAR = 216,200 TM
- - - - - - - - - - - - - - - - - - - - -
✅ PARADAS
📌 19:42 Se corta envío de ROTOPALA. 
📌20:00/20:25 Cambio de bodega #1 a #6. 
📌 20:25/21:00 Relevo de personal de tractores. 
📌21:15/21:20 * Beltfeeder 8120-BF002* Parada por muestreo.
📌22:00/22:05 * Beltfeeder 8120-BF002* Parada por muestreo.
📌 22:40/22:45 * Beltfeeder 8120-BF002* Parada por muestreo.
✅ OPERACIONES
📌 Inspección y operación sistema de embarque muelle 2.
📌 Trabajando solo con Beltfeeder 8120-BF-002.
</t>
  </si>
  <si>
    <t>Nivel de silos: 111 123 121</t>
  </si>
  <si>
    <t>-021-047: se traslada motor a planta, personal de beijing instalo, reponen corriente para verificar alineamiento.</t>
  </si>
  <si>
    <t>-211-124 paro al romper seguro del rodaje de la excéntrica, se trabaja con chancadoras 022-128/131.</t>
  </si>
  <si>
    <t>-032-084 paro 02:53 a 03:14h por bomba 123-805, no hermetiza.</t>
  </si>
  <si>
    <t xml:space="preserve"> -032-207, se continua con el dializado del aceite, último dato registra en 16.</t>
  </si>
  <si>
    <t>-032-087 se cambió reten de jebe.</t>
  </si>
  <si>
    <t>-213-813 se coloco abrazadera a manguera de descarga.</t>
  </si>
  <si>
    <t xml:space="preserve">-213-805 reponen poleas, fajas, guarda. </t>
  </si>
  <si>
    <t>213-114, realizando mantenimiento, por fuga de carga por tapas.</t>
  </si>
  <si>
    <t>Línea 1/2/3/4: 7/8/3/Parada</t>
  </si>
  <si>
    <t>Faja 151 se alineo polea de cabeza.</t>
  </si>
  <si>
    <t>LA x L1 / 37 psi a shouxin</t>
  </si>
  <si>
    <t>LB x L3 / 101 psi a shouxin</t>
  </si>
  <si>
    <t>Tk 338= 17ft</t>
  </si>
  <si>
    <t>** Bomba de recuperación 213-124, operando, con fuga de carga por tubo de succión</t>
  </si>
  <si>
    <t>Bombas de Captación # 1/3/4</t>
  </si>
  <si>
    <t>TK Pqt 7 =  6.49 m</t>
  </si>
  <si>
    <t>TK Filtros = 5.47 m</t>
  </si>
  <si>
    <t>Flujo de envío a Filtros = 305 m3/h</t>
  </si>
  <si>
    <t>Flujo envío pqt7= 710 m3/h</t>
  </si>
  <si>
    <t>Conductividad: 898 uS/cm</t>
  </si>
  <si>
    <t>-UF#07: finaliza limpieza alcalina.</t>
  </si>
  <si>
    <t>M/V "AQUA VENTURE”</t>
  </si>
  <si>
    <t>🔹BARCOS EN BAHÍA (3):</t>
  </si>
  <si>
    <r>
      <t xml:space="preserve">Cartas de Responsabilidad de Cumplimiento de Metas e Índices de Gestión - </t>
    </r>
    <r>
      <rPr>
        <b/>
        <sz val="14"/>
        <color rgb="FF000000"/>
        <rFont val="微软雅黑"/>
        <charset val="134"/>
      </rPr>
      <t>KPIs 2026
2026年经营管理目标责任书（KPIs） - 选厂老区</t>
    </r>
  </si>
  <si>
    <t>112 Superintendencia de Beneficio ZA</t>
  </si>
  <si>
    <t>Responsable : Zhang Shao Min / Antonio Guzman / Rommel Almiron</t>
  </si>
  <si>
    <t xml:space="preserve">Esta gerencia se compromete a cumplir con las metas indicadas : </t>
  </si>
  <si>
    <t>OBJETIVOS</t>
  </si>
  <si>
    <t>INDICADOR</t>
  </si>
  <si>
    <t>UNIDAD</t>
  </si>
  <si>
    <t>META 2026</t>
  </si>
  <si>
    <t>ENERO</t>
  </si>
  <si>
    <t>FEBRERO</t>
  </si>
  <si>
    <t>MARZO</t>
  </si>
  <si>
    <t>ABRIL</t>
  </si>
  <si>
    <t>MAYO</t>
  </si>
  <si>
    <t>JUNIO</t>
  </si>
  <si>
    <t>JULIO</t>
  </si>
  <si>
    <t>AÑO 2026</t>
  </si>
  <si>
    <t>JUSTIFICACIONES</t>
  </si>
  <si>
    <t>REAL</t>
  </si>
  <si>
    <t>PPTO</t>
  </si>
  <si>
    <t>CUMPL.</t>
  </si>
  <si>
    <t>Producción 生产</t>
  </si>
  <si>
    <t>Plan de Producción 产量计划</t>
  </si>
  <si>
    <t>Se cumple el Plan Mensual por mayor produccion de sinter calibrado (+17.3%),  R-Lump y Oxidado.</t>
  </si>
  <si>
    <t>No se cumple con el plan de producción, asociado a trabajos de cambio de forros de los molinos de bolas 032-208 y 032-209; Asi tambien, el cambio de forros y reductor del molino 032-207.</t>
  </si>
  <si>
    <t>Plan de Producción - Sinter</t>
  </si>
  <si>
    <t xml:space="preserve">Se cumple el plan de producción mensual y anual.  </t>
  </si>
  <si>
    <t>Plan de Embarque (Total Embarcado ZA y ZN) 装船计划</t>
  </si>
  <si>
    <t>%</t>
  </si>
  <si>
    <t>Se ajusta al plan de ventas establecido enero 2026.</t>
  </si>
  <si>
    <t>Ratio de Beneficio 选比</t>
  </si>
  <si>
    <t>TM/TM</t>
  </si>
  <si>
    <t xml:space="preserve">No cumple con el presupuesto, debido al menor grado de recuperacion por baja disponibilidad de equipos auxiliares (separador magnetico y bombas de pulpa) y caracteristicas propios del mineral del mineral. </t>
  </si>
  <si>
    <t>Calidad Concentrado - Azufre "S" 精矿硫含量</t>
  </si>
  <si>
    <t>0.200% máx</t>
  </si>
  <si>
    <t>Cumple con el presupuesto mensual; En respuesta al inicio de operación del proyecto de nuevas celdas de flotacion (Fase I y II), operación continua, acortando la brecha con el acumulado a la fecha.</t>
  </si>
  <si>
    <t>Calidad Concentrado - Alcalis 精矿碱含量</t>
  </si>
  <si>
    <t>0.150% max.</t>
  </si>
  <si>
    <t>Contenido de alcalis asociado a la baja disponibilidad de agua desalinizada por Mantto. Programado ZN e incremento de carga orgánica en el litoral.</t>
  </si>
  <si>
    <t>Control de Perdidas de Relaves - FeO 尾品-亚铁</t>
  </si>
  <si>
    <t>1.8% max.</t>
  </si>
  <si>
    <t xml:space="preserve">No cumple con el presupuesto, debido al arrastre mecanico de fierro en las espumas (CDP2026-251) de las nuevas celdas de flotacion; Asi mismo, se registra baja eficiencia del sistema de recuperación de derrames. </t>
  </si>
  <si>
    <t>Consumo Barras 磨棒消耗</t>
  </si>
  <si>
    <t>Kg/TMS</t>
  </si>
  <si>
    <t>No se cumple con el presupuesto mensual, debido a la recuperacion de nivel de llenado de los molinos de barras, respecto al mes de Junio se tiene: 032-082 (+8.3%); 032-084 (+4.4%); 032-085 (+3.5%); 032-086 (+3.3%); 032-087 (+4.4%); 032-088 (+6.1%) y 032-089 (+13.4%), se logra alcanzar el estandar de carga nominal. Sin enbargo, se cumple con el presupuesto acumulado.</t>
  </si>
  <si>
    <t>Consumo Conos Truncados 磨段消耗</t>
  </si>
  <si>
    <t>No se cumple con el presupuesto mensual, debido a la recuperacion del nivel de llenado de los molinos, respecto a Junio se tiene: 032-201 (+2.7%), 032-203 (+8.0%); 032-204 (+3.5%) y 032-205 (+3.4%),  se logra alcanzar el estandar de carga nominal.</t>
  </si>
  <si>
    <t>Consumo Bolas 磨球消耗</t>
  </si>
  <si>
    <t>No se cumple con el presupuesto mensual, debido a la recuperacion del nivel de llenado de los molinos, a la recuperacion del nivel de llenado de los molinos secundarios, posterior al cambio de forros; Reinicio de operación: 032-208 (CN: 44.8 a 80.4 = +35.6%) y 032-209 (CN: 50.3 a 79.9 = +29.6%),  se logra alcanzar el estandar de carga nominal.</t>
  </si>
  <si>
    <t>Se cumple con lo presupuestado total de colector; En respuesta a la operación continua del proyecto  de nuevas celdas de flotación (fase I y II), operación continua.</t>
  </si>
  <si>
    <t>Colector Secundario  二级捕收剂</t>
  </si>
  <si>
    <t>Espumante 起泡剂</t>
  </si>
  <si>
    <t xml:space="preserve">No se cumple con lo presupuestado mensual, debido al consumo de espumante remanentes en almacen (BK206: 3,000 Kg y Flotanol 10900: 44,850 Kg)  </t>
  </si>
  <si>
    <t>Ácido Oxálico 草酸</t>
  </si>
  <si>
    <t>Se cumple con lo presupuestado</t>
  </si>
  <si>
    <t>Consumo H2O</t>
  </si>
  <si>
    <t>M3/TM</t>
  </si>
  <si>
    <t>Julio: Del 21 al 24/07, desabastecimiento de agua desalinizada por mantenimiento programado de Zona Nueva.
Anual: Baja disponibilidad de agua desalinizada para el consumo en el lavado de concentrado, debido al menor rendimiento de producción por el recambio parcial de membranas de RO.</t>
  </si>
  <si>
    <t>Eficiencia 效率</t>
  </si>
  <si>
    <t>Chancadora L1 - Sinter Calibrado 破碎1号线-粗粒度</t>
  </si>
  <si>
    <t>TMS/HR</t>
  </si>
  <si>
    <t xml:space="preserve">No se cumple con lo presupuestado en Linea 1 - Magnética, debido a la Alimentación intermitente al sistema de chancado (tractoreo) (15.61hrs), Limpieza de chute por mineral humedo (9.73 hr) y Restricción en el procesamineto por envío de mineral (C2 y C7) de sobre tamaño al stock de crudos.
Operacion con doble separacion magnetica en el circuito de sinter calibrado, por baja ley de fierro en cabeza (58.3 %), asegurando ley de fierro en el producto final (60.5%). </t>
  </si>
  <si>
    <t>Chancadora L1 - Prod. Magnética  破碎1号线-磁选车间</t>
  </si>
  <si>
    <t>Chancadora L2 破碎2号线</t>
  </si>
  <si>
    <t>Molienda磨矿效率</t>
  </si>
  <si>
    <t>Molinos de Bolas 球磨</t>
  </si>
  <si>
    <t>Cumple con lo presupuestado</t>
  </si>
  <si>
    <t>Planta Desaladora 2 海淡厂</t>
  </si>
  <si>
    <t>Menor rendimiento de producción asociada al recambio parcial de membranas en las RO, sin embargo, el ratio mensual está mejorando progresivamente.</t>
  </si>
  <si>
    <t>Filtros 过滤</t>
  </si>
  <si>
    <r>
      <rPr>
        <b/>
        <sz val="12"/>
        <color theme="4" tint="-0.249977111117893"/>
        <rFont val="Gadugi"/>
        <family val="2"/>
      </rPr>
      <t>Disponibilidad Mecánica 完好率</t>
    </r>
  </si>
  <si>
    <t>Chancado LN1 破碎1号线</t>
  </si>
  <si>
    <t>&gt;90%</t>
  </si>
  <si>
    <t>Chancado LN2 破碎2号线</t>
  </si>
  <si>
    <t>Molino de Barras 棒磨</t>
  </si>
  <si>
    <t>&gt;95%</t>
  </si>
  <si>
    <t>No se cumple con el presupuesto mensual debido a trabajos de mantenimiento:  
Molinos de Barras: 032-081 por 21.2 horas (Falla del integrador de balanza de la faja 031-061 y retorqueo de pernos de sujecion de forros); 032-082 por 2.7 horas (Reparacion de malla de trommel); 032-084 por 1.2 horas (Cambio de cabezales en manguera descarga de la bomba 213-802); 032-086 por 7.9 horas (Cambio de reten y alineamiento de canal de alimentación); 032-088 por 1.3 horas (Cambio de divisor de flujo del sistema hidrostático) y 032-089 por 1.9 horas (Corto circuito en MCC del seprador 210-269).
Cambio completo de molino y forros por 275.9 hr</t>
  </si>
  <si>
    <t>Molino de Bolas Chico 小球磨</t>
  </si>
  <si>
    <t xml:space="preserve">Se cumple con el presupuesto mensual </t>
  </si>
  <si>
    <t>Molino de Bolas Grande 大球磨</t>
  </si>
  <si>
    <t xml:space="preserve">No cumple con el presupuesto, debido a trabajos de mantenimiento:
Molinos: 032-201 por 3.2 h (Baja presión zapata axial y cambio de cañería por perforación); 032-208 por 21.9 hr (Incremento de temperatura de aceite de retorno, baja presion de aceite y re torqueo de pernos de sujecion de forros); 032-209 por 10.1 hr (Re torqueo de pernos de sujeción de forros); 032-210 por 2.8 hr (Cambio de cabezal de la manguera de descarga de la bomba 213-804/805) y 032-205 por 14.8 h (Asentado de babbit del pedestal del motor, falla de la tarjeta VFD del sistema de aplicación y calafateo de forros).  
Cambio completo de forros: 032-208 (251.7 hr) y 032-209 (178.2 hr). </t>
  </si>
  <si>
    <t xml:space="preserve">Julio/Anual: Pendiente cambio de motoreductores de los filtros 053-020 y 021.
</t>
  </si>
  <si>
    <t>Disponibilidad Operativa 作业率</t>
  </si>
  <si>
    <t>&gt;82%</t>
  </si>
  <si>
    <t>No cumple con el presupuesto, debido a la baja disponibilidad operativa línea 1 por: Detector de metales (15.24 hrs), Cambio de silo (6.08 hr), Control de nivel de silos (2.99 hr) y Cambio de tipo de mineral (14.14hrs).</t>
  </si>
  <si>
    <t>No cumple con el presupuesto, debido a mantener la chancadora 022-131 en stand by (732.01 hr), Detector de metales (22.44 hr), Cambio de silo (64.98 hr) y Atoro de chute (6.48 hr) .</t>
  </si>
  <si>
    <t>&gt;85%</t>
  </si>
  <si>
    <t>No cumple con el presupuesto, debido a:
Molino de barras: Parada por no requerido 450.7 horas (032-082 por  141.8hr; 032-083 por 24.0hr; 032-085 por 30.0hr; 032-086 por 180.4hr; 032-087 por 66.5hr Y 032-088 por 7.8hr) y Parada por otro molino 517.9 horas (032-081 por 3.2hr; 032-083 por 4.0hr; 032-084 por 4.5hr; 032-085 por 15.5hr; 032-086 por 1.9hr; 032-087 por 70.6hr; 032-088 por 228.1hr y 032-089 por 190.1hr).</t>
  </si>
  <si>
    <t>Consumo de Energia 电耗</t>
  </si>
  <si>
    <t>Consumo de Energia (CHN/MGN/FLT) 电耗</t>
  </si>
  <si>
    <t>Kw/TMS</t>
  </si>
  <si>
    <t xml:space="preserve">Se cumple con el presupuesto mensual; Sin embargo se tiene un acumulado mayor al presupuesto debido al mayor consumo en Planta Magnetica, asociado a la operacion continua de las nuevas celdas de flotación. </t>
  </si>
  <si>
    <t>Desaladora  海水淡化厂</t>
  </si>
  <si>
    <t xml:space="preserve">Julio/Anual: Mayor consumo de amperaje de las bombas de alta y refuerzo de las unidades de RO, para mantener el flujo de producción debido a la saturación de las membranas de las unidades de osmosis inversa (RO). </t>
  </si>
  <si>
    <t>Gestión de Costos y Presupuestos 成本和预算管理</t>
  </si>
  <si>
    <t>Costo de Materiales y Suministros (Serie 200+300) 其他材料消耗</t>
  </si>
  <si>
    <t>&lt;100%</t>
  </si>
  <si>
    <t>Costo unitario Beneficio Antiguo 单位成本</t>
  </si>
  <si>
    <t>US$/TMS</t>
  </si>
  <si>
    <t>Gestión de Cadena de Suministros 供应链管理</t>
  </si>
  <si>
    <t>Presupuesto de Tercerización 第三方预算</t>
  </si>
  <si>
    <t>Gestión de Talento Humano
人力管理</t>
  </si>
  <si>
    <t>Presupuesto de Sobretiempo 加班费预算</t>
  </si>
  <si>
    <t>No se cumple con lo presupuestado, debido a mayor supervision en campo, programacion de dias feriados y domingo.</t>
  </si>
  <si>
    <t>Gestión SSOMA
 安环管理</t>
  </si>
  <si>
    <t>Incide de Frecuencia 事故频率指数</t>
  </si>
  <si>
    <t>Indice de Severidad 事故严重程度指数</t>
  </si>
  <si>
    <t>&lt; 300</t>
  </si>
  <si>
    <t>Indice de Accidentabilidad 事故率指数</t>
  </si>
  <si>
    <t>Información en SAP
 SAP信息管理</t>
  </si>
  <si>
    <t>Cumplir con la información en la herramienta SAP de manera diaria.按日完成 SAP 系统信息录入与更新</t>
  </si>
  <si>
    <t>Dias</t>
  </si>
  <si>
    <t>≤ 1</t>
  </si>
  <si>
    <t>Cumplimiento de REDCO
降成本完成率</t>
  </si>
  <si>
    <t>Optimización del lazo de control de alimentación a molinos de barras.棒磨机给料控制回路优化</t>
  </si>
  <si>
    <t>OBJETIVOS 考核目标</t>
  </si>
  <si>
    <t>INDICADOR 考核内容</t>
  </si>
  <si>
    <t>PLAZO
周期</t>
  </si>
  <si>
    <t>UNIDAD
单位</t>
  </si>
  <si>
    <t>CÁLCULO MENSUAL</t>
  </si>
  <si>
    <t xml:space="preserve">CONS. AGUA DESAL. FILTROS
</t>
  </si>
  <si>
    <t xml:space="preserve">RATIO
</t>
  </si>
  <si>
    <t xml:space="preserve">CUMPL.
</t>
  </si>
  <si>
    <t>(TMS)</t>
  </si>
  <si>
    <t>(m³)</t>
  </si>
  <si>
    <t>(m³/TMS)</t>
  </si>
  <si>
    <t>C=B/A</t>
  </si>
  <si>
    <t xml:space="preserve">C/0.300
</t>
  </si>
  <si>
    <t>Producción
 生产</t>
  </si>
  <si>
    <t>ENE</t>
  </si>
  <si>
    <t>FEB</t>
  </si>
  <si>
    <t>MAR</t>
  </si>
  <si>
    <t>ABR</t>
  </si>
  <si>
    <t>MAY</t>
  </si>
  <si>
    <t>JUN</t>
  </si>
  <si>
    <t>JUL</t>
  </si>
  <si>
    <t>ACUM</t>
  </si>
  <si>
    <t xml:space="preserve">AGUA DESALINIZADA
</t>
  </si>
  <si>
    <t xml:space="preserve">HORAS OPERACIÓN
</t>
  </si>
  <si>
    <t xml:space="preserve">EFICIENCIA
</t>
  </si>
  <si>
    <t>(hr.)</t>
  </si>
  <si>
    <t>(m³/hr)</t>
  </si>
  <si>
    <t>C=A/B</t>
  </si>
  <si>
    <t xml:space="preserve">C/64.0
</t>
  </si>
  <si>
    <t>Eficiencia
 效率</t>
  </si>
  <si>
    <t>Horario</t>
  </si>
  <si>
    <t>m³/hr.</t>
  </si>
  <si>
    <t xml:space="preserve">HORAS CALENDARIO
</t>
  </si>
  <si>
    <t xml:space="preserve">HRS. MANTTO Y REPARACIÓN
</t>
  </si>
  <si>
    <t xml:space="preserve">TIEMPO DISPONIBLE
</t>
  </si>
  <si>
    <t xml:space="preserve">DISP. MECÁNICA
</t>
  </si>
  <si>
    <t>B1</t>
  </si>
  <si>
    <t>C=A-B1</t>
  </si>
  <si>
    <t>D=C/A</t>
  </si>
  <si>
    <t>D/95</t>
  </si>
  <si>
    <t>Disponibilidad Mecánica Eléctrica 机械完好率</t>
  </si>
  <si>
    <t xml:space="preserve">DEMORAS OPERATIVAS
</t>
  </si>
  <si>
    <t xml:space="preserve">TIEMPO DE OPERACIÓN
</t>
  </si>
  <si>
    <t xml:space="preserve">DISP. OPERATIVA
</t>
  </si>
  <si>
    <t>B2</t>
  </si>
  <si>
    <t>C=A-B1-B2</t>
  </si>
  <si>
    <t>D/85</t>
  </si>
  <si>
    <t>Disponibilidad Operativa
 作业率</t>
  </si>
  <si>
    <t xml:space="preserve">AGUA PRODUCIDA
</t>
  </si>
  <si>
    <t xml:space="preserve"> ENERGÍA DESALADORA
</t>
  </si>
  <si>
    <t>(KWH)</t>
  </si>
  <si>
    <t>(KWH/m3)</t>
  </si>
  <si>
    <t xml:space="preserve">C/4.646
</t>
  </si>
  <si>
    <t>Consumo de Energia 
电耗</t>
  </si>
  <si>
    <t>Mensual</t>
  </si>
  <si>
    <t>Kw/m3</t>
  </si>
  <si>
    <r>
      <t xml:space="preserve">Cartas de Responsabilidad de Cumplimiento de Metas e Índices de Gestión - </t>
    </r>
    <r>
      <rPr>
        <b/>
        <sz val="16"/>
        <color rgb="FF000000"/>
        <rFont val="微软雅黑"/>
      </rPr>
      <t>KPIs 2026
2026年经营管理目标责任书（KPIs） - 选厂老区</t>
    </r>
  </si>
  <si>
    <t>2026年目标及管理指标（KPI）达成责任书</t>
  </si>
  <si>
    <t>Superintendencia de Embarque</t>
  </si>
  <si>
    <t>PERIODO</t>
  </si>
  <si>
    <t>Responsable : Zhang Shao Min / Antonio Guzman / Leo Mansilla</t>
  </si>
  <si>
    <t>KPI Cumplidos</t>
  </si>
  <si>
    <t xml:space="preserve">Esta gerencia se compromete a cumplir con las metas indicadas 本部门承诺完成以下目标: </t>
  </si>
  <si>
    <t>KPI No Logrados</t>
  </si>
  <si>
    <t>PLAZO       周期</t>
  </si>
  <si>
    <t>OCTUBRE</t>
  </si>
  <si>
    <t>NOVIEMBRE</t>
  </si>
  <si>
    <t>DICIEMBRE</t>
  </si>
  <si>
    <t>ACUMULADO</t>
  </si>
  <si>
    <t>Peso por Objetivo(%)</t>
  </si>
  <si>
    <t>Número de KPIs por objetivo</t>
  </si>
  <si>
    <t>Peso individual (%)</t>
  </si>
  <si>
    <t>Score (%)</t>
  </si>
  <si>
    <t>Score Ponderado</t>
  </si>
  <si>
    <t>EVALUACION</t>
  </si>
  <si>
    <t>REAL 实际</t>
  </si>
  <si>
    <t>PPTO 预算</t>
  </si>
  <si>
    <t>CUMPL.兑现率</t>
  </si>
  <si>
    <t>REAL
实际</t>
  </si>
  <si>
    <t>PPTO
 预算</t>
  </si>
  <si>
    <t>CUMPL.
兑现率</t>
  </si>
  <si>
    <t>Eficiencia 
效率</t>
  </si>
  <si>
    <t>Embarque promedio 平均装船</t>
  </si>
  <si>
    <t xml:space="preserve">Julio no cumple; acumulado no cumple, asociado a cierre de puerto (1,316.24 h) y esperar plea mar (168.86 h), blending de mineral FKPS, baja eficiencia de tractores por antiguedad.     </t>
  </si>
  <si>
    <t>Gestión de Costos y Presupuestos 
成本和预算管理</t>
  </si>
  <si>
    <t>Demurrage
 滞期费</t>
  </si>
  <si>
    <t>Costo de demurrage 滞期费成本</t>
  </si>
  <si>
    <t>US$000</t>
  </si>
  <si>
    <t>≤ 5,000</t>
  </si>
  <si>
    <t>Presentación de "Estudio de Demurrague", revisión por parte del área de finanzas y comercial.</t>
  </si>
  <si>
    <t>Und</t>
  </si>
  <si>
    <t>Cumplimiento de información 提报信息履行情况</t>
  </si>
  <si>
    <t>Cumplir con la información en la herramienta SAP de manera diaria.每日完成SAP系统信息录入</t>
  </si>
  <si>
    <t>Día calendario</t>
  </si>
  <si>
    <t>Cumplir con enviar la información para reunión de gestión / Kpis y REDCOs. 按要求发送经营分析会、 KPI 及 降成本 所需资料</t>
  </si>
  <si>
    <t>Cumplimiento de REDCO 降成本方案完成率</t>
  </si>
  <si>
    <t>Cumplimiento general de propuestas REDCO</t>
  </si>
  <si>
    <t>CUMPLIMIENTO</t>
  </si>
  <si>
    <t>Nota:</t>
  </si>
  <si>
    <t>(1) Informción enero-febrero regularizado según información histórica del archivo REDCO original Embarque.</t>
  </si>
  <si>
    <t>Cálculo</t>
  </si>
  <si>
    <t>KPI</t>
  </si>
  <si>
    <t>embarque</t>
  </si>
  <si>
    <t>RTM-MAGNETICA</t>
  </si>
  <si>
    <t>PARÁMETROS DEL REPORTE DIARIO</t>
  </si>
  <si>
    <t>1. CONSTANTES DE PLANTA Y METAS KPI</t>
  </si>
  <si>
    <t>Parámetro</t>
  </si>
  <si>
    <t>Valor</t>
  </si>
  <si>
    <t>Unidad</t>
  </si>
  <si>
    <t>Uso / origen</t>
  </si>
  <si>
    <t>Capacidad de alimentación horaria</t>
  </si>
  <si>
    <t>TMS/h</t>
  </si>
  <si>
    <t>Eficiencia de alimentación (antes Reporte!S1)</t>
  </si>
  <si>
    <t>Capacidad de alimentación por turno (8 h)</t>
  </si>
  <si>
    <t>TMS/turno</t>
  </si>
  <si>
    <t>Eficiencia por turno (antes Reporte!AI2 = 13.360)</t>
  </si>
  <si>
    <t>Capacidad de concentrado diaria</t>
  </si>
  <si>
    <t>TMS/día</t>
  </si>
  <si>
    <t>Eficiencia del concentrado diario (antes Reporte!T1)</t>
  </si>
  <si>
    <t>Capacidad de concentrado horaria</t>
  </si>
  <si>
    <t>Eficiencia del concentrado horario (antes 1151,7 escrito en la fórmula)</t>
  </si>
  <si>
    <t>Meta KPI S en concentrado (máx.)</t>
  </si>
  <si>
    <t>Gráfico S en el concentrado</t>
  </si>
  <si>
    <t>Meta KPI Fe en colas (máx.)</t>
  </si>
  <si>
    <t>Gráfico Fe en colas</t>
  </si>
  <si>
    <t>Meta KPI FeO en colas (máx.)</t>
  </si>
  <si>
    <t>Gráfico FeO en colas</t>
  </si>
  <si>
    <t>Banda de control DTT-100 (±)</t>
  </si>
  <si>
    <t>Límites mayor/menor alrededor de la mediana</t>
  </si>
  <si>
    <t>2. PRESUPUESTO Y REAL MENSUAL 2026 (TMS)</t>
  </si>
  <si>
    <t>Ppto Concentrado</t>
  </si>
  <si>
    <t>Real Concentrado</t>
  </si>
  <si>
    <t>Ppto Sinter Calibrado</t>
  </si>
  <si>
    <t>Real Sinter Calibrado</t>
  </si>
  <si>
    <t>Nota</t>
  </si>
  <si>
    <t>Mes cerrado (dato de entrada)</t>
  </si>
  <si>
    <t>Mes en curso: el real lo calcula Reporte Auto desde la tabla diaria</t>
  </si>
  <si>
    <t>3. CONTROL DEL REPORTE (calculado automáticamente, no editar)</t>
  </si>
  <si>
    <t>Dato</t>
  </si>
  <si>
    <t>Fecha seleccionada</t>
  </si>
  <si>
    <t>Vínculo al selector amarillo de Reporte Auto!T1</t>
  </si>
  <si>
    <t>Fila donde está la fecha (totales del día)</t>
  </si>
  <si>
    <t>Las 24 horas están justo encima de la fila del total</t>
  </si>
  <si>
    <t>Día del mes</t>
  </si>
  <si>
    <t>N° de mes</t>
  </si>
  <si>
    <t>Nombre del mes</t>
  </si>
  <si>
    <t>Días del mes</t>
  </si>
  <si>
    <t>Día de inicio de la semana (dom.)</t>
  </si>
  <si>
    <t>Puede ser ≤0 si la semana empezó el mes anterior</t>
  </si>
  <si>
    <t>Días transcurridos de la semana</t>
  </si>
  <si>
    <t>Domingo = 1 … Sábado = 7</t>
  </si>
  <si>
    <t>Ppto diario Concentrado</t>
  </si>
  <si>
    <t>Ppto del mes / días del mes</t>
  </si>
  <si>
    <t>Ppto diario Sinter Calibrado</t>
  </si>
  <si>
    <t>Fecha ▶</t>
  </si>
  <si>
    <t>4. CAMBIOS DE REPORTE AUTO RESPECTO AL REPORTE ORIGINAL</t>
  </si>
  <si>
    <t>• El bloque horario y los totales se buscan según la fecha de Reporte Auto!T1 (antes: 401 enlaces a filas fijas).</t>
  </si>
  <si>
    <t>• Corregido: la fecha mostrada ahora coincide con el bloque de datos (antes indicaba el día anterior).</t>
  </si>
  <si>
    <t>• Corregido: el % mensual compara lo real a la fecha con el presupuesto del mes a la fecha (antes usaba el presupuesto de JUNIO completo).</t>
  </si>
  <si>
    <t>• Corregido: Embarque muestra la última nave registrada (antes apuntaba a la fila 72, vacía).</t>
  </si>
  <si>
    <t>• Metas KPI, capacidades, banda de ±7,5 % y presupuestos se leen de esta hoja (antes estaban escritos dentro de las fórmulas).</t>
  </si>
  <si>
    <t>• Tabla anual: la diferencia de junio ahora se calcula (-54.395); antes estaba escrita a mano (-90.468).</t>
  </si>
  <si>
    <t>• Ppto anual de concentrado = suma de los meses (8.000.014); antes estaba escrito 8.000.015.</t>
  </si>
  <si>
    <t>• La tabla diaria Concentrado/Sinter (Reporte Auto AJ64:AK94) sigue siendo de ingreso manual.</t>
  </si>
  <si>
    <t>ÍNDICE DIARIO — fuente automática de la tabla Concentrado / Sinter de Reporte Auto</t>
  </si>
  <si>
    <t>Hoja RDO</t>
  </si>
  <si>
    <t>Fecha en RDO</t>
  </si>
  <si>
    <t>Sinter Calibrado (TMH)</t>
  </si>
  <si>
    <t>Control</t>
  </si>
  <si>
    <t>RDO-01 SET</t>
  </si>
  <si>
    <t>RDO-02 SET</t>
  </si>
  <si>
    <t>RDO-03 SET</t>
  </si>
  <si>
    <t>RDO-04 SET</t>
  </si>
  <si>
    <t>RDO-05 SET</t>
  </si>
  <si>
    <t>RDO-06 SET</t>
  </si>
  <si>
    <t>RDO-07 SET</t>
  </si>
  <si>
    <t>RDO-08 SET</t>
  </si>
  <si>
    <t>RDO-09 SET</t>
  </si>
  <si>
    <t>RDO-10 SET</t>
  </si>
  <si>
    <t>RDO-11 SET</t>
  </si>
  <si>
    <t>RDO-12 SET</t>
  </si>
  <si>
    <t>RDO-13 SET</t>
  </si>
  <si>
    <t>RDO-14 SET</t>
  </si>
  <si>
    <t>RDO-15 SET</t>
  </si>
  <si>
    <t>RDO-16 SET</t>
  </si>
  <si>
    <t>RDO-17 SET</t>
  </si>
  <si>
    <t>RDO-18 SET</t>
  </si>
  <si>
    <t>RDO-19 SET</t>
  </si>
  <si>
    <t>RDO-20 SET</t>
  </si>
  <si>
    <t>RDO-21 SET</t>
  </si>
  <si>
    <t>RDO-22 SET</t>
  </si>
  <si>
    <t>Tabla manual tenía 2.510 (RDO dice 3.411)</t>
  </si>
  <si>
    <t>Tabla manual tenía 4.158 (RDO dice 5.182)</t>
  </si>
  <si>
    <t>Fecha en RDO invertida (dice 09/10)</t>
  </si>
  <si>
    <t>Fecha en RDO invertida (dice 09/11)</t>
  </si>
  <si>
    <t>RDO-22 tiene fecha 21/9 y aún sin datos</t>
  </si>
  <si>
    <t>Cómo agregar un día nuevo: crear la hoja RDO-dd SET y pedir a Claude que la enlace (o copiar la fórmula de las columnas F:H de la fila anterior y reemplazar el nombre de la hoja).</t>
  </si>
  <si>
    <t>Manual: 820 (RDO: 1.871). Fecha RDO invertida</t>
  </si>
  <si>
    <t>LISTAS DE VALORES PERMITIDOS (usadas en las listas desplegables de Avisos OT)</t>
  </si>
  <si>
    <t>Área planta</t>
  </si>
  <si>
    <t>Trituración</t>
  </si>
  <si>
    <t>Magnética</t>
  </si>
  <si>
    <t>Filtros</t>
  </si>
  <si>
    <t>Relaves</t>
  </si>
  <si>
    <t>Especialidad</t>
  </si>
  <si>
    <t>Instrumentación</t>
  </si>
  <si>
    <t>Fajas</t>
  </si>
  <si>
    <t>Facilidades Generales</t>
  </si>
  <si>
    <t>Taller Equipo Pesado</t>
  </si>
  <si>
    <t>Estado trabajo</t>
  </si>
  <si>
    <t>En proceso</t>
  </si>
  <si>
    <t>Cerrado</t>
  </si>
  <si>
    <t>Condición equipo</t>
  </si>
  <si>
    <t>Parado</t>
  </si>
  <si>
    <t>Operativo</t>
  </si>
  <si>
    <t>Para agregar un valor, escríbalo en la primera celda vacía de la columna (hay espacio hasta la fila 16). Las listas desplegables de Avisos OT se actualizan solas.</t>
  </si>
  <si>
    <t>Fecha reporte</t>
  </si>
  <si>
    <t>Fecha cierre</t>
  </si>
  <si>
    <t>Responsable</t>
  </si>
  <si>
    <t>Observaciones</t>
  </si>
  <si>
    <t>Días abierto</t>
  </si>
  <si>
    <t>Control datos</t>
  </si>
  <si>
    <t>Origen</t>
  </si>
  <si>
    <t>20005484</t>
  </si>
  <si>
    <t>EQUIPO PARADO / INSTALAR IMPULSOR</t>
  </si>
  <si>
    <t>RTM-TRITURACION!6</t>
  </si>
  <si>
    <t>10016711</t>
  </si>
  <si>
    <t>RTM-TRITURACION!7</t>
  </si>
  <si>
    <t>10016712</t>
  </si>
  <si>
    <t>PERDIDA DE ACEITE DEL REDUCTOR</t>
  </si>
  <si>
    <t>RTM-TRITURACION!8</t>
  </si>
  <si>
    <t>10016713</t>
  </si>
  <si>
    <t>RTM-TRITURACION!9</t>
  </si>
  <si>
    <t>10016714</t>
  </si>
  <si>
    <t>RTM-TRITURACION!10</t>
  </si>
  <si>
    <t/>
  </si>
  <si>
    <t>CAMBIO DE LIMPIAFAJA</t>
  </si>
  <si>
    <t>RTM-TRITURACION!11</t>
  </si>
  <si>
    <t>RTM-TRITURACION!12</t>
  </si>
  <si>
    <t>RTM-TRITURACION!13</t>
  </si>
  <si>
    <t>RTM-TRITURACION!14</t>
  </si>
  <si>
    <t>RTM-TRITURACION!15</t>
  </si>
  <si>
    <t>RTM-TRITURACION!16</t>
  </si>
  <si>
    <t>RTM-TRITURACION!17</t>
  </si>
  <si>
    <t>RTM-TRITURACION!18</t>
  </si>
  <si>
    <t>RTM-TRITURACION!19</t>
  </si>
  <si>
    <t>RTM-TRITURACION!20</t>
  </si>
  <si>
    <t>REPOSICION DE 2 POSTES DE FIJACION</t>
  </si>
  <si>
    <t>RTM-TRITURACION!21</t>
  </si>
  <si>
    <t>RTM-TRITURACION!22</t>
  </si>
  <si>
    <t>RTM-TRITURACION!23</t>
  </si>
  <si>
    <t>RTM-TRITURACION!24</t>
  </si>
  <si>
    <t>RTM-TRITURACION!25</t>
  </si>
  <si>
    <t>RTM-TRITURACION!26</t>
  </si>
  <si>
    <t>10018489</t>
  </si>
  <si>
    <t>REPOSICION DE 1 POSTE DE FIJACION</t>
  </si>
  <si>
    <t>RTM-TRITURACION!27</t>
  </si>
  <si>
    <t>RTM-TRITURACION!28</t>
  </si>
  <si>
    <t>RTM-TRITURACION!29</t>
  </si>
  <si>
    <t>RTM-TRITURACION!30</t>
  </si>
  <si>
    <t>RTM-TRITURACION!31</t>
  </si>
  <si>
    <t>RTM-TRITURACION!32</t>
  </si>
  <si>
    <t>RTM-TRITURACION!33</t>
  </si>
  <si>
    <t>RTM-TRITURACION!34</t>
  </si>
  <si>
    <t>RTM-TRITURACION!35</t>
  </si>
  <si>
    <t>RTM-TRITURACION!36</t>
  </si>
  <si>
    <t>RTM-TRITURACION!37</t>
  </si>
  <si>
    <t>RTM-TRITURACION!38</t>
  </si>
  <si>
    <t>RTM-TRITURACION!39</t>
  </si>
  <si>
    <t>RTM-TRITURACION!40</t>
  </si>
  <si>
    <t>RTM-TRITURACION!41</t>
  </si>
  <si>
    <t>RTM-TRITURACION!42</t>
  </si>
  <si>
    <t>RTM-TRITURACION!43</t>
  </si>
  <si>
    <t>RTM-TRITURACION!44</t>
  </si>
  <si>
    <t>EVALUACION DE BASE DE MOTOR</t>
  </si>
  <si>
    <t>RTM-TRITURACION!45</t>
  </si>
  <si>
    <t>RTM-TRITURACION!46</t>
  </si>
  <si>
    <t>CAMBIO DE FAJA</t>
  </si>
  <si>
    <t>RTM-TRITURACION!47</t>
  </si>
  <si>
    <t>RTM-TRITURACION!48</t>
  </si>
  <si>
    <t>RTM-TRITURACION!49</t>
  </si>
  <si>
    <t>RTM-TRITURACION!50</t>
  </si>
  <si>
    <t>RTM-TRITURACION!51</t>
  </si>
  <si>
    <t>RTM-TRITURACION!52</t>
  </si>
  <si>
    <t>RTM-TRITURACION!53</t>
  </si>
  <si>
    <t>RTM-TRITURACION!54</t>
  </si>
  <si>
    <t>RTM-TRITURACION!55</t>
  </si>
  <si>
    <t>RTM-TRITURACION!56</t>
  </si>
  <si>
    <t>RTM-TRITURACION!57</t>
  </si>
  <si>
    <t>RTM-TRITURACION!58</t>
  </si>
  <si>
    <t>RTM-TRITURACION!59</t>
  </si>
  <si>
    <t>RTM-TRITURACION!60</t>
  </si>
  <si>
    <t>RTM-TRITURACION!61</t>
  </si>
  <si>
    <t>RTM-TRITURACION!62</t>
  </si>
  <si>
    <t>RTM-TRITURACION!63</t>
  </si>
  <si>
    <t>RTM-TRITURACION!64</t>
  </si>
  <si>
    <t>RTM-TRITURACION!65</t>
  </si>
  <si>
    <t>RTM-TRITURACION!66</t>
  </si>
  <si>
    <t>RTM-TRITURACION!67</t>
  </si>
  <si>
    <t>RTM-TRITURACION!68</t>
  </si>
  <si>
    <t>RTM-TRITURACION!69</t>
  </si>
  <si>
    <t>RTM-TRITURACION!70</t>
  </si>
  <si>
    <t>RTM-TRITURACION!71</t>
  </si>
  <si>
    <t>RTM-TRITURACION!72</t>
  </si>
  <si>
    <t>RTM-TRITURACION!73</t>
  </si>
  <si>
    <t>RTM-TRITURACION!74</t>
  </si>
  <si>
    <t>RTM-TRITURACION!75</t>
  </si>
  <si>
    <t>RTM-TRITURACION!76</t>
  </si>
  <si>
    <t>RTM-TRITURACION!77</t>
  </si>
  <si>
    <t>RTM-TRITURACION!78</t>
  </si>
  <si>
    <t>RTM-TRITURACION!79</t>
  </si>
  <si>
    <t>RTM-TRITURACION!80</t>
  </si>
  <si>
    <t>RTM-TRITURACION!81</t>
  </si>
  <si>
    <t>RTM-TRITURACION!82</t>
  </si>
  <si>
    <t>10016654</t>
  </si>
  <si>
    <t>Estado vacío en origen</t>
  </si>
  <si>
    <t>RTM-MAGNETICA!6</t>
  </si>
  <si>
    <t>10016657</t>
  </si>
  <si>
    <t>RTM-MAGNETICA!7</t>
  </si>
  <si>
    <t>10016658</t>
  </si>
  <si>
    <t>RTM-MAGNETICA!8</t>
  </si>
  <si>
    <t>10016689</t>
  </si>
  <si>
    <t>RTM-MAGNETICA!9</t>
  </si>
  <si>
    <t>10016691</t>
  </si>
  <si>
    <t>RTM-MAGNETICA!10</t>
  </si>
  <si>
    <t>60006775</t>
  </si>
  <si>
    <t>RTM-MAGNETICA!11</t>
  </si>
  <si>
    <t>RTM-MAGNETICA!12</t>
  </si>
  <si>
    <t>RTM-MAGNETICA!13</t>
  </si>
  <si>
    <t>RTM-MAGNETICA!14</t>
  </si>
  <si>
    <t>RTM-MAGNETICA!15</t>
  </si>
  <si>
    <t>RTM-MAGNETICA!16</t>
  </si>
  <si>
    <t>RTM-MAGNETICA!17</t>
  </si>
  <si>
    <t>RTM-MAGNETICA!18</t>
  </si>
  <si>
    <t>RTM-MAGNETICA!19</t>
  </si>
  <si>
    <t>RTM-MAGNETICA!20</t>
  </si>
  <si>
    <t>RTM-MAGNETICA!21</t>
  </si>
  <si>
    <t>RTM-MAGNETICA!22</t>
  </si>
  <si>
    <t>RTM-MAGNETICA!23</t>
  </si>
  <si>
    <t>RTM-MAGNETICA!24</t>
  </si>
  <si>
    <t>RTM-MAGNETICA!25</t>
  </si>
  <si>
    <t>BOMBEO DEFICIENTE, CAMBIO DE COMPONENTES HUMEDOS</t>
  </si>
  <si>
    <t>RTM-MAGNETICA!26</t>
  </si>
  <si>
    <t>Estado original: OPERATIVO (21/11 18:00HR)</t>
  </si>
  <si>
    <t>RTM-MAGNETICA!27</t>
  </si>
  <si>
    <t>10016844</t>
  </si>
  <si>
    <t>RTM-MAGNETICA!28</t>
  </si>
  <si>
    <t>RTM-MAGNETICA!29</t>
  </si>
  <si>
    <t>RTM-MAGNETICA!30</t>
  </si>
  <si>
    <t>60006773</t>
  </si>
  <si>
    <t>RTM-MAGNETICA!31</t>
  </si>
  <si>
    <t>RTM-MAGNETICA!32</t>
  </si>
  <si>
    <t>RTM-MAGNETICA!33</t>
  </si>
  <si>
    <t>RTM-MAGNETICA!34</t>
  </si>
  <si>
    <t>RTM-MAGNETICA!35</t>
  </si>
  <si>
    <t>20005542</t>
  </si>
  <si>
    <t>REVISAR TOMA DE 440v</t>
  </si>
  <si>
    <t>RTM-MAGNETICA!36</t>
  </si>
  <si>
    <t>20005539</t>
  </si>
  <si>
    <t>RTM-MAGNETICA!37</t>
  </si>
  <si>
    <t>20005540</t>
  </si>
  <si>
    <t>RTM-MAGNETICA!38</t>
  </si>
  <si>
    <t>20005541</t>
  </si>
  <si>
    <t>RTM-MAGNETICA!39</t>
  </si>
  <si>
    <t>60006828</t>
  </si>
  <si>
    <t>RTM-MAGNETICA!40</t>
  </si>
  <si>
    <t>RTM-MAGNETICA!41</t>
  </si>
  <si>
    <t>RTM-MAGNETICA!42</t>
  </si>
  <si>
    <t>20005587</t>
  </si>
  <si>
    <t>RTM-MAGNETICA!43</t>
  </si>
  <si>
    <t>20005588</t>
  </si>
  <si>
    <t>RTM-MAGNETICA!44</t>
  </si>
  <si>
    <t>20005589</t>
  </si>
  <si>
    <t>RTM-MAGNETICA!45</t>
  </si>
  <si>
    <t>10017106</t>
  </si>
  <si>
    <t>RTM-MAGNETICA!46</t>
  </si>
  <si>
    <t>10017108</t>
  </si>
  <si>
    <t>RTM-MAGNETICA!47</t>
  </si>
  <si>
    <t>20005598</t>
  </si>
  <si>
    <t>RTM-MAGNETICA!48</t>
  </si>
  <si>
    <t>RTM-MAGNETICA!49</t>
  </si>
  <si>
    <t>10017220</t>
  </si>
  <si>
    <t>RTM-MAGNETICA!50</t>
  </si>
  <si>
    <t>20005608</t>
  </si>
  <si>
    <t>RTM-MAGNETICA!51</t>
  </si>
  <si>
    <t>20005610</t>
  </si>
  <si>
    <t>RTM-MAGNETICA!52</t>
  </si>
  <si>
    <t>20005609</t>
  </si>
  <si>
    <t>RTM-MAGNETICA!53</t>
  </si>
  <si>
    <t>10017235</t>
  </si>
  <si>
    <t>RTM-MAGNETICA!54</t>
  </si>
  <si>
    <t>10017312</t>
  </si>
  <si>
    <t>RTM-MAGNETICA!55</t>
  </si>
  <si>
    <t>20005685</t>
  </si>
  <si>
    <t>RTM-MAGNETICA!56</t>
  </si>
  <si>
    <t>20005686</t>
  </si>
  <si>
    <t>CAMBIAR Y AJUSTAR PERNOS EN TAPA DE DESCARGA</t>
  </si>
  <si>
    <t>RTM-MAGNETICA!57</t>
  </si>
  <si>
    <t>10017563</t>
  </si>
  <si>
    <t>RTM-MAGNETICA!58</t>
  </si>
  <si>
    <t>20005687</t>
  </si>
  <si>
    <t>RTM-MAGNETICA!59</t>
  </si>
  <si>
    <t>20005690</t>
  </si>
  <si>
    <t>RTM-MAGNETICA!60</t>
  </si>
  <si>
    <t>10017564</t>
  </si>
  <si>
    <t>REUBICAR MANGUERA DE DESCARGA DE 213-111</t>
  </si>
  <si>
    <t>RTM-MAGNETICA!61</t>
  </si>
  <si>
    <t>10017565</t>
  </si>
  <si>
    <t>Limpieza de manguera de alimentación.</t>
  </si>
  <si>
    <t>RTM-MAGNETICA!62</t>
  </si>
  <si>
    <t>RTM-MAGNETICA!63</t>
  </si>
  <si>
    <t>RTM-MAGNETICA!64</t>
  </si>
  <si>
    <t>RTM-MAGNETICA!65</t>
  </si>
  <si>
    <t>RTM-MAGNETICA!66</t>
  </si>
  <si>
    <t>RTM-MAGNETICA!67</t>
  </si>
  <si>
    <t>REPARAR PALETAS</t>
  </si>
  <si>
    <t>RTM-MAGNETICA!68</t>
  </si>
  <si>
    <t>20005699</t>
  </si>
  <si>
    <t>RTM-MAGNETICA!69</t>
  </si>
  <si>
    <t>20005692</t>
  </si>
  <si>
    <t>RTM-MAGNETICA!70</t>
  </si>
  <si>
    <t>20005693</t>
  </si>
  <si>
    <t>RTM-MAGNETICA!71</t>
  </si>
  <si>
    <t>RTM-MAGNETICA!72</t>
  </si>
  <si>
    <t>RTM-MAGNETICA!73</t>
  </si>
  <si>
    <t>RTM-MAGNETICA!74</t>
  </si>
  <si>
    <t>RTM-MAGNETICA!75</t>
  </si>
  <si>
    <t>RTM-MAGNETICA!76</t>
  </si>
  <si>
    <t>RTM-MAGNETICA!77</t>
  </si>
  <si>
    <t>RTM-MAGNETICA!81</t>
  </si>
  <si>
    <t>RTM-MAGNETICA!82</t>
  </si>
  <si>
    <t>RTM-MAGNETICA!83</t>
  </si>
  <si>
    <t>RTM-MAGNETICA!84</t>
  </si>
  <si>
    <t>RTM-MAGNETICA!85</t>
  </si>
  <si>
    <t>CAMBIO DE TAMBOR-RODAMIENTOS</t>
  </si>
  <si>
    <t>RTM-MAGNETICA!86</t>
  </si>
  <si>
    <t>RTM-MAGNETICA!87</t>
  </si>
  <si>
    <t>RTM-MAGNETICA!88</t>
  </si>
  <si>
    <t>RTM-MAGNETICA!89</t>
  </si>
  <si>
    <t>RTM-MAGNETICA!91</t>
  </si>
  <si>
    <t>RTM-MAGNETICA!92</t>
  </si>
  <si>
    <t>RTM-MAGNETICA!93</t>
  </si>
  <si>
    <t>RTM-MAGNETICA!94</t>
  </si>
  <si>
    <t>RTM-MAGNETICA!95</t>
  </si>
  <si>
    <t>RTM-MAGNETICA!96</t>
  </si>
  <si>
    <t>RTM-MAGNETICA!97</t>
  </si>
  <si>
    <t>RTM-MAGNETICA!98</t>
  </si>
  <si>
    <t>RTM-MAGNETICA!99</t>
  </si>
  <si>
    <t>RTM-MAGNETICA!102</t>
  </si>
  <si>
    <t>RTM-MAGNETICA!103</t>
  </si>
  <si>
    <t>RTM-MAGNETICA!104</t>
  </si>
  <si>
    <t>RTM-MAGNETICA!105</t>
  </si>
  <si>
    <t>RTM-MAGNETICA!106</t>
  </si>
  <si>
    <t>RTM-MAGNETICA!107</t>
  </si>
  <si>
    <t>RTM-MAGNETICA!108</t>
  </si>
  <si>
    <t>RTM-MAGNETICA!109</t>
  </si>
  <si>
    <t>RTM-MAGNETICA!110</t>
  </si>
  <si>
    <t>RTM-MAGNETICA!111</t>
  </si>
  <si>
    <t>RTM-MAGNETICA!112</t>
  </si>
  <si>
    <t>RTM-MAGNETICA!113</t>
  </si>
  <si>
    <t>RTM-MAGNETICA!114</t>
  </si>
  <si>
    <t>RTM-MAGNETICA!115</t>
  </si>
  <si>
    <t>RTM-MAGNETICA!116</t>
  </si>
  <si>
    <t>RTM-MAGNETICA!117</t>
  </si>
  <si>
    <t>RTM-MAGNETICA!118</t>
  </si>
  <si>
    <t>RTM-MAGNETICA!119</t>
  </si>
  <si>
    <t>RTM-MAGNETICA!120</t>
  </si>
  <si>
    <t>RTM-MAGNETICA!121</t>
  </si>
  <si>
    <t>RTM-MAGNETICA!122</t>
  </si>
  <si>
    <t>RTM-MAGNETICA!123</t>
  </si>
  <si>
    <t>RTM-MAGNETICA!124</t>
  </si>
  <si>
    <t>RTM-MAGNETICA!125</t>
  </si>
  <si>
    <t>RTM-MAGNETICA!126</t>
  </si>
  <si>
    <t>RTM-MAGNETICA!127</t>
  </si>
  <si>
    <t>RTM-MAGNETICA!128</t>
  </si>
  <si>
    <t>RTM-MAGNETICA!129</t>
  </si>
  <si>
    <t>RTM-MAGNETICA!130</t>
  </si>
  <si>
    <t>RTM-MAGNETICA!131</t>
  </si>
  <si>
    <t>RTM-MAGNETICA!132</t>
  </si>
  <si>
    <t>RTM-MAGNETICA!133</t>
  </si>
  <si>
    <t>RTM-MAGNETICA!134</t>
  </si>
  <si>
    <t>RTM-MAGNETICA!135</t>
  </si>
  <si>
    <t>RTM-MAGNETICA!136</t>
  </si>
  <si>
    <t>RTM-MAGNETICA!137</t>
  </si>
  <si>
    <t>RTM-MAGNETICA!138</t>
  </si>
  <si>
    <t>RTM-MAGNETICA!139</t>
  </si>
  <si>
    <t>PRESENTA FUGA DE ACEITE</t>
  </si>
  <si>
    <t>RTM-MAGNETICA!140</t>
  </si>
  <si>
    <t>RTM-MAGNETICA!141</t>
  </si>
  <si>
    <t>RTM-MAGNETICA!142</t>
  </si>
  <si>
    <t>RTM-MAGNETICA!143</t>
  </si>
  <si>
    <t>RTM-MAGNETICA!144</t>
  </si>
  <si>
    <t>RTM-MAGNETICA!145</t>
  </si>
  <si>
    <t>CAMBIAR MOTOR</t>
  </si>
  <si>
    <t>RTM-MAGNETICA!146</t>
  </si>
  <si>
    <t>RTM-MAGNETICA!147</t>
  </si>
  <si>
    <t>RTM-MAGNETICA!148</t>
  </si>
  <si>
    <t>RTM-MAGNETICA!149</t>
  </si>
  <si>
    <t>RTM-MAGNETICA!150</t>
  </si>
  <si>
    <t>RTM-MAGNETICA!151</t>
  </si>
  <si>
    <t>RTM-MAGNETICA!152</t>
  </si>
  <si>
    <t>RTM-MAGNETICA!153</t>
  </si>
  <si>
    <t>RTM-MAGNETICA!154</t>
  </si>
  <si>
    <t>RTM-MAGNETICA!155</t>
  </si>
  <si>
    <t>RTM-MAGNETICA!156</t>
  </si>
  <si>
    <t>RTM-MAGNETICA!157</t>
  </si>
  <si>
    <t>REALIZAR MANTENIMIENTO-FUGA CARGA</t>
  </si>
  <si>
    <t>RTM-MAGNETICA!158</t>
  </si>
  <si>
    <t>RTM-MAGNETICA!159</t>
  </si>
  <si>
    <t>RTM-MAGNETICA!160</t>
  </si>
  <si>
    <t>RTM-MAGNETICA!161</t>
  </si>
  <si>
    <t>RTM-MAGNETICA!162</t>
  </si>
  <si>
    <t>RTM-MAGNETICA!163</t>
  </si>
  <si>
    <t>RTM-MAGNETICA!164</t>
  </si>
  <si>
    <t>RTM-MAGNETICA!165</t>
  </si>
  <si>
    <t>RTM-MAGNETICA!166</t>
  </si>
  <si>
    <t>RTM-MAGNETICA!167</t>
  </si>
  <si>
    <t>RTM-MAGNETICA!168</t>
  </si>
  <si>
    <t>RTM-MAGNETICA!169</t>
  </si>
  <si>
    <t>RTM-MAGNETICA!170</t>
  </si>
  <si>
    <t>RTM-MAGNETICA!171</t>
  </si>
  <si>
    <t>RTM-MAGNETICA!172</t>
  </si>
  <si>
    <t>RTM-MAGNETICA!173</t>
  </si>
  <si>
    <t>RTM-MAGNETICA!174</t>
  </si>
  <si>
    <t>REVISAR AGITADOR</t>
  </si>
  <si>
    <t>RTM-MAGNETICA!175</t>
  </si>
  <si>
    <t>RTM-MAGNETICA!176</t>
  </si>
  <si>
    <t>RTM-MAGNETICA!177</t>
  </si>
  <si>
    <t>RTM-MAGNETICA!178</t>
  </si>
  <si>
    <t>RTM-MAGNETICA!179</t>
  </si>
  <si>
    <t>RTM-MAGNETICA!180</t>
  </si>
  <si>
    <t>RTM-MAGNETICA!181</t>
  </si>
  <si>
    <t>RTM-MAGNETICA!182</t>
  </si>
  <si>
    <t>RTM-MAGNETICA!183</t>
  </si>
  <si>
    <t>RTM-MAGNETICA!184</t>
  </si>
  <si>
    <t>RTM-MAGNETICA!185</t>
  </si>
  <si>
    <t>RTM-MAGNETICA!186</t>
  </si>
  <si>
    <t>RTM-MAGNETICA!187</t>
  </si>
  <si>
    <t>RTM-MAGNETICA!188</t>
  </si>
  <si>
    <t>RTM-MAGNETICA!189</t>
  </si>
  <si>
    <t>RTM-MAGNETICA!190</t>
  </si>
  <si>
    <t>RTM-MAGNETICA!191</t>
  </si>
  <si>
    <t>RTM-MAGNETICA!193</t>
  </si>
  <si>
    <t>RTM-MAGNETICA!194</t>
  </si>
  <si>
    <t>RTM-MAGNETICA!195</t>
  </si>
  <si>
    <t>RTM-MAGNETICA!196</t>
  </si>
  <si>
    <t>RTM-MAGNETICA!197</t>
  </si>
  <si>
    <t>RTM-MAGNETICA!198</t>
  </si>
  <si>
    <t>RTM-MAGNETICA!199</t>
  </si>
  <si>
    <t>RTM-MAGNETICA!200</t>
  </si>
  <si>
    <t>RTM-MAGNETICA!201</t>
  </si>
  <si>
    <t>REPARAR TAMBOR</t>
  </si>
  <si>
    <t>RTM-MAGNETICA!202</t>
  </si>
  <si>
    <t>RTM-MAGNETICA!203</t>
  </si>
  <si>
    <t>RTM-MAGNETICA!204</t>
  </si>
  <si>
    <t>RTM-MAGNETICA!205</t>
  </si>
  <si>
    <t>RTM-MAGNETICA!206</t>
  </si>
  <si>
    <t>RTM-MAGNETICA!207</t>
  </si>
  <si>
    <t>039-280</t>
  </si>
  <si>
    <t>RTM-MAGNETICA!208</t>
  </si>
  <si>
    <t>RTM-MAGNETICA!209</t>
  </si>
  <si>
    <t>RTM-MAGNETICA!210</t>
  </si>
  <si>
    <t>RTM-MAGNETICA!211</t>
  </si>
  <si>
    <t>RTM-MAGNETICA!212</t>
  </si>
  <si>
    <t>RTM-MAGNETICA!213</t>
  </si>
  <si>
    <t>RTM-MAGNETICA!214</t>
  </si>
  <si>
    <t>RTM-MAGNETICA!215</t>
  </si>
  <si>
    <t>RTM-MAGNETICA!216</t>
  </si>
  <si>
    <t>RTM-MAGNETICA!217</t>
  </si>
  <si>
    <t>RTM-MAGNETICA!218</t>
  </si>
  <si>
    <t>RTM-MAGNETICA!219</t>
  </si>
  <si>
    <t>RTM-MAGNETICA!220</t>
  </si>
  <si>
    <t>RTM-MAGNETICA!221</t>
  </si>
  <si>
    <t>RTM-MAGNETICA!222</t>
  </si>
  <si>
    <t>RTM-MAGNETICA!223</t>
  </si>
  <si>
    <t>RTM-MAGNETICA!224</t>
  </si>
  <si>
    <t>RTM-MAGNETICA!225</t>
  </si>
  <si>
    <t>RTM-MAGNETICA!226</t>
  </si>
  <si>
    <t>RTM-MAGNETICA!227</t>
  </si>
  <si>
    <t>RTM-MAGNETICA!228</t>
  </si>
  <si>
    <t>RTM-MAGNETICA!229</t>
  </si>
  <si>
    <t>RTM-MAGNETICA!230</t>
  </si>
  <si>
    <t>RTM-MAGNETICA!231</t>
  </si>
  <si>
    <t>RTM-MAGNETICA!232</t>
  </si>
  <si>
    <t>RTM-MAGNETICA!233</t>
  </si>
  <si>
    <t>RTM-MAGNETICA!234</t>
  </si>
  <si>
    <t>RTM-MAGNETICA!235</t>
  </si>
  <si>
    <t>RTM-MAGNETICA!236</t>
  </si>
  <si>
    <t>RTM-MAGNETICA!237</t>
  </si>
  <si>
    <t>RTM-MAGNETICA!238</t>
  </si>
  <si>
    <t>RTM-MAGNETICA!239</t>
  </si>
  <si>
    <t>RTM-MAGNETICA!240</t>
  </si>
  <si>
    <t>RTM-MAGNETICA!241</t>
  </si>
  <si>
    <t>RTM-MAGNETICA!242</t>
  </si>
  <si>
    <t>RTM-MAGNETICA!243</t>
  </si>
  <si>
    <t>RTM-MAGNETICA!244</t>
  </si>
  <si>
    <t>RTM-MAGNETICA!245</t>
  </si>
  <si>
    <t>RTM-MAGNETICA!246</t>
  </si>
  <si>
    <t>RTM-MAGNETICA!247</t>
  </si>
  <si>
    <t>RTM-MAGNETICA!248</t>
  </si>
  <si>
    <t>RTM-MAGNETICA!249</t>
  </si>
  <si>
    <t>RTM-MAGNETICA!250</t>
  </si>
  <si>
    <t>RTM-MAGNETICA!251</t>
  </si>
  <si>
    <t>RTM-MAGNETICA!252</t>
  </si>
  <si>
    <t>RTM-MAGNETICA!253</t>
  </si>
  <si>
    <t>RTM-MAGNETICA!254</t>
  </si>
  <si>
    <t>RTM-MAGNETICA!255</t>
  </si>
  <si>
    <t>RTM-MAGNETICA!256</t>
  </si>
  <si>
    <t>RTM-MAGNETICA!257</t>
  </si>
  <si>
    <t>RTM-MAGNETICA!258</t>
  </si>
  <si>
    <t>RTM-MAGNETICA!259</t>
  </si>
  <si>
    <t>RTM-MAGNETICA!260</t>
  </si>
  <si>
    <t>RTM-MAGNETICA!261</t>
  </si>
  <si>
    <t>RTM-MAGNETICA!262</t>
  </si>
  <si>
    <t>RTM-MAGNETICA!264</t>
  </si>
  <si>
    <t>RTM-MAGNETICA!265</t>
  </si>
  <si>
    <t>RTM-MAGNETICA!266</t>
  </si>
  <si>
    <t>RTM-MAGNETICA!267</t>
  </si>
  <si>
    <t>RTM-MAGNETICA!268</t>
  </si>
  <si>
    <t>RTM-MAGNETICA!269</t>
  </si>
  <si>
    <t>RTM-MAGNETICA!270</t>
  </si>
  <si>
    <t>RTM-MAGNETICA!271</t>
  </si>
  <si>
    <t>RTM-MAGNETICA!272</t>
  </si>
  <si>
    <t>RTM-MAGNETICA!273</t>
  </si>
  <si>
    <t>CAMBIAR TUBO AUXILIAR</t>
  </si>
  <si>
    <t>RTM-MAGNETICA!274</t>
  </si>
  <si>
    <t>RTM-MAGNETICA!275</t>
  </si>
  <si>
    <t>RTM-MAGNETICA!276</t>
  </si>
  <si>
    <t>RTM-MAGNETICA!277</t>
  </si>
  <si>
    <t>RTM-MAGNETICA!278</t>
  </si>
  <si>
    <t>RTM-MAGNETICA!279</t>
  </si>
  <si>
    <t>RTM-MAGNETICA!280</t>
  </si>
  <si>
    <t>RTM-MAGNETICA!281</t>
  </si>
  <si>
    <t>RTM-MAGNETICA!282</t>
  </si>
  <si>
    <t>RTM-MAGNETICA!283</t>
  </si>
  <si>
    <t>RTM-MAGNETICA!284</t>
  </si>
  <si>
    <t>RTM-MAGNETICA!285</t>
  </si>
  <si>
    <t>RTM-MAGNETICA!286</t>
  </si>
  <si>
    <t>RTM-MAGNETICA!287</t>
  </si>
  <si>
    <t>10014645</t>
  </si>
  <si>
    <t>RTM-FILTROS!6</t>
  </si>
  <si>
    <t>10014879</t>
  </si>
  <si>
    <t>RTM-FILTROS!7</t>
  </si>
  <si>
    <t>10014604</t>
  </si>
  <si>
    <t>RTM-FILTROS!8</t>
  </si>
  <si>
    <t>Aviso no numérico</t>
  </si>
  <si>
    <t>RTM-FILTROS!9</t>
  </si>
  <si>
    <t>RTM-FILTROS!10</t>
  </si>
  <si>
    <t>10010264</t>
  </si>
  <si>
    <t>RTM-FILTROS!11</t>
  </si>
  <si>
    <t>10010260</t>
  </si>
  <si>
    <t>Contrapesos de faja con tecle 051-150</t>
  </si>
  <si>
    <t>RTM-FILTROS!12</t>
  </si>
  <si>
    <t>10010261</t>
  </si>
  <si>
    <t>Contrapesos de faja con tecle 051-151</t>
  </si>
  <si>
    <t>RTM-FILTROS!13</t>
  </si>
  <si>
    <t>10010262</t>
  </si>
  <si>
    <t>RTM-FILTROS!14</t>
  </si>
  <si>
    <t>10010263</t>
  </si>
  <si>
    <t>Contrapesos de faja con tecle 051-153</t>
  </si>
  <si>
    <t>RTM-FILTROS!15</t>
  </si>
  <si>
    <t>30002679</t>
  </si>
  <si>
    <t>RTM-FILTROS!16</t>
  </si>
  <si>
    <t>Mantenimiento a motor de grua en taller eléctrico</t>
  </si>
  <si>
    <t>RTM-FILTROS!17</t>
  </si>
  <si>
    <t>RTM-FILTROS!18</t>
  </si>
  <si>
    <t>RTM-FILTROS!19</t>
  </si>
  <si>
    <t>RTM-FILTROS!20</t>
  </si>
  <si>
    <t>cambio de reductor</t>
  </si>
  <si>
    <t>RTM-FILTROS!21</t>
  </si>
  <si>
    <t>RTM-FILTROS!22</t>
  </si>
  <si>
    <t>RTM-FILTROS!23</t>
  </si>
  <si>
    <t>RTM-FILTROS!24</t>
  </si>
  <si>
    <t>cambio de motor</t>
  </si>
  <si>
    <t>RTM-FILTROS!25</t>
  </si>
  <si>
    <t>RTM-FILTROS!26</t>
  </si>
  <si>
    <t>RTM-FILTROS!27</t>
  </si>
  <si>
    <t>RTM-FILTROS!28</t>
  </si>
  <si>
    <t>RTM-FILTROS!29</t>
  </si>
  <si>
    <t>RTM-FILTROS!30</t>
  </si>
  <si>
    <t>20005447</t>
  </si>
  <si>
    <t>RTM-RELAVES!6</t>
  </si>
  <si>
    <t>20005448</t>
  </si>
  <si>
    <t>RTM-RELAVES!7</t>
  </si>
  <si>
    <t>10016649</t>
  </si>
  <si>
    <t>RTM-RELAVES!8</t>
  </si>
  <si>
    <t>20005449</t>
  </si>
  <si>
    <t>RTM-RELAVES!9</t>
  </si>
  <si>
    <t>60005423</t>
  </si>
  <si>
    <t>RTM-RELAVES!10</t>
  </si>
  <si>
    <t>10016650</t>
  </si>
  <si>
    <t>RTM-RELAVES!11</t>
  </si>
  <si>
    <t>20005450</t>
  </si>
  <si>
    <t>RTM-RELAVES!12</t>
  </si>
  <si>
    <t>20005451</t>
  </si>
  <si>
    <t>RTM-RELAVES!13</t>
  </si>
  <si>
    <t>20005452</t>
  </si>
  <si>
    <t>RTM-RELAVES!14</t>
  </si>
  <si>
    <t>10016686</t>
  </si>
  <si>
    <t>RTM-RELAVES!15</t>
  </si>
  <si>
    <t>10016687</t>
  </si>
  <si>
    <t>RTM-RELAVES!16</t>
  </si>
  <si>
    <t>20005477</t>
  </si>
  <si>
    <t>RTM-RELAVES!17</t>
  </si>
  <si>
    <t>20005478</t>
  </si>
  <si>
    <t>RTM-RELAVES!18</t>
  </si>
  <si>
    <t>30002407</t>
  </si>
  <si>
    <t>RTM-RELAVES!19</t>
  </si>
  <si>
    <t>20004584</t>
  </si>
  <si>
    <t>RTM-RELAVES!20</t>
  </si>
  <si>
    <t>30001567</t>
  </si>
  <si>
    <t>RTM-RELAVES!21</t>
  </si>
  <si>
    <t>20005479</t>
  </si>
  <si>
    <t>RTM-RELAVES!22</t>
  </si>
  <si>
    <t>30002517</t>
  </si>
  <si>
    <t>RTM-RELAVES!23</t>
  </si>
  <si>
    <t>20005480</t>
  </si>
  <si>
    <t>RTM-RELAVES!24</t>
  </si>
  <si>
    <t>10016690</t>
  </si>
  <si>
    <t>RTM-RELAVES!25</t>
  </si>
  <si>
    <t>30002545</t>
  </si>
  <si>
    <t>RTM-RELAVES!26</t>
  </si>
  <si>
    <t>20005481</t>
  </si>
  <si>
    <t>RTM-RELAVES!27</t>
  </si>
  <si>
    <t>20005482</t>
  </si>
  <si>
    <t>RTM-RELAVES!28</t>
  </si>
  <si>
    <t>20005525</t>
  </si>
  <si>
    <t>RTM-RELAVES!29</t>
  </si>
  <si>
    <t>20005599</t>
  </si>
  <si>
    <t>RTM-RELAVES!30</t>
  </si>
  <si>
    <t>20005600</t>
  </si>
  <si>
    <t>RTM-RELAVES!31</t>
  </si>
  <si>
    <t>RTM-RELAVES!32</t>
  </si>
  <si>
    <t>10013889</t>
  </si>
  <si>
    <t>RTM-RELAVES!33</t>
  </si>
  <si>
    <t>20005753</t>
  </si>
  <si>
    <t>RTM-RELAVES!34</t>
  </si>
  <si>
    <t>10017851</t>
  </si>
  <si>
    <t>RTM-RELAVES!35</t>
  </si>
  <si>
    <t>20005908</t>
  </si>
  <si>
    <t>RTM-RELAVES!36</t>
  </si>
  <si>
    <t>20005909</t>
  </si>
  <si>
    <t>RTM-RELAVES!37</t>
  </si>
  <si>
    <t>10019032</t>
  </si>
  <si>
    <t>RTM-RELAVES!38</t>
  </si>
  <si>
    <t>10019025</t>
  </si>
  <si>
    <t>RTM-RELAVES!39</t>
  </si>
  <si>
    <t>10019721</t>
  </si>
  <si>
    <t>RTM-RELAVES!40</t>
  </si>
  <si>
    <t>10019198</t>
  </si>
  <si>
    <t>RTM-EMBARQUE!9</t>
  </si>
  <si>
    <t>10019442</t>
  </si>
  <si>
    <t>RTM-EMBARQUE!10</t>
  </si>
  <si>
    <t>10019443</t>
  </si>
  <si>
    <t>RTM-EMBARQUE!11</t>
  </si>
  <si>
    <t>10019878</t>
  </si>
  <si>
    <t>RTM-EMBARQUE!12</t>
  </si>
  <si>
    <t>10021173</t>
  </si>
  <si>
    <t>RTM-EMBARQUE!13</t>
  </si>
  <si>
    <t>20005892</t>
  </si>
  <si>
    <t>RTM-EMBARQUE!14</t>
  </si>
  <si>
    <t>20005893</t>
  </si>
  <si>
    <t>RTM-EMBARQUE!15</t>
  </si>
  <si>
    <t>20006305</t>
  </si>
  <si>
    <t>RTM-EMBARQUE!16</t>
  </si>
  <si>
    <t>30003044</t>
  </si>
  <si>
    <t>RTM-EMBARQUE!17</t>
  </si>
  <si>
    <t>60007566</t>
  </si>
  <si>
    <t>RTM-EMBARQUE!18</t>
  </si>
  <si>
    <t>60007833</t>
  </si>
  <si>
    <t>RTM-EMBARQUE!19</t>
  </si>
  <si>
    <t>60007834</t>
  </si>
  <si>
    <t>RTM-EMBARQUE!20</t>
  </si>
  <si>
    <t>60007835</t>
  </si>
  <si>
    <t>RTM-EMBARQUE!21</t>
  </si>
  <si>
    <t>60008124</t>
  </si>
  <si>
    <t>RTM-EMBARQUE!22</t>
  </si>
  <si>
    <t>60008338</t>
  </si>
  <si>
    <t>RTM-EMBARQUE!23</t>
  </si>
  <si>
    <t>10020702</t>
  </si>
  <si>
    <t>RTM-EMBARQUE!24</t>
  </si>
  <si>
    <t>10001125</t>
  </si>
  <si>
    <t>RTM-EMBARQUE!25</t>
  </si>
  <si>
    <t>60002646</t>
  </si>
  <si>
    <t>RTM-EMBARQUE!26</t>
  </si>
  <si>
    <t>10001382</t>
  </si>
  <si>
    <t>RTM-EMBARQUE!27</t>
  </si>
  <si>
    <t>10014914</t>
  </si>
  <si>
    <t>RTM-EMBARQUE!28</t>
  </si>
  <si>
    <t>60003290</t>
  </si>
  <si>
    <t>RTM-EMBARQUE!29</t>
  </si>
  <si>
    <t>30001820</t>
  </si>
  <si>
    <t>RTM-EMBARQUE!30</t>
  </si>
  <si>
    <t>20003714</t>
  </si>
  <si>
    <t>RTM-EMBARQUE!31</t>
  </si>
  <si>
    <t>20006304</t>
  </si>
  <si>
    <t>RTM-EMBARQUE!32</t>
  </si>
  <si>
    <t>30002936</t>
  </si>
  <si>
    <t>RTM-EMBARQUE!33</t>
  </si>
  <si>
    <t>30002938</t>
  </si>
  <si>
    <t>RTM-EMBARQUE!34</t>
  </si>
  <si>
    <t>30003107</t>
  </si>
  <si>
    <t>RTM-EMBARQUE!35</t>
  </si>
  <si>
    <t>30002330</t>
  </si>
  <si>
    <t>RTM-EMBARQUE!36</t>
  </si>
  <si>
    <t>10008433</t>
  </si>
  <si>
    <t>RTM-EMBARQUE!37</t>
  </si>
  <si>
    <t>30003022</t>
  </si>
  <si>
    <t>RTM-EMBARQUE!38</t>
  </si>
  <si>
    <t>20006306</t>
  </si>
  <si>
    <t>RTM-EMBARQUE!39</t>
  </si>
  <si>
    <t>20005920</t>
  </si>
  <si>
    <t>RTM-EMBARQUE!40</t>
  </si>
  <si>
    <t>20006261</t>
  </si>
  <si>
    <t>RTM-EMBARQUE!41</t>
  </si>
  <si>
    <t>60005941</t>
  </si>
  <si>
    <t>RTM-EMBARQUE!42</t>
  </si>
  <si>
    <t>60005936</t>
  </si>
  <si>
    <t>RTM-EMBARQUE!43</t>
  </si>
  <si>
    <t>60005937</t>
  </si>
  <si>
    <t>RTM-EMBARQUE!44</t>
  </si>
  <si>
    <t>10019541</t>
  </si>
  <si>
    <t>RTM-EMBARQUE!45</t>
  </si>
  <si>
    <t>20004830</t>
  </si>
  <si>
    <t>RTM-EMBARQUE!46</t>
  </si>
  <si>
    <t>60005942</t>
  </si>
  <si>
    <t>RTM-EMBARQUE!47</t>
  </si>
  <si>
    <t>30003000</t>
  </si>
  <si>
    <t>RTM-EMBARQUE!48</t>
  </si>
  <si>
    <t>30003087</t>
  </si>
  <si>
    <t>RTM-EMBARQUE!49</t>
  </si>
  <si>
    <t>30003109</t>
  </si>
  <si>
    <t>RTM-EMBARQUE!50</t>
  </si>
  <si>
    <t>60008903</t>
  </si>
  <si>
    <t>RTM-EMBARQUE!51</t>
  </si>
  <si>
    <t>30002912</t>
  </si>
  <si>
    <t>RTM-EMBARQUE!52</t>
  </si>
  <si>
    <t>10021174</t>
  </si>
  <si>
    <t>RTM-EMBARQUE!53</t>
  </si>
  <si>
    <t>20006082</t>
  </si>
  <si>
    <t>RTM-EMBARQUE!54</t>
  </si>
  <si>
    <t>10003043</t>
  </si>
  <si>
    <t>RTM-EMBARQUE!55</t>
  </si>
  <si>
    <t>60003292</t>
  </si>
  <si>
    <t>RTM-EMBARQUE!56</t>
  </si>
  <si>
    <t>10021175</t>
  </si>
  <si>
    <t>RTM-EMBARQUE!57</t>
  </si>
  <si>
    <t>20006263</t>
  </si>
  <si>
    <t>RTM-EMBARQUE!58</t>
  </si>
  <si>
    <t>20006266</t>
  </si>
  <si>
    <t>RTM-EMBARQUE!59</t>
  </si>
  <si>
    <t>20006303</t>
  </si>
  <si>
    <t>RTM-EMBARQUE!60</t>
  </si>
  <si>
    <t>30003018</t>
  </si>
  <si>
    <t>RTM-EMBARQUE!61</t>
  </si>
  <si>
    <t>30003085</t>
  </si>
  <si>
    <t>RTM-EMBARQUE!62</t>
  </si>
  <si>
    <t>60008557</t>
  </si>
  <si>
    <t>RTM-EMBARQUE!63</t>
  </si>
  <si>
    <t>10002015</t>
  </si>
  <si>
    <t>RTM-EMBARQUE!64</t>
  </si>
  <si>
    <t>20004284</t>
  </si>
  <si>
    <t>RTM-EMBARQUE!65</t>
  </si>
  <si>
    <t>30002156</t>
  </si>
  <si>
    <t>RTM-EMBARQUE!66</t>
  </si>
  <si>
    <t>30003016</t>
  </si>
  <si>
    <t>RTM-EMBARQUE!67</t>
  </si>
  <si>
    <t>30003017</t>
  </si>
  <si>
    <t>RTM-EMBARQUE!68</t>
  </si>
  <si>
    <t>10019186</t>
  </si>
  <si>
    <t>RTM-EMBARQUE!69</t>
  </si>
  <si>
    <t>20006144</t>
  </si>
  <si>
    <t>RTM-EMBARQUE!70</t>
  </si>
  <si>
    <t>1000</t>
  </si>
  <si>
    <t>RTM-EMBARQUE!71</t>
  </si>
  <si>
    <t>10013905</t>
  </si>
  <si>
    <t>RTM-EMBARQUE!72</t>
  </si>
  <si>
    <t>30002339</t>
  </si>
  <si>
    <t>RTM-EMBARQUE!73</t>
  </si>
  <si>
    <t>10017615</t>
  </si>
  <si>
    <t>RTM-EMBARQUE!74</t>
  </si>
  <si>
    <t>20006308</t>
  </si>
  <si>
    <t>RTM-EMBARQUE!75</t>
  </si>
  <si>
    <t>20006309</t>
  </si>
  <si>
    <t>RTM-EMBARQUE!76</t>
  </si>
  <si>
    <t>60002955</t>
  </si>
  <si>
    <t>RTM-EMBARQUE!77</t>
  </si>
  <si>
    <t>30002996</t>
  </si>
  <si>
    <t>RTM-EMBARQUE!78</t>
  </si>
  <si>
    <t>60008342</t>
  </si>
  <si>
    <t>RTM-EMBARQUE!79</t>
  </si>
  <si>
    <t>10017616</t>
  </si>
  <si>
    <t>RTM-EMBARQUE!80</t>
  </si>
  <si>
    <t>10017617</t>
  </si>
  <si>
    <t>RTM-EMBARQUE!81</t>
  </si>
  <si>
    <t>10017618</t>
  </si>
  <si>
    <t>RTM-EMBARQUE!82</t>
  </si>
  <si>
    <t>30002714</t>
  </si>
  <si>
    <t>RTM-EMBARQUE!83</t>
  </si>
  <si>
    <t>AVISOS / ÓRDENES DE TRABAJO — REGISTRO ÚNICO DE MANTENIMIENTO</t>
  </si>
  <si>
    <t>Unifica RTM-Trituración, Magnética, Filtros, Relaves y Embarque (migrado el 23/09/2026; la columna Origen indica hoja!fila original). Registrar los avisos nuevos aquí, en la primera fila vacía debajo de la tabla.</t>
  </si>
  <si>
    <t>MAESTRO DE EQUIPOS</t>
  </si>
  <si>
    <t>Lista inicial generada con los códigos de equipo de Avisos OT. Completar Descripción y Criticidad del equipo; los contadores se calculan solos.</t>
  </si>
  <si>
    <t>Código equipo</t>
  </si>
  <si>
    <t>Descripción equipo</t>
  </si>
  <si>
    <t>Criticidad equipo</t>
  </si>
  <si>
    <t>N° avisos</t>
  </si>
  <si>
    <t>Pendientes</t>
  </si>
  <si>
    <t>Parado (abierto)</t>
  </si>
  <si>
    <t>Último aviso</t>
  </si>
  <si>
    <t>RESUMEN DE AVISOS DE MANTENIMIENTO</t>
  </si>
  <si>
    <t>1. Avisos por área y estado</t>
  </si>
  <si>
    <t>2. Avisos abiertos (no cerrados) por criticidad</t>
  </si>
  <si>
    <t>Sin criticidad</t>
  </si>
  <si>
    <t>Total abiertos</t>
  </si>
  <si>
    <t>3. Indicadores clave (avisos abiertos)</t>
  </si>
  <si>
    <t>Equipos parados</t>
  </si>
  <si>
    <t>Abiertos &gt; 90 días</t>
  </si>
  <si>
    <t>Antigüedad promedio (días)</t>
  </si>
  <si>
    <t>Cerrados en origen %</t>
  </si>
  <si>
    <t>Registros a revisar</t>
  </si>
  <si>
    <t>4. Calidad de datos (columna Control datos)</t>
  </si>
  <si>
    <t>N° registros</t>
  </si>
  <si>
    <t>Sin fecha</t>
  </si>
  <si>
    <t>Fecha futura</t>
  </si>
  <si>
    <t>Sin aviso SAP</t>
  </si>
  <si>
    <t>OK</t>
  </si>
  <si>
    <t>Fecha original: 02/11/0205 (año inválido, ¿2025?)</t>
  </si>
  <si>
    <t>Fecha inválida</t>
  </si>
  <si>
    <t>• Fase 2: hojas Avisos OT (tblAvisos, 486 avisos de las 5 RTM), Resumen Avisos, Maestro Equipos (tblEquipos, 243 equipos) y Listas (valores permitidos). Hojas RTM originales sin cambios.</t>
  </si>
  <si>
    <t>Área</t>
  </si>
  <si>
    <t>Guardia</t>
  </si>
  <si>
    <t>RDO-01 SET!C8</t>
  </si>
  <si>
    <t>RDO-01 SET!D8</t>
  </si>
  <si>
    <t>RDO-01 SET!E8</t>
  </si>
  <si>
    <t>RDO-01 SET!G8</t>
  </si>
  <si>
    <t>RDO-01 SET!H8</t>
  </si>
  <si>
    <t>RDO-01 SET!I8</t>
  </si>
  <si>
    <t>RDO-01 SET!C9</t>
  </si>
  <si>
    <t>RDO-01 SET!D9</t>
  </si>
  <si>
    <t>RDO-01 SET!E9</t>
  </si>
  <si>
    <t>RDO-01 SET!G9</t>
  </si>
  <si>
    <t>RDO-01 SET!H9</t>
  </si>
  <si>
    <t>RDO-01 SET!I9</t>
  </si>
  <si>
    <t>RDO-01 SET!C10</t>
  </si>
  <si>
    <t>RDO-01 SET!D10</t>
  </si>
  <si>
    <t>RDO-01 SET!E10</t>
  </si>
  <si>
    <t>RDO-01 SET!G10</t>
  </si>
  <si>
    <t>RDO-01 SET!H10</t>
  </si>
  <si>
    <t>RDO-01 SET!I10</t>
  </si>
  <si>
    <t>RDO-01 SET!C11</t>
  </si>
  <si>
    <t>RDO-01 SET!D11</t>
  </si>
  <si>
    <t>RDO-01 SET!E11</t>
  </si>
  <si>
    <t>RDO-01 SET!G11</t>
  </si>
  <si>
    <t>RDO-01 SET!H11</t>
  </si>
  <si>
    <t>RDO-01 SET!I11</t>
  </si>
  <si>
    <t>RDO-01 SET!G12</t>
  </si>
  <si>
    <t>RDO-01 SET!H12</t>
  </si>
  <si>
    <t>RDO-01 SET!I12</t>
  </si>
  <si>
    <t>RDO-01 SET!C13</t>
  </si>
  <si>
    <t>RDO-01 SET!D13</t>
  </si>
  <si>
    <t>RDO-01 SET!E13</t>
  </si>
  <si>
    <t>RDO-01 SET!G13</t>
  </si>
  <si>
    <t>RDO-01 SET!H13</t>
  </si>
  <si>
    <t>RDO-01 SET!I13</t>
  </si>
  <si>
    <t>Nivel silo 1</t>
  </si>
  <si>
    <t>RDO-01 SET!C14</t>
  </si>
  <si>
    <t>RDO-01 SET!D14</t>
  </si>
  <si>
    <t>RDO-01 SET!E14</t>
  </si>
  <si>
    <t>RDO-01 SET!G14</t>
  </si>
  <si>
    <t>RDO-01 SET!H14</t>
  </si>
  <si>
    <t>RDO-01 SET!I14</t>
  </si>
  <si>
    <t>Nivel silo 2</t>
  </si>
  <si>
    <t>RDO-01 SET!C15</t>
  </si>
  <si>
    <t>RDO-01 SET!D15</t>
  </si>
  <si>
    <t>RDO-01 SET!E15</t>
  </si>
  <si>
    <t>RDO-01 SET!G15</t>
  </si>
  <si>
    <t>RDO-01 SET!H15</t>
  </si>
  <si>
    <t>RDO-01 SET!I15</t>
  </si>
  <si>
    <t>Nivel silo 3</t>
  </si>
  <si>
    <t>RDO-01 SET!C16</t>
  </si>
  <si>
    <t>RDO-01 SET!D16</t>
  </si>
  <si>
    <t>RDO-01 SET!E16</t>
  </si>
  <si>
    <t>RDO-01 SET!G16</t>
  </si>
  <si>
    <t>RDO-01 SET!H16</t>
  </si>
  <si>
    <t>RDO-01 SET!I16</t>
  </si>
  <si>
    <t>Nivel silo 4</t>
  </si>
  <si>
    <t>RDO-01 SET!C17</t>
  </si>
  <si>
    <t>RDO-01 SET!D17</t>
  </si>
  <si>
    <t>RDO-01 SET!E17</t>
  </si>
  <si>
    <t>Nivel silo 5</t>
  </si>
  <si>
    <t>RDO-01 SET!C18</t>
  </si>
  <si>
    <t>RDO-01 SET!D18</t>
  </si>
  <si>
    <t>RDO-01 SET!E18</t>
  </si>
  <si>
    <t>RDO-01 SET!G18</t>
  </si>
  <si>
    <t>RDO-01 SET!H18</t>
  </si>
  <si>
    <t>RDO-01 SET!I18</t>
  </si>
  <si>
    <t>Nivel silo 6</t>
  </si>
  <si>
    <t>RDO-01 SET!C19</t>
  </si>
  <si>
    <t>RDO-01 SET!D19</t>
  </si>
  <si>
    <t>RDO-01 SET!E19</t>
  </si>
  <si>
    <t>RDO-01 SET!G19</t>
  </si>
  <si>
    <t>RDO-01 SET!H19</t>
  </si>
  <si>
    <t>RDO-01 SET!I19</t>
  </si>
  <si>
    <t>Nivel silo 7</t>
  </si>
  <si>
    <t>RDO-01 SET!C20</t>
  </si>
  <si>
    <t>RDO-01 SET!D20</t>
  </si>
  <si>
    <t>RDO-01 SET!E20</t>
  </si>
  <si>
    <t>RDO-01 SET!G20</t>
  </si>
  <si>
    <t>RDO-01 SET!H20</t>
  </si>
  <si>
    <t>RDO-01 SET!I20</t>
  </si>
  <si>
    <t>Nivel silo 8</t>
  </si>
  <si>
    <t>RDO-01 SET!C21</t>
  </si>
  <si>
    <t>RDO-01 SET!D21</t>
  </si>
  <si>
    <t>RDO-01 SET!E21</t>
  </si>
  <si>
    <t>RDO-01 SET!G21</t>
  </si>
  <si>
    <t>RDO-01 SET!H21</t>
  </si>
  <si>
    <t>RDO-01 SET!I21</t>
  </si>
  <si>
    <t>Nivel silo 9</t>
  </si>
  <si>
    <t>RDO-01 SET!C22</t>
  </si>
  <si>
    <t>RDO-01 SET!D22</t>
  </si>
  <si>
    <t>RDO-01 SET!E22</t>
  </si>
  <si>
    <t>RDO-01 SET!G22</t>
  </si>
  <si>
    <t>RDO-01 SET!H22</t>
  </si>
  <si>
    <t>RDO-01 SET!I22</t>
  </si>
  <si>
    <t>Linea 1 (chancadoras)</t>
  </si>
  <si>
    <t>RDO-01 SET!C23</t>
  </si>
  <si>
    <t>RDO-01 SET!D23</t>
  </si>
  <si>
    <t>RDO-01 SET!E23</t>
  </si>
  <si>
    <t>RDO-01 SET!G23</t>
  </si>
  <si>
    <t>RDO-01 SET!H23</t>
  </si>
  <si>
    <t>RDO-01 SET!I23</t>
  </si>
  <si>
    <t>RDO-01 SET!G24</t>
  </si>
  <si>
    <t>RDO-01 SET!H24</t>
  </si>
  <si>
    <t>RDO-01 SET!I24</t>
  </si>
  <si>
    <t>Linea 2 (chancadoras)</t>
  </si>
  <si>
    <t>RDO-01 SET!C25</t>
  </si>
  <si>
    <t>RDO-01 SET!D25</t>
  </si>
  <si>
    <t>RDO-01 SET!E25</t>
  </si>
  <si>
    <t>RDO-01 SET!G25</t>
  </si>
  <si>
    <t>RDO-01 SET!H25</t>
  </si>
  <si>
    <t>RDO-01 SET!I25</t>
  </si>
  <si>
    <t>RDO-01 SET!G26</t>
  </si>
  <si>
    <t>RDO-01 SET!H26</t>
  </si>
  <si>
    <t>RDO-01 SET!I26</t>
  </si>
  <si>
    <t>RDO-01 SET!C28</t>
  </si>
  <si>
    <t>RDO-01 SET!D28</t>
  </si>
  <si>
    <t>RDO-01 SET!E28</t>
  </si>
  <si>
    <t>RDO-01 SET!C29</t>
  </si>
  <si>
    <t>RDO-01 SET!D29</t>
  </si>
  <si>
    <t>RDO-01 SET!E29</t>
  </si>
  <si>
    <t>CB1 - Linea</t>
  </si>
  <si>
    <t>RDO-01 SET!G29</t>
  </si>
  <si>
    <t>RDO-01 SET!H29</t>
  </si>
  <si>
    <t>RDO-01 SET!I29</t>
  </si>
  <si>
    <t>RDO-01 SET!C30</t>
  </si>
  <si>
    <t>RDO-01 SET!D30</t>
  </si>
  <si>
    <t>RDO-01 SET!E30</t>
  </si>
  <si>
    <t>CB1 - Presión (PSI)</t>
  </si>
  <si>
    <t>RDO-01 SET!G30</t>
  </si>
  <si>
    <t>RDO-01 SET!H30</t>
  </si>
  <si>
    <t>RDO-01 SET!I30</t>
  </si>
  <si>
    <t>RDO-01 SET!C31</t>
  </si>
  <si>
    <t>RDO-01 SET!D31</t>
  </si>
  <si>
    <t>RDO-01 SET!E31</t>
  </si>
  <si>
    <t>CB1 - Flujo (GPM)</t>
  </si>
  <si>
    <t>RDO-01 SET!G31</t>
  </si>
  <si>
    <t>RDO-01 SET!H31</t>
  </si>
  <si>
    <t>RDO-01 SET!I31</t>
  </si>
  <si>
    <t>CB1 - BOMBAS DE RECUPERACION</t>
  </si>
  <si>
    <t>RDO-01 SET!G32</t>
  </si>
  <si>
    <t>RDO-01 SET!H32</t>
  </si>
  <si>
    <t>RDO-01 SET!I32</t>
  </si>
  <si>
    <t>CB1 - NIVEL DE POZA</t>
  </si>
  <si>
    <t>RDO-01 SET!G33</t>
  </si>
  <si>
    <t>RDO-01 SET!H33</t>
  </si>
  <si>
    <t>RDO-01 SET!I33</t>
  </si>
  <si>
    <t>R2 - Linea</t>
  </si>
  <si>
    <t>RDO-01 SET!G35</t>
  </si>
  <si>
    <t>RDO-01 SET!H35</t>
  </si>
  <si>
    <t>RDO-01 SET!I35</t>
  </si>
  <si>
    <t>R2 - Presión (PSI)</t>
  </si>
  <si>
    <t>RDO-01 SET!G36</t>
  </si>
  <si>
    <t>RDO-01 SET!H36</t>
  </si>
  <si>
    <t>RDO-01 SET!I36</t>
  </si>
  <si>
    <t>RDO-01 SET!C37</t>
  </si>
  <si>
    <t>RDO-01 SET!D37</t>
  </si>
  <si>
    <t>RDO-01 SET!E37</t>
  </si>
  <si>
    <t>R2 - Flujo (GPM)</t>
  </si>
  <si>
    <t>RDO-01 SET!G37</t>
  </si>
  <si>
    <t>RDO-01 SET!H37</t>
  </si>
  <si>
    <t>RDO-01 SET!I37</t>
  </si>
  <si>
    <t>R2 - BOMBAS DE RECUPERACION</t>
  </si>
  <si>
    <t>RDO-01 SET!G38</t>
  </si>
  <si>
    <t>RDO-01 SET!H38</t>
  </si>
  <si>
    <t>RDO-01 SET!I38</t>
  </si>
  <si>
    <t>CB2 - Linea</t>
  </si>
  <si>
    <t>RDO-01 SET!G40</t>
  </si>
  <si>
    <t>RDO-01 SET!H40</t>
  </si>
  <si>
    <t>RDO-01 SET!I40</t>
  </si>
  <si>
    <t>RDO-01 SET!C41</t>
  </si>
  <si>
    <t>RDO-01 SET!D41</t>
  </si>
  <si>
    <t>RDO-01 SET!E41</t>
  </si>
  <si>
    <t>CB2 - Linea (2)</t>
  </si>
  <si>
    <t>RDO-01 SET!G41</t>
  </si>
  <si>
    <t>RDO-01 SET!H41</t>
  </si>
  <si>
    <t>RDO-01 SET!I41</t>
  </si>
  <si>
    <t>RDO-01 SET!C42</t>
  </si>
  <si>
    <t>RDO-01 SET!D42</t>
  </si>
  <si>
    <t>RDO-01 SET!E42</t>
  </si>
  <si>
    <t>CB2 - Presión (PSI)</t>
  </si>
  <si>
    <t>RDO-01 SET!G42</t>
  </si>
  <si>
    <t>RDO-01 SET!H42</t>
  </si>
  <si>
    <t>RDO-01 SET!I42</t>
  </si>
  <si>
    <t>RDO-01 SET!C43</t>
  </si>
  <si>
    <t>RDO-01 SET!D43</t>
  </si>
  <si>
    <t>RDO-01 SET!E43</t>
  </si>
  <si>
    <t>CB2 - Presión (PSI) (2)</t>
  </si>
  <si>
    <t>RDO-01 SET!G43</t>
  </si>
  <si>
    <t>RDO-01 SET!H43</t>
  </si>
  <si>
    <t>RDO-01 SET!I43</t>
  </si>
  <si>
    <t>RDO-01 SET!C44</t>
  </si>
  <si>
    <t>RDO-01 SET!D44</t>
  </si>
  <si>
    <t>RDO-01 SET!E44</t>
  </si>
  <si>
    <t>CB2 - Enviado a:</t>
  </si>
  <si>
    <t>RDO-01 SET!G44</t>
  </si>
  <si>
    <t>RDO-01 SET!H44</t>
  </si>
  <si>
    <t>RDO-01 SET!I44</t>
  </si>
  <si>
    <t>RDO-01 SET!C45</t>
  </si>
  <si>
    <t>RDO-01 SET!D45</t>
  </si>
  <si>
    <t>RDO-01 SET!E45</t>
  </si>
  <si>
    <t>RDO-01 SET!C46</t>
  </si>
  <si>
    <t>RDO-01 SET!D46</t>
  </si>
  <si>
    <t>RDO-01 SET!E46</t>
  </si>
  <si>
    <t>CHOCLON - Bomba</t>
  </si>
  <si>
    <t>RDO-01 SET!G46</t>
  </si>
  <si>
    <t>RDO-01 SET!H46</t>
  </si>
  <si>
    <t>RDO-01 SET!I46</t>
  </si>
  <si>
    <t>Nave (2)</t>
  </si>
  <si>
    <t>RDO-01 SET!C47</t>
  </si>
  <si>
    <t>RDO-01 SET!D47</t>
  </si>
  <si>
    <t>RDO-01 SET!E47</t>
  </si>
  <si>
    <t>CHOCLON - Presión (PSI)</t>
  </si>
  <si>
    <t>RDO-01 SET!G47</t>
  </si>
  <si>
    <t>RDO-01 SET!H47</t>
  </si>
  <si>
    <t>RDO-01 SET!I47</t>
  </si>
  <si>
    <t>Material (2)</t>
  </si>
  <si>
    <t>RDO-01 SET!C48</t>
  </si>
  <si>
    <t>RDO-01 SET!D48</t>
  </si>
  <si>
    <t>RDO-01 SET!E48</t>
  </si>
  <si>
    <t>CHOCLON - Flujo (GPM)</t>
  </si>
  <si>
    <t>RDO-01 SET!G48</t>
  </si>
  <si>
    <t>RDO-01 SET!H48</t>
  </si>
  <si>
    <t>RDO-01 SET!I48</t>
  </si>
  <si>
    <t>Fecha de inicio (2)</t>
  </si>
  <si>
    <t>RDO-01 SET!C49</t>
  </si>
  <si>
    <t>RDO-01 SET!D49</t>
  </si>
  <si>
    <t>RDO-01 SET!E49</t>
  </si>
  <si>
    <t>CHOCLON - TK 250 (ft)</t>
  </si>
  <si>
    <t>RDO-01 SET!G49</t>
  </si>
  <si>
    <t>RDO-01 SET!H49</t>
  </si>
  <si>
    <t>RDO-01 SET!I49</t>
  </si>
  <si>
    <t>Fecha de parada/reinicio (2)</t>
  </si>
  <si>
    <t>RDO-01 SET!C50</t>
  </si>
  <si>
    <t>RDO-01 SET!D50</t>
  </si>
  <si>
    <t>RDO-01 SET!E50</t>
  </si>
  <si>
    <t>CHOCLON - TK 255 (ft)</t>
  </si>
  <si>
    <t>RDO-01 SET!G50</t>
  </si>
  <si>
    <t>RDO-01 SET!H50</t>
  </si>
  <si>
    <t>RDO-01 SET!I50</t>
  </si>
  <si>
    <t>Fecha de Término (2)</t>
  </si>
  <si>
    <t>RDO-01 SET!C51</t>
  </si>
  <si>
    <t>RDO-01 SET!D51</t>
  </si>
  <si>
    <t>RDO-01 SET!E51</t>
  </si>
  <si>
    <t>CHOCLON - TK 338 (ft)</t>
  </si>
  <si>
    <t>RDO-01 SET!G51</t>
  </si>
  <si>
    <t>RDO-01 SET!H51</t>
  </si>
  <si>
    <t>RDO-01 SET!I51</t>
  </si>
  <si>
    <t>Embarcado  (TMH) (2)</t>
  </si>
  <si>
    <t>RDO-01 SET!C52</t>
  </si>
  <si>
    <t>RDO-01 SET!D52</t>
  </si>
  <si>
    <t>RDO-01 SET!E52</t>
  </si>
  <si>
    <t>CHOCLON - MUELLE</t>
  </si>
  <si>
    <t>RDO-01 SET!G52</t>
  </si>
  <si>
    <t>RDO-01 SET!H52</t>
  </si>
  <si>
    <t>RDO-01 SET!I52</t>
  </si>
  <si>
    <t>RDO-02 SET !C8</t>
  </si>
  <si>
    <t>RDO-02 SET !D8</t>
  </si>
  <si>
    <t>RDO-02 SET !E8</t>
  </si>
  <si>
    <t>RDO-02 SET !G8</t>
  </si>
  <si>
    <t>RDO-02 SET !H8</t>
  </si>
  <si>
    <t>RDO-02 SET !I8</t>
  </si>
  <si>
    <t>RDO-02 SET !C9</t>
  </si>
  <si>
    <t>RDO-02 SET !D9</t>
  </si>
  <si>
    <t>RDO-02 SET !E9</t>
  </si>
  <si>
    <t>RDO-02 SET !G9</t>
  </si>
  <si>
    <t>RDO-02 SET !H9</t>
  </si>
  <si>
    <t>RDO-02 SET !I9</t>
  </si>
  <si>
    <t>RDO-02 SET !C10</t>
  </si>
  <si>
    <t>RDO-02 SET !D10</t>
  </si>
  <si>
    <t>RDO-02 SET !E10</t>
  </si>
  <si>
    <t>RDO-02 SET !G10</t>
  </si>
  <si>
    <t>RDO-02 SET !H10</t>
  </si>
  <si>
    <t>RDO-02 SET !I10</t>
  </si>
  <si>
    <t>RDO-02 SET !C11</t>
  </si>
  <si>
    <t>RDO-02 SET !D11</t>
  </si>
  <si>
    <t>RDO-02 SET !E11</t>
  </si>
  <si>
    <t>RDO-02 SET !G11</t>
  </si>
  <si>
    <t>RDO-02 SET !H11</t>
  </si>
  <si>
    <t>RDO-02 SET !I11</t>
  </si>
  <si>
    <t>RDO-02 SET !G12</t>
  </si>
  <si>
    <t>RDO-02 SET !H12</t>
  </si>
  <si>
    <t>RDO-02 SET !I12</t>
  </si>
  <si>
    <t>RDO-02 SET !C13</t>
  </si>
  <si>
    <t>RDO-02 SET !D13</t>
  </si>
  <si>
    <t>RDO-02 SET !E13</t>
  </si>
  <si>
    <t>RDO-02 SET !G13</t>
  </si>
  <si>
    <t>RDO-02 SET !H13</t>
  </si>
  <si>
    <t>RDO-02 SET !I13</t>
  </si>
  <si>
    <t>RDO-02 SET !C14</t>
  </si>
  <si>
    <t>RDO-02 SET !D14</t>
  </si>
  <si>
    <t>RDO-02 SET !E14</t>
  </si>
  <si>
    <t>RDO-02 SET !G14</t>
  </si>
  <si>
    <t>RDO-02 SET !H14</t>
  </si>
  <si>
    <t>RDO-02 SET !I14</t>
  </si>
  <si>
    <t>RDO-02 SET !C15</t>
  </si>
  <si>
    <t>RDO-02 SET !D15</t>
  </si>
  <si>
    <t>RDO-02 SET !E15</t>
  </si>
  <si>
    <t>RDO-02 SET !G15</t>
  </si>
  <si>
    <t>RDO-02 SET !H15</t>
  </si>
  <si>
    <t>RDO-02 SET !I15</t>
  </si>
  <si>
    <t>RDO-02 SET !C16</t>
  </si>
  <si>
    <t>RDO-02 SET !D16</t>
  </si>
  <si>
    <t>RDO-02 SET !E16</t>
  </si>
  <si>
    <t>RDO-02 SET !G16</t>
  </si>
  <si>
    <t>RDO-02 SET !H16</t>
  </si>
  <si>
    <t>RDO-02 SET !I16</t>
  </si>
  <si>
    <t>RDO-02 SET !C17</t>
  </si>
  <si>
    <t>RDO-02 SET !D17</t>
  </si>
  <si>
    <t>RDO-02 SET !E17</t>
  </si>
  <si>
    <t>RDO-02 SET !C18</t>
  </si>
  <si>
    <t>RDO-02 SET !D18</t>
  </si>
  <si>
    <t>RDO-02 SET !E18</t>
  </si>
  <si>
    <t>RDO-02 SET !G18</t>
  </si>
  <si>
    <t>RDO-02 SET !H18</t>
  </si>
  <si>
    <t>RDO-02 SET !I18</t>
  </si>
  <si>
    <t>RDO-02 SET !C19</t>
  </si>
  <si>
    <t>RDO-02 SET !D19</t>
  </si>
  <si>
    <t>RDO-02 SET !E19</t>
  </si>
  <si>
    <t>RDO-02 SET !G19</t>
  </si>
  <si>
    <t>RDO-02 SET !H19</t>
  </si>
  <si>
    <t>RDO-02 SET !I19</t>
  </si>
  <si>
    <t>RDO-02 SET !C20</t>
  </si>
  <si>
    <t>RDO-02 SET !D20</t>
  </si>
  <si>
    <t>RDO-02 SET !E20</t>
  </si>
  <si>
    <t>RDO-02 SET !G20</t>
  </si>
  <si>
    <t>RDO-02 SET !H20</t>
  </si>
  <si>
    <t>RDO-02 SET !I20</t>
  </si>
  <si>
    <t>RDO-02 SET !C21</t>
  </si>
  <si>
    <t>RDO-02 SET !D21</t>
  </si>
  <si>
    <t>RDO-02 SET !E21</t>
  </si>
  <si>
    <t>RDO-02 SET !G21</t>
  </si>
  <si>
    <t>RDO-02 SET !H21</t>
  </si>
  <si>
    <t>RDO-02 SET !I21</t>
  </si>
  <si>
    <t>RDO-02 SET !C22</t>
  </si>
  <si>
    <t>RDO-02 SET !D22</t>
  </si>
  <si>
    <t>RDO-02 SET !E22</t>
  </si>
  <si>
    <t>RDO-02 SET !G22</t>
  </si>
  <si>
    <t>RDO-02 SET !H22</t>
  </si>
  <si>
    <t>RDO-02 SET !I22</t>
  </si>
  <si>
    <t>RDO-02 SET !C23</t>
  </si>
  <si>
    <t>RDO-02 SET !D23</t>
  </si>
  <si>
    <t>RDO-02 SET !E23</t>
  </si>
  <si>
    <t>RDO-02 SET !G23</t>
  </si>
  <si>
    <t>RDO-02 SET !H23</t>
  </si>
  <si>
    <t>RDO-02 SET !I23</t>
  </si>
  <si>
    <t>RDO-02 SET !G24</t>
  </si>
  <si>
    <t>RDO-02 SET !H24</t>
  </si>
  <si>
    <t>RDO-02 SET !I24</t>
  </si>
  <si>
    <t>RDO-02 SET !C25</t>
  </si>
  <si>
    <t>RDO-02 SET !D25</t>
  </si>
  <si>
    <t>RDO-02 SET !E25</t>
  </si>
  <si>
    <t>RDO-02 SET !G25</t>
  </si>
  <si>
    <t>RDO-02 SET !H25</t>
  </si>
  <si>
    <t>RDO-02 SET !I25</t>
  </si>
  <si>
    <t>RDO-02 SET !G26</t>
  </si>
  <si>
    <t>RDO-02 SET !H26</t>
  </si>
  <si>
    <t>RDO-02 SET !I26</t>
  </si>
  <si>
    <t>RDO-02 SET !C28</t>
  </si>
  <si>
    <t>RDO-02 SET !D28</t>
  </si>
  <si>
    <t>RDO-02 SET !E28</t>
  </si>
  <si>
    <t>RDO-02 SET !C29</t>
  </si>
  <si>
    <t>RDO-02 SET !D29</t>
  </si>
  <si>
    <t>RDO-02 SET !E29</t>
  </si>
  <si>
    <t>RDO-02 SET !G29</t>
  </si>
  <si>
    <t>RDO-02 SET !H29</t>
  </si>
  <si>
    <t>RDO-02 SET !I29</t>
  </si>
  <si>
    <t>RDO-02 SET !C30</t>
  </si>
  <si>
    <t>RDO-02 SET !D30</t>
  </si>
  <si>
    <t>RDO-02 SET !E30</t>
  </si>
  <si>
    <t>RDO-02 SET !G30</t>
  </si>
  <si>
    <t>RDO-02 SET !H30</t>
  </si>
  <si>
    <t>RDO-02 SET !I30</t>
  </si>
  <si>
    <t>RDO-02 SET !C31</t>
  </si>
  <si>
    <t>RDO-02 SET !D31</t>
  </si>
  <si>
    <t>RDO-02 SET !E31</t>
  </si>
  <si>
    <t>RDO-02 SET !G31</t>
  </si>
  <si>
    <t>RDO-02 SET !H31</t>
  </si>
  <si>
    <t>RDO-02 SET !I31</t>
  </si>
  <si>
    <t>RDO-02 SET !G32</t>
  </si>
  <si>
    <t>RDO-02 SET !H32</t>
  </si>
  <si>
    <t>RDO-02 SET !I32</t>
  </si>
  <si>
    <t>RDO-02 SET !G33</t>
  </si>
  <si>
    <t>RDO-02 SET !H33</t>
  </si>
  <si>
    <t>RDO-02 SET !I33</t>
  </si>
  <si>
    <t>RDO-02 SET !G35</t>
  </si>
  <si>
    <t>RDO-02 SET !H35</t>
  </si>
  <si>
    <t>RDO-02 SET !I35</t>
  </si>
  <si>
    <t>RDO-02 SET !G36</t>
  </si>
  <si>
    <t>RDO-02 SET !H36</t>
  </si>
  <si>
    <t>RDO-02 SET !I36</t>
  </si>
  <si>
    <t>RDO-02 SET !C37</t>
  </si>
  <si>
    <t>RDO-02 SET !D37</t>
  </si>
  <si>
    <t>RDO-02 SET !E37</t>
  </si>
  <si>
    <t>RDO-02 SET !G37</t>
  </si>
  <si>
    <t>RDO-02 SET !H37</t>
  </si>
  <si>
    <t>RDO-02 SET !I37</t>
  </si>
  <si>
    <t>RDO-02 SET !G38</t>
  </si>
  <si>
    <t>RDO-02 SET !H38</t>
  </si>
  <si>
    <t>RDO-02 SET !I38</t>
  </si>
  <si>
    <t>RDO-02 SET !G40</t>
  </si>
  <si>
    <t>RDO-02 SET !H40</t>
  </si>
  <si>
    <t>RDO-02 SET !I40</t>
  </si>
  <si>
    <t>RDO-02 SET !C41</t>
  </si>
  <si>
    <t>RDO-02 SET !D41</t>
  </si>
  <si>
    <t>RDO-02 SET !E41</t>
  </si>
  <si>
    <t>RDO-02 SET !G41</t>
  </si>
  <si>
    <t>RDO-02 SET !H41</t>
  </si>
  <si>
    <t>RDO-02 SET !I41</t>
  </si>
  <si>
    <t>RDO-02 SET !C42</t>
  </si>
  <si>
    <t>RDO-02 SET !D42</t>
  </si>
  <si>
    <t>RDO-02 SET !E42</t>
  </si>
  <si>
    <t>RDO-02 SET !G42</t>
  </si>
  <si>
    <t>RDO-02 SET !H42</t>
  </si>
  <si>
    <t>RDO-02 SET !I42</t>
  </si>
  <si>
    <t>RDO-02 SET !C43</t>
  </si>
  <si>
    <t>RDO-02 SET !D43</t>
  </si>
  <si>
    <t>RDO-02 SET !E43</t>
  </si>
  <si>
    <t>RDO-02 SET !G43</t>
  </si>
  <si>
    <t>RDO-02 SET !H43</t>
  </si>
  <si>
    <t>RDO-02 SET !I43</t>
  </si>
  <si>
    <t>RDO-02 SET !C44</t>
  </si>
  <si>
    <t>RDO-02 SET !D44</t>
  </si>
  <si>
    <t>RDO-02 SET !E44</t>
  </si>
  <si>
    <t>RDO-02 SET !G44</t>
  </si>
  <si>
    <t>RDO-02 SET !H44</t>
  </si>
  <si>
    <t>RDO-02 SET !I44</t>
  </si>
  <si>
    <t>RDO-02 SET !C45</t>
  </si>
  <si>
    <t>RDO-02 SET !D45</t>
  </si>
  <si>
    <t>RDO-02 SET !E45</t>
  </si>
  <si>
    <t>RDO-02 SET !C46</t>
  </si>
  <si>
    <t>RDO-02 SET !D46</t>
  </si>
  <si>
    <t>RDO-02 SET !E46</t>
  </si>
  <si>
    <t>RDO-02 SET !G46</t>
  </si>
  <si>
    <t>RDO-02 SET !H46</t>
  </si>
  <si>
    <t>RDO-02 SET !I46</t>
  </si>
  <si>
    <t>RDO-02 SET !C47</t>
  </si>
  <si>
    <t>RDO-02 SET !D47</t>
  </si>
  <si>
    <t>RDO-02 SET !E47</t>
  </si>
  <si>
    <t>RDO-02 SET !G47</t>
  </si>
  <si>
    <t>RDO-02 SET !H47</t>
  </si>
  <si>
    <t>RDO-02 SET !I47</t>
  </si>
  <si>
    <t>RDO-02 SET !C48</t>
  </si>
  <si>
    <t>RDO-02 SET !D48</t>
  </si>
  <si>
    <t>RDO-02 SET !E48</t>
  </si>
  <si>
    <t>RDO-02 SET !G48</t>
  </si>
  <si>
    <t>RDO-02 SET !H48</t>
  </si>
  <si>
    <t>RDO-02 SET !I48</t>
  </si>
  <si>
    <t>RDO-02 SET !C49</t>
  </si>
  <si>
    <t>RDO-02 SET !D49</t>
  </si>
  <si>
    <t>RDO-02 SET !E49</t>
  </si>
  <si>
    <t>RDO-02 SET !G49</t>
  </si>
  <si>
    <t>RDO-02 SET !H49</t>
  </si>
  <si>
    <t>RDO-02 SET !I49</t>
  </si>
  <si>
    <t>RDO-02 SET !C50</t>
  </si>
  <si>
    <t>RDO-02 SET !D50</t>
  </si>
  <si>
    <t>RDO-02 SET !E50</t>
  </si>
  <si>
    <t>RDO-02 SET !G50</t>
  </si>
  <si>
    <t>RDO-02 SET !H50</t>
  </si>
  <si>
    <t>RDO-02 SET !I50</t>
  </si>
  <si>
    <t>RDO-02 SET !C51</t>
  </si>
  <si>
    <t>RDO-02 SET !D51</t>
  </si>
  <si>
    <t>RDO-02 SET !E51</t>
  </si>
  <si>
    <t>RDO-02 SET !G51</t>
  </si>
  <si>
    <t>RDO-02 SET !H51</t>
  </si>
  <si>
    <t>RDO-02 SET !I51</t>
  </si>
  <si>
    <t>RDO-02 SET !C52</t>
  </si>
  <si>
    <t>RDO-02 SET !D52</t>
  </si>
  <si>
    <t>RDO-02 SET !E52</t>
  </si>
  <si>
    <t>RDO-02 SET !G52</t>
  </si>
  <si>
    <t>RDO-02 SET !H52</t>
  </si>
  <si>
    <t>RDO-02 SET !I52</t>
  </si>
  <si>
    <t>RDO-03 SET  !C8</t>
  </si>
  <si>
    <t>RDO-03 SET  !D8</t>
  </si>
  <si>
    <t>RDO-03 SET  !E8</t>
  </si>
  <si>
    <t>RDO-03 SET  !G8</t>
  </si>
  <si>
    <t>RDO-03 SET  !H8</t>
  </si>
  <si>
    <t>RDO-03 SET  !I8</t>
  </si>
  <si>
    <t>RDO-03 SET  !C9</t>
  </si>
  <si>
    <t>RDO-03 SET  !D9</t>
  </si>
  <si>
    <t>RDO-03 SET  !E9</t>
  </si>
  <si>
    <t>RDO-03 SET  !G9</t>
  </si>
  <si>
    <t>RDO-03 SET  !H9</t>
  </si>
  <si>
    <t>RDO-03 SET  !I9</t>
  </si>
  <si>
    <t>RDO-03 SET  !C10</t>
  </si>
  <si>
    <t>RDO-03 SET  !D10</t>
  </si>
  <si>
    <t>RDO-03 SET  !E10</t>
  </si>
  <si>
    <t>RDO-03 SET  !G10</t>
  </si>
  <si>
    <t>RDO-03 SET  !H10</t>
  </si>
  <si>
    <t>RDO-03 SET  !I10</t>
  </si>
  <si>
    <t>RDO-03 SET  !C11</t>
  </si>
  <si>
    <t>RDO-03 SET  !D11</t>
  </si>
  <si>
    <t>RDO-03 SET  !E11</t>
  </si>
  <si>
    <t>RDO-03 SET  !G11</t>
  </si>
  <si>
    <t>RDO-03 SET  !H11</t>
  </si>
  <si>
    <t>RDO-03 SET  !I11</t>
  </si>
  <si>
    <t>RDO-03 SET  !G12</t>
  </si>
  <si>
    <t>RDO-03 SET  !H12</t>
  </si>
  <si>
    <t>RDO-03 SET  !I12</t>
  </si>
  <si>
    <t>RDO-03 SET  !C13</t>
  </si>
  <si>
    <t>RDO-03 SET  !D13</t>
  </si>
  <si>
    <t>RDO-03 SET  !E13</t>
  </si>
  <si>
    <t>RDO-03 SET  !G13</t>
  </si>
  <si>
    <t>RDO-03 SET  !H13</t>
  </si>
  <si>
    <t>RDO-03 SET  !I13</t>
  </si>
  <si>
    <t>RDO-03 SET  !C14</t>
  </si>
  <si>
    <t>RDO-03 SET  !D14</t>
  </si>
  <si>
    <t>RDO-03 SET  !E14</t>
  </si>
  <si>
    <t>RDO-03 SET  !G14</t>
  </si>
  <si>
    <t>RDO-03 SET  !H14</t>
  </si>
  <si>
    <t>RDO-03 SET  !I14</t>
  </si>
  <si>
    <t>RDO-03 SET  !C15</t>
  </si>
  <si>
    <t>RDO-03 SET  !D15</t>
  </si>
  <si>
    <t>RDO-03 SET  !E15</t>
  </si>
  <si>
    <t>RDO-03 SET  !G15</t>
  </si>
  <si>
    <t>RDO-03 SET  !H15</t>
  </si>
  <si>
    <t>RDO-03 SET  !I15</t>
  </si>
  <si>
    <t>RDO-03 SET  !C16</t>
  </si>
  <si>
    <t>RDO-03 SET  !D16</t>
  </si>
  <si>
    <t>RDO-03 SET  !E16</t>
  </si>
  <si>
    <t>RDO-03 SET  !G16</t>
  </si>
  <si>
    <t>RDO-03 SET  !H16</t>
  </si>
  <si>
    <t>RDO-03 SET  !I16</t>
  </si>
  <si>
    <t>RDO-03 SET  !C17</t>
  </si>
  <si>
    <t>RDO-03 SET  !D17</t>
  </si>
  <si>
    <t>RDO-03 SET  !E17</t>
  </si>
  <si>
    <t>RDO-03 SET  !C18</t>
  </si>
  <si>
    <t>RDO-03 SET  !D18</t>
  </si>
  <si>
    <t>RDO-03 SET  !E18</t>
  </si>
  <si>
    <t>RDO-03 SET  !G18</t>
  </si>
  <si>
    <t>RDO-03 SET  !H18</t>
  </si>
  <si>
    <t>RDO-03 SET  !I18</t>
  </si>
  <si>
    <t>RDO-03 SET  !C19</t>
  </si>
  <si>
    <t>RDO-03 SET  !D19</t>
  </si>
  <si>
    <t>RDO-03 SET  !E19</t>
  </si>
  <si>
    <t>RDO-03 SET  !G19</t>
  </si>
  <si>
    <t>RDO-03 SET  !H19</t>
  </si>
  <si>
    <t>RDO-03 SET  !I19</t>
  </si>
  <si>
    <t>RDO-03 SET  !C20</t>
  </si>
  <si>
    <t>RDO-03 SET  !D20</t>
  </si>
  <si>
    <t>RDO-03 SET  !E20</t>
  </si>
  <si>
    <t>RDO-03 SET  !G20</t>
  </si>
  <si>
    <t>RDO-03 SET  !H20</t>
  </si>
  <si>
    <t>RDO-03 SET  !I20</t>
  </si>
  <si>
    <t>RDO-03 SET  !C21</t>
  </si>
  <si>
    <t>RDO-03 SET  !D21</t>
  </si>
  <si>
    <t>RDO-03 SET  !E21</t>
  </si>
  <si>
    <t>RDO-03 SET  !G21</t>
  </si>
  <si>
    <t>RDO-03 SET  !H21</t>
  </si>
  <si>
    <t>RDO-03 SET  !I21</t>
  </si>
  <si>
    <t>RDO-03 SET  !C22</t>
  </si>
  <si>
    <t>RDO-03 SET  !D22</t>
  </si>
  <si>
    <t>RDO-03 SET  !E22</t>
  </si>
  <si>
    <t>RDO-03 SET  !G22</t>
  </si>
  <si>
    <t>RDO-03 SET  !H22</t>
  </si>
  <si>
    <t>RDO-03 SET  !I22</t>
  </si>
  <si>
    <t>RDO-03 SET  !C23</t>
  </si>
  <si>
    <t>RDO-03 SET  !D23</t>
  </si>
  <si>
    <t>RDO-03 SET  !E23</t>
  </si>
  <si>
    <t>RDO-03 SET  !G23</t>
  </si>
  <si>
    <t>RDO-03 SET  !H23</t>
  </si>
  <si>
    <t>RDO-03 SET  !I23</t>
  </si>
  <si>
    <t>RDO-03 SET  !G24</t>
  </si>
  <si>
    <t>RDO-03 SET  !H24</t>
  </si>
  <si>
    <t>RDO-03 SET  !I24</t>
  </si>
  <si>
    <t>RDO-03 SET  !C25</t>
  </si>
  <si>
    <t>RDO-03 SET  !D25</t>
  </si>
  <si>
    <t>RDO-03 SET  !E25</t>
  </si>
  <si>
    <t>RDO-03 SET  !G25</t>
  </si>
  <si>
    <t>RDO-03 SET  !H25</t>
  </si>
  <si>
    <t>RDO-03 SET  !I25</t>
  </si>
  <si>
    <t>RDO-03 SET  !G26</t>
  </si>
  <si>
    <t>RDO-03 SET  !H26</t>
  </si>
  <si>
    <t>RDO-03 SET  !I26</t>
  </si>
  <si>
    <t>RDO-03 SET  !C28</t>
  </si>
  <si>
    <t>RDO-03 SET  !D28</t>
  </si>
  <si>
    <t>RDO-03 SET  !E28</t>
  </si>
  <si>
    <t>RDO-03 SET  !C29</t>
  </si>
  <si>
    <t>RDO-03 SET  !D29</t>
  </si>
  <si>
    <t>RDO-03 SET  !E29</t>
  </si>
  <si>
    <t>RDO-03 SET  !G29</t>
  </si>
  <si>
    <t>RDO-03 SET  !H29</t>
  </si>
  <si>
    <t>RDO-03 SET  !I29</t>
  </si>
  <si>
    <t>RDO-03 SET  !C30</t>
  </si>
  <si>
    <t>RDO-03 SET  !D30</t>
  </si>
  <si>
    <t>RDO-03 SET  !E30</t>
  </si>
  <si>
    <t>RDO-03 SET  !G30</t>
  </si>
  <si>
    <t>RDO-03 SET  !H30</t>
  </si>
  <si>
    <t>RDO-03 SET  !I30</t>
  </si>
  <si>
    <t>RDO-03 SET  !C31</t>
  </si>
  <si>
    <t>RDO-03 SET  !D31</t>
  </si>
  <si>
    <t>RDO-03 SET  !E31</t>
  </si>
  <si>
    <t>RDO-03 SET  !G31</t>
  </si>
  <si>
    <t>RDO-03 SET  !H31</t>
  </si>
  <si>
    <t>RDO-03 SET  !I31</t>
  </si>
  <si>
    <t>RDO-03 SET  !G32</t>
  </si>
  <si>
    <t>RDO-03 SET  !H32</t>
  </si>
  <si>
    <t>RDO-03 SET  !I32</t>
  </si>
  <si>
    <t>RDO-03 SET  !G33</t>
  </si>
  <si>
    <t>RDO-03 SET  !H33</t>
  </si>
  <si>
    <t>RDO-03 SET  !I33</t>
  </si>
  <si>
    <t>RDO-03 SET  !G35</t>
  </si>
  <si>
    <t>RDO-03 SET  !H35</t>
  </si>
  <si>
    <t>RDO-03 SET  !I35</t>
  </si>
  <si>
    <t>RDO-03 SET  !G36</t>
  </si>
  <si>
    <t>RDO-03 SET  !H36</t>
  </si>
  <si>
    <t>RDO-03 SET  !I36</t>
  </si>
  <si>
    <t>RDO-03 SET  !C37</t>
  </si>
  <si>
    <t>RDO-03 SET  !D37</t>
  </si>
  <si>
    <t>RDO-03 SET  !E37</t>
  </si>
  <si>
    <t>RDO-03 SET  !G37</t>
  </si>
  <si>
    <t>RDO-03 SET  !H37</t>
  </si>
  <si>
    <t>RDO-03 SET  !I37</t>
  </si>
  <si>
    <t>RDO-03 SET  !G38</t>
  </si>
  <si>
    <t>RDO-03 SET  !H38</t>
  </si>
  <si>
    <t>RDO-03 SET  !I38</t>
  </si>
  <si>
    <t>RDO-03 SET  !G40</t>
  </si>
  <si>
    <t>RDO-03 SET  !H40</t>
  </si>
  <si>
    <t>RDO-03 SET  !I40</t>
  </si>
  <si>
    <t>RDO-03 SET  !C41</t>
  </si>
  <si>
    <t>RDO-03 SET  !D41</t>
  </si>
  <si>
    <t>RDO-03 SET  !E41</t>
  </si>
  <si>
    <t>RDO-03 SET  !G41</t>
  </si>
  <si>
    <t>RDO-03 SET  !H41</t>
  </si>
  <si>
    <t>RDO-03 SET  !I41</t>
  </si>
  <si>
    <t>RDO-03 SET  !C42</t>
  </si>
  <si>
    <t>RDO-03 SET  !D42</t>
  </si>
  <si>
    <t>RDO-03 SET  !E42</t>
  </si>
  <si>
    <t>RDO-03 SET  !G42</t>
  </si>
  <si>
    <t>RDO-03 SET  !H42</t>
  </si>
  <si>
    <t>RDO-03 SET  !I42</t>
  </si>
  <si>
    <t>RDO-03 SET  !C43</t>
  </si>
  <si>
    <t>RDO-03 SET  !D43</t>
  </si>
  <si>
    <t>RDO-03 SET  !E43</t>
  </si>
  <si>
    <t>RDO-03 SET  !G43</t>
  </si>
  <si>
    <t>RDO-03 SET  !H43</t>
  </si>
  <si>
    <t>RDO-03 SET  !I43</t>
  </si>
  <si>
    <t>RDO-03 SET  !C44</t>
  </si>
  <si>
    <t>RDO-03 SET  !D44</t>
  </si>
  <si>
    <t>RDO-03 SET  !E44</t>
  </si>
  <si>
    <t>RDO-03 SET  !G44</t>
  </si>
  <si>
    <t>RDO-03 SET  !H44</t>
  </si>
  <si>
    <t>RDO-03 SET  !I44</t>
  </si>
  <si>
    <t>RDO-03 SET  !C45</t>
  </si>
  <si>
    <t>RDO-03 SET  !D45</t>
  </si>
  <si>
    <t>RDO-03 SET  !E45</t>
  </si>
  <si>
    <t>RDO-03 SET  !C46</t>
  </si>
  <si>
    <t>RDO-03 SET  !D46</t>
  </si>
  <si>
    <t>RDO-03 SET  !E46</t>
  </si>
  <si>
    <t>RDO-03 SET  !G46</t>
  </si>
  <si>
    <t>RDO-03 SET  !H46</t>
  </si>
  <si>
    <t>RDO-03 SET  !I46</t>
  </si>
  <si>
    <t>RDO-03 SET  !C47</t>
  </si>
  <si>
    <t>RDO-03 SET  !D47</t>
  </si>
  <si>
    <t>RDO-03 SET  !E47</t>
  </si>
  <si>
    <t>RDO-03 SET  !G47</t>
  </si>
  <si>
    <t>RDO-03 SET  !H47</t>
  </si>
  <si>
    <t>RDO-03 SET  !I47</t>
  </si>
  <si>
    <t>RDO-03 SET  !C48</t>
  </si>
  <si>
    <t>RDO-03 SET  !D48</t>
  </si>
  <si>
    <t>RDO-03 SET  !E48</t>
  </si>
  <si>
    <t>RDO-03 SET  !G48</t>
  </si>
  <si>
    <t>RDO-03 SET  !H48</t>
  </si>
  <si>
    <t>RDO-03 SET  !I48</t>
  </si>
  <si>
    <t>RDO-03 SET  !C49</t>
  </si>
  <si>
    <t>RDO-03 SET  !D49</t>
  </si>
  <si>
    <t>RDO-03 SET  !E49</t>
  </si>
  <si>
    <t>RDO-03 SET  !G49</t>
  </si>
  <si>
    <t>RDO-03 SET  !H49</t>
  </si>
  <si>
    <t>RDO-03 SET  !I49</t>
  </si>
  <si>
    <t>RDO-03 SET  !C50</t>
  </si>
  <si>
    <t>RDO-03 SET  !D50</t>
  </si>
  <si>
    <t>RDO-03 SET  !E50</t>
  </si>
  <si>
    <t>RDO-03 SET  !G50</t>
  </si>
  <si>
    <t>RDO-03 SET  !H50</t>
  </si>
  <si>
    <t>RDO-03 SET  !I50</t>
  </si>
  <si>
    <t>RDO-03 SET  !C51</t>
  </si>
  <si>
    <t>RDO-03 SET  !D51</t>
  </si>
  <si>
    <t>RDO-03 SET  !E51</t>
  </si>
  <si>
    <t>RDO-03 SET  !G51</t>
  </si>
  <si>
    <t>RDO-03 SET  !H51</t>
  </si>
  <si>
    <t>RDO-03 SET  !I51</t>
  </si>
  <si>
    <t>RDO-03 SET  !C52</t>
  </si>
  <si>
    <t>RDO-03 SET  !D52</t>
  </si>
  <si>
    <t>RDO-03 SET  !E52</t>
  </si>
  <si>
    <t>RDO-03 SET  !G52</t>
  </si>
  <si>
    <t>RDO-03 SET  !H52</t>
  </si>
  <si>
    <t>RDO-03 SET  !I52</t>
  </si>
  <si>
    <t>RDO-04 SET  !C8</t>
  </si>
  <si>
    <t>RDO-04 SET  !D8</t>
  </si>
  <si>
    <t>RDO-04 SET  !E8</t>
  </si>
  <si>
    <t>RDO-04 SET  !G8</t>
  </si>
  <si>
    <t>RDO-04 SET  !H8</t>
  </si>
  <si>
    <t>RDO-04 SET  !I8</t>
  </si>
  <si>
    <t>RDO-04 SET  !C9</t>
  </si>
  <si>
    <t>RDO-04 SET  !D9</t>
  </si>
  <si>
    <t>RDO-04 SET  !E9</t>
  </si>
  <si>
    <t>RDO-04 SET  !G9</t>
  </si>
  <si>
    <t>RDO-04 SET  !H9</t>
  </si>
  <si>
    <t>RDO-04 SET  !I9</t>
  </si>
  <si>
    <t>RDO-04 SET  !C10</t>
  </si>
  <si>
    <t>RDO-04 SET  !D10</t>
  </si>
  <si>
    <t>RDO-04 SET  !E10</t>
  </si>
  <si>
    <t>RDO-04 SET  !G10</t>
  </si>
  <si>
    <t>RDO-04 SET  !H10</t>
  </si>
  <si>
    <t>RDO-04 SET  !I10</t>
  </si>
  <si>
    <t>RDO-04 SET  !C11</t>
  </si>
  <si>
    <t>RDO-04 SET  !D11</t>
  </si>
  <si>
    <t>RDO-04 SET  !E11</t>
  </si>
  <si>
    <t>RDO-04 SET  !G11</t>
  </si>
  <si>
    <t>RDO-04 SET  !H11</t>
  </si>
  <si>
    <t>RDO-04 SET  !I11</t>
  </si>
  <si>
    <t>RDO-04 SET  !G12</t>
  </si>
  <si>
    <t>RDO-04 SET  !H12</t>
  </si>
  <si>
    <t>RDO-04 SET  !I12</t>
  </si>
  <si>
    <t>RDO-04 SET  !C13</t>
  </si>
  <si>
    <t>RDO-04 SET  !D13</t>
  </si>
  <si>
    <t>RDO-04 SET  !E13</t>
  </si>
  <si>
    <t>RDO-04 SET  !G13</t>
  </si>
  <si>
    <t>RDO-04 SET  !H13</t>
  </si>
  <si>
    <t>RDO-04 SET  !I13</t>
  </si>
  <si>
    <t>RDO-04 SET  !C14</t>
  </si>
  <si>
    <t>RDO-04 SET  !D14</t>
  </si>
  <si>
    <t>RDO-04 SET  !E14</t>
  </si>
  <si>
    <t>RDO-04 SET  !G14</t>
  </si>
  <si>
    <t>RDO-04 SET  !H14</t>
  </si>
  <si>
    <t>RDO-04 SET  !I14</t>
  </si>
  <si>
    <t>RDO-04 SET  !C15</t>
  </si>
  <si>
    <t>RDO-04 SET  !D15</t>
  </si>
  <si>
    <t>RDO-04 SET  !E15</t>
  </si>
  <si>
    <t>RDO-04 SET  !G15</t>
  </si>
  <si>
    <t>RDO-04 SET  !H15</t>
  </si>
  <si>
    <t>RDO-04 SET  !I15</t>
  </si>
  <si>
    <t>RDO-04 SET  !C16</t>
  </si>
  <si>
    <t>RDO-04 SET  !D16</t>
  </si>
  <si>
    <t>RDO-04 SET  !E16</t>
  </si>
  <si>
    <t>RDO-04 SET  !G16</t>
  </si>
  <si>
    <t>RDO-04 SET  !H16</t>
  </si>
  <si>
    <t>RDO-04 SET  !I16</t>
  </si>
  <si>
    <t>RDO-04 SET  !C17</t>
  </si>
  <si>
    <t>RDO-04 SET  !D17</t>
  </si>
  <si>
    <t>RDO-04 SET  !E17</t>
  </si>
  <si>
    <t>RDO-04 SET  !C18</t>
  </si>
  <si>
    <t>RDO-04 SET  !D18</t>
  </si>
  <si>
    <t>RDO-04 SET  !E18</t>
  </si>
  <si>
    <t>RDO-04 SET  !G18</t>
  </si>
  <si>
    <t>RDO-04 SET  !H18</t>
  </si>
  <si>
    <t>RDO-04 SET  !I18</t>
  </si>
  <si>
    <t>RDO-04 SET  !C19</t>
  </si>
  <si>
    <t>RDO-04 SET  !D19</t>
  </si>
  <si>
    <t>RDO-04 SET  !E19</t>
  </si>
  <si>
    <t>RDO-04 SET  !G19</t>
  </si>
  <si>
    <t>RDO-04 SET  !H19</t>
  </si>
  <si>
    <t>RDO-04 SET  !I19</t>
  </si>
  <si>
    <t>RDO-04 SET  !C20</t>
  </si>
  <si>
    <t>RDO-04 SET  !D20</t>
  </si>
  <si>
    <t>RDO-04 SET  !E20</t>
  </si>
  <si>
    <t>RDO-04 SET  !G20</t>
  </si>
  <si>
    <t>RDO-04 SET  !H20</t>
  </si>
  <si>
    <t>RDO-04 SET  !I20</t>
  </si>
  <si>
    <t>RDO-04 SET  !C21</t>
  </si>
  <si>
    <t>RDO-04 SET  !D21</t>
  </si>
  <si>
    <t>RDO-04 SET  !E21</t>
  </si>
  <si>
    <t>RDO-04 SET  !G21</t>
  </si>
  <si>
    <t>RDO-04 SET  !H21</t>
  </si>
  <si>
    <t>RDO-04 SET  !I21</t>
  </si>
  <si>
    <t>RDO-04 SET  !C22</t>
  </si>
  <si>
    <t>RDO-04 SET  !D22</t>
  </si>
  <si>
    <t>RDO-04 SET  !E22</t>
  </si>
  <si>
    <t>RDO-04 SET  !G22</t>
  </si>
  <si>
    <t>RDO-04 SET  !H22</t>
  </si>
  <si>
    <t>RDO-04 SET  !I22</t>
  </si>
  <si>
    <t>RDO-04 SET  !C23</t>
  </si>
  <si>
    <t>RDO-04 SET  !D23</t>
  </si>
  <si>
    <t>RDO-04 SET  !E23</t>
  </si>
  <si>
    <t>RDO-04 SET  !G23</t>
  </si>
  <si>
    <t>RDO-04 SET  !H23</t>
  </si>
  <si>
    <t>RDO-04 SET  !I23</t>
  </si>
  <si>
    <t>RDO-04 SET  !G24</t>
  </si>
  <si>
    <t>RDO-04 SET  !H24</t>
  </si>
  <si>
    <t>RDO-04 SET  !I24</t>
  </si>
  <si>
    <t>RDO-04 SET  !C25</t>
  </si>
  <si>
    <t>RDO-04 SET  !D25</t>
  </si>
  <si>
    <t>RDO-04 SET  !E25</t>
  </si>
  <si>
    <t>RDO-04 SET  !G25</t>
  </si>
  <si>
    <t>RDO-04 SET  !H25</t>
  </si>
  <si>
    <t>RDO-04 SET  !I25</t>
  </si>
  <si>
    <t>RDO-04 SET  !G26</t>
  </si>
  <si>
    <t>RDO-04 SET  !H26</t>
  </si>
  <si>
    <t>RDO-04 SET  !I26</t>
  </si>
  <si>
    <t>RDO-04 SET  !C28</t>
  </si>
  <si>
    <t>RDO-04 SET  !D28</t>
  </si>
  <si>
    <t>RDO-04 SET  !E28</t>
  </si>
  <si>
    <t>RDO-04 SET  !C29</t>
  </si>
  <si>
    <t>RDO-04 SET  !D29</t>
  </si>
  <si>
    <t>RDO-04 SET  !E29</t>
  </si>
  <si>
    <t>RDO-04 SET  !G29</t>
  </si>
  <si>
    <t>RDO-04 SET  !H29</t>
  </si>
  <si>
    <t>RDO-04 SET  !I29</t>
  </si>
  <si>
    <t>RDO-04 SET  !C30</t>
  </si>
  <si>
    <t>RDO-04 SET  !D30</t>
  </si>
  <si>
    <t>RDO-04 SET  !E30</t>
  </si>
  <si>
    <t>RDO-04 SET  !G30</t>
  </si>
  <si>
    <t>RDO-04 SET  !H30</t>
  </si>
  <si>
    <t>RDO-04 SET  !I30</t>
  </si>
  <si>
    <t>RDO-04 SET  !C31</t>
  </si>
  <si>
    <t>RDO-04 SET  !D31</t>
  </si>
  <si>
    <t>RDO-04 SET  !E31</t>
  </si>
  <si>
    <t>RDO-04 SET  !G31</t>
  </si>
  <si>
    <t>RDO-04 SET  !H31</t>
  </si>
  <si>
    <t>RDO-04 SET  !I31</t>
  </si>
  <si>
    <t>RDO-04 SET  !G32</t>
  </si>
  <si>
    <t>RDO-04 SET  !H32</t>
  </si>
  <si>
    <t>RDO-04 SET  !I32</t>
  </si>
  <si>
    <t>RDO-04 SET  !G33</t>
  </si>
  <si>
    <t>RDO-04 SET  !H33</t>
  </si>
  <si>
    <t>RDO-04 SET  !I33</t>
  </si>
  <si>
    <t>RDO-04 SET  !G35</t>
  </si>
  <si>
    <t>RDO-04 SET  !H35</t>
  </si>
  <si>
    <t>RDO-04 SET  !I35</t>
  </si>
  <si>
    <t>RDO-04 SET  !G36</t>
  </si>
  <si>
    <t>RDO-04 SET  !H36</t>
  </si>
  <si>
    <t>RDO-04 SET  !I36</t>
  </si>
  <si>
    <t>RDO-04 SET  !C37</t>
  </si>
  <si>
    <t>RDO-04 SET  !D37</t>
  </si>
  <si>
    <t>RDO-04 SET  !E37</t>
  </si>
  <si>
    <t>RDO-04 SET  !G37</t>
  </si>
  <si>
    <t>RDO-04 SET  !H37</t>
  </si>
  <si>
    <t>RDO-04 SET  !I37</t>
  </si>
  <si>
    <t>RDO-04 SET  !G38</t>
  </si>
  <si>
    <t>RDO-04 SET  !H38</t>
  </si>
  <si>
    <t>RDO-04 SET  !I38</t>
  </si>
  <si>
    <t>RDO-04 SET  !G40</t>
  </si>
  <si>
    <t>RDO-04 SET  !H40</t>
  </si>
  <si>
    <t>RDO-04 SET  !I40</t>
  </si>
  <si>
    <t>RDO-04 SET  !C41</t>
  </si>
  <si>
    <t>RDO-04 SET  !D41</t>
  </si>
  <si>
    <t>RDO-04 SET  !E41</t>
  </si>
  <si>
    <t>RDO-04 SET  !G41</t>
  </si>
  <si>
    <t>RDO-04 SET  !H41</t>
  </si>
  <si>
    <t>RDO-04 SET  !I41</t>
  </si>
  <si>
    <t>RDO-04 SET  !C42</t>
  </si>
  <si>
    <t>RDO-04 SET  !D42</t>
  </si>
  <si>
    <t>RDO-04 SET  !E42</t>
  </si>
  <si>
    <t>RDO-04 SET  !G42</t>
  </si>
  <si>
    <t>RDO-04 SET  !H42</t>
  </si>
  <si>
    <t>RDO-04 SET  !I42</t>
  </si>
  <si>
    <t>RDO-04 SET  !C43</t>
  </si>
  <si>
    <t>RDO-04 SET  !D43</t>
  </si>
  <si>
    <t>RDO-04 SET  !E43</t>
  </si>
  <si>
    <t>RDO-04 SET  !G43</t>
  </si>
  <si>
    <t>RDO-04 SET  !H43</t>
  </si>
  <si>
    <t>RDO-04 SET  !I43</t>
  </si>
  <si>
    <t>RDO-04 SET  !C44</t>
  </si>
  <si>
    <t>RDO-04 SET  !D44</t>
  </si>
  <si>
    <t>RDO-04 SET  !E44</t>
  </si>
  <si>
    <t>RDO-04 SET  !G44</t>
  </si>
  <si>
    <t>RDO-04 SET  !H44</t>
  </si>
  <si>
    <t>RDO-04 SET  !I44</t>
  </si>
  <si>
    <t>RDO-04 SET  !C45</t>
  </si>
  <si>
    <t>RDO-04 SET  !D45</t>
  </si>
  <si>
    <t>RDO-04 SET  !E45</t>
  </si>
  <si>
    <t>RDO-04 SET  !C46</t>
  </si>
  <si>
    <t>RDO-04 SET  !D46</t>
  </si>
  <si>
    <t>RDO-04 SET  !E46</t>
  </si>
  <si>
    <t>RDO-04 SET  !G46</t>
  </si>
  <si>
    <t>RDO-04 SET  !H46</t>
  </si>
  <si>
    <t>RDO-04 SET  !I46</t>
  </si>
  <si>
    <t>RDO-04 SET  !C47</t>
  </si>
  <si>
    <t>RDO-04 SET  !D47</t>
  </si>
  <si>
    <t>RDO-04 SET  !E47</t>
  </si>
  <si>
    <t>RDO-04 SET  !G47</t>
  </si>
  <si>
    <t>RDO-04 SET  !H47</t>
  </si>
  <si>
    <t>RDO-04 SET  !I47</t>
  </si>
  <si>
    <t>RDO-04 SET  !C48</t>
  </si>
  <si>
    <t>RDO-04 SET  !D48</t>
  </si>
  <si>
    <t>RDO-04 SET  !E48</t>
  </si>
  <si>
    <t>RDO-04 SET  !G48</t>
  </si>
  <si>
    <t>RDO-04 SET  !H48</t>
  </si>
  <si>
    <t>RDO-04 SET  !I48</t>
  </si>
  <si>
    <t>RDO-04 SET  !C49</t>
  </si>
  <si>
    <t>RDO-04 SET  !D49</t>
  </si>
  <si>
    <t>RDO-04 SET  !E49</t>
  </si>
  <si>
    <t>RDO-04 SET  !G49</t>
  </si>
  <si>
    <t>RDO-04 SET  !H49</t>
  </si>
  <si>
    <t>RDO-04 SET  !I49</t>
  </si>
  <si>
    <t>RDO-04 SET  !C50</t>
  </si>
  <si>
    <t>RDO-04 SET  !D50</t>
  </si>
  <si>
    <t>RDO-04 SET  !E50</t>
  </si>
  <si>
    <t>RDO-04 SET  !G50</t>
  </si>
  <si>
    <t>RDO-04 SET  !H50</t>
  </si>
  <si>
    <t>RDO-04 SET  !I50</t>
  </si>
  <si>
    <t>RDO-04 SET  !C51</t>
  </si>
  <si>
    <t>RDO-04 SET  !D51</t>
  </si>
  <si>
    <t>RDO-04 SET  !E51</t>
  </si>
  <si>
    <t>RDO-04 SET  !G51</t>
  </si>
  <si>
    <t>RDO-04 SET  !H51</t>
  </si>
  <si>
    <t>RDO-04 SET  !I51</t>
  </si>
  <si>
    <t>RDO-04 SET  !C52</t>
  </si>
  <si>
    <t>RDO-04 SET  !D52</t>
  </si>
  <si>
    <t>RDO-04 SET  !E52</t>
  </si>
  <si>
    <t>RDO-04 SET  !G52</t>
  </si>
  <si>
    <t>RDO-04 SET  !H52</t>
  </si>
  <si>
    <t>RDO-04 SET  !I52</t>
  </si>
  <si>
    <t>RDO-05 SET !C8</t>
  </si>
  <si>
    <t>RDO-05 SET !D8</t>
  </si>
  <si>
    <t>RDO-05 SET !E8</t>
  </si>
  <si>
    <t>RDO-05 SET !G8</t>
  </si>
  <si>
    <t>RDO-05 SET !H8</t>
  </si>
  <si>
    <t>RDO-05 SET !I8</t>
  </si>
  <si>
    <t>RDO-05 SET !C9</t>
  </si>
  <si>
    <t>RDO-05 SET !D9</t>
  </si>
  <si>
    <t>RDO-05 SET !E9</t>
  </si>
  <si>
    <t>RDO-05 SET !G9</t>
  </si>
  <si>
    <t>RDO-05 SET !H9</t>
  </si>
  <si>
    <t>RDO-05 SET !I9</t>
  </si>
  <si>
    <t>RDO-05 SET !C10</t>
  </si>
  <si>
    <t>RDO-05 SET !D10</t>
  </si>
  <si>
    <t>RDO-05 SET !E10</t>
  </si>
  <si>
    <t>RDO-05 SET !G10</t>
  </si>
  <si>
    <t>RDO-05 SET !H10</t>
  </si>
  <si>
    <t>RDO-05 SET !I10</t>
  </si>
  <si>
    <t>RDO-05 SET !C11</t>
  </si>
  <si>
    <t>RDO-05 SET !D11</t>
  </si>
  <si>
    <t>RDO-05 SET !E11</t>
  </si>
  <si>
    <t>RDO-05 SET !G11</t>
  </si>
  <si>
    <t>RDO-05 SET !H11</t>
  </si>
  <si>
    <t>RDO-05 SET !I11</t>
  </si>
  <si>
    <t>RDO-05 SET !G12</t>
  </si>
  <si>
    <t>RDO-05 SET !H12</t>
  </si>
  <si>
    <t>RDO-05 SET !I12</t>
  </si>
  <si>
    <t>RDO-05 SET !C13</t>
  </si>
  <si>
    <t>RDO-05 SET !D13</t>
  </si>
  <si>
    <t>RDO-05 SET !E13</t>
  </si>
  <si>
    <t>RDO-05 SET !G13</t>
  </si>
  <si>
    <t>RDO-05 SET !H13</t>
  </si>
  <si>
    <t>RDO-05 SET !I13</t>
  </si>
  <si>
    <t>RDO-05 SET !C14</t>
  </si>
  <si>
    <t>RDO-05 SET !D14</t>
  </si>
  <si>
    <t>RDO-05 SET !E14</t>
  </si>
  <si>
    <t>RDO-05 SET !G14</t>
  </si>
  <si>
    <t>RDO-05 SET !H14</t>
  </si>
  <si>
    <t>RDO-05 SET !I14</t>
  </si>
  <si>
    <t>RDO-05 SET !C15</t>
  </si>
  <si>
    <t>RDO-05 SET !D15</t>
  </si>
  <si>
    <t>RDO-05 SET !E15</t>
  </si>
  <si>
    <t>RDO-05 SET !G15</t>
  </si>
  <si>
    <t>RDO-05 SET !H15</t>
  </si>
  <si>
    <t>RDO-05 SET !I15</t>
  </si>
  <si>
    <t>RDO-05 SET !C16</t>
  </si>
  <si>
    <t>RDO-05 SET !D16</t>
  </si>
  <si>
    <t>RDO-05 SET !E16</t>
  </si>
  <si>
    <t>RDO-05 SET !G16</t>
  </si>
  <si>
    <t>RDO-05 SET !H16</t>
  </si>
  <si>
    <t>RDO-05 SET !I16</t>
  </si>
  <si>
    <t>RDO-05 SET !C17</t>
  </si>
  <si>
    <t>RDO-05 SET !D17</t>
  </si>
  <si>
    <t>RDO-05 SET !E17</t>
  </si>
  <si>
    <t>RDO-05 SET !C18</t>
  </si>
  <si>
    <t>RDO-05 SET !D18</t>
  </si>
  <si>
    <t>RDO-05 SET !E18</t>
  </si>
  <si>
    <t>RDO-05 SET !G18</t>
  </si>
  <si>
    <t>RDO-05 SET !H18</t>
  </si>
  <si>
    <t>RDO-05 SET !I18</t>
  </si>
  <si>
    <t>RDO-05 SET !C19</t>
  </si>
  <si>
    <t>RDO-05 SET !D19</t>
  </si>
  <si>
    <t>RDO-05 SET !E19</t>
  </si>
  <si>
    <t>RDO-05 SET !G19</t>
  </si>
  <si>
    <t>RDO-05 SET !H19</t>
  </si>
  <si>
    <t>RDO-05 SET !I19</t>
  </si>
  <si>
    <t>RDO-05 SET !C20</t>
  </si>
  <si>
    <t>RDO-05 SET !D20</t>
  </si>
  <si>
    <t>RDO-05 SET !E20</t>
  </si>
  <si>
    <t>RDO-05 SET !G20</t>
  </si>
  <si>
    <t>RDO-05 SET !H20</t>
  </si>
  <si>
    <t>RDO-05 SET !I20</t>
  </si>
  <si>
    <t>RDO-05 SET !C21</t>
  </si>
  <si>
    <t>RDO-05 SET !D21</t>
  </si>
  <si>
    <t>RDO-05 SET !E21</t>
  </si>
  <si>
    <t>RDO-05 SET !G21</t>
  </si>
  <si>
    <t>RDO-05 SET !H21</t>
  </si>
  <si>
    <t>RDO-05 SET !I21</t>
  </si>
  <si>
    <t>RDO-05 SET !C22</t>
  </si>
  <si>
    <t>RDO-05 SET !D22</t>
  </si>
  <si>
    <t>RDO-05 SET !E22</t>
  </si>
  <si>
    <t>RDO-05 SET !G22</t>
  </si>
  <si>
    <t>RDO-05 SET !H22</t>
  </si>
  <si>
    <t>RDO-05 SET !I22</t>
  </si>
  <si>
    <t>RDO-05 SET !C23</t>
  </si>
  <si>
    <t>RDO-05 SET !D23</t>
  </si>
  <si>
    <t>RDO-05 SET !E23</t>
  </si>
  <si>
    <t>RDO-05 SET !G23</t>
  </si>
  <si>
    <t>RDO-05 SET !H23</t>
  </si>
  <si>
    <t>RDO-05 SET !I23</t>
  </si>
  <si>
    <t>RDO-05 SET !G24</t>
  </si>
  <si>
    <t>RDO-05 SET !H24</t>
  </si>
  <si>
    <t>RDO-05 SET !I24</t>
  </si>
  <si>
    <t>RDO-05 SET !C25</t>
  </si>
  <si>
    <t>RDO-05 SET !D25</t>
  </si>
  <si>
    <t>RDO-05 SET !E25</t>
  </si>
  <si>
    <t>RDO-05 SET !G25</t>
  </si>
  <si>
    <t>RDO-05 SET !H25</t>
  </si>
  <si>
    <t>RDO-05 SET !I25</t>
  </si>
  <si>
    <t>RDO-05 SET !G26</t>
  </si>
  <si>
    <t>RDO-05 SET !H26</t>
  </si>
  <si>
    <t>RDO-05 SET !I26</t>
  </si>
  <si>
    <t>RDO-05 SET !C28</t>
  </si>
  <si>
    <t>RDO-05 SET !D28</t>
  </si>
  <si>
    <t>RDO-05 SET !E28</t>
  </si>
  <si>
    <t>RDO-05 SET !C29</t>
  </si>
  <si>
    <t>RDO-05 SET !D29</t>
  </si>
  <si>
    <t>RDO-05 SET !E29</t>
  </si>
  <si>
    <t>RDO-05 SET !G29</t>
  </si>
  <si>
    <t>RDO-05 SET !H29</t>
  </si>
  <si>
    <t>RDO-05 SET !I29</t>
  </si>
  <si>
    <t>RDO-05 SET !C30</t>
  </si>
  <si>
    <t>RDO-05 SET !D30</t>
  </si>
  <si>
    <t>RDO-05 SET !E30</t>
  </si>
  <si>
    <t>RDO-05 SET !G30</t>
  </si>
  <si>
    <t>RDO-05 SET !H30</t>
  </si>
  <si>
    <t>RDO-05 SET !I30</t>
  </si>
  <si>
    <t>RDO-05 SET !C31</t>
  </si>
  <si>
    <t>RDO-05 SET !D31</t>
  </si>
  <si>
    <t>RDO-05 SET !E31</t>
  </si>
  <si>
    <t>RDO-05 SET !G31</t>
  </si>
  <si>
    <t>RDO-05 SET !H31</t>
  </si>
  <si>
    <t>RDO-05 SET !I31</t>
  </si>
  <si>
    <t>RDO-05 SET !G32</t>
  </si>
  <si>
    <t>RDO-05 SET !H32</t>
  </si>
  <si>
    <t>RDO-05 SET !I32</t>
  </si>
  <si>
    <t>RDO-05 SET !G33</t>
  </si>
  <si>
    <t>RDO-05 SET !H33</t>
  </si>
  <si>
    <t>RDO-05 SET !I33</t>
  </si>
  <si>
    <t>RDO-05 SET !G35</t>
  </si>
  <si>
    <t>RDO-05 SET !H35</t>
  </si>
  <si>
    <t>RDO-05 SET !I35</t>
  </si>
  <si>
    <t>RDO-05 SET !G36</t>
  </si>
  <si>
    <t>RDO-05 SET !H36</t>
  </si>
  <si>
    <t>RDO-05 SET !I36</t>
  </si>
  <si>
    <t>RDO-05 SET !C37</t>
  </si>
  <si>
    <t>RDO-05 SET !D37</t>
  </si>
  <si>
    <t>RDO-05 SET !E37</t>
  </si>
  <si>
    <t>RDO-05 SET !G37</t>
  </si>
  <si>
    <t>RDO-05 SET !H37</t>
  </si>
  <si>
    <t>RDO-05 SET !I37</t>
  </si>
  <si>
    <t>RDO-05 SET !G38</t>
  </si>
  <si>
    <t>RDO-05 SET !H38</t>
  </si>
  <si>
    <t>RDO-05 SET !I38</t>
  </si>
  <si>
    <t>RDO-05 SET !G40</t>
  </si>
  <si>
    <t>RDO-05 SET !H40</t>
  </si>
  <si>
    <t>RDO-05 SET !I40</t>
  </si>
  <si>
    <t>RDO-05 SET !C41</t>
  </si>
  <si>
    <t>RDO-05 SET !D41</t>
  </si>
  <si>
    <t>RDO-05 SET !E41</t>
  </si>
  <si>
    <t>RDO-05 SET !G41</t>
  </si>
  <si>
    <t>RDO-05 SET !H41</t>
  </si>
  <si>
    <t>RDO-05 SET !I41</t>
  </si>
  <si>
    <t>RDO-05 SET !C42</t>
  </si>
  <si>
    <t>RDO-05 SET !D42</t>
  </si>
  <si>
    <t>RDO-05 SET !E42</t>
  </si>
  <si>
    <t>RDO-05 SET !G42</t>
  </si>
  <si>
    <t>RDO-05 SET !H42</t>
  </si>
  <si>
    <t>RDO-05 SET !I42</t>
  </si>
  <si>
    <t>RDO-05 SET !C43</t>
  </si>
  <si>
    <t>RDO-05 SET !D43</t>
  </si>
  <si>
    <t>RDO-05 SET !E43</t>
  </si>
  <si>
    <t>RDO-05 SET !G43</t>
  </si>
  <si>
    <t>RDO-05 SET !H43</t>
  </si>
  <si>
    <t>RDO-05 SET !I43</t>
  </si>
  <si>
    <t>RDO-05 SET !C44</t>
  </si>
  <si>
    <t>RDO-05 SET !D44</t>
  </si>
  <si>
    <t>RDO-05 SET !E44</t>
  </si>
  <si>
    <t>RDO-05 SET !G44</t>
  </si>
  <si>
    <t>RDO-05 SET !H44</t>
  </si>
  <si>
    <t>RDO-05 SET !I44</t>
  </si>
  <si>
    <t>RDO-05 SET !C45</t>
  </si>
  <si>
    <t>RDO-05 SET !D45</t>
  </si>
  <si>
    <t>RDO-05 SET !E45</t>
  </si>
  <si>
    <t>RDO-05 SET !C46</t>
  </si>
  <si>
    <t>RDO-05 SET !D46</t>
  </si>
  <si>
    <t>RDO-05 SET !E46</t>
  </si>
  <si>
    <t>RDO-05 SET !G46</t>
  </si>
  <si>
    <t>RDO-05 SET !H46</t>
  </si>
  <si>
    <t>RDO-05 SET !I46</t>
  </si>
  <si>
    <t>RDO-05 SET !C47</t>
  </si>
  <si>
    <t>RDO-05 SET !D47</t>
  </si>
  <si>
    <t>RDO-05 SET !E47</t>
  </si>
  <si>
    <t>RDO-05 SET !G47</t>
  </si>
  <si>
    <t>RDO-05 SET !H47</t>
  </si>
  <si>
    <t>RDO-05 SET !I47</t>
  </si>
  <si>
    <t>RDO-05 SET !C48</t>
  </si>
  <si>
    <t>RDO-05 SET !D48</t>
  </si>
  <si>
    <t>RDO-05 SET !E48</t>
  </si>
  <si>
    <t>RDO-05 SET !G48</t>
  </si>
  <si>
    <t>RDO-05 SET !H48</t>
  </si>
  <si>
    <t>RDO-05 SET !I48</t>
  </si>
  <si>
    <t>RDO-05 SET !C49</t>
  </si>
  <si>
    <t>RDO-05 SET !D49</t>
  </si>
  <si>
    <t>RDO-05 SET !E49</t>
  </si>
  <si>
    <t>RDO-05 SET !G49</t>
  </si>
  <si>
    <t>RDO-05 SET !H49</t>
  </si>
  <si>
    <t>RDO-05 SET !I49</t>
  </si>
  <si>
    <t>RDO-05 SET !C50</t>
  </si>
  <si>
    <t>RDO-05 SET !D50</t>
  </si>
  <si>
    <t>RDO-05 SET !E50</t>
  </si>
  <si>
    <t>RDO-05 SET !G50</t>
  </si>
  <si>
    <t>RDO-05 SET !H50</t>
  </si>
  <si>
    <t>RDO-05 SET !I50</t>
  </si>
  <si>
    <t>RDO-05 SET !C51</t>
  </si>
  <si>
    <t>RDO-05 SET !D51</t>
  </si>
  <si>
    <t>RDO-05 SET !E51</t>
  </si>
  <si>
    <t>RDO-05 SET !G51</t>
  </si>
  <si>
    <t>RDO-05 SET !H51</t>
  </si>
  <si>
    <t>RDO-05 SET !I51</t>
  </si>
  <si>
    <t>RDO-05 SET !C52</t>
  </si>
  <si>
    <t>RDO-05 SET !D52</t>
  </si>
  <si>
    <t>RDO-05 SET !E52</t>
  </si>
  <si>
    <t>RDO-05 SET !G52</t>
  </si>
  <si>
    <t>RDO-05 SET !H52</t>
  </si>
  <si>
    <t>RDO-05 SET !I52</t>
  </si>
  <si>
    <t>RDO-06 SET !C8</t>
  </si>
  <si>
    <t>RDO-06 SET !D8</t>
  </si>
  <si>
    <t>RDO-06 SET !E8</t>
  </si>
  <si>
    <t>RDO-06 SET !G8</t>
  </si>
  <si>
    <t>RDO-06 SET !H8</t>
  </si>
  <si>
    <t>RDO-06 SET !I8</t>
  </si>
  <si>
    <t>RDO-06 SET !C9</t>
  </si>
  <si>
    <t>RDO-06 SET !D9</t>
  </si>
  <si>
    <t>RDO-06 SET !E9</t>
  </si>
  <si>
    <t>RDO-06 SET !G9</t>
  </si>
  <si>
    <t>RDO-06 SET !H9</t>
  </si>
  <si>
    <t>RDO-06 SET !I9</t>
  </si>
  <si>
    <t>RDO-06 SET !C10</t>
  </si>
  <si>
    <t>RDO-06 SET !D10</t>
  </si>
  <si>
    <t>RDO-06 SET !E10</t>
  </si>
  <si>
    <t>RDO-06 SET !G10</t>
  </si>
  <si>
    <t>RDO-06 SET !H10</t>
  </si>
  <si>
    <t>RDO-06 SET !I10</t>
  </si>
  <si>
    <t>RDO-06 SET !C11</t>
  </si>
  <si>
    <t>RDO-06 SET !D11</t>
  </si>
  <si>
    <t>RDO-06 SET !E11</t>
  </si>
  <si>
    <t>RDO-06 SET !G11</t>
  </si>
  <si>
    <t>RDO-06 SET !H11</t>
  </si>
  <si>
    <t>RDO-06 SET !I11</t>
  </si>
  <si>
    <t>RDO-06 SET !G12</t>
  </si>
  <si>
    <t>RDO-06 SET !H12</t>
  </si>
  <si>
    <t>RDO-06 SET !I12</t>
  </si>
  <si>
    <t>RDO-06 SET !C13</t>
  </si>
  <si>
    <t>RDO-06 SET !D13</t>
  </si>
  <si>
    <t>RDO-06 SET !E13</t>
  </si>
  <si>
    <t>RDO-06 SET !G13</t>
  </si>
  <si>
    <t>RDO-06 SET !H13</t>
  </si>
  <si>
    <t>RDO-06 SET !I13</t>
  </si>
  <si>
    <t>RDO-06 SET !C14</t>
  </si>
  <si>
    <t>RDO-06 SET !D14</t>
  </si>
  <si>
    <t>RDO-06 SET !E14</t>
  </si>
  <si>
    <t>RDO-06 SET !G14</t>
  </si>
  <si>
    <t>RDO-06 SET !H14</t>
  </si>
  <si>
    <t>RDO-06 SET !I14</t>
  </si>
  <si>
    <t>RDO-06 SET !C15</t>
  </si>
  <si>
    <t>RDO-06 SET !D15</t>
  </si>
  <si>
    <t>RDO-06 SET !E15</t>
  </si>
  <si>
    <t>RDO-06 SET !G15</t>
  </si>
  <si>
    <t>RDO-06 SET !H15</t>
  </si>
  <si>
    <t>RDO-06 SET !I15</t>
  </si>
  <si>
    <t>RDO-06 SET !C16</t>
  </si>
  <si>
    <t>RDO-06 SET !D16</t>
  </si>
  <si>
    <t>RDO-06 SET !E16</t>
  </si>
  <si>
    <t>RDO-06 SET !G16</t>
  </si>
  <si>
    <t>RDO-06 SET !H16</t>
  </si>
  <si>
    <t>RDO-06 SET !I16</t>
  </si>
  <si>
    <t>RDO-06 SET !C17</t>
  </si>
  <si>
    <t>RDO-06 SET !D17</t>
  </si>
  <si>
    <t>RDO-06 SET !E17</t>
  </si>
  <si>
    <t>RDO-06 SET !C18</t>
  </si>
  <si>
    <t>RDO-06 SET !D18</t>
  </si>
  <si>
    <t>RDO-06 SET !E18</t>
  </si>
  <si>
    <t>RDO-06 SET !G18</t>
  </si>
  <si>
    <t>RDO-06 SET !H18</t>
  </si>
  <si>
    <t>RDO-06 SET !I18</t>
  </si>
  <si>
    <t>RDO-06 SET !C19</t>
  </si>
  <si>
    <t>RDO-06 SET !D19</t>
  </si>
  <si>
    <t>RDO-06 SET !E19</t>
  </si>
  <si>
    <t>RDO-06 SET !G19</t>
  </si>
  <si>
    <t>RDO-06 SET !H19</t>
  </si>
  <si>
    <t>RDO-06 SET !I19</t>
  </si>
  <si>
    <t>RDO-06 SET !C20</t>
  </si>
  <si>
    <t>RDO-06 SET !D20</t>
  </si>
  <si>
    <t>RDO-06 SET !E20</t>
  </si>
  <si>
    <t>RDO-06 SET !G20</t>
  </si>
  <si>
    <t>RDO-06 SET !H20</t>
  </si>
  <si>
    <t>RDO-06 SET !I20</t>
  </si>
  <si>
    <t>RDO-06 SET !C21</t>
  </si>
  <si>
    <t>RDO-06 SET !D21</t>
  </si>
  <si>
    <t>RDO-06 SET !E21</t>
  </si>
  <si>
    <t>RDO-06 SET !G21</t>
  </si>
  <si>
    <t>RDO-06 SET !H21</t>
  </si>
  <si>
    <t>RDO-06 SET !I21</t>
  </si>
  <si>
    <t>RDO-06 SET !C22</t>
  </si>
  <si>
    <t>RDO-06 SET !D22</t>
  </si>
  <si>
    <t>RDO-06 SET !E22</t>
  </si>
  <si>
    <t>RDO-06 SET !G22</t>
  </si>
  <si>
    <t>RDO-06 SET !H22</t>
  </si>
  <si>
    <t>RDO-06 SET !I22</t>
  </si>
  <si>
    <t>RDO-06 SET !C23</t>
  </si>
  <si>
    <t>RDO-06 SET !D23</t>
  </si>
  <si>
    <t>RDO-06 SET !E23</t>
  </si>
  <si>
    <t>RDO-06 SET !G23</t>
  </si>
  <si>
    <t>RDO-06 SET !H23</t>
  </si>
  <si>
    <t>RDO-06 SET !I23</t>
  </si>
  <si>
    <t>RDO-06 SET !G24</t>
  </si>
  <si>
    <t>RDO-06 SET !H24</t>
  </si>
  <si>
    <t>RDO-06 SET !I24</t>
  </si>
  <si>
    <t>RDO-06 SET !C25</t>
  </si>
  <si>
    <t>RDO-06 SET !D25</t>
  </si>
  <si>
    <t>RDO-06 SET !E25</t>
  </si>
  <si>
    <t>RDO-06 SET !G25</t>
  </si>
  <si>
    <t>RDO-06 SET !H25</t>
  </si>
  <si>
    <t>RDO-06 SET !I25</t>
  </si>
  <si>
    <t>RDO-06 SET !G26</t>
  </si>
  <si>
    <t>RDO-06 SET !H26</t>
  </si>
  <si>
    <t>RDO-06 SET !I26</t>
  </si>
  <si>
    <t>RDO-06 SET !C28</t>
  </si>
  <si>
    <t>RDO-06 SET !D28</t>
  </si>
  <si>
    <t>RDO-06 SET !E28</t>
  </si>
  <si>
    <t>RDO-06 SET !C29</t>
  </si>
  <si>
    <t>RDO-06 SET !D29</t>
  </si>
  <si>
    <t>RDO-06 SET !E29</t>
  </si>
  <si>
    <t>RDO-06 SET !G29</t>
  </si>
  <si>
    <t>RDO-06 SET !H29</t>
  </si>
  <si>
    <t>RDO-06 SET !I29</t>
  </si>
  <si>
    <t>RDO-06 SET !C30</t>
  </si>
  <si>
    <t>RDO-06 SET !D30</t>
  </si>
  <si>
    <t>RDO-06 SET !E30</t>
  </si>
  <si>
    <t>RDO-06 SET !G30</t>
  </si>
  <si>
    <t>RDO-06 SET !H30</t>
  </si>
  <si>
    <t>RDO-06 SET !I30</t>
  </si>
  <si>
    <t>RDO-06 SET !C31</t>
  </si>
  <si>
    <t>RDO-06 SET !D31</t>
  </si>
  <si>
    <t>RDO-06 SET !E31</t>
  </si>
  <si>
    <t>RDO-06 SET !G31</t>
  </si>
  <si>
    <t>RDO-06 SET !H31</t>
  </si>
  <si>
    <t>RDO-06 SET !I31</t>
  </si>
  <si>
    <t>RDO-06 SET !G32</t>
  </si>
  <si>
    <t>RDO-06 SET !H32</t>
  </si>
  <si>
    <t>RDO-06 SET !I32</t>
  </si>
  <si>
    <t>RDO-06 SET !G33</t>
  </si>
  <si>
    <t>RDO-06 SET !H33</t>
  </si>
  <si>
    <t>RDO-06 SET !I33</t>
  </si>
  <si>
    <t>RDO-06 SET !G35</t>
  </si>
  <si>
    <t>RDO-06 SET !H35</t>
  </si>
  <si>
    <t>RDO-06 SET !I35</t>
  </si>
  <si>
    <t>RDO-06 SET !G36</t>
  </si>
  <si>
    <t>RDO-06 SET !H36</t>
  </si>
  <si>
    <t>RDO-06 SET !I36</t>
  </si>
  <si>
    <t>RDO-06 SET !C37</t>
  </si>
  <si>
    <t>RDO-06 SET !D37</t>
  </si>
  <si>
    <t>RDO-06 SET !E37</t>
  </si>
  <si>
    <t>RDO-06 SET !G37</t>
  </si>
  <si>
    <t>RDO-06 SET !H37</t>
  </si>
  <si>
    <t>RDO-06 SET !I37</t>
  </si>
  <si>
    <t>RDO-06 SET !G38</t>
  </si>
  <si>
    <t>RDO-06 SET !H38</t>
  </si>
  <si>
    <t>RDO-06 SET !I38</t>
  </si>
  <si>
    <t>RDO-06 SET !G40</t>
  </si>
  <si>
    <t>RDO-06 SET !H40</t>
  </si>
  <si>
    <t>RDO-06 SET !I40</t>
  </si>
  <si>
    <t>RDO-06 SET !C41</t>
  </si>
  <si>
    <t>RDO-06 SET !D41</t>
  </si>
  <si>
    <t>RDO-06 SET !E41</t>
  </si>
  <si>
    <t>RDO-06 SET !G41</t>
  </si>
  <si>
    <t>RDO-06 SET !H41</t>
  </si>
  <si>
    <t>RDO-06 SET !I41</t>
  </si>
  <si>
    <t>RDO-06 SET !C42</t>
  </si>
  <si>
    <t>RDO-06 SET !D42</t>
  </si>
  <si>
    <t>RDO-06 SET !E42</t>
  </si>
  <si>
    <t>RDO-06 SET !G42</t>
  </si>
  <si>
    <t>RDO-06 SET !H42</t>
  </si>
  <si>
    <t>RDO-06 SET !I42</t>
  </si>
  <si>
    <t>RDO-06 SET !C43</t>
  </si>
  <si>
    <t>RDO-06 SET !D43</t>
  </si>
  <si>
    <t>RDO-06 SET !E43</t>
  </si>
  <si>
    <t>RDO-06 SET !G43</t>
  </si>
  <si>
    <t>RDO-06 SET !H43</t>
  </si>
  <si>
    <t>RDO-06 SET !I43</t>
  </si>
  <si>
    <t>RDO-06 SET !C44</t>
  </si>
  <si>
    <t>RDO-06 SET !D44</t>
  </si>
  <si>
    <t>RDO-06 SET !E44</t>
  </si>
  <si>
    <t>RDO-06 SET !G44</t>
  </si>
  <si>
    <t>RDO-06 SET !H44</t>
  </si>
  <si>
    <t>RDO-06 SET !I44</t>
  </si>
  <si>
    <t>RDO-06 SET !C45</t>
  </si>
  <si>
    <t>RDO-06 SET !D45</t>
  </si>
  <si>
    <t>RDO-06 SET !E45</t>
  </si>
  <si>
    <t>RDO-06 SET !C46</t>
  </si>
  <si>
    <t>RDO-06 SET !D46</t>
  </si>
  <si>
    <t>RDO-06 SET !E46</t>
  </si>
  <si>
    <t>RDO-06 SET !G46</t>
  </si>
  <si>
    <t>RDO-06 SET !H46</t>
  </si>
  <si>
    <t>RDO-06 SET !I46</t>
  </si>
  <si>
    <t>RDO-06 SET !C47</t>
  </si>
  <si>
    <t>RDO-06 SET !D47</t>
  </si>
  <si>
    <t>RDO-06 SET !E47</t>
  </si>
  <si>
    <t>RDO-06 SET !G47</t>
  </si>
  <si>
    <t>RDO-06 SET !H47</t>
  </si>
  <si>
    <t>RDO-06 SET !I47</t>
  </si>
  <si>
    <t>RDO-06 SET !C48</t>
  </si>
  <si>
    <t>RDO-06 SET !D48</t>
  </si>
  <si>
    <t>RDO-06 SET !E48</t>
  </si>
  <si>
    <t>RDO-06 SET !G48</t>
  </si>
  <si>
    <t>RDO-06 SET !H48</t>
  </si>
  <si>
    <t>RDO-06 SET !I48</t>
  </si>
  <si>
    <t>RDO-06 SET !C49</t>
  </si>
  <si>
    <t>RDO-06 SET !D49</t>
  </si>
  <si>
    <t>RDO-06 SET !E49</t>
  </si>
  <si>
    <t>RDO-06 SET !G49</t>
  </si>
  <si>
    <t>RDO-06 SET !H49</t>
  </si>
  <si>
    <t>RDO-06 SET !I49</t>
  </si>
  <si>
    <t>RDO-06 SET !C50</t>
  </si>
  <si>
    <t>RDO-06 SET !D50</t>
  </si>
  <si>
    <t>RDO-06 SET !E50</t>
  </si>
  <si>
    <t>RDO-06 SET !G50</t>
  </si>
  <si>
    <t>RDO-06 SET !H50</t>
  </si>
  <si>
    <t>RDO-06 SET !I50</t>
  </si>
  <si>
    <t>RDO-06 SET !C51</t>
  </si>
  <si>
    <t>RDO-06 SET !D51</t>
  </si>
  <si>
    <t>RDO-06 SET !E51</t>
  </si>
  <si>
    <t>RDO-06 SET !G51</t>
  </si>
  <si>
    <t>RDO-06 SET !H51</t>
  </si>
  <si>
    <t>RDO-06 SET !I51</t>
  </si>
  <si>
    <t>RDO-06 SET !C52</t>
  </si>
  <si>
    <t>RDO-06 SET !D52</t>
  </si>
  <si>
    <t>RDO-06 SET !E52</t>
  </si>
  <si>
    <t>RDO-06 SET !G52</t>
  </si>
  <si>
    <t>RDO-06 SET !H52</t>
  </si>
  <si>
    <t>RDO-06 SET !I52</t>
  </si>
  <si>
    <t>RDO-07 SET!C8</t>
  </si>
  <si>
    <t>RDO-07 SET!D8</t>
  </si>
  <si>
    <t>RDO-07 SET!E8</t>
  </si>
  <si>
    <t>RDO-07 SET!G8</t>
  </si>
  <si>
    <t>RDO-07 SET!H8</t>
  </si>
  <si>
    <t>RDO-07 SET!I8</t>
  </si>
  <si>
    <t>RDO-07 SET!C9</t>
  </si>
  <si>
    <t>RDO-07 SET!D9</t>
  </si>
  <si>
    <t>RDO-07 SET!E9</t>
  </si>
  <si>
    <t>RDO-07 SET!G9</t>
  </si>
  <si>
    <t>RDO-07 SET!H9</t>
  </si>
  <si>
    <t>RDO-07 SET!I9</t>
  </si>
  <si>
    <t>RDO-07 SET!C10</t>
  </si>
  <si>
    <t>RDO-07 SET!D10</t>
  </si>
  <si>
    <t>RDO-07 SET!E10</t>
  </si>
  <si>
    <t>RDO-07 SET!G10</t>
  </si>
  <si>
    <t>RDO-07 SET!H10</t>
  </si>
  <si>
    <t>RDO-07 SET!I10</t>
  </si>
  <si>
    <t>RDO-07 SET!C11</t>
  </si>
  <si>
    <t>RDO-07 SET!D11</t>
  </si>
  <si>
    <t>RDO-07 SET!E11</t>
  </si>
  <si>
    <t>RDO-07 SET!G11</t>
  </si>
  <si>
    <t>RDO-07 SET!H11</t>
  </si>
  <si>
    <t>RDO-07 SET!I11</t>
  </si>
  <si>
    <t>RDO-07 SET!G12</t>
  </si>
  <si>
    <t>RDO-07 SET!H12</t>
  </si>
  <si>
    <t>RDO-07 SET!I12</t>
  </si>
  <si>
    <t>RDO-07 SET!C13</t>
  </si>
  <si>
    <t>RDO-07 SET!D13</t>
  </si>
  <si>
    <t>RDO-07 SET!E13</t>
  </si>
  <si>
    <t>RDO-07 SET!G13</t>
  </si>
  <si>
    <t>RDO-07 SET!H13</t>
  </si>
  <si>
    <t>RDO-07 SET!I13</t>
  </si>
  <si>
    <t>RDO-07 SET!C14</t>
  </si>
  <si>
    <t>RDO-07 SET!D14</t>
  </si>
  <si>
    <t>RDO-07 SET!E14</t>
  </si>
  <si>
    <t>RDO-07 SET!G14</t>
  </si>
  <si>
    <t>RDO-07 SET!H14</t>
  </si>
  <si>
    <t>RDO-07 SET!I14</t>
  </si>
  <si>
    <t>RDO-07 SET!C15</t>
  </si>
  <si>
    <t>RDO-07 SET!D15</t>
  </si>
  <si>
    <t>RDO-07 SET!E15</t>
  </si>
  <si>
    <t>RDO-07 SET!G15</t>
  </si>
  <si>
    <t>RDO-07 SET!H15</t>
  </si>
  <si>
    <t>RDO-07 SET!I15</t>
  </si>
  <si>
    <t>RDO-07 SET!C16</t>
  </si>
  <si>
    <t>RDO-07 SET!D16</t>
  </si>
  <si>
    <t>RDO-07 SET!E16</t>
  </si>
  <si>
    <t>RDO-07 SET!G16</t>
  </si>
  <si>
    <t>RDO-07 SET!H16</t>
  </si>
  <si>
    <t>RDO-07 SET!I16</t>
  </si>
  <si>
    <t>RDO-07 SET!C17</t>
  </si>
  <si>
    <t>RDO-07 SET!D17</t>
  </si>
  <si>
    <t>RDO-07 SET!E17</t>
  </si>
  <si>
    <t>RDO-07 SET!C18</t>
  </si>
  <si>
    <t>RDO-07 SET!D18</t>
  </si>
  <si>
    <t>RDO-07 SET!E18</t>
  </si>
  <si>
    <t>RDO-07 SET!G18</t>
  </si>
  <si>
    <t>RDO-07 SET!H18</t>
  </si>
  <si>
    <t>RDO-07 SET!I18</t>
  </si>
  <si>
    <t>RDO-07 SET!C19</t>
  </si>
  <si>
    <t>RDO-07 SET!D19</t>
  </si>
  <si>
    <t>RDO-07 SET!E19</t>
  </si>
  <si>
    <t>RDO-07 SET!G19</t>
  </si>
  <si>
    <t>RDO-07 SET!H19</t>
  </si>
  <si>
    <t>RDO-07 SET!I19</t>
  </si>
  <si>
    <t>RDO-07 SET!C20</t>
  </si>
  <si>
    <t>RDO-07 SET!D20</t>
  </si>
  <si>
    <t>RDO-07 SET!E20</t>
  </si>
  <si>
    <t>RDO-07 SET!G20</t>
  </si>
  <si>
    <t>RDO-07 SET!H20</t>
  </si>
  <si>
    <t>RDO-07 SET!I20</t>
  </si>
  <si>
    <t>RDO-07 SET!C21</t>
  </si>
  <si>
    <t>RDO-07 SET!D21</t>
  </si>
  <si>
    <t>RDO-07 SET!E21</t>
  </si>
  <si>
    <t>RDO-07 SET!G21</t>
  </si>
  <si>
    <t>RDO-07 SET!H21</t>
  </si>
  <si>
    <t>RDO-07 SET!I21</t>
  </si>
  <si>
    <t>RDO-07 SET!C22</t>
  </si>
  <si>
    <t>RDO-07 SET!D22</t>
  </si>
  <si>
    <t>RDO-07 SET!E22</t>
  </si>
  <si>
    <t>RDO-07 SET!G22</t>
  </si>
  <si>
    <t>RDO-07 SET!H22</t>
  </si>
  <si>
    <t>RDO-07 SET!I22</t>
  </si>
  <si>
    <t>RDO-07 SET!C23</t>
  </si>
  <si>
    <t>RDO-07 SET!D23</t>
  </si>
  <si>
    <t>RDO-07 SET!E23</t>
  </si>
  <si>
    <t>RDO-07 SET!G23</t>
  </si>
  <si>
    <t>RDO-07 SET!H23</t>
  </si>
  <si>
    <t>RDO-07 SET!I23</t>
  </si>
  <si>
    <t>RDO-07 SET!G24</t>
  </si>
  <si>
    <t>RDO-07 SET!H24</t>
  </si>
  <si>
    <t>RDO-07 SET!I24</t>
  </si>
  <si>
    <t>RDO-07 SET!C25</t>
  </si>
  <si>
    <t>RDO-07 SET!D25</t>
  </si>
  <si>
    <t>RDO-07 SET!E25</t>
  </si>
  <si>
    <t>RDO-07 SET!G25</t>
  </si>
  <si>
    <t>RDO-07 SET!H25</t>
  </si>
  <si>
    <t>RDO-07 SET!I25</t>
  </si>
  <si>
    <t>RDO-07 SET!G26</t>
  </si>
  <si>
    <t>RDO-07 SET!H26</t>
  </si>
  <si>
    <t>RDO-07 SET!I26</t>
  </si>
  <si>
    <t>RDO-07 SET!C28</t>
  </si>
  <si>
    <t>RDO-07 SET!D28</t>
  </si>
  <si>
    <t>RDO-07 SET!E28</t>
  </si>
  <si>
    <t>RDO-07 SET!C29</t>
  </si>
  <si>
    <t>RDO-07 SET!D29</t>
  </si>
  <si>
    <t>RDO-07 SET!E29</t>
  </si>
  <si>
    <t>RDO-07 SET!G29</t>
  </si>
  <si>
    <t>RDO-07 SET!H29</t>
  </si>
  <si>
    <t>RDO-07 SET!I29</t>
  </si>
  <si>
    <t>RDO-07 SET!C30</t>
  </si>
  <si>
    <t>RDO-07 SET!D30</t>
  </si>
  <si>
    <t>RDO-07 SET!E30</t>
  </si>
  <si>
    <t>RDO-07 SET!G30</t>
  </si>
  <si>
    <t>RDO-07 SET!H30</t>
  </si>
  <si>
    <t>RDO-07 SET!I30</t>
  </si>
  <si>
    <t>RDO-07 SET!C31</t>
  </si>
  <si>
    <t>RDO-07 SET!D31</t>
  </si>
  <si>
    <t>RDO-07 SET!E31</t>
  </si>
  <si>
    <t>RDO-07 SET!G31</t>
  </si>
  <si>
    <t>RDO-07 SET!H31</t>
  </si>
  <si>
    <t>RDO-07 SET!I31</t>
  </si>
  <si>
    <t>RDO-07 SET!G32</t>
  </si>
  <si>
    <t>RDO-07 SET!H32</t>
  </si>
  <si>
    <t>RDO-07 SET!I32</t>
  </si>
  <si>
    <t>RDO-07 SET!G33</t>
  </si>
  <si>
    <t>RDO-07 SET!H33</t>
  </si>
  <si>
    <t>RDO-07 SET!I33</t>
  </si>
  <si>
    <t>RDO-07 SET!G35</t>
  </si>
  <si>
    <t>RDO-07 SET!H35</t>
  </si>
  <si>
    <t>RDO-07 SET!I35</t>
  </si>
  <si>
    <t>RDO-07 SET!G36</t>
  </si>
  <si>
    <t>RDO-07 SET!H36</t>
  </si>
  <si>
    <t>RDO-07 SET!I36</t>
  </si>
  <si>
    <t>RDO-07 SET!C37</t>
  </si>
  <si>
    <t>RDO-07 SET!D37</t>
  </si>
  <si>
    <t>RDO-07 SET!E37</t>
  </si>
  <si>
    <t>RDO-07 SET!G37</t>
  </si>
  <si>
    <t>RDO-07 SET!H37</t>
  </si>
  <si>
    <t>RDO-07 SET!I37</t>
  </si>
  <si>
    <t>RDO-07 SET!G38</t>
  </si>
  <si>
    <t>RDO-07 SET!H38</t>
  </si>
  <si>
    <t>RDO-07 SET!I38</t>
  </si>
  <si>
    <t>RDO-07 SET!G40</t>
  </si>
  <si>
    <t>RDO-07 SET!H40</t>
  </si>
  <si>
    <t>RDO-07 SET!I40</t>
  </si>
  <si>
    <t>RDO-07 SET!C41</t>
  </si>
  <si>
    <t>RDO-07 SET!D41</t>
  </si>
  <si>
    <t>RDO-07 SET!E41</t>
  </si>
  <si>
    <t>RDO-07 SET!G41</t>
  </si>
  <si>
    <t>RDO-07 SET!H41</t>
  </si>
  <si>
    <t>RDO-07 SET!I41</t>
  </si>
  <si>
    <t>RDO-07 SET!C42</t>
  </si>
  <si>
    <t>RDO-07 SET!D42</t>
  </si>
  <si>
    <t>RDO-07 SET!E42</t>
  </si>
  <si>
    <t>RDO-07 SET!G42</t>
  </si>
  <si>
    <t>RDO-07 SET!H42</t>
  </si>
  <si>
    <t>RDO-07 SET!I42</t>
  </si>
  <si>
    <t>RDO-07 SET!C43</t>
  </si>
  <si>
    <t>RDO-07 SET!D43</t>
  </si>
  <si>
    <t>RDO-07 SET!E43</t>
  </si>
  <si>
    <t>RDO-07 SET!G43</t>
  </si>
  <si>
    <t>RDO-07 SET!H43</t>
  </si>
  <si>
    <t>RDO-07 SET!I43</t>
  </si>
  <si>
    <t>RDO-07 SET!C44</t>
  </si>
  <si>
    <t>RDO-07 SET!D44</t>
  </si>
  <si>
    <t>RDO-07 SET!E44</t>
  </si>
  <si>
    <t>RDO-07 SET!G44</t>
  </si>
  <si>
    <t>RDO-07 SET!H44</t>
  </si>
  <si>
    <t>RDO-07 SET!I44</t>
  </si>
  <si>
    <t>RDO-07 SET!C45</t>
  </si>
  <si>
    <t>RDO-07 SET!D45</t>
  </si>
  <si>
    <t>RDO-07 SET!E45</t>
  </si>
  <si>
    <t>RDO-07 SET!C46</t>
  </si>
  <si>
    <t>RDO-07 SET!D46</t>
  </si>
  <si>
    <t>RDO-07 SET!E46</t>
  </si>
  <si>
    <t>RDO-07 SET!G46</t>
  </si>
  <si>
    <t>RDO-07 SET!H46</t>
  </si>
  <si>
    <t>RDO-07 SET!I46</t>
  </si>
  <si>
    <t>RDO-07 SET!C47</t>
  </si>
  <si>
    <t>RDO-07 SET!D47</t>
  </si>
  <si>
    <t>RDO-07 SET!E47</t>
  </si>
  <si>
    <t>RDO-07 SET!G47</t>
  </si>
  <si>
    <t>RDO-07 SET!H47</t>
  </si>
  <si>
    <t>RDO-07 SET!I47</t>
  </si>
  <si>
    <t>RDO-07 SET!C48</t>
  </si>
  <si>
    <t>RDO-07 SET!D48</t>
  </si>
  <si>
    <t>RDO-07 SET!E48</t>
  </si>
  <si>
    <t>RDO-07 SET!G48</t>
  </si>
  <si>
    <t>RDO-07 SET!H48</t>
  </si>
  <si>
    <t>RDO-07 SET!I48</t>
  </si>
  <si>
    <t>RDO-07 SET!C49</t>
  </si>
  <si>
    <t>RDO-07 SET!D49</t>
  </si>
  <si>
    <t>RDO-07 SET!E49</t>
  </si>
  <si>
    <t>RDO-07 SET!G49</t>
  </si>
  <si>
    <t>RDO-07 SET!H49</t>
  </si>
  <si>
    <t>RDO-07 SET!I49</t>
  </si>
  <si>
    <t>RDO-07 SET!C50</t>
  </si>
  <si>
    <t>RDO-07 SET!D50</t>
  </si>
  <si>
    <t>RDO-07 SET!E50</t>
  </si>
  <si>
    <t>RDO-07 SET!G50</t>
  </si>
  <si>
    <t>RDO-07 SET!H50</t>
  </si>
  <si>
    <t>RDO-07 SET!I50</t>
  </si>
  <si>
    <t>RDO-07 SET!C51</t>
  </si>
  <si>
    <t>RDO-07 SET!D51</t>
  </si>
  <si>
    <t>RDO-07 SET!E51</t>
  </si>
  <si>
    <t>RDO-07 SET!G51</t>
  </si>
  <si>
    <t>RDO-07 SET!H51</t>
  </si>
  <si>
    <t>RDO-07 SET!I51</t>
  </si>
  <si>
    <t>RDO-07 SET!C52</t>
  </si>
  <si>
    <t>RDO-07 SET!D52</t>
  </si>
  <si>
    <t>RDO-07 SET!E52</t>
  </si>
  <si>
    <t>RDO-07 SET!G52</t>
  </si>
  <si>
    <t>RDO-07 SET!H52</t>
  </si>
  <si>
    <t>RDO-07 SET!I52</t>
  </si>
  <si>
    <t>RDO-08 SET!C8</t>
  </si>
  <si>
    <t>RDO-08 SET!D8</t>
  </si>
  <si>
    <t>RDO-08 SET!E8</t>
  </si>
  <si>
    <t>RDO-08 SET!G8</t>
  </si>
  <si>
    <t>RDO-08 SET!H8</t>
  </si>
  <si>
    <t>RDO-08 SET!I8</t>
  </si>
  <si>
    <t>RDO-08 SET!C9</t>
  </si>
  <si>
    <t>RDO-08 SET!D9</t>
  </si>
  <si>
    <t>RDO-08 SET!E9</t>
  </si>
  <si>
    <t>RDO-08 SET!G9</t>
  </si>
  <si>
    <t>RDO-08 SET!H9</t>
  </si>
  <si>
    <t>RDO-08 SET!I9</t>
  </si>
  <si>
    <t>RDO-08 SET!C10</t>
  </si>
  <si>
    <t>RDO-08 SET!D10</t>
  </si>
  <si>
    <t>RDO-08 SET!E10</t>
  </si>
  <si>
    <t>RDO-08 SET!G10</t>
  </si>
  <si>
    <t>RDO-08 SET!H10</t>
  </si>
  <si>
    <t>RDO-08 SET!I10</t>
  </si>
  <si>
    <t>RDO-08 SET!C11</t>
  </si>
  <si>
    <t>RDO-08 SET!D11</t>
  </si>
  <si>
    <t>RDO-08 SET!E11</t>
  </si>
  <si>
    <t>RDO-08 SET!G11</t>
  </si>
  <si>
    <t>RDO-08 SET!H11</t>
  </si>
  <si>
    <t>RDO-08 SET!I11</t>
  </si>
  <si>
    <t>RDO-08 SET!G12</t>
  </si>
  <si>
    <t>RDO-08 SET!H12</t>
  </si>
  <si>
    <t>RDO-08 SET!I12</t>
  </si>
  <si>
    <t>RDO-08 SET!C13</t>
  </si>
  <si>
    <t>RDO-08 SET!D13</t>
  </si>
  <si>
    <t>RDO-08 SET!E13</t>
  </si>
  <si>
    <t>RDO-08 SET!G13</t>
  </si>
  <si>
    <t>RDO-08 SET!H13</t>
  </si>
  <si>
    <t>RDO-08 SET!I13</t>
  </si>
  <si>
    <t>RDO-08 SET!C14</t>
  </si>
  <si>
    <t>RDO-08 SET!D14</t>
  </si>
  <si>
    <t>RDO-08 SET!E14</t>
  </si>
  <si>
    <t>RDO-08 SET!G14</t>
  </si>
  <si>
    <t>RDO-08 SET!H14</t>
  </si>
  <si>
    <t>RDO-08 SET!I14</t>
  </si>
  <si>
    <t>RDO-08 SET!C15</t>
  </si>
  <si>
    <t>RDO-08 SET!D15</t>
  </si>
  <si>
    <t>RDO-08 SET!E15</t>
  </si>
  <si>
    <t>RDO-08 SET!G15</t>
  </si>
  <si>
    <t>RDO-08 SET!H15</t>
  </si>
  <si>
    <t>RDO-08 SET!I15</t>
  </si>
  <si>
    <t>RDO-08 SET!C16</t>
  </si>
  <si>
    <t>RDO-08 SET!D16</t>
  </si>
  <si>
    <t>RDO-08 SET!E16</t>
  </si>
  <si>
    <t>RDO-08 SET!G16</t>
  </si>
  <si>
    <t>RDO-08 SET!H16</t>
  </si>
  <si>
    <t>RDO-08 SET!I16</t>
  </si>
  <si>
    <t>RDO-08 SET!C17</t>
  </si>
  <si>
    <t>RDO-08 SET!D17</t>
  </si>
  <si>
    <t>RDO-08 SET!E17</t>
  </si>
  <si>
    <t>RDO-08 SET!C18</t>
  </si>
  <si>
    <t>RDO-08 SET!D18</t>
  </si>
  <si>
    <t>RDO-08 SET!E18</t>
  </si>
  <si>
    <t>RDO-08 SET!G18</t>
  </si>
  <si>
    <t>RDO-08 SET!H18</t>
  </si>
  <si>
    <t>RDO-08 SET!I18</t>
  </si>
  <si>
    <t>RDO-08 SET!C19</t>
  </si>
  <si>
    <t>RDO-08 SET!D19</t>
  </si>
  <si>
    <t>RDO-08 SET!E19</t>
  </si>
  <si>
    <t>RDO-08 SET!G19</t>
  </si>
  <si>
    <t>RDO-08 SET!H19</t>
  </si>
  <si>
    <t>RDO-08 SET!I19</t>
  </si>
  <si>
    <t>RDO-08 SET!C20</t>
  </si>
  <si>
    <t>RDO-08 SET!D20</t>
  </si>
  <si>
    <t>RDO-08 SET!E20</t>
  </si>
  <si>
    <t>RDO-08 SET!G20</t>
  </si>
  <si>
    <t>RDO-08 SET!H20</t>
  </si>
  <si>
    <t>RDO-08 SET!I20</t>
  </si>
  <si>
    <t>RDO-08 SET!C21</t>
  </si>
  <si>
    <t>RDO-08 SET!D21</t>
  </si>
  <si>
    <t>RDO-08 SET!E21</t>
  </si>
  <si>
    <t>RDO-08 SET!G21</t>
  </si>
  <si>
    <t>RDO-08 SET!H21</t>
  </si>
  <si>
    <t>RDO-08 SET!I21</t>
  </si>
  <si>
    <t>RDO-08 SET!C22</t>
  </si>
  <si>
    <t>RDO-08 SET!D22</t>
  </si>
  <si>
    <t>RDO-08 SET!E22</t>
  </si>
  <si>
    <t>RDO-08 SET!G22</t>
  </si>
  <si>
    <t>RDO-08 SET!H22</t>
  </si>
  <si>
    <t>RDO-08 SET!I22</t>
  </si>
  <si>
    <t>RDO-08 SET!C23</t>
  </si>
  <si>
    <t>RDO-08 SET!D23</t>
  </si>
  <si>
    <t>RDO-08 SET!E23</t>
  </si>
  <si>
    <t>RDO-08 SET!G23</t>
  </si>
  <si>
    <t>RDO-08 SET!H23</t>
  </si>
  <si>
    <t>RDO-08 SET!I23</t>
  </si>
  <si>
    <t>RDO-08 SET!G24</t>
  </si>
  <si>
    <t>RDO-08 SET!H24</t>
  </si>
  <si>
    <t>RDO-08 SET!I24</t>
  </si>
  <si>
    <t>RDO-08 SET!C25</t>
  </si>
  <si>
    <t>RDO-08 SET!D25</t>
  </si>
  <si>
    <t>RDO-08 SET!E25</t>
  </si>
  <si>
    <t>RDO-08 SET!G25</t>
  </si>
  <si>
    <t>RDO-08 SET!H25</t>
  </si>
  <si>
    <t>RDO-08 SET!I25</t>
  </si>
  <si>
    <t>RDO-08 SET!G26</t>
  </si>
  <si>
    <t>RDO-08 SET!H26</t>
  </si>
  <si>
    <t>RDO-08 SET!I26</t>
  </si>
  <si>
    <t>RDO-08 SET!C28</t>
  </si>
  <si>
    <t>RDO-08 SET!D28</t>
  </si>
  <si>
    <t>RDO-08 SET!E28</t>
  </si>
  <si>
    <t>RDO-08 SET!C29</t>
  </si>
  <si>
    <t>RDO-08 SET!D29</t>
  </si>
  <si>
    <t>RDO-08 SET!E29</t>
  </si>
  <si>
    <t>RDO-08 SET!G29</t>
  </si>
  <si>
    <t>RDO-08 SET!H29</t>
  </si>
  <si>
    <t>RDO-08 SET!I29</t>
  </si>
  <si>
    <t>RDO-08 SET!C30</t>
  </si>
  <si>
    <t>RDO-08 SET!D30</t>
  </si>
  <si>
    <t>RDO-08 SET!E30</t>
  </si>
  <si>
    <t>RDO-08 SET!G30</t>
  </si>
  <si>
    <t>RDO-08 SET!H30</t>
  </si>
  <si>
    <t>RDO-08 SET!I30</t>
  </si>
  <si>
    <t>RDO-08 SET!C31</t>
  </si>
  <si>
    <t>RDO-08 SET!D31</t>
  </si>
  <si>
    <t>RDO-08 SET!E31</t>
  </si>
  <si>
    <t>RDO-08 SET!G31</t>
  </si>
  <si>
    <t>RDO-08 SET!H31</t>
  </si>
  <si>
    <t>RDO-08 SET!I31</t>
  </si>
  <si>
    <t>RDO-08 SET!G32</t>
  </si>
  <si>
    <t>RDO-08 SET!H32</t>
  </si>
  <si>
    <t>RDO-08 SET!I32</t>
  </si>
  <si>
    <t>RDO-08 SET!G33</t>
  </si>
  <si>
    <t>RDO-08 SET!H33</t>
  </si>
  <si>
    <t>RDO-08 SET!I33</t>
  </si>
  <si>
    <t>RDO-08 SET!G35</t>
  </si>
  <si>
    <t>RDO-08 SET!H35</t>
  </si>
  <si>
    <t>RDO-08 SET!I35</t>
  </si>
  <si>
    <t>RDO-08 SET!G36</t>
  </si>
  <si>
    <t>RDO-08 SET!H36</t>
  </si>
  <si>
    <t>RDO-08 SET!I36</t>
  </si>
  <si>
    <t>RDO-08 SET!C37</t>
  </si>
  <si>
    <t>RDO-08 SET!D37</t>
  </si>
  <si>
    <t>RDO-08 SET!E37</t>
  </si>
  <si>
    <t>RDO-08 SET!G37</t>
  </si>
  <si>
    <t>RDO-08 SET!H37</t>
  </si>
  <si>
    <t>RDO-08 SET!I37</t>
  </si>
  <si>
    <t>RDO-08 SET!G38</t>
  </si>
  <si>
    <t>RDO-08 SET!H38</t>
  </si>
  <si>
    <t>RDO-08 SET!I38</t>
  </si>
  <si>
    <t>RDO-08 SET!G40</t>
  </si>
  <si>
    <t>RDO-08 SET!H40</t>
  </si>
  <si>
    <t>RDO-08 SET!I40</t>
  </si>
  <si>
    <t>RDO-08 SET!C41</t>
  </si>
  <si>
    <t>RDO-08 SET!D41</t>
  </si>
  <si>
    <t>RDO-08 SET!E41</t>
  </si>
  <si>
    <t>RDO-08 SET!G41</t>
  </si>
  <si>
    <t>RDO-08 SET!H41</t>
  </si>
  <si>
    <t>RDO-08 SET!I41</t>
  </si>
  <si>
    <t>RDO-08 SET!C42</t>
  </si>
  <si>
    <t>RDO-08 SET!D42</t>
  </si>
  <si>
    <t>RDO-08 SET!E42</t>
  </si>
  <si>
    <t>RDO-08 SET!G42</t>
  </si>
  <si>
    <t>RDO-08 SET!H42</t>
  </si>
  <si>
    <t>RDO-08 SET!I42</t>
  </si>
  <si>
    <t>RDO-08 SET!C43</t>
  </si>
  <si>
    <t>RDO-08 SET!D43</t>
  </si>
  <si>
    <t>RDO-08 SET!E43</t>
  </si>
  <si>
    <t>RDO-08 SET!G43</t>
  </si>
  <si>
    <t>RDO-08 SET!H43</t>
  </si>
  <si>
    <t>RDO-08 SET!I43</t>
  </si>
  <si>
    <t>RDO-08 SET!C44</t>
  </si>
  <si>
    <t>RDO-08 SET!D44</t>
  </si>
  <si>
    <t>RDO-08 SET!E44</t>
  </si>
  <si>
    <t>RDO-08 SET!G44</t>
  </si>
  <si>
    <t>RDO-08 SET!H44</t>
  </si>
  <si>
    <t>RDO-08 SET!I44</t>
  </si>
  <si>
    <t>RDO-08 SET!C45</t>
  </si>
  <si>
    <t>RDO-08 SET!D45</t>
  </si>
  <si>
    <t>RDO-08 SET!E45</t>
  </si>
  <si>
    <t>RDO-08 SET!C46</t>
  </si>
  <si>
    <t>RDO-08 SET!D46</t>
  </si>
  <si>
    <t>RDO-08 SET!E46</t>
  </si>
  <si>
    <t>RDO-08 SET!G46</t>
  </si>
  <si>
    <t>RDO-08 SET!H46</t>
  </si>
  <si>
    <t>RDO-08 SET!I46</t>
  </si>
  <si>
    <t>RDO-08 SET!C47</t>
  </si>
  <si>
    <t>RDO-08 SET!D47</t>
  </si>
  <si>
    <t>RDO-08 SET!E47</t>
  </si>
  <si>
    <t>RDO-08 SET!G47</t>
  </si>
  <si>
    <t>RDO-08 SET!H47</t>
  </si>
  <si>
    <t>RDO-08 SET!I47</t>
  </si>
  <si>
    <t>RDO-08 SET!C48</t>
  </si>
  <si>
    <t>RDO-08 SET!D48</t>
  </si>
  <si>
    <t>RDO-08 SET!E48</t>
  </si>
  <si>
    <t>RDO-08 SET!G48</t>
  </si>
  <si>
    <t>RDO-08 SET!H48</t>
  </si>
  <si>
    <t>RDO-08 SET!I48</t>
  </si>
  <si>
    <t>RDO-08 SET!C49</t>
  </si>
  <si>
    <t>RDO-08 SET!D49</t>
  </si>
  <si>
    <t>RDO-08 SET!E49</t>
  </si>
  <si>
    <t>RDO-08 SET!G49</t>
  </si>
  <si>
    <t>RDO-08 SET!H49</t>
  </si>
  <si>
    <t>RDO-08 SET!I49</t>
  </si>
  <si>
    <t>RDO-08 SET!C50</t>
  </si>
  <si>
    <t>RDO-08 SET!D50</t>
  </si>
  <si>
    <t>RDO-08 SET!E50</t>
  </si>
  <si>
    <t>RDO-08 SET!G50</t>
  </si>
  <si>
    <t>RDO-08 SET!H50</t>
  </si>
  <si>
    <t>RDO-08 SET!I50</t>
  </si>
  <si>
    <t>RDO-08 SET!C51</t>
  </si>
  <si>
    <t>RDO-08 SET!D51</t>
  </si>
  <si>
    <t>RDO-08 SET!E51</t>
  </si>
  <si>
    <t>RDO-08 SET!G51</t>
  </si>
  <si>
    <t>RDO-08 SET!H51</t>
  </si>
  <si>
    <t>RDO-08 SET!I51</t>
  </si>
  <si>
    <t>RDO-08 SET!C52</t>
  </si>
  <si>
    <t>RDO-08 SET!D52</t>
  </si>
  <si>
    <t>RDO-08 SET!E52</t>
  </si>
  <si>
    <t>RDO-08 SET!G52</t>
  </si>
  <si>
    <t>RDO-08 SET!H52</t>
  </si>
  <si>
    <t>RDO-08 SET!I52</t>
  </si>
  <si>
    <t>RDO-09 SET !C8</t>
  </si>
  <si>
    <t>RDO-09 SET !D8</t>
  </si>
  <si>
    <t>RDO-09 SET !E8</t>
  </si>
  <si>
    <t>RDO-09 SET !G8</t>
  </si>
  <si>
    <t>RDO-09 SET !H8</t>
  </si>
  <si>
    <t>RDO-09 SET !I8</t>
  </si>
  <si>
    <t>RDO-09 SET !C9</t>
  </si>
  <si>
    <t>RDO-09 SET !D9</t>
  </si>
  <si>
    <t>RDO-09 SET !E9</t>
  </si>
  <si>
    <t>RDO-09 SET !G9</t>
  </si>
  <si>
    <t>RDO-09 SET !H9</t>
  </si>
  <si>
    <t>RDO-09 SET !I9</t>
  </si>
  <si>
    <t>RDO-09 SET !C10</t>
  </si>
  <si>
    <t>RDO-09 SET !D10</t>
  </si>
  <si>
    <t>RDO-09 SET !E10</t>
  </si>
  <si>
    <t>RDO-09 SET !G10</t>
  </si>
  <si>
    <t>RDO-09 SET !H10</t>
  </si>
  <si>
    <t>RDO-09 SET !I10</t>
  </si>
  <si>
    <t>RDO-09 SET !C11</t>
  </si>
  <si>
    <t>RDO-09 SET !D11</t>
  </si>
  <si>
    <t>RDO-09 SET !E11</t>
  </si>
  <si>
    <t>RDO-09 SET !G11</t>
  </si>
  <si>
    <t>RDO-09 SET !H11</t>
  </si>
  <si>
    <t>RDO-09 SET !I11</t>
  </si>
  <si>
    <t>RDO-09 SET !G12</t>
  </si>
  <si>
    <t>RDO-09 SET !H12</t>
  </si>
  <si>
    <t>RDO-09 SET !I12</t>
  </si>
  <si>
    <t>RDO-09 SET !C13</t>
  </si>
  <si>
    <t>RDO-09 SET !D13</t>
  </si>
  <si>
    <t>RDO-09 SET !E13</t>
  </si>
  <si>
    <t>RDO-09 SET !G13</t>
  </si>
  <si>
    <t>RDO-09 SET !H13</t>
  </si>
  <si>
    <t>RDO-09 SET !I13</t>
  </si>
  <si>
    <t>RDO-09 SET !C14</t>
  </si>
  <si>
    <t>RDO-09 SET !D14</t>
  </si>
  <si>
    <t>RDO-09 SET !E14</t>
  </si>
  <si>
    <t>RDO-09 SET !G14</t>
  </si>
  <si>
    <t>RDO-09 SET !H14</t>
  </si>
  <si>
    <t>RDO-09 SET !I14</t>
  </si>
  <si>
    <t>RDO-09 SET !C15</t>
  </si>
  <si>
    <t>RDO-09 SET !D15</t>
  </si>
  <si>
    <t>RDO-09 SET !E15</t>
  </si>
  <si>
    <t>RDO-09 SET !G15</t>
  </si>
  <si>
    <t>RDO-09 SET !H15</t>
  </si>
  <si>
    <t>RDO-09 SET !I15</t>
  </si>
  <si>
    <t>RDO-09 SET !C16</t>
  </si>
  <si>
    <t>RDO-09 SET !D16</t>
  </si>
  <si>
    <t>RDO-09 SET !E16</t>
  </si>
  <si>
    <t>RDO-09 SET !G16</t>
  </si>
  <si>
    <t>RDO-09 SET !H16</t>
  </si>
  <si>
    <t>RDO-09 SET !I16</t>
  </si>
  <si>
    <t>RDO-09 SET !C17</t>
  </si>
  <si>
    <t>RDO-09 SET !D17</t>
  </si>
  <si>
    <t>RDO-09 SET !E17</t>
  </si>
  <si>
    <t>RDO-09 SET !G17</t>
  </si>
  <si>
    <t>RDO-09 SET !H17</t>
  </si>
  <si>
    <t>RDO-09 SET !I17</t>
  </si>
  <si>
    <t>RDO-09 SET !C18</t>
  </si>
  <si>
    <t>RDO-09 SET !D18</t>
  </si>
  <si>
    <t>RDO-09 SET !E18</t>
  </si>
  <si>
    <t>RDO-09 SET !G18</t>
  </si>
  <si>
    <t>RDO-09 SET !H18</t>
  </si>
  <si>
    <t>RDO-09 SET !I18</t>
  </si>
  <si>
    <t>RDO-09 SET !C19</t>
  </si>
  <si>
    <t>RDO-09 SET !D19</t>
  </si>
  <si>
    <t>RDO-09 SET !E19</t>
  </si>
  <si>
    <t>RDO-09 SET !G19</t>
  </si>
  <si>
    <t>RDO-09 SET !H19</t>
  </si>
  <si>
    <t>RDO-09 SET !I19</t>
  </si>
  <si>
    <t>RDO-09 SET !C20</t>
  </si>
  <si>
    <t>RDO-09 SET !D20</t>
  </si>
  <si>
    <t>RDO-09 SET !E20</t>
  </si>
  <si>
    <t>RDO-09 SET !G20</t>
  </si>
  <si>
    <t>RDO-09 SET !H20</t>
  </si>
  <si>
    <t>RDO-09 SET !I20</t>
  </si>
  <si>
    <t>RDO-09 SET !C21</t>
  </si>
  <si>
    <t>RDO-09 SET !D21</t>
  </si>
  <si>
    <t>RDO-09 SET !E21</t>
  </si>
  <si>
    <t>RDO-09 SET !G21</t>
  </si>
  <si>
    <t>RDO-09 SET !H21</t>
  </si>
  <si>
    <t>RDO-09 SET !I21</t>
  </si>
  <si>
    <t>RDO-09 SET !C22</t>
  </si>
  <si>
    <t>RDO-09 SET !D22</t>
  </si>
  <si>
    <t>RDO-09 SET !E22</t>
  </si>
  <si>
    <t>RDO-09 SET !G22</t>
  </si>
  <si>
    <t>RDO-09 SET !H22</t>
  </si>
  <si>
    <t>RDO-09 SET !I22</t>
  </si>
  <si>
    <t>RDO-09 SET !C23</t>
  </si>
  <si>
    <t>RDO-09 SET !D23</t>
  </si>
  <si>
    <t>RDO-09 SET !E23</t>
  </si>
  <si>
    <t>RDO-09 SET !G23</t>
  </si>
  <si>
    <t>RDO-09 SET !H23</t>
  </si>
  <si>
    <t>RDO-09 SET !I23</t>
  </si>
  <si>
    <t>RDO-09 SET !G24</t>
  </si>
  <si>
    <t>RDO-09 SET !H24</t>
  </si>
  <si>
    <t>RDO-09 SET !I24</t>
  </si>
  <si>
    <t>RDO-09 SET !C25</t>
  </si>
  <si>
    <t>RDO-09 SET !D25</t>
  </si>
  <si>
    <t>RDO-09 SET !E25</t>
  </si>
  <si>
    <t>RDO-09 SET !G25</t>
  </si>
  <si>
    <t>RDO-09 SET !H25</t>
  </si>
  <si>
    <t>RDO-09 SET !I25</t>
  </si>
  <si>
    <t>RDO-09 SET !G26</t>
  </si>
  <si>
    <t>RDO-09 SET !H26</t>
  </si>
  <si>
    <t>RDO-09 SET !I26</t>
  </si>
  <si>
    <t>RDO-09 SET !C28</t>
  </si>
  <si>
    <t>RDO-09 SET !D28</t>
  </si>
  <si>
    <t>RDO-09 SET !E28</t>
  </si>
  <si>
    <t>RDO-09 SET !C29</t>
  </si>
  <si>
    <t>RDO-09 SET !D29</t>
  </si>
  <si>
    <t>RDO-09 SET !E29</t>
  </si>
  <si>
    <t>RDO-09 SET !G29</t>
  </si>
  <si>
    <t>RDO-09 SET !H29</t>
  </si>
  <si>
    <t>RDO-09 SET !I29</t>
  </si>
  <si>
    <t>RDO-09 SET !C30</t>
  </si>
  <si>
    <t>RDO-09 SET !D30</t>
  </si>
  <si>
    <t>RDO-09 SET !E30</t>
  </si>
  <si>
    <t>RDO-09 SET !G30</t>
  </si>
  <si>
    <t>RDO-09 SET !H30</t>
  </si>
  <si>
    <t>RDO-09 SET !I30</t>
  </si>
  <si>
    <t>RDO-09 SET !C31</t>
  </si>
  <si>
    <t>RDO-09 SET !D31</t>
  </si>
  <si>
    <t>RDO-09 SET !E31</t>
  </si>
  <si>
    <t>RDO-09 SET !G31</t>
  </si>
  <si>
    <t>RDO-09 SET !H31</t>
  </si>
  <si>
    <t>RDO-09 SET !I31</t>
  </si>
  <si>
    <t>RDO-09 SET !G32</t>
  </si>
  <si>
    <t>RDO-09 SET !H32</t>
  </si>
  <si>
    <t>RDO-09 SET !I32</t>
  </si>
  <si>
    <t>RDO-09 SET !G33</t>
  </si>
  <si>
    <t>RDO-09 SET !H33</t>
  </si>
  <si>
    <t>RDO-09 SET !I33</t>
  </si>
  <si>
    <t>RDO-09 SET !G35</t>
  </si>
  <si>
    <t>RDO-09 SET !H35</t>
  </si>
  <si>
    <t>RDO-09 SET !I35</t>
  </si>
  <si>
    <t>RDO-09 SET !G36</t>
  </si>
  <si>
    <t>RDO-09 SET !H36</t>
  </si>
  <si>
    <t>RDO-09 SET !I36</t>
  </si>
  <si>
    <t>RDO-09 SET !C37</t>
  </si>
  <si>
    <t>RDO-09 SET !D37</t>
  </si>
  <si>
    <t>RDO-09 SET !E37</t>
  </si>
  <si>
    <t>RDO-09 SET !G37</t>
  </si>
  <si>
    <t>RDO-09 SET !H37</t>
  </si>
  <si>
    <t>RDO-09 SET !I37</t>
  </si>
  <si>
    <t>RDO-09 SET !G38</t>
  </si>
  <si>
    <t>RDO-09 SET !H38</t>
  </si>
  <si>
    <t>RDO-09 SET !I38</t>
  </si>
  <si>
    <t>RDO-09 SET !G40</t>
  </si>
  <si>
    <t>RDO-09 SET !H40</t>
  </si>
  <si>
    <t>RDO-09 SET !I40</t>
  </si>
  <si>
    <t>RDO-09 SET !C41</t>
  </si>
  <si>
    <t>RDO-09 SET !D41</t>
  </si>
  <si>
    <t>RDO-09 SET !E41</t>
  </si>
  <si>
    <t>RDO-09 SET !G41</t>
  </si>
  <si>
    <t>RDO-09 SET !H41</t>
  </si>
  <si>
    <t>RDO-09 SET !I41</t>
  </si>
  <si>
    <t>RDO-09 SET !C42</t>
  </si>
  <si>
    <t>RDO-09 SET !D42</t>
  </si>
  <si>
    <t>RDO-09 SET !E42</t>
  </si>
  <si>
    <t>RDO-09 SET !G42</t>
  </si>
  <si>
    <t>RDO-09 SET !H42</t>
  </si>
  <si>
    <t>RDO-09 SET !I42</t>
  </si>
  <si>
    <t>RDO-09 SET !C43</t>
  </si>
  <si>
    <t>RDO-09 SET !D43</t>
  </si>
  <si>
    <t>RDO-09 SET !E43</t>
  </si>
  <si>
    <t>RDO-09 SET !G43</t>
  </si>
  <si>
    <t>RDO-09 SET !H43</t>
  </si>
  <si>
    <t>RDO-09 SET !I43</t>
  </si>
  <si>
    <t>RDO-09 SET !C44</t>
  </si>
  <si>
    <t>RDO-09 SET !D44</t>
  </si>
  <si>
    <t>RDO-09 SET !E44</t>
  </si>
  <si>
    <t>RDO-09 SET !G44</t>
  </si>
  <si>
    <t>RDO-09 SET !H44</t>
  </si>
  <si>
    <t>RDO-09 SET !I44</t>
  </si>
  <si>
    <t>RDO-09 SET !C45</t>
  </si>
  <si>
    <t>RDO-09 SET !D45</t>
  </si>
  <si>
    <t>RDO-09 SET !E45</t>
  </si>
  <si>
    <t>RDO-09 SET !C46</t>
  </si>
  <si>
    <t>RDO-09 SET !D46</t>
  </si>
  <si>
    <t>RDO-09 SET !E46</t>
  </si>
  <si>
    <t>RDO-09 SET !G46</t>
  </si>
  <si>
    <t>RDO-09 SET !H46</t>
  </si>
  <si>
    <t>RDO-09 SET !I46</t>
  </si>
  <si>
    <t>RDO-09 SET !C47</t>
  </si>
  <si>
    <t>RDO-09 SET !D47</t>
  </si>
  <si>
    <t>RDO-09 SET !E47</t>
  </si>
  <si>
    <t>RDO-09 SET !G47</t>
  </si>
  <si>
    <t>RDO-09 SET !H47</t>
  </si>
  <si>
    <t>RDO-09 SET !I47</t>
  </si>
  <si>
    <t>RDO-09 SET !C48</t>
  </si>
  <si>
    <t>RDO-09 SET !D48</t>
  </si>
  <si>
    <t>RDO-09 SET !E48</t>
  </si>
  <si>
    <t>RDO-09 SET !G48</t>
  </si>
  <si>
    <t>RDO-09 SET !H48</t>
  </si>
  <si>
    <t>RDO-09 SET !I48</t>
  </si>
  <si>
    <t>RDO-09 SET !C49</t>
  </si>
  <si>
    <t>RDO-09 SET !D49</t>
  </si>
  <si>
    <t>RDO-09 SET !E49</t>
  </si>
  <si>
    <t>RDO-09 SET !G49</t>
  </si>
  <si>
    <t>RDO-09 SET !H49</t>
  </si>
  <si>
    <t>RDO-09 SET !I49</t>
  </si>
  <si>
    <t>RDO-09 SET !C50</t>
  </si>
  <si>
    <t>RDO-09 SET !D50</t>
  </si>
  <si>
    <t>RDO-09 SET !E50</t>
  </si>
  <si>
    <t>RDO-09 SET !G50</t>
  </si>
  <si>
    <t>RDO-09 SET !H50</t>
  </si>
  <si>
    <t>RDO-09 SET !I50</t>
  </si>
  <si>
    <t>RDO-09 SET !C51</t>
  </si>
  <si>
    <t>RDO-09 SET !D51</t>
  </si>
  <si>
    <t>RDO-09 SET !E51</t>
  </si>
  <si>
    <t>RDO-09 SET !G51</t>
  </si>
  <si>
    <t>RDO-09 SET !H51</t>
  </si>
  <si>
    <t>RDO-09 SET !I51</t>
  </si>
  <si>
    <t>RDO-09 SET !C52</t>
  </si>
  <si>
    <t>RDO-09 SET !D52</t>
  </si>
  <si>
    <t>RDO-09 SET !E52</t>
  </si>
  <si>
    <t>RDO-09 SET !G52</t>
  </si>
  <si>
    <t>RDO-09 SET !H52</t>
  </si>
  <si>
    <t>RDO-09 SET !I52</t>
  </si>
  <si>
    <t>RDO-10 SET!C8</t>
  </si>
  <si>
    <t>RDO-10 SET!D8</t>
  </si>
  <si>
    <t>RDO-10 SET!E8</t>
  </si>
  <si>
    <t>RDO-10 SET!G8</t>
  </si>
  <si>
    <t>RDO-10 SET!H8</t>
  </si>
  <si>
    <t>RDO-10 SET!I8</t>
  </si>
  <si>
    <t>RDO-10 SET!C9</t>
  </si>
  <si>
    <t>RDO-10 SET!D9</t>
  </si>
  <si>
    <t>RDO-10 SET!E9</t>
  </si>
  <si>
    <t>RDO-10 SET!G9</t>
  </si>
  <si>
    <t>RDO-10 SET!H9</t>
  </si>
  <si>
    <t>RDO-10 SET!I9</t>
  </si>
  <si>
    <t>RDO-10 SET!C10</t>
  </si>
  <si>
    <t>RDO-10 SET!D10</t>
  </si>
  <si>
    <t>RDO-10 SET!E10</t>
  </si>
  <si>
    <t>RDO-10 SET!G10</t>
  </si>
  <si>
    <t>RDO-10 SET!H10</t>
  </si>
  <si>
    <t>RDO-10 SET!I10</t>
  </si>
  <si>
    <t>RDO-10 SET!C11</t>
  </si>
  <si>
    <t>RDO-10 SET!D11</t>
  </si>
  <si>
    <t>RDO-10 SET!E11</t>
  </si>
  <si>
    <t>RDO-10 SET!G11</t>
  </si>
  <si>
    <t>RDO-10 SET!H11</t>
  </si>
  <si>
    <t>RDO-10 SET!I11</t>
  </si>
  <si>
    <t>RDO-10 SET!G12</t>
  </si>
  <si>
    <t>RDO-10 SET!H12</t>
  </si>
  <si>
    <t>RDO-10 SET!I12</t>
  </si>
  <si>
    <t>RDO-10 SET!C13</t>
  </si>
  <si>
    <t>RDO-10 SET!D13</t>
  </si>
  <si>
    <t>RDO-10 SET!E13</t>
  </si>
  <si>
    <t>RDO-10 SET!G13</t>
  </si>
  <si>
    <t>RDO-10 SET!H13</t>
  </si>
  <si>
    <t>RDO-10 SET!I13</t>
  </si>
  <si>
    <t>RDO-10 SET!C14</t>
  </si>
  <si>
    <t>RDO-10 SET!D14</t>
  </si>
  <si>
    <t>RDO-10 SET!E14</t>
  </si>
  <si>
    <t>RDO-10 SET!G14</t>
  </si>
  <si>
    <t>RDO-10 SET!H14</t>
  </si>
  <si>
    <t>RDO-10 SET!I14</t>
  </si>
  <si>
    <t>RDO-10 SET!C15</t>
  </si>
  <si>
    <t>RDO-10 SET!D15</t>
  </si>
  <si>
    <t>RDO-10 SET!E15</t>
  </si>
  <si>
    <t>RDO-10 SET!G15</t>
  </si>
  <si>
    <t>RDO-10 SET!H15</t>
  </si>
  <si>
    <t>RDO-10 SET!I15</t>
  </si>
  <si>
    <t>RDO-10 SET!C16</t>
  </si>
  <si>
    <t>RDO-10 SET!D16</t>
  </si>
  <si>
    <t>RDO-10 SET!E16</t>
  </si>
  <si>
    <t>RDO-10 SET!G16</t>
  </si>
  <si>
    <t>RDO-10 SET!H16</t>
  </si>
  <si>
    <t>RDO-10 SET!I16</t>
  </si>
  <si>
    <t>RDO-10 SET!C17</t>
  </si>
  <si>
    <t>RDO-10 SET!D17</t>
  </si>
  <si>
    <t>RDO-10 SET!E17</t>
  </si>
  <si>
    <t>RDO-10 SET!G17</t>
  </si>
  <si>
    <t>RDO-10 SET!H17</t>
  </si>
  <si>
    <t>RDO-10 SET!I17</t>
  </si>
  <si>
    <t>RDO-10 SET!C18</t>
  </si>
  <si>
    <t>RDO-10 SET!D18</t>
  </si>
  <si>
    <t>RDO-10 SET!E18</t>
  </si>
  <si>
    <t>RDO-10 SET!G18</t>
  </si>
  <si>
    <t>RDO-10 SET!H18</t>
  </si>
  <si>
    <t>RDO-10 SET!I18</t>
  </si>
  <si>
    <t>RDO-10 SET!C19</t>
  </si>
  <si>
    <t>RDO-10 SET!D19</t>
  </si>
  <si>
    <t>RDO-10 SET!E19</t>
  </si>
  <si>
    <t>RDO-10 SET!G19</t>
  </si>
  <si>
    <t>RDO-10 SET!H19</t>
  </si>
  <si>
    <t>RDO-10 SET!I19</t>
  </si>
  <si>
    <t>RDO-10 SET!C20</t>
  </si>
  <si>
    <t>RDO-10 SET!D20</t>
  </si>
  <si>
    <t>RDO-10 SET!E20</t>
  </si>
  <si>
    <t>RDO-10 SET!G20</t>
  </si>
  <si>
    <t>RDO-10 SET!H20</t>
  </si>
  <si>
    <t>RDO-10 SET!I20</t>
  </si>
  <si>
    <t>RDO-10 SET!C21</t>
  </si>
  <si>
    <t>RDO-10 SET!D21</t>
  </si>
  <si>
    <t>RDO-10 SET!E21</t>
  </si>
  <si>
    <t>RDO-10 SET!G21</t>
  </si>
  <si>
    <t>RDO-10 SET!H21</t>
  </si>
  <si>
    <t>RDO-10 SET!I21</t>
  </si>
  <si>
    <t>RDO-10 SET!C22</t>
  </si>
  <si>
    <t>RDO-10 SET!D22</t>
  </si>
  <si>
    <t>RDO-10 SET!E22</t>
  </si>
  <si>
    <t>RDO-10 SET!G22</t>
  </si>
  <si>
    <t>RDO-10 SET!H22</t>
  </si>
  <si>
    <t>RDO-10 SET!I22</t>
  </si>
  <si>
    <t>RDO-10 SET!C23</t>
  </si>
  <si>
    <t>RDO-10 SET!D23</t>
  </si>
  <si>
    <t>RDO-10 SET!E23</t>
  </si>
  <si>
    <t>RDO-10 SET!G23</t>
  </si>
  <si>
    <t>RDO-10 SET!H23</t>
  </si>
  <si>
    <t>RDO-10 SET!I23</t>
  </si>
  <si>
    <t>RDO-10 SET!G24</t>
  </si>
  <si>
    <t>RDO-10 SET!H24</t>
  </si>
  <si>
    <t>RDO-10 SET!I24</t>
  </si>
  <si>
    <t>RDO-10 SET!C25</t>
  </si>
  <si>
    <t>RDO-10 SET!D25</t>
  </si>
  <si>
    <t>RDO-10 SET!E25</t>
  </si>
  <si>
    <t>RDO-10 SET!G25</t>
  </si>
  <si>
    <t>RDO-10 SET!H25</t>
  </si>
  <si>
    <t>RDO-10 SET!I25</t>
  </si>
  <si>
    <t>RDO-10 SET!G26</t>
  </si>
  <si>
    <t>RDO-10 SET!H26</t>
  </si>
  <si>
    <t>RDO-10 SET!I26</t>
  </si>
  <si>
    <t>RDO-10 SET!C28</t>
  </si>
  <si>
    <t>RDO-10 SET!D28</t>
  </si>
  <si>
    <t>RDO-10 SET!E28</t>
  </si>
  <si>
    <t>RDO-10 SET!C29</t>
  </si>
  <si>
    <t>RDO-10 SET!D29</t>
  </si>
  <si>
    <t>RDO-10 SET!E29</t>
  </si>
  <si>
    <t>RDO-10 SET!G29</t>
  </si>
  <si>
    <t>RDO-10 SET!H29</t>
  </si>
  <si>
    <t>RDO-10 SET!I29</t>
  </si>
  <si>
    <t>RDO-10 SET!C30</t>
  </si>
  <si>
    <t>RDO-10 SET!D30</t>
  </si>
  <si>
    <t>RDO-10 SET!E30</t>
  </si>
  <si>
    <t>RDO-10 SET!G30</t>
  </si>
  <si>
    <t>RDO-10 SET!H30</t>
  </si>
  <si>
    <t>RDO-10 SET!I30</t>
  </si>
  <si>
    <t>RDO-10 SET!C31</t>
  </si>
  <si>
    <t>RDO-10 SET!D31</t>
  </si>
  <si>
    <t>RDO-10 SET!E31</t>
  </si>
  <si>
    <t>RDO-10 SET!G31</t>
  </si>
  <si>
    <t>RDO-10 SET!H31</t>
  </si>
  <si>
    <t>RDO-10 SET!I31</t>
  </si>
  <si>
    <t>RDO-10 SET!G32</t>
  </si>
  <si>
    <t>RDO-10 SET!H32</t>
  </si>
  <si>
    <t>RDO-10 SET!I32</t>
  </si>
  <si>
    <t>RDO-10 SET!G33</t>
  </si>
  <si>
    <t>RDO-10 SET!H33</t>
  </si>
  <si>
    <t>RDO-10 SET!I33</t>
  </si>
  <si>
    <t>RDO-10 SET!G35</t>
  </si>
  <si>
    <t>RDO-10 SET!H35</t>
  </si>
  <si>
    <t>RDO-10 SET!I35</t>
  </si>
  <si>
    <t>RDO-10 SET!G36</t>
  </si>
  <si>
    <t>RDO-10 SET!H36</t>
  </si>
  <si>
    <t>RDO-10 SET!I36</t>
  </si>
  <si>
    <t>RDO-10 SET!C37</t>
  </si>
  <si>
    <t>RDO-10 SET!D37</t>
  </si>
  <si>
    <t>RDO-10 SET!E37</t>
  </si>
  <si>
    <t>RDO-10 SET!G37</t>
  </si>
  <si>
    <t>RDO-10 SET!H37</t>
  </si>
  <si>
    <t>RDO-10 SET!I37</t>
  </si>
  <si>
    <t>RDO-10 SET!G38</t>
  </si>
  <si>
    <t>RDO-10 SET!H38</t>
  </si>
  <si>
    <t>RDO-10 SET!I38</t>
  </si>
  <si>
    <t>RDO-10 SET!G40</t>
  </si>
  <si>
    <t>RDO-10 SET!H40</t>
  </si>
  <si>
    <t>RDO-10 SET!I40</t>
  </si>
  <si>
    <t>RDO-10 SET!C41</t>
  </si>
  <si>
    <t>RDO-10 SET!D41</t>
  </si>
  <si>
    <t>RDO-10 SET!E41</t>
  </si>
  <si>
    <t>RDO-10 SET!G41</t>
  </si>
  <si>
    <t>RDO-10 SET!H41</t>
  </si>
  <si>
    <t>RDO-10 SET!I41</t>
  </si>
  <si>
    <t>RDO-10 SET!C42</t>
  </si>
  <si>
    <t>RDO-10 SET!D42</t>
  </si>
  <si>
    <t>RDO-10 SET!E42</t>
  </si>
  <si>
    <t>RDO-10 SET!G42</t>
  </si>
  <si>
    <t>RDO-10 SET!H42</t>
  </si>
  <si>
    <t>RDO-10 SET!I42</t>
  </si>
  <si>
    <t>RDO-10 SET!C43</t>
  </si>
  <si>
    <t>RDO-10 SET!D43</t>
  </si>
  <si>
    <t>RDO-10 SET!E43</t>
  </si>
  <si>
    <t>RDO-10 SET!G43</t>
  </si>
  <si>
    <t>RDO-10 SET!H43</t>
  </si>
  <si>
    <t>RDO-10 SET!I43</t>
  </si>
  <si>
    <t>RDO-10 SET!C44</t>
  </si>
  <si>
    <t>RDO-10 SET!D44</t>
  </si>
  <si>
    <t>RDO-10 SET!E44</t>
  </si>
  <si>
    <t>RDO-10 SET!G44</t>
  </si>
  <si>
    <t>RDO-10 SET!H44</t>
  </si>
  <si>
    <t>RDO-10 SET!I44</t>
  </si>
  <si>
    <t>RDO-10 SET!C45</t>
  </si>
  <si>
    <t>RDO-10 SET!D45</t>
  </si>
  <si>
    <t>RDO-10 SET!E45</t>
  </si>
  <si>
    <t>RDO-10 SET!C46</t>
  </si>
  <si>
    <t>RDO-10 SET!D46</t>
  </si>
  <si>
    <t>RDO-10 SET!E46</t>
  </si>
  <si>
    <t>RDO-10 SET!G46</t>
  </si>
  <si>
    <t>RDO-10 SET!H46</t>
  </si>
  <si>
    <t>RDO-10 SET!I46</t>
  </si>
  <si>
    <t>RDO-10 SET!C47</t>
  </si>
  <si>
    <t>RDO-10 SET!D47</t>
  </si>
  <si>
    <t>RDO-10 SET!E47</t>
  </si>
  <si>
    <t>RDO-10 SET!G47</t>
  </si>
  <si>
    <t>RDO-10 SET!H47</t>
  </si>
  <si>
    <t>RDO-10 SET!I47</t>
  </si>
  <si>
    <t>RDO-10 SET!C48</t>
  </si>
  <si>
    <t>RDO-10 SET!D48</t>
  </si>
  <si>
    <t>RDO-10 SET!E48</t>
  </si>
  <si>
    <t>RDO-10 SET!G48</t>
  </si>
  <si>
    <t>RDO-10 SET!H48</t>
  </si>
  <si>
    <t>RDO-10 SET!I48</t>
  </si>
  <si>
    <t>RDO-10 SET!C49</t>
  </si>
  <si>
    <t>RDO-10 SET!D49</t>
  </si>
  <si>
    <t>RDO-10 SET!E49</t>
  </si>
  <si>
    <t>RDO-10 SET!G49</t>
  </si>
  <si>
    <t>RDO-10 SET!H49</t>
  </si>
  <si>
    <t>RDO-10 SET!I49</t>
  </si>
  <si>
    <t>RDO-10 SET!C50</t>
  </si>
  <si>
    <t>RDO-10 SET!D50</t>
  </si>
  <si>
    <t>RDO-10 SET!E50</t>
  </si>
  <si>
    <t>RDO-10 SET!G50</t>
  </si>
  <si>
    <t>RDO-10 SET!H50</t>
  </si>
  <si>
    <t>RDO-10 SET!I50</t>
  </si>
  <si>
    <t>RDO-10 SET!C51</t>
  </si>
  <si>
    <t>RDO-10 SET!D51</t>
  </si>
  <si>
    <t>RDO-10 SET!E51</t>
  </si>
  <si>
    <t>RDO-10 SET!G51</t>
  </si>
  <si>
    <t>RDO-10 SET!H51</t>
  </si>
  <si>
    <t>RDO-10 SET!I51</t>
  </si>
  <si>
    <t>RDO-10 SET!C52</t>
  </si>
  <si>
    <t>RDO-10 SET!D52</t>
  </si>
  <si>
    <t>RDO-10 SET!E52</t>
  </si>
  <si>
    <t>RDO-10 SET!G52</t>
  </si>
  <si>
    <t>RDO-10 SET!H52</t>
  </si>
  <si>
    <t>RDO-10 SET!I52</t>
  </si>
  <si>
    <t>RDO-11 SET!C8</t>
  </si>
  <si>
    <t>RDO-11 SET!D8</t>
  </si>
  <si>
    <t>RDO-11 SET!E8</t>
  </si>
  <si>
    <t>RDO-11 SET!G8</t>
  </si>
  <si>
    <t>RDO-11 SET!H8</t>
  </si>
  <si>
    <t>RDO-11 SET!I8</t>
  </si>
  <si>
    <t>RDO-11 SET!C9</t>
  </si>
  <si>
    <t>RDO-11 SET!D9</t>
  </si>
  <si>
    <t>RDO-11 SET!E9</t>
  </si>
  <si>
    <t>RDO-11 SET!G9</t>
  </si>
  <si>
    <t>RDO-11 SET!H9</t>
  </si>
  <si>
    <t>RDO-11 SET!I9</t>
  </si>
  <si>
    <t>RDO-11 SET!C10</t>
  </si>
  <si>
    <t>RDO-11 SET!D10</t>
  </si>
  <si>
    <t>RDO-11 SET!E10</t>
  </si>
  <si>
    <t>RDO-11 SET!G10</t>
  </si>
  <si>
    <t>RDO-11 SET!H10</t>
  </si>
  <si>
    <t>RDO-11 SET!I10</t>
  </si>
  <si>
    <t>RDO-11 SET!C11</t>
  </si>
  <si>
    <t>RDO-11 SET!D11</t>
  </si>
  <si>
    <t>RDO-11 SET!E11</t>
  </si>
  <si>
    <t>RDO-11 SET!G11</t>
  </si>
  <si>
    <t>RDO-11 SET!H11</t>
  </si>
  <si>
    <t>RDO-11 SET!I11</t>
  </si>
  <si>
    <t>RDO-11 SET!G12</t>
  </si>
  <si>
    <t>RDO-11 SET!H12</t>
  </si>
  <si>
    <t>RDO-11 SET!I12</t>
  </si>
  <si>
    <t>RDO-11 SET!C13</t>
  </si>
  <si>
    <t>RDO-11 SET!D13</t>
  </si>
  <si>
    <t>RDO-11 SET!E13</t>
  </si>
  <si>
    <t>RDO-11 SET!G13</t>
  </si>
  <si>
    <t>RDO-11 SET!H13</t>
  </si>
  <si>
    <t>RDO-11 SET!I13</t>
  </si>
  <si>
    <t>RDO-11 SET!C14</t>
  </si>
  <si>
    <t>RDO-11 SET!D14</t>
  </si>
  <si>
    <t>RDO-11 SET!E14</t>
  </si>
  <si>
    <t>RDO-11 SET!G14</t>
  </si>
  <si>
    <t>RDO-11 SET!H14</t>
  </si>
  <si>
    <t>RDO-11 SET!I14</t>
  </si>
  <si>
    <t>RDO-11 SET!C15</t>
  </si>
  <si>
    <t>RDO-11 SET!D15</t>
  </si>
  <si>
    <t>RDO-11 SET!E15</t>
  </si>
  <si>
    <t>RDO-11 SET!G15</t>
  </si>
  <si>
    <t>RDO-11 SET!H15</t>
  </si>
  <si>
    <t>RDO-11 SET!I15</t>
  </si>
  <si>
    <t>RDO-11 SET!C16</t>
  </si>
  <si>
    <t>RDO-11 SET!D16</t>
  </si>
  <si>
    <t>RDO-11 SET!E16</t>
  </si>
  <si>
    <t>RDO-11 SET!G16</t>
  </si>
  <si>
    <t>RDO-11 SET!H16</t>
  </si>
  <si>
    <t>RDO-11 SET!I16</t>
  </si>
  <si>
    <t>RDO-11 SET!C17</t>
  </si>
  <si>
    <t>RDO-11 SET!D17</t>
  </si>
  <si>
    <t>RDO-11 SET!E17</t>
  </si>
  <si>
    <t>RDO-11 SET!G17</t>
  </si>
  <si>
    <t>RDO-11 SET!H17</t>
  </si>
  <si>
    <t>RDO-11 SET!I17</t>
  </si>
  <si>
    <t>RDO-11 SET!C18</t>
  </si>
  <si>
    <t>RDO-11 SET!D18</t>
  </si>
  <si>
    <t>RDO-11 SET!E18</t>
  </si>
  <si>
    <t>RDO-11 SET!G18</t>
  </si>
  <si>
    <t>RDO-11 SET!H18</t>
  </si>
  <si>
    <t>RDO-11 SET!I18</t>
  </si>
  <si>
    <t>RDO-11 SET!C19</t>
  </si>
  <si>
    <t>RDO-11 SET!D19</t>
  </si>
  <si>
    <t>RDO-11 SET!E19</t>
  </si>
  <si>
    <t>RDO-11 SET!G19</t>
  </si>
  <si>
    <t>RDO-11 SET!H19</t>
  </si>
  <si>
    <t>RDO-11 SET!I19</t>
  </si>
  <si>
    <t>RDO-11 SET!C20</t>
  </si>
  <si>
    <t>RDO-11 SET!D20</t>
  </si>
  <si>
    <t>RDO-11 SET!E20</t>
  </si>
  <si>
    <t>RDO-11 SET!G20</t>
  </si>
  <si>
    <t>RDO-11 SET!H20</t>
  </si>
  <si>
    <t>RDO-11 SET!I20</t>
  </si>
  <si>
    <t>RDO-11 SET!C21</t>
  </si>
  <si>
    <t>RDO-11 SET!D21</t>
  </si>
  <si>
    <t>RDO-11 SET!E21</t>
  </si>
  <si>
    <t>RDO-11 SET!G21</t>
  </si>
  <si>
    <t>RDO-11 SET!H21</t>
  </si>
  <si>
    <t>RDO-11 SET!I21</t>
  </si>
  <si>
    <t>RDO-11 SET!C22</t>
  </si>
  <si>
    <t>RDO-11 SET!D22</t>
  </si>
  <si>
    <t>RDO-11 SET!E22</t>
  </si>
  <si>
    <t>RDO-11 SET!G22</t>
  </si>
  <si>
    <t>RDO-11 SET!H22</t>
  </si>
  <si>
    <t>RDO-11 SET!I22</t>
  </si>
  <si>
    <t>RDO-11 SET!C23</t>
  </si>
  <si>
    <t>RDO-11 SET!D23</t>
  </si>
  <si>
    <t>RDO-11 SET!E23</t>
  </si>
  <si>
    <t>RDO-11 SET!G23</t>
  </si>
  <si>
    <t>RDO-11 SET!H23</t>
  </si>
  <si>
    <t>RDO-11 SET!I23</t>
  </si>
  <si>
    <t>RDO-11 SET!G24</t>
  </si>
  <si>
    <t>RDO-11 SET!H24</t>
  </si>
  <si>
    <t>RDO-11 SET!I24</t>
  </si>
  <si>
    <t>RDO-11 SET!C25</t>
  </si>
  <si>
    <t>RDO-11 SET!D25</t>
  </si>
  <si>
    <t>RDO-11 SET!E25</t>
  </si>
  <si>
    <t>RDO-11 SET!G25</t>
  </si>
  <si>
    <t>RDO-11 SET!H25</t>
  </si>
  <si>
    <t>RDO-11 SET!I25</t>
  </si>
  <si>
    <t>RDO-11 SET!G26</t>
  </si>
  <si>
    <t>RDO-11 SET!H26</t>
  </si>
  <si>
    <t>RDO-11 SET!I26</t>
  </si>
  <si>
    <t>RDO-11 SET!C28</t>
  </si>
  <si>
    <t>RDO-11 SET!D28</t>
  </si>
  <si>
    <t>RDO-11 SET!E28</t>
  </si>
  <si>
    <t>RDO-11 SET!C29</t>
  </si>
  <si>
    <t>RDO-11 SET!D29</t>
  </si>
  <si>
    <t>RDO-11 SET!E29</t>
  </si>
  <si>
    <t>RDO-11 SET!G29</t>
  </si>
  <si>
    <t>RDO-11 SET!H29</t>
  </si>
  <si>
    <t>RDO-11 SET!I29</t>
  </si>
  <si>
    <t>RDO-11 SET!C30</t>
  </si>
  <si>
    <t>RDO-11 SET!D30</t>
  </si>
  <si>
    <t>RDO-11 SET!E30</t>
  </si>
  <si>
    <t>RDO-11 SET!G30</t>
  </si>
  <si>
    <t>RDO-11 SET!H30</t>
  </si>
  <si>
    <t>RDO-11 SET!I30</t>
  </si>
  <si>
    <t>RDO-11 SET!C31</t>
  </si>
  <si>
    <t>RDO-11 SET!D31</t>
  </si>
  <si>
    <t>RDO-11 SET!E31</t>
  </si>
  <si>
    <t>RDO-11 SET!G31</t>
  </si>
  <si>
    <t>RDO-11 SET!H31</t>
  </si>
  <si>
    <t>RDO-11 SET!I31</t>
  </si>
  <si>
    <t>RDO-11 SET!G32</t>
  </si>
  <si>
    <t>RDO-11 SET!H32</t>
  </si>
  <si>
    <t>RDO-11 SET!I32</t>
  </si>
  <si>
    <t>RDO-11 SET!G33</t>
  </si>
  <si>
    <t>RDO-11 SET!H33</t>
  </si>
  <si>
    <t>RDO-11 SET!I33</t>
  </si>
  <si>
    <t>RDO-11 SET!G35</t>
  </si>
  <si>
    <t>RDO-11 SET!H35</t>
  </si>
  <si>
    <t>RDO-11 SET!I35</t>
  </si>
  <si>
    <t>RDO-11 SET!G36</t>
  </si>
  <si>
    <t>RDO-11 SET!H36</t>
  </si>
  <si>
    <t>RDO-11 SET!I36</t>
  </si>
  <si>
    <t>RDO-11 SET!C37</t>
  </si>
  <si>
    <t>RDO-11 SET!D37</t>
  </si>
  <si>
    <t>RDO-11 SET!E37</t>
  </si>
  <si>
    <t>RDO-11 SET!G37</t>
  </si>
  <si>
    <t>RDO-11 SET!H37</t>
  </si>
  <si>
    <t>RDO-11 SET!I37</t>
  </si>
  <si>
    <t>RDO-11 SET!G38</t>
  </si>
  <si>
    <t>RDO-11 SET!H38</t>
  </si>
  <si>
    <t>RDO-11 SET!I38</t>
  </si>
  <si>
    <t>RDO-11 SET!G40</t>
  </si>
  <si>
    <t>RDO-11 SET!H40</t>
  </si>
  <si>
    <t>RDO-11 SET!I40</t>
  </si>
  <si>
    <t>RDO-11 SET!C41</t>
  </si>
  <si>
    <t>RDO-11 SET!D41</t>
  </si>
  <si>
    <t>RDO-11 SET!E41</t>
  </si>
  <si>
    <t>RDO-11 SET!G41</t>
  </si>
  <si>
    <t>RDO-11 SET!H41</t>
  </si>
  <si>
    <t>RDO-11 SET!I41</t>
  </si>
  <si>
    <t>RDO-11 SET!C42</t>
  </si>
  <si>
    <t>RDO-11 SET!D42</t>
  </si>
  <si>
    <t>RDO-11 SET!E42</t>
  </si>
  <si>
    <t>RDO-11 SET!G42</t>
  </si>
  <si>
    <t>RDO-11 SET!H42</t>
  </si>
  <si>
    <t>RDO-11 SET!I42</t>
  </si>
  <si>
    <t>RDO-11 SET!C43</t>
  </si>
  <si>
    <t>RDO-11 SET!D43</t>
  </si>
  <si>
    <t>RDO-11 SET!E43</t>
  </si>
  <si>
    <t>RDO-11 SET!G43</t>
  </si>
  <si>
    <t>RDO-11 SET!H43</t>
  </si>
  <si>
    <t>RDO-11 SET!I43</t>
  </si>
  <si>
    <t>RDO-11 SET!C44</t>
  </si>
  <si>
    <t>RDO-11 SET!D44</t>
  </si>
  <si>
    <t>RDO-11 SET!E44</t>
  </si>
  <si>
    <t>RDO-11 SET!G44</t>
  </si>
  <si>
    <t>RDO-11 SET!H44</t>
  </si>
  <si>
    <t>RDO-11 SET!I44</t>
  </si>
  <si>
    <t>RDO-11 SET!C45</t>
  </si>
  <si>
    <t>RDO-11 SET!D45</t>
  </si>
  <si>
    <t>RDO-11 SET!E45</t>
  </si>
  <si>
    <t>RDO-11 SET!C46</t>
  </si>
  <si>
    <t>RDO-11 SET!D46</t>
  </si>
  <si>
    <t>RDO-11 SET!E46</t>
  </si>
  <si>
    <t>RDO-11 SET!G46</t>
  </si>
  <si>
    <t>RDO-11 SET!H46</t>
  </si>
  <si>
    <t>RDO-11 SET!I46</t>
  </si>
  <si>
    <t>RDO-11 SET!C47</t>
  </si>
  <si>
    <t>RDO-11 SET!D47</t>
  </si>
  <si>
    <t>RDO-11 SET!E47</t>
  </si>
  <si>
    <t>RDO-11 SET!G47</t>
  </si>
  <si>
    <t>RDO-11 SET!H47</t>
  </si>
  <si>
    <t>RDO-11 SET!I47</t>
  </si>
  <si>
    <t>RDO-11 SET!C48</t>
  </si>
  <si>
    <t>RDO-11 SET!D48</t>
  </si>
  <si>
    <t>RDO-11 SET!E48</t>
  </si>
  <si>
    <t>RDO-11 SET!G48</t>
  </si>
  <si>
    <t>RDO-11 SET!H48</t>
  </si>
  <si>
    <t>RDO-11 SET!I48</t>
  </si>
  <si>
    <t>RDO-11 SET!C49</t>
  </si>
  <si>
    <t>RDO-11 SET!D49</t>
  </si>
  <si>
    <t>RDO-11 SET!E49</t>
  </si>
  <si>
    <t>RDO-11 SET!G49</t>
  </si>
  <si>
    <t>RDO-11 SET!H49</t>
  </si>
  <si>
    <t>RDO-11 SET!I49</t>
  </si>
  <si>
    <t>RDO-11 SET!C50</t>
  </si>
  <si>
    <t>RDO-11 SET!D50</t>
  </si>
  <si>
    <t>RDO-11 SET!E50</t>
  </si>
  <si>
    <t>RDO-11 SET!G50</t>
  </si>
  <si>
    <t>RDO-11 SET!H50</t>
  </si>
  <si>
    <t>RDO-11 SET!I50</t>
  </si>
  <si>
    <t>RDO-11 SET!C51</t>
  </si>
  <si>
    <t>RDO-11 SET!D51</t>
  </si>
  <si>
    <t>RDO-11 SET!E51</t>
  </si>
  <si>
    <t>RDO-11 SET!G51</t>
  </si>
  <si>
    <t>RDO-11 SET!H51</t>
  </si>
  <si>
    <t>RDO-11 SET!I51</t>
  </si>
  <si>
    <t>RDO-11 SET!C52</t>
  </si>
  <si>
    <t>RDO-11 SET!D52</t>
  </si>
  <si>
    <t>RDO-11 SET!E52</t>
  </si>
  <si>
    <t>RDO-11 SET!G52</t>
  </si>
  <si>
    <t>RDO-11 SET!H52</t>
  </si>
  <si>
    <t>RDO-11 SET!I52</t>
  </si>
  <si>
    <t>RDO-12 SET!C8</t>
  </si>
  <si>
    <t>RDO-12 SET!D8</t>
  </si>
  <si>
    <t>RDO-12 SET!E8</t>
  </si>
  <si>
    <t>RDO-12 SET!G8</t>
  </si>
  <si>
    <t>RDO-12 SET!H8</t>
  </si>
  <si>
    <t>RDO-12 SET!I8</t>
  </si>
  <si>
    <t>RDO-12 SET!C9</t>
  </si>
  <si>
    <t>RDO-12 SET!D9</t>
  </si>
  <si>
    <t>RDO-12 SET!E9</t>
  </si>
  <si>
    <t>RDO-12 SET!G9</t>
  </si>
  <si>
    <t>RDO-12 SET!H9</t>
  </si>
  <si>
    <t>RDO-12 SET!I9</t>
  </si>
  <si>
    <t>RDO-12 SET!C10</t>
  </si>
  <si>
    <t>RDO-12 SET!D10</t>
  </si>
  <si>
    <t>RDO-12 SET!E10</t>
  </si>
  <si>
    <t>RDO-12 SET!G10</t>
  </si>
  <si>
    <t>RDO-12 SET!H10</t>
  </si>
  <si>
    <t>RDO-12 SET!I10</t>
  </si>
  <si>
    <t>RDO-12 SET!C11</t>
  </si>
  <si>
    <t>RDO-12 SET!D11</t>
  </si>
  <si>
    <t>RDO-12 SET!E11</t>
  </si>
  <si>
    <t>RDO-12 SET!G11</t>
  </si>
  <si>
    <t>RDO-12 SET!H11</t>
  </si>
  <si>
    <t>RDO-12 SET!I11</t>
  </si>
  <si>
    <t>RDO-12 SET!G12</t>
  </si>
  <si>
    <t>RDO-12 SET!H12</t>
  </si>
  <si>
    <t>RDO-12 SET!I12</t>
  </si>
  <si>
    <t>RDO-12 SET!C13</t>
  </si>
  <si>
    <t>RDO-12 SET!D13</t>
  </si>
  <si>
    <t>RDO-12 SET!E13</t>
  </si>
  <si>
    <t>RDO-12 SET!G13</t>
  </si>
  <si>
    <t>RDO-12 SET!H13</t>
  </si>
  <si>
    <t>RDO-12 SET!I13</t>
  </si>
  <si>
    <t>RDO-12 SET!C14</t>
  </si>
  <si>
    <t>RDO-12 SET!D14</t>
  </si>
  <si>
    <t>RDO-12 SET!E14</t>
  </si>
  <si>
    <t>RDO-12 SET!G14</t>
  </si>
  <si>
    <t>RDO-12 SET!H14</t>
  </si>
  <si>
    <t>RDO-12 SET!I14</t>
  </si>
  <si>
    <t>RDO-12 SET!C15</t>
  </si>
  <si>
    <t>RDO-12 SET!D15</t>
  </si>
  <si>
    <t>RDO-12 SET!E15</t>
  </si>
  <si>
    <t>RDO-12 SET!G15</t>
  </si>
  <si>
    <t>RDO-12 SET!H15</t>
  </si>
  <si>
    <t>RDO-12 SET!I15</t>
  </si>
  <si>
    <t>RDO-12 SET!C16</t>
  </si>
  <si>
    <t>RDO-12 SET!D16</t>
  </si>
  <si>
    <t>RDO-12 SET!E16</t>
  </si>
  <si>
    <t>RDO-12 SET!G16</t>
  </si>
  <si>
    <t>RDO-12 SET!H16</t>
  </si>
  <si>
    <t>RDO-12 SET!I16</t>
  </si>
  <si>
    <t>RDO-12 SET!C17</t>
  </si>
  <si>
    <t>RDO-12 SET!D17</t>
  </si>
  <si>
    <t>RDO-12 SET!E17</t>
  </si>
  <si>
    <t>RDO-12 SET!G17</t>
  </si>
  <si>
    <t>RDO-12 SET!H17</t>
  </si>
  <si>
    <t>RDO-12 SET!I17</t>
  </si>
  <si>
    <t>RDO-12 SET!C18</t>
  </si>
  <si>
    <t>RDO-12 SET!D18</t>
  </si>
  <si>
    <t>RDO-12 SET!E18</t>
  </si>
  <si>
    <t>RDO-12 SET!G18</t>
  </si>
  <si>
    <t>RDO-12 SET!H18</t>
  </si>
  <si>
    <t>RDO-12 SET!I18</t>
  </si>
  <si>
    <t>RDO-12 SET!C19</t>
  </si>
  <si>
    <t>RDO-12 SET!D19</t>
  </si>
  <si>
    <t>RDO-12 SET!E19</t>
  </si>
  <si>
    <t>RDO-12 SET!G19</t>
  </si>
  <si>
    <t>RDO-12 SET!H19</t>
  </si>
  <si>
    <t>RDO-12 SET!I19</t>
  </si>
  <si>
    <t>RDO-12 SET!C20</t>
  </si>
  <si>
    <t>RDO-12 SET!D20</t>
  </si>
  <si>
    <t>RDO-12 SET!E20</t>
  </si>
  <si>
    <t>RDO-12 SET!G20</t>
  </si>
  <si>
    <t>RDO-12 SET!H20</t>
  </si>
  <si>
    <t>RDO-12 SET!I20</t>
  </si>
  <si>
    <t>RDO-12 SET!C21</t>
  </si>
  <si>
    <t>RDO-12 SET!D21</t>
  </si>
  <si>
    <t>RDO-12 SET!E21</t>
  </si>
  <si>
    <t>RDO-12 SET!G21</t>
  </si>
  <si>
    <t>RDO-12 SET!H21</t>
  </si>
  <si>
    <t>RDO-12 SET!I21</t>
  </si>
  <si>
    <t>RDO-12 SET!C22</t>
  </si>
  <si>
    <t>RDO-12 SET!D22</t>
  </si>
  <si>
    <t>RDO-12 SET!E22</t>
  </si>
  <si>
    <t>RDO-12 SET!G22</t>
  </si>
  <si>
    <t>RDO-12 SET!H22</t>
  </si>
  <si>
    <t>RDO-12 SET!I22</t>
  </si>
  <si>
    <t>RDO-12 SET!C23</t>
  </si>
  <si>
    <t>RDO-12 SET!D23</t>
  </si>
  <si>
    <t>RDO-12 SET!E23</t>
  </si>
  <si>
    <t>RDO-12 SET!G23</t>
  </si>
  <si>
    <t>RDO-12 SET!H23</t>
  </si>
  <si>
    <t>RDO-12 SET!I23</t>
  </si>
  <si>
    <t>RDO-12 SET!G24</t>
  </si>
  <si>
    <t>RDO-12 SET!H24</t>
  </si>
  <si>
    <t>RDO-12 SET!I24</t>
  </si>
  <si>
    <t>RDO-12 SET!C25</t>
  </si>
  <si>
    <t>RDO-12 SET!D25</t>
  </si>
  <si>
    <t>RDO-12 SET!E25</t>
  </si>
  <si>
    <t>RDO-12 SET!G25</t>
  </si>
  <si>
    <t>RDO-12 SET!H25</t>
  </si>
  <si>
    <t>RDO-12 SET!I25</t>
  </si>
  <si>
    <t>RDO-12 SET!G26</t>
  </si>
  <si>
    <t>RDO-12 SET!H26</t>
  </si>
  <si>
    <t>RDO-12 SET!I26</t>
  </si>
  <si>
    <t>RDO-12 SET!C28</t>
  </si>
  <si>
    <t>RDO-12 SET!D28</t>
  </si>
  <si>
    <t>RDO-12 SET!E28</t>
  </si>
  <si>
    <t>RDO-12 SET!C29</t>
  </si>
  <si>
    <t>RDO-12 SET!D29</t>
  </si>
  <si>
    <t>RDO-12 SET!E29</t>
  </si>
  <si>
    <t>RDO-12 SET!G29</t>
  </si>
  <si>
    <t>RDO-12 SET!H29</t>
  </si>
  <si>
    <t>RDO-12 SET!I29</t>
  </si>
  <si>
    <t>RDO-12 SET!C30</t>
  </si>
  <si>
    <t>RDO-12 SET!D30</t>
  </si>
  <si>
    <t>RDO-12 SET!E30</t>
  </si>
  <si>
    <t>RDO-12 SET!G30</t>
  </si>
  <si>
    <t>RDO-12 SET!H30</t>
  </si>
  <si>
    <t>RDO-12 SET!I30</t>
  </si>
  <si>
    <t>RDO-12 SET!C31</t>
  </si>
  <si>
    <t>RDO-12 SET!D31</t>
  </si>
  <si>
    <t>RDO-12 SET!E31</t>
  </si>
  <si>
    <t>RDO-12 SET!G31</t>
  </si>
  <si>
    <t>RDO-12 SET!H31</t>
  </si>
  <si>
    <t>RDO-12 SET!I31</t>
  </si>
  <si>
    <t>RDO-12 SET!G32</t>
  </si>
  <si>
    <t>RDO-12 SET!H32</t>
  </si>
  <si>
    <t>RDO-12 SET!I32</t>
  </si>
  <si>
    <t>RDO-12 SET!G33</t>
  </si>
  <si>
    <t>RDO-12 SET!H33</t>
  </si>
  <si>
    <t>RDO-12 SET!I33</t>
  </si>
  <si>
    <t>RDO-12 SET!G35</t>
  </si>
  <si>
    <t>RDO-12 SET!H35</t>
  </si>
  <si>
    <t>RDO-12 SET!I35</t>
  </si>
  <si>
    <t>RDO-12 SET!G36</t>
  </si>
  <si>
    <t>RDO-12 SET!H36</t>
  </si>
  <si>
    <t>RDO-12 SET!I36</t>
  </si>
  <si>
    <t>RDO-12 SET!C37</t>
  </si>
  <si>
    <t>RDO-12 SET!D37</t>
  </si>
  <si>
    <t>RDO-12 SET!E37</t>
  </si>
  <si>
    <t>RDO-12 SET!G37</t>
  </si>
  <si>
    <t>RDO-12 SET!H37</t>
  </si>
  <si>
    <t>RDO-12 SET!I37</t>
  </si>
  <si>
    <t>RDO-12 SET!G38</t>
  </si>
  <si>
    <t>RDO-12 SET!H38</t>
  </si>
  <si>
    <t>RDO-12 SET!I38</t>
  </si>
  <si>
    <t>RDO-12 SET!G40</t>
  </si>
  <si>
    <t>RDO-12 SET!H40</t>
  </si>
  <si>
    <t>RDO-12 SET!I40</t>
  </si>
  <si>
    <t>RDO-12 SET!C41</t>
  </si>
  <si>
    <t>RDO-12 SET!D41</t>
  </si>
  <si>
    <t>RDO-12 SET!E41</t>
  </si>
  <si>
    <t>RDO-12 SET!G41</t>
  </si>
  <si>
    <t>RDO-12 SET!H41</t>
  </si>
  <si>
    <t>RDO-12 SET!I41</t>
  </si>
  <si>
    <t>RDO-12 SET!C42</t>
  </si>
  <si>
    <t>RDO-12 SET!D42</t>
  </si>
  <si>
    <t>RDO-12 SET!E42</t>
  </si>
  <si>
    <t>RDO-12 SET!G42</t>
  </si>
  <si>
    <t>RDO-12 SET!H42</t>
  </si>
  <si>
    <t>RDO-12 SET!I42</t>
  </si>
  <si>
    <t>RDO-12 SET!C43</t>
  </si>
  <si>
    <t>RDO-12 SET!D43</t>
  </si>
  <si>
    <t>RDO-12 SET!E43</t>
  </si>
  <si>
    <t>RDO-12 SET!G43</t>
  </si>
  <si>
    <t>RDO-12 SET!H43</t>
  </si>
  <si>
    <t>RDO-12 SET!I43</t>
  </si>
  <si>
    <t>RDO-12 SET!C44</t>
  </si>
  <si>
    <t>RDO-12 SET!D44</t>
  </si>
  <si>
    <t>RDO-12 SET!E44</t>
  </si>
  <si>
    <t>RDO-12 SET!G44</t>
  </si>
  <si>
    <t>RDO-12 SET!H44</t>
  </si>
  <si>
    <t>RDO-12 SET!I44</t>
  </si>
  <si>
    <t>RDO-12 SET!C45</t>
  </si>
  <si>
    <t>RDO-12 SET!D45</t>
  </si>
  <si>
    <t>RDO-12 SET!E45</t>
  </si>
  <si>
    <t>RDO-12 SET!C46</t>
  </si>
  <si>
    <t>RDO-12 SET!D46</t>
  </si>
  <si>
    <t>RDO-12 SET!E46</t>
  </si>
  <si>
    <t>RDO-12 SET!G46</t>
  </si>
  <si>
    <t>RDO-12 SET!H46</t>
  </si>
  <si>
    <t>RDO-12 SET!I46</t>
  </si>
  <si>
    <t>RDO-12 SET!C47</t>
  </si>
  <si>
    <t>RDO-12 SET!D47</t>
  </si>
  <si>
    <t>RDO-12 SET!E47</t>
  </si>
  <si>
    <t>RDO-12 SET!G47</t>
  </si>
  <si>
    <t>RDO-12 SET!H47</t>
  </si>
  <si>
    <t>RDO-12 SET!I47</t>
  </si>
  <si>
    <t>RDO-12 SET!C48</t>
  </si>
  <si>
    <t>RDO-12 SET!D48</t>
  </si>
  <si>
    <t>RDO-12 SET!E48</t>
  </si>
  <si>
    <t>RDO-12 SET!G48</t>
  </si>
  <si>
    <t>RDO-12 SET!H48</t>
  </si>
  <si>
    <t>RDO-12 SET!I48</t>
  </si>
  <si>
    <t>RDO-12 SET!C49</t>
  </si>
  <si>
    <t>RDO-12 SET!D49</t>
  </si>
  <si>
    <t>RDO-12 SET!E49</t>
  </si>
  <si>
    <t>RDO-12 SET!G49</t>
  </si>
  <si>
    <t>RDO-12 SET!H49</t>
  </si>
  <si>
    <t>RDO-12 SET!I49</t>
  </si>
  <si>
    <t>RDO-12 SET!C50</t>
  </si>
  <si>
    <t>RDO-12 SET!D50</t>
  </si>
  <si>
    <t>RDO-12 SET!E50</t>
  </si>
  <si>
    <t>RDO-12 SET!G50</t>
  </si>
  <si>
    <t>RDO-12 SET!H50</t>
  </si>
  <si>
    <t>RDO-12 SET!I50</t>
  </si>
  <si>
    <t>RDO-12 SET!C51</t>
  </si>
  <si>
    <t>RDO-12 SET!D51</t>
  </si>
  <si>
    <t>RDO-12 SET!E51</t>
  </si>
  <si>
    <t>RDO-12 SET!G51</t>
  </si>
  <si>
    <t>RDO-12 SET!H51</t>
  </si>
  <si>
    <t>RDO-12 SET!I51</t>
  </si>
  <si>
    <t>RDO-12 SET!C52</t>
  </si>
  <si>
    <t>RDO-12 SET!D52</t>
  </si>
  <si>
    <t>RDO-12 SET!E52</t>
  </si>
  <si>
    <t>RDO-12 SET!G52</t>
  </si>
  <si>
    <t>RDO-12 SET!H52</t>
  </si>
  <si>
    <t>RDO-12 SET!I52</t>
  </si>
  <si>
    <t>RDO-13 SET !C8</t>
  </si>
  <si>
    <t>RDO-13 SET !D8</t>
  </si>
  <si>
    <t>RDO-13 SET !E8</t>
  </si>
  <si>
    <t>RDO-13 SET !G8</t>
  </si>
  <si>
    <t>RDO-13 SET !H8</t>
  </si>
  <si>
    <t>RDO-13 SET !I8</t>
  </si>
  <si>
    <t>RDO-13 SET !C9</t>
  </si>
  <si>
    <t>RDO-13 SET !D9</t>
  </si>
  <si>
    <t>RDO-13 SET !E9</t>
  </si>
  <si>
    <t>RDO-13 SET !G9</t>
  </si>
  <si>
    <t>RDO-13 SET !H9</t>
  </si>
  <si>
    <t>RDO-13 SET !I9</t>
  </si>
  <si>
    <t>RDO-13 SET !C10</t>
  </si>
  <si>
    <t>RDO-13 SET !D10</t>
  </si>
  <si>
    <t>RDO-13 SET !E10</t>
  </si>
  <si>
    <t>RDO-13 SET !G10</t>
  </si>
  <si>
    <t>RDO-13 SET !H10</t>
  </si>
  <si>
    <t>RDO-13 SET !I10</t>
  </si>
  <si>
    <t>RDO-13 SET !C11</t>
  </si>
  <si>
    <t>RDO-13 SET !D11</t>
  </si>
  <si>
    <t>RDO-13 SET !E11</t>
  </si>
  <si>
    <t>RDO-13 SET !G11</t>
  </si>
  <si>
    <t>RDO-13 SET !H11</t>
  </si>
  <si>
    <t>RDO-13 SET !I11</t>
  </si>
  <si>
    <t>RDO-13 SET !G12</t>
  </si>
  <si>
    <t>RDO-13 SET !H12</t>
  </si>
  <si>
    <t>RDO-13 SET !I12</t>
  </si>
  <si>
    <t>RDO-13 SET !C13</t>
  </si>
  <si>
    <t>RDO-13 SET !D13</t>
  </si>
  <si>
    <t>RDO-13 SET !E13</t>
  </si>
  <si>
    <t>RDO-13 SET !G13</t>
  </si>
  <si>
    <t>RDO-13 SET !H13</t>
  </si>
  <si>
    <t>RDO-13 SET !I13</t>
  </si>
  <si>
    <t>RDO-13 SET !C14</t>
  </si>
  <si>
    <t>RDO-13 SET !D14</t>
  </si>
  <si>
    <t>RDO-13 SET !E14</t>
  </si>
  <si>
    <t>RDO-13 SET !G14</t>
  </si>
  <si>
    <t>RDO-13 SET !H14</t>
  </si>
  <si>
    <t>RDO-13 SET !I14</t>
  </si>
  <si>
    <t>RDO-13 SET !C15</t>
  </si>
  <si>
    <t>RDO-13 SET !D15</t>
  </si>
  <si>
    <t>RDO-13 SET !E15</t>
  </si>
  <si>
    <t>RDO-13 SET !G15</t>
  </si>
  <si>
    <t>RDO-13 SET !H15</t>
  </si>
  <si>
    <t>RDO-13 SET !I15</t>
  </si>
  <si>
    <t>RDO-13 SET !C16</t>
  </si>
  <si>
    <t>RDO-13 SET !D16</t>
  </si>
  <si>
    <t>RDO-13 SET !E16</t>
  </si>
  <si>
    <t>RDO-13 SET !G16</t>
  </si>
  <si>
    <t>RDO-13 SET !H16</t>
  </si>
  <si>
    <t>RDO-13 SET !I16</t>
  </si>
  <si>
    <t>RDO-13 SET !C17</t>
  </si>
  <si>
    <t>RDO-13 SET !D17</t>
  </si>
  <si>
    <t>RDO-13 SET !E17</t>
  </si>
  <si>
    <t>RDO-13 SET !G17</t>
  </si>
  <si>
    <t>RDO-13 SET !H17</t>
  </si>
  <si>
    <t>RDO-13 SET !I17</t>
  </si>
  <si>
    <t>RDO-13 SET !C18</t>
  </si>
  <si>
    <t>RDO-13 SET !D18</t>
  </si>
  <si>
    <t>RDO-13 SET !E18</t>
  </si>
  <si>
    <t>RDO-13 SET !G18</t>
  </si>
  <si>
    <t>RDO-13 SET !H18</t>
  </si>
  <si>
    <t>RDO-13 SET !I18</t>
  </si>
  <si>
    <t>RDO-13 SET !C19</t>
  </si>
  <si>
    <t>RDO-13 SET !D19</t>
  </si>
  <si>
    <t>RDO-13 SET !E19</t>
  </si>
  <si>
    <t>RDO-13 SET !G19</t>
  </si>
  <si>
    <t>RDO-13 SET !H19</t>
  </si>
  <si>
    <t>RDO-13 SET !I19</t>
  </si>
  <si>
    <t>RDO-13 SET !C20</t>
  </si>
  <si>
    <t>RDO-13 SET !D20</t>
  </si>
  <si>
    <t>RDO-13 SET !E20</t>
  </si>
  <si>
    <t>RDO-13 SET !G20</t>
  </si>
  <si>
    <t>RDO-13 SET !H20</t>
  </si>
  <si>
    <t>RDO-13 SET !I20</t>
  </si>
  <si>
    <t>RDO-13 SET !C21</t>
  </si>
  <si>
    <t>RDO-13 SET !D21</t>
  </si>
  <si>
    <t>RDO-13 SET !E21</t>
  </si>
  <si>
    <t>RDO-13 SET !G21</t>
  </si>
  <si>
    <t>RDO-13 SET !H21</t>
  </si>
  <si>
    <t>RDO-13 SET !I21</t>
  </si>
  <si>
    <t>RDO-13 SET !C22</t>
  </si>
  <si>
    <t>RDO-13 SET !D22</t>
  </si>
  <si>
    <t>RDO-13 SET !E22</t>
  </si>
  <si>
    <t>RDO-13 SET !G22</t>
  </si>
  <si>
    <t>RDO-13 SET !H22</t>
  </si>
  <si>
    <t>RDO-13 SET !I22</t>
  </si>
  <si>
    <t>RDO-13 SET !C23</t>
  </si>
  <si>
    <t>RDO-13 SET !D23</t>
  </si>
  <si>
    <t>RDO-13 SET !E23</t>
  </si>
  <si>
    <t>RDO-13 SET !G23</t>
  </si>
  <si>
    <t>RDO-13 SET !H23</t>
  </si>
  <si>
    <t>RDO-13 SET !I23</t>
  </si>
  <si>
    <t>RDO-13 SET !G24</t>
  </si>
  <si>
    <t>RDO-13 SET !H24</t>
  </si>
  <si>
    <t>RDO-13 SET !I24</t>
  </si>
  <si>
    <t>RDO-13 SET !C25</t>
  </si>
  <si>
    <t>RDO-13 SET !D25</t>
  </si>
  <si>
    <t>RDO-13 SET !E25</t>
  </si>
  <si>
    <t>RDO-13 SET !G25</t>
  </si>
  <si>
    <t>RDO-13 SET !H25</t>
  </si>
  <si>
    <t>RDO-13 SET !I25</t>
  </si>
  <si>
    <t>RDO-13 SET !G26</t>
  </si>
  <si>
    <t>RDO-13 SET !H26</t>
  </si>
  <si>
    <t>RDO-13 SET !I26</t>
  </si>
  <si>
    <t>RDO-13 SET !C28</t>
  </si>
  <si>
    <t>RDO-13 SET !D28</t>
  </si>
  <si>
    <t>RDO-13 SET !E28</t>
  </si>
  <si>
    <t>RDO-13 SET !C29</t>
  </si>
  <si>
    <t>RDO-13 SET !D29</t>
  </si>
  <si>
    <t>RDO-13 SET !E29</t>
  </si>
  <si>
    <t>RDO-13 SET !G29</t>
  </si>
  <si>
    <t>RDO-13 SET !H29</t>
  </si>
  <si>
    <t>RDO-13 SET !I29</t>
  </si>
  <si>
    <t>RDO-13 SET !C30</t>
  </si>
  <si>
    <t>RDO-13 SET !D30</t>
  </si>
  <si>
    <t>RDO-13 SET !E30</t>
  </si>
  <si>
    <t>RDO-13 SET !G30</t>
  </si>
  <si>
    <t>RDO-13 SET !H30</t>
  </si>
  <si>
    <t>RDO-13 SET !I30</t>
  </si>
  <si>
    <t>RDO-13 SET !C31</t>
  </si>
  <si>
    <t>RDO-13 SET !D31</t>
  </si>
  <si>
    <t>RDO-13 SET !E31</t>
  </si>
  <si>
    <t>RDO-13 SET !G31</t>
  </si>
  <si>
    <t>RDO-13 SET !H31</t>
  </si>
  <si>
    <t>RDO-13 SET !I31</t>
  </si>
  <si>
    <t>RDO-13 SET !G32</t>
  </si>
  <si>
    <t>RDO-13 SET !H32</t>
  </si>
  <si>
    <t>RDO-13 SET !I32</t>
  </si>
  <si>
    <t>RDO-13 SET !G33</t>
  </si>
  <si>
    <t>RDO-13 SET !H33</t>
  </si>
  <si>
    <t>RDO-13 SET !I33</t>
  </si>
  <si>
    <t>RDO-13 SET !G35</t>
  </si>
  <si>
    <t>RDO-13 SET !H35</t>
  </si>
  <si>
    <t>RDO-13 SET !I35</t>
  </si>
  <si>
    <t>RDO-13 SET !G36</t>
  </si>
  <si>
    <t>RDO-13 SET !H36</t>
  </si>
  <si>
    <t>RDO-13 SET !I36</t>
  </si>
  <si>
    <t>RDO-13 SET !C37</t>
  </si>
  <si>
    <t>RDO-13 SET !D37</t>
  </si>
  <si>
    <t>RDO-13 SET !E37</t>
  </si>
  <si>
    <t>RDO-13 SET !G37</t>
  </si>
  <si>
    <t>RDO-13 SET !H37</t>
  </si>
  <si>
    <t>RDO-13 SET !I37</t>
  </si>
  <si>
    <t>RDO-13 SET !G38</t>
  </si>
  <si>
    <t>RDO-13 SET !H38</t>
  </si>
  <si>
    <t>RDO-13 SET !I38</t>
  </si>
  <si>
    <t>RDO-13 SET !G40</t>
  </si>
  <si>
    <t>RDO-13 SET !H40</t>
  </si>
  <si>
    <t>RDO-13 SET !I40</t>
  </si>
  <si>
    <t>RDO-13 SET !C41</t>
  </si>
  <si>
    <t>RDO-13 SET !D41</t>
  </si>
  <si>
    <t>RDO-13 SET !E41</t>
  </si>
  <si>
    <t>RDO-13 SET !G41</t>
  </si>
  <si>
    <t>RDO-13 SET !H41</t>
  </si>
  <si>
    <t>RDO-13 SET !I41</t>
  </si>
  <si>
    <t>RDO-13 SET !C42</t>
  </si>
  <si>
    <t>RDO-13 SET !D42</t>
  </si>
  <si>
    <t>RDO-13 SET !E42</t>
  </si>
  <si>
    <t>RDO-13 SET !G42</t>
  </si>
  <si>
    <t>RDO-13 SET !H42</t>
  </si>
  <si>
    <t>RDO-13 SET !I42</t>
  </si>
  <si>
    <t>RDO-13 SET !C43</t>
  </si>
  <si>
    <t>RDO-13 SET !D43</t>
  </si>
  <si>
    <t>RDO-13 SET !E43</t>
  </si>
  <si>
    <t>RDO-13 SET !G43</t>
  </si>
  <si>
    <t>RDO-13 SET !H43</t>
  </si>
  <si>
    <t>RDO-13 SET !I43</t>
  </si>
  <si>
    <t>RDO-13 SET !C44</t>
  </si>
  <si>
    <t>RDO-13 SET !D44</t>
  </si>
  <si>
    <t>RDO-13 SET !E44</t>
  </si>
  <si>
    <t>RDO-13 SET !G44</t>
  </si>
  <si>
    <t>RDO-13 SET !H44</t>
  </si>
  <si>
    <t>RDO-13 SET !I44</t>
  </si>
  <si>
    <t>RDO-13 SET !C45</t>
  </si>
  <si>
    <t>RDO-13 SET !D45</t>
  </si>
  <si>
    <t>RDO-13 SET !E45</t>
  </si>
  <si>
    <t>RDO-13 SET !C46</t>
  </si>
  <si>
    <t>RDO-13 SET !D46</t>
  </si>
  <si>
    <t>RDO-13 SET !E46</t>
  </si>
  <si>
    <t>RDO-13 SET !G46</t>
  </si>
  <si>
    <t>RDO-13 SET !H46</t>
  </si>
  <si>
    <t>RDO-13 SET !I46</t>
  </si>
  <si>
    <t>RDO-13 SET !C47</t>
  </si>
  <si>
    <t>RDO-13 SET !D47</t>
  </si>
  <si>
    <t>RDO-13 SET !E47</t>
  </si>
  <si>
    <t>RDO-13 SET !G47</t>
  </si>
  <si>
    <t>RDO-13 SET !H47</t>
  </si>
  <si>
    <t>RDO-13 SET !I47</t>
  </si>
  <si>
    <t>RDO-13 SET !C48</t>
  </si>
  <si>
    <t>RDO-13 SET !D48</t>
  </si>
  <si>
    <t>RDO-13 SET !E48</t>
  </si>
  <si>
    <t>RDO-13 SET !G48</t>
  </si>
  <si>
    <t>RDO-13 SET !H48</t>
  </si>
  <si>
    <t>RDO-13 SET !I48</t>
  </si>
  <si>
    <t>RDO-13 SET !C49</t>
  </si>
  <si>
    <t>RDO-13 SET !D49</t>
  </si>
  <si>
    <t>RDO-13 SET !E49</t>
  </si>
  <si>
    <t>RDO-13 SET !G49</t>
  </si>
  <si>
    <t>RDO-13 SET !H49</t>
  </si>
  <si>
    <t>RDO-13 SET !I49</t>
  </si>
  <si>
    <t>RDO-13 SET !C50</t>
  </si>
  <si>
    <t>RDO-13 SET !D50</t>
  </si>
  <si>
    <t>RDO-13 SET !E50</t>
  </si>
  <si>
    <t>RDO-13 SET !G50</t>
  </si>
  <si>
    <t>RDO-13 SET !H50</t>
  </si>
  <si>
    <t>RDO-13 SET !I50</t>
  </si>
  <si>
    <t>RDO-13 SET !C51</t>
  </si>
  <si>
    <t>RDO-13 SET !D51</t>
  </si>
  <si>
    <t>RDO-13 SET !E51</t>
  </si>
  <si>
    <t>RDO-13 SET !G51</t>
  </si>
  <si>
    <t>RDO-13 SET !H51</t>
  </si>
  <si>
    <t>RDO-13 SET !I51</t>
  </si>
  <si>
    <t>RDO-13 SET !C52</t>
  </si>
  <si>
    <t>RDO-13 SET !D52</t>
  </si>
  <si>
    <t>RDO-13 SET !E52</t>
  </si>
  <si>
    <t>RDO-13 SET !G52</t>
  </si>
  <si>
    <t>RDO-13 SET !H52</t>
  </si>
  <si>
    <t>RDO-13 SET !I52</t>
  </si>
  <si>
    <t>RDO-14 SET  !C8</t>
  </si>
  <si>
    <t>RDO-14 SET  !D8</t>
  </si>
  <si>
    <t>RDO-14 SET  !E8</t>
  </si>
  <si>
    <t>RDO-14 SET  !G8</t>
  </si>
  <si>
    <t>RDO-14 SET  !H8</t>
  </si>
  <si>
    <t>RDO-14 SET  !I8</t>
  </si>
  <si>
    <t>RDO-14 SET  !C9</t>
  </si>
  <si>
    <t>RDO-14 SET  !D9</t>
  </si>
  <si>
    <t>RDO-14 SET  !E9</t>
  </si>
  <si>
    <t>RDO-14 SET  !G9</t>
  </si>
  <si>
    <t>RDO-14 SET  !H9</t>
  </si>
  <si>
    <t>RDO-14 SET  !I9</t>
  </si>
  <si>
    <t>RDO-14 SET  !C10</t>
  </si>
  <si>
    <t>RDO-14 SET  !D10</t>
  </si>
  <si>
    <t>RDO-14 SET  !E10</t>
  </si>
  <si>
    <t>RDO-14 SET  !G10</t>
  </si>
  <si>
    <t>RDO-14 SET  !H10</t>
  </si>
  <si>
    <t>RDO-14 SET  !I10</t>
  </si>
  <si>
    <t>RDO-14 SET  !C11</t>
  </si>
  <si>
    <t>RDO-14 SET  !D11</t>
  </si>
  <si>
    <t>RDO-14 SET  !E11</t>
  </si>
  <si>
    <t>RDO-14 SET  !G11</t>
  </si>
  <si>
    <t>RDO-14 SET  !H11</t>
  </si>
  <si>
    <t>RDO-14 SET  !I11</t>
  </si>
  <si>
    <t>RDO-14 SET  !G12</t>
  </si>
  <si>
    <t>RDO-14 SET  !H12</t>
  </si>
  <si>
    <t>RDO-14 SET  !I12</t>
  </si>
  <si>
    <t>RDO-14 SET  !C13</t>
  </si>
  <si>
    <t>RDO-14 SET  !D13</t>
  </si>
  <si>
    <t>RDO-14 SET  !E13</t>
  </si>
  <si>
    <t>RDO-14 SET  !G13</t>
  </si>
  <si>
    <t>RDO-14 SET  !H13</t>
  </si>
  <si>
    <t>RDO-14 SET  !I13</t>
  </si>
  <si>
    <t>RDO-14 SET  !C14</t>
  </si>
  <si>
    <t>RDO-14 SET  !D14</t>
  </si>
  <si>
    <t>RDO-14 SET  !E14</t>
  </si>
  <si>
    <t>RDO-14 SET  !G14</t>
  </si>
  <si>
    <t>RDO-14 SET  !H14</t>
  </si>
  <si>
    <t>RDO-14 SET  !I14</t>
  </si>
  <si>
    <t>RDO-14 SET  !C15</t>
  </si>
  <si>
    <t>RDO-14 SET  !D15</t>
  </si>
  <si>
    <t>RDO-14 SET  !E15</t>
  </si>
  <si>
    <t>RDO-14 SET  !G15</t>
  </si>
  <si>
    <t>RDO-14 SET  !H15</t>
  </si>
  <si>
    <t>RDO-14 SET  !I15</t>
  </si>
  <si>
    <t>RDO-14 SET  !C16</t>
  </si>
  <si>
    <t>RDO-14 SET  !D16</t>
  </si>
  <si>
    <t>RDO-14 SET  !E16</t>
  </si>
  <si>
    <t>RDO-14 SET  !G16</t>
  </si>
  <si>
    <t>RDO-14 SET  !H16</t>
  </si>
  <si>
    <t>RDO-14 SET  !I16</t>
  </si>
  <si>
    <t>RDO-14 SET  !C17</t>
  </si>
  <si>
    <t>RDO-14 SET  !D17</t>
  </si>
  <si>
    <t>RDO-14 SET  !E17</t>
  </si>
  <si>
    <t>RDO-14 SET  !G17</t>
  </si>
  <si>
    <t>RDO-14 SET  !H17</t>
  </si>
  <si>
    <t>RDO-14 SET  !I17</t>
  </si>
  <si>
    <t>RDO-14 SET  !C18</t>
  </si>
  <si>
    <t>RDO-14 SET  !D18</t>
  </si>
  <si>
    <t>RDO-14 SET  !E18</t>
  </si>
  <si>
    <t>RDO-14 SET  !G18</t>
  </si>
  <si>
    <t>RDO-14 SET  !H18</t>
  </si>
  <si>
    <t>RDO-14 SET  !I18</t>
  </si>
  <si>
    <t>RDO-14 SET  !C19</t>
  </si>
  <si>
    <t>RDO-14 SET  !D19</t>
  </si>
  <si>
    <t>RDO-14 SET  !E19</t>
  </si>
  <si>
    <t>RDO-14 SET  !G19</t>
  </si>
  <si>
    <t>RDO-14 SET  !H19</t>
  </si>
  <si>
    <t>RDO-14 SET  !I19</t>
  </si>
  <si>
    <t>RDO-14 SET  !C20</t>
  </si>
  <si>
    <t>RDO-14 SET  !D20</t>
  </si>
  <si>
    <t>RDO-14 SET  !E20</t>
  </si>
  <si>
    <t>RDO-14 SET  !G20</t>
  </si>
  <si>
    <t>RDO-14 SET  !H20</t>
  </si>
  <si>
    <t>RDO-14 SET  !I20</t>
  </si>
  <si>
    <t>RDO-14 SET  !C21</t>
  </si>
  <si>
    <t>RDO-14 SET  !D21</t>
  </si>
  <si>
    <t>RDO-14 SET  !E21</t>
  </si>
  <si>
    <t>RDO-14 SET  !G21</t>
  </si>
  <si>
    <t>RDO-14 SET  !H21</t>
  </si>
  <si>
    <t>RDO-14 SET  !I21</t>
  </si>
  <si>
    <t>RDO-14 SET  !C22</t>
  </si>
  <si>
    <t>RDO-14 SET  !D22</t>
  </si>
  <si>
    <t>RDO-14 SET  !E22</t>
  </si>
  <si>
    <t>RDO-14 SET  !G22</t>
  </si>
  <si>
    <t>RDO-14 SET  !H22</t>
  </si>
  <si>
    <t>RDO-14 SET  !I22</t>
  </si>
  <si>
    <t>RDO-14 SET  !C23</t>
  </si>
  <si>
    <t>RDO-14 SET  !D23</t>
  </si>
  <si>
    <t>RDO-14 SET  !E23</t>
  </si>
  <si>
    <t>RDO-14 SET  !G23</t>
  </si>
  <si>
    <t>RDO-14 SET  !H23</t>
  </si>
  <si>
    <t>RDO-14 SET  !I23</t>
  </si>
  <si>
    <t>RDO-14 SET  !G24</t>
  </si>
  <si>
    <t>RDO-14 SET  !H24</t>
  </si>
  <si>
    <t>RDO-14 SET  !I24</t>
  </si>
  <si>
    <t>RDO-14 SET  !C25</t>
  </si>
  <si>
    <t>RDO-14 SET  !D25</t>
  </si>
  <si>
    <t>RDO-14 SET  !E25</t>
  </si>
  <si>
    <t>RDO-14 SET  !G25</t>
  </si>
  <si>
    <t>RDO-14 SET  !H25</t>
  </si>
  <si>
    <t>RDO-14 SET  !I25</t>
  </si>
  <si>
    <t>RDO-14 SET  !G26</t>
  </si>
  <si>
    <t>RDO-14 SET  !H26</t>
  </si>
  <si>
    <t>RDO-14 SET  !I26</t>
  </si>
  <si>
    <t>RDO-14 SET  !C28</t>
  </si>
  <si>
    <t>RDO-14 SET  !D28</t>
  </si>
  <si>
    <t>RDO-14 SET  !E28</t>
  </si>
  <si>
    <t>RDO-14 SET  !C29</t>
  </si>
  <si>
    <t>RDO-14 SET  !D29</t>
  </si>
  <si>
    <t>RDO-14 SET  !E29</t>
  </si>
  <si>
    <t>RDO-14 SET  !G29</t>
  </si>
  <si>
    <t>RDO-14 SET  !H29</t>
  </si>
  <si>
    <t>RDO-14 SET  !I29</t>
  </si>
  <si>
    <t>RDO-14 SET  !C30</t>
  </si>
  <si>
    <t>RDO-14 SET  !D30</t>
  </si>
  <si>
    <t>RDO-14 SET  !E30</t>
  </si>
  <si>
    <t>RDO-14 SET  !G30</t>
  </si>
  <si>
    <t>RDO-14 SET  !H30</t>
  </si>
  <si>
    <t>RDO-14 SET  !I30</t>
  </si>
  <si>
    <t>RDO-14 SET  !C31</t>
  </si>
  <si>
    <t>RDO-14 SET  !D31</t>
  </si>
  <si>
    <t>RDO-14 SET  !E31</t>
  </si>
  <si>
    <t>RDO-14 SET  !G31</t>
  </si>
  <si>
    <t>RDO-14 SET  !H31</t>
  </si>
  <si>
    <t>RDO-14 SET  !I31</t>
  </si>
  <si>
    <t>RDO-14 SET  !G32</t>
  </si>
  <si>
    <t>RDO-14 SET  !H32</t>
  </si>
  <si>
    <t>RDO-14 SET  !I32</t>
  </si>
  <si>
    <t>RDO-14 SET  !G33</t>
  </si>
  <si>
    <t>RDO-14 SET  !H33</t>
  </si>
  <si>
    <t>RDO-14 SET  !I33</t>
  </si>
  <si>
    <t>RDO-14 SET  !G35</t>
  </si>
  <si>
    <t>RDO-14 SET  !H35</t>
  </si>
  <si>
    <t>RDO-14 SET  !I35</t>
  </si>
  <si>
    <t>RDO-14 SET  !G36</t>
  </si>
  <si>
    <t>RDO-14 SET  !H36</t>
  </si>
  <si>
    <t>RDO-14 SET  !I36</t>
  </si>
  <si>
    <t>RDO-14 SET  !C37</t>
  </si>
  <si>
    <t>RDO-14 SET  !D37</t>
  </si>
  <si>
    <t>RDO-14 SET  !E37</t>
  </si>
  <si>
    <t>RDO-14 SET  !G37</t>
  </si>
  <si>
    <t>RDO-14 SET  !H37</t>
  </si>
  <si>
    <t>RDO-14 SET  !I37</t>
  </si>
  <si>
    <t>RDO-14 SET  !G38</t>
  </si>
  <si>
    <t>RDO-14 SET  !H38</t>
  </si>
  <si>
    <t>RDO-14 SET  !I38</t>
  </si>
  <si>
    <t>RDO-14 SET  !G40</t>
  </si>
  <si>
    <t>RDO-14 SET  !H40</t>
  </si>
  <si>
    <t>RDO-14 SET  !I40</t>
  </si>
  <si>
    <t>RDO-14 SET  !C41</t>
  </si>
  <si>
    <t>RDO-14 SET  !D41</t>
  </si>
  <si>
    <t>RDO-14 SET  !E41</t>
  </si>
  <si>
    <t>RDO-14 SET  !G41</t>
  </si>
  <si>
    <t>RDO-14 SET  !H41</t>
  </si>
  <si>
    <t>RDO-14 SET  !I41</t>
  </si>
  <si>
    <t>RDO-14 SET  !C42</t>
  </si>
  <si>
    <t>RDO-14 SET  !D42</t>
  </si>
  <si>
    <t>RDO-14 SET  !E42</t>
  </si>
  <si>
    <t>RDO-14 SET  !G42</t>
  </si>
  <si>
    <t>RDO-14 SET  !H42</t>
  </si>
  <si>
    <t>RDO-14 SET  !I42</t>
  </si>
  <si>
    <t>RDO-14 SET  !C43</t>
  </si>
  <si>
    <t>RDO-14 SET  !D43</t>
  </si>
  <si>
    <t>RDO-14 SET  !E43</t>
  </si>
  <si>
    <t>RDO-14 SET  !G43</t>
  </si>
  <si>
    <t>RDO-14 SET  !H43</t>
  </si>
  <si>
    <t>RDO-14 SET  !I43</t>
  </si>
  <si>
    <t>RDO-14 SET  !C44</t>
  </si>
  <si>
    <t>RDO-14 SET  !D44</t>
  </si>
  <si>
    <t>RDO-14 SET  !E44</t>
  </si>
  <si>
    <t>RDO-14 SET  !G44</t>
  </si>
  <si>
    <t>RDO-14 SET  !H44</t>
  </si>
  <si>
    <t>RDO-14 SET  !I44</t>
  </si>
  <si>
    <t>RDO-14 SET  !C45</t>
  </si>
  <si>
    <t>RDO-14 SET  !D45</t>
  </si>
  <si>
    <t>RDO-14 SET  !E45</t>
  </si>
  <si>
    <t>RDO-14 SET  !C46</t>
  </si>
  <si>
    <t>RDO-14 SET  !D46</t>
  </si>
  <si>
    <t>RDO-14 SET  !E46</t>
  </si>
  <si>
    <t>RDO-14 SET  !G46</t>
  </si>
  <si>
    <t>RDO-14 SET  !H46</t>
  </si>
  <si>
    <t>RDO-14 SET  !I46</t>
  </si>
  <si>
    <t>RDO-14 SET  !C47</t>
  </si>
  <si>
    <t>RDO-14 SET  !D47</t>
  </si>
  <si>
    <t>RDO-14 SET  !E47</t>
  </si>
  <si>
    <t>RDO-14 SET  !G47</t>
  </si>
  <si>
    <t>RDO-14 SET  !H47</t>
  </si>
  <si>
    <t>RDO-14 SET  !I47</t>
  </si>
  <si>
    <t>RDO-14 SET  !C48</t>
  </si>
  <si>
    <t>RDO-14 SET  !D48</t>
  </si>
  <si>
    <t>RDO-14 SET  !E48</t>
  </si>
  <si>
    <t>RDO-14 SET  !G48</t>
  </si>
  <si>
    <t>RDO-14 SET  !H48</t>
  </si>
  <si>
    <t>RDO-14 SET  !I48</t>
  </si>
  <si>
    <t>RDO-14 SET  !C49</t>
  </si>
  <si>
    <t>RDO-14 SET  !D49</t>
  </si>
  <si>
    <t>RDO-14 SET  !E49</t>
  </si>
  <si>
    <t>RDO-14 SET  !G49</t>
  </si>
  <si>
    <t>RDO-14 SET  !H49</t>
  </si>
  <si>
    <t>RDO-14 SET  !I49</t>
  </si>
  <si>
    <t>RDO-14 SET  !C50</t>
  </si>
  <si>
    <t>RDO-14 SET  !D50</t>
  </si>
  <si>
    <t>RDO-14 SET  !E50</t>
  </si>
  <si>
    <t>RDO-14 SET  !G50</t>
  </si>
  <si>
    <t>RDO-14 SET  !H50</t>
  </si>
  <si>
    <t>RDO-14 SET  !I50</t>
  </si>
  <si>
    <t>RDO-14 SET  !C51</t>
  </si>
  <si>
    <t>RDO-14 SET  !D51</t>
  </si>
  <si>
    <t>RDO-14 SET  !E51</t>
  </si>
  <si>
    <t>RDO-14 SET  !G51</t>
  </si>
  <si>
    <t>RDO-14 SET  !H51</t>
  </si>
  <si>
    <t>RDO-14 SET  !I51</t>
  </si>
  <si>
    <t>RDO-14 SET  !C52</t>
  </si>
  <si>
    <t>RDO-14 SET  !D52</t>
  </si>
  <si>
    <t>RDO-14 SET  !E52</t>
  </si>
  <si>
    <t>RDO-14 SET  !G52</t>
  </si>
  <si>
    <t>RDO-14 SET  !H52</t>
  </si>
  <si>
    <t>RDO-14 SET  !I52</t>
  </si>
  <si>
    <t>RDO-15 SET  !C8</t>
  </si>
  <si>
    <t>RDO-15 SET  !D8</t>
  </si>
  <si>
    <t>RDO-15 SET  !E8</t>
  </si>
  <si>
    <t>RDO-15 SET  !G8</t>
  </si>
  <si>
    <t>RDO-15 SET  !H8</t>
  </si>
  <si>
    <t>RDO-15 SET  !I8</t>
  </si>
  <si>
    <t>RDO-15 SET  !C9</t>
  </si>
  <si>
    <t>RDO-15 SET  !D9</t>
  </si>
  <si>
    <t>RDO-15 SET  !E9</t>
  </si>
  <si>
    <t>RDO-15 SET  !G9</t>
  </si>
  <si>
    <t>RDO-15 SET  !H9</t>
  </si>
  <si>
    <t>RDO-15 SET  !I9</t>
  </si>
  <si>
    <t>RDO-15 SET  !C10</t>
  </si>
  <si>
    <t>RDO-15 SET  !D10</t>
  </si>
  <si>
    <t>RDO-15 SET  !E10</t>
  </si>
  <si>
    <t>RDO-15 SET  !G10</t>
  </si>
  <si>
    <t>RDO-15 SET  !H10</t>
  </si>
  <si>
    <t>RDO-15 SET  !I10</t>
  </si>
  <si>
    <t>RDO-15 SET  !C11</t>
  </si>
  <si>
    <t>RDO-15 SET  !D11</t>
  </si>
  <si>
    <t>RDO-15 SET  !E11</t>
  </si>
  <si>
    <t>RDO-15 SET  !G11</t>
  </si>
  <si>
    <t>RDO-15 SET  !H11</t>
  </si>
  <si>
    <t>RDO-15 SET  !I11</t>
  </si>
  <si>
    <t>RDO-15 SET  !G12</t>
  </si>
  <si>
    <t>RDO-15 SET  !H12</t>
  </si>
  <si>
    <t>RDO-15 SET  !I12</t>
  </si>
  <si>
    <t>RDO-15 SET  !C13</t>
  </si>
  <si>
    <t>RDO-15 SET  !D13</t>
  </si>
  <si>
    <t>RDO-15 SET  !E13</t>
  </si>
  <si>
    <t>RDO-15 SET  !G13</t>
  </si>
  <si>
    <t>RDO-15 SET  !H13</t>
  </si>
  <si>
    <t>RDO-15 SET  !I13</t>
  </si>
  <si>
    <t>RDO-15 SET  !C14</t>
  </si>
  <si>
    <t>RDO-15 SET  !D14</t>
  </si>
  <si>
    <t>RDO-15 SET  !E14</t>
  </si>
  <si>
    <t>RDO-15 SET  !G14</t>
  </si>
  <si>
    <t>RDO-15 SET  !H14</t>
  </si>
  <si>
    <t>RDO-15 SET  !I14</t>
  </si>
  <si>
    <t>RDO-15 SET  !C15</t>
  </si>
  <si>
    <t>RDO-15 SET  !D15</t>
  </si>
  <si>
    <t>RDO-15 SET  !E15</t>
  </si>
  <si>
    <t>RDO-15 SET  !G15</t>
  </si>
  <si>
    <t>RDO-15 SET  !H15</t>
  </si>
  <si>
    <t>RDO-15 SET  !I15</t>
  </si>
  <si>
    <t>RDO-15 SET  !C16</t>
  </si>
  <si>
    <t>RDO-15 SET  !D16</t>
  </si>
  <si>
    <t>RDO-15 SET  !E16</t>
  </si>
  <si>
    <t>RDO-15 SET  !G16</t>
  </si>
  <si>
    <t>RDO-15 SET  !H16</t>
  </si>
  <si>
    <t>RDO-15 SET  !I16</t>
  </si>
  <si>
    <t>RDO-15 SET  !C17</t>
  </si>
  <si>
    <t>RDO-15 SET  !D17</t>
  </si>
  <si>
    <t>RDO-15 SET  !E17</t>
  </si>
  <si>
    <t>RDO-15 SET  !G17</t>
  </si>
  <si>
    <t>RDO-15 SET  !H17</t>
  </si>
  <si>
    <t>RDO-15 SET  !I17</t>
  </si>
  <si>
    <t>RDO-15 SET  !C18</t>
  </si>
  <si>
    <t>RDO-15 SET  !D18</t>
  </si>
  <si>
    <t>RDO-15 SET  !E18</t>
  </si>
  <si>
    <t>RDO-15 SET  !G18</t>
  </si>
  <si>
    <t>RDO-15 SET  !H18</t>
  </si>
  <si>
    <t>RDO-15 SET  !I18</t>
  </si>
  <si>
    <t>RDO-15 SET  !C19</t>
  </si>
  <si>
    <t>RDO-15 SET  !D19</t>
  </si>
  <si>
    <t>RDO-15 SET  !E19</t>
  </si>
  <si>
    <t>RDO-15 SET  !G19</t>
  </si>
  <si>
    <t>RDO-15 SET  !H19</t>
  </si>
  <si>
    <t>RDO-15 SET  !I19</t>
  </si>
  <si>
    <t>RDO-15 SET  !C20</t>
  </si>
  <si>
    <t>RDO-15 SET  !D20</t>
  </si>
  <si>
    <t>RDO-15 SET  !E20</t>
  </si>
  <si>
    <t>RDO-15 SET  !G20</t>
  </si>
  <si>
    <t>RDO-15 SET  !H20</t>
  </si>
  <si>
    <t>RDO-15 SET  !I20</t>
  </si>
  <si>
    <t>RDO-15 SET  !C21</t>
  </si>
  <si>
    <t>RDO-15 SET  !D21</t>
  </si>
  <si>
    <t>RDO-15 SET  !E21</t>
  </si>
  <si>
    <t>RDO-15 SET  !G21</t>
  </si>
  <si>
    <t>RDO-15 SET  !H21</t>
  </si>
  <si>
    <t>RDO-15 SET  !I21</t>
  </si>
  <si>
    <t>RDO-15 SET  !C22</t>
  </si>
  <si>
    <t>RDO-15 SET  !D22</t>
  </si>
  <si>
    <t>RDO-15 SET  !E22</t>
  </si>
  <si>
    <t>RDO-15 SET  !G22</t>
  </si>
  <si>
    <t>RDO-15 SET  !H22</t>
  </si>
  <si>
    <t>RDO-15 SET  !I22</t>
  </si>
  <si>
    <t>RDO-15 SET  !C23</t>
  </si>
  <si>
    <t>RDO-15 SET  !D23</t>
  </si>
  <si>
    <t>RDO-15 SET  !E23</t>
  </si>
  <si>
    <t>RDO-15 SET  !G23</t>
  </si>
  <si>
    <t>RDO-15 SET  !H23</t>
  </si>
  <si>
    <t>RDO-15 SET  !I23</t>
  </si>
  <si>
    <t>RDO-15 SET  !G24</t>
  </si>
  <si>
    <t>RDO-15 SET  !H24</t>
  </si>
  <si>
    <t>RDO-15 SET  !I24</t>
  </si>
  <si>
    <t>RDO-15 SET  !C25</t>
  </si>
  <si>
    <t>RDO-15 SET  !D25</t>
  </si>
  <si>
    <t>RDO-15 SET  !E25</t>
  </si>
  <si>
    <t>RDO-15 SET  !G25</t>
  </si>
  <si>
    <t>RDO-15 SET  !H25</t>
  </si>
  <si>
    <t>RDO-15 SET  !I25</t>
  </si>
  <si>
    <t>RDO-15 SET  !G26</t>
  </si>
  <si>
    <t>RDO-15 SET  !H26</t>
  </si>
  <si>
    <t>RDO-15 SET  !I26</t>
  </si>
  <si>
    <t>RDO-15 SET  !C28</t>
  </si>
  <si>
    <t>RDO-15 SET  !D28</t>
  </si>
  <si>
    <t>RDO-15 SET  !E28</t>
  </si>
  <si>
    <t>RDO-15 SET  !C29</t>
  </si>
  <si>
    <t>RDO-15 SET  !D29</t>
  </si>
  <si>
    <t>RDO-15 SET  !E29</t>
  </si>
  <si>
    <t>RDO-15 SET  !G29</t>
  </si>
  <si>
    <t>RDO-15 SET  !H29</t>
  </si>
  <si>
    <t>RDO-15 SET  !I29</t>
  </si>
  <si>
    <t>RDO-15 SET  !C30</t>
  </si>
  <si>
    <t>RDO-15 SET  !D30</t>
  </si>
  <si>
    <t>RDO-15 SET  !E30</t>
  </si>
  <si>
    <t>RDO-15 SET  !G30</t>
  </si>
  <si>
    <t>RDO-15 SET  !H30</t>
  </si>
  <si>
    <t>RDO-15 SET  !I30</t>
  </si>
  <si>
    <t>RDO-15 SET  !C31</t>
  </si>
  <si>
    <t>RDO-15 SET  !D31</t>
  </si>
  <si>
    <t>RDO-15 SET  !E31</t>
  </si>
  <si>
    <t>RDO-15 SET  !G31</t>
  </si>
  <si>
    <t>RDO-15 SET  !H31</t>
  </si>
  <si>
    <t>RDO-15 SET  !I31</t>
  </si>
  <si>
    <t>RDO-15 SET  !G32</t>
  </si>
  <si>
    <t>RDO-15 SET  !H32</t>
  </si>
  <si>
    <t>RDO-15 SET  !I32</t>
  </si>
  <si>
    <t>RDO-15 SET  !G33</t>
  </si>
  <si>
    <t>RDO-15 SET  !H33</t>
  </si>
  <si>
    <t>RDO-15 SET  !I33</t>
  </si>
  <si>
    <t>RDO-15 SET  !G35</t>
  </si>
  <si>
    <t>RDO-15 SET  !H35</t>
  </si>
  <si>
    <t>RDO-15 SET  !I35</t>
  </si>
  <si>
    <t>RDO-15 SET  !G36</t>
  </si>
  <si>
    <t>RDO-15 SET  !H36</t>
  </si>
  <si>
    <t>RDO-15 SET  !I36</t>
  </si>
  <si>
    <t>RDO-15 SET  !C37</t>
  </si>
  <si>
    <t>RDO-15 SET  !D37</t>
  </si>
  <si>
    <t>RDO-15 SET  !E37</t>
  </si>
  <si>
    <t>RDO-15 SET  !G37</t>
  </si>
  <si>
    <t>RDO-15 SET  !H37</t>
  </si>
  <si>
    <t>RDO-15 SET  !I37</t>
  </si>
  <si>
    <t>RDO-15 SET  !G38</t>
  </si>
  <si>
    <t>RDO-15 SET  !H38</t>
  </si>
  <si>
    <t>RDO-15 SET  !I38</t>
  </si>
  <si>
    <t>RDO-15 SET  !G40</t>
  </si>
  <si>
    <t>RDO-15 SET  !H40</t>
  </si>
  <si>
    <t>RDO-15 SET  !I40</t>
  </si>
  <si>
    <t>RDO-15 SET  !C41</t>
  </si>
  <si>
    <t>RDO-15 SET  !D41</t>
  </si>
  <si>
    <t>RDO-15 SET  !E41</t>
  </si>
  <si>
    <t>RDO-15 SET  !G41</t>
  </si>
  <si>
    <t>RDO-15 SET  !H41</t>
  </si>
  <si>
    <t>RDO-15 SET  !I41</t>
  </si>
  <si>
    <t>RDO-15 SET  !C42</t>
  </si>
  <si>
    <t>RDO-15 SET  !D42</t>
  </si>
  <si>
    <t>RDO-15 SET  !E42</t>
  </si>
  <si>
    <t>RDO-15 SET  !G42</t>
  </si>
  <si>
    <t>RDO-15 SET  !H42</t>
  </si>
  <si>
    <t>RDO-15 SET  !I42</t>
  </si>
  <si>
    <t>RDO-15 SET  !C43</t>
  </si>
  <si>
    <t>RDO-15 SET  !D43</t>
  </si>
  <si>
    <t>RDO-15 SET  !E43</t>
  </si>
  <si>
    <t>RDO-15 SET  !G43</t>
  </si>
  <si>
    <t>RDO-15 SET  !H43</t>
  </si>
  <si>
    <t>RDO-15 SET  !I43</t>
  </si>
  <si>
    <t>RDO-15 SET  !C44</t>
  </si>
  <si>
    <t>RDO-15 SET  !D44</t>
  </si>
  <si>
    <t>RDO-15 SET  !E44</t>
  </si>
  <si>
    <t>RDO-15 SET  !G44</t>
  </si>
  <si>
    <t>RDO-15 SET  !H44</t>
  </si>
  <si>
    <t>RDO-15 SET  !I44</t>
  </si>
  <si>
    <t>RDO-15 SET  !C45</t>
  </si>
  <si>
    <t>RDO-15 SET  !D45</t>
  </si>
  <si>
    <t>RDO-15 SET  !E45</t>
  </si>
  <si>
    <t>RDO-15 SET  !C46</t>
  </si>
  <si>
    <t>RDO-15 SET  !D46</t>
  </si>
  <si>
    <t>RDO-15 SET  !E46</t>
  </si>
  <si>
    <t>RDO-15 SET  !G46</t>
  </si>
  <si>
    <t>RDO-15 SET  !H46</t>
  </si>
  <si>
    <t>RDO-15 SET  !I46</t>
  </si>
  <si>
    <t>RDO-15 SET  !C47</t>
  </si>
  <si>
    <t>RDO-15 SET  !D47</t>
  </si>
  <si>
    <t>RDO-15 SET  !E47</t>
  </si>
  <si>
    <t>RDO-15 SET  !G47</t>
  </si>
  <si>
    <t>RDO-15 SET  !H47</t>
  </si>
  <si>
    <t>RDO-15 SET  !I47</t>
  </si>
  <si>
    <t>RDO-15 SET  !C48</t>
  </si>
  <si>
    <t>RDO-15 SET  !D48</t>
  </si>
  <si>
    <t>RDO-15 SET  !E48</t>
  </si>
  <si>
    <t>RDO-15 SET  !G48</t>
  </si>
  <si>
    <t>RDO-15 SET  !H48</t>
  </si>
  <si>
    <t>RDO-15 SET  !I48</t>
  </si>
  <si>
    <t>RDO-15 SET  !C49</t>
  </si>
  <si>
    <t>RDO-15 SET  !D49</t>
  </si>
  <si>
    <t>RDO-15 SET  !E49</t>
  </si>
  <si>
    <t>RDO-15 SET  !G49</t>
  </si>
  <si>
    <t>RDO-15 SET  !H49</t>
  </si>
  <si>
    <t>RDO-15 SET  !I49</t>
  </si>
  <si>
    <t>RDO-15 SET  !C50</t>
  </si>
  <si>
    <t>RDO-15 SET  !D50</t>
  </si>
  <si>
    <t>RDO-15 SET  !E50</t>
  </si>
  <si>
    <t>RDO-15 SET  !G50</t>
  </si>
  <si>
    <t>RDO-15 SET  !H50</t>
  </si>
  <si>
    <t>RDO-15 SET  !I50</t>
  </si>
  <si>
    <t>RDO-15 SET  !C51</t>
  </si>
  <si>
    <t>RDO-15 SET  !D51</t>
  </si>
  <si>
    <t>RDO-15 SET  !E51</t>
  </si>
  <si>
    <t>RDO-15 SET  !G51</t>
  </si>
  <si>
    <t>RDO-15 SET  !H51</t>
  </si>
  <si>
    <t>RDO-15 SET  !I51</t>
  </si>
  <si>
    <t>RDO-15 SET  !C52</t>
  </si>
  <si>
    <t>RDO-15 SET  !D52</t>
  </si>
  <si>
    <t>RDO-15 SET  !E52</t>
  </si>
  <si>
    <t>RDO-15 SET  !G52</t>
  </si>
  <si>
    <t>RDO-15 SET  !H52</t>
  </si>
  <si>
    <t>RDO-15 SET  !I52</t>
  </si>
  <si>
    <t>RDO-16 SET  !C8</t>
  </si>
  <si>
    <t>RDO-16 SET  !D8</t>
  </si>
  <si>
    <t>RDO-16 SET  !E8</t>
  </si>
  <si>
    <t>RDO-16 SET  !G8</t>
  </si>
  <si>
    <t>RDO-16 SET  !H8</t>
  </si>
  <si>
    <t>RDO-16 SET  !I8</t>
  </si>
  <si>
    <t>RDO-16 SET  !C9</t>
  </si>
  <si>
    <t>RDO-16 SET  !D9</t>
  </si>
  <si>
    <t>RDO-16 SET  !E9</t>
  </si>
  <si>
    <t>RDO-16 SET  !G9</t>
  </si>
  <si>
    <t>RDO-16 SET  !H9</t>
  </si>
  <si>
    <t>RDO-16 SET  !I9</t>
  </si>
  <si>
    <t>RDO-16 SET  !C10</t>
  </si>
  <si>
    <t>RDO-16 SET  !D10</t>
  </si>
  <si>
    <t>RDO-16 SET  !E10</t>
  </si>
  <si>
    <t>RDO-16 SET  !G10</t>
  </si>
  <si>
    <t>RDO-16 SET  !H10</t>
  </si>
  <si>
    <t>RDO-16 SET  !I10</t>
  </si>
  <si>
    <t>RDO-16 SET  !C11</t>
  </si>
  <si>
    <t>RDO-16 SET  !D11</t>
  </si>
  <si>
    <t>RDO-16 SET  !E11</t>
  </si>
  <si>
    <t>RDO-16 SET  !G11</t>
  </si>
  <si>
    <t>RDO-16 SET  !H11</t>
  </si>
  <si>
    <t>RDO-16 SET  !I11</t>
  </si>
  <si>
    <t>RDO-16 SET  !G12</t>
  </si>
  <si>
    <t>RDO-16 SET  !H12</t>
  </si>
  <si>
    <t>RDO-16 SET  !I12</t>
  </si>
  <si>
    <t>RDO-16 SET  !C13</t>
  </si>
  <si>
    <t>RDO-16 SET  !D13</t>
  </si>
  <si>
    <t>RDO-16 SET  !E13</t>
  </si>
  <si>
    <t>RDO-16 SET  !G13</t>
  </si>
  <si>
    <t>RDO-16 SET  !H13</t>
  </si>
  <si>
    <t>RDO-16 SET  !I13</t>
  </si>
  <si>
    <t>RDO-16 SET  !C14</t>
  </si>
  <si>
    <t>RDO-16 SET  !D14</t>
  </si>
  <si>
    <t>RDO-16 SET  !E14</t>
  </si>
  <si>
    <t>RDO-16 SET  !G14</t>
  </si>
  <si>
    <t>RDO-16 SET  !H14</t>
  </si>
  <si>
    <t>RDO-16 SET  !I14</t>
  </si>
  <si>
    <t>RDO-16 SET  !C15</t>
  </si>
  <si>
    <t>RDO-16 SET  !D15</t>
  </si>
  <si>
    <t>RDO-16 SET  !E15</t>
  </si>
  <si>
    <t>RDO-16 SET  !G15</t>
  </si>
  <si>
    <t>RDO-16 SET  !H15</t>
  </si>
  <si>
    <t>RDO-16 SET  !I15</t>
  </si>
  <si>
    <t>RDO-16 SET  !C16</t>
  </si>
  <si>
    <t>RDO-16 SET  !D16</t>
  </si>
  <si>
    <t>RDO-16 SET  !E16</t>
  </si>
  <si>
    <t>RDO-16 SET  !G16</t>
  </si>
  <si>
    <t>RDO-16 SET  !H16</t>
  </si>
  <si>
    <t>RDO-16 SET  !I16</t>
  </si>
  <si>
    <t>RDO-16 SET  !C17</t>
  </si>
  <si>
    <t>RDO-16 SET  !D17</t>
  </si>
  <si>
    <t>RDO-16 SET  !E17</t>
  </si>
  <si>
    <t>RDO-16 SET  !G17</t>
  </si>
  <si>
    <t>RDO-16 SET  !H17</t>
  </si>
  <si>
    <t>RDO-16 SET  !I17</t>
  </si>
  <si>
    <t>RDO-16 SET  !C18</t>
  </si>
  <si>
    <t>RDO-16 SET  !D18</t>
  </si>
  <si>
    <t>RDO-16 SET  !E18</t>
  </si>
  <si>
    <t>RDO-16 SET  !G18</t>
  </si>
  <si>
    <t>RDO-16 SET  !H18</t>
  </si>
  <si>
    <t>RDO-16 SET  !I18</t>
  </si>
  <si>
    <t>RDO-16 SET  !C19</t>
  </si>
  <si>
    <t>RDO-16 SET  !D19</t>
  </si>
  <si>
    <t>RDO-16 SET  !E19</t>
  </si>
  <si>
    <t>RDO-16 SET  !G19</t>
  </si>
  <si>
    <t>RDO-16 SET  !H19</t>
  </si>
  <si>
    <t>RDO-16 SET  !I19</t>
  </si>
  <si>
    <t>RDO-16 SET  !C20</t>
  </si>
  <si>
    <t>RDO-16 SET  !D20</t>
  </si>
  <si>
    <t>RDO-16 SET  !E20</t>
  </si>
  <si>
    <t>RDO-16 SET  !G20</t>
  </si>
  <si>
    <t>RDO-16 SET  !H20</t>
  </si>
  <si>
    <t>RDO-16 SET  !I20</t>
  </si>
  <si>
    <t>RDO-16 SET  !C21</t>
  </si>
  <si>
    <t>RDO-16 SET  !D21</t>
  </si>
  <si>
    <t>RDO-16 SET  !E21</t>
  </si>
  <si>
    <t>RDO-16 SET  !G21</t>
  </si>
  <si>
    <t>RDO-16 SET  !H21</t>
  </si>
  <si>
    <t>RDO-16 SET  !I21</t>
  </si>
  <si>
    <t>RDO-16 SET  !C22</t>
  </si>
  <si>
    <t>RDO-16 SET  !D22</t>
  </si>
  <si>
    <t>RDO-16 SET  !E22</t>
  </si>
  <si>
    <t>RDO-16 SET  !G22</t>
  </si>
  <si>
    <t>RDO-16 SET  !H22</t>
  </si>
  <si>
    <t>RDO-16 SET  !I22</t>
  </si>
  <si>
    <t>RDO-16 SET  !C23</t>
  </si>
  <si>
    <t>RDO-16 SET  !D23</t>
  </si>
  <si>
    <t>RDO-16 SET  !E23</t>
  </si>
  <si>
    <t>RDO-16 SET  !G23</t>
  </si>
  <si>
    <t>RDO-16 SET  !H23</t>
  </si>
  <si>
    <t>RDO-16 SET  !I23</t>
  </si>
  <si>
    <t>RDO-16 SET  !G24</t>
  </si>
  <si>
    <t>RDO-16 SET  !H24</t>
  </si>
  <si>
    <t>RDO-16 SET  !I24</t>
  </si>
  <si>
    <t>RDO-16 SET  !C25</t>
  </si>
  <si>
    <t>RDO-16 SET  !D25</t>
  </si>
  <si>
    <t>RDO-16 SET  !E25</t>
  </si>
  <si>
    <t>RDO-16 SET  !G25</t>
  </si>
  <si>
    <t>RDO-16 SET  !H25</t>
  </si>
  <si>
    <t>RDO-16 SET  !I25</t>
  </si>
  <si>
    <t>RDO-16 SET  !G26</t>
  </si>
  <si>
    <t>RDO-16 SET  !H26</t>
  </si>
  <si>
    <t>RDO-16 SET  !I26</t>
  </si>
  <si>
    <t>RDO-16 SET  !C28</t>
  </si>
  <si>
    <t>RDO-16 SET  !D28</t>
  </si>
  <si>
    <t>RDO-16 SET  !E28</t>
  </si>
  <si>
    <t>RDO-16 SET  !C29</t>
  </si>
  <si>
    <t>RDO-16 SET  !D29</t>
  </si>
  <si>
    <t>RDO-16 SET  !E29</t>
  </si>
  <si>
    <t>RDO-16 SET  !G29</t>
  </si>
  <si>
    <t>RDO-16 SET  !H29</t>
  </si>
  <si>
    <t>RDO-16 SET  !I29</t>
  </si>
  <si>
    <t>RDO-16 SET  !C30</t>
  </si>
  <si>
    <t>RDO-16 SET  !D30</t>
  </si>
  <si>
    <t>RDO-16 SET  !E30</t>
  </si>
  <si>
    <t>RDO-16 SET  !G30</t>
  </si>
  <si>
    <t>RDO-16 SET  !H30</t>
  </si>
  <si>
    <t>RDO-16 SET  !I30</t>
  </si>
  <si>
    <t>RDO-16 SET  !C31</t>
  </si>
  <si>
    <t>RDO-16 SET  !D31</t>
  </si>
  <si>
    <t>RDO-16 SET  !E31</t>
  </si>
  <si>
    <t>RDO-16 SET  !G31</t>
  </si>
  <si>
    <t>RDO-16 SET  !H31</t>
  </si>
  <si>
    <t>RDO-16 SET  !I31</t>
  </si>
  <si>
    <t>RDO-16 SET  !G32</t>
  </si>
  <si>
    <t>RDO-16 SET  !H32</t>
  </si>
  <si>
    <t>RDO-16 SET  !I32</t>
  </si>
  <si>
    <t>RDO-16 SET  !G33</t>
  </si>
  <si>
    <t>RDO-16 SET  !H33</t>
  </si>
  <si>
    <t>RDO-16 SET  !I33</t>
  </si>
  <si>
    <t>RDO-16 SET  !G35</t>
  </si>
  <si>
    <t>RDO-16 SET  !H35</t>
  </si>
  <si>
    <t>RDO-16 SET  !I35</t>
  </si>
  <si>
    <t>RDO-16 SET  !G36</t>
  </si>
  <si>
    <t>RDO-16 SET  !H36</t>
  </si>
  <si>
    <t>RDO-16 SET  !I36</t>
  </si>
  <si>
    <t>RDO-16 SET  !C37</t>
  </si>
  <si>
    <t>RDO-16 SET  !D37</t>
  </si>
  <si>
    <t>RDO-16 SET  !E37</t>
  </si>
  <si>
    <t>RDO-16 SET  !G37</t>
  </si>
  <si>
    <t>RDO-16 SET  !H37</t>
  </si>
  <si>
    <t>RDO-16 SET  !I37</t>
  </si>
  <si>
    <t>RDO-16 SET  !G38</t>
  </si>
  <si>
    <t>RDO-16 SET  !H38</t>
  </si>
  <si>
    <t>RDO-16 SET  !I38</t>
  </si>
  <si>
    <t>RDO-16 SET  !G40</t>
  </si>
  <si>
    <t>RDO-16 SET  !H40</t>
  </si>
  <si>
    <t>RDO-16 SET  !I40</t>
  </si>
  <si>
    <t>RDO-16 SET  !C41</t>
  </si>
  <si>
    <t>RDO-16 SET  !D41</t>
  </si>
  <si>
    <t>RDO-16 SET  !E41</t>
  </si>
  <si>
    <t>RDO-16 SET  !G41</t>
  </si>
  <si>
    <t>RDO-16 SET  !H41</t>
  </si>
  <si>
    <t>RDO-16 SET  !I41</t>
  </si>
  <si>
    <t>RDO-16 SET  !C42</t>
  </si>
  <si>
    <t>RDO-16 SET  !D42</t>
  </si>
  <si>
    <t>RDO-16 SET  !E42</t>
  </si>
  <si>
    <t>RDO-16 SET  !G42</t>
  </si>
  <si>
    <t>RDO-16 SET  !H42</t>
  </si>
  <si>
    <t>RDO-16 SET  !I42</t>
  </si>
  <si>
    <t>RDO-16 SET  !C43</t>
  </si>
  <si>
    <t>RDO-16 SET  !D43</t>
  </si>
  <si>
    <t>RDO-16 SET  !E43</t>
  </si>
  <si>
    <t>RDO-16 SET  !G43</t>
  </si>
  <si>
    <t>RDO-16 SET  !H43</t>
  </si>
  <si>
    <t>RDO-16 SET  !I43</t>
  </si>
  <si>
    <t>RDO-16 SET  !C44</t>
  </si>
  <si>
    <t>RDO-16 SET  !D44</t>
  </si>
  <si>
    <t>RDO-16 SET  !E44</t>
  </si>
  <si>
    <t>RDO-16 SET  !G44</t>
  </si>
  <si>
    <t>RDO-16 SET  !H44</t>
  </si>
  <si>
    <t>RDO-16 SET  !I44</t>
  </si>
  <si>
    <t>RDO-16 SET  !C45</t>
  </si>
  <si>
    <t>RDO-16 SET  !D45</t>
  </si>
  <si>
    <t>RDO-16 SET  !E45</t>
  </si>
  <si>
    <t>RDO-16 SET  !C46</t>
  </si>
  <si>
    <t>RDO-16 SET  !D46</t>
  </si>
  <si>
    <t>RDO-16 SET  !E46</t>
  </si>
  <si>
    <t>RDO-16 SET  !G46</t>
  </si>
  <si>
    <t>RDO-16 SET  !H46</t>
  </si>
  <si>
    <t>RDO-16 SET  !I46</t>
  </si>
  <si>
    <t>RDO-16 SET  !C47</t>
  </si>
  <si>
    <t>RDO-16 SET  !D47</t>
  </si>
  <si>
    <t>RDO-16 SET  !E47</t>
  </si>
  <si>
    <t>RDO-16 SET  !G47</t>
  </si>
  <si>
    <t>RDO-16 SET  !H47</t>
  </si>
  <si>
    <t>RDO-16 SET  !I47</t>
  </si>
  <si>
    <t>RDO-16 SET  !C48</t>
  </si>
  <si>
    <t>RDO-16 SET  !D48</t>
  </si>
  <si>
    <t>RDO-16 SET  !E48</t>
  </si>
  <si>
    <t>RDO-16 SET  !G48</t>
  </si>
  <si>
    <t>RDO-16 SET  !H48</t>
  </si>
  <si>
    <t>RDO-16 SET  !I48</t>
  </si>
  <si>
    <t>RDO-16 SET  !C49</t>
  </si>
  <si>
    <t>RDO-16 SET  !D49</t>
  </si>
  <si>
    <t>RDO-16 SET  !E49</t>
  </si>
  <si>
    <t>RDO-16 SET  !G49</t>
  </si>
  <si>
    <t>RDO-16 SET  !H49</t>
  </si>
  <si>
    <t>RDO-16 SET  !I49</t>
  </si>
  <si>
    <t>RDO-16 SET  !C50</t>
  </si>
  <si>
    <t>RDO-16 SET  !D50</t>
  </si>
  <si>
    <t>RDO-16 SET  !E50</t>
  </si>
  <si>
    <t>RDO-16 SET  !G50</t>
  </si>
  <si>
    <t>RDO-16 SET  !H50</t>
  </si>
  <si>
    <t>RDO-16 SET  !I50</t>
  </si>
  <si>
    <t>RDO-16 SET  !C51</t>
  </si>
  <si>
    <t>RDO-16 SET  !D51</t>
  </si>
  <si>
    <t>RDO-16 SET  !E51</t>
  </si>
  <si>
    <t>RDO-16 SET  !G51</t>
  </si>
  <si>
    <t>RDO-16 SET  !H51</t>
  </si>
  <si>
    <t>RDO-16 SET  !I51</t>
  </si>
  <si>
    <t>RDO-16 SET  !C52</t>
  </si>
  <si>
    <t>RDO-16 SET  !D52</t>
  </si>
  <si>
    <t>RDO-16 SET  !E52</t>
  </si>
  <si>
    <t>RDO-16 SET  !G52</t>
  </si>
  <si>
    <t>RDO-16 SET  !H52</t>
  </si>
  <si>
    <t>RDO-16 SET  !I52</t>
  </si>
  <si>
    <t>RDO-17 SET !C8</t>
  </si>
  <si>
    <t>RDO-17 SET !D8</t>
  </si>
  <si>
    <t>RDO-17 SET !E8</t>
  </si>
  <si>
    <t>RDO-17 SET !G8</t>
  </si>
  <si>
    <t>RDO-17 SET !H8</t>
  </si>
  <si>
    <t>RDO-17 SET !I8</t>
  </si>
  <si>
    <t>RDO-17 SET !C9</t>
  </si>
  <si>
    <t>RDO-17 SET !D9</t>
  </si>
  <si>
    <t>RDO-17 SET !E9</t>
  </si>
  <si>
    <t>RDO-17 SET !G9</t>
  </si>
  <si>
    <t>RDO-17 SET !H9</t>
  </si>
  <si>
    <t>RDO-17 SET !I9</t>
  </si>
  <si>
    <t>RDO-17 SET !C10</t>
  </si>
  <si>
    <t>RDO-17 SET !D10</t>
  </si>
  <si>
    <t>RDO-17 SET !E10</t>
  </si>
  <si>
    <t>RDO-17 SET !G10</t>
  </si>
  <si>
    <t>RDO-17 SET !H10</t>
  </si>
  <si>
    <t>RDO-17 SET !I10</t>
  </si>
  <si>
    <t>RDO-17 SET !C11</t>
  </si>
  <si>
    <t>RDO-17 SET !D11</t>
  </si>
  <si>
    <t>RDO-17 SET !E11</t>
  </si>
  <si>
    <t>RDO-17 SET !G11</t>
  </si>
  <si>
    <t>RDO-17 SET !H11</t>
  </si>
  <si>
    <t>RDO-17 SET !I11</t>
  </si>
  <si>
    <t>RDO-17 SET !G12</t>
  </si>
  <si>
    <t>RDO-17 SET !H12</t>
  </si>
  <si>
    <t>RDO-17 SET !I12</t>
  </si>
  <si>
    <t>RDO-17 SET !C13</t>
  </si>
  <si>
    <t>RDO-17 SET !D13</t>
  </si>
  <si>
    <t>RDO-17 SET !E13</t>
  </si>
  <si>
    <t>RDO-17 SET !G13</t>
  </si>
  <si>
    <t>RDO-17 SET !H13</t>
  </si>
  <si>
    <t>RDO-17 SET !I13</t>
  </si>
  <si>
    <t>RDO-17 SET !C14</t>
  </si>
  <si>
    <t>RDO-17 SET !D14</t>
  </si>
  <si>
    <t>RDO-17 SET !E14</t>
  </si>
  <si>
    <t>RDO-17 SET !G14</t>
  </si>
  <si>
    <t>RDO-17 SET !H14</t>
  </si>
  <si>
    <t>RDO-17 SET !I14</t>
  </si>
  <si>
    <t>RDO-17 SET !C15</t>
  </si>
  <si>
    <t>RDO-17 SET !D15</t>
  </si>
  <si>
    <t>RDO-17 SET !E15</t>
  </si>
  <si>
    <t>RDO-17 SET !G15</t>
  </si>
  <si>
    <t>RDO-17 SET !H15</t>
  </si>
  <si>
    <t>RDO-17 SET !I15</t>
  </si>
  <si>
    <t>RDO-17 SET !C16</t>
  </si>
  <si>
    <t>RDO-17 SET !D16</t>
  </si>
  <si>
    <t>RDO-17 SET !E16</t>
  </si>
  <si>
    <t>RDO-17 SET !G16</t>
  </si>
  <si>
    <t>RDO-17 SET !H16</t>
  </si>
  <si>
    <t>RDO-17 SET !I16</t>
  </si>
  <si>
    <t>RDO-17 SET !C17</t>
  </si>
  <si>
    <t>RDO-17 SET !D17</t>
  </si>
  <si>
    <t>RDO-17 SET !E17</t>
  </si>
  <si>
    <t>RDO-17 SET !G17</t>
  </si>
  <si>
    <t>RDO-17 SET !H17</t>
  </si>
  <si>
    <t>RDO-17 SET !I17</t>
  </si>
  <si>
    <t>RDO-17 SET !C18</t>
  </si>
  <si>
    <t>RDO-17 SET !D18</t>
  </si>
  <si>
    <t>RDO-17 SET !E18</t>
  </si>
  <si>
    <t>RDO-17 SET !G18</t>
  </si>
  <si>
    <t>RDO-17 SET !H18</t>
  </si>
  <si>
    <t>RDO-17 SET !I18</t>
  </si>
  <si>
    <t>RDO-17 SET !C19</t>
  </si>
  <si>
    <t>RDO-17 SET !D19</t>
  </si>
  <si>
    <t>RDO-17 SET !E19</t>
  </si>
  <si>
    <t>RDO-17 SET !G19</t>
  </si>
  <si>
    <t>RDO-17 SET !H19</t>
  </si>
  <si>
    <t>RDO-17 SET !I19</t>
  </si>
  <si>
    <t>RDO-17 SET !C20</t>
  </si>
  <si>
    <t>RDO-17 SET !D20</t>
  </si>
  <si>
    <t>RDO-17 SET !E20</t>
  </si>
  <si>
    <t>RDO-17 SET !G20</t>
  </si>
  <si>
    <t>RDO-17 SET !H20</t>
  </si>
  <si>
    <t>RDO-17 SET !I20</t>
  </si>
  <si>
    <t>RDO-17 SET !C21</t>
  </si>
  <si>
    <t>RDO-17 SET !D21</t>
  </si>
  <si>
    <t>RDO-17 SET !E21</t>
  </si>
  <si>
    <t>RDO-17 SET !G21</t>
  </si>
  <si>
    <t>RDO-17 SET !H21</t>
  </si>
  <si>
    <t>RDO-17 SET !I21</t>
  </si>
  <si>
    <t>RDO-17 SET !C22</t>
  </si>
  <si>
    <t>RDO-17 SET !D22</t>
  </si>
  <si>
    <t>RDO-17 SET !E22</t>
  </si>
  <si>
    <t>RDO-17 SET !G22</t>
  </si>
  <si>
    <t>RDO-17 SET !H22</t>
  </si>
  <si>
    <t>RDO-17 SET !I22</t>
  </si>
  <si>
    <t>RDO-17 SET !C23</t>
  </si>
  <si>
    <t>RDO-17 SET !D23</t>
  </si>
  <si>
    <t>RDO-17 SET !E23</t>
  </si>
  <si>
    <t>RDO-17 SET !G23</t>
  </si>
  <si>
    <t>RDO-17 SET !H23</t>
  </si>
  <si>
    <t>RDO-17 SET !I23</t>
  </si>
  <si>
    <t>RDO-17 SET !G24</t>
  </si>
  <si>
    <t>RDO-17 SET !H24</t>
  </si>
  <si>
    <t>RDO-17 SET !I24</t>
  </si>
  <si>
    <t>RDO-17 SET !C25</t>
  </si>
  <si>
    <t>RDO-17 SET !D25</t>
  </si>
  <si>
    <t>RDO-17 SET !E25</t>
  </si>
  <si>
    <t>RDO-17 SET !G25</t>
  </si>
  <si>
    <t>RDO-17 SET !H25</t>
  </si>
  <si>
    <t>RDO-17 SET !I25</t>
  </si>
  <si>
    <t>RDO-17 SET !G26</t>
  </si>
  <si>
    <t>RDO-17 SET !H26</t>
  </si>
  <si>
    <t>RDO-17 SET !I26</t>
  </si>
  <si>
    <t>RDO-17 SET !C28</t>
  </si>
  <si>
    <t>RDO-17 SET !D28</t>
  </si>
  <si>
    <t>RDO-17 SET !E28</t>
  </si>
  <si>
    <t>RDO-17 SET !C29</t>
  </si>
  <si>
    <t>RDO-17 SET !D29</t>
  </si>
  <si>
    <t>RDO-17 SET !E29</t>
  </si>
  <si>
    <t>RDO-17 SET !G29</t>
  </si>
  <si>
    <t>RDO-17 SET !H29</t>
  </si>
  <si>
    <t>RDO-17 SET !I29</t>
  </si>
  <si>
    <t>RDO-17 SET !C30</t>
  </si>
  <si>
    <t>RDO-17 SET !D30</t>
  </si>
  <si>
    <t>RDO-17 SET !E30</t>
  </si>
  <si>
    <t>RDO-17 SET !G30</t>
  </si>
  <si>
    <t>RDO-17 SET !H30</t>
  </si>
  <si>
    <t>RDO-17 SET !I30</t>
  </si>
  <si>
    <t>RDO-17 SET !C31</t>
  </si>
  <si>
    <t>RDO-17 SET !D31</t>
  </si>
  <si>
    <t>RDO-17 SET !E31</t>
  </si>
  <si>
    <t>RDO-17 SET !G31</t>
  </si>
  <si>
    <t>RDO-17 SET !H31</t>
  </si>
  <si>
    <t>RDO-17 SET !I31</t>
  </si>
  <si>
    <t>RDO-17 SET !G32</t>
  </si>
  <si>
    <t>RDO-17 SET !H32</t>
  </si>
  <si>
    <t>RDO-17 SET !I32</t>
  </si>
  <si>
    <t>RDO-17 SET !G33</t>
  </si>
  <si>
    <t>RDO-17 SET !H33</t>
  </si>
  <si>
    <t>RDO-17 SET !I33</t>
  </si>
  <si>
    <t>RDO-17 SET !G35</t>
  </si>
  <si>
    <t>RDO-17 SET !H35</t>
  </si>
  <si>
    <t>RDO-17 SET !I35</t>
  </si>
  <si>
    <t>RDO-17 SET !G36</t>
  </si>
  <si>
    <t>RDO-17 SET !H36</t>
  </si>
  <si>
    <t>RDO-17 SET !I36</t>
  </si>
  <si>
    <t>RDO-17 SET !C37</t>
  </si>
  <si>
    <t>RDO-17 SET !D37</t>
  </si>
  <si>
    <t>RDO-17 SET !E37</t>
  </si>
  <si>
    <t>RDO-17 SET !G37</t>
  </si>
  <si>
    <t>RDO-17 SET !H37</t>
  </si>
  <si>
    <t>RDO-17 SET !I37</t>
  </si>
  <si>
    <t>RDO-17 SET !G38</t>
  </si>
  <si>
    <t>RDO-17 SET !H38</t>
  </si>
  <si>
    <t>RDO-17 SET !I38</t>
  </si>
  <si>
    <t>RDO-17 SET !G40</t>
  </si>
  <si>
    <t>RDO-17 SET !H40</t>
  </si>
  <si>
    <t>RDO-17 SET !I40</t>
  </si>
  <si>
    <t>RDO-17 SET !C41</t>
  </si>
  <si>
    <t>RDO-17 SET !D41</t>
  </si>
  <si>
    <t>RDO-17 SET !E41</t>
  </si>
  <si>
    <t>RDO-17 SET !G41</t>
  </si>
  <si>
    <t>RDO-17 SET !H41</t>
  </si>
  <si>
    <t>RDO-17 SET !I41</t>
  </si>
  <si>
    <t>RDO-17 SET !C42</t>
  </si>
  <si>
    <t>RDO-17 SET !D42</t>
  </si>
  <si>
    <t>RDO-17 SET !E42</t>
  </si>
  <si>
    <t>RDO-17 SET !G42</t>
  </si>
  <si>
    <t>RDO-17 SET !H42</t>
  </si>
  <si>
    <t>RDO-17 SET !I42</t>
  </si>
  <si>
    <t>RDO-17 SET !C43</t>
  </si>
  <si>
    <t>RDO-17 SET !D43</t>
  </si>
  <si>
    <t>RDO-17 SET !E43</t>
  </si>
  <si>
    <t>RDO-17 SET !G43</t>
  </si>
  <si>
    <t>RDO-17 SET !H43</t>
  </si>
  <si>
    <t>RDO-17 SET !I43</t>
  </si>
  <si>
    <t>RDO-17 SET !C44</t>
  </si>
  <si>
    <t>RDO-17 SET !D44</t>
  </si>
  <si>
    <t>RDO-17 SET !E44</t>
  </si>
  <si>
    <t>RDO-17 SET !G44</t>
  </si>
  <si>
    <t>RDO-17 SET !H44</t>
  </si>
  <si>
    <t>RDO-17 SET !I44</t>
  </si>
  <si>
    <t>RDO-17 SET !C45</t>
  </si>
  <si>
    <t>RDO-17 SET !D45</t>
  </si>
  <si>
    <t>RDO-17 SET !E45</t>
  </si>
  <si>
    <t>RDO-17 SET !C46</t>
  </si>
  <si>
    <t>RDO-17 SET !D46</t>
  </si>
  <si>
    <t>RDO-17 SET !E46</t>
  </si>
  <si>
    <t>RDO-17 SET !G46</t>
  </si>
  <si>
    <t>RDO-17 SET !H46</t>
  </si>
  <si>
    <t>RDO-17 SET !I46</t>
  </si>
  <si>
    <t>RDO-17 SET !C47</t>
  </si>
  <si>
    <t>RDO-17 SET !D47</t>
  </si>
  <si>
    <t>RDO-17 SET !E47</t>
  </si>
  <si>
    <t>RDO-17 SET !G47</t>
  </si>
  <si>
    <t>RDO-17 SET !H47</t>
  </si>
  <si>
    <t>RDO-17 SET !I47</t>
  </si>
  <si>
    <t>RDO-17 SET !C48</t>
  </si>
  <si>
    <t>RDO-17 SET !D48</t>
  </si>
  <si>
    <t>RDO-17 SET !E48</t>
  </si>
  <si>
    <t>RDO-17 SET !G48</t>
  </si>
  <si>
    <t>RDO-17 SET !H48</t>
  </si>
  <si>
    <t>RDO-17 SET !I48</t>
  </si>
  <si>
    <t>RDO-17 SET !C49</t>
  </si>
  <si>
    <t>RDO-17 SET !D49</t>
  </si>
  <si>
    <t>RDO-17 SET !E49</t>
  </si>
  <si>
    <t>RDO-17 SET !G49</t>
  </si>
  <si>
    <t>RDO-17 SET !H49</t>
  </si>
  <si>
    <t>RDO-17 SET !I49</t>
  </si>
  <si>
    <t>RDO-17 SET !C50</t>
  </si>
  <si>
    <t>RDO-17 SET !D50</t>
  </si>
  <si>
    <t>RDO-17 SET !E50</t>
  </si>
  <si>
    <t>RDO-17 SET !G50</t>
  </si>
  <si>
    <t>RDO-17 SET !H50</t>
  </si>
  <si>
    <t>RDO-17 SET !I50</t>
  </si>
  <si>
    <t>RDO-17 SET !C51</t>
  </si>
  <si>
    <t>RDO-17 SET !D51</t>
  </si>
  <si>
    <t>RDO-17 SET !E51</t>
  </si>
  <si>
    <t>RDO-17 SET !G51</t>
  </si>
  <si>
    <t>RDO-17 SET !H51</t>
  </si>
  <si>
    <t>RDO-17 SET !I51</t>
  </si>
  <si>
    <t>RDO-17 SET !C52</t>
  </si>
  <si>
    <t>RDO-17 SET !D52</t>
  </si>
  <si>
    <t>RDO-17 SET !E52</t>
  </si>
  <si>
    <t>RDO-17 SET !G52</t>
  </si>
  <si>
    <t>RDO-17 SET !H52</t>
  </si>
  <si>
    <t>RDO-17 SET !I52</t>
  </si>
  <si>
    <t>RDO-18 SET!C8</t>
  </si>
  <si>
    <t>RDO-18 SET!D8</t>
  </si>
  <si>
    <t>RDO-18 SET!E8</t>
  </si>
  <si>
    <t>RDO-18 SET!G8</t>
  </si>
  <si>
    <t>RDO-18 SET!H8</t>
  </si>
  <si>
    <t>RDO-18 SET!I8</t>
  </si>
  <si>
    <t>RDO-18 SET!C9</t>
  </si>
  <si>
    <t>RDO-18 SET!D9</t>
  </si>
  <si>
    <t>RDO-18 SET!E9</t>
  </si>
  <si>
    <t>RDO-18 SET!G9</t>
  </si>
  <si>
    <t>RDO-18 SET!H9</t>
  </si>
  <si>
    <t>RDO-18 SET!I9</t>
  </si>
  <si>
    <t>RDO-18 SET!C10</t>
  </si>
  <si>
    <t>RDO-18 SET!D10</t>
  </si>
  <si>
    <t>RDO-18 SET!E10</t>
  </si>
  <si>
    <t>RDO-18 SET!G10</t>
  </si>
  <si>
    <t>RDO-18 SET!H10</t>
  </si>
  <si>
    <t>RDO-18 SET!I10</t>
  </si>
  <si>
    <t>RDO-18 SET!C11</t>
  </si>
  <si>
    <t>RDO-18 SET!D11</t>
  </si>
  <si>
    <t>RDO-18 SET!E11</t>
  </si>
  <si>
    <t>RDO-18 SET!G11</t>
  </si>
  <si>
    <t>RDO-18 SET!H11</t>
  </si>
  <si>
    <t>RDO-18 SET!I11</t>
  </si>
  <si>
    <t>RDO-18 SET!G12</t>
  </si>
  <si>
    <t>RDO-18 SET!H12</t>
  </si>
  <si>
    <t>RDO-18 SET!I12</t>
  </si>
  <si>
    <t>RDO-18 SET!C13</t>
  </si>
  <si>
    <t>RDO-18 SET!D13</t>
  </si>
  <si>
    <t>RDO-18 SET!E13</t>
  </si>
  <si>
    <t>RDO-18 SET!G13</t>
  </si>
  <si>
    <t>RDO-18 SET!H13</t>
  </si>
  <si>
    <t>RDO-18 SET!I13</t>
  </si>
  <si>
    <t>RDO-18 SET!C14</t>
  </si>
  <si>
    <t>RDO-18 SET!D14</t>
  </si>
  <si>
    <t>RDO-18 SET!E14</t>
  </si>
  <si>
    <t>RDO-18 SET!G14</t>
  </si>
  <si>
    <t>RDO-18 SET!H14</t>
  </si>
  <si>
    <t>RDO-18 SET!I14</t>
  </si>
  <si>
    <t>RDO-18 SET!C15</t>
  </si>
  <si>
    <t>RDO-18 SET!D15</t>
  </si>
  <si>
    <t>RDO-18 SET!E15</t>
  </si>
  <si>
    <t>RDO-18 SET!G15</t>
  </si>
  <si>
    <t>RDO-18 SET!H15</t>
  </si>
  <si>
    <t>RDO-18 SET!I15</t>
  </si>
  <si>
    <t>RDO-18 SET!C16</t>
  </si>
  <si>
    <t>RDO-18 SET!D16</t>
  </si>
  <si>
    <t>RDO-18 SET!E16</t>
  </si>
  <si>
    <t>RDO-18 SET!G16</t>
  </si>
  <si>
    <t>RDO-18 SET!H16</t>
  </si>
  <si>
    <t>RDO-18 SET!I16</t>
  </si>
  <si>
    <t>RDO-18 SET!C17</t>
  </si>
  <si>
    <t>RDO-18 SET!D17</t>
  </si>
  <si>
    <t>RDO-18 SET!E17</t>
  </si>
  <si>
    <t>RDO-18 SET!G17</t>
  </si>
  <si>
    <t>RDO-18 SET!H17</t>
  </si>
  <si>
    <t>RDO-18 SET!I17</t>
  </si>
  <si>
    <t>RDO-18 SET!C18</t>
  </si>
  <si>
    <t>RDO-18 SET!D18</t>
  </si>
  <si>
    <t>RDO-18 SET!E18</t>
  </si>
  <si>
    <t>RDO-18 SET!G18</t>
  </si>
  <si>
    <t>RDO-18 SET!H18</t>
  </si>
  <si>
    <t>RDO-18 SET!I18</t>
  </si>
  <si>
    <t>RDO-18 SET!C19</t>
  </si>
  <si>
    <t>RDO-18 SET!D19</t>
  </si>
  <si>
    <t>RDO-18 SET!E19</t>
  </si>
  <si>
    <t>RDO-18 SET!G19</t>
  </si>
  <si>
    <t>RDO-18 SET!H19</t>
  </si>
  <si>
    <t>RDO-18 SET!I19</t>
  </si>
  <si>
    <t>RDO-18 SET!C20</t>
  </si>
  <si>
    <t>RDO-18 SET!D20</t>
  </si>
  <si>
    <t>RDO-18 SET!E20</t>
  </si>
  <si>
    <t>RDO-18 SET!G20</t>
  </si>
  <si>
    <t>RDO-18 SET!H20</t>
  </si>
  <si>
    <t>RDO-18 SET!I20</t>
  </si>
  <si>
    <t>RDO-18 SET!C21</t>
  </si>
  <si>
    <t>RDO-18 SET!D21</t>
  </si>
  <si>
    <t>RDO-18 SET!E21</t>
  </si>
  <si>
    <t>RDO-18 SET!G21</t>
  </si>
  <si>
    <t>RDO-18 SET!H21</t>
  </si>
  <si>
    <t>RDO-18 SET!I21</t>
  </si>
  <si>
    <t>RDO-18 SET!C22</t>
  </si>
  <si>
    <t>RDO-18 SET!D22</t>
  </si>
  <si>
    <t>RDO-18 SET!E22</t>
  </si>
  <si>
    <t>RDO-18 SET!G22</t>
  </si>
  <si>
    <t>RDO-18 SET!H22</t>
  </si>
  <si>
    <t>RDO-18 SET!I22</t>
  </si>
  <si>
    <t>RDO-18 SET!C23</t>
  </si>
  <si>
    <t>RDO-18 SET!D23</t>
  </si>
  <si>
    <t>RDO-18 SET!E23</t>
  </si>
  <si>
    <t>RDO-18 SET!G23</t>
  </si>
  <si>
    <t>RDO-18 SET!H23</t>
  </si>
  <si>
    <t>RDO-18 SET!I23</t>
  </si>
  <si>
    <t>RDO-18 SET!G24</t>
  </si>
  <si>
    <t>RDO-18 SET!H24</t>
  </si>
  <si>
    <t>RDO-18 SET!I24</t>
  </si>
  <si>
    <t>RDO-18 SET!C25</t>
  </si>
  <si>
    <t>RDO-18 SET!D25</t>
  </si>
  <si>
    <t>RDO-18 SET!E25</t>
  </si>
  <si>
    <t>RDO-18 SET!G25</t>
  </si>
  <si>
    <t>RDO-18 SET!H25</t>
  </si>
  <si>
    <t>RDO-18 SET!I25</t>
  </si>
  <si>
    <t>RDO-18 SET!G26</t>
  </si>
  <si>
    <t>RDO-18 SET!H26</t>
  </si>
  <si>
    <t>RDO-18 SET!I26</t>
  </si>
  <si>
    <t>RDO-18 SET!C28</t>
  </si>
  <si>
    <t>RDO-18 SET!D28</t>
  </si>
  <si>
    <t>RDO-18 SET!E28</t>
  </si>
  <si>
    <t>RDO-18 SET!C29</t>
  </si>
  <si>
    <t>RDO-18 SET!D29</t>
  </si>
  <si>
    <t>RDO-18 SET!E29</t>
  </si>
  <si>
    <t>RDO-18 SET!G29</t>
  </si>
  <si>
    <t>RDO-18 SET!H29</t>
  </si>
  <si>
    <t>RDO-18 SET!I29</t>
  </si>
  <si>
    <t>RDO-18 SET!C30</t>
  </si>
  <si>
    <t>RDO-18 SET!D30</t>
  </si>
  <si>
    <t>RDO-18 SET!E30</t>
  </si>
  <si>
    <t>RDO-18 SET!G30</t>
  </si>
  <si>
    <t>RDO-18 SET!H30</t>
  </si>
  <si>
    <t>RDO-18 SET!I30</t>
  </si>
  <si>
    <t>RDO-18 SET!C31</t>
  </si>
  <si>
    <t>RDO-18 SET!D31</t>
  </si>
  <si>
    <t>RDO-18 SET!E31</t>
  </si>
  <si>
    <t>RDO-18 SET!G31</t>
  </si>
  <si>
    <t>RDO-18 SET!H31</t>
  </si>
  <si>
    <t>RDO-18 SET!I31</t>
  </si>
  <si>
    <t>RDO-18 SET!G32</t>
  </si>
  <si>
    <t>RDO-18 SET!H32</t>
  </si>
  <si>
    <t>RDO-18 SET!I32</t>
  </si>
  <si>
    <t>RDO-18 SET!G33</t>
  </si>
  <si>
    <t>RDO-18 SET!H33</t>
  </si>
  <si>
    <t>RDO-18 SET!I33</t>
  </si>
  <si>
    <t>RDO-18 SET!G35</t>
  </si>
  <si>
    <t>RDO-18 SET!H35</t>
  </si>
  <si>
    <t>RDO-18 SET!I35</t>
  </si>
  <si>
    <t>RDO-18 SET!G36</t>
  </si>
  <si>
    <t>RDO-18 SET!H36</t>
  </si>
  <si>
    <t>RDO-18 SET!I36</t>
  </si>
  <si>
    <t>RDO-18 SET!C37</t>
  </si>
  <si>
    <t>RDO-18 SET!D37</t>
  </si>
  <si>
    <t>RDO-18 SET!E37</t>
  </si>
  <si>
    <t>RDO-18 SET!G37</t>
  </si>
  <si>
    <t>RDO-18 SET!H37</t>
  </si>
  <si>
    <t>RDO-18 SET!I37</t>
  </si>
  <si>
    <t>RDO-18 SET!G38</t>
  </si>
  <si>
    <t>RDO-18 SET!H38</t>
  </si>
  <si>
    <t>RDO-18 SET!I38</t>
  </si>
  <si>
    <t>RDO-18 SET!G40</t>
  </si>
  <si>
    <t>RDO-18 SET!H40</t>
  </si>
  <si>
    <t>RDO-18 SET!I40</t>
  </si>
  <si>
    <t>RDO-18 SET!C41</t>
  </si>
  <si>
    <t>RDO-18 SET!D41</t>
  </si>
  <si>
    <t>RDO-18 SET!E41</t>
  </si>
  <si>
    <t>RDO-18 SET!G41</t>
  </si>
  <si>
    <t>RDO-18 SET!H41</t>
  </si>
  <si>
    <t>RDO-18 SET!I41</t>
  </si>
  <si>
    <t>RDO-18 SET!C42</t>
  </si>
  <si>
    <t>RDO-18 SET!D42</t>
  </si>
  <si>
    <t>RDO-18 SET!E42</t>
  </si>
  <si>
    <t>RDO-18 SET!G42</t>
  </si>
  <si>
    <t>RDO-18 SET!H42</t>
  </si>
  <si>
    <t>RDO-18 SET!I42</t>
  </si>
  <si>
    <t>RDO-18 SET!C43</t>
  </si>
  <si>
    <t>RDO-18 SET!D43</t>
  </si>
  <si>
    <t>RDO-18 SET!E43</t>
  </si>
  <si>
    <t>RDO-18 SET!G43</t>
  </si>
  <si>
    <t>RDO-18 SET!H43</t>
  </si>
  <si>
    <t>RDO-18 SET!I43</t>
  </si>
  <si>
    <t>RDO-18 SET!C44</t>
  </si>
  <si>
    <t>RDO-18 SET!D44</t>
  </si>
  <si>
    <t>RDO-18 SET!E44</t>
  </si>
  <si>
    <t>RDO-18 SET!G44</t>
  </si>
  <si>
    <t>RDO-18 SET!H44</t>
  </si>
  <si>
    <t>RDO-18 SET!I44</t>
  </si>
  <si>
    <t>RDO-18 SET!C45</t>
  </si>
  <si>
    <t>RDO-18 SET!D45</t>
  </si>
  <si>
    <t>RDO-18 SET!E45</t>
  </si>
  <si>
    <t>RDO-18 SET!C46</t>
  </si>
  <si>
    <t>RDO-18 SET!D46</t>
  </si>
  <si>
    <t>RDO-18 SET!E46</t>
  </si>
  <si>
    <t>RDO-18 SET!G46</t>
  </si>
  <si>
    <t>RDO-18 SET!H46</t>
  </si>
  <si>
    <t>RDO-18 SET!I46</t>
  </si>
  <si>
    <t>RDO-18 SET!C47</t>
  </si>
  <si>
    <t>RDO-18 SET!D47</t>
  </si>
  <si>
    <t>RDO-18 SET!E47</t>
  </si>
  <si>
    <t>RDO-18 SET!G47</t>
  </si>
  <si>
    <t>RDO-18 SET!H47</t>
  </si>
  <si>
    <t>RDO-18 SET!I47</t>
  </si>
  <si>
    <t>RDO-18 SET!C48</t>
  </si>
  <si>
    <t>RDO-18 SET!D48</t>
  </si>
  <si>
    <t>RDO-18 SET!E48</t>
  </si>
  <si>
    <t>RDO-18 SET!G48</t>
  </si>
  <si>
    <t>RDO-18 SET!H48</t>
  </si>
  <si>
    <t>RDO-18 SET!I48</t>
  </si>
  <si>
    <t>RDO-18 SET!C49</t>
  </si>
  <si>
    <t>RDO-18 SET!D49</t>
  </si>
  <si>
    <t>RDO-18 SET!E49</t>
  </si>
  <si>
    <t>RDO-18 SET!G49</t>
  </si>
  <si>
    <t>RDO-18 SET!H49</t>
  </si>
  <si>
    <t>RDO-18 SET!I49</t>
  </si>
  <si>
    <t>RDO-18 SET!C50</t>
  </si>
  <si>
    <t>RDO-18 SET!D50</t>
  </si>
  <si>
    <t>RDO-18 SET!E50</t>
  </si>
  <si>
    <t>RDO-18 SET!G50</t>
  </si>
  <si>
    <t>RDO-18 SET!H50</t>
  </si>
  <si>
    <t>RDO-18 SET!I50</t>
  </si>
  <si>
    <t>RDO-18 SET!C51</t>
  </si>
  <si>
    <t>RDO-18 SET!D51</t>
  </si>
  <si>
    <t>RDO-18 SET!E51</t>
  </si>
  <si>
    <t>RDO-18 SET!G51</t>
  </si>
  <si>
    <t>RDO-18 SET!H51</t>
  </si>
  <si>
    <t>RDO-18 SET!I51</t>
  </si>
  <si>
    <t>RDO-18 SET!C52</t>
  </si>
  <si>
    <t>RDO-18 SET!D52</t>
  </si>
  <si>
    <t>RDO-18 SET!E52</t>
  </si>
  <si>
    <t>RDO-18 SET!G52</t>
  </si>
  <si>
    <t>RDO-18 SET!H52</t>
  </si>
  <si>
    <t>RDO-18 SET!I52</t>
  </si>
  <si>
    <t>RDO-19 SET !C8</t>
  </si>
  <si>
    <t>RDO-19 SET !D8</t>
  </si>
  <si>
    <t>RDO-19 SET !E8</t>
  </si>
  <si>
    <t>RDO-19 SET !G8</t>
  </si>
  <si>
    <t>RDO-19 SET !H8</t>
  </si>
  <si>
    <t>RDO-19 SET !I8</t>
  </si>
  <si>
    <t>RDO-19 SET !C9</t>
  </si>
  <si>
    <t>RDO-19 SET !D9</t>
  </si>
  <si>
    <t>RDO-19 SET !E9</t>
  </si>
  <si>
    <t>RDO-19 SET !G9</t>
  </si>
  <si>
    <t>RDO-19 SET !H9</t>
  </si>
  <si>
    <t>RDO-19 SET !I9</t>
  </si>
  <si>
    <t>RDO-19 SET !C10</t>
  </si>
  <si>
    <t>RDO-19 SET !D10</t>
  </si>
  <si>
    <t>RDO-19 SET !E10</t>
  </si>
  <si>
    <t>RDO-19 SET !G10</t>
  </si>
  <si>
    <t>RDO-19 SET !H10</t>
  </si>
  <si>
    <t>RDO-19 SET !I10</t>
  </si>
  <si>
    <t>RDO-19 SET !C11</t>
  </si>
  <si>
    <t>RDO-19 SET !D11</t>
  </si>
  <si>
    <t>RDO-19 SET !E11</t>
  </si>
  <si>
    <t>RDO-19 SET !G11</t>
  </si>
  <si>
    <t>RDO-19 SET !H11</t>
  </si>
  <si>
    <t>RDO-19 SET !I11</t>
  </si>
  <si>
    <t>RDO-19 SET !G12</t>
  </si>
  <si>
    <t>RDO-19 SET !H12</t>
  </si>
  <si>
    <t>RDO-19 SET !I12</t>
  </si>
  <si>
    <t>RDO-19 SET !C13</t>
  </si>
  <si>
    <t>RDO-19 SET !D13</t>
  </si>
  <si>
    <t>RDO-19 SET !E13</t>
  </si>
  <si>
    <t>RDO-19 SET !G13</t>
  </si>
  <si>
    <t>RDO-19 SET !H13</t>
  </si>
  <si>
    <t>RDO-19 SET !I13</t>
  </si>
  <si>
    <t>RDO-19 SET !C14</t>
  </si>
  <si>
    <t>RDO-19 SET !D14</t>
  </si>
  <si>
    <t>RDO-19 SET !E14</t>
  </si>
  <si>
    <t>RDO-19 SET !G14</t>
  </si>
  <si>
    <t>RDO-19 SET !H14</t>
  </si>
  <si>
    <t>RDO-19 SET !I14</t>
  </si>
  <si>
    <t>RDO-19 SET !C15</t>
  </si>
  <si>
    <t>RDO-19 SET !D15</t>
  </si>
  <si>
    <t>RDO-19 SET !E15</t>
  </si>
  <si>
    <t>RDO-19 SET !G15</t>
  </si>
  <si>
    <t>RDO-19 SET !H15</t>
  </si>
  <si>
    <t>RDO-19 SET !I15</t>
  </si>
  <si>
    <t>RDO-19 SET !C16</t>
  </si>
  <si>
    <t>RDO-19 SET !D16</t>
  </si>
  <si>
    <t>RDO-19 SET !E16</t>
  </si>
  <si>
    <t>RDO-19 SET !G16</t>
  </si>
  <si>
    <t>RDO-19 SET !H16</t>
  </si>
  <si>
    <t>RDO-19 SET !I16</t>
  </si>
  <si>
    <t>RDO-19 SET !C17</t>
  </si>
  <si>
    <t>RDO-19 SET !D17</t>
  </si>
  <si>
    <t>RDO-19 SET !E17</t>
  </si>
  <si>
    <t>RDO-19 SET !G17</t>
  </si>
  <si>
    <t>RDO-19 SET !H17</t>
  </si>
  <si>
    <t>RDO-19 SET !I17</t>
  </si>
  <si>
    <t>RDO-19 SET !C18</t>
  </si>
  <si>
    <t>RDO-19 SET !D18</t>
  </si>
  <si>
    <t>RDO-19 SET !E18</t>
  </si>
  <si>
    <t>RDO-19 SET !G18</t>
  </si>
  <si>
    <t>RDO-19 SET !H18</t>
  </si>
  <si>
    <t>RDO-19 SET !I18</t>
  </si>
  <si>
    <t>RDO-19 SET !C19</t>
  </si>
  <si>
    <t>RDO-19 SET !D19</t>
  </si>
  <si>
    <t>RDO-19 SET !E19</t>
  </si>
  <si>
    <t>RDO-19 SET !G19</t>
  </si>
  <si>
    <t>RDO-19 SET !H19</t>
  </si>
  <si>
    <t>RDO-19 SET !I19</t>
  </si>
  <si>
    <t>RDO-19 SET !C20</t>
  </si>
  <si>
    <t>RDO-19 SET !D20</t>
  </si>
  <si>
    <t>RDO-19 SET !E20</t>
  </si>
  <si>
    <t>RDO-19 SET !G20</t>
  </si>
  <si>
    <t>RDO-19 SET !H20</t>
  </si>
  <si>
    <t>RDO-19 SET !I20</t>
  </si>
  <si>
    <t>RDO-19 SET !C21</t>
  </si>
  <si>
    <t>RDO-19 SET !D21</t>
  </si>
  <si>
    <t>RDO-19 SET !E21</t>
  </si>
  <si>
    <t>RDO-19 SET !G21</t>
  </si>
  <si>
    <t>RDO-19 SET !H21</t>
  </si>
  <si>
    <t>RDO-19 SET !I21</t>
  </si>
  <si>
    <t>RDO-19 SET !C22</t>
  </si>
  <si>
    <t>RDO-19 SET !D22</t>
  </si>
  <si>
    <t>RDO-19 SET !E22</t>
  </si>
  <si>
    <t>RDO-19 SET !G22</t>
  </si>
  <si>
    <t>RDO-19 SET !H22</t>
  </si>
  <si>
    <t>RDO-19 SET !I22</t>
  </si>
  <si>
    <t>RDO-19 SET !C23</t>
  </si>
  <si>
    <t>RDO-19 SET !D23</t>
  </si>
  <si>
    <t>RDO-19 SET !E23</t>
  </si>
  <si>
    <t>RDO-19 SET !G23</t>
  </si>
  <si>
    <t>RDO-19 SET !H23</t>
  </si>
  <si>
    <t>RDO-19 SET !I23</t>
  </si>
  <si>
    <t>RDO-19 SET !G24</t>
  </si>
  <si>
    <t>RDO-19 SET !H24</t>
  </si>
  <si>
    <t>RDO-19 SET !I24</t>
  </si>
  <si>
    <t>RDO-19 SET !C25</t>
  </si>
  <si>
    <t>RDO-19 SET !D25</t>
  </si>
  <si>
    <t>RDO-19 SET !E25</t>
  </si>
  <si>
    <t>RDO-19 SET !G25</t>
  </si>
  <si>
    <t>RDO-19 SET !H25</t>
  </si>
  <si>
    <t>RDO-19 SET !I25</t>
  </si>
  <si>
    <t>RDO-19 SET !G26</t>
  </si>
  <si>
    <t>RDO-19 SET !H26</t>
  </si>
  <si>
    <t>RDO-19 SET !I26</t>
  </si>
  <si>
    <t>RDO-19 SET !C28</t>
  </si>
  <si>
    <t>RDO-19 SET !D28</t>
  </si>
  <si>
    <t>RDO-19 SET !E28</t>
  </si>
  <si>
    <t>RDO-19 SET !C29</t>
  </si>
  <si>
    <t>RDO-19 SET !D29</t>
  </si>
  <si>
    <t>RDO-19 SET !E29</t>
  </si>
  <si>
    <t>RDO-19 SET !G29</t>
  </si>
  <si>
    <t>RDO-19 SET !H29</t>
  </si>
  <si>
    <t>RDO-19 SET !I29</t>
  </si>
  <si>
    <t>RDO-19 SET !C30</t>
  </si>
  <si>
    <t>RDO-19 SET !D30</t>
  </si>
  <si>
    <t>RDO-19 SET !E30</t>
  </si>
  <si>
    <t>RDO-19 SET !G30</t>
  </si>
  <si>
    <t>RDO-19 SET !H30</t>
  </si>
  <si>
    <t>RDO-19 SET !I30</t>
  </si>
  <si>
    <t>RDO-19 SET !C31</t>
  </si>
  <si>
    <t>RDO-19 SET !D31</t>
  </si>
  <si>
    <t>RDO-19 SET !E31</t>
  </si>
  <si>
    <t>RDO-19 SET !G31</t>
  </si>
  <si>
    <t>RDO-19 SET !H31</t>
  </si>
  <si>
    <t>RDO-19 SET !I31</t>
  </si>
  <si>
    <t>RDO-19 SET !G32</t>
  </si>
  <si>
    <t>RDO-19 SET !H32</t>
  </si>
  <si>
    <t>RDO-19 SET !I32</t>
  </si>
  <si>
    <t>RDO-19 SET !G33</t>
  </si>
  <si>
    <t>RDO-19 SET !H33</t>
  </si>
  <si>
    <t>RDO-19 SET !I33</t>
  </si>
  <si>
    <t>RDO-19 SET !G35</t>
  </si>
  <si>
    <t>RDO-19 SET !H35</t>
  </si>
  <si>
    <t>RDO-19 SET !I35</t>
  </si>
  <si>
    <t>RDO-19 SET !G36</t>
  </si>
  <si>
    <t>RDO-19 SET !H36</t>
  </si>
  <si>
    <t>RDO-19 SET !I36</t>
  </si>
  <si>
    <t>RDO-19 SET !C37</t>
  </si>
  <si>
    <t>RDO-19 SET !D37</t>
  </si>
  <si>
    <t>RDO-19 SET !E37</t>
  </si>
  <si>
    <t>RDO-19 SET !G37</t>
  </si>
  <si>
    <t>RDO-19 SET !H37</t>
  </si>
  <si>
    <t>RDO-19 SET !I37</t>
  </si>
  <si>
    <t>RDO-19 SET !G38</t>
  </si>
  <si>
    <t>RDO-19 SET !H38</t>
  </si>
  <si>
    <t>RDO-19 SET !I38</t>
  </si>
  <si>
    <t>RDO-19 SET !G40</t>
  </si>
  <si>
    <t>RDO-19 SET !H40</t>
  </si>
  <si>
    <t>RDO-19 SET !I40</t>
  </si>
  <si>
    <t>RDO-19 SET !C41</t>
  </si>
  <si>
    <t>RDO-19 SET !D41</t>
  </si>
  <si>
    <t>RDO-19 SET !E41</t>
  </si>
  <si>
    <t>RDO-19 SET !G41</t>
  </si>
  <si>
    <t>RDO-19 SET !H41</t>
  </si>
  <si>
    <t>RDO-19 SET !I41</t>
  </si>
  <si>
    <t>RDO-19 SET !C42</t>
  </si>
  <si>
    <t>RDO-19 SET !D42</t>
  </si>
  <si>
    <t>RDO-19 SET !E42</t>
  </si>
  <si>
    <t>RDO-19 SET !G42</t>
  </si>
  <si>
    <t>RDO-19 SET !H42</t>
  </si>
  <si>
    <t>RDO-19 SET !I42</t>
  </si>
  <si>
    <t>RDO-19 SET !C43</t>
  </si>
  <si>
    <t>RDO-19 SET !D43</t>
  </si>
  <si>
    <t>RDO-19 SET !E43</t>
  </si>
  <si>
    <t>RDO-19 SET !G43</t>
  </si>
  <si>
    <t>RDO-19 SET !H43</t>
  </si>
  <si>
    <t>RDO-19 SET !I43</t>
  </si>
  <si>
    <t>RDO-19 SET !C44</t>
  </si>
  <si>
    <t>RDO-19 SET !D44</t>
  </si>
  <si>
    <t>RDO-19 SET !E44</t>
  </si>
  <si>
    <t>RDO-19 SET !G44</t>
  </si>
  <si>
    <t>RDO-19 SET !H44</t>
  </si>
  <si>
    <t>RDO-19 SET !I44</t>
  </si>
  <si>
    <t>RDO-19 SET !C45</t>
  </si>
  <si>
    <t>RDO-19 SET !D45</t>
  </si>
  <si>
    <t>RDO-19 SET !E45</t>
  </si>
  <si>
    <t>RDO-19 SET !C46</t>
  </si>
  <si>
    <t>RDO-19 SET !D46</t>
  </si>
  <si>
    <t>RDO-19 SET !E46</t>
  </si>
  <si>
    <t>RDO-19 SET !G46</t>
  </si>
  <si>
    <t>RDO-19 SET !H46</t>
  </si>
  <si>
    <t>RDO-19 SET !I46</t>
  </si>
  <si>
    <t>RDO-19 SET !C47</t>
  </si>
  <si>
    <t>RDO-19 SET !D47</t>
  </si>
  <si>
    <t>RDO-19 SET !E47</t>
  </si>
  <si>
    <t>RDO-19 SET !G47</t>
  </si>
  <si>
    <t>RDO-19 SET !H47</t>
  </si>
  <si>
    <t>RDO-19 SET !I47</t>
  </si>
  <si>
    <t>RDO-19 SET !C48</t>
  </si>
  <si>
    <t>RDO-19 SET !D48</t>
  </si>
  <si>
    <t>RDO-19 SET !E48</t>
  </si>
  <si>
    <t>RDO-19 SET !G48</t>
  </si>
  <si>
    <t>RDO-19 SET !H48</t>
  </si>
  <si>
    <t>RDO-19 SET !I48</t>
  </si>
  <si>
    <t>RDO-19 SET !C49</t>
  </si>
  <si>
    <t>RDO-19 SET !D49</t>
  </si>
  <si>
    <t>RDO-19 SET !E49</t>
  </si>
  <si>
    <t>RDO-19 SET !G49</t>
  </si>
  <si>
    <t>RDO-19 SET !H49</t>
  </si>
  <si>
    <t>RDO-19 SET !I49</t>
  </si>
  <si>
    <t>RDO-19 SET !C50</t>
  </si>
  <si>
    <t>RDO-19 SET !D50</t>
  </si>
  <si>
    <t>RDO-19 SET !E50</t>
  </si>
  <si>
    <t>RDO-19 SET !G50</t>
  </si>
  <si>
    <t>RDO-19 SET !H50</t>
  </si>
  <si>
    <t>RDO-19 SET !I50</t>
  </si>
  <si>
    <t>RDO-19 SET !C51</t>
  </si>
  <si>
    <t>RDO-19 SET !D51</t>
  </si>
  <si>
    <t>RDO-19 SET !E51</t>
  </si>
  <si>
    <t>RDO-19 SET !G51</t>
  </si>
  <si>
    <t>RDO-19 SET !H51</t>
  </si>
  <si>
    <t>RDO-19 SET !I51</t>
  </si>
  <si>
    <t>RDO-19 SET !C52</t>
  </si>
  <si>
    <t>RDO-19 SET !D52</t>
  </si>
  <si>
    <t>RDO-19 SET !E52</t>
  </si>
  <si>
    <t>RDO-19 SET !G52</t>
  </si>
  <si>
    <t>RDO-19 SET !H52</t>
  </si>
  <si>
    <t>RDO-19 SET !I52</t>
  </si>
  <si>
    <t>RDO-20 SET !C8</t>
  </si>
  <si>
    <t>RDO-20 SET !D8</t>
  </si>
  <si>
    <t>RDO-20 SET !E8</t>
  </si>
  <si>
    <t>RDO-20 SET !G8</t>
  </si>
  <si>
    <t>RDO-20 SET !H8</t>
  </si>
  <si>
    <t>RDO-20 SET !I8</t>
  </si>
  <si>
    <t>RDO-20 SET !C9</t>
  </si>
  <si>
    <t>RDO-20 SET !D9</t>
  </si>
  <si>
    <t>RDO-20 SET !E9</t>
  </si>
  <si>
    <t>RDO-20 SET !G9</t>
  </si>
  <si>
    <t>RDO-20 SET !H9</t>
  </si>
  <si>
    <t>RDO-20 SET !I9</t>
  </si>
  <si>
    <t>RDO-20 SET !C10</t>
  </si>
  <si>
    <t>RDO-20 SET !D10</t>
  </si>
  <si>
    <t>RDO-20 SET !E10</t>
  </si>
  <si>
    <t>RDO-20 SET !G10</t>
  </si>
  <si>
    <t>RDO-20 SET !H10</t>
  </si>
  <si>
    <t>RDO-20 SET !I10</t>
  </si>
  <si>
    <t>RDO-20 SET !C11</t>
  </si>
  <si>
    <t>RDO-20 SET !D11</t>
  </si>
  <si>
    <t>RDO-20 SET !E11</t>
  </si>
  <si>
    <t>RDO-20 SET !G11</t>
  </si>
  <si>
    <t>RDO-20 SET !H11</t>
  </si>
  <si>
    <t>RDO-20 SET !I11</t>
  </si>
  <si>
    <t>RDO-20 SET !G12</t>
  </si>
  <si>
    <t>RDO-20 SET !H12</t>
  </si>
  <si>
    <t>RDO-20 SET !I12</t>
  </si>
  <si>
    <t>RDO-20 SET !C13</t>
  </si>
  <si>
    <t>RDO-20 SET !D13</t>
  </si>
  <si>
    <t>RDO-20 SET !E13</t>
  </si>
  <si>
    <t>RDO-20 SET !G13</t>
  </si>
  <si>
    <t>RDO-20 SET !H13</t>
  </si>
  <si>
    <t>RDO-20 SET !I13</t>
  </si>
  <si>
    <t>RDO-20 SET !C14</t>
  </si>
  <si>
    <t>RDO-20 SET !D14</t>
  </si>
  <si>
    <t>RDO-20 SET !E14</t>
  </si>
  <si>
    <t>RDO-20 SET !G14</t>
  </si>
  <si>
    <t>RDO-20 SET !H14</t>
  </si>
  <si>
    <t>RDO-20 SET !I14</t>
  </si>
  <si>
    <t>RDO-20 SET !C15</t>
  </si>
  <si>
    <t>RDO-20 SET !D15</t>
  </si>
  <si>
    <t>RDO-20 SET !E15</t>
  </si>
  <si>
    <t>RDO-20 SET !G15</t>
  </si>
  <si>
    <t>RDO-20 SET !H15</t>
  </si>
  <si>
    <t>RDO-20 SET !I15</t>
  </si>
  <si>
    <t>RDO-20 SET !C16</t>
  </si>
  <si>
    <t>RDO-20 SET !D16</t>
  </si>
  <si>
    <t>RDO-20 SET !E16</t>
  </si>
  <si>
    <t>RDO-20 SET !G16</t>
  </si>
  <si>
    <t>RDO-20 SET !H16</t>
  </si>
  <si>
    <t>RDO-20 SET !I16</t>
  </si>
  <si>
    <t>RDO-20 SET !C17</t>
  </si>
  <si>
    <t>RDO-20 SET !D17</t>
  </si>
  <si>
    <t>RDO-20 SET !E17</t>
  </si>
  <si>
    <t>RDO-20 SET !G17</t>
  </si>
  <si>
    <t>RDO-20 SET !H17</t>
  </si>
  <si>
    <t>RDO-20 SET !I17</t>
  </si>
  <si>
    <t>RDO-20 SET !C18</t>
  </si>
  <si>
    <t>RDO-20 SET !D18</t>
  </si>
  <si>
    <t>RDO-20 SET !E18</t>
  </si>
  <si>
    <t>RDO-20 SET !G18</t>
  </si>
  <si>
    <t>RDO-20 SET !H18</t>
  </si>
  <si>
    <t>RDO-20 SET !I18</t>
  </si>
  <si>
    <t>RDO-20 SET !C19</t>
  </si>
  <si>
    <t>RDO-20 SET !D19</t>
  </si>
  <si>
    <t>RDO-20 SET !E19</t>
  </si>
  <si>
    <t>RDO-20 SET !G19</t>
  </si>
  <si>
    <t>RDO-20 SET !H19</t>
  </si>
  <si>
    <t>RDO-20 SET !I19</t>
  </si>
  <si>
    <t>RDO-20 SET !C20</t>
  </si>
  <si>
    <t>RDO-20 SET !D20</t>
  </si>
  <si>
    <t>RDO-20 SET !E20</t>
  </si>
  <si>
    <t>RDO-20 SET !G20</t>
  </si>
  <si>
    <t>RDO-20 SET !H20</t>
  </si>
  <si>
    <t>RDO-20 SET !I20</t>
  </si>
  <si>
    <t>RDO-20 SET !C21</t>
  </si>
  <si>
    <t>RDO-20 SET !D21</t>
  </si>
  <si>
    <t>RDO-20 SET !E21</t>
  </si>
  <si>
    <t>RDO-20 SET !G21</t>
  </si>
  <si>
    <t>RDO-20 SET !H21</t>
  </si>
  <si>
    <t>RDO-20 SET !I21</t>
  </si>
  <si>
    <t>RDO-20 SET !C22</t>
  </si>
  <si>
    <t>RDO-20 SET !D22</t>
  </si>
  <si>
    <t>RDO-20 SET !E22</t>
  </si>
  <si>
    <t>RDO-20 SET !G22</t>
  </si>
  <si>
    <t>RDO-20 SET !H22</t>
  </si>
  <si>
    <t>RDO-20 SET !I22</t>
  </si>
  <si>
    <t>RDO-20 SET !C23</t>
  </si>
  <si>
    <t>RDO-20 SET !D23</t>
  </si>
  <si>
    <t>RDO-20 SET !E23</t>
  </si>
  <si>
    <t>RDO-20 SET !G23</t>
  </si>
  <si>
    <t>RDO-20 SET !H23</t>
  </si>
  <si>
    <t>RDO-20 SET !I23</t>
  </si>
  <si>
    <t>RDO-20 SET !G24</t>
  </si>
  <si>
    <t>RDO-20 SET !H24</t>
  </si>
  <si>
    <t>RDO-20 SET !I24</t>
  </si>
  <si>
    <t>RDO-20 SET !C25</t>
  </si>
  <si>
    <t>RDO-20 SET !D25</t>
  </si>
  <si>
    <t>RDO-20 SET !E25</t>
  </si>
  <si>
    <t>RDO-20 SET !G25</t>
  </si>
  <si>
    <t>RDO-20 SET !H25</t>
  </si>
  <si>
    <t>RDO-20 SET !I25</t>
  </si>
  <si>
    <t>RDO-20 SET !G26</t>
  </si>
  <si>
    <t>RDO-20 SET !H26</t>
  </si>
  <si>
    <t>RDO-20 SET !I26</t>
  </si>
  <si>
    <t>RDO-20 SET !C28</t>
  </si>
  <si>
    <t>RDO-20 SET !D28</t>
  </si>
  <si>
    <t>RDO-20 SET !E28</t>
  </si>
  <si>
    <t>RDO-20 SET !C29</t>
  </si>
  <si>
    <t>RDO-20 SET !D29</t>
  </si>
  <si>
    <t>RDO-20 SET !E29</t>
  </si>
  <si>
    <t>RDO-20 SET !G29</t>
  </si>
  <si>
    <t>RDO-20 SET !H29</t>
  </si>
  <si>
    <t>RDO-20 SET !I29</t>
  </si>
  <si>
    <t>RDO-20 SET !C30</t>
  </si>
  <si>
    <t>RDO-20 SET !D30</t>
  </si>
  <si>
    <t>RDO-20 SET !E30</t>
  </si>
  <si>
    <t>RDO-20 SET !G30</t>
  </si>
  <si>
    <t>RDO-20 SET !H30</t>
  </si>
  <si>
    <t>RDO-20 SET !I30</t>
  </si>
  <si>
    <t>RDO-20 SET !C31</t>
  </si>
  <si>
    <t>RDO-20 SET !D31</t>
  </si>
  <si>
    <t>RDO-20 SET !E31</t>
  </si>
  <si>
    <t>RDO-20 SET !G31</t>
  </si>
  <si>
    <t>RDO-20 SET !H31</t>
  </si>
  <si>
    <t>RDO-20 SET !I31</t>
  </si>
  <si>
    <t>RDO-20 SET !G32</t>
  </si>
  <si>
    <t>RDO-20 SET !H32</t>
  </si>
  <si>
    <t>RDO-20 SET !I32</t>
  </si>
  <si>
    <t>RDO-20 SET !G33</t>
  </si>
  <si>
    <t>RDO-20 SET !H33</t>
  </si>
  <si>
    <t>RDO-20 SET !I33</t>
  </si>
  <si>
    <t>RDO-20 SET !G35</t>
  </si>
  <si>
    <t>RDO-20 SET !H35</t>
  </si>
  <si>
    <t>RDO-20 SET !I35</t>
  </si>
  <si>
    <t>RDO-20 SET !G36</t>
  </si>
  <si>
    <t>RDO-20 SET !H36</t>
  </si>
  <si>
    <t>RDO-20 SET !I36</t>
  </si>
  <si>
    <t>RDO-20 SET !C37</t>
  </si>
  <si>
    <t>RDO-20 SET !D37</t>
  </si>
  <si>
    <t>RDO-20 SET !E37</t>
  </si>
  <si>
    <t>RDO-20 SET !G37</t>
  </si>
  <si>
    <t>RDO-20 SET !H37</t>
  </si>
  <si>
    <t>RDO-20 SET !I37</t>
  </si>
  <si>
    <t>RDO-20 SET !G38</t>
  </si>
  <si>
    <t>RDO-20 SET !H38</t>
  </si>
  <si>
    <t>RDO-20 SET !I38</t>
  </si>
  <si>
    <t>RDO-20 SET !G40</t>
  </si>
  <si>
    <t>RDO-20 SET !H40</t>
  </si>
  <si>
    <t>RDO-20 SET !I40</t>
  </si>
  <si>
    <t>RDO-20 SET !C41</t>
  </si>
  <si>
    <t>RDO-20 SET !D41</t>
  </si>
  <si>
    <t>RDO-20 SET !E41</t>
  </si>
  <si>
    <t>RDO-20 SET !G41</t>
  </si>
  <si>
    <t>RDO-20 SET !H41</t>
  </si>
  <si>
    <t>RDO-20 SET !I41</t>
  </si>
  <si>
    <t>RDO-20 SET !C42</t>
  </si>
  <si>
    <t>RDO-20 SET !D42</t>
  </si>
  <si>
    <t>RDO-20 SET !E42</t>
  </si>
  <si>
    <t>RDO-20 SET !G42</t>
  </si>
  <si>
    <t>RDO-20 SET !H42</t>
  </si>
  <si>
    <t>RDO-20 SET !I42</t>
  </si>
  <si>
    <t>RDO-20 SET !C43</t>
  </si>
  <si>
    <t>RDO-20 SET !D43</t>
  </si>
  <si>
    <t>RDO-20 SET !E43</t>
  </si>
  <si>
    <t>RDO-20 SET !G43</t>
  </si>
  <si>
    <t>RDO-20 SET !H43</t>
  </si>
  <si>
    <t>RDO-20 SET !I43</t>
  </si>
  <si>
    <t>RDO-20 SET !C44</t>
  </si>
  <si>
    <t>RDO-20 SET !D44</t>
  </si>
  <si>
    <t>RDO-20 SET !E44</t>
  </si>
  <si>
    <t>RDO-20 SET !G44</t>
  </si>
  <si>
    <t>RDO-20 SET !H44</t>
  </si>
  <si>
    <t>RDO-20 SET !I44</t>
  </si>
  <si>
    <t>RDO-20 SET !C45</t>
  </si>
  <si>
    <t>RDO-20 SET !D45</t>
  </si>
  <si>
    <t>RDO-20 SET !E45</t>
  </si>
  <si>
    <t>RDO-20 SET !C46</t>
  </si>
  <si>
    <t>RDO-20 SET !D46</t>
  </si>
  <si>
    <t>RDO-20 SET !E46</t>
  </si>
  <si>
    <t>RDO-20 SET !G46</t>
  </si>
  <si>
    <t>RDO-20 SET !H46</t>
  </si>
  <si>
    <t>RDO-20 SET !I46</t>
  </si>
  <si>
    <t>RDO-20 SET !C47</t>
  </si>
  <si>
    <t>RDO-20 SET !D47</t>
  </si>
  <si>
    <t>RDO-20 SET !E47</t>
  </si>
  <si>
    <t>RDO-20 SET !G47</t>
  </si>
  <si>
    <t>RDO-20 SET !H47</t>
  </si>
  <si>
    <t>RDO-20 SET !I47</t>
  </si>
  <si>
    <t>RDO-20 SET !C48</t>
  </si>
  <si>
    <t>RDO-20 SET !D48</t>
  </si>
  <si>
    <t>RDO-20 SET !E48</t>
  </si>
  <si>
    <t>RDO-20 SET !G48</t>
  </si>
  <si>
    <t>RDO-20 SET !H48</t>
  </si>
  <si>
    <t>RDO-20 SET !I48</t>
  </si>
  <si>
    <t>RDO-20 SET !C49</t>
  </si>
  <si>
    <t>RDO-20 SET !D49</t>
  </si>
  <si>
    <t>RDO-20 SET !E49</t>
  </si>
  <si>
    <t>RDO-20 SET !G49</t>
  </si>
  <si>
    <t>RDO-20 SET !H49</t>
  </si>
  <si>
    <t>RDO-20 SET !I49</t>
  </si>
  <si>
    <t>RDO-20 SET !C50</t>
  </si>
  <si>
    <t>RDO-20 SET !D50</t>
  </si>
  <si>
    <t>RDO-20 SET !E50</t>
  </si>
  <si>
    <t>RDO-20 SET !G50</t>
  </si>
  <si>
    <t>RDO-20 SET !H50</t>
  </si>
  <si>
    <t>RDO-20 SET !I50</t>
  </si>
  <si>
    <t>RDO-20 SET !C51</t>
  </si>
  <si>
    <t>RDO-20 SET !D51</t>
  </si>
  <si>
    <t>RDO-20 SET !E51</t>
  </si>
  <si>
    <t>RDO-20 SET !G51</t>
  </si>
  <si>
    <t>RDO-20 SET !H51</t>
  </si>
  <si>
    <t>RDO-20 SET !I51</t>
  </si>
  <si>
    <t>RDO-20 SET !C52</t>
  </si>
  <si>
    <t>RDO-20 SET !D52</t>
  </si>
  <si>
    <t>RDO-20 SET !E52</t>
  </si>
  <si>
    <t>RDO-20 SET !G52</t>
  </si>
  <si>
    <t>RDO-20 SET !H52</t>
  </si>
  <si>
    <t>RDO-20 SET !I52</t>
  </si>
  <si>
    <t>RDO-21 SET !C8</t>
  </si>
  <si>
    <t>RDO-21 SET !D8</t>
  </si>
  <si>
    <t>RDO-21 SET !E8</t>
  </si>
  <si>
    <t>RDO-21 SET !G8</t>
  </si>
  <si>
    <t>RDO-21 SET !H8</t>
  </si>
  <si>
    <t>RDO-21 SET !I8</t>
  </si>
  <si>
    <t>RDO-21 SET !C9</t>
  </si>
  <si>
    <t>RDO-21 SET !D9</t>
  </si>
  <si>
    <t>RDO-21 SET !E9</t>
  </si>
  <si>
    <t>RDO-21 SET !G9</t>
  </si>
  <si>
    <t>RDO-21 SET !H9</t>
  </si>
  <si>
    <t>RDO-21 SET !I9</t>
  </si>
  <si>
    <t>RDO-21 SET !C10</t>
  </si>
  <si>
    <t>RDO-21 SET !D10</t>
  </si>
  <si>
    <t>RDO-21 SET !E10</t>
  </si>
  <si>
    <t>RDO-21 SET !G10</t>
  </si>
  <si>
    <t>RDO-21 SET !H10</t>
  </si>
  <si>
    <t>RDO-21 SET !I10</t>
  </si>
  <si>
    <t>RDO-21 SET !C11</t>
  </si>
  <si>
    <t>RDO-21 SET !D11</t>
  </si>
  <si>
    <t>RDO-21 SET !E11</t>
  </si>
  <si>
    <t>RDO-21 SET !G11</t>
  </si>
  <si>
    <t>RDO-21 SET !H11</t>
  </si>
  <si>
    <t>RDO-21 SET !I11</t>
  </si>
  <si>
    <t>RDO-21 SET !G12</t>
  </si>
  <si>
    <t>RDO-21 SET !H12</t>
  </si>
  <si>
    <t>RDO-21 SET !I12</t>
  </si>
  <si>
    <t>RDO-21 SET !C13</t>
  </si>
  <si>
    <t>RDO-21 SET !D13</t>
  </si>
  <si>
    <t>RDO-21 SET !E13</t>
  </si>
  <si>
    <t>RDO-21 SET !G13</t>
  </si>
  <si>
    <t>RDO-21 SET !H13</t>
  </si>
  <si>
    <t>RDO-21 SET !I13</t>
  </si>
  <si>
    <t>RDO-21 SET !C14</t>
  </si>
  <si>
    <t>RDO-21 SET !D14</t>
  </si>
  <si>
    <t>RDO-21 SET !E14</t>
  </si>
  <si>
    <t>RDO-21 SET !G14</t>
  </si>
  <si>
    <t>RDO-21 SET !H14</t>
  </si>
  <si>
    <t>RDO-21 SET !I14</t>
  </si>
  <si>
    <t>RDO-21 SET !C15</t>
  </si>
  <si>
    <t>RDO-21 SET !D15</t>
  </si>
  <si>
    <t>RDO-21 SET !E15</t>
  </si>
  <si>
    <t>RDO-21 SET !G15</t>
  </si>
  <si>
    <t>RDO-21 SET !H15</t>
  </si>
  <si>
    <t>RDO-21 SET !I15</t>
  </si>
  <si>
    <t>RDO-21 SET !C16</t>
  </si>
  <si>
    <t>RDO-21 SET !D16</t>
  </si>
  <si>
    <t>RDO-21 SET !E16</t>
  </si>
  <si>
    <t>RDO-21 SET !G16</t>
  </si>
  <si>
    <t>RDO-21 SET !H16</t>
  </si>
  <si>
    <t>RDO-21 SET !I16</t>
  </si>
  <si>
    <t>RDO-21 SET !C17</t>
  </si>
  <si>
    <t>RDO-21 SET !D17</t>
  </si>
  <si>
    <t>RDO-21 SET !E17</t>
  </si>
  <si>
    <t>RDO-21 SET !G17</t>
  </si>
  <si>
    <t>RDO-21 SET !H17</t>
  </si>
  <si>
    <t>RDO-21 SET !I17</t>
  </si>
  <si>
    <t>RDO-21 SET !C18</t>
  </si>
  <si>
    <t>RDO-21 SET !D18</t>
  </si>
  <si>
    <t>RDO-21 SET !E18</t>
  </si>
  <si>
    <t>RDO-21 SET !G18</t>
  </si>
  <si>
    <t>RDO-21 SET !H18</t>
  </si>
  <si>
    <t>RDO-21 SET !I18</t>
  </si>
  <si>
    <t>RDO-21 SET !C19</t>
  </si>
  <si>
    <t>RDO-21 SET !D19</t>
  </si>
  <si>
    <t>RDO-21 SET !E19</t>
  </si>
  <si>
    <t>RDO-21 SET !G19</t>
  </si>
  <si>
    <t>RDO-21 SET !H19</t>
  </si>
  <si>
    <t>RDO-21 SET !I19</t>
  </si>
  <si>
    <t>RDO-21 SET !C20</t>
  </si>
  <si>
    <t>RDO-21 SET !D20</t>
  </si>
  <si>
    <t>RDO-21 SET !E20</t>
  </si>
  <si>
    <t>RDO-21 SET !G20</t>
  </si>
  <si>
    <t>RDO-21 SET !H20</t>
  </si>
  <si>
    <t>RDO-21 SET !I20</t>
  </si>
  <si>
    <t>RDO-21 SET !C21</t>
  </si>
  <si>
    <t>RDO-21 SET !D21</t>
  </si>
  <si>
    <t>RDO-21 SET !E21</t>
  </si>
  <si>
    <t>RDO-21 SET !G21</t>
  </si>
  <si>
    <t>RDO-21 SET !H21</t>
  </si>
  <si>
    <t>RDO-21 SET !I21</t>
  </si>
  <si>
    <t>RDO-21 SET !C22</t>
  </si>
  <si>
    <t>RDO-21 SET !D22</t>
  </si>
  <si>
    <t>RDO-21 SET !E22</t>
  </si>
  <si>
    <t>RDO-21 SET !G22</t>
  </si>
  <si>
    <t>RDO-21 SET !H22</t>
  </si>
  <si>
    <t>RDO-21 SET !I22</t>
  </si>
  <si>
    <t>RDO-21 SET !C23</t>
  </si>
  <si>
    <t>RDO-21 SET !D23</t>
  </si>
  <si>
    <t>RDO-21 SET !E23</t>
  </si>
  <si>
    <t>RDO-21 SET !G23</t>
  </si>
  <si>
    <t>RDO-21 SET !H23</t>
  </si>
  <si>
    <t>RDO-21 SET !I23</t>
  </si>
  <si>
    <t>RDO-21 SET !G24</t>
  </si>
  <si>
    <t>RDO-21 SET !H24</t>
  </si>
  <si>
    <t>RDO-21 SET !I24</t>
  </si>
  <si>
    <t>RDO-21 SET !C25</t>
  </si>
  <si>
    <t>RDO-21 SET !D25</t>
  </si>
  <si>
    <t>RDO-21 SET !E25</t>
  </si>
  <si>
    <t>RDO-21 SET !G25</t>
  </si>
  <si>
    <t>RDO-21 SET !H25</t>
  </si>
  <si>
    <t>RDO-21 SET !I25</t>
  </si>
  <si>
    <t>RDO-21 SET !G26</t>
  </si>
  <si>
    <t>RDO-21 SET !H26</t>
  </si>
  <si>
    <t>RDO-21 SET !I26</t>
  </si>
  <si>
    <t>RDO-21 SET !C28</t>
  </si>
  <si>
    <t>RDO-21 SET !D28</t>
  </si>
  <si>
    <t>RDO-21 SET !E28</t>
  </si>
  <si>
    <t>RDO-21 SET !C29</t>
  </si>
  <si>
    <t>RDO-21 SET !D29</t>
  </si>
  <si>
    <t>RDO-21 SET !E29</t>
  </si>
  <si>
    <t>RDO-21 SET !G29</t>
  </si>
  <si>
    <t>RDO-21 SET !H29</t>
  </si>
  <si>
    <t>RDO-21 SET !I29</t>
  </si>
  <si>
    <t>RDO-21 SET !C30</t>
  </si>
  <si>
    <t>RDO-21 SET !D30</t>
  </si>
  <si>
    <t>RDO-21 SET !E30</t>
  </si>
  <si>
    <t>RDO-21 SET !G30</t>
  </si>
  <si>
    <t>RDO-21 SET !H30</t>
  </si>
  <si>
    <t>RDO-21 SET !I30</t>
  </si>
  <si>
    <t>RDO-21 SET !C31</t>
  </si>
  <si>
    <t>RDO-21 SET !D31</t>
  </si>
  <si>
    <t>RDO-21 SET !E31</t>
  </si>
  <si>
    <t>RDO-21 SET !G31</t>
  </si>
  <si>
    <t>RDO-21 SET !H31</t>
  </si>
  <si>
    <t>RDO-21 SET !I31</t>
  </si>
  <si>
    <t>RDO-21 SET !G32</t>
  </si>
  <si>
    <t>RDO-21 SET !H32</t>
  </si>
  <si>
    <t>RDO-21 SET !I32</t>
  </si>
  <si>
    <t>RDO-21 SET !G33</t>
  </si>
  <si>
    <t>RDO-21 SET !H33</t>
  </si>
  <si>
    <t>RDO-21 SET !I33</t>
  </si>
  <si>
    <t>RDO-21 SET !G35</t>
  </si>
  <si>
    <t>RDO-21 SET !H35</t>
  </si>
  <si>
    <t>RDO-21 SET !I35</t>
  </si>
  <si>
    <t>RDO-21 SET !G36</t>
  </si>
  <si>
    <t>RDO-21 SET !H36</t>
  </si>
  <si>
    <t>RDO-21 SET !I36</t>
  </si>
  <si>
    <t>RDO-21 SET !C37</t>
  </si>
  <si>
    <t>RDO-21 SET !D37</t>
  </si>
  <si>
    <t>RDO-21 SET !E37</t>
  </si>
  <si>
    <t>RDO-21 SET !G37</t>
  </si>
  <si>
    <t>RDO-21 SET !H37</t>
  </si>
  <si>
    <t>RDO-21 SET !I37</t>
  </si>
  <si>
    <t>RDO-21 SET !G38</t>
  </si>
  <si>
    <t>RDO-21 SET !H38</t>
  </si>
  <si>
    <t>RDO-21 SET !I38</t>
  </si>
  <si>
    <t>RDO-21 SET !G40</t>
  </si>
  <si>
    <t>RDO-21 SET !H40</t>
  </si>
  <si>
    <t>RDO-21 SET !I40</t>
  </si>
  <si>
    <t>RDO-21 SET !C41</t>
  </si>
  <si>
    <t>RDO-21 SET !D41</t>
  </si>
  <si>
    <t>RDO-21 SET !E41</t>
  </si>
  <si>
    <t>RDO-21 SET !G41</t>
  </si>
  <si>
    <t>RDO-21 SET !H41</t>
  </si>
  <si>
    <t>RDO-21 SET !I41</t>
  </si>
  <si>
    <t>RDO-21 SET !C42</t>
  </si>
  <si>
    <t>RDO-21 SET !D42</t>
  </si>
  <si>
    <t>RDO-21 SET !E42</t>
  </si>
  <si>
    <t>RDO-21 SET !G42</t>
  </si>
  <si>
    <t>RDO-21 SET !H42</t>
  </si>
  <si>
    <t>RDO-21 SET !I42</t>
  </si>
  <si>
    <t>RDO-21 SET !C43</t>
  </si>
  <si>
    <t>RDO-21 SET !D43</t>
  </si>
  <si>
    <t>RDO-21 SET !E43</t>
  </si>
  <si>
    <t>RDO-21 SET !G43</t>
  </si>
  <si>
    <t>RDO-21 SET !H43</t>
  </si>
  <si>
    <t>RDO-21 SET !I43</t>
  </si>
  <si>
    <t>RDO-21 SET !C44</t>
  </si>
  <si>
    <t>RDO-21 SET !D44</t>
  </si>
  <si>
    <t>RDO-21 SET !E44</t>
  </si>
  <si>
    <t>RDO-21 SET !G44</t>
  </si>
  <si>
    <t>RDO-21 SET !H44</t>
  </si>
  <si>
    <t>RDO-21 SET !I44</t>
  </si>
  <si>
    <t>RDO-21 SET !C45</t>
  </si>
  <si>
    <t>RDO-21 SET !D45</t>
  </si>
  <si>
    <t>RDO-21 SET !E45</t>
  </si>
  <si>
    <t>RDO-21 SET !C46</t>
  </si>
  <si>
    <t>RDO-21 SET !D46</t>
  </si>
  <si>
    <t>RDO-21 SET !E46</t>
  </si>
  <si>
    <t>RDO-21 SET !G46</t>
  </si>
  <si>
    <t>RDO-21 SET !H46</t>
  </si>
  <si>
    <t>RDO-21 SET !I46</t>
  </si>
  <si>
    <t>RDO-21 SET !C47</t>
  </si>
  <si>
    <t>RDO-21 SET !D47</t>
  </si>
  <si>
    <t>RDO-21 SET !E47</t>
  </si>
  <si>
    <t>RDO-21 SET !G47</t>
  </si>
  <si>
    <t>RDO-21 SET !H47</t>
  </si>
  <si>
    <t>RDO-21 SET !I47</t>
  </si>
  <si>
    <t>RDO-21 SET !C48</t>
  </si>
  <si>
    <t>RDO-21 SET !D48</t>
  </si>
  <si>
    <t>RDO-21 SET !E48</t>
  </si>
  <si>
    <t>RDO-21 SET !G48</t>
  </si>
  <si>
    <t>RDO-21 SET !H48</t>
  </si>
  <si>
    <t>RDO-21 SET !I48</t>
  </si>
  <si>
    <t>RDO-21 SET !C49</t>
  </si>
  <si>
    <t>RDO-21 SET !D49</t>
  </si>
  <si>
    <t>RDO-21 SET !E49</t>
  </si>
  <si>
    <t>RDO-21 SET !G49</t>
  </si>
  <si>
    <t>RDO-21 SET !H49</t>
  </si>
  <si>
    <t>RDO-21 SET !I49</t>
  </si>
  <si>
    <t>RDO-21 SET !C50</t>
  </si>
  <si>
    <t>RDO-21 SET !D50</t>
  </si>
  <si>
    <t>RDO-21 SET !E50</t>
  </si>
  <si>
    <t>RDO-21 SET !G50</t>
  </si>
  <si>
    <t>RDO-21 SET !H50</t>
  </si>
  <si>
    <t>RDO-21 SET !I50</t>
  </si>
  <si>
    <t>RDO-21 SET !C51</t>
  </si>
  <si>
    <t>RDO-21 SET !D51</t>
  </si>
  <si>
    <t>RDO-21 SET !E51</t>
  </si>
  <si>
    <t>RDO-21 SET !G51</t>
  </si>
  <si>
    <t>RDO-21 SET !H51</t>
  </si>
  <si>
    <t>RDO-21 SET !I51</t>
  </si>
  <si>
    <t>RDO-21 SET !C52</t>
  </si>
  <si>
    <t>RDO-21 SET !D52</t>
  </si>
  <si>
    <t>RDO-21 SET !E52</t>
  </si>
  <si>
    <t>RDO-21 SET !G52</t>
  </si>
  <si>
    <t>RDO-21 SET !H52</t>
  </si>
  <si>
    <t>RDO-21 SET !I52</t>
  </si>
  <si>
    <t>RDO-22 SET !C8</t>
  </si>
  <si>
    <t>RDO-22 SET !D8</t>
  </si>
  <si>
    <t>RDO-22 SET !E8</t>
  </si>
  <si>
    <t>RDO-22 SET !G8</t>
  </si>
  <si>
    <t>RDO-22 SET !H8</t>
  </si>
  <si>
    <t>RDO-22 SET !I8</t>
  </si>
  <si>
    <t>RDO-22 SET !C9</t>
  </si>
  <si>
    <t>RDO-22 SET !D9</t>
  </si>
  <si>
    <t>RDO-22 SET !E9</t>
  </si>
  <si>
    <t>RDO-22 SET !G9</t>
  </si>
  <si>
    <t>RDO-22 SET !H9</t>
  </si>
  <si>
    <t>RDO-22 SET !I9</t>
  </si>
  <si>
    <t>RDO-22 SET !C10</t>
  </si>
  <si>
    <t>RDO-22 SET !D10</t>
  </si>
  <si>
    <t>RDO-22 SET !E10</t>
  </si>
  <si>
    <t>RDO-22 SET !G10</t>
  </si>
  <si>
    <t>RDO-22 SET !H10</t>
  </si>
  <si>
    <t>RDO-22 SET !I10</t>
  </si>
  <si>
    <t>RDO-22 SET !C11</t>
  </si>
  <si>
    <t>RDO-22 SET !D11</t>
  </si>
  <si>
    <t>RDO-22 SET !E11</t>
  </si>
  <si>
    <t>RDO-22 SET !G11</t>
  </si>
  <si>
    <t>RDO-22 SET !H11</t>
  </si>
  <si>
    <t>RDO-22 SET !I11</t>
  </si>
  <si>
    <t>RDO-22 SET !G12</t>
  </si>
  <si>
    <t>RDO-22 SET !H12</t>
  </si>
  <si>
    <t>RDO-22 SET !I12</t>
  </si>
  <si>
    <t>RDO-22 SET !C13</t>
  </si>
  <si>
    <t>RDO-22 SET !D13</t>
  </si>
  <si>
    <t>RDO-22 SET !E13</t>
  </si>
  <si>
    <t>RDO-22 SET !G13</t>
  </si>
  <si>
    <t>RDO-22 SET !H13</t>
  </si>
  <si>
    <t>RDO-22 SET !I13</t>
  </si>
  <si>
    <t>RDO-22 SET !C14</t>
  </si>
  <si>
    <t>RDO-22 SET !D14</t>
  </si>
  <si>
    <t>RDO-22 SET !E14</t>
  </si>
  <si>
    <t>RDO-22 SET !G14</t>
  </si>
  <si>
    <t>RDO-22 SET !H14</t>
  </si>
  <si>
    <t>RDO-22 SET !I14</t>
  </si>
  <si>
    <t>RDO-22 SET !C15</t>
  </si>
  <si>
    <t>RDO-22 SET !D15</t>
  </si>
  <si>
    <t>RDO-22 SET !E15</t>
  </si>
  <si>
    <t>RDO-22 SET !G15</t>
  </si>
  <si>
    <t>RDO-22 SET !H15</t>
  </si>
  <si>
    <t>RDO-22 SET !I15</t>
  </si>
  <si>
    <t>RDO-22 SET !C16</t>
  </si>
  <si>
    <t>RDO-22 SET !D16</t>
  </si>
  <si>
    <t>RDO-22 SET !E16</t>
  </si>
  <si>
    <t>RDO-22 SET !G16</t>
  </si>
  <si>
    <t>RDO-22 SET !H16</t>
  </si>
  <si>
    <t>RDO-22 SET !I16</t>
  </si>
  <si>
    <t>RDO-22 SET !C17</t>
  </si>
  <si>
    <t>RDO-22 SET !D17</t>
  </si>
  <si>
    <t>RDO-22 SET !E17</t>
  </si>
  <si>
    <t>RDO-22 SET !G17</t>
  </si>
  <si>
    <t>RDO-22 SET !H17</t>
  </si>
  <si>
    <t>RDO-22 SET !I17</t>
  </si>
  <si>
    <t>RDO-22 SET !C18</t>
  </si>
  <si>
    <t>RDO-22 SET !D18</t>
  </si>
  <si>
    <t>RDO-22 SET !E18</t>
  </si>
  <si>
    <t>RDO-22 SET !G18</t>
  </si>
  <si>
    <t>RDO-22 SET !H18</t>
  </si>
  <si>
    <t>RDO-22 SET !I18</t>
  </si>
  <si>
    <t>RDO-22 SET !C19</t>
  </si>
  <si>
    <t>RDO-22 SET !D19</t>
  </si>
  <si>
    <t>RDO-22 SET !E19</t>
  </si>
  <si>
    <t>RDO-22 SET !G19</t>
  </si>
  <si>
    <t>RDO-22 SET !H19</t>
  </si>
  <si>
    <t>RDO-22 SET !I19</t>
  </si>
  <si>
    <t>RDO-22 SET !C20</t>
  </si>
  <si>
    <t>RDO-22 SET !D20</t>
  </si>
  <si>
    <t>RDO-22 SET !E20</t>
  </si>
  <si>
    <t>RDO-22 SET !G20</t>
  </si>
  <si>
    <t>RDO-22 SET !H20</t>
  </si>
  <si>
    <t>RDO-22 SET !I20</t>
  </si>
  <si>
    <t>RDO-22 SET !C21</t>
  </si>
  <si>
    <t>RDO-22 SET !D21</t>
  </si>
  <si>
    <t>RDO-22 SET !E21</t>
  </si>
  <si>
    <t>RDO-22 SET !G21</t>
  </si>
  <si>
    <t>RDO-22 SET !H21</t>
  </si>
  <si>
    <t>RDO-22 SET !I21</t>
  </si>
  <si>
    <t>RDO-22 SET !C22</t>
  </si>
  <si>
    <t>RDO-22 SET !D22</t>
  </si>
  <si>
    <t>RDO-22 SET !E22</t>
  </si>
  <si>
    <t>RDO-22 SET !G22</t>
  </si>
  <si>
    <t>RDO-22 SET !H22</t>
  </si>
  <si>
    <t>RDO-22 SET !I22</t>
  </si>
  <si>
    <t>RDO-22 SET !C23</t>
  </si>
  <si>
    <t>RDO-22 SET !D23</t>
  </si>
  <si>
    <t>RDO-22 SET !E23</t>
  </si>
  <si>
    <t>RDO-22 SET !G23</t>
  </si>
  <si>
    <t>RDO-22 SET !H23</t>
  </si>
  <si>
    <t>RDO-22 SET !I23</t>
  </si>
  <si>
    <t>RDO-22 SET !G24</t>
  </si>
  <si>
    <t>RDO-22 SET !H24</t>
  </si>
  <si>
    <t>RDO-22 SET !I24</t>
  </si>
  <si>
    <t>RDO-22 SET !C25</t>
  </si>
  <si>
    <t>RDO-22 SET !D25</t>
  </si>
  <si>
    <t>RDO-22 SET !E25</t>
  </si>
  <si>
    <t>RDO-22 SET !G25</t>
  </si>
  <si>
    <t>RDO-22 SET !H25</t>
  </si>
  <si>
    <t>RDO-22 SET !I25</t>
  </si>
  <si>
    <t>RDO-22 SET !G26</t>
  </si>
  <si>
    <t>RDO-22 SET !H26</t>
  </si>
  <si>
    <t>RDO-22 SET !I26</t>
  </si>
  <si>
    <t>RDO-22 SET !C28</t>
  </si>
  <si>
    <t>RDO-22 SET !D28</t>
  </si>
  <si>
    <t>RDO-22 SET !E28</t>
  </si>
  <si>
    <t>RDO-22 SET !C29</t>
  </si>
  <si>
    <t>RDO-22 SET !D29</t>
  </si>
  <si>
    <t>RDO-22 SET !E29</t>
  </si>
  <si>
    <t>RDO-22 SET !G29</t>
  </si>
  <si>
    <t>RDO-22 SET !H29</t>
  </si>
  <si>
    <t>RDO-22 SET !I29</t>
  </si>
  <si>
    <t>RDO-22 SET !C30</t>
  </si>
  <si>
    <t>RDO-22 SET !D30</t>
  </si>
  <si>
    <t>RDO-22 SET !E30</t>
  </si>
  <si>
    <t>RDO-22 SET !G30</t>
  </si>
  <si>
    <t>RDO-22 SET !H30</t>
  </si>
  <si>
    <t>RDO-22 SET !I30</t>
  </si>
  <si>
    <t>RDO-22 SET !C31</t>
  </si>
  <si>
    <t>RDO-22 SET !D31</t>
  </si>
  <si>
    <t>RDO-22 SET !E31</t>
  </si>
  <si>
    <t>RDO-22 SET !G31</t>
  </si>
  <si>
    <t>RDO-22 SET !H31</t>
  </si>
  <si>
    <t>RDO-22 SET !I31</t>
  </si>
  <si>
    <t>RDO-22 SET !G32</t>
  </si>
  <si>
    <t>RDO-22 SET !H32</t>
  </si>
  <si>
    <t>RDO-22 SET !I32</t>
  </si>
  <si>
    <t>RDO-22 SET !G33</t>
  </si>
  <si>
    <t>RDO-22 SET !H33</t>
  </si>
  <si>
    <t>RDO-22 SET !I33</t>
  </si>
  <si>
    <t>RDO-22 SET !G35</t>
  </si>
  <si>
    <t>RDO-22 SET !H35</t>
  </si>
  <si>
    <t>RDO-22 SET !I35</t>
  </si>
  <si>
    <t>RDO-22 SET !G36</t>
  </si>
  <si>
    <t>RDO-22 SET !H36</t>
  </si>
  <si>
    <t>RDO-22 SET !I36</t>
  </si>
  <si>
    <t>RDO-22 SET !C37</t>
  </si>
  <si>
    <t>RDO-22 SET !D37</t>
  </si>
  <si>
    <t>RDO-22 SET !E37</t>
  </si>
  <si>
    <t>RDO-22 SET !G37</t>
  </si>
  <si>
    <t>RDO-22 SET !H37</t>
  </si>
  <si>
    <t>RDO-22 SET !I37</t>
  </si>
  <si>
    <t>RDO-22 SET !G38</t>
  </si>
  <si>
    <t>RDO-22 SET !H38</t>
  </si>
  <si>
    <t>RDO-22 SET !I38</t>
  </si>
  <si>
    <t>RDO-22 SET !G40</t>
  </si>
  <si>
    <t>RDO-22 SET !H40</t>
  </si>
  <si>
    <t>RDO-22 SET !I40</t>
  </si>
  <si>
    <t>RDO-22 SET !C41</t>
  </si>
  <si>
    <t>RDO-22 SET !D41</t>
  </si>
  <si>
    <t>RDO-22 SET !E41</t>
  </si>
  <si>
    <t>RDO-22 SET !G41</t>
  </si>
  <si>
    <t>RDO-22 SET !H41</t>
  </si>
  <si>
    <t>RDO-22 SET !I41</t>
  </si>
  <si>
    <t>RDO-22 SET !C42</t>
  </si>
  <si>
    <t>RDO-22 SET !D42</t>
  </si>
  <si>
    <t>RDO-22 SET !E42</t>
  </si>
  <si>
    <t>RDO-22 SET !G42</t>
  </si>
  <si>
    <t>RDO-22 SET !H42</t>
  </si>
  <si>
    <t>RDO-22 SET !I42</t>
  </si>
  <si>
    <t>RDO-22 SET !C43</t>
  </si>
  <si>
    <t>RDO-22 SET !D43</t>
  </si>
  <si>
    <t>RDO-22 SET !E43</t>
  </si>
  <si>
    <t>RDO-22 SET !G43</t>
  </si>
  <si>
    <t>RDO-22 SET !H43</t>
  </si>
  <si>
    <t>RDO-22 SET !I43</t>
  </si>
  <si>
    <t>RDO-22 SET !C44</t>
  </si>
  <si>
    <t>RDO-22 SET !D44</t>
  </si>
  <si>
    <t>RDO-22 SET !E44</t>
  </si>
  <si>
    <t>RDO-22 SET !G44</t>
  </si>
  <si>
    <t>RDO-22 SET !H44</t>
  </si>
  <si>
    <t>RDO-22 SET !I44</t>
  </si>
  <si>
    <t>RDO-22 SET !C45</t>
  </si>
  <si>
    <t>RDO-22 SET !D45</t>
  </si>
  <si>
    <t>RDO-22 SET !E45</t>
  </si>
  <si>
    <t>RDO-22 SET !C46</t>
  </si>
  <si>
    <t>RDO-22 SET !D46</t>
  </si>
  <si>
    <t>RDO-22 SET !E46</t>
  </si>
  <si>
    <t>RDO-22 SET !G46</t>
  </si>
  <si>
    <t>RDO-22 SET !H46</t>
  </si>
  <si>
    <t>RDO-22 SET !I46</t>
  </si>
  <si>
    <t>RDO-22 SET !C47</t>
  </si>
  <si>
    <t>RDO-22 SET !D47</t>
  </si>
  <si>
    <t>RDO-22 SET !E47</t>
  </si>
  <si>
    <t>RDO-22 SET !G47</t>
  </si>
  <si>
    <t>RDO-22 SET !H47</t>
  </si>
  <si>
    <t>RDO-22 SET !I47</t>
  </si>
  <si>
    <t>RDO-22 SET !C48</t>
  </si>
  <si>
    <t>RDO-22 SET !D48</t>
  </si>
  <si>
    <t>RDO-22 SET !E48</t>
  </si>
  <si>
    <t>RDO-22 SET !G48</t>
  </si>
  <si>
    <t>RDO-22 SET !H48</t>
  </si>
  <si>
    <t>RDO-22 SET !I48</t>
  </si>
  <si>
    <t>RDO-22 SET !C49</t>
  </si>
  <si>
    <t>RDO-22 SET !D49</t>
  </si>
  <si>
    <t>RDO-22 SET !E49</t>
  </si>
  <si>
    <t>RDO-22 SET !G49</t>
  </si>
  <si>
    <t>RDO-22 SET !H49</t>
  </si>
  <si>
    <t>RDO-22 SET !I49</t>
  </si>
  <si>
    <t>RDO-22 SET !C50</t>
  </si>
  <si>
    <t>RDO-22 SET !D50</t>
  </si>
  <si>
    <t>RDO-22 SET !E50</t>
  </si>
  <si>
    <t>RDO-22 SET !G50</t>
  </si>
  <si>
    <t>RDO-22 SET !H50</t>
  </si>
  <si>
    <t>RDO-22 SET !I50</t>
  </si>
  <si>
    <t>RDO-22 SET !C51</t>
  </si>
  <si>
    <t>RDO-22 SET !D51</t>
  </si>
  <si>
    <t>RDO-22 SET !E51</t>
  </si>
  <si>
    <t>RDO-22 SET !G51</t>
  </si>
  <si>
    <t>RDO-22 SET !H51</t>
  </si>
  <si>
    <t>RDO-22 SET !I51</t>
  </si>
  <si>
    <t>RDO-22 SET !C52</t>
  </si>
  <si>
    <t>RDO-22 SET !D52</t>
  </si>
  <si>
    <t>RDO-22 SET !E52</t>
  </si>
  <si>
    <t>RDO-22 SET !G52</t>
  </si>
  <si>
    <t>RDO-22 SET !H52</t>
  </si>
  <si>
    <t>RDO-22 SET !I52</t>
  </si>
  <si>
    <t>Detalle</t>
  </si>
  <si>
    <t>RDO-01 SET!C54</t>
  </si>
  <si>
    <t>RDO-01 SET!C62</t>
  </si>
  <si>
    <t>RDO-01 SET!C63</t>
  </si>
  <si>
    <t>RDO-01 SET!C64</t>
  </si>
  <si>
    <t>RDO-01 SET!C68</t>
  </si>
  <si>
    <t>RDO-01 SET!C69</t>
  </si>
  <si>
    <t>RDO-01 SET!C70</t>
  </si>
  <si>
    <t>RDO-01 SET!C77</t>
  </si>
  <si>
    <t>RDO-01 SET!C84</t>
  </si>
  <si>
    <t>RDO-01 SET!C91</t>
  </si>
  <si>
    <t>RDO-01 SET!C92</t>
  </si>
  <si>
    <t>RDO-01 SET!C98</t>
  </si>
  <si>
    <t>RDO-01 SET!C99</t>
  </si>
  <si>
    <t>RDO-01 SET!C100</t>
  </si>
  <si>
    <t>RDO-01 SET!C101</t>
  </si>
  <si>
    <t>RDO-01 SET!C102</t>
  </si>
  <si>
    <t>RDO-01 SET!C103</t>
  </si>
  <si>
    <t>RDO-01 SET!C104</t>
  </si>
  <si>
    <t>RDO-01 SET!C108</t>
  </si>
  <si>
    <t>RDO-01 SET!C113</t>
  </si>
  <si>
    <t>RDO-01 SET!C121</t>
  </si>
  <si>
    <t>RDO-01 SET!C127</t>
  </si>
  <si>
    <t>RDO-01 SET!C130</t>
  </si>
  <si>
    <t>RDO-01 SET!C136</t>
  </si>
  <si>
    <t>RDO-01 SET!C146</t>
  </si>
  <si>
    <t>RDO-01 SET!C154</t>
  </si>
  <si>
    <t>RDO-01 SET!C165</t>
  </si>
  <si>
    <t>RDO-01 SET!C171</t>
  </si>
  <si>
    <t>RDO-01 SET!C176</t>
  </si>
  <si>
    <t>RDO-01 SET!C181</t>
  </si>
  <si>
    <t>RDO-01 SET!C185</t>
  </si>
  <si>
    <t>RDO-01 SET!C191</t>
  </si>
  <si>
    <t>RDO-01 SET!C200</t>
  </si>
  <si>
    <t>RDO-01 SET!C208</t>
  </si>
  <si>
    <t>RDO-02 SET !C54</t>
  </si>
  <si>
    <t>RDO-02 SET !C62</t>
  </si>
  <si>
    <t>RDO-02 SET !C63</t>
  </si>
  <si>
    <t>RDO-02 SET !C64</t>
  </si>
  <si>
    <t>RDO-02 SET !C68</t>
  </si>
  <si>
    <t>RDO-02 SET !C69</t>
  </si>
  <si>
    <t>RDO-02 SET !C70</t>
  </si>
  <si>
    <t>RDO-02 SET !C77</t>
  </si>
  <si>
    <t>RDO-02 SET !C84</t>
  </si>
  <si>
    <t>RDO-02 SET !C91</t>
  </si>
  <si>
    <t>RDO-02 SET !C92</t>
  </si>
  <si>
    <t>RDO-02 SET !C98</t>
  </si>
  <si>
    <t>RDO-02 SET !C99</t>
  </si>
  <si>
    <t>RDO-02 SET !C100</t>
  </si>
  <si>
    <t>RDO-02 SET !C101</t>
  </si>
  <si>
    <t>RDO-02 SET !C102</t>
  </si>
  <si>
    <t>RDO-02 SET !C103</t>
  </si>
  <si>
    <t>RDO-02 SET !C104</t>
  </si>
  <si>
    <t>RDO-02 SET !C113</t>
  </si>
  <si>
    <t>RDO-02 SET !C121</t>
  </si>
  <si>
    <t>RDO-02 SET !C127</t>
  </si>
  <si>
    <t>RDO-02 SET !C130</t>
  </si>
  <si>
    <t>RDO-02 SET !C136</t>
  </si>
  <si>
    <t>RDO-02 SET !C146</t>
  </si>
  <si>
    <t>RDO-02 SET !C154</t>
  </si>
  <si>
    <t>RDO-02 SET !C165</t>
  </si>
  <si>
    <t>RDO-02 SET !C166</t>
  </si>
  <si>
    <t>RDO-02 SET !C167</t>
  </si>
  <si>
    <t>RDO-02 SET !C168</t>
  </si>
  <si>
    <t>RDO-02 SET !C169</t>
  </si>
  <si>
    <t>RDO-02 SET !C172</t>
  </si>
  <si>
    <t>RDO-02 SET !C176</t>
  </si>
  <si>
    <t>RDO-02 SET !C177</t>
  </si>
  <si>
    <t>RDO-02 SET !C178</t>
  </si>
  <si>
    <t>RDO-02 SET !C179</t>
  </si>
  <si>
    <t>RDO-02 SET !C180</t>
  </si>
  <si>
    <t>RDO-02 SET !C182</t>
  </si>
  <si>
    <t>RDO-02 SET !C185</t>
  </si>
  <si>
    <t>RDO-02 SET !C186</t>
  </si>
  <si>
    <t>RDO-02 SET !C187</t>
  </si>
  <si>
    <t>RDO-02 SET !C188</t>
  </si>
  <si>
    <t>RDO-02 SET !C189</t>
  </si>
  <si>
    <t>RDO-02 SET !C190</t>
  </si>
  <si>
    <t>RDO-02 SET !C192</t>
  </si>
  <si>
    <t>RDO-02 SET !C193</t>
  </si>
  <si>
    <t>RDO-02 SET !C194</t>
  </si>
  <si>
    <t>RDO-02 SET !C195</t>
  </si>
  <si>
    <t>RDO-02 SET !C196</t>
  </si>
  <si>
    <t>RDO-02 SET !C197</t>
  </si>
  <si>
    <t>RDO-02 SET !C198</t>
  </si>
  <si>
    <t>RDO-02 SET !C199</t>
  </si>
  <si>
    <t>RDO-02 SET !C200</t>
  </si>
  <si>
    <t>RDO-02 SET !C201</t>
  </si>
  <si>
    <t>RDO-02 SET !C202</t>
  </si>
  <si>
    <t>RDO-02 SET !C203</t>
  </si>
  <si>
    <t>RDO-02 SET !C204</t>
  </si>
  <si>
    <t>RDO-02 SET !C205</t>
  </si>
  <si>
    <t>RDO-02 SET !C206</t>
  </si>
  <si>
    <t>RDO-02 SET !C207</t>
  </si>
  <si>
    <t>RDO-02 SET !C209</t>
  </si>
  <si>
    <t>RDO-02 SET !C210</t>
  </si>
  <si>
    <t>RDO-02 SET !C211</t>
  </si>
  <si>
    <t>RDO-02 SET !C212</t>
  </si>
  <si>
    <t>RDO-02 SET !C213</t>
  </si>
  <si>
    <t>RDO-02 SET !C214</t>
  </si>
  <si>
    <t>RDO-03 SET  !C54</t>
  </si>
  <si>
    <t>RDO-03 SET  !C62</t>
  </si>
  <si>
    <t>RDO-03 SET  !C63</t>
  </si>
  <si>
    <t>RDO-03 SET  !C64</t>
  </si>
  <si>
    <t>RDO-03 SET  !C68</t>
  </si>
  <si>
    <t>RDO-03 SET  !C69</t>
  </si>
  <si>
    <t>RDO-03 SET  !C70</t>
  </si>
  <si>
    <t>RDO-03 SET  !C77</t>
  </si>
  <si>
    <t>RDO-03 SET  !C84</t>
  </si>
  <si>
    <t>RDO-03 SET  !C91</t>
  </si>
  <si>
    <t>RDO-03 SET  !C92</t>
  </si>
  <si>
    <t>RDO-03 SET  !C98</t>
  </si>
  <si>
    <t>RDO-03 SET  !C99</t>
  </si>
  <si>
    <t>RDO-03 SET  !C100</t>
  </si>
  <si>
    <t>RDO-03 SET  !C101</t>
  </si>
  <si>
    <t>RDO-03 SET  !C102</t>
  </si>
  <si>
    <t>RDO-03 SET  !C103</t>
  </si>
  <si>
    <t>RDO-03 SET  !C104</t>
  </si>
  <si>
    <t>RDO-03 SET  !C108</t>
  </si>
  <si>
    <t>RDO-03 SET  !C113</t>
  </si>
  <si>
    <t>RDO-03 SET  !C121</t>
  </si>
  <si>
    <t>RDO-03 SET  !C126</t>
  </si>
  <si>
    <t>RDO-03 SET  !C130</t>
  </si>
  <si>
    <t>RDO-03 SET  !C136</t>
  </si>
  <si>
    <t>RDO-03 SET  !C146</t>
  </si>
  <si>
    <t>RDO-03 SET  !C154</t>
  </si>
  <si>
    <t>RDO-03 SET  !C165</t>
  </si>
  <si>
    <t>RDO-03 SET  !C166</t>
  </si>
  <si>
    <t>RDO-03 SET  !C167</t>
  </si>
  <si>
    <t>RDO-03 SET  !C168</t>
  </si>
  <si>
    <t>RDO-03 SET  !C169</t>
  </si>
  <si>
    <t>RDO-03 SET  !C172</t>
  </si>
  <si>
    <t>RDO-03 SET  !C173</t>
  </si>
  <si>
    <t>RDO-03 SET  !C177</t>
  </si>
  <si>
    <t>RDO-03 SET  !C178</t>
  </si>
  <si>
    <t>RDO-03 SET  !C185</t>
  </si>
  <si>
    <t>RDO-03 SET  !C186</t>
  </si>
  <si>
    <t>RDO-03 SET  !C187</t>
  </si>
  <si>
    <t>RDO-03 SET  !C188</t>
  </si>
  <si>
    <t>RDO-03 SET  !C189</t>
  </si>
  <si>
    <t>RDO-03 SET  !C190</t>
  </si>
  <si>
    <t>RDO-03 SET  !C191</t>
  </si>
  <si>
    <t>RDO-03 SET  !C192</t>
  </si>
  <si>
    <t>RDO-03 SET  !C193</t>
  </si>
  <si>
    <t>RDO-03 SET  !C194</t>
  </si>
  <si>
    <t>RDO-03 SET  !C195</t>
  </si>
  <si>
    <t>RDO-03 SET  !C196</t>
  </si>
  <si>
    <t>RDO-03 SET  !C197</t>
  </si>
  <si>
    <t>RDO-03 SET  !C198</t>
  </si>
  <si>
    <t>RDO-03 SET  !C200</t>
  </si>
  <si>
    <t>RDO-03 SET  !C201</t>
  </si>
  <si>
    <t>RDO-03 SET  !C202</t>
  </si>
  <si>
    <t>RDO-03 SET  !C203</t>
  </si>
  <si>
    <t>RDO-03 SET  !C204</t>
  </si>
  <si>
    <t>RDO-03 SET  !C205</t>
  </si>
  <si>
    <t>RDO-03 SET  !C206</t>
  </si>
  <si>
    <t>RDO-03 SET  !C207</t>
  </si>
  <si>
    <t>RDO-03 SET  !C209</t>
  </si>
  <si>
    <t>RDO-03 SET  !C210</t>
  </si>
  <si>
    <t>RDO-03 SET  !C211</t>
  </si>
  <si>
    <t>RDO-03 SET  !C212</t>
  </si>
  <si>
    <t>RDO-03 SET  !C213</t>
  </si>
  <si>
    <t>RDO-03 SET  !C214</t>
  </si>
  <si>
    <t>RDO-03 SET  !C215</t>
  </si>
  <si>
    <t>RDO-03 SET  !C216</t>
  </si>
  <si>
    <t>RDO-03 SET  !C217</t>
  </si>
  <si>
    <t>RDO-04 SET  !C54</t>
  </si>
  <si>
    <t>RDO-04 SET  !C62</t>
  </si>
  <si>
    <t>RDO-04 SET  !C63</t>
  </si>
  <si>
    <t>RDO-04 SET  !C64</t>
  </si>
  <si>
    <t>RDO-04 SET  !C68</t>
  </si>
  <si>
    <t>RDO-04 SET  !C69</t>
  </si>
  <si>
    <t>RDO-04 SET  !C70</t>
  </si>
  <si>
    <t>RDO-04 SET  !C77</t>
  </si>
  <si>
    <t>RDO-04 SET  !C84</t>
  </si>
  <si>
    <t>RDO-04 SET  !C91</t>
  </si>
  <si>
    <t>RDO-04 SET  !C92</t>
  </si>
  <si>
    <t>RDO-04 SET  !C98</t>
  </si>
  <si>
    <t>RDO-04 SET  !C99</t>
  </si>
  <si>
    <t>RDO-04 SET  !C100</t>
  </si>
  <si>
    <t>RDO-04 SET  !C101</t>
  </si>
  <si>
    <t>RDO-04 SET  !C102</t>
  </si>
  <si>
    <t>RDO-04 SET  !C103</t>
  </si>
  <si>
    <t>RDO-04 SET  !C104</t>
  </si>
  <si>
    <t>RDO-04 SET  !C108</t>
  </si>
  <si>
    <t>RDO-04 SET  !C113</t>
  </si>
  <si>
    <t>RDO-04 SET  !C121</t>
  </si>
  <si>
    <t>RDO-04 SET  !C126</t>
  </si>
  <si>
    <t>RDO-04 SET  !C130</t>
  </si>
  <si>
    <t>RDO-04 SET  !C136</t>
  </si>
  <si>
    <t>RDO-04 SET  !C146</t>
  </si>
  <si>
    <t>RDO-04 SET  !C154</t>
  </si>
  <si>
    <t>RDO-04 SET  !C165</t>
  </si>
  <si>
    <t>RDO-04 SET  !C166</t>
  </si>
  <si>
    <t>RDO-04 SET  !C167</t>
  </si>
  <si>
    <t>RDO-04 SET  !C168</t>
  </si>
  <si>
    <t>RDO-04 SET  !C169</t>
  </si>
  <si>
    <t>RDO-04 SET  !C173</t>
  </si>
  <si>
    <t>RDO-04 SET  !C177</t>
  </si>
  <si>
    <t>RDO-04 SET  !C178</t>
  </si>
  <si>
    <t>RDO-04 SET  !C179</t>
  </si>
  <si>
    <t>RDO-04 SET  !C182</t>
  </si>
  <si>
    <t>RDO-04 SET  !C185</t>
  </si>
  <si>
    <t>RDO-04 SET  !C186</t>
  </si>
  <si>
    <t>RDO-04 SET  !C187</t>
  </si>
  <si>
    <t>RDO-04 SET  !C188</t>
  </si>
  <si>
    <t>RDO-04 SET  !C189</t>
  </si>
  <si>
    <t>RDO-04 SET  !C190</t>
  </si>
  <si>
    <t>RDO-04 SET  !C192</t>
  </si>
  <si>
    <t>RDO-04 SET  !C193</t>
  </si>
  <si>
    <t>RDO-04 SET  !C194</t>
  </si>
  <si>
    <t>RDO-04 SET  !C195</t>
  </si>
  <si>
    <t>RDO-04 SET  !C196</t>
  </si>
  <si>
    <t>RDO-04 SET  !C197</t>
  </si>
  <si>
    <t>RDO-04 SET  !C198</t>
  </si>
  <si>
    <t>RDO-04 SET  !C199</t>
  </si>
  <si>
    <t>RDO-04 SET  !C200</t>
  </si>
  <si>
    <t>RDO-04 SET  !C201</t>
  </si>
  <si>
    <t>RDO-04 SET  !C202</t>
  </si>
  <si>
    <t>RDO-04 SET  !C203</t>
  </si>
  <si>
    <t>RDO-04 SET  !C204</t>
  </si>
  <si>
    <t>RDO-04 SET  !C205</t>
  </si>
  <si>
    <t>RDO-04 SET  !C206</t>
  </si>
  <si>
    <t>RDO-04 SET  !C207</t>
  </si>
  <si>
    <t>RDO-04 SET  !C209</t>
  </si>
  <si>
    <t>RDO-04 SET  !C210</t>
  </si>
  <si>
    <t>RDO-04 SET  !C211</t>
  </si>
  <si>
    <t>RDO-04 SET  !C212</t>
  </si>
  <si>
    <t>RDO-04 SET  !C213</t>
  </si>
  <si>
    <t>RDO-04 SET  !C214</t>
  </si>
  <si>
    <t>RDO-04 SET  !C215</t>
  </si>
  <si>
    <t>RDO-04 SET  !C216</t>
  </si>
  <si>
    <t>RDO-04 SET  !C217</t>
  </si>
  <si>
    <t>RDO-05 SET !C54</t>
  </si>
  <si>
    <t>RDO-05 SET !C61</t>
  </si>
  <si>
    <t>RDO-05 SET !C67</t>
  </si>
  <si>
    <t>RDO-05 SET !C74</t>
  </si>
  <si>
    <t>RDO-05 SET !C77</t>
  </si>
  <si>
    <t>RDO-05 SET !C84</t>
  </si>
  <si>
    <t>RDO-05 SET !C98</t>
  </si>
  <si>
    <t>RDO-05 SET !C108</t>
  </si>
  <si>
    <t>RDO-05 SET !C113</t>
  </si>
  <si>
    <t>RDO-05 SET !C120</t>
  </si>
  <si>
    <t>RDO-05 SET !C130</t>
  </si>
  <si>
    <t>RDO-05 SET !C136</t>
  </si>
  <si>
    <t>RDO-05 SET !C146</t>
  </si>
  <si>
    <t>RDO-05 SET !C154</t>
  </si>
  <si>
    <t>RDO-05 SET !C165</t>
  </si>
  <si>
    <t>RDO-05 SET !C166</t>
  </si>
  <si>
    <t>RDO-05 SET !C167</t>
  </si>
  <si>
    <t>RDO-05 SET !C168</t>
  </si>
  <si>
    <t>RDO-05 SET !C169</t>
  </si>
  <si>
    <t>RDO-05 SET !C172</t>
  </si>
  <si>
    <t>RDO-05 SET !C177</t>
  </si>
  <si>
    <t>RDO-05 SET !C182</t>
  </si>
  <si>
    <t>RDO-05 SET !C186</t>
  </si>
  <si>
    <t>RDO-05 SET !C187</t>
  </si>
  <si>
    <t>RDO-05 SET !C188</t>
  </si>
  <si>
    <t>RDO-05 SET !C189</t>
  </si>
  <si>
    <t>RDO-05 SET !C190</t>
  </si>
  <si>
    <t>RDO-05 SET !C193</t>
  </si>
  <si>
    <t>RDO-05 SET !C194</t>
  </si>
  <si>
    <t>RDO-05 SET !C195</t>
  </si>
  <si>
    <t>RDO-05 SET !C196</t>
  </si>
  <si>
    <t>RDO-05 SET !C197</t>
  </si>
  <si>
    <t>RDO-05 SET !C198</t>
  </si>
  <si>
    <t>RDO-05 SET !C199</t>
  </si>
  <si>
    <t>RDO-05 SET !C202</t>
  </si>
  <si>
    <t>RDO-05 SET !C203</t>
  </si>
  <si>
    <t>RDO-05 SET !C204</t>
  </si>
  <si>
    <t>RDO-05 SET !C205</t>
  </si>
  <si>
    <t>RDO-05 SET !C206</t>
  </si>
  <si>
    <t>RDO-05 SET !C207</t>
  </si>
  <si>
    <t>RDO-05 SET !C208</t>
  </si>
  <si>
    <t>RDO-05 SET !C209</t>
  </si>
  <si>
    <t>RDO-05 SET !C210</t>
  </si>
  <si>
    <t>RDO-05 SET !C213</t>
  </si>
  <si>
    <t>RDO-05 SET !C214</t>
  </si>
  <si>
    <t>RDO-05 SET !C215</t>
  </si>
  <si>
    <t>RDO-05 SET !C216</t>
  </si>
  <si>
    <t>RDO-05 SET !C217</t>
  </si>
  <si>
    <t>RDO-05 SET !C218</t>
  </si>
  <si>
    <t>RDO-05 SET !C219</t>
  </si>
  <si>
    <t>RDO-06 SET !C54</t>
  </si>
  <si>
    <t>RDO-06 SET !C61</t>
  </si>
  <si>
    <t>RDO-06 SET !C67</t>
  </si>
  <si>
    <t>RDO-06 SET !C74</t>
  </si>
  <si>
    <t>RDO-06 SET !C77</t>
  </si>
  <si>
    <t>RDO-06 SET !C84</t>
  </si>
  <si>
    <t>RDO-06 SET !C92</t>
  </si>
  <si>
    <t>RDO-06 SET !C98</t>
  </si>
  <si>
    <t>RDO-06 SET !C108</t>
  </si>
  <si>
    <t>RDO-06 SET !C165</t>
  </si>
  <si>
    <t>RDO-06 SET !C166</t>
  </si>
  <si>
    <t>RDO-06 SET !C167</t>
  </si>
  <si>
    <t>RDO-06 SET !C168</t>
  </si>
  <si>
    <t>RDO-06 SET !C169</t>
  </si>
  <si>
    <t>RDO-06 SET !C170</t>
  </si>
  <si>
    <t>RDO-06 SET !C172</t>
  </si>
  <si>
    <t>RDO-06 SET !C176</t>
  </si>
  <si>
    <t>RDO-06 SET !C177</t>
  </si>
  <si>
    <t>RDO-06 SET !C178</t>
  </si>
  <si>
    <t>RDO-06 SET !C179</t>
  </si>
  <si>
    <t>RDO-06 SET !C182</t>
  </si>
  <si>
    <t>RDO-06 SET !C185</t>
  </si>
  <si>
    <t>RDO-06 SET !C186</t>
  </si>
  <si>
    <t>RDO-06 SET !C187</t>
  </si>
  <si>
    <t>RDO-06 SET !C188</t>
  </si>
  <si>
    <t>RDO-06 SET !C189</t>
  </si>
  <si>
    <t>RDO-06 SET !C193</t>
  </si>
  <si>
    <t>RDO-06 SET !C194</t>
  </si>
  <si>
    <t>RDO-06 SET !C195</t>
  </si>
  <si>
    <t>RDO-06 SET !C196</t>
  </si>
  <si>
    <t>RDO-06 SET !C197</t>
  </si>
  <si>
    <t>RDO-06 SET !C198</t>
  </si>
  <si>
    <t>RDO-06 SET !C199</t>
  </si>
  <si>
    <t>RDO-06 SET !C202</t>
  </si>
  <si>
    <t>RDO-06 SET !C203</t>
  </si>
  <si>
    <t>RDO-06 SET !C204</t>
  </si>
  <si>
    <t>RDO-06 SET !C205</t>
  </si>
  <si>
    <t>RDO-06 SET !C206</t>
  </si>
  <si>
    <t>RDO-06 SET !C207</t>
  </si>
  <si>
    <t>RDO-06 SET !C208</t>
  </si>
  <si>
    <t>RDO-06 SET !C209</t>
  </si>
  <si>
    <t>RDO-06 SET !C210</t>
  </si>
  <si>
    <t>RDO-06 SET !C213</t>
  </si>
  <si>
    <t>RDO-06 SET !C214</t>
  </si>
  <si>
    <t>RDO-06 SET !C215</t>
  </si>
  <si>
    <t>RDO-06 SET !C216</t>
  </si>
  <si>
    <t>RDO-06 SET !C217</t>
  </si>
  <si>
    <t>RDO-06 SET !C218</t>
  </si>
  <si>
    <t>RDO-06 SET !C219</t>
  </si>
  <si>
    <t>RDO-06 SET !C220</t>
  </si>
  <si>
    <t>RDO-07 SET!C54</t>
  </si>
  <si>
    <t>RDO-07 SET!C61</t>
  </si>
  <si>
    <t>RDO-07 SET!C67</t>
  </si>
  <si>
    <t>RDO-07 SET!C74</t>
  </si>
  <si>
    <t>RDO-07 SET!C77</t>
  </si>
  <si>
    <t>RDO-07 SET!C84</t>
  </si>
  <si>
    <t>RDO-07 SET!C91</t>
  </si>
  <si>
    <t>RDO-07 SET!C92</t>
  </si>
  <si>
    <t>RDO-07 SET!C98</t>
  </si>
  <si>
    <t>RDO-07 SET!C108</t>
  </si>
  <si>
    <t>RDO-07 SET!C113</t>
  </si>
  <si>
    <t>RDO-07 SET!C120</t>
  </si>
  <si>
    <t>RDO-07 SET!C126</t>
  </si>
  <si>
    <t>RDO-07 SET!C130</t>
  </si>
  <si>
    <t>RDO-07 SET!C136</t>
  </si>
  <si>
    <t>RDO-07 SET!C146</t>
  </si>
  <si>
    <t>RDO-07 SET!C154</t>
  </si>
  <si>
    <t>RDO-07 SET!C165</t>
  </si>
  <si>
    <t>RDO-07 SET!C166</t>
  </si>
  <si>
    <t>RDO-07 SET!C167</t>
  </si>
  <si>
    <t>RDO-07 SET!C168</t>
  </si>
  <si>
    <t>RDO-07 SET!C172</t>
  </si>
  <si>
    <t>RDO-07 SET!C176</t>
  </si>
  <si>
    <t>RDO-07 SET!C177</t>
  </si>
  <si>
    <t>RDO-07 SET!C178</t>
  </si>
  <si>
    <t>RDO-07 SET!C179</t>
  </si>
  <si>
    <t>RDO-07 SET!C185</t>
  </si>
  <si>
    <t>RDO-07 SET!C186</t>
  </si>
  <si>
    <t>RDO-07 SET!C187</t>
  </si>
  <si>
    <t>RDO-07 SET!C188</t>
  </si>
  <si>
    <t>RDO-07 SET!C189</t>
  </si>
  <si>
    <t>RDO-07 SET!C193</t>
  </si>
  <si>
    <t>RDO-07 SET!C194</t>
  </si>
  <si>
    <t>RDO-07 SET!C195</t>
  </si>
  <si>
    <t>RDO-07 SET!C196</t>
  </si>
  <si>
    <t>RDO-07 SET!C197</t>
  </si>
  <si>
    <t>RDO-07 SET!C198</t>
  </si>
  <si>
    <t>RDO-07 SET!C199</t>
  </si>
  <si>
    <t>RDO-07 SET!C202</t>
  </si>
  <si>
    <t>RDO-07 SET!C203</t>
  </si>
  <si>
    <t>RDO-07 SET!C204</t>
  </si>
  <si>
    <t>RDO-07 SET!C205</t>
  </si>
  <si>
    <t>RDO-07 SET!C206</t>
  </si>
  <si>
    <t>RDO-07 SET!C207</t>
  </si>
  <si>
    <t>RDO-07 SET!C208</t>
  </si>
  <si>
    <t>RDO-07 SET!C209</t>
  </si>
  <si>
    <t>RDO-07 SET!C210</t>
  </si>
  <si>
    <t>RDO-07 SET!C213</t>
  </si>
  <si>
    <t>RDO-07 SET!C214</t>
  </si>
  <si>
    <t>RDO-07 SET!C215</t>
  </si>
  <si>
    <t>RDO-07 SET!C216</t>
  </si>
  <si>
    <t>RDO-07 SET!C217</t>
  </si>
  <si>
    <t>RDO-07 SET!C218</t>
  </si>
  <si>
    <t>RDO-07 SET!C219</t>
  </si>
  <si>
    <t>RDO-07 SET!C220</t>
  </si>
  <si>
    <t>RDO-07 SET!C221</t>
  </si>
  <si>
    <t>RDO-08 SET!C54</t>
  </si>
  <si>
    <t>RDO-08 SET!C61</t>
  </si>
  <si>
    <t>RDO-08 SET!C67</t>
  </si>
  <si>
    <t>RDO-08 SET!C74</t>
  </si>
  <si>
    <t>RDO-08 SET!C77</t>
  </si>
  <si>
    <t>RDO-08 SET!C84</t>
  </si>
  <si>
    <t>RDO-08 SET!C91</t>
  </si>
  <si>
    <t>RDO-08 SET!C92</t>
  </si>
  <si>
    <t>RDO-08 SET!C98</t>
  </si>
  <si>
    <t>RDO-08 SET!C108</t>
  </si>
  <si>
    <t>RDO-08 SET!C120</t>
  </si>
  <si>
    <t>RDO-08 SET!C126</t>
  </si>
  <si>
    <t>RDO-08 SET!C130</t>
  </si>
  <si>
    <t>RDO-08 SET!C136</t>
  </si>
  <si>
    <t>RDO-08 SET!C146</t>
  </si>
  <si>
    <t>RDO-08 SET!C154</t>
  </si>
  <si>
    <t>RDO-08 SET!C165</t>
  </si>
  <si>
    <t>RDO-08 SET!C166</t>
  </si>
  <si>
    <t>RDO-08 SET!C167</t>
  </si>
  <si>
    <t>RDO-08 SET!C168</t>
  </si>
  <si>
    <t>RDO-08 SET!C171</t>
  </si>
  <si>
    <t>RDO-08 SET!C172</t>
  </si>
  <si>
    <t>RDO-08 SET!C173</t>
  </si>
  <si>
    <t>RDO-08 SET!C174</t>
  </si>
  <si>
    <t>RDO-08 SET!C176</t>
  </si>
  <si>
    <t>RDO-08 SET!C177</t>
  </si>
  <si>
    <t>RDO-08 SET!C178</t>
  </si>
  <si>
    <t>RDO-08 SET!C179</t>
  </si>
  <si>
    <t>RDO-08 SET!C186</t>
  </si>
  <si>
    <t>RDO-08 SET!C187</t>
  </si>
  <si>
    <t>RDO-08 SET!C188</t>
  </si>
  <si>
    <t>RDO-08 SET!C189</t>
  </si>
  <si>
    <t>RDO-08 SET!C193</t>
  </si>
  <si>
    <t>RDO-08 SET!C194</t>
  </si>
  <si>
    <t>RDO-08 SET!C195</t>
  </si>
  <si>
    <t>RDO-08 SET!C196</t>
  </si>
  <si>
    <t>RDO-08 SET!C197</t>
  </si>
  <si>
    <t>RDO-08 SET!C198</t>
  </si>
  <si>
    <t>RDO-08 SET!C199</t>
  </si>
  <si>
    <t>RDO-08 SET!C202</t>
  </si>
  <si>
    <t>RDO-08 SET!C203</t>
  </si>
  <si>
    <t>RDO-08 SET!C204</t>
  </si>
  <si>
    <t>RDO-08 SET!C205</t>
  </si>
  <si>
    <t>RDO-08 SET!C206</t>
  </si>
  <si>
    <t>RDO-08 SET!C207</t>
  </si>
  <si>
    <t>RDO-08 SET!C208</t>
  </si>
  <si>
    <t>RDO-08 SET!C209</t>
  </si>
  <si>
    <t>RDO-08 SET!C210</t>
  </si>
  <si>
    <t>RDO-08 SET!C213</t>
  </si>
  <si>
    <t>RDO-08 SET!C214</t>
  </si>
  <si>
    <t>RDO-08 SET!C215</t>
  </si>
  <si>
    <t>RDO-08 SET!C216</t>
  </si>
  <si>
    <t>RDO-08 SET!C217</t>
  </si>
  <si>
    <t>RDO-08 SET!C218</t>
  </si>
  <si>
    <t>RDO-08 SET!C219</t>
  </si>
  <si>
    <t>RDO-08 SET!C220</t>
  </si>
  <si>
    <t>RDO-08 SET!C221</t>
  </si>
  <si>
    <t>RDO-09 SET !C54</t>
  </si>
  <si>
    <t>RDO-09 SET !C61</t>
  </si>
  <si>
    <t>RDO-09 SET !C67</t>
  </si>
  <si>
    <t>RDO-09 SET !C74</t>
  </si>
  <si>
    <t>RDO-09 SET !C77</t>
  </si>
  <si>
    <t>RDO-09 SET !C84</t>
  </si>
  <si>
    <t>RDO-09 SET !C91</t>
  </si>
  <si>
    <t>RDO-09 SET !C92</t>
  </si>
  <si>
    <t>RDO-09 SET !C98</t>
  </si>
  <si>
    <t>RDO-09 SET !C108</t>
  </si>
  <si>
    <t>RDO-09 SET !C113</t>
  </si>
  <si>
    <t>RDO-09 SET !C120</t>
  </si>
  <si>
    <t>RDO-09 SET !C126</t>
  </si>
  <si>
    <t>RDO-09 SET !C130</t>
  </si>
  <si>
    <t>RDO-09 SET !C136</t>
  </si>
  <si>
    <t>RDO-09 SET !C146</t>
  </si>
  <si>
    <t>RDO-09 SET !C154</t>
  </si>
  <si>
    <t>RDO-09 SET !C165</t>
  </si>
  <si>
    <t>RDO-09 SET !C171</t>
  </si>
  <si>
    <t>RDO-09 SET !C176</t>
  </si>
  <si>
    <t>RDO-09 SET !C181</t>
  </si>
  <si>
    <t>RDO-09 SET !C185</t>
  </si>
  <si>
    <t>RDO-09 SET !C193</t>
  </si>
  <si>
    <t>RDO-09 SET !C202</t>
  </si>
  <si>
    <t>RDO-10 SET!C54</t>
  </si>
  <si>
    <t>RDO-10 SET!C61</t>
  </si>
  <si>
    <t>RDO-10 SET!C67</t>
  </si>
  <si>
    <t>RDO-10 SET!C74</t>
  </si>
  <si>
    <t>RDO-10 SET!C77</t>
  </si>
  <si>
    <t>RDO-10 SET!C84</t>
  </si>
  <si>
    <t>RDO-10 SET!C91</t>
  </si>
  <si>
    <t>RDO-10 SET!C92</t>
  </si>
  <si>
    <t>RDO-10 SET!C98</t>
  </si>
  <si>
    <t>RDO-10 SET!C113</t>
  </si>
  <si>
    <t>RDO-10 SET!C120</t>
  </si>
  <si>
    <t>RDO-10 SET!C126</t>
  </si>
  <si>
    <t>RDO-10 SET!C130</t>
  </si>
  <si>
    <t>RDO-10 SET!C136</t>
  </si>
  <si>
    <t>RDO-10 SET!C146</t>
  </si>
  <si>
    <t>RDO-10 SET!C154</t>
  </si>
  <si>
    <t>RDO-10 SET!C165</t>
  </si>
  <si>
    <t>RDO-10 SET!C171</t>
  </si>
  <si>
    <t>RDO-10 SET!C176</t>
  </si>
  <si>
    <t>RDO-10 SET!C181</t>
  </si>
  <si>
    <t>RDO-10 SET!C185</t>
  </si>
  <si>
    <t>RDO-10 SET!C193</t>
  </si>
  <si>
    <t>RDO-10 SET!C202</t>
  </si>
  <si>
    <t>RDO-10 SET!C212</t>
  </si>
  <si>
    <t>RDO-11 SET!C54</t>
  </si>
  <si>
    <t>RDO-11 SET!C61</t>
  </si>
  <si>
    <t>RDO-11 SET!C67</t>
  </si>
  <si>
    <t>RDO-11 SET!C74</t>
  </si>
  <si>
    <t>RDO-11 SET!C77</t>
  </si>
  <si>
    <t>RDO-11 SET!C84</t>
  </si>
  <si>
    <t>RDO-11 SET!C91</t>
  </si>
  <si>
    <t>RDO-11 SET!C98</t>
  </si>
  <si>
    <t>RDO-11 SET!C108</t>
  </si>
  <si>
    <t>RDO-11 SET!C109</t>
  </si>
  <si>
    <t>RDO-11 SET!C110</t>
  </si>
  <si>
    <t>RDO-11 SET!C111</t>
  </si>
  <si>
    <t>RDO-11 SET!C115</t>
  </si>
  <si>
    <t>RDO-11 SET!C120</t>
  </si>
  <si>
    <t>RDO-11 SET!C121</t>
  </si>
  <si>
    <t>RDO-11 SET!C122</t>
  </si>
  <si>
    <t>RDO-11 SET!C123</t>
  </si>
  <si>
    <t>RDO-11 SET!C124</t>
  </si>
  <si>
    <t>RDO-11 SET!C127</t>
  </si>
  <si>
    <t>RDO-11 SET!C130</t>
  </si>
  <si>
    <t>RDO-11 SET!C131</t>
  </si>
  <si>
    <t>RDO-11 SET!C132</t>
  </si>
  <si>
    <t>RDO-11 SET!C133</t>
  </si>
  <si>
    <t>RDO-11 SET!C134</t>
  </si>
  <si>
    <t>RDO-11 SET!C136</t>
  </si>
  <si>
    <t>RDO-11 SET!C137</t>
  </si>
  <si>
    <t>RDO-11 SET!C138</t>
  </si>
  <si>
    <t>RDO-11 SET!C139</t>
  </si>
  <si>
    <t>RDO-11 SET!C140</t>
  </si>
  <si>
    <t>RDO-11 SET!C141</t>
  </si>
  <si>
    <t>RDO-11 SET!C142</t>
  </si>
  <si>
    <t>RDO-11 SET!C143</t>
  </si>
  <si>
    <t>RDO-11 SET!C144</t>
  </si>
  <si>
    <t>RDO-11 SET!C146</t>
  </si>
  <si>
    <t>RDO-11 SET!C147</t>
  </si>
  <si>
    <t>RDO-11 SET!C148</t>
  </si>
  <si>
    <t>RDO-11 SET!C149</t>
  </si>
  <si>
    <t>RDO-11 SET!C150</t>
  </si>
  <si>
    <t>RDO-11 SET!C151</t>
  </si>
  <si>
    <t>RDO-11 SET!C152</t>
  </si>
  <si>
    <t>RDO-11 SET!C153</t>
  </si>
  <si>
    <t>RDO-11 SET!C155</t>
  </si>
  <si>
    <t>RDO-11 SET!C156</t>
  </si>
  <si>
    <t>RDO-11 SET!C157</t>
  </si>
  <si>
    <t>RDO-11 SET!C158</t>
  </si>
  <si>
    <t>RDO-11 SET!C160</t>
  </si>
  <si>
    <t>RDO-11 SET!C161</t>
  </si>
  <si>
    <t>RDO-11 SET!C165</t>
  </si>
  <si>
    <t>RDO-11 SET!C171</t>
  </si>
  <si>
    <t>RDO-11 SET!C176</t>
  </si>
  <si>
    <t>RDO-11 SET!C181</t>
  </si>
  <si>
    <t>RDO-11 SET!C185</t>
  </si>
  <si>
    <t>RDO-11 SET!C193</t>
  </si>
  <si>
    <t>RDO-11 SET!C202</t>
  </si>
  <si>
    <t>RDO-11 SET!C212</t>
  </si>
  <si>
    <t>RDO-12 SET!C54</t>
  </si>
  <si>
    <t>RDO-12 SET!C61</t>
  </si>
  <si>
    <t>RDO-12 SET!C67</t>
  </si>
  <si>
    <t>RDO-12 SET!C74</t>
  </si>
  <si>
    <t>RDO-12 SET!C77</t>
  </si>
  <si>
    <t>RDO-12 SET!C84</t>
  </si>
  <si>
    <t>RDO-12 SET!C91</t>
  </si>
  <si>
    <t>RDO-12 SET!C98</t>
  </si>
  <si>
    <t>RDO-12 SET!C115</t>
  </si>
  <si>
    <t>RDO-12 SET!C120</t>
  </si>
  <si>
    <t>RDO-12 SET!C121</t>
  </si>
  <si>
    <t>RDO-12 SET!C122</t>
  </si>
  <si>
    <t>RDO-12 SET!C123</t>
  </si>
  <si>
    <t>RDO-12 SET!C124</t>
  </si>
  <si>
    <t>RDO-12 SET!C127</t>
  </si>
  <si>
    <t>RDO-12 SET!C130</t>
  </si>
  <si>
    <t>RDO-12 SET!C131</t>
  </si>
  <si>
    <t>RDO-12 SET!C132</t>
  </si>
  <si>
    <t>RDO-12 SET!C133</t>
  </si>
  <si>
    <t>RDO-12 SET!C134</t>
  </si>
  <si>
    <t>RDO-12 SET!C136</t>
  </si>
  <si>
    <t>RDO-12 SET!C137</t>
  </si>
  <si>
    <t>RDO-12 SET!C138</t>
  </si>
  <si>
    <t>RDO-12 SET!C139</t>
  </si>
  <si>
    <t>RDO-12 SET!C140</t>
  </si>
  <si>
    <t>RDO-12 SET!C141</t>
  </si>
  <si>
    <t>RDO-12 SET!C142</t>
  </si>
  <si>
    <t>RDO-12 SET!C143</t>
  </si>
  <si>
    <t>RDO-12 SET!C144</t>
  </si>
  <si>
    <t>RDO-12 SET!C146</t>
  </si>
  <si>
    <t>RDO-12 SET!C147</t>
  </si>
  <si>
    <t>RDO-12 SET!C148</t>
  </si>
  <si>
    <t>RDO-12 SET!C149</t>
  </si>
  <si>
    <t>RDO-12 SET!C150</t>
  </si>
  <si>
    <t>RDO-12 SET!C151</t>
  </si>
  <si>
    <t>RDO-12 SET!C152</t>
  </si>
  <si>
    <t>RDO-12 SET!C153</t>
  </si>
  <si>
    <t>RDO-12 SET!C155</t>
  </si>
  <si>
    <t>RDO-12 SET!C156</t>
  </si>
  <si>
    <t>RDO-12 SET!C157</t>
  </si>
  <si>
    <t>RDO-12 SET!C158</t>
  </si>
  <si>
    <t>RDO-12 SET!C160</t>
  </si>
  <si>
    <t>RDO-12 SET!C161</t>
  </si>
  <si>
    <t>RDO-12 SET!C165</t>
  </si>
  <si>
    <t>RDO-12 SET!C171</t>
  </si>
  <si>
    <t>RDO-12 SET!C176</t>
  </si>
  <si>
    <t>RDO-12 SET!C181</t>
  </si>
  <si>
    <t>RDO-12 SET!C185</t>
  </si>
  <si>
    <t>RDO-12 SET!C193</t>
  </si>
  <si>
    <t>RDO-12 SET!C202</t>
  </si>
  <si>
    <t>RDO-12 SET!C212</t>
  </si>
  <si>
    <t>RDO-13 SET !C54</t>
  </si>
  <si>
    <t>RDO-13 SET !C61</t>
  </si>
  <si>
    <t>RDO-13 SET !C67</t>
  </si>
  <si>
    <t>RDO-13 SET !C74</t>
  </si>
  <si>
    <t>RDO-13 SET !C77</t>
  </si>
  <si>
    <t>RDO-13 SET !C84</t>
  </si>
  <si>
    <t>RDO-13 SET !C91</t>
  </si>
  <si>
    <t>RDO-13 SET !C98</t>
  </si>
  <si>
    <t>RDO-13 SET !C108</t>
  </si>
  <si>
    <t>RDO-13 SET !C113</t>
  </si>
  <si>
    <t>RDO-13 SET !C121</t>
  </si>
  <si>
    <t>RDO-13 SET !C122</t>
  </si>
  <si>
    <t>RDO-13 SET !C123</t>
  </si>
  <si>
    <t>RDO-13 SET !C124</t>
  </si>
  <si>
    <t>RDO-13 SET !C127</t>
  </si>
  <si>
    <t>RDO-13 SET !C128</t>
  </si>
  <si>
    <t>RDO-13 SET !C129</t>
  </si>
  <si>
    <t>RDO-13 SET !C136</t>
  </si>
  <si>
    <t>RDO-13 SET !C137</t>
  </si>
  <si>
    <t>RDO-13 SET !C138</t>
  </si>
  <si>
    <t>RDO-13 SET !C139</t>
  </si>
  <si>
    <t>RDO-13 SET !C140</t>
  </si>
  <si>
    <t>RDO-13 SET !C141</t>
  </si>
  <si>
    <t>RDO-13 SET !C142</t>
  </si>
  <si>
    <t>RDO-13 SET !C143</t>
  </si>
  <si>
    <t>RDO-13 SET !C144</t>
  </si>
  <si>
    <t>RDO-13 SET !C146</t>
  </si>
  <si>
    <t>RDO-13 SET !C147</t>
  </si>
  <si>
    <t>RDO-13 SET !C148</t>
  </si>
  <si>
    <t>RDO-13 SET !C149</t>
  </si>
  <si>
    <t>RDO-13 SET !C150</t>
  </si>
  <si>
    <t>RDO-13 SET !C151</t>
  </si>
  <si>
    <t>RDO-13 SET !C155</t>
  </si>
  <si>
    <t>RDO-13 SET !C156</t>
  </si>
  <si>
    <t>RDO-13 SET !C157</t>
  </si>
  <si>
    <t>RDO-13 SET !C158</t>
  </si>
  <si>
    <t>RDO-13 SET !C159</t>
  </si>
  <si>
    <t>RDO-13 SET !C160</t>
  </si>
  <si>
    <t>RDO-13 SET !C161</t>
  </si>
  <si>
    <t>RDO-13 SET !C165</t>
  </si>
  <si>
    <t>RDO-13 SET !C171</t>
  </si>
  <si>
    <t>RDO-13 SET !C176</t>
  </si>
  <si>
    <t>RDO-13 SET !C181</t>
  </si>
  <si>
    <t>RDO-13 SET !C185</t>
  </si>
  <si>
    <t>RDO-13 SET !C193</t>
  </si>
  <si>
    <t>RDO-13 SET !C202</t>
  </si>
  <si>
    <t>RDO-13 SET !C212</t>
  </si>
  <si>
    <t>RDO-14 SET  !C54</t>
  </si>
  <si>
    <t>RDO-14 SET  !C61</t>
  </si>
  <si>
    <t>RDO-14 SET  !C67</t>
  </si>
  <si>
    <t>RDO-14 SET  !C74</t>
  </si>
  <si>
    <t>RDO-14 SET  !C77</t>
  </si>
  <si>
    <t>RDO-14 SET  !C84</t>
  </si>
  <si>
    <t>RDO-14 SET  !C91</t>
  </si>
  <si>
    <t>RDO-14 SET  !C98</t>
  </si>
  <si>
    <t>RDO-14 SET  !C108</t>
  </si>
  <si>
    <t>RDO-14 SET  !C109</t>
  </si>
  <si>
    <t>RDO-14 SET  !C110</t>
  </si>
  <si>
    <t>RDO-14 SET  !C113</t>
  </si>
  <si>
    <t>RDO-14 SET  !C114</t>
  </si>
  <si>
    <t>RDO-14 SET  !C115</t>
  </si>
  <si>
    <t>RDO-14 SET  !C116</t>
  </si>
  <si>
    <t>RDO-14 SET  !C117</t>
  </si>
  <si>
    <t>RDO-14 SET  !C120</t>
  </si>
  <si>
    <t>RDO-14 SET  !C121</t>
  </si>
  <si>
    <t>RDO-14 SET  !C122</t>
  </si>
  <si>
    <t>RDO-14 SET  !C123</t>
  </si>
  <si>
    <t>RDO-14 SET  !C124</t>
  </si>
  <si>
    <t>RDO-14 SET  !C129</t>
  </si>
  <si>
    <t>RDO-14 SET  !C130</t>
  </si>
  <si>
    <t>RDO-14 SET  !C131</t>
  </si>
  <si>
    <t>RDO-14 SET  !C132</t>
  </si>
  <si>
    <t>RDO-14 SET  !C133</t>
  </si>
  <si>
    <t>RDO-14 SET  !C136</t>
  </si>
  <si>
    <t>RDO-14 SET  !C137</t>
  </si>
  <si>
    <t>RDO-14 SET  !C138</t>
  </si>
  <si>
    <t>RDO-14 SET  !C139</t>
  </si>
  <si>
    <t>RDO-14 SET  !C140</t>
  </si>
  <si>
    <t>RDO-14 SET  !C141</t>
  </si>
  <si>
    <t>RDO-14 SET  !C142</t>
  </si>
  <si>
    <t>RDO-14 SET  !C143</t>
  </si>
  <si>
    <t>RDO-14 SET  !C144</t>
  </si>
  <si>
    <t>RDO-14 SET  !C146</t>
  </si>
  <si>
    <t>RDO-14 SET  !C147</t>
  </si>
  <si>
    <t>RDO-14 SET  !C148</t>
  </si>
  <si>
    <t>RDO-14 SET  !C149</t>
  </si>
  <si>
    <t>RDO-14 SET  !C150</t>
  </si>
  <si>
    <t>RDO-14 SET  !C151</t>
  </si>
  <si>
    <t>RDO-14 SET  !C152</t>
  </si>
  <si>
    <t>RDO-14 SET  !C153</t>
  </si>
  <si>
    <t>RDO-14 SET  !C155</t>
  </si>
  <si>
    <t>RDO-14 SET  !C156</t>
  </si>
  <si>
    <t>RDO-14 SET  !C157</t>
  </si>
  <si>
    <t>RDO-14 SET  !C158</t>
  </si>
  <si>
    <t>RDO-14 SET  !C159</t>
  </si>
  <si>
    <t>RDO-14 SET  !C160</t>
  </si>
  <si>
    <t>RDO-14 SET  !C161</t>
  </si>
  <si>
    <t>RDO-14 SET  !C165</t>
  </si>
  <si>
    <t>RDO-14 SET  !C171</t>
  </si>
  <si>
    <t>RDO-14 SET  !C176</t>
  </si>
  <si>
    <t>RDO-14 SET  !C185</t>
  </si>
  <si>
    <t>RDO-14 SET  !C193</t>
  </si>
  <si>
    <t>RDO-14 SET  !C202</t>
  </si>
  <si>
    <t>RDO-14 SET  !C212</t>
  </si>
  <si>
    <t>RDO-15 SET  !C54</t>
  </si>
  <si>
    <t>RDO-15 SET  !C61</t>
  </si>
  <si>
    <t>RDO-15 SET  !C67</t>
  </si>
  <si>
    <t>RDO-15 SET  !C74</t>
  </si>
  <si>
    <t>RDO-15 SET  !C77</t>
  </si>
  <si>
    <t>RDO-15 SET  !C84</t>
  </si>
  <si>
    <t>RDO-15 SET  !C91</t>
  </si>
  <si>
    <t>RDO-15 SET  !C98</t>
  </si>
  <si>
    <t>RDO-15 SET  !C113</t>
  </si>
  <si>
    <t>RDO-15 SET  !C114</t>
  </si>
  <si>
    <t>RDO-15 SET  !C115</t>
  </si>
  <si>
    <t>RDO-15 SET  !C116</t>
  </si>
  <si>
    <t>RDO-15 SET  !C117</t>
  </si>
  <si>
    <t>RDO-15 SET  !C120</t>
  </si>
  <si>
    <t>RDO-15 SET  !C121</t>
  </si>
  <si>
    <t>RDO-15 SET  !C122</t>
  </si>
  <si>
    <t>RDO-15 SET  !C123</t>
  </si>
  <si>
    <t>RDO-15 SET  !C124</t>
  </si>
  <si>
    <t>RDO-15 SET  !C129</t>
  </si>
  <si>
    <t>RDO-15 SET  !C130</t>
  </si>
  <si>
    <t>RDO-15 SET  !C131</t>
  </si>
  <si>
    <t>RDO-15 SET  !C132</t>
  </si>
  <si>
    <t>RDO-15 SET  !C133</t>
  </si>
  <si>
    <t>RDO-15 SET  !C136</t>
  </si>
  <si>
    <t>RDO-15 SET  !C137</t>
  </si>
  <si>
    <t>RDO-15 SET  !C138</t>
  </si>
  <si>
    <t>RDO-15 SET  !C139</t>
  </si>
  <si>
    <t>RDO-15 SET  !C140</t>
  </si>
  <si>
    <t>RDO-15 SET  !C141</t>
  </si>
  <si>
    <t>RDO-15 SET  !C142</t>
  </si>
  <si>
    <t>RDO-15 SET  !C143</t>
  </si>
  <si>
    <t>RDO-15 SET  !C144</t>
  </si>
  <si>
    <t>RDO-15 SET  !C146</t>
  </si>
  <si>
    <t>RDO-15 SET  !C147</t>
  </si>
  <si>
    <t>RDO-15 SET  !C148</t>
  </si>
  <si>
    <t>RDO-15 SET  !C149</t>
  </si>
  <si>
    <t>RDO-15 SET  !C150</t>
  </si>
  <si>
    <t>RDO-15 SET  !C151</t>
  </si>
  <si>
    <t>RDO-15 SET  !C152</t>
  </si>
  <si>
    <t>RDO-15 SET  !C153</t>
  </si>
  <si>
    <t>RDO-15 SET  !C155</t>
  </si>
  <si>
    <t>RDO-15 SET  !C156</t>
  </si>
  <si>
    <t>RDO-15 SET  !C157</t>
  </si>
  <si>
    <t>RDO-15 SET  !C158</t>
  </si>
  <si>
    <t>RDO-15 SET  !C159</t>
  </si>
  <si>
    <t>RDO-15 SET  !C160</t>
  </si>
  <si>
    <t>RDO-15 SET  !C161</t>
  </si>
  <si>
    <t>RDO-15 SET  !C165</t>
  </si>
  <si>
    <t>RDO-15 SET  !C171</t>
  </si>
  <si>
    <t>RDO-15 SET  !C176</t>
  </si>
  <si>
    <t>RDO-15 SET  !C185</t>
  </si>
  <si>
    <t>RDO-15 SET  !C193</t>
  </si>
  <si>
    <t>RDO-15 SET  !C202</t>
  </si>
  <si>
    <t>RDO-15 SET  !C212</t>
  </si>
  <si>
    <t>RDO-16 SET  !C54</t>
  </si>
  <si>
    <t>RDO-16 SET  !C61</t>
  </si>
  <si>
    <t>RDO-16 SET  !C67</t>
  </si>
  <si>
    <t>RDO-16 SET  !C74</t>
  </si>
  <si>
    <t>RDO-16 SET  !C77</t>
  </si>
  <si>
    <t>RDO-16 SET  !C84</t>
  </si>
  <si>
    <t>RDO-16 SET  !C91</t>
  </si>
  <si>
    <t>RDO-16 SET  !C98</t>
  </si>
  <si>
    <t>RDO-16 SET  !C108</t>
  </si>
  <si>
    <t>RDO-16 SET  !C117</t>
  </si>
  <si>
    <t>RDO-16 SET  !C120</t>
  </si>
  <si>
    <t>RDO-16 SET  !C121</t>
  </si>
  <si>
    <t>RDO-16 SET  !C122</t>
  </si>
  <si>
    <t>RDO-16 SET  !C127</t>
  </si>
  <si>
    <t>RDO-16 SET  !C129</t>
  </si>
  <si>
    <t>RDO-16 SET  !C130</t>
  </si>
  <si>
    <t>RDO-16 SET  !C131</t>
  </si>
  <si>
    <t>RDO-16 SET  !C133</t>
  </si>
  <si>
    <t>RDO-16 SET  !C136</t>
  </si>
  <si>
    <t>RDO-16 SET  !C137</t>
  </si>
  <si>
    <t>RDO-16 SET  !C138</t>
  </si>
  <si>
    <t>RDO-16 SET  !C139</t>
  </si>
  <si>
    <t>RDO-16 SET  !C140</t>
  </si>
  <si>
    <t>RDO-16 SET  !C141</t>
  </si>
  <si>
    <t>RDO-16 SET  !C142</t>
  </si>
  <si>
    <t>RDO-16 SET  !C143</t>
  </si>
  <si>
    <t>RDO-16 SET  !C144</t>
  </si>
  <si>
    <t>RDO-16 SET  !C146</t>
  </si>
  <si>
    <t>RDO-16 SET  !C147</t>
  </si>
  <si>
    <t>RDO-16 SET  !C148</t>
  </si>
  <si>
    <t>RDO-16 SET  !C149</t>
  </si>
  <si>
    <t>RDO-16 SET  !C150</t>
  </si>
  <si>
    <t>RDO-16 SET  !C151</t>
  </si>
  <si>
    <t>RDO-16 SET  !C152</t>
  </si>
  <si>
    <t>RDO-16 SET  !C153</t>
  </si>
  <si>
    <t>RDO-16 SET  !C154</t>
  </si>
  <si>
    <t>RDO-16 SET  !C165</t>
  </si>
  <si>
    <t>RDO-16 SET  !C171</t>
  </si>
  <si>
    <t>RDO-16 SET  !C176</t>
  </si>
  <si>
    <t>RDO-16 SET  !C181</t>
  </si>
  <si>
    <t>RDO-16 SET  !C185</t>
  </si>
  <si>
    <t>RDO-16 SET  !C193</t>
  </si>
  <si>
    <t>RDO-16 SET  !C202</t>
  </si>
  <si>
    <t>RDO-16 SET  !C212</t>
  </si>
  <si>
    <t>RDO-17 SET !C54</t>
  </si>
  <si>
    <t>RDO-17 SET !C61</t>
  </si>
  <si>
    <t>RDO-17 SET !C67</t>
  </si>
  <si>
    <t>RDO-17 SET !C74</t>
  </si>
  <si>
    <t>RDO-17 SET !C77</t>
  </si>
  <si>
    <t>RDO-17 SET !C84</t>
  </si>
  <si>
    <t>RDO-17 SET !C91</t>
  </si>
  <si>
    <t>RDO-17 SET !C98</t>
  </si>
  <si>
    <t>RDO-17 SET !C117</t>
  </si>
  <si>
    <t>RDO-17 SET !C120</t>
  </si>
  <si>
    <t>RDO-17 SET !C121</t>
  </si>
  <si>
    <t>RDO-17 SET !C122</t>
  </si>
  <si>
    <t>RDO-17 SET !C127</t>
  </si>
  <si>
    <t>RDO-17 SET !C129</t>
  </si>
  <si>
    <t>RDO-17 SET !C130</t>
  </si>
  <si>
    <t>RDO-17 SET !C131</t>
  </si>
  <si>
    <t>RDO-17 SET !C133</t>
  </si>
  <si>
    <t>RDO-17 SET !C136</t>
  </si>
  <si>
    <t>RDO-17 SET !C137</t>
  </si>
  <si>
    <t>RDO-17 SET !C138</t>
  </si>
  <si>
    <t>RDO-17 SET !C139</t>
  </si>
  <si>
    <t>RDO-17 SET !C140</t>
  </si>
  <si>
    <t>RDO-17 SET !C141</t>
  </si>
  <si>
    <t>RDO-17 SET !C142</t>
  </si>
  <si>
    <t>RDO-17 SET !C143</t>
  </si>
  <si>
    <t>RDO-17 SET !C144</t>
  </si>
  <si>
    <t>RDO-17 SET !C146</t>
  </si>
  <si>
    <t>RDO-17 SET !C147</t>
  </si>
  <si>
    <t>RDO-17 SET !C148</t>
  </si>
  <si>
    <t>RDO-17 SET !C149</t>
  </si>
  <si>
    <t>RDO-17 SET !C150</t>
  </si>
  <si>
    <t>RDO-17 SET !C151</t>
  </si>
  <si>
    <t>RDO-17 SET !C152</t>
  </si>
  <si>
    <t>RDO-17 SET !C153</t>
  </si>
  <si>
    <t>RDO-17 SET !C154</t>
  </si>
  <si>
    <t>RDO-17 SET !C166</t>
  </si>
  <si>
    <t>RDO-17 SET !C167</t>
  </si>
  <si>
    <t>RDO-17 SET !C168</t>
  </si>
  <si>
    <t>RDO-17 SET !C169</t>
  </si>
  <si>
    <t>RDO-17 SET !C170</t>
  </si>
  <si>
    <t>RDO-17 SET !C171</t>
  </si>
  <si>
    <t>RDO-17 SET !C172</t>
  </si>
  <si>
    <t>RDO-17 SET !C173</t>
  </si>
  <si>
    <t>RDO-17 SET !C174</t>
  </si>
  <si>
    <t>RDO-17 SET !C175</t>
  </si>
  <si>
    <t>RDO-17 SET !C177</t>
  </si>
  <si>
    <t>RDO-17 SET !C178</t>
  </si>
  <si>
    <t>RDO-17 SET !C179</t>
  </si>
  <si>
    <t>RDO-17 SET !C185</t>
  </si>
  <si>
    <t>RDO-17 SET !C186</t>
  </si>
  <si>
    <t>RDO-17 SET !C187</t>
  </si>
  <si>
    <t>RDO-17 SET !C188</t>
  </si>
  <si>
    <t>RDO-17 SET !C189</t>
  </si>
  <si>
    <t>RDO-17 SET !C190</t>
  </si>
  <si>
    <t>RDO-17 SET !C194</t>
  </si>
  <si>
    <t>RDO-17 SET !C195</t>
  </si>
  <si>
    <t>RDO-17 SET !C196</t>
  </si>
  <si>
    <t>RDO-17 SET !C197</t>
  </si>
  <si>
    <t>RDO-17 SET !C198</t>
  </si>
  <si>
    <t>RDO-17 SET !C199</t>
  </si>
  <si>
    <t>RDO-17 SET !C200</t>
  </si>
  <si>
    <t>RDO-17 SET !C201</t>
  </si>
  <si>
    <t>RDO-17 SET !C202</t>
  </si>
  <si>
    <t>RDO-17 SET !C203</t>
  </si>
  <si>
    <t>RDO-17 SET !C204</t>
  </si>
  <si>
    <t>RDO-17 SET !C205</t>
  </si>
  <si>
    <t>RDO-17 SET !C206</t>
  </si>
  <si>
    <t>RDO-17 SET !C207</t>
  </si>
  <si>
    <t>RDO-17 SET !C208</t>
  </si>
  <si>
    <t>RDO-17 SET !C209</t>
  </si>
  <si>
    <t>RDO-17 SET !C210</t>
  </si>
  <si>
    <t>RDO-17 SET !C212</t>
  </si>
  <si>
    <t>RDO-17 SET !C213</t>
  </si>
  <si>
    <t>RDO-17 SET !C214</t>
  </si>
  <si>
    <t>RDO-17 SET !C215</t>
  </si>
  <si>
    <t>RDO-17 SET !C216</t>
  </si>
  <si>
    <t>RDO-17 SET !C217</t>
  </si>
  <si>
    <t>RDO-17 SET !C218</t>
  </si>
  <si>
    <t>RDO-18 SET!C54</t>
  </si>
  <si>
    <t>RDO-18 SET!C61</t>
  </si>
  <si>
    <t>RDO-18 SET!C67</t>
  </si>
  <si>
    <t>RDO-18 SET!C74</t>
  </si>
  <si>
    <t>RDO-18 SET!C77</t>
  </si>
  <si>
    <t>RDO-18 SET!C84</t>
  </si>
  <si>
    <t>RDO-18 SET!C91</t>
  </si>
  <si>
    <t>RDO-18 SET!C98</t>
  </si>
  <si>
    <t>RDO-18 SET!C108</t>
  </si>
  <si>
    <t>RDO-18 SET!C113</t>
  </si>
  <si>
    <t>RDO-18 SET!C120</t>
  </si>
  <si>
    <t>RDO-18 SET!C126</t>
  </si>
  <si>
    <t>RDO-18 SET!C129</t>
  </si>
  <si>
    <t>RDO-18 SET!C136</t>
  </si>
  <si>
    <t>RDO-18 SET!C146</t>
  </si>
  <si>
    <t>RDO-18 SET!C154</t>
  </si>
  <si>
    <t>RDO-18 SET!C166</t>
  </si>
  <si>
    <t>RDO-18 SET!C167</t>
  </si>
  <si>
    <t>RDO-18 SET!C168</t>
  </si>
  <si>
    <t>RDO-18 SET!C172</t>
  </si>
  <si>
    <t>RDO-18 SET!C173</t>
  </si>
  <si>
    <t>RDO-18 SET!C174</t>
  </si>
  <si>
    <t>RDO-18 SET!C177</t>
  </si>
  <si>
    <t>RDO-18 SET!C178</t>
  </si>
  <si>
    <t>RDO-18 SET!C186</t>
  </si>
  <si>
    <t>RDO-18 SET!C187</t>
  </si>
  <si>
    <t>RDO-18 SET!C188</t>
  </si>
  <si>
    <t>RDO-18 SET!C189</t>
  </si>
  <si>
    <t>RDO-18 SET!C193</t>
  </si>
  <si>
    <t>RDO-18 SET!C194</t>
  </si>
  <si>
    <t>RDO-18 SET!C195</t>
  </si>
  <si>
    <t>RDO-18 SET!C196</t>
  </si>
  <si>
    <t>RDO-18 SET!C197</t>
  </si>
  <si>
    <t>RDO-18 SET!C198</t>
  </si>
  <si>
    <t>RDO-18 SET!C199</t>
  </si>
  <si>
    <t>RDO-18 SET!C200</t>
  </si>
  <si>
    <t>RDO-18 SET!C202</t>
  </si>
  <si>
    <t>RDO-18 SET!C203</t>
  </si>
  <si>
    <t>RDO-18 SET!C204</t>
  </si>
  <si>
    <t>RDO-18 SET!C205</t>
  </si>
  <si>
    <t>RDO-18 SET!C206</t>
  </si>
  <si>
    <t>RDO-18 SET!C207</t>
  </si>
  <si>
    <t>RDO-18 SET!C208</t>
  </si>
  <si>
    <t>RDO-18 SET!C209</t>
  </si>
  <si>
    <t>RDO-18 SET!C210</t>
  </si>
  <si>
    <t>RDO-18 SET!C212</t>
  </si>
  <si>
    <t>RDO-18 SET!C213</t>
  </si>
  <si>
    <t>RDO-18 SET!C214</t>
  </si>
  <si>
    <t>RDO-18 SET!C215</t>
  </si>
  <si>
    <t>RDO-18 SET!C216</t>
  </si>
  <si>
    <t>RDO-18 SET!C217</t>
  </si>
  <si>
    <t>RDO-18 SET!C218</t>
  </si>
  <si>
    <t>RDO-19 SET !C54</t>
  </si>
  <si>
    <t>RDO-19 SET !C61</t>
  </si>
  <si>
    <t>RDO-19 SET !C67</t>
  </si>
  <si>
    <t>RDO-19 SET !C74</t>
  </si>
  <si>
    <t>RDO-19 SET !C77</t>
  </si>
  <si>
    <t>RDO-19 SET !C84</t>
  </si>
  <si>
    <t>RDO-19 SET !C91</t>
  </si>
  <si>
    <t>RDO-19 SET !C98</t>
  </si>
  <si>
    <t>RDO-19 SET !C108</t>
  </si>
  <si>
    <t>RDO-19 SET !C113</t>
  </si>
  <si>
    <t>RDO-19 SET !C120</t>
  </si>
  <si>
    <t>RDO-19 SET !C129</t>
  </si>
  <si>
    <t>RDO-19 SET !C136</t>
  </si>
  <si>
    <t>RDO-19 SET !C146</t>
  </si>
  <si>
    <t>RDO-19 SET !C154</t>
  </si>
  <si>
    <t>RDO-19 SET !C166</t>
  </si>
  <si>
    <t>RDO-19 SET !C167</t>
  </si>
  <si>
    <t>RDO-19 SET !C168</t>
  </si>
  <si>
    <t>RDO-19 SET !C172</t>
  </si>
  <si>
    <t>RDO-19 SET !C177</t>
  </si>
  <si>
    <t>RDO-19 SET !C178</t>
  </si>
  <si>
    <t>RDO-19 SET !C179</t>
  </si>
  <si>
    <t>RDO-19 SET !C186</t>
  </si>
  <si>
    <t>RDO-19 SET !C187</t>
  </si>
  <si>
    <t>RDO-19 SET !C188</t>
  </si>
  <si>
    <t>RDO-19 SET !C189</t>
  </si>
  <si>
    <t>RDO-19 SET !C190</t>
  </si>
  <si>
    <t>RDO-19 SET !C193</t>
  </si>
  <si>
    <t>RDO-19 SET !C194</t>
  </si>
  <si>
    <t>RDO-19 SET !C195</t>
  </si>
  <si>
    <t>RDO-19 SET !C196</t>
  </si>
  <si>
    <t>RDO-19 SET !C197</t>
  </si>
  <si>
    <t>RDO-19 SET !C198</t>
  </si>
  <si>
    <t>RDO-19 SET !C199</t>
  </si>
  <si>
    <t>RDO-19 SET !C200</t>
  </si>
  <si>
    <t>RDO-19 SET !C202</t>
  </si>
  <si>
    <t>RDO-19 SET !C203</t>
  </si>
  <si>
    <t>RDO-19 SET !C204</t>
  </si>
  <si>
    <t>RDO-19 SET !C205</t>
  </si>
  <si>
    <t>RDO-19 SET !C206</t>
  </si>
  <si>
    <t>RDO-19 SET !C207</t>
  </si>
  <si>
    <t>RDO-19 SET !C208</t>
  </si>
  <si>
    <t>RDO-19 SET !C209</t>
  </si>
  <si>
    <t>RDO-19 SET !C210</t>
  </si>
  <si>
    <t>RDO-19 SET !C211</t>
  </si>
  <si>
    <t>RDO-19 SET !C212</t>
  </si>
  <si>
    <t>RDO-19 SET !C213</t>
  </si>
  <si>
    <t>RDO-19 SET !C214</t>
  </si>
  <si>
    <t>RDO-19 SET !C215</t>
  </si>
  <si>
    <t>RDO-19 SET !C216</t>
  </si>
  <si>
    <t>RDO-19 SET !C217</t>
  </si>
  <si>
    <t>RDO-19 SET !C218</t>
  </si>
  <si>
    <t>RDO-19 SET !C219</t>
  </si>
  <si>
    <t>RDO-19 SET !C220</t>
  </si>
  <si>
    <t>RDO-19 SET !C221</t>
  </si>
  <si>
    <t>RDO-20 SET !C54</t>
  </si>
  <si>
    <t>RDO-20 SET !C61</t>
  </si>
  <si>
    <t>RDO-20 SET !C67</t>
  </si>
  <si>
    <t>RDO-20 SET !C77</t>
  </si>
  <si>
    <t>RDO-20 SET !C84</t>
  </si>
  <si>
    <t>RDO-20 SET !C92</t>
  </si>
  <si>
    <t>RDO-20 SET !C98</t>
  </si>
  <si>
    <t>RDO-20 SET !C108</t>
  </si>
  <si>
    <t>RDO-20 SET !C113</t>
  </si>
  <si>
    <t>RDO-20 SET !C120</t>
  </si>
  <si>
    <t>RDO-20 SET !C129</t>
  </si>
  <si>
    <t>RDO-20 SET !C136</t>
  </si>
  <si>
    <t>RDO-20 SET !C146</t>
  </si>
  <si>
    <t>RDO-20 SET !C154</t>
  </si>
  <si>
    <t>RDO-20 SET !C166</t>
  </si>
  <si>
    <t>RDO-20 SET !C167</t>
  </si>
  <si>
    <t>RDO-20 SET !C168</t>
  </si>
  <si>
    <t>RDO-20 SET !C172</t>
  </si>
  <si>
    <t>RDO-20 SET !C177</t>
  </si>
  <si>
    <t>RDO-20 SET !C178</t>
  </si>
  <si>
    <t>RDO-20 SET !C179</t>
  </si>
  <si>
    <t>RDO-20 SET !C186</t>
  </si>
  <si>
    <t>RDO-20 SET !C187</t>
  </si>
  <si>
    <t>RDO-20 SET !C188</t>
  </si>
  <si>
    <t>RDO-20 SET !C189</t>
  </si>
  <si>
    <t>RDO-20 SET !C190</t>
  </si>
  <si>
    <t>RDO-20 SET !C193</t>
  </si>
  <si>
    <t>RDO-20 SET !C194</t>
  </si>
  <si>
    <t>RDO-20 SET !C195</t>
  </si>
  <si>
    <t>RDO-20 SET !C196</t>
  </si>
  <si>
    <t>RDO-20 SET !C197</t>
  </si>
  <si>
    <t>RDO-20 SET !C198</t>
  </si>
  <si>
    <t>RDO-20 SET !C199</t>
  </si>
  <si>
    <t>RDO-20 SET !C200</t>
  </si>
  <si>
    <t>RDO-20 SET !C202</t>
  </si>
  <si>
    <t>RDO-20 SET !C203</t>
  </si>
  <si>
    <t>RDO-20 SET !C204</t>
  </si>
  <si>
    <t>RDO-20 SET !C205</t>
  </si>
  <si>
    <t>RDO-20 SET !C206</t>
  </si>
  <si>
    <t>RDO-20 SET !C207</t>
  </si>
  <si>
    <t>RDO-20 SET !C208</t>
  </si>
  <si>
    <t>RDO-20 SET !C209</t>
  </si>
  <si>
    <t>RDO-20 SET !C210</t>
  </si>
  <si>
    <t>RDO-20 SET !C211</t>
  </si>
  <si>
    <t>RDO-20 SET !C212</t>
  </si>
  <si>
    <t>RDO-20 SET !C213</t>
  </si>
  <si>
    <t>RDO-20 SET !C214</t>
  </si>
  <si>
    <t>RDO-20 SET !C215</t>
  </si>
  <si>
    <t>RDO-20 SET !C216</t>
  </si>
  <si>
    <t>RDO-20 SET !C217</t>
  </si>
  <si>
    <t>RDO-20 SET !C218</t>
  </si>
  <si>
    <t>RDO-20 SET !C219</t>
  </si>
  <si>
    <t>RDO-20 SET !C220</t>
  </si>
  <si>
    <t>RDO-20 SET !C221</t>
  </si>
  <si>
    <t>RDO-21 SET !C54</t>
  </si>
  <si>
    <t>RDO-21 SET !C61</t>
  </si>
  <si>
    <t>RDO-21 SET !C67</t>
  </si>
  <si>
    <t>RDO-21 SET !C77</t>
  </si>
  <si>
    <t>RDO-21 SET !C84</t>
  </si>
  <si>
    <t>RDO-21 SET !C91</t>
  </si>
  <si>
    <t>RDO-21 SET !C92</t>
  </si>
  <si>
    <t>RDO-21 SET !C98</t>
  </si>
  <si>
    <t>RDO-21 SET !C108</t>
  </si>
  <si>
    <t>RDO-21 SET !C113</t>
  </si>
  <si>
    <t>RDO-21 SET !C120</t>
  </si>
  <si>
    <t>RDO-21 SET !C129</t>
  </si>
  <si>
    <t>RDO-21 SET !C136</t>
  </si>
  <si>
    <t>RDO-21 SET !C146</t>
  </si>
  <si>
    <t>RDO-21 SET !C154</t>
  </si>
  <si>
    <t>RDO-21 SET !C166</t>
  </si>
  <si>
    <t>RDO-21 SET !C167</t>
  </si>
  <si>
    <t>RDO-21 SET !C168</t>
  </si>
  <si>
    <t>RDO-21 SET !C172</t>
  </si>
  <si>
    <t>RDO-21 SET !C177</t>
  </si>
  <si>
    <t>RDO-21 SET !C178</t>
  </si>
  <si>
    <t>RDO-21 SET !C179</t>
  </si>
  <si>
    <t>RDO-21 SET !C186</t>
  </si>
  <si>
    <t>RDO-21 SET !C187</t>
  </si>
  <si>
    <t>RDO-21 SET !C188</t>
  </si>
  <si>
    <t>RDO-21 SET !C189</t>
  </si>
  <si>
    <t>RDO-21 SET !C190</t>
  </si>
  <si>
    <t>RDO-21 SET !C193</t>
  </si>
  <si>
    <t>RDO-21 SET !C194</t>
  </si>
  <si>
    <t>RDO-21 SET !C195</t>
  </si>
  <si>
    <t>RDO-21 SET !C196</t>
  </si>
  <si>
    <t>RDO-21 SET !C197</t>
  </si>
  <si>
    <t>RDO-21 SET !C198</t>
  </si>
  <si>
    <t>RDO-21 SET !C199</t>
  </si>
  <si>
    <t>RDO-21 SET !C200</t>
  </si>
  <si>
    <t>RDO-21 SET !C202</t>
  </si>
  <si>
    <t>RDO-21 SET !C203</t>
  </si>
  <si>
    <t>RDO-21 SET !C204</t>
  </si>
  <si>
    <t>RDO-21 SET !C205</t>
  </si>
  <si>
    <t>RDO-21 SET !C206</t>
  </si>
  <si>
    <t>RDO-21 SET !C207</t>
  </si>
  <si>
    <t>RDO-21 SET !C208</t>
  </si>
  <si>
    <t>RDO-21 SET !C209</t>
  </si>
  <si>
    <t>RDO-21 SET !C210</t>
  </si>
  <si>
    <t>RDO-21 SET !C211</t>
  </si>
  <si>
    <t>RDO-21 SET !C212</t>
  </si>
  <si>
    <t>RDO-21 SET !C213</t>
  </si>
  <si>
    <t>RDO-21 SET !C214</t>
  </si>
  <si>
    <t>RDO-21 SET !C215</t>
  </si>
  <si>
    <t>RDO-21 SET !C216</t>
  </si>
  <si>
    <t>RDO-21 SET !C217</t>
  </si>
  <si>
    <t>RDO-21 SET !C218</t>
  </si>
  <si>
    <t>RDO-21 SET !C219</t>
  </si>
  <si>
    <t>RDO-21 SET !C220</t>
  </si>
  <si>
    <t>RDO-21 SET !C221</t>
  </si>
  <si>
    <t>RDO-22 SET !C54</t>
  </si>
  <si>
    <t>RDO-22 SET !C61</t>
  </si>
  <si>
    <t>RDO-22 SET !C67</t>
  </si>
  <si>
    <t>RDO-22 SET !C77</t>
  </si>
  <si>
    <t>RDO-22 SET !C84</t>
  </si>
  <si>
    <t>RDO-22 SET !C91</t>
  </si>
  <si>
    <t>RDO-22 SET !C92</t>
  </si>
  <si>
    <t>RDO-22 SET !C98</t>
  </si>
  <si>
    <t>RDO-22 SET !C108</t>
  </si>
  <si>
    <t>RDO-22 SET !C113</t>
  </si>
  <si>
    <t>RDO-22 SET !C120</t>
  </si>
  <si>
    <t>RDO-22 SET !C129</t>
  </si>
  <si>
    <t>RDO-22 SET !C136</t>
  </si>
  <si>
    <t>RDO-22 SET !C146</t>
  </si>
  <si>
    <t>RDO-22 SET !C154</t>
  </si>
  <si>
    <t>RDO-22 SET !C166</t>
  </si>
  <si>
    <t>RDO-22 SET !C167</t>
  </si>
  <si>
    <t>RDO-22 SET !C168</t>
  </si>
  <si>
    <t>RDO-22 SET !C172</t>
  </si>
  <si>
    <t>RDO-22 SET !C173</t>
  </si>
  <si>
    <t>RDO-22 SET !C174</t>
  </si>
  <si>
    <t>RDO-22 SET !C177</t>
  </si>
  <si>
    <t>RDO-22 SET !C178</t>
  </si>
  <si>
    <t>RDO-22 SET !C179</t>
  </si>
  <si>
    <t>RDO-22 SET !C186</t>
  </si>
  <si>
    <t>RDO-22 SET !C187</t>
  </si>
  <si>
    <t>RDO-22 SET !C188</t>
  </si>
  <si>
    <t>RDO-22 SET !C189</t>
  </si>
  <si>
    <t>RDO-22 SET !C193</t>
  </si>
  <si>
    <t>RDO-22 SET !C194</t>
  </si>
  <si>
    <t>RDO-22 SET !C195</t>
  </si>
  <si>
    <t>RDO-22 SET !C196</t>
  </si>
  <si>
    <t>RDO-22 SET !C197</t>
  </si>
  <si>
    <t>RDO-22 SET !C198</t>
  </si>
  <si>
    <t>RDO-22 SET !C199</t>
  </si>
  <si>
    <t>RDO-22 SET !C200</t>
  </si>
  <si>
    <t>RDO-22 SET !C202</t>
  </si>
  <si>
    <t>RDO-22 SET !C203</t>
  </si>
  <si>
    <t>RDO-22 SET !C204</t>
  </si>
  <si>
    <t>RDO-22 SET !C205</t>
  </si>
  <si>
    <t>RDO-22 SET !C206</t>
  </si>
  <si>
    <t>RDO-22 SET !C207</t>
  </si>
  <si>
    <t>RDO-22 SET !C208</t>
  </si>
  <si>
    <t>RDO-22 SET !C209</t>
  </si>
  <si>
    <t>RDO-22 SET !C210</t>
  </si>
  <si>
    <t>RDO-22 SET !C211</t>
  </si>
  <si>
    <t>RDO-22 SET !C212</t>
  </si>
  <si>
    <t>RDO-22 SET !C213</t>
  </si>
  <si>
    <t>RDO-22 SET !C214</t>
  </si>
  <si>
    <t>RDO-22 SET !C215</t>
  </si>
  <si>
    <t>RDO-22 SET !C216</t>
  </si>
  <si>
    <t>RDO-22 SET !C217</t>
  </si>
  <si>
    <t>RDO-22 SET !C218</t>
  </si>
  <si>
    <t>RDO-22 SET !C220</t>
  </si>
  <si>
    <t>RDO-22 SET !C221</t>
  </si>
  <si>
    <t>BITÁCORA RDO – Trabajos y novedades por guardia</t>
  </si>
  <si>
    <t>Enlazada a las hojas RDO (columna C, filas 53 en adelante). Usa los filtros de la tabla para buscar por fecha, guardia o área.</t>
  </si>
  <si>
    <t>REGISTRO RDO – Parámetros operativos por día y guardia</t>
  </si>
  <si>
    <t>Enlazado a las hojas RDO (filas 8–52). Cada fila = un parámetro, una guardia y un día. Fecha tomada del número de la hoja (RDO-05 → 05/09/2026).</t>
  </si>
  <si>
    <t>VISTA RDO – Consulta por fecha</t>
  </si>
  <si>
    <t>Primera fecha</t>
  </si>
  <si>
    <t>Última fecha</t>
  </si>
  <si>
    <t>Cambia la fecha en la celda amarilla. Los valores se leen del Registro RDO.</t>
  </si>
  <si>
    <t>Meta (num.)</t>
  </si>
  <si>
    <t>• Fase 3: Registro RDO (tblRDO, 4.794 filas enlazadas a RDO-01…22, filas 8–52), Bitácora RDO (tblBitacora, 1.150 novedades por guardia) y Vista RDO (consulta por fecha en C3).</t>
  </si>
  <si>
    <t>• Cálculo: 106 celdas pegadas reemplazadas por fórmulas (ratios, cumplimiento y ACUM). Metas numéricas en M32 (95) y M44 (85). Resultados idénticos a los anteriores.</t>
  </si>
  <si>
    <t>• embarque AY4: #¿NOMBRE? corregido (usaba los nombres mes_actual y MES, que no existían). Ahora muestra el mes del reporte.</t>
  </si>
  <si>
    <t>• RTM-MAGNETICA: eliminadas las filas 300 en adelante (había una fila suelta en la 1.048.574 sin fecha, aviso ni equipo). El rango usado queda en B3:K287.</t>
  </si>
  <si>
    <t>• Hoja8 (oculta y vacía) eliminada.</t>
  </si>
  <si>
    <t>Mes del reporte</t>
  </si>
  <si>
    <t>Fechas del mes</t>
  </si>
  <si>
    <t>• Tabla diaria Concentrado/Sinter de Reporte Auto ahora es automática (hoja Índice Diario). Concentrado = Concentrado total − P_AJUSTE_CONC (C14).</t>
  </si>
  <si>
    <t>CONCENTRADO
(TMS)</t>
  </si>
  <si>
    <t>Concentrado neto (TMS)</t>
  </si>
  <si>
    <t>Plan de Producción - Concentrado</t>
  </si>
  <si>
    <t xml:space="preserve">CONCENTRADO
</t>
  </si>
  <si>
    <t>Concentrado bruto (TMS)</t>
  </si>
  <si>
    <t>Ajuste Concentrado neto vs Concentrado bruto</t>
  </si>
  <si>
    <t>CONFIGURACIÓN DEL LIBRO MAESTRO</t>
  </si>
  <si>
    <t>Celdas en azul = datos de entrada. Cambie el mes aquí al iniciar un mes nuevo; el resto del libro se recalcula.</t>
  </si>
  <si>
    <t>1. Periodo y jornada</t>
  </si>
  <si>
    <t>Mes y año</t>
  </si>
  <si>
    <t>Último día del mes</t>
  </si>
  <si>
    <t>Hora de inicio de la jornada</t>
  </si>
  <si>
    <t>Horas por jornada</t>
  </si>
  <si>
    <t>Usuario (vacío = usuario de Windows)</t>
  </si>
  <si>
    <t>Versión de la plantilla</t>
  </si>
  <si>
    <t>Calculado.</t>
  </si>
  <si>
    <t>Calculado (28 a 31).</t>
  </si>
  <si>
    <t>09:00 según CONTROL PROD.CONCENTRADO. La jornada de 24 h va de esta hora a la misma hora del día siguiente.</t>
  </si>
  <si>
    <t>Número de horas esperadas por día en el control de completitud.</t>
  </si>
  <si>
    <t>Se guarda en Registrado por. Si está vacío, la macro usa el usuario de Windows.</t>
  </si>
  <si>
    <t>Cambie el número al modificar la plantilla.</t>
  </si>
  <si>
    <t>Estado del día</t>
  </si>
  <si>
    <t>Estado del dato</t>
  </si>
  <si>
    <t>Abierto</t>
  </si>
  <si>
    <t>Aprobado</t>
  </si>
  <si>
    <t>Medido</t>
  </si>
  <si>
    <t>Estimado</t>
  </si>
  <si>
    <t>Corregido</t>
  </si>
  <si>
    <t>Sin dato</t>
  </si>
  <si>
    <t>METAS Y CONSTANTES CON VIGENCIA</t>
  </si>
  <si>
    <t>Cada meta tiene fecha 'Desde' y 'Hasta'. Para cambiar una meta: cierre la fila vigente (poner Hasta) y agregue una fila nueva. Los meses pasados no se recalculan.</t>
  </si>
  <si>
    <t>Código</t>
  </si>
  <si>
    <t>Meta</t>
  </si>
  <si>
    <t>Desde</t>
  </si>
  <si>
    <t>Hasta</t>
  </si>
  <si>
    <t>CAP_ALIM_H</t>
  </si>
  <si>
    <t>Capacidad de alimentación horaria (antes Parámetros)</t>
  </si>
  <si>
    <t>CAP_CONC_DIA</t>
  </si>
  <si>
    <t>KPI_S</t>
  </si>
  <si>
    <t>KPI_FE</t>
  </si>
  <si>
    <t>KPI_FEO</t>
  </si>
  <si>
    <t>BANDA</t>
  </si>
  <si>
    <t>Banda de control DTT-100 alrededor de la mediana</t>
  </si>
  <si>
    <t>AJUSTE_CONC</t>
  </si>
  <si>
    <t>W_ANT</t>
  </si>
  <si>
    <t>Ponderación espesador anterior (Fe y FeO)</t>
  </si>
  <si>
    <t>factor</t>
  </si>
  <si>
    <t>Antes escrito dentro de la fórmula (×0,4)</t>
  </si>
  <si>
    <t>W_NUEVO</t>
  </si>
  <si>
    <t>Ponderación espesador nuevo (Fe y FeO)</t>
  </si>
  <si>
    <t>Antes escrito dentro de la fórmula (×0,6)</t>
  </si>
  <si>
    <t>Celdas en azul = datos de entrada editables. Reporte Auto toma estos valores; no hace falta modificar sus fórmulas. Excepto la sección 1 (verde): las metas y capacidades se leen de la hoja Metas según la fecha del reporte.</t>
  </si>
  <si>
    <t>CATÁLOGO DE PARÁMETROS</t>
  </si>
  <si>
    <t>Define cada variable de la captura: unidad, rango válido y si es obligatoria. La hoja Captura-Concentrado toma de aquí los mínimos y máximos. Rangos marcados 'POR CONFIRMAR' son propuestos según los datos de setiembre.</t>
  </si>
  <si>
    <t>Mín</t>
  </si>
  <si>
    <t>Máx</t>
  </si>
  <si>
    <t>Decimales</t>
  </si>
  <si>
    <t>Obligatorio</t>
  </si>
  <si>
    <t>MINERAL</t>
  </si>
  <si>
    <t>Mineral (TMS)</t>
  </si>
  <si>
    <t>Sí</t>
  </si>
  <si>
    <t>Observado 0–1.655 · POR CONFIRMAR</t>
  </si>
  <si>
    <t>CONC</t>
  </si>
  <si>
    <t>Observado 247–1.348 · POR CONFIRMAR</t>
  </si>
  <si>
    <t>No</t>
  </si>
  <si>
    <t>Observado 0,106–0,436 · POR CONFIRMAR</t>
  </si>
  <si>
    <t>RM123_S</t>
  </si>
  <si>
    <t>RM 1/2/3 DTT-100 S</t>
  </si>
  <si>
    <t>Observado 0,358–1,124 · POR CONFIRMAR</t>
  </si>
  <si>
    <t>RM123_SF</t>
  </si>
  <si>
    <t>RM 1/2/3 DTT-100 S/F</t>
  </si>
  <si>
    <t>Observado 0,25–0,89 · POR CONFIRMAR</t>
  </si>
  <si>
    <t>RM59_S</t>
  </si>
  <si>
    <t>RM 5/6/7/8/9 DTT-100 S</t>
  </si>
  <si>
    <t>Observado 0,381–1,485 · POR CONFIRMAR</t>
  </si>
  <si>
    <t>RM59_SF</t>
  </si>
  <si>
    <t>RM 5/6/7/8/9 DTT-100 S/F</t>
  </si>
  <si>
    <t>ESP_ANT_FE</t>
  </si>
  <si>
    <t>Observado 16,8–39,1 · POR CONFIRMAR</t>
  </si>
  <si>
    <t>ESP_N_FE</t>
  </si>
  <si>
    <t>Observado 1,4–30,2 · POR CONFIRMAR</t>
  </si>
  <si>
    <t>ESP_ANT_FEO</t>
  </si>
  <si>
    <t>Observado 0,6–5,8 · POR CONFIRMAR</t>
  </si>
  <si>
    <t>ESP_N_FEO</t>
  </si>
  <si>
    <t>Observado 0,9–10,8 · POR CONFIRMAR</t>
  </si>
  <si>
    <t>H2O (%)</t>
  </si>
  <si>
    <t>Observado 8–8,9 · POR CONFIRMAR</t>
  </si>
  <si>
    <t>BASE DE DATOS — PRODUCCIÓN HORARIA DE CONCENTRADO</t>
  </si>
  <si>
    <t>Una fila por hora y día. No editar a mano: se llena con el botón Guardar día de Captura-Concentrado (macro). Las columnas grises son calculadas.</t>
  </si>
  <si>
    <t>ID</t>
  </si>
  <si>
    <t>N° hora</t>
  </si>
  <si>
    <t>Hora</t>
  </si>
  <si>
    <t>Obs. Magnética</t>
  </si>
  <si>
    <t>Obs. Filtros</t>
  </si>
  <si>
    <t>Registrado por</t>
  </si>
  <si>
    <t>Fecha registro</t>
  </si>
  <si>
    <t>Prom. Fe Sol</t>
  </si>
  <si>
    <t>Prom. FeO</t>
  </si>
  <si>
    <t>% Recup.</t>
  </si>
  <si>
    <t>Duplicado</t>
  </si>
  <si>
    <t>Migración inicial</t>
  </si>
  <si>
    <t>Barras 4 paró 01:45 hrs, bolas 10 paró 01:58 hrs por perforación en canal de alimentación. // Se reduce dosificacion de xantato</t>
  </si>
  <si>
    <t>Bolas 7 arranco 01:32hr.</t>
  </si>
  <si>
    <t>Bm01 se cambio bomba de alta, en operación</t>
  </si>
  <si>
    <t>[Nota migrada de col. S] 📌 ABORDO =8,100 TM</t>
  </si>
  <si>
    <t>REGISTRO DE AUDITORÍA</t>
  </si>
  <si>
    <t>Cada guardado o corrección hecho con la macro deja aquí una fila: quién, cuándo, qué dato cambió (valor anterior y nuevo) y el motivo. No borrar filas.</t>
  </si>
  <si>
    <t>Fecha y hora</t>
  </si>
  <si>
    <t>Usuario</t>
  </si>
  <si>
    <t>Tabla</t>
  </si>
  <si>
    <t>Clave (fecha)</t>
  </si>
  <si>
    <t>Acción</t>
  </si>
  <si>
    <t>Campo</t>
  </si>
  <si>
    <t>Valor anterior</t>
  </si>
  <si>
    <t>Valor nuevo</t>
  </si>
  <si>
    <t>Migración</t>
  </si>
  <si>
    <t>tblConcentrado</t>
  </si>
  <si>
    <t>01/09/2026 al 30/09/2026</t>
  </si>
  <si>
    <t>Alta masiva</t>
  </si>
  <si>
    <t>(todos)</t>
  </si>
  <si>
    <t>522 filas horarias</t>
  </si>
  <si>
    <t>Migración inicial desde la hoja CONTROL PROD.CONCENTRADO</t>
  </si>
  <si>
    <t>CONTROL DE DÍAS — COMPLETITUD Y CIERRE</t>
  </si>
  <si>
    <t>Semáforo por día: horas de concentrado y RDO cargados. Estado del día: Abierto (editable) / Cerrado o Aprobado (la macro no deja modificarlo sin cambiar el estado).</t>
  </si>
  <si>
    <t>Horas cargadas</t>
  </si>
  <si>
    <t>Horas esperadas</t>
  </si>
  <si>
    <t>Completitud</t>
  </si>
  <si>
    <t>Semáforo concentrado</t>
  </si>
  <si>
    <t>Filas RDO</t>
  </si>
  <si>
    <t>Semáforo RDO</t>
  </si>
  <si>
    <t>Cerrado por</t>
  </si>
  <si>
    <t>Mes en control</t>
  </si>
  <si>
    <t>Días completos</t>
  </si>
  <si>
    <t>Días parciales</t>
  </si>
  <si>
    <t>Días sin datos</t>
  </si>
  <si>
    <t>Días cerrados o aprobados</t>
  </si>
  <si>
    <t>Chequeo</t>
  </si>
  <si>
    <t>Mín válido</t>
  </si>
  <si>
    <t>Máx válido</t>
  </si>
  <si>
    <t>Total / promedio del día</t>
  </si>
  <si>
    <t>Clave del día (AAAAMMDD)</t>
  </si>
  <si>
    <t>Se usa para buscar el día en tblConcentrado (ID = clave × 100 + N° de hora)</t>
  </si>
  <si>
    <t>Toma cada día de la base de datos tblConcentrado (por fecha) y de la hoja RDO-dd SET de ese día. Las hojas RDO nuevas deben enlazarse (ver nota al pie).</t>
  </si>
  <si>
    <t>LIBRO MAESTRO DE REPORTES — BENEFICIO ZA</t>
  </si>
  <si>
    <t>Guía de uso y diccionario de datos. Versión de la plantilla en Config (CFG_VERSION).</t>
  </si>
  <si>
    <t>Paso 1</t>
  </si>
  <si>
    <t>Paso 2</t>
  </si>
  <si>
    <t>Paso 3</t>
  </si>
  <si>
    <t>Paso 4</t>
  </si>
  <si>
    <t>Paso 5</t>
  </si>
  <si>
    <t>2. Iniciar un mes nuevo</t>
  </si>
  <si>
    <t>Hoja</t>
  </si>
  <si>
    <t>Función</t>
  </si>
  <si>
    <t>Config</t>
  </si>
  <si>
    <t>Control Días</t>
  </si>
  <si>
    <t>Auditoría</t>
  </si>
  <si>
    <t>4. Diccionario de tablas</t>
  </si>
  <si>
    <t>Contenido y clave</t>
  </si>
  <si>
    <t>tblDias</t>
  </si>
  <si>
    <t>tblAuditoria</t>
  </si>
  <si>
    <t>Macros</t>
  </si>
  <si>
    <t>Multiusuario</t>
  </si>
  <si>
    <t>Protección</t>
  </si>
  <si>
    <t>Aún no se protegen hojas; conviene hacerlo dejando desbloqueadas las celdas azules.</t>
  </si>
  <si>
    <t>2. Origen del Sinter Calibrado (Índice Diario)</t>
  </si>
  <si>
    <t>Área del RDO</t>
  </si>
  <si>
    <t>Área donde se registra el sinter calibrado en tblRDO.</t>
  </si>
  <si>
    <t>Parámetro del RDO</t>
  </si>
  <si>
    <t>Fila 'Transferido (TMH)' bajo 'Sinter Calibrado'.</t>
  </si>
  <si>
    <t>Guardia con el acumulado del día</t>
  </si>
  <si>
    <t>La guardia C trae el acumulado de las 3 guardias (ej. 0 / 1.560 / 3.144).</t>
  </si>
  <si>
    <t xml:space="preserve"> INICIO: 26/08/2026   🕐 12:15 h.</t>
  </si>
  <si>
    <t xml:space="preserve"> INICIO: 01/09/2026   🕐 14:15 h.</t>
  </si>
  <si>
    <t>APERTURA PUERTO: 01/09/2026   🕐 07:00 h.</t>
  </si>
  <si>
    <t>TERMINO: 01/09/2026   🕐 11:55 h.</t>
  </si>
  <si>
    <t>✅ PRODUCTO = CKIS</t>
  </si>
  <si>
    <t>INICIO: 04/09/2026 🕐 00:00 h.</t>
  </si>
  <si>
    <t>CIERRE PUERTO: 04/09/2026 🕐 23:30 h.</t>
  </si>
  <si>
    <t>APERTURA PUERTO: 07/09/2026 🕐 11:30 h.</t>
  </si>
  <si>
    <t>》Mineral: FKPS</t>
  </si>
  <si>
    <t>✅Inicio de embarque:14-09-2026🕰️10:35hrs</t>
  </si>
  <si>
    <t>✅Inicio de embarque:17-09-2026🕰️00:05hrs</t>
  </si>
  <si>
    <t>✅Inicio de embarque:16-09-2026🕰️20:30hrs</t>
  </si>
  <si>
    <t>✅Inicio de embarque:18-09-2026🕰️23:00hrs</t>
  </si>
  <si>
    <t>Tipo</t>
  </si>
  <si>
    <t>Activo</t>
  </si>
  <si>
    <t>Número</t>
  </si>
  <si>
    <t>Área bitácora</t>
  </si>
  <si>
    <t>SEPARADORES MAGNETICOS</t>
  </si>
  <si>
    <t>OTROS</t>
  </si>
  <si>
    <t>CATÁLOGO DE CONTROLES DIARIOS</t>
  </si>
  <si>
    <t>Módulos (tblModulos) e ítems (tblCatControles) que alimentan Captura-Controles. Para agregar un equipo o un módulo nuevo, agregue filas; no hace falta tocar fórmulas ni la macro.</t>
  </si>
  <si>
    <t>Módulo</t>
  </si>
  <si>
    <t>Etiqueta 1</t>
  </si>
  <si>
    <t>Etiqueta 2</t>
  </si>
  <si>
    <t>Etiqueta 3</t>
  </si>
  <si>
    <t>Hoja origen (histórica)</t>
  </si>
  <si>
    <t>FILTROS H2O</t>
  </si>
  <si>
    <t>Programa de limpieza diaria de filtros de H2O</t>
  </si>
  <si>
    <t>Filtros de H20</t>
  </si>
  <si>
    <t>PURGA TKS AIRE</t>
  </si>
  <si>
    <t>Purga de tanques de aire comprimido - planta magnética</t>
  </si>
  <si>
    <t>1er Turno</t>
  </si>
  <si>
    <t>2do Turno</t>
  </si>
  <si>
    <t>3er Turno</t>
  </si>
  <si>
    <t>CONTROL PURGA TKS AIRE</t>
  </si>
  <si>
    <t>LIMPIEZA CANALETAS</t>
  </si>
  <si>
    <t>Programa de limpieza de canaletas (una marca por día)</t>
  </si>
  <si>
    <t>LIMPIEZA SEP.MAG. COBBER</t>
  </si>
  <si>
    <t>Cumplimiento de limpieza de separadores magnéticos Cobber</t>
  </si>
  <si>
    <t>3° Turno</t>
  </si>
  <si>
    <t>REACTIVOS</t>
  </si>
  <si>
    <t>Consumo de reactivos</t>
  </si>
  <si>
    <t>Turno día (12 h)</t>
  </si>
  <si>
    <t>Turno noche (12 h)</t>
  </si>
  <si>
    <t>CONTROL CONSUMO REACTIVOS</t>
  </si>
  <si>
    <t>TONELADAS X TURNO</t>
  </si>
  <si>
    <t>Toneladas por molino de barras y turno</t>
  </si>
  <si>
    <t>AGREGADO MEDIOS</t>
  </si>
  <si>
    <t>Medios moledores agregados por día</t>
  </si>
  <si>
    <t>Cantidad</t>
  </si>
  <si>
    <t>AGREGADO MEDIOS MOLEDORES</t>
  </si>
  <si>
    <t>CARGA MOLINOS</t>
  </si>
  <si>
    <t>Porcentaje de carga de medios por molino</t>
  </si>
  <si>
    <t>% carga</t>
  </si>
  <si>
    <t>MEDIOS MOLEDORES</t>
  </si>
  <si>
    <t>Ítems por módulo</t>
  </si>
  <si>
    <t>Ítem</t>
  </si>
  <si>
    <t>Ubicación / detalle</t>
  </si>
  <si>
    <t>Referencia</t>
  </si>
  <si>
    <t>Filtro # 2</t>
  </si>
  <si>
    <t>Filtro # 3</t>
  </si>
  <si>
    <t>Filtro # 4</t>
  </si>
  <si>
    <t>Filtro # 5</t>
  </si>
  <si>
    <t>Filtro Linea # 7</t>
  </si>
  <si>
    <t>Filtro Linea # 8</t>
  </si>
  <si>
    <t>Filtro Linea # 9 (01)</t>
  </si>
  <si>
    <t>Filtro Linea # 9 (02)</t>
  </si>
  <si>
    <t>TK-MG-S. ROTULO</t>
  </si>
  <si>
    <t>P2-T1</t>
  </si>
  <si>
    <t>Transversal · BM 032-201 / 202-202</t>
  </si>
  <si>
    <t>P2-H1</t>
  </si>
  <si>
    <t>Horizontal · 213-394 / 032-202</t>
  </si>
  <si>
    <t>P2-H2</t>
  </si>
  <si>
    <t>Horizontal · 213-233 / 032-203</t>
  </si>
  <si>
    <t>P2-H3</t>
  </si>
  <si>
    <t>Horizontal · 213-104 / 032-204</t>
  </si>
  <si>
    <t>P2-H4</t>
  </si>
  <si>
    <t>Horizontal · 213-311 / 032-205</t>
  </si>
  <si>
    <t>P2-H5</t>
  </si>
  <si>
    <t>Horizontal · 032-206</t>
  </si>
  <si>
    <t>P2-H6</t>
  </si>
  <si>
    <t>Horizontal · 032-207</t>
  </si>
  <si>
    <t>P2-H7</t>
  </si>
  <si>
    <t>Horizontal · 032-208</t>
  </si>
  <si>
    <t>P2-H8</t>
  </si>
  <si>
    <t>Horizontal · 032-209-210</t>
  </si>
  <si>
    <t>P2-T2</t>
  </si>
  <si>
    <t>Transversal · Colector BM</t>
  </si>
  <si>
    <t>P2-T3</t>
  </si>
  <si>
    <t>Transversal · Transferencia BM</t>
  </si>
  <si>
    <t>P2-T4</t>
  </si>
  <si>
    <t>Transversal · Descarga BM</t>
  </si>
  <si>
    <t>P2-T5</t>
  </si>
  <si>
    <t>Transversal · Canal principal</t>
  </si>
  <si>
    <t>P3-T6</t>
  </si>
  <si>
    <t>Transversal · 213-800 / 231</t>
  </si>
  <si>
    <t>P3-T7</t>
  </si>
  <si>
    <t>Transversal · 213-653 / 654</t>
  </si>
  <si>
    <t>P3-T8</t>
  </si>
  <si>
    <t>Transversal · 213-477-480</t>
  </si>
  <si>
    <t>P3-H9</t>
  </si>
  <si>
    <t>Horizontal · 213-243 / 242</t>
  </si>
  <si>
    <t>P3-CANAL C</t>
  </si>
  <si>
    <t>Transversal · Canal general</t>
  </si>
  <si>
    <t>Ácido oxálico</t>
  </si>
  <si>
    <t>Consumo por turno de 12 h</t>
  </si>
  <si>
    <t>kg</t>
  </si>
  <si>
    <t>Xantato</t>
  </si>
  <si>
    <t>Concentración al 7 %, consumo por turno de 12 h</t>
  </si>
  <si>
    <t>Espumante</t>
  </si>
  <si>
    <t>Barras en unidades (1-8: 241 kg, 9: 236 kg)</t>
  </si>
  <si>
    <t>unid</t>
  </si>
  <si>
    <t>Conos y bolas en toneladas</t>
  </si>
  <si>
    <t>TM</t>
  </si>
  <si>
    <t>Carga nominal según STD</t>
  </si>
  <si>
    <t>BM - 2</t>
  </si>
  <si>
    <t>BASE DE DATOS — CONTROLES DIARIOS (checklists, consumos y medios)</t>
  </si>
  <si>
    <t>Una fila por Fecha + Módulo + Ítem + Turno. No editar a mano: se llena con Guardar día de Captura-Controles. Turno 'Obs' = observación del ítem. Columnas grises calculadas.</t>
  </si>
  <si>
    <t>Clave</t>
  </si>
  <si>
    <t>Migración: MEDIOS MOLEDORES (ceros y errores omitidos)</t>
  </si>
  <si>
    <t>Migración: AGREGADO MEDIOS MOLEDORES</t>
  </si>
  <si>
    <t>Filtro # 1</t>
  </si>
  <si>
    <t>Migración: Filtros de H20 bloque 1</t>
  </si>
  <si>
    <t>Migración: CONTROL CONSUMO REACTIVOS</t>
  </si>
  <si>
    <t>Migración: TONELADAS X TURNO</t>
  </si>
  <si>
    <t>Migración: Filtros de H20 bloque 2</t>
  </si>
  <si>
    <t>Migración: CONTROL PURGA TKS AIRE</t>
  </si>
  <si>
    <t>Obs</t>
  </si>
  <si>
    <t>Migración: Filtros de H20 bloque 3</t>
  </si>
  <si>
    <t>Migración: Filtros de H20 bloque 4</t>
  </si>
  <si>
    <t>tblControles</t>
  </si>
  <si>
    <t>01/09/2026 al 28/09/2026</t>
  </si>
  <si>
    <t>1893 filas</t>
  </si>
  <si>
    <t>Migración inicial desde reactivos, toneladas, medios, filtros H2O y purga TKs</t>
  </si>
  <si>
    <t>Observación</t>
  </si>
  <si>
    <t>P3-T9</t>
  </si>
  <si>
    <t>Transversal · 213-818 / 817</t>
  </si>
  <si>
    <t>RATIO_MIN_CONC</t>
  </si>
  <si>
    <t>Relación mineral / concentrado en paradas</t>
  </si>
  <si>
    <t>TM/TMS</t>
  </si>
  <si>
    <t>Antes escrito dentro de la fórmula (÷1,5) en la hoja Fallas</t>
  </si>
  <si>
    <t>Tipo de falla</t>
  </si>
  <si>
    <t>Mecánica</t>
  </si>
  <si>
    <t>Eléctrica</t>
  </si>
  <si>
    <t>Otros</t>
  </si>
  <si>
    <t>Una fila por evento. Escriba directamente debajo de la última fila (la tabla crece sola). Azul = dato de entrada; gris = calculado. Los factores TM/h y la relación mineral/concentrado (Metas) reemplazan los números escritos dentro de las fórmulas de la hoja Fallas.</t>
  </si>
  <si>
    <t>Horas perdidas</t>
  </si>
  <si>
    <t>TM/h no procesadas</t>
  </si>
  <si>
    <t>Mineral no procesado (TM)</t>
  </si>
  <si>
    <t>Migración: Fallas</t>
  </si>
  <si>
    <t>Perforacion en distribuidor de ciclones</t>
  </si>
  <si>
    <t>Migración: Fallas (fecha corregida)</t>
  </si>
  <si>
    <t>Por perforacion del canal de alimentacion</t>
  </si>
  <si>
    <t>falla electrica en arranque, se subio factor de potencia</t>
  </si>
  <si>
    <t>Filas controles</t>
  </si>
  <si>
    <t>Horas de parada</t>
  </si>
  <si>
    <t>Horas de parada del mes</t>
  </si>
  <si>
    <t>Días con controles cargados</t>
  </si>
  <si>
    <t>1. Flujo diario</t>
  </si>
  <si>
    <t>Paradas y balanzas: se escriben directamente en la tabla (Paradas, BALANZAS); la tabla crece sola.</t>
  </si>
  <si>
    <t>Reporte Auto e Índice Diario leen de las tablas por fecha (selector en Reporte Auto!T1). Vista RDO consulta tblRDO.</t>
  </si>
  <si>
    <t>Corregir un día</t>
  </si>
  <si>
    <t>Elegir la fecha → CARGAR DÍA → modificar → GUARDAR DÍA (pide motivo y deja rastro en Auditoría). Al terminar: CERRAR DÍA.</t>
  </si>
  <si>
    <t>Metas: si cambió una meta, cerrar la fila vigente (Hasta) y agregar una nueva con Desde.</t>
  </si>
  <si>
    <t>Guardar una copia del libro, por ejemplo AAAA-MM_Beneficio_ZA.xlsm.</t>
  </si>
  <si>
    <t>3. Mapa de hojas</t>
  </si>
  <si>
    <t>Mes, hora de inicio de jornada, usuario, versión y origen del sinter calibrado.</t>
  </si>
  <si>
    <t>Paradas</t>
  </si>
  <si>
    <t>Semáforo por día: concentrado, RDO, controles y horas de parada; estado Abierto/Cerrado/Aprobado.</t>
  </si>
  <si>
    <t>Metas / Catálogo / Catálogo Controles</t>
  </si>
  <si>
    <t>Metas con vigencia; parámetros con rangos; módulos e ítems de controles.</t>
  </si>
  <si>
    <t>Datos Concentrado / Datos Controles</t>
  </si>
  <si>
    <t>Bases de datos (tblConcentrado, tblControles).</t>
  </si>
  <si>
    <t>Registro RDO / Bitácora RDO</t>
  </si>
  <si>
    <t>Bitácora de altas, correcciones y cierres.</t>
  </si>
  <si>
    <t>Fecha + N° hora. ID = AAAAMMDD×100 + N° hora. Columnas grises calculadas.</t>
  </si>
  <si>
    <t>Fecha + Módulo + Ítem + Turno (Clave). Turno 'Obs' = observación del ítem. Valor: OK/X/NA o número.</t>
  </si>
  <si>
    <t>tblRDO / tblBitacora</t>
  </si>
  <si>
    <t>tblRDO: Fecha + Área + Parámetro + Guardia. tblBitacora: eventos por guardia y área.</t>
  </si>
  <si>
    <t>tblParadas</t>
  </si>
  <si>
    <t>Un evento por fila. Mineral y concentrado no producido se calculan con TM/h y la relación de Metas.</t>
  </si>
  <si>
    <t>Una fila por fecha: estado, completitud y semáforos.</t>
  </si>
  <si>
    <t>Registro cronológico de cambios.</t>
  </si>
  <si>
    <t>tblBalanzas</t>
  </si>
  <si>
    <t>Calibración de balanzas (dato manual).</t>
  </si>
  <si>
    <t>tblAvisos / tblEquipos</t>
  </si>
  <si>
    <t>Sin cambios.</t>
  </si>
  <si>
    <t>5. Pendiente y límites</t>
  </si>
  <si>
    <t>No migrado</t>
  </si>
  <si>
    <t>Datos corregidos</t>
  </si>
  <si>
    <t>Filtros H2O: fechas fuera de secuencia corregidas por bloques de 7 días (ver Origen). Paradas: fecha 46238 → 46269.</t>
  </si>
  <si>
    <t>Ceros en carga de medios</t>
  </si>
  <si>
    <t>En la carga de medios solo se migraron valores mayores que 0.</t>
  </si>
  <si>
    <t>Una persona a la vez en el archivo. Para captura simultánea se requiere SharePoint / Power Apps.</t>
  </si>
  <si>
    <t>MAPA DE CELDAS DEL RDO</t>
  </si>
  <si>
    <t>Dice a la macro en qué celda de Captura-RDO está cada dato (Área + Parámetro + Guardia). Si cambia el formato del RDO, corrija aquí la celda; la macro no necesita cambios. La bitácora se lee sola: cada celda con texto de la columna C, bajo el rótulo GUARDIA y el área de la columna B.</t>
  </si>
  <si>
    <t>Celda</t>
  </si>
  <si>
    <t>C8</t>
  </si>
  <si>
    <t>D8</t>
  </si>
  <si>
    <t>E8</t>
  </si>
  <si>
    <t>G8</t>
  </si>
  <si>
    <t>I8</t>
  </si>
  <si>
    <t>C9</t>
  </si>
  <si>
    <t>D9</t>
  </si>
  <si>
    <t>E9</t>
  </si>
  <si>
    <t>G9</t>
  </si>
  <si>
    <t>I9</t>
  </si>
  <si>
    <t>C10</t>
  </si>
  <si>
    <t>D10</t>
  </si>
  <si>
    <t>E10</t>
  </si>
  <si>
    <t>G10</t>
  </si>
  <si>
    <t>H10</t>
  </si>
  <si>
    <t>I10</t>
  </si>
  <si>
    <t>C11</t>
  </si>
  <si>
    <t>D11</t>
  </si>
  <si>
    <t>E11</t>
  </si>
  <si>
    <t>G11</t>
  </si>
  <si>
    <t>H11</t>
  </si>
  <si>
    <t>I11</t>
  </si>
  <si>
    <t>G12</t>
  </si>
  <si>
    <t>H12</t>
  </si>
  <si>
    <t>I12</t>
  </si>
  <si>
    <t>C13</t>
  </si>
  <si>
    <t>D13</t>
  </si>
  <si>
    <t>E13</t>
  </si>
  <si>
    <t>G13</t>
  </si>
  <si>
    <t>H13</t>
  </si>
  <si>
    <t>I13</t>
  </si>
  <si>
    <t>C14</t>
  </si>
  <si>
    <t>D14</t>
  </si>
  <si>
    <t>E14</t>
  </si>
  <si>
    <t>G14</t>
  </si>
  <si>
    <t>H14</t>
  </si>
  <si>
    <t>I14</t>
  </si>
  <si>
    <t>C15</t>
  </si>
  <si>
    <t>D15</t>
  </si>
  <si>
    <t>E15</t>
  </si>
  <si>
    <t>G15</t>
  </si>
  <si>
    <t>H15</t>
  </si>
  <si>
    <t>I15</t>
  </si>
  <si>
    <t>C16</t>
  </si>
  <si>
    <t>D16</t>
  </si>
  <si>
    <t>E16</t>
  </si>
  <si>
    <t>G16</t>
  </si>
  <si>
    <t>H16</t>
  </si>
  <si>
    <t>I16</t>
  </si>
  <si>
    <t>C17</t>
  </si>
  <si>
    <t>D17</t>
  </si>
  <si>
    <t>E17</t>
  </si>
  <si>
    <t>G17</t>
  </si>
  <si>
    <t>H17</t>
  </si>
  <si>
    <t>I17</t>
  </si>
  <si>
    <t>C18</t>
  </si>
  <si>
    <t>D18</t>
  </si>
  <si>
    <t>E18</t>
  </si>
  <si>
    <t>G18</t>
  </si>
  <si>
    <t>H18</t>
  </si>
  <si>
    <t>I18</t>
  </si>
  <si>
    <t>C19</t>
  </si>
  <si>
    <t>D19</t>
  </si>
  <si>
    <t>E19</t>
  </si>
  <si>
    <t>G19</t>
  </si>
  <si>
    <t>H19</t>
  </si>
  <si>
    <t>I19</t>
  </si>
  <si>
    <t>C20</t>
  </si>
  <si>
    <t>D20</t>
  </si>
  <si>
    <t>E20</t>
  </si>
  <si>
    <t>G20</t>
  </si>
  <si>
    <t>H20</t>
  </si>
  <si>
    <t>I20</t>
  </si>
  <si>
    <t>C21</t>
  </si>
  <si>
    <t>D21</t>
  </si>
  <si>
    <t>E21</t>
  </si>
  <si>
    <t>G21</t>
  </si>
  <si>
    <t>H21</t>
  </si>
  <si>
    <t>I21</t>
  </si>
  <si>
    <t>C22</t>
  </si>
  <si>
    <t>D22</t>
  </si>
  <si>
    <t>E22</t>
  </si>
  <si>
    <t>G22</t>
  </si>
  <si>
    <t>H22</t>
  </si>
  <si>
    <t>I22</t>
  </si>
  <si>
    <t>C23</t>
  </si>
  <si>
    <t>D23</t>
  </si>
  <si>
    <t>E23</t>
  </si>
  <si>
    <t>G23</t>
  </si>
  <si>
    <t>H23</t>
  </si>
  <si>
    <t>I23</t>
  </si>
  <si>
    <t>G24</t>
  </si>
  <si>
    <t>H24</t>
  </si>
  <si>
    <t>I24</t>
  </si>
  <si>
    <t>C25</t>
  </si>
  <si>
    <t>D25</t>
  </si>
  <si>
    <t>E25</t>
  </si>
  <si>
    <t>G25</t>
  </si>
  <si>
    <t>H25</t>
  </si>
  <si>
    <t>I25</t>
  </si>
  <si>
    <t>G26</t>
  </si>
  <si>
    <t>H26</t>
  </si>
  <si>
    <t>I26</t>
  </si>
  <si>
    <t>C28</t>
  </si>
  <si>
    <t>D28</t>
  </si>
  <si>
    <t>E28</t>
  </si>
  <si>
    <t>C29</t>
  </si>
  <si>
    <t>D29</t>
  </si>
  <si>
    <t>E29</t>
  </si>
  <si>
    <t>G29</t>
  </si>
  <si>
    <t>H29</t>
  </si>
  <si>
    <t>I29</t>
  </si>
  <si>
    <t>C30</t>
  </si>
  <si>
    <t>D30</t>
  </si>
  <si>
    <t>E30</t>
  </si>
  <si>
    <t>G30</t>
  </si>
  <si>
    <t>H30</t>
  </si>
  <si>
    <t>I30</t>
  </si>
  <si>
    <t>C31</t>
  </si>
  <si>
    <t>D31</t>
  </si>
  <si>
    <t>E31</t>
  </si>
  <si>
    <t>G31</t>
  </si>
  <si>
    <t>H31</t>
  </si>
  <si>
    <t>I31</t>
  </si>
  <si>
    <t>G32</t>
  </si>
  <si>
    <t>H32</t>
  </si>
  <si>
    <t>I32</t>
  </si>
  <si>
    <t>G33</t>
  </si>
  <si>
    <t>H33</t>
  </si>
  <si>
    <t>I33</t>
  </si>
  <si>
    <t>G35</t>
  </si>
  <si>
    <t>H35</t>
  </si>
  <si>
    <t>I35</t>
  </si>
  <si>
    <t>G36</t>
  </si>
  <si>
    <t>H36</t>
  </si>
  <si>
    <t>I36</t>
  </si>
  <si>
    <t>C37</t>
  </si>
  <si>
    <t>D37</t>
  </si>
  <si>
    <t>E37</t>
  </si>
  <si>
    <t>G37</t>
  </si>
  <si>
    <t>H37</t>
  </si>
  <si>
    <t>I37</t>
  </si>
  <si>
    <t>G38</t>
  </si>
  <si>
    <t>H38</t>
  </si>
  <si>
    <t>I38</t>
  </si>
  <si>
    <t>G40</t>
  </si>
  <si>
    <t>H40</t>
  </si>
  <si>
    <t>I40</t>
  </si>
  <si>
    <t>C41</t>
  </si>
  <si>
    <t>D41</t>
  </si>
  <si>
    <t>E41</t>
  </si>
  <si>
    <t>G41</t>
  </si>
  <si>
    <t>H41</t>
  </si>
  <si>
    <t>I41</t>
  </si>
  <si>
    <t>C42</t>
  </si>
  <si>
    <t>D42</t>
  </si>
  <si>
    <t>E42</t>
  </si>
  <si>
    <t>G42</t>
  </si>
  <si>
    <t>H42</t>
  </si>
  <si>
    <t>I42</t>
  </si>
  <si>
    <t>C43</t>
  </si>
  <si>
    <t>D43</t>
  </si>
  <si>
    <t>E43</t>
  </si>
  <si>
    <t>G43</t>
  </si>
  <si>
    <t>H43</t>
  </si>
  <si>
    <t>I43</t>
  </si>
  <si>
    <t>C44</t>
  </si>
  <si>
    <t>D44</t>
  </si>
  <si>
    <t>E44</t>
  </si>
  <si>
    <t>G44</t>
  </si>
  <si>
    <t>H44</t>
  </si>
  <si>
    <t>I44</t>
  </si>
  <si>
    <t>C45</t>
  </si>
  <si>
    <t>D45</t>
  </si>
  <si>
    <t>E45</t>
  </si>
  <si>
    <t>C46</t>
  </si>
  <si>
    <t>D46</t>
  </si>
  <si>
    <t>E46</t>
  </si>
  <si>
    <t>G46</t>
  </si>
  <si>
    <t>H46</t>
  </si>
  <si>
    <t>I46</t>
  </si>
  <si>
    <t>C47</t>
  </si>
  <si>
    <t>D47</t>
  </si>
  <si>
    <t>E47</t>
  </si>
  <si>
    <t>G47</t>
  </si>
  <si>
    <t>H47</t>
  </si>
  <si>
    <t>I47</t>
  </si>
  <si>
    <t>C48</t>
  </si>
  <si>
    <t>D48</t>
  </si>
  <si>
    <t>E48</t>
  </si>
  <si>
    <t>G48</t>
  </si>
  <si>
    <t>H48</t>
  </si>
  <si>
    <t>I48</t>
  </si>
  <si>
    <t>C49</t>
  </si>
  <si>
    <t>D49</t>
  </si>
  <si>
    <t>E49</t>
  </si>
  <si>
    <t>G49</t>
  </si>
  <si>
    <t>H49</t>
  </si>
  <si>
    <t>I49</t>
  </si>
  <si>
    <t>C50</t>
  </si>
  <si>
    <t>D50</t>
  </si>
  <si>
    <t>E50</t>
  </si>
  <si>
    <t>G50</t>
  </si>
  <si>
    <t>H50</t>
  </si>
  <si>
    <t>I50</t>
  </si>
  <si>
    <t>C51</t>
  </si>
  <si>
    <t>D51</t>
  </si>
  <si>
    <t>E51</t>
  </si>
  <si>
    <t>G51</t>
  </si>
  <si>
    <t>H51</t>
  </si>
  <si>
    <t>I51</t>
  </si>
  <si>
    <t>C52</t>
  </si>
  <si>
    <t>D52</t>
  </si>
  <si>
    <t>E52</t>
  </si>
  <si>
    <t>G52</t>
  </si>
  <si>
    <t>H52</t>
  </si>
  <si>
    <t>I52</t>
  </si>
  <si>
    <t>Datos ya guardados (filas)</t>
  </si>
  <si>
    <t>Bitácora ya guardada (líneas)</t>
  </si>
  <si>
    <t>Guardado por</t>
  </si>
  <si>
    <t>PANEL DE CAPTURA (no se imprime)</t>
  </si>
  <si>
    <t>Captura-RDO / Mapa RDO</t>
  </si>
  <si>
    <t>Captura-RDO es una copia limpia del RDO más reciente (mismo formato y logo); botones y panel a la derecha (columna K), fuera del área de impresión. Mapa RDO indica a la macro en qué celda va cada dato.</t>
  </si>
  <si>
    <t>Catálogos. Cambiar aquí modifica formularios y validaciones. Mapa RDO (tblMapaRDO) define la celda de cada dato del RDO.</t>
  </si>
  <si>
    <t>tblMetas / tblParametros / tblCatControles / tblModulos / tblMapaRDO</t>
  </si>
  <si>
    <t>6. Asignación de botones (clic derecho → Asignar macro)</t>
  </si>
  <si>
    <t>Hoja y botón</t>
  </si>
  <si>
    <t>Macro</t>
  </si>
  <si>
    <t>Captura-RDO · GUARDAR DÍA / CARGAR DÍA / LIMPIAR / CERRAR DÍA</t>
  </si>
  <si>
    <t>Años</t>
  </si>
  <si>
    <t>MES DE TRABAJO (celda maestra)</t>
  </si>
  <si>
    <t>Año</t>
  </si>
  <si>
    <t>Resultado</t>
  </si>
  <si>
    <t>Elija el mes de la lista. Todo el libro (fechas, días del mes, reportes y capturas) se recalcula.</t>
  </si>
  <si>
    <t>Elija el año de la lista.</t>
  </si>
  <si>
    <t>Mes en control y cantidad exacta de días.</t>
  </si>
  <si>
    <t>Primer día del mes (calculado)</t>
  </si>
  <si>
    <t>Calculado a partir de Mes y Año (C5:C6). Alimenta la lista de fechas de Listas!I5:I35.</t>
  </si>
  <si>
    <t>Se renueva sola: cambie Mes y Año en Config (C5:C6).</t>
  </si>
  <si>
    <t>Config: elegir Mes y Año en las celdas maestras C5:C6. Las fechas, los días exactos del mes, los reportes y los desplegables de fecha se recalculan solos.</t>
  </si>
  <si>
    <t>Control Días tiene fechas hasta 31/12/2027; para años siguientes, agregar filas al final de tblDias (escribir la fecha; las fórmulas se completan solas).</t>
  </si>
  <si>
    <t>saint</t>
  </si>
  <si>
    <t>06/09/2026</t>
  </si>
  <si>
    <t>Cierre de día</t>
  </si>
  <si>
    <t>Cierre de jornada</t>
  </si>
  <si>
    <t>✅ INICIO: 21/09/2026 🕐 04:25hrs</t>
  </si>
  <si>
    <t>✅ TERMINO: 23/09/2026 🕐 03:30hrs</t>
  </si>
  <si>
    <t>📌 ABORDO = 167 521 TM</t>
  </si>
  <si>
    <t>📌 PESO X SGS = 167 363.90 TM</t>
  </si>
  <si>
    <t xml:space="preserve"> 📌 Fe             =  69.5</t>
  </si>
  <si>
    <t xml:space="preserve"> 📌 S               = 0.213</t>
  </si>
  <si>
    <t>✅ OO.MM. 🕐06:00 h. (Marea=0.3m | Viento=1.5 n | Dirección= 98º</t>
  </si>
  <si>
    <t>Confirmado por el usuario (28/09/2026): margen de ajuste de −500 TMS/día. Se resta al concentrado bruto.</t>
  </si>
  <si>
    <t>Concentrado neto diario = Concentrado bruto del día − ajuste. Ajuste de 500 TMS/día confirmado por el usuario (28/09/2026).</t>
  </si>
  <si>
    <t>CONCENTRADO</t>
  </si>
  <si>
    <t>AVANCE DEL DÍA</t>
  </si>
  <si>
    <t>Cuadrante</t>
  </si>
  <si>
    <t>Llenado</t>
  </si>
  <si>
    <t>Guardado</t>
  </si>
  <si>
    <t>Guardado = registros en la base para esta fecha.</t>
  </si>
  <si>
    <t>Posición de cada cuadrante en Captura-Planta (tblPaneles). La macro la usa para leer y cargar; no cambiar salvo que se rediseñe la hoja.</t>
  </si>
  <si>
    <t>Columna ítem</t>
  </si>
  <si>
    <t>Fila inicio</t>
  </si>
  <si>
    <t>Filas</t>
  </si>
  <si>
    <t>Captura-Planta</t>
  </si>
  <si>
    <t>REPORTE DIARIO DE CONTROLES DE PLANTA</t>
  </si>
  <si>
    <t>Usuario:</t>
  </si>
  <si>
    <t>Estado del día:</t>
  </si>
  <si>
    <t>Mes en control:</t>
  </si>
  <si>
    <t>Consumo día</t>
  </si>
  <si>
    <t>I.- TK PRINCIPAL</t>
  </si>
  <si>
    <t>II.- TK AUXILIARES</t>
  </si>
  <si>
    <t>Consumo del día completo</t>
  </si>
  <si>
    <t>Ubicación</t>
  </si>
  <si>
    <t>Filtros operativos:</t>
  </si>
  <si>
    <t>Filtros críticos:</t>
  </si>
  <si>
    <t>Causa principal:</t>
  </si>
  <si>
    <t>Acción:</t>
  </si>
  <si>
    <t>I</t>
  </si>
  <si>
    <t>CONTROL MENSUAL DE CONSUMO DE REACTIVOS (kg)</t>
  </si>
  <si>
    <t>Días con dato:</t>
  </si>
  <si>
    <t>Módulo:</t>
  </si>
  <si>
    <t>TOTAL ÁCIDO OXÁLICO</t>
  </si>
  <si>
    <t>TOTAL XANTATO</t>
  </si>
  <si>
    <t>¿CARGADO?</t>
  </si>
  <si>
    <t>TOTAL DEL MES</t>
  </si>
  <si>
    <t>PROMEDIO DIARIO</t>
  </si>
  <si>
    <t>MÁXIMO DIARIO</t>
  </si>
  <si>
    <t>DÍAS CON DATO</t>
  </si>
  <si>
    <t>PROYECCIÓN AL CIERRE</t>
  </si>
  <si>
    <t>Concentrado del mes (TMS)</t>
  </si>
  <si>
    <t>Ratio kg / TMS de concentrado</t>
  </si>
  <si>
    <t>CONTROL MENSUAL DE TONELADAS POR MOLINO Y TURNO (TMS)</t>
  </si>
  <si>
    <t>TOTAL MOLINO BARRAS 1</t>
  </si>
  <si>
    <t>TOTAL MOLINO BARRAS 2</t>
  </si>
  <si>
    <t>TOTAL MOLINO BARRAS 3</t>
  </si>
  <si>
    <t>TOTAL MOLINO BARRAS 4</t>
  </si>
  <si>
    <t>TOTAL MOLINO BARRAS 5</t>
  </si>
  <si>
    <t>TOTAL MOLINO BARRAS 6</t>
  </si>
  <si>
    <t>TOTAL MOLINO BARRAS 7</t>
  </si>
  <si>
    <t>TOTAL MOLINO BARRAS 8</t>
  </si>
  <si>
    <t>TOTAL MOLINO BARRAS 9</t>
  </si>
  <si>
    <t>TOTAL MOLIENDA</t>
  </si>
  <si>
    <t>CONTROL MENSUAL DE AGREGADO DE MEDIOS MOLEDORES</t>
  </si>
  <si>
    <t>TOTAL CONOS + BOLAS</t>
  </si>
  <si>
    <t>Promedio del mes</t>
  </si>
  <si>
    <t>Días con dato</t>
  </si>
  <si>
    <t>Hojas de control mensual (tblHojasMes): las usa la macro GuardarMes / CargarMes / LimpiarMes.</t>
  </si>
  <si>
    <t>Fila fin</t>
  </si>
  <si>
    <t>Fila ítem</t>
  </si>
  <si>
    <t>Fila turno</t>
  </si>
  <si>
    <t>Col. inicio</t>
  </si>
  <si>
    <t>Col. fin</t>
  </si>
  <si>
    <t>Control Reactivos</t>
  </si>
  <si>
    <t>Toneladas Molinos</t>
  </si>
  <si>
    <t>Agregado Medios</t>
  </si>
  <si>
    <t>Al abrir o cambiar de mes pulse CARGAR MES. Escriba solo en las celdas de día; los totales se calculan solos.</t>
  </si>
  <si>
    <t>Semanas (lunes)</t>
  </si>
  <si>
    <t>N° semanas</t>
  </si>
  <si>
    <t>PROGRAMA SEMANAL DE LIMPIEZA DE CANALETAS</t>
  </si>
  <si>
    <t>SEMANA (lunes):</t>
  </si>
  <si>
    <t>Marque cada canaleta por día: ✔ realizado · ❌ no realizado · NA no aplica.</t>
  </si>
  <si>
    <t>% CUMPLIMIENTO DEL DÍA</t>
  </si>
  <si>
    <t>Realizadas / Programadas</t>
  </si>
  <si>
    <t>SEMANA</t>
  </si>
  <si>
    <t>INFORME MENSUAL DE OPERACIONES — BENEFICIO ZA</t>
  </si>
  <si>
    <t>Días transcurridos:</t>
  </si>
  <si>
    <t>Indicador</t>
  </si>
  <si>
    <t>1. PRODUCCIÓN</t>
  </si>
  <si>
    <t>2. REACTIVOS</t>
  </si>
  <si>
    <t>3. MOLIENDA</t>
  </si>
  <si>
    <t>5. PARADAS</t>
  </si>
  <si>
    <t>4. CUMPLIMIENTO DE CONTROLES  (OK / (OK + X))</t>
  </si>
  <si>
    <t>Mineral procesado</t>
  </si>
  <si>
    <t>Concentrado producido (bruto)</t>
  </si>
  <si>
    <t>Concentrado neto (bruto − ajuste diario)</t>
  </si>
  <si>
    <t>Recuperación (concentrado / mineral)</t>
  </si>
  <si>
    <t>S promedio en concentrado</t>
  </si>
  <si>
    <t>Días con las 24 h cargadas</t>
  </si>
  <si>
    <t>días</t>
  </si>
  <si>
    <t>Suma de las horas cargadas en tblConcentrado</t>
  </si>
  <si>
    <t>Días con concentrado cargado</t>
  </si>
  <si>
    <t>Ajuste de Metas (500 TMS/día) por día con datos</t>
  </si>
  <si>
    <t>Meta en Metas (KPI_S)</t>
  </si>
  <si>
    <t>Ratio ácido oxálico / concentrado</t>
  </si>
  <si>
    <t>kg/TMS</t>
  </si>
  <si>
    <t>Ratio xantato / concentrado</t>
  </si>
  <si>
    <t>Ratio espumante / concentrado</t>
  </si>
  <si>
    <t>Toneladas por molinos de barras (suma)</t>
  </si>
  <si>
    <t>Barras agregadas</t>
  </si>
  <si>
    <t>Conos y bolas agregados</t>
  </si>
  <si>
    <t>Limpieza de filtros H2O</t>
  </si>
  <si>
    <t>Purga de tanques de aire</t>
  </si>
  <si>
    <t>Limpieza separadores Cobber</t>
  </si>
  <si>
    <t>Limpieza de canaletas</t>
  </si>
  <si>
    <t>Eventos de parada</t>
  </si>
  <si>
    <t>eventos</t>
  </si>
  <si>
    <t>Mineral no procesado</t>
  </si>
  <si>
    <t>Concentrado no producido</t>
  </si>
  <si>
    <t>Planta: Captura-Planta → elegir la fecha (C4) → llenar filtros H2O (con resumen operacional), purga de tanques (principales y auxiliares), separadores Cobber y el concentrado horario → GUARDAR DÍA. El panel AVANCE DEL DÍA muestra qué falta y qué ya está guardado.</t>
  </si>
  <si>
    <t>Filtros H2O, purga de tanques, separadores Cobber y concentrado horario, en cuadrantes con el formato del RDO, más el panel de avance del día.</t>
  </si>
  <si>
    <t>Posición de los cuadrantes de Captura-Planta (tblPaneles) y de las hojas mensuales (tblHojasMes); las macros la usan para leer y cargar.</t>
  </si>
  <si>
    <t>Catálogo Controles · tblPaneles / tblHojasMes</t>
  </si>
  <si>
    <t>Captura-Planta · GUARDAR DÍA / CARGAR DÍA / LIMPIAR / CERRAR DÍA</t>
  </si>
  <si>
    <t>Informe Mensual</t>
  </si>
  <si>
    <t>STD nominal (%)</t>
  </si>
  <si>
    <t>Último % medido</t>
  </si>
  <si>
    <t>Desvío vs STD (pts)</t>
  </si>
  <si>
    <t>Migración: AGREGADO MEDIOS MOLEDORES (cuadro de carga)</t>
  </si>
  <si>
    <t>292 filas</t>
  </si>
  <si>
    <t>Migración del cuadro de carga de AGREGADO MEDIOS MOLEDORES (setiembre)</t>
  </si>
  <si>
    <t>CARGA DE MEDIOS EN MOLINOS (% de carga) — extensión del agregado</t>
  </si>
  <si>
    <t>¿CARGADO? (carga)</t>
  </si>
  <si>
    <t>Mínimo del mes</t>
  </si>
  <si>
    <t>La carga de medios (columnas AC a AU) se llena el mismo día que el agregado. STD = carga nominal definida en Catálogo Controles (Referencia de CARGA MOLINOS). Dejar vacío el molino sin medición ese día.</t>
  </si>
  <si>
    <t>Hojas mensuales: Control Reactivos, Toneladas Molinos y Agregado Medios (con la carga de molinos en la misma hoja) muestran todos los días del mes en una ventana con totales, promedio, máximo y proyección al cierre. Escribir el día y pulsar GUARDAR MES; al abrir un mes pulsar CARGAR MES. Control Canaletas es semanal: elegir el lunes y pulsar GUARDAR SEMANA.</t>
  </si>
  <si>
    <t>Migración: LIMPIEZA CANALETAS (mayo 2026)</t>
  </si>
  <si>
    <t>Solo cuentan con 7 personas de limpieza. Se da prioridad a limpieza debajo RM1/RM2</t>
  </si>
  <si>
    <t>04/05/2026 al 10/05/2026</t>
  </si>
  <si>
    <t>16 filas</t>
  </si>
  <si>
    <t>Migración de las marcas de la semana de mayo de LIMPIEZA CANALETAS (el resto de semanas del original está vacío)</t>
  </si>
  <si>
    <t>REPORTE DIARIO DE TRABAJOS DE MANTENIMIENTO</t>
  </si>
  <si>
    <t>Trabajos del mes</t>
  </si>
  <si>
    <t>RESUMEN DEL MES</t>
  </si>
  <si>
    <t>Horas de trabajo</t>
  </si>
  <si>
    <t>Terminados</t>
  </si>
  <si>
    <t>% terminados</t>
  </si>
  <si>
    <t>Escriba cada trabajo en una fila de la tabla. Al llenar la última fila la tabla crece sola. Equipo: elija de Maestro Equipos.</t>
  </si>
  <si>
    <t>Trabajo realizado</t>
  </si>
  <si>
    <t>Horas</t>
  </si>
  <si>
    <t>FORMATO DE CONTROL DE MANTENIMIENTO DE BOMBAS</t>
  </si>
  <si>
    <t>Intervenciones del mes</t>
  </si>
  <si>
    <t>Correctivos del mes</t>
  </si>
  <si>
    <t>Preventivos del mes</t>
  </si>
  <si>
    <t>Escriba cada intervención en una fila de la tabla. El ítem se numera solo. Equipo: elija de Maestro Equipos.</t>
  </si>
  <si>
    <t>Componentes cambiados</t>
  </si>
  <si>
    <t>Tipo de mantenimiento</t>
  </si>
  <si>
    <t>Horas equipo</t>
  </si>
  <si>
    <t>KPI DEL MES — RESULTADOS DESDE LA BASE DE DATOS</t>
  </si>
  <si>
    <t>Real = lo guardado en la base (tblConcentrado, tblControles, Índice Diario). Meta = la del KPI 2026 (hoja KPI, enlazada). Cumpl. = Real / Meta, igual que la hoja KPI.</t>
  </si>
  <si>
    <t>META</t>
  </si>
  <si>
    <t>CRITERIO</t>
  </si>
  <si>
    <t>FUENTE</t>
  </si>
  <si>
    <t>Plan de Producción - Concentrado (neto)</t>
  </si>
  <si>
    <t>Informe Mensual (neto = bruto − ajuste)</t>
  </si>
  <si>
    <t>Plan de Producción - Sinter calibrado</t>
  </si>
  <si>
    <t>TMH</t>
  </si>
  <si>
    <t>Índice Diario (RDO)</t>
  </si>
  <si>
    <t>Ratio de Beneficio (mineral / concentrado)</t>
  </si>
  <si>
    <t>Calidad Concentrado - Azufre "S"</t>
  </si>
  <si>
    <t>Control de Pérdidas de Relaves - FeO</t>
  </si>
  <si>
    <t>tblConcentrado (FeO ponderado)</t>
  </si>
  <si>
    <t>Consumo Barras</t>
  </si>
  <si>
    <t>Agregado Medios (unid × peso)</t>
  </si>
  <si>
    <t>Consumo Conos Truncados</t>
  </si>
  <si>
    <t>Agregado Medios (TM × 1000)</t>
  </si>
  <si>
    <t>Consumo Bolas</t>
  </si>
  <si>
    <t>Ácido Oxálico</t>
  </si>
  <si>
    <t>Cumplidos:</t>
  </si>
  <si>
    <t>PARÁMETROS DE CÁLCULO (entrada)</t>
  </si>
  <si>
    <t>Peso de cada barra RM-1 a RM-8 (kg)</t>
  </si>
  <si>
    <t>Peso de la barra RM-9 (kg)</t>
  </si>
  <si>
    <t>Fuente: hoja AGREGADO MEDIOS MOLEDORES (barra 1-8 peso 241 kg / 9 peso 236 kg).</t>
  </si>
  <si>
    <t>6. MANTENIMIENTO</t>
  </si>
  <si>
    <t>Trabajos de mantenimiento registrados</t>
  </si>
  <si>
    <t>trabajos</t>
  </si>
  <si>
    <t>Reporte Mantenimiento</t>
  </si>
  <si>
    <t>Trabajos terminados</t>
  </si>
  <si>
    <t>Intervenciones de bombas</t>
  </si>
  <si>
    <t>Mantto Bombas</t>
  </si>
  <si>
    <t xml:space="preserve">  de las cuales correctivas</t>
  </si>
  <si>
    <t>7. KPI DEL MES</t>
  </si>
  <si>
    <t>Indicadores que cumplen meta</t>
  </si>
  <si>
    <t>Hoja KPI Mes (meta vs real)</t>
  </si>
  <si>
    <t>📆 22/08/2026 🕐 04:00 hrs</t>
  </si>
  <si>
    <t>📌 ABORDO = 159,181 TM</t>
  </si>
  <si>
    <t>📌 X EMBARCAR = 9,999 TM</t>
  </si>
  <si>
    <t>✅ PARADAS</t>
  </si>
  <si>
    <t>📌 15:55 PARADA POR PLEA</t>
  </si>
  <si>
    <t>✅ BARCOS EN BAHÍA (2)</t>
  </si>
  <si>
    <t>📌 ABORDO = 156,073 TM</t>
  </si>
  <si>
    <t xml:space="preserve"> 📌 Fe             =  69.6</t>
  </si>
  <si>
    <t xml:space="preserve"> 📌 S               = 0.215</t>
  </si>
  <si>
    <t>📌 05:36 Parada por plea.</t>
  </si>
  <si>
    <t>✅ BARCOS EN BAHÍA (3)</t>
  </si>
  <si>
    <t>✅ ENVIO: CHUTE 46 = 42%</t>
  </si>
  <si>
    <t>📌 ABORDO =8,100 TM</t>
  </si>
  <si>
    <t xml:space="preserve"> 📌 S               = 0.614</t>
  </si>
  <si>
    <t xml:space="preserve"> 📌 H2O          = 5.92</t>
  </si>
  <si>
    <t>✅ OO.MM. 🕐  06:00 h  (Marea=0.6 m | Viento=4,6 n | Dirección=131º)</t>
  </si>
  <si>
    <t>✅ OO.MM. 🕐  0600 h (Marea=0.6 m | Viento=2.6 n | Direccion=115º</t>
  </si>
  <si>
    <t>** Trabajando bomba de recuperación 213-124.</t>
  </si>
  <si>
    <t>✅ OO.MM. 🕐 06:00 h (Marea=1 cm | viento=11 nudos | dirección=150°)</t>
  </si>
  <si>
    <t>✅ OO.MM. 🕐 06:00 h (Marea=3/4 cm | viento=04 nudos | dirección=160°)</t>
  </si>
  <si>
    <t>✅ BARCOS EN BAHÍA (4)</t>
  </si>
  <si>
    <t>🟫 REINICIO 📆 07/09/2026   🕐 13:30 h</t>
  </si>
  <si>
    <t>◼️ Total abordo: 84,300 TM</t>
  </si>
  <si>
    <t> ◼️ Fe=68.5</t>
  </si>
  <si>
    <t> ◼️ S =0.664</t>
  </si>
  <si>
    <t>🟦 OO.MM. 🕐 06:00 h (Marea=0.4 metros | Viento=1 nudos | Dirección=25°)</t>
  </si>
  <si>
    <t>◼️ Total abordo: 134,500 TM</t>
  </si>
  <si>
    <t> ◼️ Fe=69.1</t>
  </si>
  <si>
    <t> ◼️ S =0.653</t>
  </si>
  <si>
    <t>🟦 OO.MM. 🕐 06:00 h (Marea=0.3 metros | Viento=7.2 nudos | Dirección=136°)</t>
  </si>
  <si>
    <t>✅ BARCOS EN BAHÍA (5)</t>
  </si>
  <si>
    <t xml:space="preserve">Cto: MF. Operando: RM: 1,2,3,5,6,7,8,9 / BM: 1,2,3,4,5,6,7,8,9,10.
032-204: Paró 23:26 hrs a 00:08 hrs por perforación en manguera de descarga 213-214.
</t>
  </si>
  <si>
    <t>🟫 INICIO: 📆 10/09/2026   🕐 06:15 h.</t>
  </si>
  <si>
    <t>🟫 PLEA: 📆 11/09/2026   🕐 20:57 h</t>
  </si>
  <si>
    <t>🟦 OO.MM. 🕐 23:00 h  (Marea=0.4 metros | Viento=5.7 nudos | Dirección=151°</t>
  </si>
  <si>
    <t>✅ INICIO: 12/09/2026 🕐 10:05hrs</t>
  </si>
  <si>
    <t>✅ PRODUCTO = FKPS</t>
  </si>
  <si>
    <t>📌 ABORDO =  137500TM</t>
  </si>
  <si>
    <t xml:space="preserve"> 📌 Fe             = 69.5</t>
  </si>
  <si>
    <t xml:space="preserve"> 📌 S               = 0.226</t>
  </si>
  <si>
    <t>📍Peso por balanza:53000TM</t>
  </si>
  <si>
    <t>🔹TIEMPO 23:00h (Marea:0.4metros | Viento:7.7nudos | Dirección:149grados)</t>
  </si>
  <si>
    <t>✅Inicio de embarque: 17-09-2026 🕰️00:05hrs</t>
  </si>
  <si>
    <t>📍Peso por balanza:115500TM</t>
  </si>
  <si>
    <t>🔹TIEMPO: 0500 (Marea:0.75m | Viento:6 nudos | Dirección:160°</t>
  </si>
  <si>
    <t>Fila del total diario (ya no se usa)</t>
  </si>
  <si>
    <t>n/d</t>
  </si>
  <si>
    <t>Fila de la 1ª hora (ya no se usa)</t>
  </si>
  <si>
    <t>Sin uso: Reporte Auto lee de tblConcentrado por clave del día (fila 44).</t>
  </si>
  <si>
    <t>RESUMEN</t>
  </si>
  <si>
    <t>Errores de fórmula (total)</t>
  </si>
  <si>
    <t>Grupo</t>
  </si>
  <si>
    <t>Entrada / macro</t>
  </si>
  <si>
    <t>Errores</t>
  </si>
  <si>
    <t>Guía</t>
  </si>
  <si>
    <t>Léeme</t>
  </si>
  <si>
    <t>Guía de uso, diccionario de tablas y asignación de botones</t>
  </si>
  <si>
    <t>Lectura</t>
  </si>
  <si>
    <t>Listo</t>
  </si>
  <si>
    <t>Configuración</t>
  </si>
  <si>
    <t>Mes y año maestros; hora de inicio de jornada; usuario</t>
  </si>
  <si>
    <t>Entrada (C5:C6)</t>
  </si>
  <si>
    <t>Parámetros</t>
  </si>
  <si>
    <t>Constantes del reporte (metas leen de Metas)</t>
  </si>
  <si>
    <t>Calculada</t>
  </si>
  <si>
    <t>Metas</t>
  </si>
  <si>
    <t>Metas y capacidades con vigencia (Desde/Hasta)</t>
  </si>
  <si>
    <t>Entrada</t>
  </si>
  <si>
    <t>Ajuste de concentrado −500 TMS/día confirmado</t>
  </si>
  <si>
    <t>Catálogo</t>
  </si>
  <si>
    <t>Parámetros del concentrado con rangos mín/máx</t>
  </si>
  <si>
    <t>Por confirmar</t>
  </si>
  <si>
    <t>Catálogo Controles</t>
  </si>
  <si>
    <t>Módulos e ítems de los controles; posiciones de cuadrantes y hojas</t>
  </si>
  <si>
    <t>Mapa RDO</t>
  </si>
  <si>
    <t>Celda de cada dato del RDO para la macro</t>
  </si>
  <si>
    <t>Listas</t>
  </si>
  <si>
    <t>Listas desplegables (fechas del mes, guardias, áreas, semanas)</t>
  </si>
  <si>
    <t>Captura diaria</t>
  </si>
  <si>
    <t>Captura-RDO</t>
  </si>
  <si>
    <t>RDO con el formato de siempre; guarda en tblRDO y tblBitacora</t>
  </si>
  <si>
    <t>Filtros H2O (con resumen), purga de tanques, Cobber y concentrado horario</t>
  </si>
  <si>
    <t>Control Canaletas</t>
  </si>
  <si>
    <t>Programa semanal de limpieza de canaletas (lunes a domingo)</t>
  </si>
  <si>
    <t>Consumo diario de reactivos con totales, promedio y proyección</t>
  </si>
  <si>
    <t>Toneladas por molino y turno, con totales del mes</t>
  </si>
  <si>
    <t>Agregado de medios y carga nominal de molinos (extensión, misma hoja)</t>
  </si>
  <si>
    <t>Registro directo</t>
  </si>
  <si>
    <t>Tabla tblParadas</t>
  </si>
  <si>
    <t>Reporte diario de trabajos de mantenimiento</t>
  </si>
  <si>
    <t>Tabla tblMantto</t>
  </si>
  <si>
    <t>Control de mantenimiento de bombas</t>
  </si>
  <si>
    <t>Tabla tblBombas</t>
  </si>
  <si>
    <t>BALANZAS</t>
  </si>
  <si>
    <t>Calibración de balanzas</t>
  </si>
  <si>
    <t>Tabla tblBalanzas</t>
  </si>
  <si>
    <t>Avisos OT</t>
  </si>
  <si>
    <t>Avisos y órdenes de trabajo SAP</t>
  </si>
  <si>
    <t>Tabla tblAvisos</t>
  </si>
  <si>
    <t>Semáforo por día, estado Abierto/Cerrado y horas de parada</t>
  </si>
  <si>
    <t>Tabla tblDias</t>
  </si>
  <si>
    <t>Bitácora de altas, correcciones y cierres</t>
  </si>
  <si>
    <t>Automática</t>
  </si>
  <si>
    <t>Base de datos</t>
  </si>
  <si>
    <t>Datos Concentrado</t>
  </si>
  <si>
    <t>Producción horaria de concentrado</t>
  </si>
  <si>
    <t>Datos Controles</t>
  </si>
  <si>
    <t>Controles diarios, consumos, medios y canaletas</t>
  </si>
  <si>
    <t>Registro RDO</t>
  </si>
  <si>
    <t>Valores del RDO por fecha, área, parámetro y guardia</t>
  </si>
  <si>
    <t>Bitácora RDO</t>
  </si>
  <si>
    <t>Eventos y trabajos de bitácora por guardia</t>
  </si>
  <si>
    <t>Maestro Equipos</t>
  </si>
  <si>
    <t>Maestro de equipos con avisos</t>
  </si>
  <si>
    <t>Tabla tblEquipos</t>
  </si>
  <si>
    <t>Resumen mensual de una página, listo para exportar a PDF</t>
  </si>
  <si>
    <t>Archivo → Exportar → PDF</t>
  </si>
  <si>
    <t>KPI Mes</t>
  </si>
  <si>
    <t>KPI del mes: meta vs real desde la base de datos</t>
  </si>
  <si>
    <t>Reporte Auto</t>
  </si>
  <si>
    <t>Reporte diario automático por fecha</t>
  </si>
  <si>
    <t>Índice Diario</t>
  </si>
  <si>
    <t>Concentrado y sinter por día del mes</t>
  </si>
  <si>
    <t>Vista RDO</t>
  </si>
  <si>
    <t>Consulta del RDO por fecha</t>
  </si>
  <si>
    <t>Resumen Avisos</t>
  </si>
  <si>
    <t>Resumen de avisos por área y criticidad</t>
  </si>
  <si>
    <t>Carta de cumplimiento de metas 2026 (valores escritos a mano)</t>
  </si>
  <si>
    <t>Manual</t>
  </si>
  <si>
    <t>Cálculo mensual de agua y eficiencia (valores a mano)</t>
  </si>
  <si>
    <t>KPI de la superintendencia de embarque (valores a mano)</t>
  </si>
  <si>
    <t>INSPECCION DE CICLONES</t>
  </si>
  <si>
    <t>Hoja original sin ventana nueva equivalente</t>
  </si>
  <si>
    <t>Conservada</t>
  </si>
  <si>
    <t>SOLPED FORROS RM-BM</t>
  </si>
  <si>
    <t>RTM-TRITURACION</t>
  </si>
  <si>
    <t>RTM-FILTROS</t>
  </si>
  <si>
    <t>RTM-RELAVES</t>
  </si>
  <si>
    <t>RTM-EMBARQUE</t>
  </si>
  <si>
    <t>Inspección de ciclones, SOLPED, RTM (5 hojas) y balanzas históricas siguen en sus hojas originales (sin ventana nueva). Canaletas: el original solo traía marcas de una semana de mayo (migradas) y nada de P1.</t>
  </si>
  <si>
    <t>7. Ventanas nuevas de esta etapa</t>
  </si>
  <si>
    <t>Estado del Libro</t>
  </si>
  <si>
    <t>Informe de todas las ventanas: grupo, estado, macro, errores de fórmula (se recalculan solos) y enlaces a cada hoja.</t>
  </si>
  <si>
    <t>Trabajos diarios de mantenimiento (tabla tblMantto): guardia, área, equipo, aviso SAP, especialidad, tipo, horas y estado. Resumen del mes arriba.</t>
  </si>
  <si>
    <t>Control de mantenimiento de bombas (tabla tblBombas), con ítem automático y resumen de correctivos y preventivos.</t>
  </si>
  <si>
    <t>Meta vs real del mes calculado desde la base de datos. Las metas se enlazan a la hoja KPI; Cumple / No cumple según criterio Máx o Mín.</t>
  </si>
  <si>
    <t>KPI · Cálculo · embarque</t>
  </si>
  <si>
    <t>Conservan sus valores escritos a mano (no leen de otras hojas). Se les agregó el logo y se corrigieron los #¡DIV/0! del KPI.</t>
  </si>
  <si>
    <t>Ahora incluye mantenimiento y el resumen de KPI. Archivo → Exportar → PDF.</t>
  </si>
  <si>
    <t>OPERATIVIDAD Y DISPONIBILIDAD DE EQUIPOS — POR PARADAS REGISTRADAS</t>
  </si>
  <si>
    <t>PARÁMETROS</t>
  </si>
  <si>
    <t>Días transcurridos</t>
  </si>
  <si>
    <t>Horas calendario del periodo</t>
  </si>
  <si>
    <t>Meta disponibilidad mecánica/eléctrica</t>
  </si>
  <si>
    <t>Horas perdidas (total)</t>
  </si>
  <si>
    <t>Horas por falla (sin 'Operaciones')</t>
  </si>
  <si>
    <t>Equipos con paradas</t>
  </si>
  <si>
    <t>HORAS PERDIDAS POR TIPO DE FALLA</t>
  </si>
  <si>
    <t>Eventos</t>
  </si>
  <si>
    <t>% del total</t>
  </si>
  <si>
    <t>DISPONIBILIDAD POR EQUIPO (solo equipos con paradas en el mes)</t>
  </si>
  <si>
    <t>Disponibilidad (falla) = 1 − horas por falla / horas calendario. Operatividad = 1 − horas totales / horas calendario. Un equipo sin paradas registradas no aparece (100 %).</t>
  </si>
  <si>
    <t>Horas por falla</t>
  </si>
  <si>
    <t>Mecánica (h)</t>
  </si>
  <si>
    <t>Eléctrica (h)</t>
  </si>
  <si>
    <t>Instrum. (h)</t>
  </si>
  <si>
    <t>Operaciones (h)</t>
  </si>
  <si>
    <t>Disponibilidad (falla)</t>
  </si>
  <si>
    <t>Operatividad</t>
  </si>
  <si>
    <t>MTTR (h)</t>
  </si>
  <si>
    <t>Equipos en Maestro</t>
  </si>
  <si>
    <t>CONSUMO ESPECÍFICO DIARIO (kg / TMS de concentrado)</t>
  </si>
  <si>
    <t>Meta KPI</t>
  </si>
  <si>
    <t>Concentrado del día (TMS)</t>
  </si>
  <si>
    <t>Dif. vs meta</t>
  </si>
  <si>
    <t>Disponibilidad y operatividad de equipos por paradas; MTTR; horas por tipo de falla</t>
  </si>
  <si>
    <t>8. OPERATIVIDAD DE EQUIPOS (por paradas)</t>
  </si>
  <si>
    <t>Hoja Operatividad</t>
  </si>
  <si>
    <t>Horas perdidas por falla</t>
  </si>
  <si>
    <t>Disponibilidad mínima (falla)</t>
  </si>
  <si>
    <t>Equipos bajo la meta de disponibilidad</t>
  </si>
  <si>
    <t>Registro de paradas y fallas (reemplaza a la hoja Fallas, ya eliminada).</t>
  </si>
  <si>
    <t>tblRDO y tblBitacora. Valores congelados (las hojas RDO-dd ya fueron eliminadas).</t>
  </si>
  <si>
    <t>Disponibilidad y operatividad por equipo a partir de Paradas: horas por tipo de falla, disponibilidad (falla), operatividad, MTTR y mineral no procesado. Usa horas calendario del mes (no hay horas reales de operación por equipo).</t>
  </si>
  <si>
    <t>Ahora incluye consumo específico diario (kg/TMS de concentrado) de ácido oxálico, xantato y espumante contra la meta del KPI, con resumen del mes.</t>
  </si>
  <si>
    <t>01/09/2026</t>
  </si>
  <si>
    <t>Control Reactivos · GUARDAR MES / CARGAR MES / LIMPIAR</t>
  </si>
  <si>
    <t>Toneladas Molinos · GUARDAR MES / CARGAR MES / LIMPIAR</t>
  </si>
  <si>
    <t>GuardarMes / CargarMes / LimpiarMes (las mismas tres macros)</t>
  </si>
  <si>
    <t>Agregado Medios · GUARDAR MES / CARGAR MES / LIMPIAR</t>
  </si>
  <si>
    <t>GuardarMes / CargarMes / LimpiarMes (guardan las dos secciones: agregado y carga de molinos)</t>
  </si>
  <si>
    <t>Control Canaletas · GUARDAR SEMANA / CARGAR SEMANA / LIMPIAR</t>
  </si>
  <si>
    <t>Paradas · Reporte Mantenimiento · Mantto Bombas</t>
  </si>
  <si>
    <t>Sin botones ni macro: se escribe directo en la tabla de cada hoja.</t>
  </si>
  <si>
    <t>Informe Mensual · Operatividad · KPI Mes</t>
  </si>
  <si>
    <t>Sin macro: son cálculos. Informe Mensual: Archivo → Exportar → PDF.</t>
  </si>
  <si>
    <t>Pulse CARGAR MES al abrir un mes.</t>
  </si>
  <si>
    <t>Verde = cumple la meta; rojo = no cumple. Criterio (col. AE): Mín = el real debe ser ≥ presupuesto; Máx = el real debe ser ≤ presupuesto. Resultados del mes en curso calculados desde la base: hoja KPI Mes.</t>
  </si>
  <si>
    <t>Xantato 黄药</t>
  </si>
  <si>
    <t>Verde = cumple; rojo = no cumple, según el criterio de la columna BA (Mín: real ≥ ppto; Máx: real ≤ ppto). La columna EVALUACIÓN conserva su fórmula original.</t>
  </si>
  <si>
    <t>Datos para gráficos (calculados, no editar)</t>
  </si>
  <si>
    <t>Macro operativa</t>
  </si>
  <si>
    <t>8. Estándar visual y de impresión</t>
  </si>
  <si>
    <t>Elemento</t>
  </si>
  <si>
    <t>Regla</t>
  </si>
  <si>
    <t>Colores de pestaña</t>
  </si>
  <si>
    <t>Rojo = guías · Verde = captura · Dorado = control · Azul claro = reportes · Azul oscuro = bases de datos · Gris = configuración y código · Gris claro = hojas originales conservadas.</t>
  </si>
  <si>
    <t>Celdas</t>
  </si>
  <si>
    <t>Azul = dato de entrada · Negro = fórmula · Verde = enlace a otra hoja · Gris claro = calculado · Amarillo = fecha o mes de trabajo.</t>
  </si>
  <si>
    <t>Semáforos</t>
  </si>
  <si>
    <t>Verde = cumple · Rojo = no cumple · Ámbar = revisar. En KPI y embarque según el criterio Mín/Máx de cada indicador.</t>
  </si>
  <si>
    <t>Impresión</t>
  </si>
  <si>
    <t>Todas las hojas de trabajo tienen pie corporativo (Shougang Hierro Perú S.A.A. — Beneficio ZA — hoja — página) y ajuste a una página de ancho. Informe Mensual: Archivo → Exportar → PDF.</t>
  </si>
  <si>
    <t>RDO: Captura-RDO (mismo formato del RDO de siempre) → seleccionar la fecha en la celda amarilla de FECHA → llenar valores por guardia A/B/C y la bitácora → GUARDAR DÍA (tblRDO y tblBitacora).</t>
  </si>
  <si>
    <t>Los códigos de las macros ya están dentro del libro (editor de macros, Alt+F11). Las hojas de texto con el código se eliminaron porque ya cumplieron su función.</t>
  </si>
  <si>
    <t>Macros (código)</t>
  </si>
  <si>
    <t>Las macros de Captura-Planta, hojas mensuales, Control Canaletas y Captura-RDO están en sus módulos y los botones asignados; operativas. Respaldo recomendado: en el editor, clic derecho sobre cada módulo → Exportar archivo (.bas).</t>
  </si>
  <si>
    <t>GuardarPlanta / CargarPlanta / LimpiarPlanta / CerrarPlanta</t>
  </si>
  <si>
    <t>GuardarRDO / CargarRDO / LimpiarRDO / CerrarRDO</t>
  </si>
  <si>
    <t>GuardarMes / CargarMes / LimpiarMes</t>
  </si>
  <si>
    <t>GuardarCanaletas / CargarCanaletas / LimpiarCanaletas</t>
  </si>
  <si>
    <t>CRITERIO DE CÁLCULO (validado por el usuario)</t>
  </si>
  <si>
    <t>Se enlazan a la hoja KPI (meta 2026 y columna de presupuesto). Las metas de producción (concentrado, sinter) son la meta anual ÷ 12, porque la hoja KPI solo trae presupuesto mensual de enero a julio.</t>
  </si>
  <si>
    <t>Sale de la base de datos: producción y consumos de las tablas; ratio de beneficio = mineral ÷ concentrado bruto.</t>
  </si>
  <si>
    <t>La producción usa concentrado neto (bruto − ajuste de 500 TMS/día de Metas). Los consumos específicos (xantato, espumante, ácido oxálico, medios) usan concentrado bruto.</t>
  </si>
  <si>
    <t>Consumos, S, FeO y ratio: cumple si real ≤ meta (Máx). Producción: cumple si real ≥ meta (Mín). Se puede cambiar por fila en la columna H.</t>
  </si>
  <si>
    <t>Criterio</t>
  </si>
  <si>
    <t>REGISTRO DE FALLAS Y PARADAS</t>
  </si>
  <si>
    <t>MENÚ PRINCIPAL — BENEFICIO ZA</t>
  </si>
  <si>
    <t>MES DE TRABAJO:</t>
  </si>
  <si>
    <t>Cambiar en Config (C5:C6)</t>
  </si>
  <si>
    <t>Día(s) cerrado(s) del mes:</t>
  </si>
  <si>
    <t>1. CAPTURA DIARIA  (botones GUARDAR / CARGAR)</t>
  </si>
  <si>
    <t>Ventana</t>
  </si>
  <si>
    <t>Para qué sirve</t>
  </si>
  <si>
    <t>Estado hoy</t>
  </si>
  <si>
    <t>Reporte diario de operaciones por guardia A/B/C y bitácora</t>
  </si>
  <si>
    <t>Macro · diario</t>
  </si>
  <si>
    <t>Filtros H2O, purga de tanques, separadores Cobber y concentrado horario</t>
  </si>
  <si>
    <t>Ácido oxálico, xantato y espumante; kg/TMS diario y gráficos</t>
  </si>
  <si>
    <t>Macro · mensual</t>
  </si>
  <si>
    <t>Toneladas por molino de barras y turno, con totales</t>
  </si>
  <si>
    <t>Agregado de medios moledores y carga nominal de molinos</t>
  </si>
  <si>
    <t>Programa semanal de limpieza de canaletas (P2 y P3)</t>
  </si>
  <si>
    <t>Macro · semanal</t>
  </si>
  <si>
    <t>2. REGISTRO DIRECTO  (se escribe en la tabla)</t>
  </si>
  <si>
    <t>Fallas y Paradas</t>
  </si>
  <si>
    <t>Registro de fallas y paradas de equipos: horas, tipo de falla y mineral no procesado</t>
  </si>
  <si>
    <t>Calibración mensual de balanzas</t>
  </si>
  <si>
    <t>3. INFORMACIÓN Y REPORTES</t>
  </si>
  <si>
    <t>Resumen del mes en una página, listo para exportar a PDF</t>
  </si>
  <si>
    <t>Calculado</t>
  </si>
  <si>
    <t>Disponibilidad y operatividad de equipos a partir de fallas y paradas</t>
  </si>
  <si>
    <t>Carta de cumplimiento de metas 2026 (valores a mano)</t>
  </si>
  <si>
    <t>Consulta del RDO de cualquier fecha</t>
  </si>
  <si>
    <t>Avisos abiertos por área y criticidad</t>
  </si>
  <si>
    <t>4. CONTROL Y CONFIGURACIÓN</t>
  </si>
  <si>
    <t>Semáforo por día; abrir o cerrar un día</t>
  </si>
  <si>
    <t>Registro de altas, correcciones y cierres</t>
  </si>
  <si>
    <t>Mes y año de trabajo, hora de inicio, usuario</t>
  </si>
  <si>
    <t>Metas y capacidades con fecha de vigencia</t>
  </si>
  <si>
    <t>Rangos válidos del concentrado (por confirmar)</t>
  </si>
  <si>
    <t>Módulos e ítems de los controles</t>
  </si>
  <si>
    <t>Informe de todas las ventanas, estado y errores</t>
  </si>
  <si>
    <t>Guía de uso y asignación de botones</t>
  </si>
  <si>
    <t>5. HOJAS ORIGINALES CONSERVADAS</t>
  </si>
  <si>
    <t>Hoja original, sin ventana nueva</t>
  </si>
  <si>
    <t>Original</t>
  </si>
  <si>
    <t>Avisos y órdenes de trabajo de SAP (pegar o escribir en la tabla)</t>
  </si>
  <si>
    <t>ESTADO DEL LIBRO — VENTANAS, VISIBILIDAD, ESTADO Y ERRORES</t>
  </si>
  <si>
    <t>Visibilidad</t>
  </si>
  <si>
    <t>Menú</t>
  </si>
  <si>
    <t>Menú principal con enlaces a todas las ventanas visibles</t>
  </si>
  <si>
    <t>Visible</t>
  </si>
  <si>
    <t>Este informe: todas las ventanas, estado, visibilidad y errores</t>
  </si>
  <si>
    <t>kg/TMS diario vs meta y 2 gráficos</t>
  </si>
  <si>
    <t>Incluye carga nominal de molinos. STD de RM-2/3/4 = 90</t>
  </si>
  <si>
    <t>Solo P2 y P3 (confirmado)</t>
  </si>
  <si>
    <t>Registro de fallas y paradas de equipos (reemplaza a la hoja Fallas)</t>
  </si>
  <si>
    <t>5 eventos con 'Revisar horas'; 1 evento sin tipo de falla</t>
  </si>
  <si>
    <t>Sin datos cargados aún</t>
  </si>
  <si>
    <t>Se mantiene visible: es donde se pegan los avisos de SAP</t>
  </si>
  <si>
    <t>Información y reportes</t>
  </si>
  <si>
    <t>Manual (valores a mano)</t>
  </si>
  <si>
    <t>Semáforo automático por criterio Mín/Máx (col. AE)</t>
  </si>
  <si>
    <t>Meses hasta julio</t>
  </si>
  <si>
    <t>Semáforo por criterio (col. BA)</t>
  </si>
  <si>
    <t>Criterio de cálculo validado por el usuario (documentado en la hoja)</t>
  </si>
  <si>
    <t>Usa horas calendario (no hay horas reales de operación)</t>
  </si>
  <si>
    <t>Aquí se abre o cierra un día. Fechas hasta 31/12/2027</t>
  </si>
  <si>
    <t>Rangos mín/máx pendientes de confirmar (se dejan como están)</t>
  </si>
  <si>
    <t>Original conservada</t>
  </si>
  <si>
    <t>Oculta</t>
  </si>
  <si>
    <t xml:space="preserve">Oculta: para verla, clic derecho en una pestaña → Mostrar. </t>
  </si>
  <si>
    <t>Oculta: para verla, clic derecho en una pestaña → Mostrar. Incluye carga de medios de agosto y setiembre y marcas de canaletas de mayo</t>
  </si>
  <si>
    <t>Oculta: para verla, clic derecho en una pestaña → Mostrar. Valores congelados</t>
  </si>
  <si>
    <t>Oculta: para verla, clic derecho en una pestaña → Mostrar. Congelada</t>
  </si>
  <si>
    <t>Técnica</t>
  </si>
  <si>
    <t>Entrada técnica</t>
  </si>
  <si>
    <t>Oculta: para verla, clic derecho en una pestaña → Mostrar. No modificar</t>
  </si>
  <si>
    <t>Oculta: para verla, clic derecho en una pestaña → Mostrar. Alimenta los desplegables</t>
  </si>
  <si>
    <t>Oculta: para verla, clic derecho en una pestaña → Mostrar. Constantes del reporte; leen de Metas</t>
  </si>
  <si>
    <t>Ventanas en el libro</t>
  </si>
  <si>
    <t>Visibles</t>
  </si>
  <si>
    <t>Ocultas (bases de datos y técnicas)</t>
  </si>
  <si>
    <t>Pendientes por confirmar</t>
  </si>
  <si>
    <t>NOTAS</t>
  </si>
  <si>
    <t>Las macros siguen funcionando con las hojas ocultas; ocultar solo evita que se manipulen.</t>
  </si>
  <si>
    <t>Hojas eliminadas (datos ya migrados a las tablas): las 22 RDO-dd, Reporte, CONTROL PROD.CONCENTRADO, Fallas, 8 hojas de control, MANTTO. BOMBAS, hojas de código VBA e Informe Mejoras.</t>
  </si>
  <si>
    <t>Fallas: la hoja Fallas ahora es 'Fallas y Paradas' (tabla tblParadas).</t>
  </si>
  <si>
    <t>Actualización 29/09</t>
  </si>
  <si>
    <t>Archivo actualizado: AGREGADO MEDIOS</t>
  </si>
  <si>
    <t>Archivo actualizado: CARGA MOLINOS</t>
  </si>
  <si>
    <t>Archivo actualizado: REACTIVOS</t>
  </si>
  <si>
    <t>Archivo actualizado: TONELADAS X TURNO</t>
  </si>
  <si>
    <t>Archivo actualizado: PURGA TKS AIRE</t>
  </si>
  <si>
    <t>BRIAN SALINAS</t>
  </si>
  <si>
    <t>Archivo actualizado: FILTROS H2O</t>
  </si>
  <si>
    <t>Luis Bendezu</t>
  </si>
  <si>
    <t>Brian Salinas</t>
  </si>
  <si>
    <t>Luis Bendezu /Brian Salinas</t>
  </si>
  <si>
    <t>BRIAN SALINAS/L. Bendezu</t>
  </si>
  <si>
    <t>Luis Bendezu / Brian Salinas</t>
  </si>
  <si>
    <t>Se incrementa dosificacion de xantato por azufre alto</t>
  </si>
  <si>
    <t>Se distribuye dosificacion de acido, se bajo algunas bombas enviando la diferencia a celdas nuevas por la bomba #6.</t>
  </si>
  <si>
    <t>Se bajo al minmo nivel de colchon de espumas en las celdasde flotacion</t>
  </si>
  <si>
    <t>Se envia muestra de xantato a laboratorio quimico para analizar potencia</t>
  </si>
  <si>
    <t>Se incrementa concentracion del xantato de 7 a 9%.</t>
  </si>
  <si>
    <t>10:30 a 11:00 parada de líneas 1/2/3 por cambio de polin en la faja 051-182</t>
  </si>
  <si>
    <t>Se incrementa dosificacion de xantato, reducen colchones de espumas. se regula tonelaje en planta</t>
  </si>
  <si>
    <t>Bolas 4 se realiza cambio de transmision de presion de bomba de baja. Entra en operacion 21:58 hrs</t>
  </si>
  <si>
    <t>Linea 3 paro 21:00 a 21:30 hrs cambio de polines.</t>
  </si>
  <si>
    <t>039-288A y B: Se cambiaron valvulas de aire. Terminando mantenimiento a bomba 297</t>
  </si>
  <si>
    <t>Linea 4 paro por control de nivel agitadores</t>
  </si>
  <si>
    <t>Se agregaron barras a molinos RM5,6,7,8,9</t>
  </si>
  <si>
    <t>039-288: culminan cambio de valvulas de aire bancos A/B</t>
  </si>
  <si>
    <t>Celdas nuevas perforacion en yee descarga de bombas 1003/1004, se derivan 02 bombas de trasnferencia a filtros</t>
  </si>
  <si>
    <t>se agregaron barras a molinos RM1,2,3</t>
  </si>
  <si>
    <t>051-176 paro 02:00 a 02:30 hrs para cortar hebra de faja.</t>
  </si>
  <si>
    <t>Bolas 3 modificando cajon de descarga</t>
  </si>
  <si>
    <t>051-186 se paró faja de 4:00 a 4:30 hrs para cortar hebra</t>
  </si>
  <si>
    <t>Se normaliza operacion de nuevas celdas de flotacion, recibiendo 100% carga de planta. //  se incrementa tonelaje</t>
  </si>
  <si>
    <t>Incrementa tonelaje en lineas de molienda</t>
  </si>
  <si>
    <t>Desde 13:25 a 14:50, parada de línea 1 y 2 para rectificar eje de polea dobladora del Tripper 051-181</t>
  </si>
  <si>
    <t>bolas 8 paro 17:15 a 17:46 acondicionar nuevo emfriador de aceite al reductor.</t>
  </si>
  <si>
    <t>Agregado de barras molinos 5/6/7/8</t>
  </si>
  <si>
    <t>Se incremento concentracion de xantato al 9%, se aumenta dosificacion en bancos. Reducen colchones de espumas</t>
  </si>
  <si>
    <t>039-281E/D: Tapon caido desde el 1er turno, se coordina desacoplar manguera de purga, para descargar banco y levantar tapon</t>
  </si>
  <si>
    <t>De 01:20 a 01:38  hrs se deriva carga por 717 por cambio de polin faja 071-051</t>
  </si>
  <si>
    <t>Se retoma preparacion de reactivos xantato y acido oxalico con agua desalinizada</t>
  </si>
  <si>
    <t>039-281 se descarga banco, limpieza de area de tapon para retiro. // Se continua reduciendo colchones de espumas</t>
  </si>
  <si>
    <t>039-281 se retira tapon intermedio y pone en operacion celda</t>
  </si>
  <si>
    <t>Reponen paletas de celda 039-280, reparando de 039-283</t>
  </si>
  <si>
    <t>Agregado de barrras molinos 1 y 2.</t>
  </si>
  <si>
    <t>Se prueba hermeticidad manguera descarga 213-813, se realiza cambio de bombas del sistema hidrostatico de acuerdo a rotacion</t>
  </si>
  <si>
    <t>01:40 hrs arranco bolas 9, 01:52 hrs barras 9</t>
  </si>
  <si>
    <t>01:25 a 01:42 hrs se derivo carga por 071-717 cambio de polin faja 051</t>
  </si>
  <si>
    <t>Bolas 3 presenta perdida de carga por cajon de descarga, se para molino para instalacion de plancha</t>
  </si>
  <si>
    <t>Se continuo agregado de conos y bolas</t>
  </si>
  <si>
    <t>213-231 culminan embone de manguera de descarga.</t>
  </si>
  <si>
    <t>bbaras 9 paro 10:30 a 12:28h por baja preson de aceite.</t>
  </si>
  <si>
    <t>barras 1 paro 14:14 a 14:52h por cambio reten 213-671</t>
  </si>
  <si>
    <t>Rm02, se retiran 15 de barras, en arranque continua marcando sobrecarga</t>
  </si>
  <si>
    <t>Se incrementa dosificacion de xantato por incremento de S, regulan compuertas de bancos</t>
  </si>
  <si>
    <t>Rm02, se desacopla motor-contraeje, en vacio valores dentro de rango</t>
  </si>
  <si>
    <t>Rm02 se continua retiro de barras, 07 adicionales. // Se cambio valvula de purga de filtro #7</t>
  </si>
  <si>
    <t>Rm02 arranco 02:31 hrs, paro Rm04. // Se instalo valvula de acido a bomba 213-800</t>
  </si>
  <si>
    <t>039-275 reparando paletas</t>
  </si>
  <si>
    <t>Acido oxalico, se detuvo el envío de 2:24 a 3:29 am. por cambio de tubería T y codo en salida de bombas</t>
  </si>
  <si>
    <t>Reduccion de nivel de tanque de acido afecta celdas nuevas, se regula espumante y colchones de espumas, queda normalizado.</t>
  </si>
  <si>
    <t>Se agrega aceite a sistema hidrostatico bolas 1</t>
  </si>
  <si>
    <t>9:33 a 9:55, parada de L-1 y 2 por cambio de polines cargadores en la faja 170/151.</t>
  </si>
  <si>
    <t>Colas altars por tuberia de la bomba 213-231 desembonada altura del canal A</t>
  </si>
  <si>
    <t>Se inicia agregado de medio moledor conos</t>
  </si>
  <si>
    <t>01:47 hrs paró barras 4 para cambio de jebe de sello y desatoro de manguera 213-651. Se reduce dosificacion de acido oxalico</t>
  </si>
  <si>
    <t>Rm04 arrancó 03:04 hrs</t>
  </si>
  <si>
    <t>Bm02 continua retiro de pernos de bafle ring, se presenta trommel nuevo</t>
  </si>
  <si>
    <t>Se reduce dosificacion de acido oxalico y xantato</t>
  </si>
  <si>
    <t>Incrementa tonelaje por malla dentro de estandar</t>
  </si>
  <si>
    <t>9:45 a 10:15, parada de línea 3 por cambio de polín de retorno y cargador en la faja 051-172.</t>
  </si>
  <si>
    <t>10:45  a 12:15, parada de línea 1 y 2 por activación del switch de ruptura, falla el freno de la faja 051-186 ocasionando desprendimiento 1 polín cargador y desalineamiento de la faja. Nivel de agitador: 053-008:70% y 053-050:70%</t>
  </si>
  <si>
    <t>Linea 1 y 2 pararon 19:05 a 19:45 por faja 051-185 se desvio polea cabeza.</t>
  </si>
  <si>
    <t>Agregando barras 9//7/5/1</t>
  </si>
  <si>
    <t>Rm02 arrancó en reemplazo del Rm07 (reparacion de malla trommel)</t>
  </si>
  <si>
    <t>Linea 1 C. abierto, retirando bomba 213-122. // Se incrementa tonelaje en molinos por malla fina</t>
  </si>
  <si>
    <t>Rm07 reparan malla trommel</t>
  </si>
  <si>
    <t>Bm02 se continuo instalacion de malla reten nueva</t>
  </si>
  <si>
    <t>Se reduce dosificacion de oxalico y xantato</t>
  </si>
  <si>
    <t>Bm02 arrancó 06:36 hrs</t>
  </si>
  <si>
    <t>213-105/312 queda descargado. // Se regula tonelaje</t>
  </si>
  <si>
    <t>Instalar platina en abertura de cajon de descarga</t>
  </si>
  <si>
    <t>Archivo actualizado: Fallas</t>
  </si>
  <si>
    <t>Falla en sistema hidrostatico, falsa señal bomba de alta</t>
  </si>
  <si>
    <t>Cambio de jebe sello y desatoro manguera de sello 213-651</t>
  </si>
  <si>
    <t>RDO-23 SET</t>
  </si>
  <si>
    <t>RDO-23 SET!C8</t>
  </si>
  <si>
    <t>RDO-23 SET!D8</t>
  </si>
  <si>
    <t>RDO-23 SET!E8</t>
  </si>
  <si>
    <t>RDO-23 SET!G8</t>
  </si>
  <si>
    <t>RDO-23 SET!H8</t>
  </si>
  <si>
    <t>RDO-23 SET!I8</t>
  </si>
  <si>
    <t>RDO-23 SET!C9</t>
  </si>
  <si>
    <t>RDO-23 SET!D9</t>
  </si>
  <si>
    <t>RDO-23 SET!E9</t>
  </si>
  <si>
    <t>RDO-23 SET!G9</t>
  </si>
  <si>
    <t>RDO-23 SET!H9</t>
  </si>
  <si>
    <t>RDO-23 SET!I9</t>
  </si>
  <si>
    <t>RDO-23 SET!C10</t>
  </si>
  <si>
    <t>RDO-23 SET!D10</t>
  </si>
  <si>
    <t>RDO-23 SET!E10</t>
  </si>
  <si>
    <t>RDO-23 SET!G10</t>
  </si>
  <si>
    <t>RDO-23 SET!H10</t>
  </si>
  <si>
    <t>RDO-23 SET!I10</t>
  </si>
  <si>
    <t>RDO-23 SET!C11</t>
  </si>
  <si>
    <t>RDO-23 SET!D11</t>
  </si>
  <si>
    <t>RDO-23 SET!E11</t>
  </si>
  <si>
    <t>RDO-23 SET!G11</t>
  </si>
  <si>
    <t>RDO-23 SET!H11</t>
  </si>
  <si>
    <t>RDO-23 SET!I11</t>
  </si>
  <si>
    <t>RDO-23 SET!G12</t>
  </si>
  <si>
    <t>RDO-23 SET!H12</t>
  </si>
  <si>
    <t>RDO-23 SET!I12</t>
  </si>
  <si>
    <t>RDO-23 SET!C13</t>
  </si>
  <si>
    <t>RDO-23 SET!D13</t>
  </si>
  <si>
    <t>RDO-23 SET!E13</t>
  </si>
  <si>
    <t>RDO-23 SET!G13</t>
  </si>
  <si>
    <t>RDO-23 SET!H13</t>
  </si>
  <si>
    <t>RDO-23 SET!I13</t>
  </si>
  <si>
    <t>RDO-23 SET!C14</t>
  </si>
  <si>
    <t>RDO-23 SET!D14</t>
  </si>
  <si>
    <t>RDO-23 SET!E14</t>
  </si>
  <si>
    <t>RDO-23 SET!G14</t>
  </si>
  <si>
    <t>RDO-23 SET!H14</t>
  </si>
  <si>
    <t>RDO-23 SET!I14</t>
  </si>
  <si>
    <t>RDO-23 SET!C15</t>
  </si>
  <si>
    <t>RDO-23 SET!D15</t>
  </si>
  <si>
    <t>RDO-23 SET!E15</t>
  </si>
  <si>
    <t>RDO-23 SET!G15</t>
  </si>
  <si>
    <t>RDO-23 SET!H15</t>
  </si>
  <si>
    <t>RDO-23 SET!I15</t>
  </si>
  <si>
    <t>RDO-23 SET!C16</t>
  </si>
  <si>
    <t>RDO-23 SET!D16</t>
  </si>
  <si>
    <t>RDO-23 SET!E16</t>
  </si>
  <si>
    <t>RDO-23 SET!G16</t>
  </si>
  <si>
    <t>RDO-23 SET!H16</t>
  </si>
  <si>
    <t>RDO-23 SET!I16</t>
  </si>
  <si>
    <t>RDO-23 SET!C17</t>
  </si>
  <si>
    <t>RDO-23 SET!D17</t>
  </si>
  <si>
    <t>RDO-23 SET!E17</t>
  </si>
  <si>
    <t>RDO-23 SET!G17</t>
  </si>
  <si>
    <t>RDO-23 SET!H17</t>
  </si>
  <si>
    <t>RDO-23 SET!I17</t>
  </si>
  <si>
    <t>RDO-23 SET!C18</t>
  </si>
  <si>
    <t>RDO-23 SET!D18</t>
  </si>
  <si>
    <t>RDO-23 SET!E18</t>
  </si>
  <si>
    <t>RDO-23 SET!G18</t>
  </si>
  <si>
    <t>RDO-23 SET!H18</t>
  </si>
  <si>
    <t>RDO-23 SET!I18</t>
  </si>
  <si>
    <t>RDO-23 SET!C19</t>
  </si>
  <si>
    <t>RDO-23 SET!D19</t>
  </si>
  <si>
    <t>RDO-23 SET!E19</t>
  </si>
  <si>
    <t>RDO-23 SET!G19</t>
  </si>
  <si>
    <t>RDO-23 SET!H19</t>
  </si>
  <si>
    <t>RDO-23 SET!I19</t>
  </si>
  <si>
    <t>RDO-23 SET!C20</t>
  </si>
  <si>
    <t>RDO-23 SET!D20</t>
  </si>
  <si>
    <t>RDO-23 SET!E20</t>
  </si>
  <si>
    <t>RDO-23 SET!G20</t>
  </si>
  <si>
    <t>RDO-23 SET!H20</t>
  </si>
  <si>
    <t>RDO-23 SET!I20</t>
  </si>
  <si>
    <t>RDO-23 SET!C21</t>
  </si>
  <si>
    <t>RDO-23 SET!D21</t>
  </si>
  <si>
    <t>RDO-23 SET!E21</t>
  </si>
  <si>
    <t>RDO-23 SET!G21</t>
  </si>
  <si>
    <t>RDO-23 SET!H21</t>
  </si>
  <si>
    <t>RDO-23 SET!I21</t>
  </si>
  <si>
    <t>RDO-23 SET!C22</t>
  </si>
  <si>
    <t>RDO-23 SET!D22</t>
  </si>
  <si>
    <t>RDO-23 SET!E22</t>
  </si>
  <si>
    <t>RDO-23 SET!G22</t>
  </si>
  <si>
    <t>RDO-23 SET!H22</t>
  </si>
  <si>
    <t>RDO-23 SET!I22</t>
  </si>
  <si>
    <t>RDO-23 SET!C23</t>
  </si>
  <si>
    <t>RDO-23 SET!D23</t>
  </si>
  <si>
    <t>RDO-23 SET!E23</t>
  </si>
  <si>
    <t>RDO-23 SET!G23</t>
  </si>
  <si>
    <t>RDO-23 SET!H23</t>
  </si>
  <si>
    <t>RDO-23 SET!I23</t>
  </si>
  <si>
    <t>RDO-23 SET!G24</t>
  </si>
  <si>
    <t>RDO-23 SET!H24</t>
  </si>
  <si>
    <t>RDO-23 SET!I24</t>
  </si>
  <si>
    <t>RDO-23 SET!C25</t>
  </si>
  <si>
    <t>RDO-23 SET!D25</t>
  </si>
  <si>
    <t>RDO-23 SET!E25</t>
  </si>
  <si>
    <t>RDO-23 SET!G25</t>
  </si>
  <si>
    <t>RDO-23 SET!H25</t>
  </si>
  <si>
    <t>RDO-23 SET!I25</t>
  </si>
  <si>
    <t>RDO-23 SET!G26</t>
  </si>
  <si>
    <t>RDO-23 SET!H26</t>
  </si>
  <si>
    <t>RDO-23 SET!I26</t>
  </si>
  <si>
    <t>RDO-23 SET!C28</t>
  </si>
  <si>
    <t>RDO-23 SET!D28</t>
  </si>
  <si>
    <t>RDO-23 SET!E28</t>
  </si>
  <si>
    <t>RDO-23 SET!C29</t>
  </si>
  <si>
    <t>RDO-23 SET!D29</t>
  </si>
  <si>
    <t>RDO-23 SET!E29</t>
  </si>
  <si>
    <t>RDO-23 SET!G29</t>
  </si>
  <si>
    <t>RDO-23 SET!H29</t>
  </si>
  <si>
    <t>RDO-23 SET!I29</t>
  </si>
  <si>
    <t>RDO-23 SET!C30</t>
  </si>
  <si>
    <t>RDO-23 SET!D30</t>
  </si>
  <si>
    <t>RDO-23 SET!E30</t>
  </si>
  <si>
    <t>RDO-23 SET!G30</t>
  </si>
  <si>
    <t>RDO-23 SET!H30</t>
  </si>
  <si>
    <t>RDO-23 SET!I30</t>
  </si>
  <si>
    <t>RDO-23 SET!C31</t>
  </si>
  <si>
    <t>RDO-23 SET!D31</t>
  </si>
  <si>
    <t>RDO-23 SET!E31</t>
  </si>
  <si>
    <t>RDO-23 SET!G31</t>
  </si>
  <si>
    <t>RDO-23 SET!H31</t>
  </si>
  <si>
    <t>RDO-23 SET!I31</t>
  </si>
  <si>
    <t>RDO-23 SET!G32</t>
  </si>
  <si>
    <t>RDO-23 SET!H32</t>
  </si>
  <si>
    <t>RDO-23 SET!I32</t>
  </si>
  <si>
    <t>RDO-23 SET!G33</t>
  </si>
  <si>
    <t>RDO-23 SET!H33</t>
  </si>
  <si>
    <t>RDO-23 SET!I33</t>
  </si>
  <si>
    <t>RDO-23 SET!G35</t>
  </si>
  <si>
    <t>RDO-23 SET!H35</t>
  </si>
  <si>
    <t>RDO-23 SET!I35</t>
  </si>
  <si>
    <t>RDO-23 SET!G36</t>
  </si>
  <si>
    <t>RDO-23 SET!H36</t>
  </si>
  <si>
    <t>RDO-23 SET!I36</t>
  </si>
  <si>
    <t>RDO-23 SET!C37</t>
  </si>
  <si>
    <t>RDO-23 SET!D37</t>
  </si>
  <si>
    <t>RDO-23 SET!E37</t>
  </si>
  <si>
    <t>RDO-23 SET!G37</t>
  </si>
  <si>
    <t>RDO-23 SET!H37</t>
  </si>
  <si>
    <t>RDO-23 SET!I37</t>
  </si>
  <si>
    <t>RDO-23 SET!G38</t>
  </si>
  <si>
    <t>RDO-23 SET!H38</t>
  </si>
  <si>
    <t>RDO-23 SET!I38</t>
  </si>
  <si>
    <t>RDO-23 SET!G40</t>
  </si>
  <si>
    <t>RDO-23 SET!H40</t>
  </si>
  <si>
    <t>RDO-23 SET!I40</t>
  </si>
  <si>
    <t>M/V VAN AUSPICIOUS</t>
  </si>
  <si>
    <t>RDO-23 SET!C41</t>
  </si>
  <si>
    <t>RDO-23 SET!D41</t>
  </si>
  <si>
    <t>RDO-23 SET!E41</t>
  </si>
  <si>
    <t>RDO-23 SET!G41</t>
  </si>
  <si>
    <t>RDO-23 SET!H41</t>
  </si>
  <si>
    <t>RDO-23 SET!I41</t>
  </si>
  <si>
    <t>RDO-23 SET!C42</t>
  </si>
  <si>
    <t>RDO-23 SET!D42</t>
  </si>
  <si>
    <t>RDO-23 SET!E42</t>
  </si>
  <si>
    <t>RDO-23 SET!G42</t>
  </si>
  <si>
    <t>RDO-23 SET!H42</t>
  </si>
  <si>
    <t>RDO-23 SET!I42</t>
  </si>
  <si>
    <t>✅Inicio : 23-09-2026🕰️07:50hrs</t>
  </si>
  <si>
    <t>RDO-23 SET!C43</t>
  </si>
  <si>
    <t>RDO-23 SET!D43</t>
  </si>
  <si>
    <t>RDO-23 SET!E43</t>
  </si>
  <si>
    <t>RDO-23 SET!G43</t>
  </si>
  <si>
    <t>RDO-23 SET!H43</t>
  </si>
  <si>
    <t>RDO-23 SET!I43</t>
  </si>
  <si>
    <t>RDO-23 SET!C44</t>
  </si>
  <si>
    <t>RDO-23 SET!D44</t>
  </si>
  <si>
    <t>RDO-23 SET!E44</t>
  </si>
  <si>
    <t>RDO-23 SET!G44</t>
  </si>
  <si>
    <t>RDO-23 SET!H44</t>
  </si>
  <si>
    <t>RDO-23 SET!I44</t>
  </si>
  <si>
    <t>RDO-23 SET!C45</t>
  </si>
  <si>
    <t>RDO-23 SET!D45</t>
  </si>
  <si>
    <t>RDO-23 SET!E45</t>
  </si>
  <si>
    <t>📍Peso por balanza: 23 100TM</t>
  </si>
  <si>
    <t>RDO-23 SET!C46</t>
  </si>
  <si>
    <t>📍Peso por balanza: 45 000TM</t>
  </si>
  <si>
    <t>RDO-23 SET!D46</t>
  </si>
  <si>
    <t>📍Peso por balanza: 70 000TM</t>
  </si>
  <si>
    <t>RDO-23 SET!E46</t>
  </si>
  <si>
    <t>RDO-23 SET!G46</t>
  </si>
  <si>
    <t>RDO-23 SET!H46</t>
  </si>
  <si>
    <t>RDO-23 SET!I46</t>
  </si>
  <si>
    <t>RDO-23 SET!C47</t>
  </si>
  <si>
    <t>RDO-23 SET!D47</t>
  </si>
  <si>
    <t>RDO-23 SET!E47</t>
  </si>
  <si>
    <t>RDO-23 SET!G47</t>
  </si>
  <si>
    <t>RDO-23 SET!H47</t>
  </si>
  <si>
    <t>RDO-23 SET!I47</t>
  </si>
  <si>
    <t>RDO-23 SET!C48</t>
  </si>
  <si>
    <t>RDO-23 SET!D48</t>
  </si>
  <si>
    <t>RDO-23 SET!E48</t>
  </si>
  <si>
    <t>RDO-23 SET!G48</t>
  </si>
  <si>
    <t>RDO-23 SET!H48</t>
  </si>
  <si>
    <t>RDO-23 SET!I48</t>
  </si>
  <si>
    <t>RDO-23 SET!C49</t>
  </si>
  <si>
    <t>RDO-23 SET!D49</t>
  </si>
  <si>
    <t>RDO-23 SET!E49</t>
  </si>
  <si>
    <t>RDO-23 SET!G49</t>
  </si>
  <si>
    <t>RDO-23 SET!H49</t>
  </si>
  <si>
    <t>RDO-23 SET!I49</t>
  </si>
  <si>
    <t>RDO-23 SET!C50</t>
  </si>
  <si>
    <t>RDO-23 SET!D50</t>
  </si>
  <si>
    <t>RDO-23 SET!E50</t>
  </si>
  <si>
    <t>RDO-23 SET!G50</t>
  </si>
  <si>
    <t>RDO-23 SET!H50</t>
  </si>
  <si>
    <t>RDO-23 SET!I50</t>
  </si>
  <si>
    <t>RDO-23 SET!C51</t>
  </si>
  <si>
    <t>RDO-23 SET!D51</t>
  </si>
  <si>
    <t>RDO-23 SET!E51</t>
  </si>
  <si>
    <t>RDO-23 SET!G51</t>
  </si>
  <si>
    <t>RDO-23 SET!H51</t>
  </si>
  <si>
    <t>RDO-23 SET!I51</t>
  </si>
  <si>
    <t>RDO-23 SET!C52</t>
  </si>
  <si>
    <t>RDO-23 SET!D52</t>
  </si>
  <si>
    <t>RDO-23 SET!E52</t>
  </si>
  <si>
    <t>RDO-23 SET!G52</t>
  </si>
  <si>
    <t>RDO-23 SET!H52</t>
  </si>
  <si>
    <t>RDO-23 SET!I52</t>
  </si>
  <si>
    <t>RDO-24 SET</t>
  </si>
  <si>
    <t>RDO-24 SET!C8</t>
  </si>
  <si>
    <t>RDO-24 SET!D8</t>
  </si>
  <si>
    <t>RDO-24 SET!E8</t>
  </si>
  <si>
    <t>RDO-24 SET!G8</t>
  </si>
  <si>
    <t>RDO-24 SET!H8</t>
  </si>
  <si>
    <t>RDO-24 SET!I8</t>
  </si>
  <si>
    <t>RDO-24 SET!C9</t>
  </si>
  <si>
    <t>RDO-24 SET!D9</t>
  </si>
  <si>
    <t>RDO-24 SET!E9</t>
  </si>
  <si>
    <t>RDO-24 SET!G9</t>
  </si>
  <si>
    <t>RDO-24 SET!H9</t>
  </si>
  <si>
    <t>RDO-24 SET!I9</t>
  </si>
  <si>
    <t>RDO-24 SET!C10</t>
  </si>
  <si>
    <t>RDO-24 SET!D10</t>
  </si>
  <si>
    <t>RDO-24 SET!E10</t>
  </si>
  <si>
    <t>RDO-24 SET!G10</t>
  </si>
  <si>
    <t>RDO-24 SET!H10</t>
  </si>
  <si>
    <t>RDO-24 SET!I10</t>
  </si>
  <si>
    <t>RDO-24 SET!C11</t>
  </si>
  <si>
    <t>RDO-24 SET!D11</t>
  </si>
  <si>
    <t>RDO-24 SET!E11</t>
  </si>
  <si>
    <t>RDO-24 SET!G11</t>
  </si>
  <si>
    <t>RDO-24 SET!H11</t>
  </si>
  <si>
    <t>RDO-24 SET!I11</t>
  </si>
  <si>
    <t>RDO-24 SET!G12</t>
  </si>
  <si>
    <t>RDO-24 SET!H12</t>
  </si>
  <si>
    <t>RDO-24 SET!I12</t>
  </si>
  <si>
    <t>RDO-24 SET!C13</t>
  </si>
  <si>
    <t>RDO-24 SET!D13</t>
  </si>
  <si>
    <t>RDO-24 SET!E13</t>
  </si>
  <si>
    <t>RDO-24 SET!G13</t>
  </si>
  <si>
    <t>RDO-24 SET!H13</t>
  </si>
  <si>
    <t>RDO-24 SET!I13</t>
  </si>
  <si>
    <t>RDO-24 SET!C14</t>
  </si>
  <si>
    <t>RDO-24 SET!D14</t>
  </si>
  <si>
    <t>RDO-24 SET!E14</t>
  </si>
  <si>
    <t>RDO-24 SET!G14</t>
  </si>
  <si>
    <t>RDO-24 SET!H14</t>
  </si>
  <si>
    <t>RDO-24 SET!I14</t>
  </si>
  <si>
    <t>RDO-24 SET!C15</t>
  </si>
  <si>
    <t>RDO-24 SET!D15</t>
  </si>
  <si>
    <t>RDO-24 SET!E15</t>
  </si>
  <si>
    <t>RDO-24 SET!G15</t>
  </si>
  <si>
    <t>RDO-24 SET!H15</t>
  </si>
  <si>
    <t>RDO-24 SET!I15</t>
  </si>
  <si>
    <t>RDO-24 SET!C16</t>
  </si>
  <si>
    <t>RDO-24 SET!D16</t>
  </si>
  <si>
    <t>RDO-24 SET!E16</t>
  </si>
  <si>
    <t>RDO-24 SET!G16</t>
  </si>
  <si>
    <t>RDO-24 SET!H16</t>
  </si>
  <si>
    <t>RDO-24 SET!I16</t>
  </si>
  <si>
    <t>RDO-24 SET!C17</t>
  </si>
  <si>
    <t>RDO-24 SET!D17</t>
  </si>
  <si>
    <t>RDO-24 SET!E17</t>
  </si>
  <si>
    <t>RDO-24 SET!G17</t>
  </si>
  <si>
    <t>RDO-24 SET!H17</t>
  </si>
  <si>
    <t>RDO-24 SET!I17</t>
  </si>
  <si>
    <t>RDO-24 SET!C18</t>
  </si>
  <si>
    <t>RDO-24 SET!D18</t>
  </si>
  <si>
    <t>RDO-24 SET!E18</t>
  </si>
  <si>
    <t>RDO-24 SET!G18</t>
  </si>
  <si>
    <t>RDO-24 SET!H18</t>
  </si>
  <si>
    <t>RDO-24 SET!I18</t>
  </si>
  <si>
    <t>RDO-24 SET!C19</t>
  </si>
  <si>
    <t>RDO-24 SET!D19</t>
  </si>
  <si>
    <t>RDO-24 SET!E19</t>
  </si>
  <si>
    <t>RDO-24 SET!G19</t>
  </si>
  <si>
    <t>RDO-24 SET!H19</t>
  </si>
  <si>
    <t>RDO-24 SET!I19</t>
  </si>
  <si>
    <t>RDO-24 SET!C20</t>
  </si>
  <si>
    <t>RDO-24 SET!D20</t>
  </si>
  <si>
    <t>RDO-24 SET!E20</t>
  </si>
  <si>
    <t>RDO-24 SET!G20</t>
  </si>
  <si>
    <t>RDO-24 SET!H20</t>
  </si>
  <si>
    <t>RDO-24 SET!I20</t>
  </si>
  <si>
    <t>RDO-24 SET!C21</t>
  </si>
  <si>
    <t>RDO-24 SET!D21</t>
  </si>
  <si>
    <t>RDO-24 SET!E21</t>
  </si>
  <si>
    <t>RDO-24 SET!G21</t>
  </si>
  <si>
    <t>RDO-24 SET!H21</t>
  </si>
  <si>
    <t>RDO-24 SET!I21</t>
  </si>
  <si>
    <t>RDO-24 SET!C22</t>
  </si>
  <si>
    <t>RDO-24 SET!D22</t>
  </si>
  <si>
    <t>RDO-24 SET!E22</t>
  </si>
  <si>
    <t>RDO-24 SET!G22</t>
  </si>
  <si>
    <t>RDO-24 SET!H22</t>
  </si>
  <si>
    <t>RDO-24 SET!I22</t>
  </si>
  <si>
    <t>MTTO PROGRAMADO</t>
  </si>
  <si>
    <t>RDO-24 SET!C23</t>
  </si>
  <si>
    <t xml:space="preserve">2 chancadoras C2 / 2 chancadoras C7
</t>
  </si>
  <si>
    <t>RDO-24 SET!D23</t>
  </si>
  <si>
    <t>RDO-24 SET!E23</t>
  </si>
  <si>
    <t>RDO-24 SET!G23</t>
  </si>
  <si>
    <t>RDO-24 SET!H23</t>
  </si>
  <si>
    <t>RDO-24 SET!I23</t>
  </si>
  <si>
    <t>RDO-24 SET!G24</t>
  </si>
  <si>
    <t>RDO-24 SET!H24</t>
  </si>
  <si>
    <t>RDO-24 SET!I24</t>
  </si>
  <si>
    <t>RDO-24 SET!C25</t>
  </si>
  <si>
    <t>RDO-24 SET!D25</t>
  </si>
  <si>
    <t>RDO-24 SET!E25</t>
  </si>
  <si>
    <t>RDO-24 SET!G25</t>
  </si>
  <si>
    <t>RDO-24 SET!H25</t>
  </si>
  <si>
    <t>RDO-24 SET!I25</t>
  </si>
  <si>
    <t>RDO-24 SET!G26</t>
  </si>
  <si>
    <t>RDO-24 SET!H26</t>
  </si>
  <si>
    <t>RDO-24 SET!I26</t>
  </si>
  <si>
    <t>RDO-24 SET!C28</t>
  </si>
  <si>
    <t>RDO-24 SET!D28</t>
  </si>
  <si>
    <t>RDO-24 SET!E28</t>
  </si>
  <si>
    <t>RDO-24 SET!C29</t>
  </si>
  <si>
    <t>RDO-24 SET!D29</t>
  </si>
  <si>
    <t>RDO-24 SET!E29</t>
  </si>
  <si>
    <t>RDO-24 SET!G29</t>
  </si>
  <si>
    <t>RDO-24 SET!H29</t>
  </si>
  <si>
    <t>RDO-24 SET!I29</t>
  </si>
  <si>
    <t>RDO-24 SET!C30</t>
  </si>
  <si>
    <t>RDO-24 SET!D30</t>
  </si>
  <si>
    <t>1,2,4,5,6,7,8,9,10</t>
  </si>
  <si>
    <t>RDO-24 SET!E30</t>
  </si>
  <si>
    <t>RDO-24 SET!G30</t>
  </si>
  <si>
    <t>RDO-24 SET!H30</t>
  </si>
  <si>
    <t>RDO-24 SET!I30</t>
  </si>
  <si>
    <t>RDO-24 SET!C31</t>
  </si>
  <si>
    <t>RDO-24 SET!D31</t>
  </si>
  <si>
    <t>RDO-24 SET!E31</t>
  </si>
  <si>
    <t>RDO-24 SET!G31</t>
  </si>
  <si>
    <t>RDO-24 SET!H31</t>
  </si>
  <si>
    <t>RDO-24 SET!I31</t>
  </si>
  <si>
    <t>RDO-24 SET!G32</t>
  </si>
  <si>
    <t>RDO-24 SET!H32</t>
  </si>
  <si>
    <t>RDO-24 SET!I32</t>
  </si>
  <si>
    <t>RDO-24 SET!G33</t>
  </si>
  <si>
    <t>RDO-24 SET!H33</t>
  </si>
  <si>
    <t>RDO-24 SET!I33</t>
  </si>
  <si>
    <t>RDO-24 SET!G35</t>
  </si>
  <si>
    <t>RDO-24 SET!H35</t>
  </si>
  <si>
    <t>RDO-24 SET!I35</t>
  </si>
  <si>
    <t>RDO-24 SET!G36</t>
  </si>
  <si>
    <t>RDO-24 SET!H36</t>
  </si>
  <si>
    <t>RDO-24 SET!I36</t>
  </si>
  <si>
    <t>RDO-24 SET!C37</t>
  </si>
  <si>
    <t>RDO-24 SET!D37</t>
  </si>
  <si>
    <t>RDO-24 SET!E37</t>
  </si>
  <si>
    <t>RDO-24 SET!G37</t>
  </si>
  <si>
    <t>RDO-24 SET!H37</t>
  </si>
  <si>
    <t>RDO-24 SET!I37</t>
  </si>
  <si>
    <t>RDO-24 SET!G38</t>
  </si>
  <si>
    <t>RDO-24 SET!H38</t>
  </si>
  <si>
    <t>RDO-24 SET!I38</t>
  </si>
  <si>
    <t>RDO-24 SET!G40</t>
  </si>
  <si>
    <t>RDO-24 SET!H40</t>
  </si>
  <si>
    <t>RDO-24 SET!I40</t>
  </si>
  <si>
    <t>RDO-24 SET!C41</t>
  </si>
  <si>
    <t>RDO-24 SET!D41</t>
  </si>
  <si>
    <t>RDO-24 SET!E41</t>
  </si>
  <si>
    <t>RDO-24 SET!G41</t>
  </si>
  <si>
    <t>RDO-24 SET!H41</t>
  </si>
  <si>
    <t>RDO-24 SET!I41</t>
  </si>
  <si>
    <t>RDO-24 SET!C42</t>
  </si>
  <si>
    <t>RDO-24 SET!D42</t>
  </si>
  <si>
    <t>RDO-24 SET!E42</t>
  </si>
  <si>
    <t>RDO-24 SET!G42</t>
  </si>
  <si>
    <t>RDO-24 SET!H42</t>
  </si>
  <si>
    <t>RDO-24 SET!I42</t>
  </si>
  <si>
    <t>RDO-24 SET!C43</t>
  </si>
  <si>
    <t>RDO-24 SET!D43</t>
  </si>
  <si>
    <t>RDO-24 SET!E43</t>
  </si>
  <si>
    <t>RDO-24 SET!G43</t>
  </si>
  <si>
    <t>RDO-24 SET!H43</t>
  </si>
  <si>
    <t>RDO-24 SET!I43</t>
  </si>
  <si>
    <t>RDO-24 SET!C44</t>
  </si>
  <si>
    <t>RDO-24 SET!D44</t>
  </si>
  <si>
    <t>RDO-24 SET!E44</t>
  </si>
  <si>
    <t>RDO-24 SET!G44</t>
  </si>
  <si>
    <t>RDO-24 SET!H44</t>
  </si>
  <si>
    <t>RDO-24 SET!I44</t>
  </si>
  <si>
    <t>RDO-24 SET!C45</t>
  </si>
  <si>
    <t>RDO-24 SET!D45</t>
  </si>
  <si>
    <t>RDO-24 SET!E45</t>
  </si>
  <si>
    <t>📍Peso por balanza: 104 200TM</t>
  </si>
  <si>
    <t>RDO-24 SET!C46</t>
  </si>
  <si>
    <t>📍Peso por balanza: 131 500TM</t>
  </si>
  <si>
    <t>RDO-24 SET!D46</t>
  </si>
  <si>
    <t>📍Peso por balanza: 150800TM</t>
  </si>
  <si>
    <t>RDO-24 SET!E46</t>
  </si>
  <si>
    <t>RDO-24 SET!G46</t>
  </si>
  <si>
    <t>RDO-24 SET!H46</t>
  </si>
  <si>
    <t>RDO-24 SET!I46</t>
  </si>
  <si>
    <t>RDO-24 SET!C47</t>
  </si>
  <si>
    <t>RDO-24 SET!D47</t>
  </si>
  <si>
    <t>RDO-24 SET!E47</t>
  </si>
  <si>
    <t>RDO-24 SET!G47</t>
  </si>
  <si>
    <t>RDO-24 SET!H47</t>
  </si>
  <si>
    <t>RDO-24 SET!I47</t>
  </si>
  <si>
    <t>RDO-24 SET!C48</t>
  </si>
  <si>
    <t>RDO-24 SET!D48</t>
  </si>
  <si>
    <t>RDO-24 SET!E48</t>
  </si>
  <si>
    <t>RDO-24 SET!G48</t>
  </si>
  <si>
    <t>RDO-24 SET!H48</t>
  </si>
  <si>
    <t>RDO-24 SET!I48</t>
  </si>
  <si>
    <t>RDO-24 SET!C49</t>
  </si>
  <si>
    <t>RDO-24 SET!D49</t>
  </si>
  <si>
    <t>RDO-24 SET!E49</t>
  </si>
  <si>
    <t>RDO-24 SET!G49</t>
  </si>
  <si>
    <t>RDO-24 SET!H49</t>
  </si>
  <si>
    <t>RDO-24 SET!I49</t>
  </si>
  <si>
    <t>RDO-24 SET!C50</t>
  </si>
  <si>
    <t>RDO-24 SET!D50</t>
  </si>
  <si>
    <t>RDO-24 SET!E50</t>
  </si>
  <si>
    <t>RDO-24 SET!G50</t>
  </si>
  <si>
    <t>RDO-24 SET!H50</t>
  </si>
  <si>
    <t>RDO-24 SET!I50</t>
  </si>
  <si>
    <t>RDO-24 SET!C51</t>
  </si>
  <si>
    <t>RDO-24 SET!D51</t>
  </si>
  <si>
    <t>RDO-24 SET!E51</t>
  </si>
  <si>
    <t>RDO-24 SET!G51</t>
  </si>
  <si>
    <t>RDO-24 SET!H51</t>
  </si>
  <si>
    <t>RDO-24 SET!I51</t>
  </si>
  <si>
    <t>RDO-24 SET!C52</t>
  </si>
  <si>
    <t>RDO-24 SET!D52</t>
  </si>
  <si>
    <t>RDO-24 SET!E52</t>
  </si>
  <si>
    <t>RDO-24 SET!G52</t>
  </si>
  <si>
    <t>RDO-24 SET!H52</t>
  </si>
  <si>
    <t>RDO-24 SET!I52</t>
  </si>
  <si>
    <t>RDO-25 SET</t>
  </si>
  <si>
    <t>RDO-25 SET!C8</t>
  </si>
  <si>
    <t>RDO-25 SET!D8</t>
  </si>
  <si>
    <t>RDO-25 SET!E8</t>
  </si>
  <si>
    <t>RDO-25 SET!G8</t>
  </si>
  <si>
    <t>RDO-25 SET!H8</t>
  </si>
  <si>
    <t>RDO-25 SET!I8</t>
  </si>
  <si>
    <t>RDO-25 SET!C9</t>
  </si>
  <si>
    <t>12, 13</t>
  </si>
  <si>
    <t>RDO-25 SET!D9</t>
  </si>
  <si>
    <t>RDO-25 SET!E9</t>
  </si>
  <si>
    <t>RDO-25 SET!G9</t>
  </si>
  <si>
    <t>RDO-25 SET!H9</t>
  </si>
  <si>
    <t>RDO-25 SET!I9</t>
  </si>
  <si>
    <t>RDO-25 SET!C10</t>
  </si>
  <si>
    <t>RDO-25 SET!D10</t>
  </si>
  <si>
    <t>RDO-25 SET!E10</t>
  </si>
  <si>
    <t>RDO-25 SET!G10</t>
  </si>
  <si>
    <t>RDO-25 SET!H10</t>
  </si>
  <si>
    <t>RDO-25 SET!I10</t>
  </si>
  <si>
    <t>RDO-25 SET!C11</t>
  </si>
  <si>
    <t>RDO-25 SET!D11</t>
  </si>
  <si>
    <t>RDO-25 SET!E11</t>
  </si>
  <si>
    <t>RDO-25 SET!G11</t>
  </si>
  <si>
    <t>RDO-25 SET!H11</t>
  </si>
  <si>
    <t>RDO-25 SET!I11</t>
  </si>
  <si>
    <t>RDO-25 SET!G12</t>
  </si>
  <si>
    <t>RDO-25 SET!H12</t>
  </si>
  <si>
    <t>RDO-25 SET!I12</t>
  </si>
  <si>
    <t>RDO-25 SET!C13</t>
  </si>
  <si>
    <t>RDO-25 SET!D13</t>
  </si>
  <si>
    <t>RDO-25 SET!E13</t>
  </si>
  <si>
    <t>RDO-25 SET!G13</t>
  </si>
  <si>
    <t>RDO-25 SET!H13</t>
  </si>
  <si>
    <t>RDO-25 SET!I13</t>
  </si>
  <si>
    <t>RDO-25 SET!C14</t>
  </si>
  <si>
    <t>RDO-25 SET!D14</t>
  </si>
  <si>
    <t>RDO-25 SET!E14</t>
  </si>
  <si>
    <t>RDO-25 SET!G14</t>
  </si>
  <si>
    <t>RDO-25 SET!H14</t>
  </si>
  <si>
    <t>RDO-25 SET!I14</t>
  </si>
  <si>
    <t>RDO-25 SET!C15</t>
  </si>
  <si>
    <t>RDO-25 SET!D15</t>
  </si>
  <si>
    <t>RDO-25 SET!E15</t>
  </si>
  <si>
    <t>RDO-25 SET!G15</t>
  </si>
  <si>
    <t>RDO-25 SET!H15</t>
  </si>
  <si>
    <t>RDO-25 SET!I15</t>
  </si>
  <si>
    <t>RDO-25 SET!C16</t>
  </si>
  <si>
    <t>RDO-25 SET!D16</t>
  </si>
  <si>
    <t>RDO-25 SET!E16</t>
  </si>
  <si>
    <t>RDO-25 SET!G16</t>
  </si>
  <si>
    <t>RDO-25 SET!H16</t>
  </si>
  <si>
    <t>RDO-25 SET!I16</t>
  </si>
  <si>
    <t>RDO-25 SET!C17</t>
  </si>
  <si>
    <t>RDO-25 SET!D17</t>
  </si>
  <si>
    <t>RDO-25 SET!E17</t>
  </si>
  <si>
    <t>RDO-25 SET!G17</t>
  </si>
  <si>
    <t>RDO-25 SET!H17</t>
  </si>
  <si>
    <t>RDO-25 SET!I17</t>
  </si>
  <si>
    <t>RDO-25 SET!C18</t>
  </si>
  <si>
    <t>RDO-25 SET!D18</t>
  </si>
  <si>
    <t>RDO-25 SET!E18</t>
  </si>
  <si>
    <t>RDO-25 SET!G18</t>
  </si>
  <si>
    <t>RDO-25 SET!H18</t>
  </si>
  <si>
    <t>1, 4</t>
  </si>
  <si>
    <t>RDO-25 SET!I18</t>
  </si>
  <si>
    <t>RDO-25 SET!C19</t>
  </si>
  <si>
    <t>RDO-25 SET!D19</t>
  </si>
  <si>
    <t>RDO-25 SET!E19</t>
  </si>
  <si>
    <t>RDO-25 SET!G19</t>
  </si>
  <si>
    <t>RDO-25 SET!H19</t>
  </si>
  <si>
    <t>RDO-25 SET!I19</t>
  </si>
  <si>
    <t>RDO-25 SET!C20</t>
  </si>
  <si>
    <t>RDO-25 SET!D20</t>
  </si>
  <si>
    <t>RDO-25 SET!E20</t>
  </si>
  <si>
    <t>RDO-25 SET!G20</t>
  </si>
  <si>
    <t>RDO-25 SET!H20</t>
  </si>
  <si>
    <t>RDO-25 SET!I20</t>
  </si>
  <si>
    <t>RDO-25 SET!C21</t>
  </si>
  <si>
    <t>RDO-25 SET!D21</t>
  </si>
  <si>
    <t>RDO-25 SET!E21</t>
  </si>
  <si>
    <t>RDO-25 SET!G21</t>
  </si>
  <si>
    <t>RDO-25 SET!H21</t>
  </si>
  <si>
    <t>RDO-25 SET!I21</t>
  </si>
  <si>
    <t>RDO-25 SET!C22</t>
  </si>
  <si>
    <t>RDO-25 SET!D22</t>
  </si>
  <si>
    <t>RDO-25 SET!E22</t>
  </si>
  <si>
    <t>RDO-25 SET!G22</t>
  </si>
  <si>
    <t>RDO-25 SET!H22</t>
  </si>
  <si>
    <t>RDO-25 SET!I22</t>
  </si>
  <si>
    <t>RDO-25 SET!C23</t>
  </si>
  <si>
    <t>RDO-25 SET!D23</t>
  </si>
  <si>
    <t>RDO-25 SET!E23</t>
  </si>
  <si>
    <t>RDO-25 SET!G23</t>
  </si>
  <si>
    <t>RDO-25 SET!H23</t>
  </si>
  <si>
    <t>RDO-25 SET!I23</t>
  </si>
  <si>
    <t>RDO-25 SET!G24</t>
  </si>
  <si>
    <t>RDO-25 SET!H24</t>
  </si>
  <si>
    <t>RDO-25 SET!I24</t>
  </si>
  <si>
    <t>RDO-25 SET!C25</t>
  </si>
  <si>
    <t>RDO-25 SET!D25</t>
  </si>
  <si>
    <t>RDO-25 SET!E25</t>
  </si>
  <si>
    <t>RDO-25 SET!G25</t>
  </si>
  <si>
    <t>RDO-25 SET!H25</t>
  </si>
  <si>
    <t>RDO-25 SET!I25</t>
  </si>
  <si>
    <t>RDO-25 SET!G26</t>
  </si>
  <si>
    <t>RDO-25 SET!H26</t>
  </si>
  <si>
    <t>RDO-25 SET!I26</t>
  </si>
  <si>
    <t>RDO-25 SET!C28</t>
  </si>
  <si>
    <t>RDO-25 SET!D28</t>
  </si>
  <si>
    <t>RDO-25 SET!E28</t>
  </si>
  <si>
    <t>RDO-25 SET!C29</t>
  </si>
  <si>
    <t>RDO-25 SET!D29</t>
  </si>
  <si>
    <t>RDO-25 SET!E29</t>
  </si>
  <si>
    <t>RDO-25 SET!G29</t>
  </si>
  <si>
    <t>RDO-25 SET!H29</t>
  </si>
  <si>
    <t>RDO-25 SET!I29</t>
  </si>
  <si>
    <t>RDO-25 SET!C30</t>
  </si>
  <si>
    <t>RDO-25 SET!D30</t>
  </si>
  <si>
    <t>RDO-25 SET!E30</t>
  </si>
  <si>
    <t>RDO-25 SET!G30</t>
  </si>
  <si>
    <t>RDO-25 SET!H30</t>
  </si>
  <si>
    <t>RDO-25 SET!I30</t>
  </si>
  <si>
    <t>RDO-25 SET!C31</t>
  </si>
  <si>
    <t>RDO-25 SET!D31</t>
  </si>
  <si>
    <t>RDO-25 SET!E31</t>
  </si>
  <si>
    <t>RDO-25 SET!G31</t>
  </si>
  <si>
    <t>RDO-25 SET!H31</t>
  </si>
  <si>
    <t>RDO-25 SET!I31</t>
  </si>
  <si>
    <t>RDO-25 SET!G32</t>
  </si>
  <si>
    <t>RDO-25 SET!H32</t>
  </si>
  <si>
    <t>RDO-25 SET!I32</t>
  </si>
  <si>
    <t>RDO-25 SET!G33</t>
  </si>
  <si>
    <t>RDO-25 SET!H33</t>
  </si>
  <si>
    <t>RDO-25 SET!I33</t>
  </si>
  <si>
    <t>RDO-25 SET!G35</t>
  </si>
  <si>
    <t>RDO-25 SET!H35</t>
  </si>
  <si>
    <t>RDO-25 SET!I35</t>
  </si>
  <si>
    <t>RDO-25 SET!G36</t>
  </si>
  <si>
    <t>RDO-25 SET!H36</t>
  </si>
  <si>
    <t>RDO-25 SET!I36</t>
  </si>
  <si>
    <t>RDO-25 SET!C37</t>
  </si>
  <si>
    <t>RDO-25 SET!D37</t>
  </si>
  <si>
    <t>RDO-25 SET!E37</t>
  </si>
  <si>
    <t>RDO-25 SET!G37</t>
  </si>
  <si>
    <t>RDO-25 SET!H37</t>
  </si>
  <si>
    <t>RDO-25 SET!I37</t>
  </si>
  <si>
    <t>RDO-25 SET!G38</t>
  </si>
  <si>
    <t>RDO-25 SET!H38</t>
  </si>
  <si>
    <t>RDO-25 SET!I38</t>
  </si>
  <si>
    <t>RDO-25 SET!G40</t>
  </si>
  <si>
    <t>RDO-25 SET!H40</t>
  </si>
  <si>
    <t>RDO-25 SET!I40</t>
  </si>
  <si>
    <t>RDO-25 SET!C41</t>
  </si>
  <si>
    <t>RDO-25 SET!D41</t>
  </si>
  <si>
    <t>M/V MAIRAKI</t>
  </si>
  <si>
    <t>RDO-25 SET!E41</t>
  </si>
  <si>
    <t>RDO-25 SET!G41</t>
  </si>
  <si>
    <t>RDO-25 SET!H41</t>
  </si>
  <si>
    <t>RDO-25 SET!I41</t>
  </si>
  <si>
    <t>RDO-25 SET!C42</t>
  </si>
  <si>
    <t>RDO-25 SET!D42</t>
  </si>
  <si>
    <t>》Mineral: CDSS</t>
  </si>
  <si>
    <t>RDO-25 SET!E42</t>
  </si>
  <si>
    <t>RDO-25 SET!G42</t>
  </si>
  <si>
    <t>RDO-25 SET!H42</t>
  </si>
  <si>
    <t>RDO-25 SET!I42</t>
  </si>
  <si>
    <t>RDO-25 SET!C43</t>
  </si>
  <si>
    <t>RDO-25 SET!D43</t>
  </si>
  <si>
    <t>✅Inicio : 25-09-2026🕰️20:45hrs</t>
  </si>
  <si>
    <t>RDO-25 SET!E43</t>
  </si>
  <si>
    <t>RDO-25 SET!G43</t>
  </si>
  <si>
    <t>RDO-25 SET!H43</t>
  </si>
  <si>
    <t>RDO-25 SET!I43</t>
  </si>
  <si>
    <t>RDO-25 SET!C44</t>
  </si>
  <si>
    <t>RDO-25 SET!D44</t>
  </si>
  <si>
    <t>RDO-25 SET!E44</t>
  </si>
  <si>
    <t>RDO-25 SET!G44</t>
  </si>
  <si>
    <t>RDO-25 SET!H44</t>
  </si>
  <si>
    <t>RDO-25 SET!I44</t>
  </si>
  <si>
    <t>RDO-25 SET!C45</t>
  </si>
  <si>
    <t>✅Termino : 25-09-2026🕰️16:35hrs</t>
  </si>
  <si>
    <t>RDO-25 SET!D45</t>
  </si>
  <si>
    <t>RDO-25 SET!E45</t>
  </si>
  <si>
    <t>📍Peso por balanza: 160 000TM</t>
  </si>
  <si>
    <t>RDO-25 SET!C46</t>
  </si>
  <si>
    <t>📍Peso por balanza: 170 683TM</t>
  </si>
  <si>
    <t>RDO-25 SET!D46</t>
  </si>
  <si>
    <t>📍Peso por balanza:        21200     TM</t>
  </si>
  <si>
    <t>RDO-25 SET!E46</t>
  </si>
  <si>
    <t>RDO-25 SET!G46</t>
  </si>
  <si>
    <t>RDO-25 SET!H46</t>
  </si>
  <si>
    <t>RDO-25 SET!I46</t>
  </si>
  <si>
    <t>RDO-25 SET!C47</t>
  </si>
  <si>
    <t>RDO-25 SET!D47</t>
  </si>
  <si>
    <t>RDO-25 SET!E47</t>
  </si>
  <si>
    <t>RDO-25 SET!G47</t>
  </si>
  <si>
    <t>RDO-25 SET!H47</t>
  </si>
  <si>
    <t>RDO-25 SET!I47</t>
  </si>
  <si>
    <t>RDO-25 SET!C48</t>
  </si>
  <si>
    <t>RDO-25 SET!D48</t>
  </si>
  <si>
    <t>RDO-25 SET!E48</t>
  </si>
  <si>
    <t>RDO-25 SET!G48</t>
  </si>
  <si>
    <t>RDO-25 SET!H48</t>
  </si>
  <si>
    <t>RDO-25 SET!I48</t>
  </si>
  <si>
    <t>RDO-25 SET!C49</t>
  </si>
  <si>
    <t>RDO-25 SET!D49</t>
  </si>
  <si>
    <t>RDO-25 SET!E49</t>
  </si>
  <si>
    <t>RDO-25 SET!G49</t>
  </si>
  <si>
    <t>RDO-25 SET!H49</t>
  </si>
  <si>
    <t>RDO-25 SET!I49</t>
  </si>
  <si>
    <t>RDO-25 SET!C50</t>
  </si>
  <si>
    <t>RDO-25 SET!D50</t>
  </si>
  <si>
    <t>RDO-25 SET!E50</t>
  </si>
  <si>
    <t>RDO-25 SET!G50</t>
  </si>
  <si>
    <t>RDO-25 SET!H50</t>
  </si>
  <si>
    <t>RDO-25 SET!I50</t>
  </si>
  <si>
    <t>RDO-25 SET!C51</t>
  </si>
  <si>
    <t>RDO-25 SET!D51</t>
  </si>
  <si>
    <t>RDO-25 SET!E51</t>
  </si>
  <si>
    <t>RDO-25 SET!G51</t>
  </si>
  <si>
    <t>RDO-25 SET!H51</t>
  </si>
  <si>
    <t>RDO-25 SET!I51</t>
  </si>
  <si>
    <t>RDO-25 SET!C52</t>
  </si>
  <si>
    <t>RDO-25 SET!D52</t>
  </si>
  <si>
    <t>RDO-25 SET!E52</t>
  </si>
  <si>
    <t>RDO-25 SET!G52</t>
  </si>
  <si>
    <t>RDO-25 SET!H52</t>
  </si>
  <si>
    <t>5 y 3</t>
  </si>
  <si>
    <t>RDO-25 SET!I52</t>
  </si>
  <si>
    <t>RDO-26 SET</t>
  </si>
  <si>
    <t>RDO-26 SET!C8</t>
  </si>
  <si>
    <t>RDO-26 SET!D8</t>
  </si>
  <si>
    <t>RDO-26 SET!E8</t>
  </si>
  <si>
    <t>RDO-26 SET!G8</t>
  </si>
  <si>
    <t>RDO-26 SET!H8</t>
  </si>
  <si>
    <t>RDO-26 SET!I8</t>
  </si>
  <si>
    <t>9 al 15 / 1 al 3</t>
  </si>
  <si>
    <t>RDO-26 SET!C9</t>
  </si>
  <si>
    <t>13 AL 15</t>
  </si>
  <si>
    <t>RDO-26 SET!D9</t>
  </si>
  <si>
    <t>14 AL 15</t>
  </si>
  <si>
    <t>RDO-26 SET!E9</t>
  </si>
  <si>
    <t>RDO-26 SET!G9</t>
  </si>
  <si>
    <t>RDO-26 SET!H9</t>
  </si>
  <si>
    <t>RDO-26 SET!I9</t>
  </si>
  <si>
    <t>RDO-26 SET!C10</t>
  </si>
  <si>
    <t>RDO-26 SET!D10</t>
  </si>
  <si>
    <t>RDO-26 SET!E10</t>
  </si>
  <si>
    <t>RDO-26 SET!G10</t>
  </si>
  <si>
    <t>RDO-26 SET!H10</t>
  </si>
  <si>
    <t>RDO-26 SET!I10</t>
  </si>
  <si>
    <t>RDO-26 SET!C11</t>
  </si>
  <si>
    <t>RDO-26 SET!D11</t>
  </si>
  <si>
    <t>RDO-26 SET!E11</t>
  </si>
  <si>
    <t>RDO-26 SET!G11</t>
  </si>
  <si>
    <t>RDO-26 SET!H11</t>
  </si>
  <si>
    <t>RDO-26 SET!I11</t>
  </si>
  <si>
    <t>RDO-26 SET!G12</t>
  </si>
  <si>
    <t>RDO-26 SET!H12</t>
  </si>
  <si>
    <t>RDO-26 SET!I12</t>
  </si>
  <si>
    <t>RDO-26 SET!C13</t>
  </si>
  <si>
    <t>RDO-26 SET!D13</t>
  </si>
  <si>
    <t>RDO-26 SET!E13</t>
  </si>
  <si>
    <t>RDO-26 SET!G13</t>
  </si>
  <si>
    <t>RDO-26 SET!H13</t>
  </si>
  <si>
    <t>RDO-26 SET!I13</t>
  </si>
  <si>
    <t>RDO-26 SET!C14</t>
  </si>
  <si>
    <t>RDO-26 SET!D14</t>
  </si>
  <si>
    <t>RDO-26 SET!E14</t>
  </si>
  <si>
    <t>RDO-26 SET!G14</t>
  </si>
  <si>
    <t>RDO-26 SET!H14</t>
  </si>
  <si>
    <t>RDO-26 SET!I14</t>
  </si>
  <si>
    <t>RDO-26 SET!C15</t>
  </si>
  <si>
    <t>RDO-26 SET!D15</t>
  </si>
  <si>
    <t>RDO-26 SET!E15</t>
  </si>
  <si>
    <t>RDO-26 SET!G15</t>
  </si>
  <si>
    <t>RDO-26 SET!H15</t>
  </si>
  <si>
    <t>RDO-26 SET!I15</t>
  </si>
  <si>
    <t>RDO-26 SET!C16</t>
  </si>
  <si>
    <t>RDO-26 SET!D16</t>
  </si>
  <si>
    <t>RDO-26 SET!E16</t>
  </si>
  <si>
    <t>RDO-26 SET!G16</t>
  </si>
  <si>
    <t>RDO-26 SET!H16</t>
  </si>
  <si>
    <t>RDO-26 SET!I16</t>
  </si>
  <si>
    <t>RDO-26 SET!C17</t>
  </si>
  <si>
    <t>RDO-26 SET!D17</t>
  </si>
  <si>
    <t>RDO-26 SET!E17</t>
  </si>
  <si>
    <t>RDO-26 SET!G17</t>
  </si>
  <si>
    <t>RDO-26 SET!H17</t>
  </si>
  <si>
    <t>RDO-26 SET!I17</t>
  </si>
  <si>
    <t>RDO-26 SET!C18</t>
  </si>
  <si>
    <t>RDO-26 SET!D18</t>
  </si>
  <si>
    <t>RDO-26 SET!E18</t>
  </si>
  <si>
    <t>RDO-26 SET!G18</t>
  </si>
  <si>
    <t>RDO-26 SET!H18</t>
  </si>
  <si>
    <t>1, 2,3</t>
  </si>
  <si>
    <t>RDO-26 SET!I18</t>
  </si>
  <si>
    <t>RDO-26 SET!C19</t>
  </si>
  <si>
    <t>RDO-26 SET!D19</t>
  </si>
  <si>
    <t>RDO-26 SET!E19</t>
  </si>
  <si>
    <t>RDO-26 SET!G19</t>
  </si>
  <si>
    <t>RDO-26 SET!H19</t>
  </si>
  <si>
    <t>RDO-26 SET!I19</t>
  </si>
  <si>
    <t>RDO-26 SET!C20</t>
  </si>
  <si>
    <t>RDO-26 SET!D20</t>
  </si>
  <si>
    <t>RDO-26 SET!E20</t>
  </si>
  <si>
    <t>RDO-26 SET!G20</t>
  </si>
  <si>
    <t>RDO-26 SET!H20</t>
  </si>
  <si>
    <t>RDO-26 SET!I20</t>
  </si>
  <si>
    <t>RDO-26 SET!C21</t>
  </si>
  <si>
    <t>RDO-26 SET!D21</t>
  </si>
  <si>
    <t>RDO-26 SET!E21</t>
  </si>
  <si>
    <t>RDO-26 SET!G21</t>
  </si>
  <si>
    <t>RDO-26 SET!H21</t>
  </si>
  <si>
    <t>RDO-26 SET!I21</t>
  </si>
  <si>
    <t>RDO-26 SET!C22</t>
  </si>
  <si>
    <t>RDO-26 SET!D22</t>
  </si>
  <si>
    <t>RDO-26 SET!E22</t>
  </si>
  <si>
    <t>RDO-26 SET!G22</t>
  </si>
  <si>
    <t>RDO-26 SET!H22</t>
  </si>
  <si>
    <t>RDO-26 SET!I22</t>
  </si>
  <si>
    <t>RDO-26 SET!C23</t>
  </si>
  <si>
    <t>RDO-26 SET!D23</t>
  </si>
  <si>
    <t>RDO-26 SET!E23</t>
  </si>
  <si>
    <t>RDO-26 SET!G23</t>
  </si>
  <si>
    <t>RDO-26 SET!H23</t>
  </si>
  <si>
    <t>RDO-26 SET!I23</t>
  </si>
  <si>
    <t>RDO-26 SET!G24</t>
  </si>
  <si>
    <t>RDO-26 SET!H24</t>
  </si>
  <si>
    <t>RDO-26 SET!I24</t>
  </si>
  <si>
    <t>RDO-26 SET!C25</t>
  </si>
  <si>
    <t>RDO-26 SET!D25</t>
  </si>
  <si>
    <t>RDO-26 SET!E25</t>
  </si>
  <si>
    <t>RDO-26 SET!G25</t>
  </si>
  <si>
    <t>RDO-26 SET!H25</t>
  </si>
  <si>
    <t>RDO-26 SET!I25</t>
  </si>
  <si>
    <t>RDO-26 SET!G26</t>
  </si>
  <si>
    <t>RDO-26 SET!H26</t>
  </si>
  <si>
    <t>RDO-26 SET!I26</t>
  </si>
  <si>
    <t>RDO-26 SET!C28</t>
  </si>
  <si>
    <t>RDO-26 SET!D28</t>
  </si>
  <si>
    <t>RDO-26 SET!E28</t>
  </si>
  <si>
    <t>RDO-26 SET!C29</t>
  </si>
  <si>
    <t>1,2,3,5,6,7,8</t>
  </si>
  <si>
    <t>RDO-26 SET!D29</t>
  </si>
  <si>
    <t>RDO-26 SET!E29</t>
  </si>
  <si>
    <t>RDO-26 SET!G29</t>
  </si>
  <si>
    <t>RDO-26 SET!H29</t>
  </si>
  <si>
    <t>RDO-26 SET!I29</t>
  </si>
  <si>
    <t>RDO-26 SET!C30</t>
  </si>
  <si>
    <t>1,2,3,4,5,6,8,10</t>
  </si>
  <si>
    <t>RDO-26 SET!D30</t>
  </si>
  <si>
    <t>RDO-26 SET!E30</t>
  </si>
  <si>
    <t>RDO-26 SET!G30</t>
  </si>
  <si>
    <t>RDO-26 SET!H30</t>
  </si>
  <si>
    <t>RDO-26 SET!I30</t>
  </si>
  <si>
    <t>RDO-26 SET!C31</t>
  </si>
  <si>
    <t>RDO-26 SET!D31</t>
  </si>
  <si>
    <t>RDO-26 SET!E31</t>
  </si>
  <si>
    <t>RDO-26 SET!G31</t>
  </si>
  <si>
    <t>RDO-26 SET!H31</t>
  </si>
  <si>
    <t>RDO-26 SET!I31</t>
  </si>
  <si>
    <t>RDO-26 SET!G32</t>
  </si>
  <si>
    <t>RDO-26 SET!H32</t>
  </si>
  <si>
    <t>RDO-26 SET!I32</t>
  </si>
  <si>
    <t>RDO-26 SET!G33</t>
  </si>
  <si>
    <t>RDO-26 SET!H33</t>
  </si>
  <si>
    <t>RDO-26 SET!I33</t>
  </si>
  <si>
    <t>RDO-26 SET!G35</t>
  </si>
  <si>
    <t>RDO-26 SET!H35</t>
  </si>
  <si>
    <t>RDO-26 SET!I35</t>
  </si>
  <si>
    <t>RDO-26 SET!G36</t>
  </si>
  <si>
    <t>RDO-26 SET!H36</t>
  </si>
  <si>
    <t>RDO-26 SET!I36</t>
  </si>
  <si>
    <t>RDO-26 SET!C37</t>
  </si>
  <si>
    <t>RDO-26 SET!D37</t>
  </si>
  <si>
    <t>RDO-26 SET!E37</t>
  </si>
  <si>
    <t>RDO-26 SET!G37</t>
  </si>
  <si>
    <t>RDO-26 SET!H37</t>
  </si>
  <si>
    <t>RDO-26 SET!I37</t>
  </si>
  <si>
    <t>RDO-26 SET!G38</t>
  </si>
  <si>
    <t>RDO-26 SET!H38</t>
  </si>
  <si>
    <t>RDO-26 SET!I38</t>
  </si>
  <si>
    <t>RDO-26 SET!G40</t>
  </si>
  <si>
    <t>RDO-26 SET!H40</t>
  </si>
  <si>
    <t>RDO-26 SET!I40</t>
  </si>
  <si>
    <t>RDO-26 SET!C41</t>
  </si>
  <si>
    <t>RDO-26 SET!D41</t>
  </si>
  <si>
    <t>RDO-26 SET!E41</t>
  </si>
  <si>
    <t>RDO-26 SET!G41</t>
  </si>
  <si>
    <t>RDO-26 SET!H41</t>
  </si>
  <si>
    <t>RDO-26 SET!I41</t>
  </si>
  <si>
    <t>RDO-26 SET!C42</t>
  </si>
  <si>
    <t>RDO-26 SET!D42</t>
  </si>
  <si>
    <t>RDO-26 SET!E42</t>
  </si>
  <si>
    <t>RDO-26 SET!G42</t>
  </si>
  <si>
    <t>RDO-26 SET!H42</t>
  </si>
  <si>
    <t>RDO-26 SET!I42</t>
  </si>
  <si>
    <t>RDO-26 SET!C43</t>
  </si>
  <si>
    <t>RDO-26 SET!D43</t>
  </si>
  <si>
    <t>RDO-26 SET!E43</t>
  </si>
  <si>
    <t>RDO-26 SET!G43</t>
  </si>
  <si>
    <t>RDO-26 SET!H43</t>
  </si>
  <si>
    <t>RDO-26 SET!I43</t>
  </si>
  <si>
    <t>RDO-26 SET!C44</t>
  </si>
  <si>
    <t>RDO-26 SET!D44</t>
  </si>
  <si>
    <t>RDO-26 SET!E44</t>
  </si>
  <si>
    <t>RDO-26 SET!G44</t>
  </si>
  <si>
    <t>RDO-26 SET!H44</t>
  </si>
  <si>
    <t>RDO-26 SET!I44</t>
  </si>
  <si>
    <t>RDO-26 SET!C45</t>
  </si>
  <si>
    <t>RDO-26 SET!D45</t>
  </si>
  <si>
    <t>RDO-26 SET!E45</t>
  </si>
  <si>
    <t>RDO-26 SET!C46</t>
  </si>
  <si>
    <t>📍Peso por balanza:        56,000     TM</t>
  </si>
  <si>
    <t>RDO-26 SET!D46</t>
  </si>
  <si>
    <t>📍Peso por balanza:       75900     TM</t>
  </si>
  <si>
    <t>RDO-26 SET!E46</t>
  </si>
  <si>
    <t>RDO-26 SET!G46</t>
  </si>
  <si>
    <t>RDO-26 SET!H46</t>
  </si>
  <si>
    <t>RDO-26 SET!I46</t>
  </si>
  <si>
    <t>RDO-26 SET!C47</t>
  </si>
  <si>
    <t>RDO-26 SET!D47</t>
  </si>
  <si>
    <t>RDO-26 SET!E47</t>
  </si>
  <si>
    <t>RDO-26 SET!G47</t>
  </si>
  <si>
    <t>RDO-26 SET!H47</t>
  </si>
  <si>
    <t>RDO-26 SET!I47</t>
  </si>
  <si>
    <t>RDO-26 SET!C48</t>
  </si>
  <si>
    <t>RDO-26 SET!D48</t>
  </si>
  <si>
    <t>RDO-26 SET!E48</t>
  </si>
  <si>
    <t>RDO-26 SET!G48</t>
  </si>
  <si>
    <t>RDO-26 SET!H48</t>
  </si>
  <si>
    <t>RDO-26 SET!I48</t>
  </si>
  <si>
    <t>RDO-26 SET!C49</t>
  </si>
  <si>
    <t>RDO-26 SET!D49</t>
  </si>
  <si>
    <t>RDO-26 SET!E49</t>
  </si>
  <si>
    <t>RDO-26 SET!G49</t>
  </si>
  <si>
    <t>RDO-26 SET!H49</t>
  </si>
  <si>
    <t>RDO-26 SET!I49</t>
  </si>
  <si>
    <t>RDO-26 SET!C50</t>
  </si>
  <si>
    <t>RDO-26 SET!D50</t>
  </si>
  <si>
    <t>RDO-26 SET!E50</t>
  </si>
  <si>
    <t>RDO-26 SET!G50</t>
  </si>
  <si>
    <t>RDO-26 SET!H50</t>
  </si>
  <si>
    <t>RDO-26 SET!I50</t>
  </si>
  <si>
    <t>RDO-26 SET!C51</t>
  </si>
  <si>
    <t>RDO-26 SET!D51</t>
  </si>
  <si>
    <t>RDO-26 SET!E51</t>
  </si>
  <si>
    <t>RDO-26 SET!G51</t>
  </si>
  <si>
    <t>RDO-26 SET!H51</t>
  </si>
  <si>
    <t>RDO-26 SET!I51</t>
  </si>
  <si>
    <t>RDO-26 SET!C52</t>
  </si>
  <si>
    <t>RDO-26 SET!D52</t>
  </si>
  <si>
    <t>RDO-26 SET!E52</t>
  </si>
  <si>
    <t>RDO-26 SET!G52</t>
  </si>
  <si>
    <t>3,5</t>
  </si>
  <si>
    <t>RDO-26 SET!H52</t>
  </si>
  <si>
    <t>RDO-26 SET!I52</t>
  </si>
  <si>
    <t>RDO-27 SET</t>
  </si>
  <si>
    <t>no envio</t>
  </si>
  <si>
    <t>RDO-27 SET!C8</t>
  </si>
  <si>
    <t>RDO-27 SET!D8</t>
  </si>
  <si>
    <t>RDO-27 SET!E8</t>
  </si>
  <si>
    <t>RDO-27 SET!G8</t>
  </si>
  <si>
    <t>RDO-27 SET!H8</t>
  </si>
  <si>
    <t>RDO-27 SET!I8</t>
  </si>
  <si>
    <t>RDO-27 SET!C9</t>
  </si>
  <si>
    <t>RDO-27 SET!D9</t>
  </si>
  <si>
    <t>RDO-27 SET!E9</t>
  </si>
  <si>
    <t>RDO-27 SET!G9</t>
  </si>
  <si>
    <t>RDO-27 SET!H9</t>
  </si>
  <si>
    <t>RDO-27 SET!I9</t>
  </si>
  <si>
    <t>RDO-27 SET!C10</t>
  </si>
  <si>
    <t>RDO-27 SET!D10</t>
  </si>
  <si>
    <t>RDO-27 SET!E10</t>
  </si>
  <si>
    <t>RDO-27 SET!G10</t>
  </si>
  <si>
    <t>RDO-27 SET!H10</t>
  </si>
  <si>
    <t>RDO-27 SET!I10</t>
  </si>
  <si>
    <t>RDO-27 SET!C11</t>
  </si>
  <si>
    <t>RDO-27 SET!D11</t>
  </si>
  <si>
    <t>RDO-27 SET!E11</t>
  </si>
  <si>
    <t>RDO-27 SET!G11</t>
  </si>
  <si>
    <t>RDO-27 SET!H11</t>
  </si>
  <si>
    <t>RDO-27 SET!I11</t>
  </si>
  <si>
    <t>RDO-27 SET!G12</t>
  </si>
  <si>
    <t>RDO-27 SET!H12</t>
  </si>
  <si>
    <t>RDO-27 SET!I12</t>
  </si>
  <si>
    <t>RDO-27 SET!C13</t>
  </si>
  <si>
    <t>RDO-27 SET!D13</t>
  </si>
  <si>
    <t>RDO-27 SET!E13</t>
  </si>
  <si>
    <t>RDO-27 SET!G13</t>
  </si>
  <si>
    <t>RDO-27 SET!H13</t>
  </si>
  <si>
    <t>RDO-27 SET!I13</t>
  </si>
  <si>
    <t>RDO-27 SET!C14</t>
  </si>
  <si>
    <t>RDO-27 SET!D14</t>
  </si>
  <si>
    <t>RDO-27 SET!E14</t>
  </si>
  <si>
    <t>RDO-27 SET!G14</t>
  </si>
  <si>
    <t>RDO-27 SET!H14</t>
  </si>
  <si>
    <t>RDO-27 SET!I14</t>
  </si>
  <si>
    <t>RDO-27 SET!C15</t>
  </si>
  <si>
    <t>RDO-27 SET!D15</t>
  </si>
  <si>
    <t>RDO-27 SET!E15</t>
  </si>
  <si>
    <t>RDO-27 SET!G15</t>
  </si>
  <si>
    <t>RDO-27 SET!H15</t>
  </si>
  <si>
    <t>RDO-27 SET!I15</t>
  </si>
  <si>
    <t>RDO-27 SET!C16</t>
  </si>
  <si>
    <t>RDO-27 SET!D16</t>
  </si>
  <si>
    <t>RDO-27 SET!E16</t>
  </si>
  <si>
    <t>RDO-27 SET!G16</t>
  </si>
  <si>
    <t>RDO-27 SET!H16</t>
  </si>
  <si>
    <t>RDO-27 SET!I16</t>
  </si>
  <si>
    <t>RDO-27 SET!C17</t>
  </si>
  <si>
    <t>RDO-27 SET!D17</t>
  </si>
  <si>
    <t>RDO-27 SET!E17</t>
  </si>
  <si>
    <t>RDO-27 SET!G17</t>
  </si>
  <si>
    <t>RDO-27 SET!H17</t>
  </si>
  <si>
    <t>RDO-27 SET!I17</t>
  </si>
  <si>
    <t>RDO-27 SET!C18</t>
  </si>
  <si>
    <t>RDO-27 SET!D18</t>
  </si>
  <si>
    <t>RDO-27 SET!E18</t>
  </si>
  <si>
    <t>1,2,5</t>
  </si>
  <si>
    <t>RDO-27 SET!G18</t>
  </si>
  <si>
    <t>RDO-27 SET!H18</t>
  </si>
  <si>
    <t xml:space="preserve"> 2,3</t>
  </si>
  <si>
    <t>RDO-27 SET!I18</t>
  </si>
  <si>
    <t>RDO-27 SET!C19</t>
  </si>
  <si>
    <t>RDO-27 SET!D19</t>
  </si>
  <si>
    <t>RDO-27 SET!E19</t>
  </si>
  <si>
    <t>RDO-27 SET!G19</t>
  </si>
  <si>
    <t>RDO-27 SET!H19</t>
  </si>
  <si>
    <t>RDO-27 SET!I19</t>
  </si>
  <si>
    <t>RDO-27 SET!C20</t>
  </si>
  <si>
    <t>RDO-27 SET!D20</t>
  </si>
  <si>
    <t>RDO-27 SET!E20</t>
  </si>
  <si>
    <t>RDO-27 SET!G20</t>
  </si>
  <si>
    <t>RDO-27 SET!H20</t>
  </si>
  <si>
    <t>RDO-27 SET!I20</t>
  </si>
  <si>
    <t>RDO-27 SET!C21</t>
  </si>
  <si>
    <t>RDO-27 SET!D21</t>
  </si>
  <si>
    <t>RDO-27 SET!E21</t>
  </si>
  <si>
    <t>RDO-27 SET!G21</t>
  </si>
  <si>
    <t>RDO-27 SET!H21</t>
  </si>
  <si>
    <t>RDO-27 SET!I21</t>
  </si>
  <si>
    <t>RDO-27 SET!C22</t>
  </si>
  <si>
    <t>RDO-27 SET!D22</t>
  </si>
  <si>
    <t>RDO-27 SET!E22</t>
  </si>
  <si>
    <t>RDO-27 SET!G22</t>
  </si>
  <si>
    <t>RDO-27 SET!H22</t>
  </si>
  <si>
    <t>RDO-27 SET!I22</t>
  </si>
  <si>
    <t>RDO-27 SET!C23</t>
  </si>
  <si>
    <t>RDO-27 SET!D23</t>
  </si>
  <si>
    <t>RDO-27 SET!E23</t>
  </si>
  <si>
    <t>RDO-27 SET!G23</t>
  </si>
  <si>
    <t>RDO-27 SET!H23</t>
  </si>
  <si>
    <t>RDO-27 SET!I23</t>
  </si>
  <si>
    <t>RDO-27 SET!G24</t>
  </si>
  <si>
    <t>RDO-27 SET!H24</t>
  </si>
  <si>
    <t>RDO-27 SET!I24</t>
  </si>
  <si>
    <t>RDO-27 SET!C25</t>
  </si>
  <si>
    <t>RDO-27 SET!D25</t>
  </si>
  <si>
    <t>RDO-27 SET!E25</t>
  </si>
  <si>
    <t>RDO-27 SET!G25</t>
  </si>
  <si>
    <t>RDO-27 SET!H25</t>
  </si>
  <si>
    <t>RDO-27 SET!I25</t>
  </si>
  <si>
    <t>RDO-27 SET!G26</t>
  </si>
  <si>
    <t>RDO-27 SET!H26</t>
  </si>
  <si>
    <t>RDO-27 SET!I26</t>
  </si>
  <si>
    <t>RDO-27 SET!C28</t>
  </si>
  <si>
    <t>RDO-27 SET!D28</t>
  </si>
  <si>
    <t>RDO-27 SET!E28</t>
  </si>
  <si>
    <t>RDO-27 SET!C29</t>
  </si>
  <si>
    <t>RDO-27 SET!D29</t>
  </si>
  <si>
    <t>RDO-27 SET!E29</t>
  </si>
  <si>
    <t>RDO-27 SET!G29</t>
  </si>
  <si>
    <t>RDO-27 SET!H29</t>
  </si>
  <si>
    <t>RDO-27 SET!I29</t>
  </si>
  <si>
    <t>RDO-27 SET!C30</t>
  </si>
  <si>
    <t>RDO-27 SET!D30</t>
  </si>
  <si>
    <t>RDO-27 SET!E30</t>
  </si>
  <si>
    <t>RDO-27 SET!G30</t>
  </si>
  <si>
    <t>RDO-27 SET!H30</t>
  </si>
  <si>
    <t>RDO-27 SET!I30</t>
  </si>
  <si>
    <t>RDO-27 SET!C31</t>
  </si>
  <si>
    <t>RDO-27 SET!D31</t>
  </si>
  <si>
    <t>RDO-27 SET!E31</t>
  </si>
  <si>
    <t>RDO-27 SET!G31</t>
  </si>
  <si>
    <t>RDO-27 SET!H31</t>
  </si>
  <si>
    <t>RDO-27 SET!I31</t>
  </si>
  <si>
    <t>RDO-27 SET!G32</t>
  </si>
  <si>
    <t>RDO-27 SET!H32</t>
  </si>
  <si>
    <t>RDO-27 SET!I32</t>
  </si>
  <si>
    <t>RDO-27 SET!G33</t>
  </si>
  <si>
    <t>RDO-27 SET!H33</t>
  </si>
  <si>
    <t>RDO-27 SET!I33</t>
  </si>
  <si>
    <t>RDO-27 SET!G35</t>
  </si>
  <si>
    <t>RDO-27 SET!H35</t>
  </si>
  <si>
    <t>RDO-27 SET!I35</t>
  </si>
  <si>
    <t>RDO-27 SET!G36</t>
  </si>
  <si>
    <t>RDO-27 SET!H36</t>
  </si>
  <si>
    <t>RDO-27 SET!I36</t>
  </si>
  <si>
    <t>RDO-27 SET!C37</t>
  </si>
  <si>
    <t>RDO-27 SET!D37</t>
  </si>
  <si>
    <t>RDO-27 SET!E37</t>
  </si>
  <si>
    <t>RDO-27 SET!G37</t>
  </si>
  <si>
    <t>RDO-27 SET!H37</t>
  </si>
  <si>
    <t>RDO-27 SET!I37</t>
  </si>
  <si>
    <t>RDO-27 SET!G38</t>
  </si>
  <si>
    <t>RDO-27 SET!H38</t>
  </si>
  <si>
    <t>RDO-27 SET!I38</t>
  </si>
  <si>
    <t>RDO-27 SET!G40</t>
  </si>
  <si>
    <t>RDO-27 SET!H40</t>
  </si>
  <si>
    <t>RDO-27 SET!I40</t>
  </si>
  <si>
    <t>RDO-27 SET!C41</t>
  </si>
  <si>
    <t>RDO-27 SET!D41</t>
  </si>
  <si>
    <t>RDO-27 SET!E41</t>
  </si>
  <si>
    <t>RDO-27 SET!G41</t>
  </si>
  <si>
    <t>RDO-27 SET!H41</t>
  </si>
  <si>
    <t>RDO-27 SET!I41</t>
  </si>
  <si>
    <t>RDO-27 SET!C42</t>
  </si>
  <si>
    <t>RDO-27 SET!D42</t>
  </si>
  <si>
    <t>RDO-27 SET!E42</t>
  </si>
  <si>
    <t>RDO-27 SET!G42</t>
  </si>
  <si>
    <t>RDO-27 SET!H42</t>
  </si>
  <si>
    <t>RDO-27 SET!I42</t>
  </si>
  <si>
    <t>RDO-27 SET!C43</t>
  </si>
  <si>
    <t>RDO-27 SET!D43</t>
  </si>
  <si>
    <t>RDO-27 SET!E43</t>
  </si>
  <si>
    <t>RDO-27 SET!G43</t>
  </si>
  <si>
    <t>RDO-27 SET!H43</t>
  </si>
  <si>
    <t>RDO-27 SET!I43</t>
  </si>
  <si>
    <t>RDO-27 SET!C44</t>
  </si>
  <si>
    <t>RDO-27 SET!D44</t>
  </si>
  <si>
    <t>RDO-27 SET!E44</t>
  </si>
  <si>
    <t>RDO-27 SET!G44</t>
  </si>
  <si>
    <t>RDO-27 SET!H44</t>
  </si>
  <si>
    <t>RDO-27 SET!I44</t>
  </si>
  <si>
    <t>RDO-27 SET!C45</t>
  </si>
  <si>
    <t>RDO-27 SET!D45</t>
  </si>
  <si>
    <t>RDO-27 SET!E45</t>
  </si>
  <si>
    <t>📍Peso por balanza: 100,000 TM</t>
  </si>
  <si>
    <t>RDO-27 SET!C46</t>
  </si>
  <si>
    <t>📍Peso por balanza:       109000     TM</t>
  </si>
  <si>
    <t>RDO-27 SET!D46</t>
  </si>
  <si>
    <t>📍Peso por balanza:       123700     TM</t>
  </si>
  <si>
    <t>RDO-27 SET!E46</t>
  </si>
  <si>
    <t>RDO-27 SET!G46</t>
  </si>
  <si>
    <t>RDO-27 SET!H46</t>
  </si>
  <si>
    <t>RDO-27 SET!I46</t>
  </si>
  <si>
    <t>RDO-27 SET!C47</t>
  </si>
  <si>
    <t>RDO-27 SET!D47</t>
  </si>
  <si>
    <t>RDO-27 SET!E47</t>
  </si>
  <si>
    <t>RDO-27 SET!G47</t>
  </si>
  <si>
    <t>RDO-27 SET!H47</t>
  </si>
  <si>
    <t>RDO-27 SET!I47</t>
  </si>
  <si>
    <t>RDO-27 SET!C48</t>
  </si>
  <si>
    <t>RDO-27 SET!D48</t>
  </si>
  <si>
    <t>RDO-27 SET!E48</t>
  </si>
  <si>
    <t>RDO-27 SET!G48</t>
  </si>
  <si>
    <t>RDO-27 SET!H48</t>
  </si>
  <si>
    <t>RDO-27 SET!I48</t>
  </si>
  <si>
    <t>RDO-27 SET!C49</t>
  </si>
  <si>
    <t>RDO-27 SET!D49</t>
  </si>
  <si>
    <t>RDO-27 SET!E49</t>
  </si>
  <si>
    <t>RDO-27 SET!G49</t>
  </si>
  <si>
    <t>RDO-27 SET!H49</t>
  </si>
  <si>
    <t>RDO-27 SET!I49</t>
  </si>
  <si>
    <t>RDO-27 SET!C50</t>
  </si>
  <si>
    <t>RDO-27 SET!D50</t>
  </si>
  <si>
    <t>RDO-27 SET!E50</t>
  </si>
  <si>
    <t>RDO-27 SET!G50</t>
  </si>
  <si>
    <t>RDO-27 SET!H50</t>
  </si>
  <si>
    <t>RDO-27 SET!I50</t>
  </si>
  <si>
    <t>RDO-27 SET!C51</t>
  </si>
  <si>
    <t>RDO-27 SET!D51</t>
  </si>
  <si>
    <t>RDO-27 SET!E51</t>
  </si>
  <si>
    <t>RDO-27 SET!G51</t>
  </si>
  <si>
    <t>RDO-27 SET!H51</t>
  </si>
  <si>
    <t>RDO-27 SET!I51</t>
  </si>
  <si>
    <t>RDO-27 SET!C52</t>
  </si>
  <si>
    <t>RDO-27 SET!D52</t>
  </si>
  <si>
    <t>RDO-27 SET!E52</t>
  </si>
  <si>
    <t>RDO-27 SET!G52</t>
  </si>
  <si>
    <t>RDO-27 SET!H52</t>
  </si>
  <si>
    <t>5..</t>
  </si>
  <si>
    <t>RDO-27 SET!I52</t>
  </si>
  <si>
    <t>RDO-28 SET</t>
  </si>
  <si>
    <t>RDO-28 SET!C8</t>
  </si>
  <si>
    <t>RDO-28 SET!D8</t>
  </si>
  <si>
    <t>RDO-28 SET!E8</t>
  </si>
  <si>
    <t>RDO-28 SET!G8</t>
  </si>
  <si>
    <t>RDO-28 SET!H8</t>
  </si>
  <si>
    <t>RDO-28 SET!I8</t>
  </si>
  <si>
    <t>RDO-28 SET!C9</t>
  </si>
  <si>
    <t>RDO-28 SET!D9</t>
  </si>
  <si>
    <t>RDO-28 SET!E9</t>
  </si>
  <si>
    <t>RDO-28 SET!G9</t>
  </si>
  <si>
    <t>RDO-28 SET!H9</t>
  </si>
  <si>
    <t>RDO-28 SET!I9</t>
  </si>
  <si>
    <t>RDO-28 SET!C10</t>
  </si>
  <si>
    <t>RDO-28 SET!D10</t>
  </si>
  <si>
    <t>RDO-28 SET!E10</t>
  </si>
  <si>
    <t>RDO-28 SET!G10</t>
  </si>
  <si>
    <t>RDO-28 SET!H10</t>
  </si>
  <si>
    <t>RDO-28 SET!I10</t>
  </si>
  <si>
    <t>RDO-28 SET!C11</t>
  </si>
  <si>
    <t>RDO-28 SET!D11</t>
  </si>
  <si>
    <t>RDO-28 SET!E11</t>
  </si>
  <si>
    <t>RDO-28 SET!G11</t>
  </si>
  <si>
    <t>RDO-28 SET!H11</t>
  </si>
  <si>
    <t>RDO-28 SET!I11</t>
  </si>
  <si>
    <t>RDO-28 SET!G12</t>
  </si>
  <si>
    <t>RDO-28 SET!H12</t>
  </si>
  <si>
    <t>RDO-28 SET!I12</t>
  </si>
  <si>
    <t>RDO-28 SET!C13</t>
  </si>
  <si>
    <t>RDO-28 SET!D13</t>
  </si>
  <si>
    <t>RDO-28 SET!E13</t>
  </si>
  <si>
    <t>RDO-28 SET!G13</t>
  </si>
  <si>
    <t>RDO-28 SET!H13</t>
  </si>
  <si>
    <t>RDO-28 SET!I13</t>
  </si>
  <si>
    <t>RDO-28 SET!C14</t>
  </si>
  <si>
    <t>RDO-28 SET!D14</t>
  </si>
  <si>
    <t>RDO-28 SET!E14</t>
  </si>
  <si>
    <t>RDO-28 SET!G14</t>
  </si>
  <si>
    <t>RDO-28 SET!H14</t>
  </si>
  <si>
    <t>RDO-28 SET!I14</t>
  </si>
  <si>
    <t>RDO-28 SET!C15</t>
  </si>
  <si>
    <t>RDO-28 SET!D15</t>
  </si>
  <si>
    <t>RDO-28 SET!E15</t>
  </si>
  <si>
    <t>RDO-28 SET!G15</t>
  </si>
  <si>
    <t>RDO-28 SET!H15</t>
  </si>
  <si>
    <t>RDO-28 SET!I15</t>
  </si>
  <si>
    <t>RDO-28 SET!C16</t>
  </si>
  <si>
    <t>RDO-28 SET!D16</t>
  </si>
  <si>
    <t>RDO-28 SET!E16</t>
  </si>
  <si>
    <t>RDO-28 SET!G16</t>
  </si>
  <si>
    <t>RDO-28 SET!H16</t>
  </si>
  <si>
    <t>RDO-28 SET!I16</t>
  </si>
  <si>
    <t>RDO-28 SET!C17</t>
  </si>
  <si>
    <t>RDO-28 SET!D17</t>
  </si>
  <si>
    <t>RDO-28 SET!E17</t>
  </si>
  <si>
    <t>RDO-28 SET!G17</t>
  </si>
  <si>
    <t>RDO-28 SET!H17</t>
  </si>
  <si>
    <t>RDO-28 SET!I17</t>
  </si>
  <si>
    <t>RDO-28 SET!C18</t>
  </si>
  <si>
    <t>RDO-28 SET!D18</t>
  </si>
  <si>
    <t>RDO-28 SET!E18</t>
  </si>
  <si>
    <t>1, 2, 3</t>
  </si>
  <si>
    <t>RDO-28 SET!G18</t>
  </si>
  <si>
    <t>1,2,3</t>
  </si>
  <si>
    <t>RDO-28 SET!H18</t>
  </si>
  <si>
    <t>RDO-28 SET!I18</t>
  </si>
  <si>
    <t>RDO-28 SET!C19</t>
  </si>
  <si>
    <t>RDO-28 SET!D19</t>
  </si>
  <si>
    <t>RDO-28 SET!E19</t>
  </si>
  <si>
    <t>RDO-28 SET!G19</t>
  </si>
  <si>
    <t>RDO-28 SET!H19</t>
  </si>
  <si>
    <t>RDO-28 SET!I19</t>
  </si>
  <si>
    <t>RDO-28 SET!C20</t>
  </si>
  <si>
    <t>RDO-28 SET!D20</t>
  </si>
  <si>
    <t>RDO-28 SET!E20</t>
  </si>
  <si>
    <t>RDO-28 SET!G20</t>
  </si>
  <si>
    <t>RDO-28 SET!H20</t>
  </si>
  <si>
    <t>RDO-28 SET!I20</t>
  </si>
  <si>
    <t>RDO-28 SET!C21</t>
  </si>
  <si>
    <t>RDO-28 SET!D21</t>
  </si>
  <si>
    <t>RDO-28 SET!E21</t>
  </si>
  <si>
    <t>RDO-28 SET!G21</t>
  </si>
  <si>
    <t>RDO-28 SET!H21</t>
  </si>
  <si>
    <t>RDO-28 SET!I21</t>
  </si>
  <si>
    <t>RDO-28 SET!C22</t>
  </si>
  <si>
    <t>RDO-28 SET!D22</t>
  </si>
  <si>
    <t>RDO-28 SET!E22</t>
  </si>
  <si>
    <t>RDO-28 SET!G22</t>
  </si>
  <si>
    <t>RDO-28 SET!H22</t>
  </si>
  <si>
    <t>RDO-28 SET!I22</t>
  </si>
  <si>
    <t>RDO-28 SET!C23</t>
  </si>
  <si>
    <t>RDO-28 SET!D23</t>
  </si>
  <si>
    <t>RDO-28 SET!E23</t>
  </si>
  <si>
    <t>RDO-28 SET!G23</t>
  </si>
  <si>
    <t>RDO-28 SET!H23</t>
  </si>
  <si>
    <t>RDO-28 SET!I23</t>
  </si>
  <si>
    <t>RDO-28 SET!G24</t>
  </si>
  <si>
    <t>RDO-28 SET!H24</t>
  </si>
  <si>
    <t>RDO-28 SET!I24</t>
  </si>
  <si>
    <t>RDO-28 SET!C25</t>
  </si>
  <si>
    <t>RDO-28 SET!D25</t>
  </si>
  <si>
    <t>RDO-28 SET!E25</t>
  </si>
  <si>
    <t>RDO-28 SET!G25</t>
  </si>
  <si>
    <t>RDO-28 SET!H25</t>
  </si>
  <si>
    <t>RDO-28 SET!I25</t>
  </si>
  <si>
    <t>RDO-28 SET!G26</t>
  </si>
  <si>
    <t>RDO-28 SET!H26</t>
  </si>
  <si>
    <t>RDO-28 SET!I26</t>
  </si>
  <si>
    <t>RDO-28 SET!C28</t>
  </si>
  <si>
    <t>RDO-28 SET!D28</t>
  </si>
  <si>
    <t>RDO-28 SET!E28</t>
  </si>
  <si>
    <t>RDO-28 SET!C29</t>
  </si>
  <si>
    <t>RDO-28 SET!D29</t>
  </si>
  <si>
    <t>RDO-28 SET!E29</t>
  </si>
  <si>
    <t>RDO-28 SET!G29</t>
  </si>
  <si>
    <t>RDO-28 SET!H29</t>
  </si>
  <si>
    <t>RDO-28 SET!I29</t>
  </si>
  <si>
    <t>RDO-28 SET!C30</t>
  </si>
  <si>
    <t>1,3,4,5,6,7,8,9,10</t>
  </si>
  <si>
    <t>RDO-28 SET!D30</t>
  </si>
  <si>
    <t>RDO-28 SET!E30</t>
  </si>
  <si>
    <t>RDO-28 SET!G30</t>
  </si>
  <si>
    <t>RDO-28 SET!H30</t>
  </si>
  <si>
    <t>RDO-28 SET!I30</t>
  </si>
  <si>
    <t>RDO-28 SET!C31</t>
  </si>
  <si>
    <t>RDO-28 SET!D31</t>
  </si>
  <si>
    <t>RDO-28 SET!E31</t>
  </si>
  <si>
    <t>RDO-28 SET!G31</t>
  </si>
  <si>
    <t>RDO-28 SET!H31</t>
  </si>
  <si>
    <t>RDO-28 SET!I31</t>
  </si>
  <si>
    <t>RDO-28 SET!G32</t>
  </si>
  <si>
    <t>RDO-28 SET!H32</t>
  </si>
  <si>
    <t>RDO-28 SET!I32</t>
  </si>
  <si>
    <t>RDO-28 SET!G33</t>
  </si>
  <si>
    <t>RDO-28 SET!H33</t>
  </si>
  <si>
    <t>RDO-28 SET!I33</t>
  </si>
  <si>
    <t>RDO-28 SET!G35</t>
  </si>
  <si>
    <t>RDO-28 SET!H35</t>
  </si>
  <si>
    <t>RDO-28 SET!I35</t>
  </si>
  <si>
    <t>RDO-28 SET!G36</t>
  </si>
  <si>
    <t>RDO-28 SET!H36</t>
  </si>
  <si>
    <t>RDO-28 SET!I36</t>
  </si>
  <si>
    <t>RDO-28 SET!C37</t>
  </si>
  <si>
    <t>RDO-28 SET!D37</t>
  </si>
  <si>
    <t>RDO-28 SET!E37</t>
  </si>
  <si>
    <t>RDO-28 SET!G37</t>
  </si>
  <si>
    <t>RDO-28 SET!H37</t>
  </si>
  <si>
    <t>RDO-28 SET!I37</t>
  </si>
  <si>
    <t>RDO-28 SET!G38</t>
  </si>
  <si>
    <t>RDO-28 SET!H38</t>
  </si>
  <si>
    <t>RDO-28 SET!I38</t>
  </si>
  <si>
    <t>RDO-28 SET!G40</t>
  </si>
  <si>
    <t>RDO-28 SET!H40</t>
  </si>
  <si>
    <t>RDO-28 SET!I40</t>
  </si>
  <si>
    <t>RDO-28 SET!C41</t>
  </si>
  <si>
    <t>RDO-28 SET!D41</t>
  </si>
  <si>
    <t>RDO-28 SET!E41</t>
  </si>
  <si>
    <t>RDO-28 SET!G41</t>
  </si>
  <si>
    <t>RDO-28 SET!H41</t>
  </si>
  <si>
    <t>RDO-28 SET!I41</t>
  </si>
  <si>
    <t>RDO-28 SET!C42</t>
  </si>
  <si>
    <t>RDO-28 SET!D42</t>
  </si>
  <si>
    <t>RDO-28 SET!E42</t>
  </si>
  <si>
    <t>RDO-28 SET!G42</t>
  </si>
  <si>
    <t>RDO-28 SET!H42</t>
  </si>
  <si>
    <t>RDO-28 SET!I42</t>
  </si>
  <si>
    <t>RDO-28 SET!C43</t>
  </si>
  <si>
    <t>RDO-28 SET!D43</t>
  </si>
  <si>
    <t>RDO-28 SET!E43</t>
  </si>
  <si>
    <t>RDO-28 SET!G43</t>
  </si>
  <si>
    <t>RDO-28 SET!H43</t>
  </si>
  <si>
    <t>RDO-28 SET!I43</t>
  </si>
  <si>
    <t>RDO-28 SET!C44</t>
  </si>
  <si>
    <t>RDO-28 SET!D44</t>
  </si>
  <si>
    <t>RDO-28 SET!E44</t>
  </si>
  <si>
    <t>RDO-28 SET!G44</t>
  </si>
  <si>
    <t>RDO-28 SET!H44</t>
  </si>
  <si>
    <t>RDO-28 SET!I44</t>
  </si>
  <si>
    <t>RDO-28 SET!C45</t>
  </si>
  <si>
    <t>RDO-28 SET!D45</t>
  </si>
  <si>
    <t>RDO-28 SET!E45</t>
  </si>
  <si>
    <t>RDO-28 SET!C46</t>
  </si>
  <si>
    <t>📍Peso por balanza:       154,500     TM</t>
  </si>
  <si>
    <t>RDO-28 SET!D46</t>
  </si>
  <si>
    <t>📍Peso por balanza:     165300     TM</t>
  </si>
  <si>
    <t>RDO-28 SET!E46</t>
  </si>
  <si>
    <t>RDO-28 SET!G46</t>
  </si>
  <si>
    <t>RDO-28 SET!H46</t>
  </si>
  <si>
    <t>RDO-28 SET!I46</t>
  </si>
  <si>
    <t>RDO-28 SET!C47</t>
  </si>
  <si>
    <t>RDO-28 SET!D47</t>
  </si>
  <si>
    <t>RDO-28 SET!E47</t>
  </si>
  <si>
    <t>RDO-28 SET!G47</t>
  </si>
  <si>
    <t>RDO-28 SET!H47</t>
  </si>
  <si>
    <t>RDO-28 SET!I47</t>
  </si>
  <si>
    <t>RDO-28 SET!C48</t>
  </si>
  <si>
    <t>RDO-28 SET!D48</t>
  </si>
  <si>
    <t>RDO-28 SET!E48</t>
  </si>
  <si>
    <t>RDO-28 SET!G48</t>
  </si>
  <si>
    <t>RDO-28 SET!H48</t>
  </si>
  <si>
    <t>RDO-28 SET!I48</t>
  </si>
  <si>
    <t>RDO-28 SET!C49</t>
  </si>
  <si>
    <t>RDO-28 SET!D49</t>
  </si>
  <si>
    <t>RDO-28 SET!E49</t>
  </si>
  <si>
    <t>RDO-28 SET!G49</t>
  </si>
  <si>
    <t>RDO-28 SET!H49</t>
  </si>
  <si>
    <t>RDO-28 SET!I49</t>
  </si>
  <si>
    <t>RDO-28 SET!C50</t>
  </si>
  <si>
    <t>RDO-28 SET!D50</t>
  </si>
  <si>
    <t>RDO-28 SET!E50</t>
  </si>
  <si>
    <t>RDO-28 SET!G50</t>
  </si>
  <si>
    <t>RDO-28 SET!H50</t>
  </si>
  <si>
    <t>RDO-28 SET!I50</t>
  </si>
  <si>
    <t>RDO-28 SET!C51</t>
  </si>
  <si>
    <t>RDO-28 SET!D51</t>
  </si>
  <si>
    <t>RDO-28 SET!E51</t>
  </si>
  <si>
    <t>RDO-28 SET!G51</t>
  </si>
  <si>
    <t>RDO-28 SET!H51</t>
  </si>
  <si>
    <t>RDO-28 SET!I51</t>
  </si>
  <si>
    <t>RDO-28 SET!C52</t>
  </si>
  <si>
    <t>RDO-28 SET!D52</t>
  </si>
  <si>
    <t>RDO-28 SET!E52</t>
  </si>
  <si>
    <t>RDO-28 SET!G52</t>
  </si>
  <si>
    <t>RDO-28 SET!H52</t>
  </si>
  <si>
    <t>RDO-28 SET!I52</t>
  </si>
  <si>
    <t>RDO-29 SET</t>
  </si>
  <si>
    <t>RDO-29 SET!C8</t>
  </si>
  <si>
    <t>RDO-29 SET!D8</t>
  </si>
  <si>
    <t>RDO-29 SET!E8</t>
  </si>
  <si>
    <t>RDO-29 SET!G8</t>
  </si>
  <si>
    <t>RDO-29 SET!H8</t>
  </si>
  <si>
    <t>RDO-29 SET!I8</t>
  </si>
  <si>
    <t>RDO-29 SET!C9</t>
  </si>
  <si>
    <t>RDO-29 SET!D9</t>
  </si>
  <si>
    <t>10 AL 15</t>
  </si>
  <si>
    <t>RDO-29 SET!E9</t>
  </si>
  <si>
    <t>RDO-29 SET!G9</t>
  </si>
  <si>
    <t>RDO-29 SET!H9</t>
  </si>
  <si>
    <t>RDO-29 SET!I9</t>
  </si>
  <si>
    <t>RDO-29 SET!C10</t>
  </si>
  <si>
    <t>RDO-29 SET!D10</t>
  </si>
  <si>
    <t>RDO-29 SET!E10</t>
  </si>
  <si>
    <t>RDO-29 SET!G10</t>
  </si>
  <si>
    <t>RDO-29 SET!H10</t>
  </si>
  <si>
    <t>RDO-29 SET!I10</t>
  </si>
  <si>
    <t>RDO-29 SET!C11</t>
  </si>
  <si>
    <t>RDO-29 SET!D11</t>
  </si>
  <si>
    <t>RDO-29 SET!E11</t>
  </si>
  <si>
    <t>RDO-29 SET!G11</t>
  </si>
  <si>
    <t>RDO-29 SET!H11</t>
  </si>
  <si>
    <t>RDO-29 SET!I11</t>
  </si>
  <si>
    <t>RDO-29 SET!G12</t>
  </si>
  <si>
    <t>RDO-29 SET!H12</t>
  </si>
  <si>
    <t>RDO-29 SET!I12</t>
  </si>
  <si>
    <t>RDO-29 SET!C13</t>
  </si>
  <si>
    <t>RDO-29 SET!D13</t>
  </si>
  <si>
    <t>RDO-29 SET!E13</t>
  </si>
  <si>
    <t>RDO-29 SET!G13</t>
  </si>
  <si>
    <t>RDO-29 SET!H13</t>
  </si>
  <si>
    <t>RDO-29 SET!I13</t>
  </si>
  <si>
    <t>RDO-29 SET!C14</t>
  </si>
  <si>
    <t>RDO-29 SET!D14</t>
  </si>
  <si>
    <t>RDO-29 SET!E14</t>
  </si>
  <si>
    <t>RDO-29 SET!G14</t>
  </si>
  <si>
    <t>RDO-29 SET!H14</t>
  </si>
  <si>
    <t>RDO-29 SET!I14</t>
  </si>
  <si>
    <t>RDO-29 SET!C15</t>
  </si>
  <si>
    <t>RDO-29 SET!D15</t>
  </si>
  <si>
    <t>RDO-29 SET!E15</t>
  </si>
  <si>
    <t>RDO-29 SET!G15</t>
  </si>
  <si>
    <t>RDO-29 SET!H15</t>
  </si>
  <si>
    <t>RDO-29 SET!I15</t>
  </si>
  <si>
    <t>RDO-29 SET!C16</t>
  </si>
  <si>
    <t>RDO-29 SET!D16</t>
  </si>
  <si>
    <t>RDO-29 SET!E16</t>
  </si>
  <si>
    <t>RDO-29 SET!G16</t>
  </si>
  <si>
    <t>RDO-29 SET!H16</t>
  </si>
  <si>
    <t>RDO-29 SET!I16</t>
  </si>
  <si>
    <t>RDO-29 SET!C17</t>
  </si>
  <si>
    <t>RDO-29 SET!D17</t>
  </si>
  <si>
    <t>RDO-29 SET!E17</t>
  </si>
  <si>
    <t>RDO-29 SET!G17</t>
  </si>
  <si>
    <t>RDO-29 SET!H17</t>
  </si>
  <si>
    <t>RDO-29 SET!I17</t>
  </si>
  <si>
    <t>RDO-29 SET!C18</t>
  </si>
  <si>
    <t>RDO-29 SET!D18</t>
  </si>
  <si>
    <t>RDO-29 SET!E18</t>
  </si>
  <si>
    <t>2,3,4</t>
  </si>
  <si>
    <t>RDO-29 SET!G18</t>
  </si>
  <si>
    <t>RDO-29 SET!H18</t>
  </si>
  <si>
    <t>RDO-29 SET!I18</t>
  </si>
  <si>
    <t>RDO-29 SET!C19</t>
  </si>
  <si>
    <t>RDO-29 SET!D19</t>
  </si>
  <si>
    <t>RDO-29 SET!E19</t>
  </si>
  <si>
    <t>RDO-29 SET!G19</t>
  </si>
  <si>
    <t>RDO-29 SET!H19</t>
  </si>
  <si>
    <t>RDO-29 SET!I19</t>
  </si>
  <si>
    <t>RDO-29 SET!C20</t>
  </si>
  <si>
    <t>RDO-29 SET!D20</t>
  </si>
  <si>
    <t>RDO-29 SET!E20</t>
  </si>
  <si>
    <t>RDO-29 SET!G20</t>
  </si>
  <si>
    <t>RDO-29 SET!H20</t>
  </si>
  <si>
    <t>RDO-29 SET!I20</t>
  </si>
  <si>
    <t>RDO-29 SET!C21</t>
  </si>
  <si>
    <t>RDO-29 SET!D21</t>
  </si>
  <si>
    <t>RDO-29 SET!E21</t>
  </si>
  <si>
    <t>RDO-29 SET!G21</t>
  </si>
  <si>
    <t>RDO-29 SET!H21</t>
  </si>
  <si>
    <t>RDO-29 SET!I21</t>
  </si>
  <si>
    <t>RDO-29 SET!C22</t>
  </si>
  <si>
    <t>RDO-29 SET!D22</t>
  </si>
  <si>
    <t>RDO-29 SET!E22</t>
  </si>
  <si>
    <t>RDO-29 SET!G22</t>
  </si>
  <si>
    <t>RDO-29 SET!H22</t>
  </si>
  <si>
    <t>RDO-29 SET!I22</t>
  </si>
  <si>
    <t>RDO-29 SET!C23</t>
  </si>
  <si>
    <t>RDO-29 SET!D23</t>
  </si>
  <si>
    <t>RDO-29 SET!E23</t>
  </si>
  <si>
    <t>RDO-29 SET!G23</t>
  </si>
  <si>
    <t>RDO-29 SET!H23</t>
  </si>
  <si>
    <t>RDO-29 SET!I23</t>
  </si>
  <si>
    <t>RDO-29 SET!G24</t>
  </si>
  <si>
    <t>RDO-29 SET!H24</t>
  </si>
  <si>
    <t>RDO-29 SET!I24</t>
  </si>
  <si>
    <t>RDO-29 SET!C25</t>
  </si>
  <si>
    <t>RDO-29 SET!D25</t>
  </si>
  <si>
    <t>RDO-29 SET!E25</t>
  </si>
  <si>
    <t>RDO-29 SET!G25</t>
  </si>
  <si>
    <t>RDO-29 SET!H25</t>
  </si>
  <si>
    <t>RDO-29 SET!I25</t>
  </si>
  <si>
    <t>RDO-29 SET!G26</t>
  </si>
  <si>
    <t>RDO-29 SET!H26</t>
  </si>
  <si>
    <t>RDO-29 SET!I26</t>
  </si>
  <si>
    <t>RDO-29 SET!C28</t>
  </si>
  <si>
    <t>RDO-29 SET!D28</t>
  </si>
  <si>
    <t>RDO-29 SET!E28</t>
  </si>
  <si>
    <t>RDO-29 SET!C29</t>
  </si>
  <si>
    <t>RDO-29 SET!D29</t>
  </si>
  <si>
    <t>RDO-29 SET!E29</t>
  </si>
  <si>
    <t>RDO-29 SET!G29</t>
  </si>
  <si>
    <t>RDO-29 SET!H29</t>
  </si>
  <si>
    <t>AX1 / BX3</t>
  </si>
  <si>
    <t>RDO-29 SET!I29</t>
  </si>
  <si>
    <t>RDO-29 SET!C30</t>
  </si>
  <si>
    <t>RDO-29 SET!D30</t>
  </si>
  <si>
    <t>RDO-29 SET!E30</t>
  </si>
  <si>
    <t>RDO-29 SET!G30</t>
  </si>
  <si>
    <t>RDO-29 SET!H30</t>
  </si>
  <si>
    <t>116 / 109</t>
  </si>
  <si>
    <t>RDO-29 SET!I30</t>
  </si>
  <si>
    <t>RDO-29 SET!C31</t>
  </si>
  <si>
    <t>RDO-29 SET!D31</t>
  </si>
  <si>
    <t>RDO-29 SET!E31</t>
  </si>
  <si>
    <t>RDO-29 SET!G31</t>
  </si>
  <si>
    <t>RDO-29 SET!H31</t>
  </si>
  <si>
    <t>2120 / 2850</t>
  </si>
  <si>
    <t>RDO-29 SET!I31</t>
  </si>
  <si>
    <t>RDO-29 SET!G32</t>
  </si>
  <si>
    <t>RDO-29 SET!H32</t>
  </si>
  <si>
    <t>RDO-29 SET!I32</t>
  </si>
  <si>
    <t>RDO-29 SET!G33</t>
  </si>
  <si>
    <t>RDO-29 SET!H33</t>
  </si>
  <si>
    <t>RDO-29 SET!I33</t>
  </si>
  <si>
    <t>RDO-29 SET!G35</t>
  </si>
  <si>
    <t>RDO-29 SET!H35</t>
  </si>
  <si>
    <t>RDO-29 SET!I35</t>
  </si>
  <si>
    <t>RDO-29 SET!G36</t>
  </si>
  <si>
    <t>RDO-29 SET!H36</t>
  </si>
  <si>
    <t>RDO-29 SET!I36</t>
  </si>
  <si>
    <t>RDO-29 SET!C37</t>
  </si>
  <si>
    <t>RDO-29 SET!D37</t>
  </si>
  <si>
    <t>RDO-29 SET!E37</t>
  </si>
  <si>
    <t>RDO-29 SET!G37</t>
  </si>
  <si>
    <t>RDO-29 SET!H37</t>
  </si>
  <si>
    <t>RDO-29 SET!I37</t>
  </si>
  <si>
    <t>RDO-29 SET!G38</t>
  </si>
  <si>
    <t>RDO-29 SET!H38</t>
  </si>
  <si>
    <t>RDO-29 SET!I38</t>
  </si>
  <si>
    <t>RDO-29 SET!G40</t>
  </si>
  <si>
    <t>RDO-29 SET!H40</t>
  </si>
  <si>
    <t>RDO-29 SET!I40</t>
  </si>
  <si>
    <t>RDO-29 SET!C41</t>
  </si>
  <si>
    <t>RDO-29 SET!D41</t>
  </si>
  <si>
    <t>RDO-29 SET!E41</t>
  </si>
  <si>
    <t>RDO-29 SET!G41</t>
  </si>
  <si>
    <t>RDO-29 SET!H41</t>
  </si>
  <si>
    <t>RDO-29 SET!I41</t>
  </si>
  <si>
    <t>RDO-29 SET!C42</t>
  </si>
  <si>
    <t>RDO-29 SET!D42</t>
  </si>
  <si>
    <t>RDO-29 SET!E42</t>
  </si>
  <si>
    <t>RDO-29 SET!G42</t>
  </si>
  <si>
    <t>RDO-29 SET!H42</t>
  </si>
  <si>
    <t>RDO-29 SET!I42</t>
  </si>
  <si>
    <t>RDO-29 SET!C43</t>
  </si>
  <si>
    <t>RDO-29 SET!D43</t>
  </si>
  <si>
    <t>RDO-29 SET!E43</t>
  </si>
  <si>
    <t>RDO-29 SET!G43</t>
  </si>
  <si>
    <t>RDO-29 SET!H43</t>
  </si>
  <si>
    <t>RDO-29 SET!I43</t>
  </si>
  <si>
    <t>RDO-29 SET!C44</t>
  </si>
  <si>
    <t>RDO-29 SET!D44</t>
  </si>
  <si>
    <t>RDO-29 SET!E44</t>
  </si>
  <si>
    <t>RDO-29 SET!G44</t>
  </si>
  <si>
    <t>RDO-29 SET!H44</t>
  </si>
  <si>
    <t>RDO-29 SET!I44</t>
  </si>
  <si>
    <t>RDO-29 SET!C45</t>
  </si>
  <si>
    <t>RDO-29 SET!D45</t>
  </si>
  <si>
    <t>RDO-29 SET!E45</t>
  </si>
  <si>
    <t>RDO-29 SET!C46</t>
  </si>
  <si>
    <t>RDO-29 SET!D46</t>
  </si>
  <si>
    <t>RDO-29 SET!E46</t>
  </si>
  <si>
    <t>RDO-29 SET!G46</t>
  </si>
  <si>
    <t>RDO-29 SET!H46</t>
  </si>
  <si>
    <t>RDO-29 SET!I46</t>
  </si>
  <si>
    <t>RDO-29 SET!C47</t>
  </si>
  <si>
    <t>RDO-29 SET!D47</t>
  </si>
  <si>
    <t>M/V CS HANG ZHOU</t>
  </si>
  <si>
    <t>RDO-29 SET!E47</t>
  </si>
  <si>
    <t>RDO-29 SET!G47</t>
  </si>
  <si>
    <t>RDO-29 SET!H47</t>
  </si>
  <si>
    <t>RDO-29 SET!I47</t>
  </si>
  <si>
    <t>RDO-29 SET!C48</t>
  </si>
  <si>
    <t>RDO-29 SET!D48</t>
  </si>
  <si>
    <t>RDO-29 SET!E48</t>
  </si>
  <si>
    <t>RDO-29 SET!G48</t>
  </si>
  <si>
    <t>RDO-29 SET!H48</t>
  </si>
  <si>
    <t>RDO-29 SET!I48</t>
  </si>
  <si>
    <t>RDO-29 SET!C49</t>
  </si>
  <si>
    <t>RDO-29 SET!D49</t>
  </si>
  <si>
    <t>✅Inicio : 29-09-2026🕰️15:15hrs</t>
  </si>
  <si>
    <t>RDO-29 SET!E49</t>
  </si>
  <si>
    <t>RDO-29 SET!G49</t>
  </si>
  <si>
    <t>RDO-29 SET!H49</t>
  </si>
  <si>
    <t>RDO-29 SET!I49</t>
  </si>
  <si>
    <t>RDO-29 SET!C50</t>
  </si>
  <si>
    <t>RDO-29 SET!D50</t>
  </si>
  <si>
    <t>RDO-29 SET!E50</t>
  </si>
  <si>
    <t>RDO-29 SET!G50</t>
  </si>
  <si>
    <t>RDO-29 SET!H50</t>
  </si>
  <si>
    <t>RDO-29 SET!I50</t>
  </si>
  <si>
    <t>RDO-29 SET!C51</t>
  </si>
  <si>
    <t>RDO-29 SET!D51</t>
  </si>
  <si>
    <t>RDO-29 SET!E51</t>
  </si>
  <si>
    <t>RDO-29 SET!G51</t>
  </si>
  <si>
    <t>RDO-29 SET!H51</t>
  </si>
  <si>
    <t>RDO-29 SET!I51</t>
  </si>
  <si>
    <t>RDO-29 SET!C52</t>
  </si>
  <si>
    <t>RDO-29 SET!D52</t>
  </si>
  <si>
    <t>📍Peso por balanza: 34500 TM</t>
  </si>
  <si>
    <t>RDO-29 SET!E52</t>
  </si>
  <si>
    <t>RDO-29 SET!G52</t>
  </si>
  <si>
    <t>RDO-29 SET!H52</t>
  </si>
  <si>
    <t>RDO-29 SET!I52</t>
  </si>
  <si>
    <t>TRABAJOS:
021 047:Montaje de motor Alineamiento con Lasser Engrase de Coupling Prueba de equipo 
029 070: Inspección de válvula de secadores
211 051: Reposición de pernos de blindaje lado alimentación 
021 022: Regulación de mandil lado sur
275 032: Lubricación de equipos planta chancadora 
020 010: Se habilita líner para bandeja de feder
022 130: Habilitado de tapa de chute inspección de camara de chancadora</t>
  </si>
  <si>
    <t>RDO-23 SET!C54</t>
  </si>
  <si>
    <t>Cto: MF. Operando: RM: 1,2,4,5,6,8,9 / BM: 1,2,3,4,5,6,8,9,10.
-032-082: Paró 09:28 a 11:04 hrs por arranque del Rm03. / Paró 15:08 hrs arranque del Rm03.
-032-083: Arrancó 09:25 a 11:06 hrs paro por alta temperatura pedestal acople del motor. / Arrancó 15:06 hrs.
-032-087: Arrancó 11:44 hrs en reemplazo Rm09.
-032-089: Paró 11:40 hrs por perforación en cuello trommel.
TRABAJOS REALIZADOS:
-032-207: Se terminó asentado de bronce, se instala, colocan tapa de trunnion, instalando línea de lubricación. Maestranza en proceso de alineamiento reductor-molino.
-032-089: Reparando cuello trommel.
-032-083: Se rectificó peine del coupling.</t>
  </si>
  <si>
    <t>RDO-23 SET!C61</t>
  </si>
  <si>
    <t>-210-101: Repararon vitaulic tubería de las quenas
-210-314: Cambiaron válvula de 2" de la quena
-210-312:  Reparan tubería de ducha.
-213-431: Se liberó área de bomba.
-210-281A: Se trasladó a planta tambor 53 para instalación.</t>
  </si>
  <si>
    <t>RDO-23 SET!C67</t>
  </si>
  <si>
    <t>RDO-23 SET!C77</t>
  </si>
  <si>
    <t>1. Toma de SDI de  OUT SF, IN RO, IN FC, SF #05,02
2. Se realizo la reparacion/ cambio de brida de purga del filtro autolimpiante #02 de captación 
3. ⁠Se inicia con la LQ alcalina de la  RO #07 
4. Se realizo la inspección del sistema de calentamiento CIP RO, al controlador de temperatura.
5. Cambio de empaque en brida de descarga inferior de la SF #06
6. Se realiza el mantenimiento a la valvula tipo mariposa de la descarga superior de la UF #05
7. Se realiza el pintado el contenedor UF #07
8. Se continua con el mantenimiento del techo del contenedor UF #09</t>
  </si>
  <si>
    <t>RDO-23 SET!C84</t>
  </si>
  <si>
    <t>Se continua lmpieza de area de transferencia y filtros con bot cat,</t>
  </si>
  <si>
    <t>RDO-23 SET!C91</t>
  </si>
  <si>
    <t>Casa de Bombas 1
- Se realizó lubricación de bombas 213-328/903/904/905/267.
Bomba 213-888
- Se realizó inspección de coupling.
- Se puede apreciar que se encuentra alineado.
- Se volvió a reponer acoplamiento, previo engrase.
Bomba 213-252(en ejecución)
- Se realizó pruebas de motor en vacío por parte de área eléctrica.
- Se nos dió pase para reponer fajas de transmisión.
- Se realiza ojo chino en base metálica para alinear poleas motriz y conducida.
- Se viene soldando botadores en base metálica.
Taller mecánico
- Se viene soldando tubería 6" para alimentación de filtro de choros en CB2.
Taller de arenado(en ejecución)
- Se arenaron tuberías habilitadas para cambio en PDP.
- Se da apoyo a taller de gravimetrica con el arenado de componentes.</t>
  </si>
  <si>
    <t>RDO-23 SET!C92</t>
  </si>
  <si>
    <t>M/V "MINERAL KEVIN”
🟩 INICIO
📆 19/09/2026   🕐 02:50 hrs
🟩 ENVIO Z.A y Z.N
◼️	(07:00/09:10): Rotopala pila #5 y Tolva #2
◼️	(09:10/15:00): Tolva #1 y 2
🟩 DATOS DE EMBARQUE
◼️ Producto             :		FKPS	
◼️ Total a embarcar:	167,300 TM
◼️ Total abordo (15:00 hrs): 142,500 TM
◼️ Falta embarcar:	24,800 TM
- - - - - - - - - - - - - - - - - - - - - - - - - -
▫️Eficiencia:		83%
▫️Disp. Mantenimiento:	100.0%
▫️Disp. Operativa:	92%
▫️Régimen efectivo:	4,296 TM
▫️Régimen general :	3,940 TM
- - - - - - - - - - - - - - - - - - - - - - - - - -
🟧 CONTROL DE CALIDAD  %
 ◼️ Fe		=	70.0
 ◼️ S		=	0.214
 ◼️ Cu		= 0.002
 ◼️ H2O		= 7.89
 ◼️ Na2O	= 	0.058
 ◼️ K2O		=	0.037
 ◼️ Álcalis	=	0.095
 ◼️ Zn		=	0.011
- - - - - - - - - - - - - - - - - - - - - - - - - -
🟫 INCIDENCIAS
▫️(09:10), Envío de carga de solo tolvas a muelle antiguo 
▫️(09:30), Envío de carga de Rotopala a muelle nuevo 
🟫 OPERACIONES
▫️ Inspección en todo sistema de embarque 
🟫 MECÁNICOS
▫️*Faja 071-108* , Cambian polín de carga desbocado #339
- - - - - - - - - - - - - - - - - - - - - - - - - -
🟦 OO.MM. 🕐 15:00 hrs
▫️ Mar   =  3/4 metros
▫️ Vien  =  14 nudos
▫️ Direc = 150 °
🟦 BARCOS EN BAHIA
🚢 VAN AUSPICIOUS
🚢 AQUA VENTURE
🚢 MAIRAKI</t>
  </si>
  <si>
    <t>RDO-23 SET!C98</t>
  </si>
  <si>
    <t>1.- CRUDOS: 
C-2 a chute 12_13_14
2.- CHANCADORA:  
Nivel de silos: 112223122
Línea dos en operación con dos chancadoras para los silos 1/9 del chute 12/13
Línea uno en operación con tres chancadoras para el silo 9.y 501.
-Triturado= 0 t
-Transferido = 0 t.
-021-037: Fajeros reparan empalme.
-021-047: Maestranza maquina nuevo eje para motor, balancean en taller eléctrico, en proceso de armado.</t>
  </si>
  <si>
    <t>RDO-23 SET!C108</t>
  </si>
  <si>
    <t>Cto: MF. Operando: RM: 1,3,4,5,6,8,9 / BM: 1,2,3,4,5,6,8,9,10.
-032-085: Paró 15:50 a 16:25 hrs por alta temperatura aceite de retorno, se arrancó radiador. / Paró 17:30 a 22:03 hrs por parada del bolas 5.
-032-087: Paró 17:30 a 22:03 hrs por parada del bolas 5.
-032-205: Paró 18:00 a 21:59 hrs por ampliar ranuras de malla descarga y cambio de reten alimentación.
-032-207: Paró 19:21 hrs para dializado de aceite por contaminación con limaduras de bronce.
TRABAJOS REALIZADOS:
-032-205: ampliaron ranuras de malla descarga y cambio de reten alimentación.
-032-207: Dializando aceite, se revisaron filtros de alta.</t>
  </si>
  <si>
    <t>RDO-23 SET!C113</t>
  </si>
  <si>
    <t>-210-294B: Acondicionando planchas de descarga.
-210-268: Se cambió codo de 8” de colas.</t>
  </si>
  <si>
    <t>RDO-23 SET!C120</t>
  </si>
  <si>
    <t>Línea 1/2/3/4: 7/7/3/Parada
Nivel de Agitadores: 007: 35% / 008: 46% / 050: vacío
- Receptor 059-0058 se repuso tapa de inspección se arranco filtros 025 y 027 22:30 hrs
Línea 1/2/3 y bombas con agua desalinizada.
Dosificando floculante ambos espesadores.</t>
  </si>
  <si>
    <t>RDO-23 SET!C129</t>
  </si>
  <si>
    <t>Bombas de Captación # 1/3/4
Bombas de Envío a Pqt 7 # 1/2
Bomba de Envío a Filtros # 4
SF: 11 | UF: 12 | RO: 16
TK Pqt 7 =  6.53 m 
TK Filtros = 3.65 m
Flujo de envío a Filtros = 360 m3/h
Flujo envío pqt7= 650 m3/h
Conductividad: 932 uS/cm
-RO#07 limpieza química.</t>
  </si>
  <si>
    <t>RDO-23 SET!C136</t>
  </si>
  <si>
    <t>CB1=LA x L3 / 103 psi / 2800 gpm
1 horizontal / 1 verticales / poza: 3.10 m
R 2= L2   98 psi /2800 gpm / 4 horizontales 
CB2
LA x L1 / 35 psi a shouxin
LB x L3 / 100 psi a shouxin
Choclón Parado.
Muelle   #5
Tk 338= 16ft
Tk 250= 26ft.
** Bomba de recuperación 213-124, operando.</t>
  </si>
  <si>
    <t>RDO-23 SET!C146</t>
  </si>
  <si>
    <t>RDO-23 SET!C154</t>
  </si>
  <si>
    <t>RDO-23 SET!C166</t>
  </si>
  <si>
    <t>Nivel de silos: 433 132 234</t>
  </si>
  <si>
    <t>RDO-23 SET!C167</t>
  </si>
  <si>
    <t>-Transferido = 3354 t.</t>
  </si>
  <si>
    <t>RDO-23 SET!C168</t>
  </si>
  <si>
    <t>* Línea #1 paro 06:00 h por mantenimiento programado.</t>
  </si>
  <si>
    <t>RDO-23 SET!C169</t>
  </si>
  <si>
    <t>-032-207, se monitorea parametros de operacin, temperaura aceite a trunion estables.</t>
  </si>
  <si>
    <t>RDO-23 SET!C173</t>
  </si>
  <si>
    <t>210-294 hermetizaron cajón descarga-operando.</t>
  </si>
  <si>
    <t>RDO-23 SET!C176</t>
  </si>
  <si>
    <t>210-290 cambio de codo en descarga tina de colas.</t>
  </si>
  <si>
    <t>RDO-23 SET!C177</t>
  </si>
  <si>
    <t>210-108, se calafatean cajón de alimentación.</t>
  </si>
  <si>
    <t>RDO-23 SET!C178</t>
  </si>
  <si>
    <t>213-105 reponen pernos (3) brida de descarga.</t>
  </si>
  <si>
    <t>RDO-23 SET!C179</t>
  </si>
  <si>
    <t>210-107/108 (cajón colas), colocan abrazadera manguera de descarga.</t>
  </si>
  <si>
    <t>RDO-23 SET!C180</t>
  </si>
  <si>
    <t>213-480 se termina de armar, queda st-by.</t>
  </si>
  <si>
    <t>RDO-23 SET!C181</t>
  </si>
  <si>
    <t>039-272 habilitan inyectores en manguera de descarga.</t>
  </si>
  <si>
    <t>RDO-23 SET!C183</t>
  </si>
  <si>
    <t>Línea 1/2/3/4: 7/7/4/Parada</t>
  </si>
  <si>
    <t>RDO-23 SET!C187</t>
  </si>
  <si>
    <t>RDO-23 SET!C188</t>
  </si>
  <si>
    <t>213-200 cambiaron fajas en Ve.</t>
  </si>
  <si>
    <t>RDO-23 SET!C189</t>
  </si>
  <si>
    <t>053-024 cambio de sacas programadas.</t>
  </si>
  <si>
    <t>RDO-23 SET!C190</t>
  </si>
  <si>
    <t>RDO-23 SET!C191</t>
  </si>
  <si>
    <t>RDO-23 SET!C194</t>
  </si>
  <si>
    <t>RDO-23 SET!C195</t>
  </si>
  <si>
    <t>LC x L3 / 97 psi a shouxin</t>
  </si>
  <si>
    <t>RDO-23 SET!C196</t>
  </si>
  <si>
    <t>RDO-23 SET!C197</t>
  </si>
  <si>
    <t>RDO-23 SET!C198</t>
  </si>
  <si>
    <t>RDO-23 SET!C199</t>
  </si>
  <si>
    <t>Tk 250= 29ft.</t>
  </si>
  <si>
    <t>RDO-23 SET!C200</t>
  </si>
  <si>
    <t>** Bomba de recuperación 213-124, operando, con fuga de carga por tubo de succión.</t>
  </si>
  <si>
    <t>RDO-23 SET!C201</t>
  </si>
  <si>
    <t>Bombas de Captación # 2,4</t>
  </si>
  <si>
    <t>RDO-23 SET!C203</t>
  </si>
  <si>
    <t>RDO-23 SET!C204</t>
  </si>
  <si>
    <t>RDO-23 SET!C205</t>
  </si>
  <si>
    <t>SF: 12 | UF: 13 | RO: 16</t>
  </si>
  <si>
    <t>RDO-23 SET!C206</t>
  </si>
  <si>
    <t>TK Pqt 7 = 7.32 m</t>
  </si>
  <si>
    <t>RDO-23 SET!C207</t>
  </si>
  <si>
    <t>TK Filtros = 3.72 m</t>
  </si>
  <si>
    <t>RDO-23 SET!C208</t>
  </si>
  <si>
    <t>RDO-23 SET!C209</t>
  </si>
  <si>
    <t>Flujo envío pqt7= 565 m3/h</t>
  </si>
  <si>
    <t>RDO-23 SET!C210</t>
  </si>
  <si>
    <t>RDO-23 SET!C211</t>
  </si>
  <si>
    <t>-UF#03 finaliza limpieza química.</t>
  </si>
  <si>
    <t>RDO-23 SET!C212</t>
  </si>
  <si>
    <t>M/V "VAN AUSPICIUS”</t>
  </si>
  <si>
    <t>RDO-23 SET!C213</t>
  </si>
  <si>
    <t>🟫 INICIO📆 23/09/2026   🕐 07:50 hrs</t>
  </si>
  <si>
    <t>RDO-23 SET!C214</t>
  </si>
  <si>
    <t>◼️ Total abordo: 70,000 TM.</t>
  </si>
  <si>
    <t>RDO-23 SET!C215</t>
  </si>
  <si>
    <t>◼️ Fe : 69.8</t>
  </si>
  <si>
    <t>RDO-23 SET!C216</t>
  </si>
  <si>
    <t>◼️ S : 0.198</t>
  </si>
  <si>
    <t>RDO-23 SET!C217</t>
  </si>
  <si>
    <t>🟦 OO.MM. 🕐 06:00 h (Marea=0.3 metros | Viento= 2.6 nudos | Dirección=105°</t>
  </si>
  <si>
    <t>RDO-23 SET!C218</t>
  </si>
  <si>
    <t>🟦 BARCOS EN BAHIA</t>
  </si>
  <si>
    <t>RDO-23 SET!C219</t>
  </si>
  <si>
    <t>MUELLE 2</t>
  </si>
  <si>
    <t>RDO-23 SET!C220</t>
  </si>
  <si>
    <t>🚢 M/V "CSB YEARS”</t>
  </si>
  <si>
    <t>RDO-23 SET!C221</t>
  </si>
  <si>
    <t>✅ INICIO 📆 16/09/2026 🕐 10:30 hrs</t>
  </si>
  <si>
    <t>RDO-23 SET!C222</t>
  </si>
  <si>
    <t>📌 ABORDO = 164,000 TM</t>
  </si>
  <si>
    <t>RDO-23 SET!C223</t>
  </si>
  <si>
    <t>M/V "AQUA VENTURE”
✅ INICIO 
📆 21/09/2026 🕐 04:25hrs
- - - - - - - - - - - - - - - - - - - - -
✅ ENVIO
📌 ROTOPALA = 4000TM 
📌 TOLVA #2 = 1500TM
- - - - - - - - - - - - - - - - - - - - -
✅ PRODUCTO = FKPS
📌 TOTAL EMBARCAR = 167342 TM
📌 ABORDO =  151500 TM
📌 X EMBARCAR = 15842 TM
- - - - - - - - - - - - - - - - - - - - -
📌 Eficiencia   : 70%
📌 Disponibilidad mantenimiento: 97.5% 
📌 Disponibilidad operativa: 90% 
📌 Régimen efectivo:  3613 TM
📌 Régimen general: 3252 TM
- - - - - - - - - - - - - - - - - - - - -
✅ CONTROL DE CALIDAD
 📌 Fe             =  69.5
 📌 S               = 0.210
 📌 Cu             = 0.002
 📌 H2O          = 7.87
 📌 Na2O        = 0.078
 📌 K2O          = 0.047
 📌 Alcalis      =  0.125
 📌 Zn             = 0.011
- - - - - - - - - - - - - - - - - - - - -
✅ PARADAS
✅ INCIDENCIAS
📌20:40 Reinicio de envío de Zona nueva
📌071-108 Cambio de polin de carga #270 #117
✅ OPERACIONES
📌 Inspección y monitoreo de equipos y componentes 
✅ MECANICOS
📌071-108 Cambio de polin de carga #270 #117
✅INSTRUMENTISTAS
📌Faja 014-029/014-030/014-031 no marcan amperajes 
- - - - - - - - - - - - - - - - - - - -
✅ OO.MM. 🕐 23:00 hrs
📌 Mar   = 0.3m
📌 Vien = 6.7 n
📌 Direc = 155º
✅ BARCOS EN BAHÍA (3)
🚢 ES BLUE SEA
🚢 MAIRAKI
🚢VAN AUSPICIOUS
NUEVO MUELLE
M/V "CSB YEARS”
✅ INICIO 
📆 16/09/2026 🕐 10:30 hrs
- - - - - - - - - - - - - - - - - - - - -
✅ PRODUCTO = FKPS
📌 TOTAL EMBARCAR = 304,500 TM
📌 ABORDO = 88,300 TM
📌 X EMBARCAR = 216,200 TM
- - - - - - - - - - - - - - - - - - - - -
✅ PARADAS
📌 19:42 Se corta envío de ROTOPALA. 
📌20:00/20:25 Cambio de bodega #1 a #6. 
📌 20:25/21:00 Relevo de personal de tractores. 
📌21:15/21:20 * Beltfeeder 8120-BF002* Parada por muestreo.
📌22:00/22:05 * Beltfeeder 8120-BF002* Parada por muestreo.
📌 22:40/22:45 * Beltfeeder 8120-BF002* Parada por muestreo.
✅ OPERACIONES
📌 Inspección y operación sistema de embarque muelle 2.
📌 Trabajando solo con Beltfeeder 8120-BF-002.</t>
  </si>
  <si>
    <t>TRABAJOS:
1- 021 012 se cambio motoreductor 
2- 021/022 se cambio platinas 
3- 211/024 se cambio platinas 
4-211/025 se cambio platinas 
5-211/018 se cambio
Platinas y blindajes 
6- 021/055/059 cambio de deflectoras y platinas 
7- 021/014/211/140 cambio de blindajes y platinas 
8- 211/140/059 cambio de deflectores 
9-021/045/059 cambio de deflectoras 
10-021/059/063 cambio de deflectora
11.: 021-031: Cambio de faja
12: 020-010: cambio de zocalos, deflectoras</t>
  </si>
  <si>
    <t>RDO-24 SET!C54</t>
  </si>
  <si>
    <t>RDO-24 SET!C61</t>
  </si>
  <si>
    <t>RDO-24 SET!C67</t>
  </si>
  <si>
    <t>6/7/3/3
*Filtro 053-024: Mantenimiento programado.
*Faja 051-182: Se cambió 2 polines de retorno.
*Faja 051-151: Se cambió 1 polín retorno.
*Faja 051-150: Se cambió 1 polín retorno 
*Receptor 059-054: Se resano interiormente con norbac.
*Bomba 213-200: Se cambió fajas "V" y empaquetadura a la caja de sello.
*Filtro 053-035: Se resana con norbac carrete perforado del reboce de la tina.
*Se continua con el agregado de floculante a los espesadores 053-002/003.
Linea 1-2-3-4 al 100% agua desalinizada.
Bombas de vacio linea 1-2-3 con agua desalinizada.</t>
  </si>
  <si>
    <t>RDO-24 SET!C77</t>
  </si>
  <si>
    <t>1. Se realiza la toma de SDI de  OUT SF, IN RO, IN FC, SF #05,02,03
2. Se realiza el trasvase de Anticrustante 
3. ⁠Se realizo el trasvase de Soda caustica
4. Se realiza el ingreso de las membrandas luego de su inspeccion de la RO #05, se colocaron 14 membranas nuevas, y se retiraron 14 membranas mas pesadas para limpieza CIP externa.
5. Se realizo la dosificación de Naclo desde Captación 
6. Personal de instrumentación realiza el mantenimiento de actuador eléctrico retirado de la RO #02 en taller electrico
7. Se continua con el mantenimiento de techo del contenedor UF #09
8. Se realiza el pintado del contenedor CIP
PLANTA DESALADORA ANTIGUA 
OI 200 en proceso de cambio de motor y bomba de alimentacion</t>
  </si>
  <si>
    <t>RDO-24 SET!C84</t>
  </si>
  <si>
    <t>Se esta vaciando los ductos de petroleo diesel, se retiro dos tanques de agua</t>
  </si>
  <si>
    <t>RDO-24 SET!C91</t>
  </si>
  <si>
    <t>RDO-24 SET!C92</t>
  </si>
  <si>
    <t>RDO-24 SET!C98</t>
  </si>
  <si>
    <t>Altura de los silos       
   323155445
Triturado
  450
Transferencia
1309
Con polea arriba y tambores abajo
  Envío de mineral
C2 al chute 12_13.
Línea dos en operación con tres chancadoras 
Línea uno en operación con dos chancadoras
022_042. Fuera de servicio.</t>
  </si>
  <si>
    <t>RDO-24 SET!C108</t>
  </si>
  <si>
    <t>Cto: MF. Operando: RM: 1,2,3,5,6,7,8,9 / BM: 1,2,4,5,6,7,8,9,10.
-032-204: Arrancó 21:58 hrs. Se cambió transmisor de presión bomba de baja.
TRABAJOS REALIZADOS:
-032-203: Soldeo de soporte para motor auxiliar.</t>
  </si>
  <si>
    <t>RDO-24 SET!C113</t>
  </si>
  <si>
    <t>-210-283B: Se desatoró, revisar el eje principal del tambor golpea.
-210-297: Mantenimiento de bomba.</t>
  </si>
  <si>
    <t>RDO-24 SET!C120</t>
  </si>
  <si>
    <t>-039-288A/B: Cambiaron válvula de aire.</t>
  </si>
  <si>
    <t>RDO-24 SET!C126</t>
  </si>
  <si>
    <t>Línea 1/2/3/4: 7/7/3/Parada
Nivel de Agitadores: 007: 38% / 008: 40% / 050: vacío
Línea 1/2/3 y bombas con agua desalinizada.
Dosificando floculante ambos espesadores.</t>
  </si>
  <si>
    <t>RDO-24 SET!C129</t>
  </si>
  <si>
    <t>Bombas de Captación # 1/3/4
Bombas de Envío a Pqt 7 # 1/2
Bomba de Envío a Filtros # 4
SF: 11 | UF: 12 | RO: 16
TK Pqt 7 =  6.50 m 
TK Filtros = 3.62 m
Flujo de envío a Filtros = 360 m3/h
Flujo envío pqt7= 650 m3/h
Conductividad: 940 uS/cm
-RO#07 limpieza química.</t>
  </si>
  <si>
    <t>RDO-24 SET!C136</t>
  </si>
  <si>
    <t>CB1=LA x L3 / 105 psi / 2800 gpm
1 horizontal / 1 verticales / poza: 3.10 m
R 2= L2   100 psi /2800 gpm / 4 horizontales 
CB2
LA x L1 / 35 psi a shouxin
LB x L3 / 100 psi a shouxin
Choclón Parado.
Muelle   #5
Tk 338= 16ft
Tk 250= 26ft.
** Bomba de recuperación 213-124, operando.</t>
  </si>
  <si>
    <t>RDO-24 SET!C146</t>
  </si>
  <si>
    <t>🚢M/V "VAN AUSPICIUS”
🕐TURNO, 19:00 a 07:00 hrs
🗓️ REPORTE 23:00 hrs
    24/09 de setiembre del 2026
🟫 INICIO
📆 23/09/2026   🕐 07:50 hrs
- - - - - - - - - - - - - - - - - - - - - - - - - -
🟩 DATOS DE EMBARQUE
◼️	Envío: Tolva #1 #2 #3
◼️ Producto:		FKPS	
◼️ Total a embarcar:	169675 TM
◼️ Total abordo:	 131500TM
◼️ Tonelaje por embarcar: 38175	 TM
- - - - - - - - - - - - - - - - - - - - - - - - - -
◼️Eficiencia:		59%
◼️Disp. Mantenimiento:	99.3%
◼️Disp. Operativa:	93%
◼️Régimen efectivo:	 3059 TM
◼️Régimen general :	 2848 TM
- - - - - - - - - - - - - - - - - - - - - - - - - -
🟧 CONTROL DE CALIDAD  %
 ◼️ Fe		=	69.5
 ◼️ S		=	0.210
 ◼️ H2O		= 	7.60
 ◼️ Na2O	=       0.090
 ◼️ K2O		= 	0.048
 ◼️ Cu	=	=	0.003
 ◼️ Alcalis	=	0.138
 ◼️ Zn  	=	0.014
- - - - - - - - - - - - - - - - - - - - - - - - - -
🟫 OPERACIONES
▫️Bombas 213-367, Flujo alto trabajando con Bomba A y B
▫️Bombas 213-341/340,trabajando con normalidad 
▫️Inspección de equipos y componentes
🟫 MECANICOS
▫️Faja 071-081 (tubería de agua salada con hueco) mecánicos evaluaron tubería 4" e indicaron que realizaran la fabricación para su cambio
▫️Faja 014-031 Derrame de aceite en reductor lado motriz
🟫 DEMORAS/INCIDENCIAS
▫️19:37/20:04 relevo de tractores
▫️19:10/19:25  Faja 071-714 Desatoro tolva #1
- - - - - - - - - - - - - - - - - - - - - - - - - -
🟦 OO.MM. 🕐 23:00 hrs
▫️ Mar   =  0.3 metros
▫️ Vien  =  4.6 nudos
▫️ Direc =  166°
- - - - - - - - - - - - - - - - - - - - - - - - - -
🟦 BARCOS EN BAHIA
🚢 MAIRAKI
🚢 ES BLUE SEA
🚢 NAVIOS MARS</t>
  </si>
  <si>
    <t>RDO-24 SET!C154</t>
  </si>
  <si>
    <t>1.- CRUDOS: 
C-2 a chute 12 al 13
2.- CHANCADORA:  
Nivel de silos: 3.3.4.4.4.5.4.4.4
Línea dos en operación con dos chancadoras para los silos 1/9 del chute 12/13
Línea uno en operación con tres chancadoras para el silo 9.y 501.
-Triturado= 1616 t
-Transferido = 1616 t.
* 022-042: Manguera de hidrolina a postes hidráulicos obstruida.</t>
  </si>
  <si>
    <t>RDO-24 SET!C165</t>
  </si>
  <si>
    <t>RDO-24 SET!C171</t>
  </si>
  <si>
    <t>-213-121: Se instaló nuevo motor, conectó, instalan fajas. Pendiente cambiar abrazadera de tubo succión por vitaulic 10”.
-210-283B: Se desatoró, pendiente revisar el eje principal del tambor golpea.
-210-297: Mantenimiento de bomba, corrigieron manguera de sello.
-212-158/159: Desatoraron ciclones.</t>
  </si>
  <si>
    <t>RDO-24 SET!C176</t>
  </si>
  <si>
    <t>-Celdas Nuevas: Se reparó Yee de descarga de bombas 1003/1004 y línea de agua de sello a bomba 1003.</t>
  </si>
  <si>
    <t>RDO-24 SET!C182</t>
  </si>
  <si>
    <t>Línea 1/2/3/4: 7/7/4/Parada
Nivel de Agitadores: 007: 32% / 008: 40% / 050: vacío
Línea 1/2/3 y bombas con agua desalinizada.
- Linea 4 paró a las 23:00 hrs por control de nivel agitadores.
- 053-024 se vistió el filtro.
- Línea 3 paró de 21:00 a 21:30 para cambiar polin guiador y de retorno comando. 
- 051 150 se alineo faja polea de cola
- 051-176 se paró faja de 2:00 a 2:30 hrs para cortar hebra 
- 051-186 se paró faja de 4:00 a 4:30 hrs para cortar hebra
- Dosificando floculante ambos espesadores.</t>
  </si>
  <si>
    <t>RDO-24 SET!C186</t>
  </si>
  <si>
    <t>CB1=LA x L3 / 110 psi / 2700 gpm
1 horizontal / 1 verticales / poza: 2.40 m
R 2= L2   90 psi /2800 gpm / 4 horizontales 
CB2
LA x L1 / 36 psi a shouxin
LC x L3 / 108 psi a shouxin
Choclón Parado.
Muelle   #5
Tk 338= 18ft
Tk 250= 28ft.
** Bomba de recuperación 213-124, operando.</t>
  </si>
  <si>
    <t>RDO-24 SET!C194</t>
  </si>
  <si>
    <t>Bombas de Captación # 1/2
Bombas de Envío a Pqt 7 # 1/2
Bomba de Envío a Filtros # 4
SF: 10 | UF: 11 | RO: 14
TK Pqt 7 = 7.26 m 
TK Filtros = 3.25 m
Flujo de envío a Filtros = 366 m3/h
Flujo envío pqt7= 560 m3/h
Conductividad: 1058uS/cm</t>
  </si>
  <si>
    <t>RDO-24 SET!C203</t>
  </si>
  <si>
    <t>M/V "VAN AUSPICIUS”
🗓️ REPORTE 06:00 hrs
    24/09 de setiembre del 2026
🟫 INICIO
📆 23/09/2026   🕐 07:50 hrs
- - - - - - - - - - - - - - - - - - - - - - - - - -
🟩 DATOS DE EMBARQUE
◼️	Envío: Tolva  #2 y #3
◼️ Producto:		FKPS	
◼️ Total a embarcar:	169675 TM
◼️ Total abordo:	 150800TM
◼️ Tonelaje por embarcar: 18875 TM
- - - - - - - - - - - - - - - - - - - - - - - - - -
◼️Eficiencia:		68%
◼️Disp. Mantenimiento:	99.3%
◼️Disp. Operativa:	92%
◼️Régimen efectivo:	 3551 TM
◼️Régimen general :	 3266 TM
- - - - - - - - - - - - - - - - - - - - - - - - - -
🟧 CONTROL DE CALIDAD  %
 ◼️ Fe		=	69.5
 ◼️ S		=	0.212
 ◼️ H2O		= 	7.88
 ◼️ Na2O	=       0.090
 ◼️ K2O		= 	0.048
 ◼️ Cu	=	=	0.003
 ◼️ Alcalis	=	0.138
 ◼️ Zn  	=	0.014
- - - - - - - - - - - - - - - - - - - - - - - - - -
🟫 OPERACIONES
▫️Bombas 213-367, Flujo alto trabajando con Bomba A y B
▫️Bombas 213-341/340,trabajando con normalidad 
▫️Inspección de equipos y componentes
▫️Limpieza periódica de las rejillas de las tolvas
🟫 MECANICOS
▫️Faja 071-081 (tubería de agua salada con hueco) mecánicos evaluaron tubería 4" e indicaron que realizaran la fabricación para su cambio
▫️Faja 014-031 Derrame de aceite en reductor lado motriz
▫️Faja 071-108 Ajuste de cobertores(2) ubicado en el triper y el del lado del chute de descarga de la 108
🟫 DEMORAS/INCIDENCIAS
▫️22:53/23:07  Faja 071-714 Desatoro tolva #2
▫️23:30/24:00 relevo de tractores
▫️01:04/01:08  Faja 071-714 Desatoro tolva #2
- - - - - - - - - - - - - - - - - - - - - - - - - -
🟦 OO.MM. 🕐 06:00 hrs
▫️ Mar   =  0.2 metros
▫️ Vien  =  0.5 nudos
▫️ Direc =  33°
- - - - - - - - - - - - - - - - - - - - - - - - - -
🟦 BARCOS EN BAHIA
🚢 MAIRAKI
🚢 ES BLUE SEA
🚢 NAVIOS MARS
MUELLE NUEVO
M/V "CSB YEARS”
✅ INICIO 
📆 16/09/2026 🕐 10:30 hrs
- - - - - - - - - - - - - - - - - - - - -
✅ PRODUCTO = FKPS
📌 TOTAL EMBARCAR = 304,500 TM
📌 ABORDO = 266,000 TM
📌 X EMBARCAR = 38,500 TM
- - - - - - - - - - - - - - - - - - - - -
✅ * ENVÍO*
📌 19:00/01:00 ENVÍO ROTOPALA PAQ10.
📌 01:30/06:30 ENVÍO  BELTFEEDER 8120-CF-002/003.
✅ PARADAS
📌 22:40/22:50 FAJA 014-029 Parada por muestreo. 
📌 22:40/22:50  Beltfeeder 8120-BF002 Parada por muestreo.
📌 00:27/00:32  Beltfeeder 8120-BF002 Parada por muestreo.
📌 01:54/02:00 Beltfeeder 8120-BF002 Parada por muestreo.
📌 02:51/03:00  Beltfeeder 8120-BF002 Parada por muestreo.
📌 02:47/02:52 ROTOPALA Cambio de capa #3 a #2
📌 03:00/03:07 FAJA 014-029 Parada por muestreo. 
📌 05:06/05:10 Beltfeeder 8120-BF002 Parada por muestreo.
📌 05:22/05:34 FAJA 014-029 Parada por muestreo. 
📌 05:50/06:00 Beltfeeder 8120-BF002 Parada por muestreo.
📌 22:45 parada por desalineamiento BELTFEEDER 8120-CF-003 y se trabaja con  BELTFEEDER 8120-CF-002. 
✅ OPERACIONES
📌 Inspección y operación sistema de embarque muelle 2
📌 TRABAJANDO ROTOPALA PAQ10, BELTFEEDER 8120-CF-002/003.
- - - - - - - - - - - - - - - - - - - - -
✅ CONTROL DE CALIDAD
📌 Fe             =  69.9
 📌 S               = 0.209
 📌 Cu             = 0.002
 📌 H2O          = 7.95
 📌 Na2O        =0.069
 📌 K2O          =0.035
 📌 Alcalis      = 0.104
 📌 Zn             = 0.011</t>
  </si>
  <si>
    <t>RDO-24 SET!C213</t>
  </si>
  <si>
    <t>TRABAJOS:
211 051: Cambio de 4 mallas Superiores
021 031: Se.regula mandiles ambos lados, se pega empalme 
211 051  Hacia 632: Cambio de blindaje en chute de finos 
211 024: Instalación de pernos centrales 
021 061: Se calienta eje de compuerta para facilitar la.apertura</t>
  </si>
  <si>
    <t>RDO-25 SET!C54</t>
  </si>
  <si>
    <t>RDO-25 SET!C61</t>
  </si>
  <si>
    <t>RDO-25 SET!C67</t>
  </si>
  <si>
    <t>6/7/3/3
*Faja 051-176: Se cambió 1 polín retorno.
*Linea de agua desalinizada se cambia válvula 12" alimentación al agitador 053-007.
*Tripper 051-181: Se rectifico eje de polea descarga.
*Bomba 213-201: Se realiza mantenimiento general.
*Filtro 053-035: Se cambió niple de sello lado A.
Linea 1-2-3 al 100% agua salada desde las 09:00hrs.
Bombas de vacio linea 1-2-3 con agua salada desde las 09:00hrs.</t>
  </si>
  <si>
    <t>RDO-25 SET!C77</t>
  </si>
  <si>
    <t>1. ⁠Personal mecánico realiza el mantenimietnto de la valvula mariposa tipo wafer de 14” de F.C #3 de RO
2. ⁠Personal de instrumentación realiza la inspección de medición de baterías UPS  de las salas eléctricas : 100-A , 100-B, 100-C
3. ⁠Personal de instrumentación realiza la limpieza de gabinetes en las salas eléctricas : 100, 100-A, 100-b, 100-C
4. Se realiza el mantenimiento de flujometro de emisor 7
5. Se realiza el cambio de valvula de 8 pulg de alimentacion de SF#10
6. Se realiza el alineamiento de la bomba de alta de la RO #01
7. Se realiza el pintado de barandas y mejoramiento del acceso en zona de emisor 7
DESALADORA ANTIGUA 
Unidad de oi de 200 m3, se cambio de bomba y motor de alimetación</t>
  </si>
  <si>
    <t>RDO-25 SET!C84</t>
  </si>
  <si>
    <t>Se realizó limpieza de area de transferencia.</t>
  </si>
  <si>
    <t>RDO-25 SET!C91</t>
  </si>
  <si>
    <t>RDO-25 SET!C92</t>
  </si>
  <si>
    <t>RDO-25 SET!C98</t>
  </si>
  <si>
    <t>RDO-25 SET!C113</t>
  </si>
  <si>
    <t>RDO-25 SET!C120</t>
  </si>
  <si>
    <t>RDO-25 SET!C126</t>
  </si>
  <si>
    <t>RDO-25 SET!C129</t>
  </si>
  <si>
    <t>RDO-25 SET!C136</t>
  </si>
  <si>
    <t>RDO-25 SET!C146</t>
  </si>
  <si>
    <t>RDO-25 SET!C154</t>
  </si>
  <si>
    <t>1.- CRUDOS: 
C-2 chute 12 al 13
2.- CHANCADORA:  
Nivel de silos: 3.3.3.2.4.4.4.4.4.
Línea dos en operación con dos chancadoras para los silos 1/9 del chute 12/13
Línea uno en operación con tres chancadoras para el silo 9.y 501.
-Triturado= 3905 t
-Transferido = 3481 t.</t>
  </si>
  <si>
    <t>RDO-25 SET!C165</t>
  </si>
  <si>
    <t>Cto: MF. Operando: RM: 1,2,3,5,6,7,8,9 / BM: 1,2,3,4,5,6,7,8,9,10.
-No hubo parada de molinos
TRABAJOS REALIZADOS:
-032-203: Soldadura habilitando platinas con mayor altura para instalación en trommel.</t>
  </si>
  <si>
    <t>RDO-25 SET!C171</t>
  </si>
  <si>
    <t>-213-431: Se reponen fajas, tubo de succión, sello, instalan brida de descarga.
- Se normaliza preparación de reactivos con agua desalinizada 02:45 hrs.
*Se realizó agregado de medios moledores (conos y bolas.</t>
  </si>
  <si>
    <t>RDO-25 SET!C176</t>
  </si>
  <si>
    <t>-039-281D/E: Se libera mangueras de purga, se descarga bancos. Vástago de tapon roto, se retira para su reparación.</t>
  </si>
  <si>
    <t>RDO-25 SET!C182</t>
  </si>
  <si>
    <t>Línea 1/2/3/4: Parada/8/4/3
Nivel de Agitadores: 007: 50% / 008: 42% / 050: vacío
Línea 1/2/3 y bombas con agua salada.
- 053-035 moto reductor se agrego aceite.
- 053-033: mecánicos continúan instalando los motoreductores al filtro.
- 051-151 se alineó faja polea de cola
- No se dosifica floculante a los espesadores por agua desalinizada.</t>
  </si>
  <si>
    <t>RDO-25 SET!C186</t>
  </si>
  <si>
    <t>CB1=LA x L3 / 116 psi / 2677 gpm
1 horizontal / 1 verticales / poza: 2.85 m
R 2= L2 102 psi /2530 gpm / 4 horizontales 
Casa 2:
LA x L1 / 42 psi a shouxin
LC x L3 / 89 psi a shouxin
Choclón Parado.
Muelle   #3/5
Tk 338= 17ft
Tk 250= 25ft.
** Bomba de recuperación 213-124, operando</t>
  </si>
  <si>
    <t>RDO-25 SET!C194</t>
  </si>
  <si>
    <t>6.- DESALADORA NUEVA:  
BBs de Captación # 1,4
BBs de Envío a Pqt 7 # 1,2
Unds SF: 11
Unds UF: 12
Unds RO: 16
TK Pqt 7 = 2.60 m 
TK Filtros = 3.84m
Flujo de envío a Filtros = - m³/h 
Flujo de envío a Paquete 7 = 880 m³/h
Actividades
1. Se realizó arranque de planta 1:30 am. 
2. Se realizó montaje de línea de producto a los housing de la Ro#1
3. Se realizó el montaje del actuador de agua no producida de la RO#01. 
4. Se realizó cambio de Ery de la RO#01 a la Ro#15 por atascamiento. 
5. Se realizó limpieza de Ery superior de la RO#15. 
Conductividad: 977 us/cm.</t>
  </si>
  <si>
    <t>RDO-25 SET!C203</t>
  </si>
  <si>
    <t>M/V "MAIRAKI”
🟫 INICIO
📆 25/09/2026   🕐 20:45 hrs
- - - - - - - - - - - - - - - - - - - - - - - - - -
🟩 DATOS DE EMBARQUE
◼️	Envío: Chute  #14 y #12 =3500TM
◼️ Producto:		CDSS	
◼️ Total a embarcar:	169000 TM
◼️ Total abordo:	21200 TM
◼️ Tonelaje por embarcar:  147800TM
- - - - - - - - - - - - - - - - - - - - - - - - - -
◼️Eficiencia:		58%
◼️Disp. Mantenimiento:	86.2%
◼️Disp. Operativa:	81%
◼️Régimen efectivo:	  2544TM
◼️Régimen general :	  2068TM
- - - - - - - - - - - - - - - - - - - - - - - - - -
🟧 CONTROL DE CALIDAD  %
 ◼️ Fe		=60.0	
 ◼️ S		=3.201	
 ◼️ H2O		= 1.70		
 ◼️ Cu	=	= -
 ◼️ Malla -3/4	= 99.0%	
- - - - - - - - - - - - - - - - - - - - - - - - - -
🟫 OPERACIONES
▫️Bombas 213-367, Flujo alto trabajando con Bomba A y B
▫️Bombas 213-341/340,fuga de agua por los sellos de ambas bombas
▫️Inspección de equipos y componentes
▫️071-712 Limpieza de cajón de descarga de tina
▫️071-706 Limpieza de pasadizo , se levanto mineral calibrado a la faja
🟫 MECANICOS
▫️Faja 071-081 (tubería de agua salada con hueco) mecánicos evaluaron tubería 4" e indicaron que realizaran la fabricación para su cambio
▫️Faja 014-031 Realizaron cambio de aceite de reductor lado motriz
▫️Rotopala  polietileno del bucket Wheel en mal estado
▫️Bombas 213-341/340,fuga de agua por los sellos en ambas bombas
🟫 FAJAS
▫️02:05/03:03:30 Intervención de fajeros en el empalme 071-801 ( colocaron jebe liquido y grapas )
🟫 DEMORAS/INCIDENCIAS
▫️1810:10/19:48 hrs  atraque MV MAIKARI
▫️19:48/20:45 traslado de gantry a la bodega #7
▫️01:48/02:05 parada por sensor de ruptura faja 071-801
▫️02:05/03:03:30 Intervención de fajeros en el empalme 071-801
▫️04:09 071-081 Falla de contactor
- - - - - - - - - - - - - - - - - - - - - - - - - -
🟦 OO.MM. 🕐 06:00 hrs
▫️ Mar   =  0.4 metros
▫️ Vien  =  4.1 nudos
▫️ Direc =  151°
- - - - - - - - - - - - - - - - - - - - - - - - - -
🟦 BARCOS EN BAHIA
🚢 ES BLUE SEA
🚢 NAVIOS MARS
🚢 CAPE PEONY</t>
  </si>
  <si>
    <t>RDO-25 SET!C213</t>
  </si>
  <si>
    <t>TRABAJOS:
029 070: Apoyo al cambio de electroválvula 
022 050: Se tenso correas de transmisión, fabricación de guarda para motor de cierre de senting
211 024: Instalación de grapas en mallas</t>
  </si>
  <si>
    <t>RDO-26 SET!C54</t>
  </si>
  <si>
    <t>RDO-26 SET!C61</t>
  </si>
  <si>
    <t>RDO-26 SET!C67</t>
  </si>
  <si>
    <t>RDO-26 SET!C77</t>
  </si>
  <si>
    <t>RDO-26 SET!C84</t>
  </si>
  <si>
    <t>RDO-26 SET!C91</t>
  </si>
  <si>
    <t>RDO-26 SET!C92</t>
  </si>
  <si>
    <t>RDO-26 SET!C98</t>
  </si>
  <si>
    <t>C-2 chute 13 al 15</t>
  </si>
  <si>
    <t>RDO-26 SET!C108</t>
  </si>
  <si>
    <t>Nivel de silos:.333 322 251</t>
  </si>
  <si>
    <t>RDO-26 SET!C109</t>
  </si>
  <si>
    <t>-Transferido = 1960 t.</t>
  </si>
  <si>
    <t>RDO-26 SET!C110</t>
  </si>
  <si>
    <t>*Faja 021-116, presento paradas continuas, se revisa contactor se ajusta líneas de fuerza.</t>
  </si>
  <si>
    <t>RDO-26 SET!C111</t>
  </si>
  <si>
    <t>032-082 paro 19:02h. por agregado de barras, se realiza 3 intentos de arrancar, presenta sobrecarga en el motor.</t>
  </si>
  <si>
    <t>RDO-26 SET!C114</t>
  </si>
  <si>
    <t>032-084 arranco 20:13h reemplazo del barras 2.</t>
  </si>
  <si>
    <t>RDO-26 SET!C115</t>
  </si>
  <si>
    <t>032-209, se amplió agujero de la malla descarga, se instaló, queda operativo.</t>
  </si>
  <si>
    <t>RDO-26 SET!C116</t>
  </si>
  <si>
    <t>213-813, presenta fuga de agua por cabezales.</t>
  </si>
  <si>
    <t>RDO-26 SET!C121</t>
  </si>
  <si>
    <t>213-808, se retira succión para cerrar cuchilla.</t>
  </si>
  <si>
    <t>RDO-26 SET!C122</t>
  </si>
  <si>
    <t>210-268 se realiza conexión eléctrica-operando.</t>
  </si>
  <si>
    <t>RDO-26 SET!C123</t>
  </si>
  <si>
    <t>039-274, se limpia chute alimentación-operando.</t>
  </si>
  <si>
    <t>RDO-26 SET!C127</t>
  </si>
  <si>
    <t>Línea 1/2/3/4: 7/7/4/parado</t>
  </si>
  <si>
    <t>RDO-26 SET!C130</t>
  </si>
  <si>
    <t>RDO-26 SET!C131</t>
  </si>
  <si>
    <t>Filtro 053-020, se cambio válvula de aire 2plg.</t>
  </si>
  <si>
    <t>RDO-26 SET!C132</t>
  </si>
  <si>
    <t>- Se dosifica floculante a los espesadores.</t>
  </si>
  <si>
    <t>RDO-26 SET!C133</t>
  </si>
  <si>
    <t>Bombas de Captación # 1,2, 3</t>
  </si>
  <si>
    <t>RDO-26 SET!C136</t>
  </si>
  <si>
    <t>Bombas de Envío a Pqt 7 # 1,2</t>
  </si>
  <si>
    <t>RDO-26 SET!C137</t>
  </si>
  <si>
    <t>RDO-26 SET!C138</t>
  </si>
  <si>
    <t>RDO-26 SET!C139</t>
  </si>
  <si>
    <t>TK Pqt 7 = 5.83 m</t>
  </si>
  <si>
    <t>RDO-26 SET!C140</t>
  </si>
  <si>
    <t>TK Filtros = 3.94 m</t>
  </si>
  <si>
    <t>RDO-26 SET!C141</t>
  </si>
  <si>
    <t>Flujo de envío a Filtros = 320 m³/h</t>
  </si>
  <si>
    <t>RDO-26 SET!C142</t>
  </si>
  <si>
    <t>Flujo de envío a Paquete 7 = 680 m³/h</t>
  </si>
  <si>
    <t>RDO-26 SET!C143</t>
  </si>
  <si>
    <t>Conductividad: 1090 us/cm.</t>
  </si>
  <si>
    <t>RDO-26 SET!C144</t>
  </si>
  <si>
    <t>Casa 2:</t>
  </si>
  <si>
    <t>RDO-26 SET!C146</t>
  </si>
  <si>
    <t>LA x L1 / 42 psi a shouxin</t>
  </si>
  <si>
    <t>RDO-26 SET!C147</t>
  </si>
  <si>
    <t>LC x L3 / 89 psi a shouxin</t>
  </si>
  <si>
    <t>RDO-26 SET!C148</t>
  </si>
  <si>
    <t>RDO-26 SET!C149</t>
  </si>
  <si>
    <t>Muelle   #3/5</t>
  </si>
  <si>
    <t>RDO-26 SET!C150</t>
  </si>
  <si>
    <t>RDO-26 SET!C151</t>
  </si>
  <si>
    <t>RDO-26 SET!C152</t>
  </si>
  <si>
    <t>** Bomba de recuperación 213-124, operando</t>
  </si>
  <si>
    <t>RDO-26 SET!C153</t>
  </si>
  <si>
    <t>M/V "MAIRAKI”</t>
  </si>
  <si>
    <t>RDO-26 SET!C155</t>
  </si>
  <si>
    <t>🟫 INICIO; 📆 25/09/2026   🕐 20:45 h</t>
  </si>
  <si>
    <t>RDO-26 SET!C156</t>
  </si>
  <si>
    <t>◼️ Producto: CDSS</t>
  </si>
  <si>
    <t>RDO-26 SET!C157</t>
  </si>
  <si>
    <t>◼️ Total abordo: 56,000 TM</t>
  </si>
  <si>
    <t>RDO-26 SET!C158</t>
  </si>
  <si>
    <t>◼️ Fe : 60.7</t>
  </si>
  <si>
    <t>RDO-26 SET!C159</t>
  </si>
  <si>
    <t>◼️ Malla -3/4 : 99.3 %</t>
  </si>
  <si>
    <t>RDO-26 SET!C160</t>
  </si>
  <si>
    <t>🟦 OO.MM. 🕐 23:00 h (Marea=0.5 metros | Viento=3.6 nudos | Dirección=168°)</t>
  </si>
  <si>
    <t>RDO-26 SET!C161</t>
  </si>
  <si>
    <t>🟦 BARCOS EN BAHIA (3)</t>
  </si>
  <si>
    <t>RDO-26 SET!C162</t>
  </si>
  <si>
    <t>1.- CRUDOS: 
C-2 chute 14 AL 15
2.- CHANCADORA:  
Nivel de silos:. 4..4.4.5.4.4.4.4.3
Línea dos en operación con dos chancadoras para los silos 1/9 del chute 12/13
Línea uno en operación con tres chancadoras para el silo 9.y 501.
-Triturado= 4291 t
-Transferido = 3648 t.</t>
  </si>
  <si>
    <t>RDO-26 SET!C165</t>
  </si>
  <si>
    <t>Cto: MF. Operando: RM: 1,3,4,5,6,7,8,9 / BM: 1,2,3,4,5,6,7,8,9,10.
-032-089: Arrancó 01:53 hrs.
-032-209: Arrancó 01:40 hrs.
-032-202: Paró 03:26 a 04:46 hrs por instalación de platina en cajón de descarga para evitar fuga de carga.</t>
  </si>
  <si>
    <t>RDO-26 SET!C171</t>
  </si>
  <si>
    <t>213-813/136: Ajustaron bridas de manguera descarga. Se prueba hermeticidad.
213-808: Mantenimiento de bomba.
210-268 Se corrige tapón de tina.
213-231: Se embona manguera de descarga.
*Se realizó agregado de medios moledores.</t>
  </si>
  <si>
    <t>RDO-26 SET!C176</t>
  </si>
  <si>
    <t>RDO-26 SET!C182</t>
  </si>
  <si>
    <t>Línea 1/2/3/4: 7/7/4/parado
Nivel de Agitadores: 007: 38% / 008: 40% / 050: vacío
Línea 1/2/3 y bombas con agua desalinizada.
- 053-022 cambio de sacas programadas
- 053-020 cambio válvula de aire de 2" y válvula solenoide
- 051-151 se alineó polea de cola
- Se dosifica floculante a los espesadores.</t>
  </si>
  <si>
    <t>RDO-26 SET!C186</t>
  </si>
  <si>
    <t>CB1=LA x L3 / 112 psi / 2600 gpm
1 horizontal / 1 verticales / poza: 3.0 m
R 2= L2 104 psi /2500 gpm / 4 horizontales 
Casa 2:
LA x L1 / 47 psi a shouxin
LC x L3 / 90 psi a shouxin
Choclón Parado.
Muelle   #5
Tk 338= 18ft
Tk 250= 27ft.
** Bomba de recuperación 213-124, operando</t>
  </si>
  <si>
    <t>RDO-26 SET!C194</t>
  </si>
  <si>
    <t>BBs de Captación # 1,2, 3
BBs de Envío a Pqt 7 # 1,2
BB de Envío a Filtros # 4
Unds SF: 12
Unds UF: 13
Unds RO: 17
TK Pqt 7 = 6.29m 
TK Filtros = 3.88m
Flujo de envío a Filtros = 750 m³/h 
Flujo de envío a Paquete 7 = 320m³/h</t>
  </si>
  <si>
    <t>RDO-26 SET!C203</t>
  </si>
  <si>
    <t>M/V "MAIRAKI”
🟫 INICIO
📆 25/09/2026   🕐 20:45 hrs
- - - - - - - - - - - - - - - - - - - - - - - - - -
🟩 DATOS DE EMBARQUE
◼️	Envío: Chute  #14 y #12 =3500TM
◼️ Producto:		CDSS	
◼️ Total a embarcar:	169000 TM
◼️ Total abordo:	  75870TM
◼️ Tonelaje por embarcar:  93130TM
- - - - - - - - - - - - - - - - - - - - - - - - - -
◼️Eficiencia:		66%
◼️Disp. Mantenimiento:	85.5%
◼️Disp. Operativa:	76%
◼️Régimen efectivo:	  2898TM
◼️Régimen general :	  2215TM
- - - - - - - - - - - - - - - - - - - - - - - - - -
🟧 CONTROL DE CALIDAD  %
 ◼️ Fe		=60.7	
 ◼️ S		=3.34	
 ◼️ H2O		= 1.15		
 ◼️ Cu	=	= 0.088
 ◼️ Malla -3/4	= 98.9%	
- - - - - - - - - - - - - - - - - - - - - - - - - -
🟫 OPERACIONES
▫️Bombas 213-367, Flujo medio trabajando con Bomba A y B
▫️Bombas 213-341/340,fuga de agua por los sellos de ambas bombas
▫️Inspección de equipos y componentes del gantry hacia las faja 071-706
▫️Faja 014-029 Liberación de retornos
▫️Faja 071-706 limpieza de retornos de la motriz hasta el chute #2  y limpieza de polea de cola
▫️Faja 014-031 Limpieza de polea dobladora
▫️Faja 071-710 limpieza de pasadizo lado cola
▫️Faja 071-801 Seguimiento constante de empalme
🟫 MECANICOS
▫️Faja 071-081 (tubería de agua salada con hueco) mecánicos evaluaron tubería 4" e indicaron que realizaran la fabricación para su cambio
▫️Rotopala  polietileno del bucket Wheel en mal estado
▫️Bombas 213-341/340,fuga de agua por los sellos en ambas bombas
🟫 FAJAS
▫️Faja 071-801 Soplo en el empalme reparado  y aberturas laterales
🟦 OO.MM. 🕐 06:00 hrs
▫️ Mar   =  0.5 metros
▫️ Vien  =  3.6 nudos
▫️ Direc =  168°
- - - - - - - - - - - - - - - - - - - - - - - - - -
🟦 BARCOS EN BAHIA
🚢 CS HANG ZHOU
🚢 NAVIOS MARS
🚢 CAPE PEONY
MUELLE NUEVO
🚢 M/V " ES BLUE SEA”
✅ INICIO 
📆 26/09/2026 🕐 18:41 hrs
- - - - - - - - - - - - - - - - - - - - -
✅ PRODUCTO = FKPS
📌 TOTAL EMBARCAR = 173,553 TM
📌 ABORDO = 43,500 TM 
📌 X EMBARCAR = 130,053 TM 
- - - - - - -  - - - - - - - - - - - - -
✅ ENVÍO
📌 ENVÍO ROTOPALA PAQ10. Pila #1. 
✅ PARADAS
📌 00:38/00:48  ROTOPALA Cambio de capa #3 a #2. 
📌 01:45/02:05 Cambio de bodega #5 a #4. 
📌 04:40/04/15 FAJA 014-029 Parada por muestreo.  
📌 04:40/05:00 Cambio de bodega #4 a #3. 
✅ OPERACIONES
📌 Inspección y operación sistema de embarque muelle 2
📌 TRABAJANDO ROTOPALA PAQ10
- - - - - - - - - - - - - - - - - - - - -
✅ CONTROL DE CALIDAD
 📌 Fe             =  69.6
 📌 S               = 0.224</t>
  </si>
  <si>
    <t>RDO-26 SET!C213</t>
  </si>
  <si>
    <t>No hubo envió de mineral.</t>
  </si>
  <si>
    <t>RDO-27 SET!C55</t>
  </si>
  <si>
    <t>Nivel de silos:413 444 322</t>
  </si>
  <si>
    <t>RDO-27 SET!C56</t>
  </si>
  <si>
    <t>-Transferido = 2085 t.</t>
  </si>
  <si>
    <t>RDO-27 SET!C57</t>
  </si>
  <si>
    <t>*Planta de mitigación, se instaló válvulas check de los secadores, por falta de personal 2 turno no se arranco equipos.</t>
  </si>
  <si>
    <t>RDO-27 SET!C58</t>
  </si>
  <si>
    <t>032-081 paro 14:14 a 14:52h por cambio reten 213-671.</t>
  </si>
  <si>
    <t>RDO-27 SET!C61</t>
  </si>
  <si>
    <t>032-082, arranco 11:09 parando 11:36h por sobrecarga-trip motor.</t>
  </si>
  <si>
    <t>RDO-27 SET!C62</t>
  </si>
  <si>
    <t>032-089 paro 10:30 a 12:28h, por baja presión de aceite.</t>
  </si>
  <si>
    <t>RDO-27 SET!C63</t>
  </si>
  <si>
    <t>032-085 paro 16:25 a 16:42h por falla en el sistema hidrostático.</t>
  </si>
  <si>
    <t>RDO-27 SET!C64</t>
  </si>
  <si>
    <t>032-084 paro 16:26 a 17:15h por falla sistema hidrostático, se cambió trasmisor.</t>
  </si>
  <si>
    <t>RDO-27 SET!C65</t>
  </si>
  <si>
    <t>032-202 paro 10:20 a 13:05h por cambio de cabezal manguera descarga 213-112.</t>
  </si>
  <si>
    <t>RDO-27 SET!C66</t>
  </si>
  <si>
    <t>210-272 cambiaron brida de 4plg.</t>
  </si>
  <si>
    <t>RDO-27 SET!C68</t>
  </si>
  <si>
    <t>213-112 cambiaron cabezal de 6plg.</t>
  </si>
  <si>
    <t>RDO-27 SET!C69</t>
  </si>
  <si>
    <t>213-808 cambiaron bocina</t>
  </si>
  <si>
    <t>RDO-27 SET!C70</t>
  </si>
  <si>
    <t>213-671 cambiaron jebe de sello, ajustaron perno de la tapa.</t>
  </si>
  <si>
    <t>RDO-27 SET!C71</t>
  </si>
  <si>
    <t>no se realiza trabajos</t>
  </si>
  <si>
    <t>RDO-27 SET!C75</t>
  </si>
  <si>
    <t>RDO-27 SET!C77</t>
  </si>
  <si>
    <t>RDO-27 SET!C78</t>
  </si>
  <si>
    <t>RDO-27 SET!C79</t>
  </si>
  <si>
    <t>051-170, se cambió polines de carga (2)</t>
  </si>
  <si>
    <t>RDO-27 SET!C80</t>
  </si>
  <si>
    <t>053-013 reponen mandil del chute agitador.</t>
  </si>
  <si>
    <t>RDO-27 SET!C81</t>
  </si>
  <si>
    <t>Se dosifica floculante a los espesadores.</t>
  </si>
  <si>
    <t>RDO-27 SET!C82</t>
  </si>
  <si>
    <t>BBs de Captación # 1,2,5</t>
  </si>
  <si>
    <t>RDO-27 SET!C84</t>
  </si>
  <si>
    <t>BBs de Envío a Pqt 7 # 1,2</t>
  </si>
  <si>
    <t>RDO-27 SET!C85</t>
  </si>
  <si>
    <t>RDO-27 SET!C86</t>
  </si>
  <si>
    <t>Unds SF: 12</t>
  </si>
  <si>
    <t>RDO-27 SET!C87</t>
  </si>
  <si>
    <t>Unds UF: 13</t>
  </si>
  <si>
    <t>RDO-27 SET!C88</t>
  </si>
  <si>
    <t>Unds RO: 17</t>
  </si>
  <si>
    <t>RDO-27 SET!C89</t>
  </si>
  <si>
    <t>RDO-27 SET!C92</t>
  </si>
  <si>
    <t>RDO-27 SET!C93</t>
  </si>
  <si>
    <t>LC x L3 / 87 psi a shouxin</t>
  </si>
  <si>
    <t>RDO-27 SET!C94</t>
  </si>
  <si>
    <t>RDO-27 SET!C95</t>
  </si>
  <si>
    <t>RDO-27 SET!C96</t>
  </si>
  <si>
    <t>RDO-27 SET!C99</t>
  </si>
  <si>
    <t>✅ INICIO:  25/09/2026 🕐 20:45 hrs</t>
  </si>
  <si>
    <t>RDO-27 SET!C100</t>
  </si>
  <si>
    <t>✅ ENVIO:📌 Chute #14 y #12= 3500 Tn.</t>
  </si>
  <si>
    <t>RDO-27 SET!C101</t>
  </si>
  <si>
    <t>📌 TOTAL EMBARCAR = 169,000 TM</t>
  </si>
  <si>
    <t>RDO-27 SET!C102</t>
  </si>
  <si>
    <t>📌 Fe             = 59.1</t>
  </si>
  <si>
    <t>RDO-27 SET!C103</t>
  </si>
  <si>
    <t>📌 m-3/4       = 98.9%</t>
  </si>
  <si>
    <t>RDO-27 SET!C104</t>
  </si>
  <si>
    <t>Nivel 223/443/332
Trit  3258
Transf 3200
Con polea arriba y abajo con tambores 
Emvio de mina
C-2
22:30 llegó mineral 
Para crudos 
L.1 en operación con tres Chanc para R Esp silos 501 y C-2 para silos 9
L.2 en operación con tres Chanc para silos de 1 al 8
L.1 17:00 hrs en operación 
23:45 parada por cambio de turno 
L.2 16:00 hrs trabajando 
00:00hrs queda trabajando</t>
  </si>
  <si>
    <t>RDO-27 SET!C108</t>
  </si>
  <si>
    <t>Cto: MF. Operando: RM: 1,3,4,5,6,7,8,9 / BM: 1,2,3,4,5,6,7,8,9,10.
032-085 paro 16:25 a 16:42h por falla en el sistema hidrostático.
032-084 paro 16:26 a 17:15h por falla sistema hidrostático, se cambió trasmisor.
032-082: Se retiró 15 barras, se probó motor en vacio amperaje dentro de parámetros normales.
TRABAJOS REALIZADOS:
032-089 se cambió sensor, válvula reguladora de presión.</t>
  </si>
  <si>
    <t>RDO-27 SET!C113</t>
  </si>
  <si>
    <t>210-272 cambiaron brida de 4plg.
213-112 cambiaron cabezal de 6plg.
213-808 cambiaron bocina
213-671 cambiaron jebe de sello, ajustaron perno de la tapa.</t>
  </si>
  <si>
    <t>RDO-27 SET!C120</t>
  </si>
  <si>
    <t>Línea 1/2/3/4: 7/7/4/parado
Nivel de Agitadores: 007: 50% / 008: 40% / 050: vacío
Línea 1/2/3 y bombas con agua desalinizada.
Se dosifica floculante a los espesadores.</t>
  </si>
  <si>
    <t>RDO-27 SET!C129</t>
  </si>
  <si>
    <t>BBs de Captación # 1,2,5
BBs de Envío a Pqt 7 # 1,2
BB de Envío a Filtros # 4
Unds SF: 12
Unds UF: 13
Unds RO: 17
TK Pqt 7 = 6.34m 
TK Filtros = 3.59m
Flujo de envío a Filtros = 384 m3/h 
Flujo de envío a Paquete 7 = 680 m3/h</t>
  </si>
  <si>
    <t>RDO-27 SET!C136</t>
  </si>
  <si>
    <t>CB1=LA x L3 / 111 psi / 2632 gpm
1 horizontal / 1 verticales / poza: 2.93 m
R 2= L2 104 psi /2619 gpm / 4 horizontales 
Casa 2:
LA x L1 / 47 psi a shouxin
LC x L3 / 87 psi a shouxin
Choclón Parado.
Muelle   #5
Tk 338= 17ft
Tk 250= 30ft.
** Bomba de recuperación 213-124, operando</t>
  </si>
  <si>
    <t>RDO-27 SET!C146</t>
  </si>
  <si>
    <t>M/V "MAIRAKI”
✅ INICIO:  25/09/2026 🕐 20:45 hrs
✅ ENVIO:📌 Chute #14 y #12= 3500 Tn. 
✅ PRODUCTO = CDSS
📌 TOTAL EMBARCAR = 169,000 TM
📌 ABORDO = 109,000 TM
- - - - - - - - - - - - - - - - - - - -
✅ CONTROL DE CALIDAD
 📌 Fe             = 59.1
 📌 S               = 3.34
 📌 H2O          = 1.15
📌 Cu             = 0.088
 📌 m-3/4       = 98.9%
- - - - - - - - - - - - - - - - - - - - -
✅ * INCIDENTES*
📌06:55/07:15; Faja 071-801; parada por activación de sensor de ruptura
📌11:16/11:50; Faja 071-801; Inspección y evaluación 
📌14:48/16:00; Faja 071-081; Se realizó limpieza de dobladora 
📌16:00/17:00; Faja 071-801; Fajeron intervienen en el empalme de la faja
📌17:00/17:40; Chute 716/081; Mecánicos intervienen en los mandiles del chute 
✅ OPERACIONES
📌 Inspección e operación sistema de embarque.
📌 BOMBA 213-367 se trabajó con bomba A/B, flujo normal. 
✅ MECANICOS
📌Faja 014-031; Mecanicos cambiaron polin de retorno #445
- - - - - - - - - - - - - - - - - - - - -
✅ OO.MM. 🕐  19:00 hrs
📌 Mar   = 0.86 metros
📌 Vien =  8.9 nodos
📌 Direc = 156
✅ BARCOS EN BAHÍA 
🚢MAIRAKI
🚢ES BLUE SEA</t>
  </si>
  <si>
    <t>RDO-27 SET!C154</t>
  </si>
  <si>
    <t>1.- CRUDOS: 
C2 a los chutes 14/15 desde las 22:30 hrs.
2.- CHANCADORA:  
Nivel de silos: 5.5.4. 4.2.3. 3.3.4.
Línea dos en operación con dos chancadoras para los silos 1/9 del chute 12/13
Línea uno en operación con tres chancadoras para el silo 9.y 501.
-Triturado= 3900 t
-Transferido = 3010 t.</t>
  </si>
  <si>
    <t>RDO-27 SET!C165</t>
  </si>
  <si>
    <t>Cto: MF. Operando: RM: 1,3,4,5,6,7,8,9 / BM: 1,2,3,4,5,6,7,8,9,10.
-032-082: Se retiró 15 barras, se probó motor en vacio amperaje dentro de parámetros normales. Se retiran 7 barras adicionalmente, entra en operación 02:31 hrs.
-032-084: Paró 02:37 hrs stand by.</t>
  </si>
  <si>
    <t>RDO-27 SET!C171</t>
  </si>
  <si>
    <t>-210-295: cambió perno roto de la base del motoreductor y ajuste de pernos centro del eje del tambor y reductor.
-213-800: Instalaron válvula de 3” en línea de ácido.
-213-431: Entra en operación en reemplazo de 213-243.
-Finisher L#7 se cambíó valvula 6” purga.
-Filtro choros linea#3, calafatean fuga de agua.</t>
  </si>
  <si>
    <t>RDO-27 SET!C176</t>
  </si>
  <si>
    <t>-039-275: Reparan paletas.</t>
  </si>
  <si>
    <t>RDO-27 SET!C182</t>
  </si>
  <si>
    <t>Línea 1/2/3/4: 7/7/4/parado
Nivel de Agitadores: 007: 36% / 008: 40% / 050: vacío
- 053-022 Mantenimiento, se vistió. Operando.
- 053-026 cambio de sacas programadas 
- 051-151 se alineo polea de cola
Línea 1/2/3 y bombas con agua desalinizada.
Se dosifica floculante a los espesadores.</t>
  </si>
  <si>
    <t>RDO-27 SET!C186</t>
  </si>
  <si>
    <t>CB1=LA x L3 / 110 psi / 2600 gpm
1 horizontal / 1 verticales / poza: 2.00 m
R 2= L2 102 psi /2600 gpm / 4 horizontales 
Casa 2:
LA x L1 / 46 psi a shouxin
LC x L3 / 90 psi a shouxin
Choclón Parado.
Muelle   #5
Tk 338= 17ft
Tk 250= 22.00ft.
** Bomba de recuperación 213-124, operando</t>
  </si>
  <si>
    <t>RDO-27 SET!C194</t>
  </si>
  <si>
    <t>BBs de Captación # 2,3
BBs de Envío a Pqt 7 # 1,2
BB de Envío a Filtros # 4
Unds SF: 12
Unds UF: 13
Unds RO: 17
TK Pqt 7 = 6.36m 
TK Filtros = 3.71m
Flujo de envío a Filtros = 365m³/h 
Flujo de envío a Paquete 7 = 740m³/h</t>
  </si>
  <si>
    <t>RDO-27 SET!C203</t>
  </si>
  <si>
    <t>M/V "MAIRAKI”
🟫 INICIO
📆 25/09/2026   🕐 20:45 hrs
- - - - - - - - - - - - - - - - - - - - - - - - - -
🟩 DATOS DE EMBARQUE
◼️	Envío: Chute  #14 y #12 =3500TM
◼️ Producto:		CDSS	
◼️ Total a embarcar:	169000 TM
◼️ Total abordo:	  123700 TM
◼️ Tonelaje por embarcar:  45300TM
- - - - - - - - - - - - - - - - - - - - - - - - - -
◼️Eficiencia:		66%
◼️Disp. Mantenimiento:	85.7%
◼️Disp. Operativa:	73%
◼️Régimen efectivo:	  2932TM
◼️Régimen general :	  2146TM
- - - - - - - - - - - - - - - - - - - - - - - - - -
🟧 CONTROL DE CALIDAD  %
 ◼️ Fe		=59.8	
 ◼️ S		=3.364
 ◼️ H2O		= 1.05		
 ◼️ Cu	=	= 0.086
 ◼️ Malla -3/4	= 98.7%	
- - - - - - - - - - - - - - - - - - - - - - - - - -
🟫 OPERACIONES
▫️Bombas 213-367, Flujo bajo trabajando con Bomba A 
▫️Bombas 213-341/340,fuga de agua por los sellos de ambas bombas
▫️Inspección de equipos y componentes del sistema de embarque
▫️Faja 071-706 Limpieza lado pasadizo del chute #11 a #13
▫️Faja 071-710 Limpieza de retorno de la polea tensora cola
🟫 MECANICOS
▫️Faja 071-081 (tubería de agua salada con hueco) mecánicos evaluaron tubería 4" e indicaron que realizaran la fabricación para su cambio
▫️Bombas 213-341/340 mantenimiento general
▫️Faja 071-081 Revestimiento de polea dobladora lado lateral en mal estado 
🟫 ELECTRICOS
18:46/18:56 Faja 071-800 falla de variador 
🟫 FAJAS
▫️Faja 071-801 Empalme en condición crítica 
🟫 DEMORAS/INCIDENCIAS
18:46/18:56 Faja 071-800 falla de variador 
18:56/19:10 Descargando fajas en local
20:28/21:05 Faja 071-712 intervención de mecánicos en el chute descarga
21:05/21:12 Faja 071-710 Activación de sensor de ruptura
22:32/23:00  Faja 071-712 Reparación de chute de descarga 
01:10/01:40  Faja 071-712 Reparación de chute de descarga 
- - - - - - - - - - - - - - - - - - - - - - - - - -
🟦 OO.MM. 🕐 06:00 hrs
▫️ Mar   =  0.5 metros
▫️ Vien  =  4.1 nudos
▫️ Direc =  163°
- - - - - - - - - - - - - - - - - - - - - - - - - -
🟦 BARCOS EN BAHIA
🚢 CS HANG ZHOU
🚢 NAVIOS MARS
🚢 CAPE PEONY
🚢 VILLARS
MUELLE NUEVO
M/V " ES BLUE SEA”
✅ PRODUCTO = FKPS
📌 TOTAL EMBARCAR = 173,553 TM
📌 ABORDO = 121,000 TM 
📌 X EMBARCAR = 52,553 TM 
- - - - - - - - - - - - - - - - - - - - -
✅ ENVÍO
📌 ENVÍO ROTOPALA PAQ10. Pila #1. 
✅ PARADAS
📌 21:36/21:44 FAJA 014-029 Parada por muestreo.  
📌 21:44/21:53  ROTOPALA Cambio de capa #1 a #2. 
📌 22:30/22:50 Cambio de bodega #2 a #3. 
📌 22:57/23:15 ROTOPALA Cambio de pila #5 a
📌 23:34/23:46 ROTOPALA Cambio de capa #1 a #2.
📌 00:26/00:55 Cambio de bodega #3 a #9. 
📌 02:00/02:10 ROTOPALA Cambio de capa #2 a #3.
📌 03:01/03:10 FAJA 014-029 Parada por muestreo.  
📌 04:10/05:15 SHIPLOADER Falla de traslación.
📌 05:15/05:40 Cambio de bodega #9 a #2. 
✅ OPERACIONES
📌 Inspección y operación sistema de embarque muelle 2
📌 TRABAJANDO ROTOPALA PAQ10
✅ CONTROL DE CALIDAD
📌 21:44/21:53  ROTOPALA Cambio de capa #1 a #2. Por control de calidad. 
📌 22:57/23:15 ROTOPALA Cambio de PILA #5 a #1. Por control de calidad. 
📌 23:34/23:46 ROTOPALA Cambio de capa #1 a #2. Por control de calidad. 
📌 02:00/02:10 ROTOPALA Cambio de capa #2 a #3. Por control de calidad. 
- - - - - - - - - - - - - - - - - - - - -
✅ CONTROL DE CALIDAD
 📌 Fe             =  70.1
 📌 S               = 0.222
 📌 Cu             = 0.002
 📌 H2O          = 7.21
 📌 Na2O        =0.055
 📌 K2O          =0.022
 📌 Alcalis      = 0.077
 📌 Zn             = 0.007</t>
  </si>
  <si>
    <t>RDO-27 SET!C213</t>
  </si>
  <si>
    <t>TRABAJOS:
021-037: Se pego empalme.</t>
  </si>
  <si>
    <t>RDO-28 SET!C54</t>
  </si>
  <si>
    <t>RDO-28 SET!C61</t>
  </si>
  <si>
    <t>RDO-28 SET!C62</t>
  </si>
  <si>
    <t>RDO-28 SET!C63</t>
  </si>
  <si>
    <t>RDO-28 SET!C64</t>
  </si>
  <si>
    <t>RDO-28 SET!C65</t>
  </si>
  <si>
    <t>RDO-28 SET!C66</t>
  </si>
  <si>
    <t>RDO-28 SET!C68</t>
  </si>
  <si>
    <t>RDO-28 SET!C69</t>
  </si>
  <si>
    <t>RDO-28 SET!C70</t>
  </si>
  <si>
    <t>RDO-28 SET!C71</t>
  </si>
  <si>
    <t>RDO-28 SET!C75</t>
  </si>
  <si>
    <t>7/7/4/0
*Filtro 053-026: Mantenimiento programado.
*Faja 051-185: Se repone polín vertical de retorno.
*Faja 051-170: Se cambió 3 polines cargadores.
*Faja 051-151: Se cambia 1 polín cargador.
*Faja 071-051: Personal de instrumentación realiza la calibración de la balanza.
*Filtro 053-035: Se cambia niple de sello lado "A".
*Bomba 213-333: Se realiza revisión de poleas y fajas en "V"
Linea 1-2-3 al 100% agua desalinizada
Bombas de vacio linea 1-2-3 con agua desalinizada</t>
  </si>
  <si>
    <t>RDO-28 SET!C77</t>
  </si>
  <si>
    <t>1. Toma de SDI de 5 y 15 minutos : OUT SF, IN RO,IN F.C.
2. ⁠Se realiza la inspeccion de membranas y rotacion en RO#4.
3. Se realiza la inspeccion, contrastacion, y calibracion de sensor de ORP in RO.
4. Mantenimiento de bomba SDI de carro portatil de medicion
5. Ajuste de bridas de lineas de dosificacion de hipoclorito en captacion.
6. Se continua con el mantenimiento del techo del contenedor UF #09
7. Se preparara 600 k de coagulante ferrico</t>
  </si>
  <si>
    <t>RDO-28 SET!C84</t>
  </si>
  <si>
    <t>Orden y Limpieza de area de emisor submarino</t>
  </si>
  <si>
    <t>RDO-28 SET!C91</t>
  </si>
  <si>
    <t>RDO-28 SET!C92</t>
  </si>
  <si>
    <t>RDO-28 SET!C93</t>
  </si>
  <si>
    <t>RDO-28 SET!C94</t>
  </si>
  <si>
    <t>RDO-28 SET!C95</t>
  </si>
  <si>
    <t>RDO-28 SET!C96</t>
  </si>
  <si>
    <t>RDO-28 SET!C99</t>
  </si>
  <si>
    <t>RDO-28 SET!C100</t>
  </si>
  <si>
    <t>RDO-28 SET!C101</t>
  </si>
  <si>
    <t>RDO-28 SET!C102</t>
  </si>
  <si>
    <t>RDO-28 SET!C103</t>
  </si>
  <si>
    <t>RDO-28 SET!C104</t>
  </si>
  <si>
    <t>C2 a los chutes 14/15.</t>
  </si>
  <si>
    <t>RDO-28 SET!C108</t>
  </si>
  <si>
    <t>Nivel de silos: 422 323 234</t>
  </si>
  <si>
    <t>RDO-28 SET!C109</t>
  </si>
  <si>
    <t>-Transferido = 2010 t.</t>
  </si>
  <si>
    <t>RDO-28 SET!C110</t>
  </si>
  <si>
    <t>032-202, retirando pernos del tromell, se habilita bombas de alta y baja para el giro.</t>
  </si>
  <si>
    <t>RDO-28 SET!C114</t>
  </si>
  <si>
    <t>032-082, cambiaron 2 forros Shell, se está calafateando forros.</t>
  </si>
  <si>
    <t>RDO-28 SET!C115</t>
  </si>
  <si>
    <t>210-100, se instaló nuevo tambor-se lubrico, pendiente conexión eléctrica.</t>
  </si>
  <si>
    <t>RDO-28 SET!C121</t>
  </si>
  <si>
    <t>213-800, se arrancó por salir de servicio 213-231.</t>
  </si>
  <si>
    <t>RDO-28 SET!C122</t>
  </si>
  <si>
    <t>039-288, cambio de válvulas de agua.</t>
  </si>
  <si>
    <t>RDO-28 SET!C127</t>
  </si>
  <si>
    <t>Línea 1/2/3/4: 7/6/4/parado</t>
  </si>
  <si>
    <t>RDO-28 SET!C130</t>
  </si>
  <si>
    <t>051-170, se alinea polea de cabeza.</t>
  </si>
  <si>
    <t>RDO-28 SET!C131</t>
  </si>
  <si>
    <t>053-026, se vistió con sacas nuevas.</t>
  </si>
  <si>
    <t>RDO-28 SET!C132</t>
  </si>
  <si>
    <t>RDO-28 SET!C133</t>
  </si>
  <si>
    <t>Bombas de Captación # 1,2,3</t>
  </si>
  <si>
    <t>RDO-28 SET!C136</t>
  </si>
  <si>
    <t>RDO-28 SET!C137</t>
  </si>
  <si>
    <t>RDO-28 SET!C138</t>
  </si>
  <si>
    <t>RDO-28 SET!C139</t>
  </si>
  <si>
    <t>TK Pqt 7 = 6.20m</t>
  </si>
  <si>
    <t>RDO-28 SET!C140</t>
  </si>
  <si>
    <t>TK Filtros = 2.55m</t>
  </si>
  <si>
    <t>RDO-28 SET!C141</t>
  </si>
  <si>
    <t>Flujo de envío a Filtros = 380m³/h</t>
  </si>
  <si>
    <t>RDO-28 SET!C142</t>
  </si>
  <si>
    <t>Flujo de envío a Paquete 7 = 690m³/h</t>
  </si>
  <si>
    <t>RDO-28 SET!C143</t>
  </si>
  <si>
    <t>Conductividad: 1043 us/cm.</t>
  </si>
  <si>
    <t>RDO-28 SET!C144</t>
  </si>
  <si>
    <t>RDO-28 SET!C146</t>
  </si>
  <si>
    <t>LA x L1 / 57 psi a shouxin</t>
  </si>
  <si>
    <t>RDO-28 SET!C147</t>
  </si>
  <si>
    <t>LC x L3 / 88 psi a shouxin</t>
  </si>
  <si>
    <t>RDO-28 SET!C148</t>
  </si>
  <si>
    <t>RDO-28 SET!C149</t>
  </si>
  <si>
    <t>RDO-28 SET!C150</t>
  </si>
  <si>
    <t>RDO-28 SET!C151</t>
  </si>
  <si>
    <t>RDO-28 SET!C152</t>
  </si>
  <si>
    <t>RDO-28 SET!C153</t>
  </si>
  <si>
    <t>RDO-28 SET!C155</t>
  </si>
  <si>
    <t>🟩 INICIO: 25/09/2026   🕐 20:45 h.</t>
  </si>
  <si>
    <t>RDO-28 SET!C156</t>
  </si>
  <si>
    <t>◼️ Total abordo (23:00 hrs): 154,500 TM</t>
  </si>
  <si>
    <t>RDO-28 SET!C157</t>
  </si>
  <si>
    <t>RDO-28 SET!C158</t>
  </si>
  <si>
    <t>◼️ Fe : 59.7</t>
  </si>
  <si>
    <t>RDO-28 SET!C159</t>
  </si>
  <si>
    <t>◼️ -3/4 : 98.8</t>
  </si>
  <si>
    <t>RDO-28 SET!C160</t>
  </si>
  <si>
    <t>▫️(22:10/22:28), Mecánicos regulan mandil faja 071-081/108</t>
  </si>
  <si>
    <t>RDO-28 SET!C161</t>
  </si>
  <si>
    <t>🟦 OO.MM. 🕐 23:00 h. (Marea=3/4 metros | Viento=16 nudos | Dirección=160°)</t>
  </si>
  <si>
    <t>RDO-28 SET!C162</t>
  </si>
  <si>
    <t>🟦 BARCOS EN BAHIA (5)</t>
  </si>
  <si>
    <t>RDO-28 SET!C163</t>
  </si>
  <si>
    <t>1.- CRUDOS: 
C2 a los chutes 14/15
2.- CHANCADORA:  
Nivel de silos: 4.1.4. 4.4.4. 4.4.4.
Línea dos en operación con dos chancadoras para los silos 1/9 del chute 12/13
Línea uno en operación con tres chancadoras para el silo 9.y 501.
-Triturado= 3940 t
-Transferido = 3550 t.</t>
  </si>
  <si>
    <t>RDO-28 SET!C165</t>
  </si>
  <si>
    <t>Cto: MF. Operando: RM: 1,3,4,5,6,7,8,9 / BM: 1,3,4,5,6,7,8,9,10.
-032-084: Paró 01:47 a 03:04 hrs por fuga de carga por sello bomba 213-651
TRABAJOS REALIZADOS:
-032-202: Se continuó retirando pernos del tromell, se giró molino. Habilitado de platina para modificación de cajón de descarga.
-032-082: Se culminó calafateo de forros de tapas.</t>
  </si>
  <si>
    <t>RDO-28 SET!C171</t>
  </si>
  <si>
    <t>-213-651: Desatoran manguera de sello, cambian jebe rojo.
-213-212: Se realizó cambio de forros, impulsor, pendiente cambio de cilindro.
-213-404: Instalación de tubo de succión.
-213-216: Reponen pernos de brida de descarga.
-210-296: reparan perforación en cuello de tina.
-210-100: Se agregó aceite a reductor.
-212-148: Se desatoro ciclones.
-213-808: Desatoro de agua de sello.</t>
  </si>
  <si>
    <t>RDO-28 SET!C176</t>
  </si>
  <si>
    <t>-039-284E: cambio de fajas en mal estado.</t>
  </si>
  <si>
    <t>RDO-28 SET!C182</t>
  </si>
  <si>
    <t>Línea 1/2/3/4: 7/7/4/parado
Nivel de Agitadores: 007: 46% / 008: 40% / 050: vacío
Línea 1/2/3 y bombas con agua desalinizada.
- 053-027 cambió de sacas programadas 
- 051-170 se alineo polea de cabeza</t>
  </si>
  <si>
    <t>RDO-28 SET!C186</t>
  </si>
  <si>
    <t>CB1=LA x L3 / 110 psi / 2700 gpm
1 horizontal / 1 verticales / poza: 2.0 m
R 2= L2 103 psi /2500 gpm / 4 horizontales 
Casa 2:
LA x L1 / 56 psi a shouxin
LC x L3 / 87 psi a shouxin
Choclón Parado.
Muelle   #5
Tk 338= 18ft
Tk 250= 29ft.
** Bomba de recuperación 213-124, operando</t>
  </si>
  <si>
    <t>RDO-28 SET!C194</t>
  </si>
  <si>
    <t>BBs de Captación # 2,3
BBs de Envío a Pqt 7 # 1,2
BB de Envío a Filtros # 4
Unds SF: 12
Unds UF: 13
Unds RO: 17
TK Pqt 7 = 5.85m 
TK Filtros = 5.15m
Flujo de envío a Filtros = 350m³/h 
Flujo de envío a Paquete 7 = 680m³/h
**Conductividad: 1040 us/cm.</t>
  </si>
  <si>
    <t>RDO-28 SET!C203</t>
  </si>
  <si>
    <t>🚢 M/V "MAIRAKI”
🟩 INICIO
📆 25/09/2026   🕐 20:45 hrs
🟩 ENVIO Z.A
◼️	(19:00/19:00): Chute #12 y #14
🟩 DATOS DE EMBARQUE
◼️ Producto             :	CDSS	
◼️ Total a embarcar:	169,000 TM
◼️ Total abordo (07:00 hrs): 170,000 TM
- - - - - - - - - - - - - - - - - - - - - - - - - -
▫️Eficiencia:		67%
▫️Disp. Mantenimiento:	88.7%
▫️Disp. Operativa:	74%
▫️Régimen efectivo:	2,940 TM
▫️Régimen general :	2,178 TM
- - - - - - - - - - - - - - - - - - - - - - - - - -
🟧 CONTROL DE CALIDAD  %
 ◼️ Fe		=	59.7
 ◼️ S		=	3.364
 ◼️ Cu		= 	0.087
 ◼️ H2O		= 	1.04
 ◼️ Na2O	= 	---
 ◼️ K2O		=	---
 ◼️ Álcalis	=	----
 ◼️ -3/4	=	98.8
- - - - - - - - - - - - - - - - - - - - - - - - - -
🟫 DEMORAS
▫️(22:10/22:28), Mecánicos regulan mandil faja 071-081/108.
▫️(23:20/24:00), Movimiento de barco.
▫️(00:05/00:10), Desalineamiento de faja 071-801.
▫️(00:15/00:30), Operaciones cortan lengüeta de faja 071-801.
▫️(01:45/02:00), Mecánicos colocan plancha en hueco de chute 071-716.
▫️(04:24/04:45), Demora por el primer oficial.
🟫 OPERACIONES
▫️ Inspección en todo sistema de embarque 
- - - - - - - - - - - - - - - - - - - - - - - - - -
🟦 OO.MM. 🕐 07:00 hrs
▫️ Mar   =  0.5 metros
▫️ Vien  =  6.2 nudos
▫️ Direc =  163°
🟦 BARCOS EN BAHIA
🚢 CS HAN ZHOU
🚢 CAPE PEONY
🚢 NAVIOS MARS
🚢 VILLARS</t>
  </si>
  <si>
    <t>RDO-28 SET!C213</t>
  </si>
  <si>
    <t>TRABAJOS:
211-126: Se cambio malla 3/4 x 1/2 se coloco usada con grampa.
020-124: Se repuso pernos al plato.
021-045 a 021-047: Cambio ducto de succion.</t>
  </si>
  <si>
    <t>RDO-29 SET!C54</t>
  </si>
  <si>
    <t>RDO-29 SET!C61</t>
  </si>
  <si>
    <t>RDO-29 SET!C62</t>
  </si>
  <si>
    <t>RDO-29 SET!C63</t>
  </si>
  <si>
    <t>RDO-29 SET!C64</t>
  </si>
  <si>
    <t>RDO-29 SET!C65</t>
  </si>
  <si>
    <t>RDO-29 SET!C66</t>
  </si>
  <si>
    <t>RDO-29 SET!C68</t>
  </si>
  <si>
    <t>RDO-29 SET!C69</t>
  </si>
  <si>
    <t>RDO-29 SET!C70</t>
  </si>
  <si>
    <t>RDO-29 SET!C71</t>
  </si>
  <si>
    <t>RDO-29 SET!C75</t>
  </si>
  <si>
    <t>6/8/4/3
*Filtro 053-027: Mantenimiento programado.
*Faja 051-172: Se cambió 1 polín de retorno y 1 polín cargador.
*Bomba 213-409: Se realiza limpieza mecánica y pintado.
*Faja 051-186: Se activa switch de ruptura, sistema de frenado no acciona y se desalinea la faja, paro 1 hora y media, se alinea la faja, queda trabajando.
Linea 1-2-3-4 al 100% agua desalinizada
Bombas de vacio linea 1-2-3 con agua desalinizada</t>
  </si>
  <si>
    <t>RDO-29 SET!C77</t>
  </si>
  <si>
    <t>1. Se continua con la toma de SDI de 5 y 15 minutos: OUT SF, IN RO, IN F.C,. 
2. Limpieza del sensor de ORP en línea.
3. Se continua con la reparación de tubería de inox UF#12.
4. ⁠Instalación de luminarias UF#11 y 12
5. Verificación de la válvula de inyección de floculante en la línea ingreso de SF 
6. Inicio de la limpieza química de la UF#11
7. Etapa de calentamiento para la etapa acida en el SKID de limpieza</t>
  </si>
  <si>
    <t>RDO-29 SET!C84</t>
  </si>
  <si>
    <t>Limpieza del stock auxiliar con Bot Cat</t>
  </si>
  <si>
    <t>RDO-29 SET!C91</t>
  </si>
  <si>
    <t>RDO-29 SET!C92</t>
  </si>
  <si>
    <t>RDO-29 SET!C93</t>
  </si>
  <si>
    <t>RDO-29 SET!C94</t>
  </si>
  <si>
    <t>RDO-29 SET!C95</t>
  </si>
  <si>
    <t>RDO-29 SET!C96</t>
  </si>
  <si>
    <t>RDO-29 SET!C99</t>
  </si>
  <si>
    <t>RDO-29 SET!C100</t>
  </si>
  <si>
    <t>RDO-29 SET!C101</t>
  </si>
  <si>
    <t>RDO-29 SET!C102</t>
  </si>
  <si>
    <t>RDO-29 SET!C103</t>
  </si>
  <si>
    <t>RDO-29 SET!C104</t>
  </si>
  <si>
    <t>RDO-29 SET!C114</t>
  </si>
  <si>
    <t>RDO-29 SET!C115</t>
  </si>
  <si>
    <t>RDO-29 SET!C121</t>
  </si>
  <si>
    <t>RDO-29 SET!C122</t>
  </si>
  <si>
    <t>RDO-29 SET!C127</t>
  </si>
  <si>
    <t>RDO-29 SET!C130</t>
  </si>
  <si>
    <t>RDO-29 SET!C131</t>
  </si>
  <si>
    <t>RDO-29 SET!C132</t>
  </si>
  <si>
    <t>RDO-29 SET!C133</t>
  </si>
  <si>
    <t>RDO-29 SET!C136</t>
  </si>
  <si>
    <t>RDO-29 SET!C137</t>
  </si>
  <si>
    <t>RDO-29 SET!C138</t>
  </si>
  <si>
    <t>RDO-29 SET!C139</t>
  </si>
  <si>
    <t>RDO-29 SET!C140</t>
  </si>
  <si>
    <t>RDO-29 SET!C141</t>
  </si>
  <si>
    <t>RDO-29 SET!C142</t>
  </si>
  <si>
    <t>RDO-29 SET!C143</t>
  </si>
  <si>
    <t>RDO-29 SET!C144</t>
  </si>
  <si>
    <t>RDO-29 SET!C146</t>
  </si>
  <si>
    <t>RDO-29 SET!C147</t>
  </si>
  <si>
    <t>RDO-29 SET!C148</t>
  </si>
  <si>
    <t>RDO-29 SET!C149</t>
  </si>
  <si>
    <t>RDO-29 SET!C150</t>
  </si>
  <si>
    <t>RDO-29 SET!C151</t>
  </si>
  <si>
    <t>RDO-29 SET!C152</t>
  </si>
  <si>
    <t>RDO-29 SET!C153</t>
  </si>
  <si>
    <t>RDO-29 SET!C155</t>
  </si>
  <si>
    <t>RDO-29 SET!C156</t>
  </si>
  <si>
    <t>RDO-29 SET!C157</t>
  </si>
  <si>
    <t>RDO-29 SET!C158</t>
  </si>
  <si>
    <t>RDO-29 SET!C159</t>
  </si>
  <si>
    <t>RDO-29 SET!C160</t>
  </si>
  <si>
    <t>RDO-29 SET!C161</t>
  </si>
  <si>
    <t>RDO-29 SET!C162</t>
  </si>
  <si>
    <t>RDO-29 SET!C163</t>
  </si>
  <si>
    <t>1.- CRUDOS: 
C2 a los chutes 10 al 15
2.- CHANCADORA:  
Nivel de silos: 222/233/134
Línea dos en operación con dos chancadoras para los silos 1/9 del chute 12/13
Línea uno en operación con tres chancadoras para el silo 9.y 501.
-Triturado= 1568 t
-Transferido = 1500 t.</t>
  </si>
  <si>
    <t>RDO-29 SET!C165</t>
  </si>
  <si>
    <t>Cto: MF. Operando: RM: 1,2,3,4,5,6,8,9 / BM: 1,3,4,5,6,7,8,9,10.
-032-082: Arrancó 01:21 hrs en reemplazo Rm07.
-032-087: Paró 01:27 hrs por aberturas en malla trommel.
TRABAJOS REALIZADOS:
-032-202: Se traslada nuevo trommel a planta. Realizan esmerilado y soldeo de pernos de malla, en proceso de instalación.
-032-087: Reparan malla de trommel.</t>
  </si>
  <si>
    <t>RDO-29 SET!C171</t>
  </si>
  <si>
    <t>-213-112: Terminaron mantenimiento de bomba.
-213-122: Cambio de bomba completa.</t>
  </si>
  <si>
    <t>RDO-29 SET!C176</t>
  </si>
  <si>
    <t>-039-277: Retiro de soplador para mantenimiento.</t>
  </si>
  <si>
    <t>RDO-29 SET!C182</t>
  </si>
  <si>
    <t>Línea 1/2/3/4: 6/7/4/parado
Nivel de Agitadores: 007: 36% / 008: 40% / 050: vacío
Línea 1/2/3 y bombas con agua desalinizada.
-053- 025: cambio de, sacas programadas
-051-170/182: se alineó fajas
-053-046/047: se cambió niple de tubería de sello
- 053-049 se cambió niple sello lado B</t>
  </si>
  <si>
    <t>RDO-29 SET!C186</t>
  </si>
  <si>
    <t>CB1=L A x L1 / 116 psi / 2120 gpm
L B x L3 / 109 psi / 2850 gpm
1  horizontal / 1 verticales
Poza   2.85
R 2= L2 91 psi /2780 gpm / 3 horizontales 
Casa 2:
LA x L1 / 47 psi a Shx
LC x L2 / 88 psi a  choclon
LB x L3 / 99 psi a Sxh
Choclón Parado.
Muelle   #3/12
Tk 338= 17ft
Tk 250= 26ft.
** Bomba de recuperación 213-124, operando</t>
  </si>
  <si>
    <t>RDO-29 SET!C194</t>
  </si>
  <si>
    <t>BBs de Captación # 2,3
BBs de Envío a Pqt 7 # 1,2
BB de Envío a Filtros # 4
Unds SF: 10
Unds UF: 11
Unds RO: 15
TK Pqt 7 = 5.10m 
TK Filtros = 3.18m
Flujo de envío a Filtros = 290m3/h 
Flujo de envío a Paquete 7 = 680m3/h
- Reparación de tubería PVC de línea de producto en RO14 y RO 17
- Limpieza química UF#11 finalizada
Conductividad: 1027 uS/cm.</t>
  </si>
  <si>
    <t>RDO-29 SET!C203</t>
  </si>
  <si>
    <t>MUELLE 1
OPERACIONES 
◼️ Se realizó limpieza de loza de cola de faja 071-108 y 081
FAJAS
◼️Faja 071-801, fajeros culminan con el vulcanizado del empalme.
MECANICOS
◼️Faja 071-801, inician con la instalación de bastidores
MUELLE 2
🚢 M/V "CS HANG ZHOU”
🟫 INICIO
📆 29/09/2026   🕐 15:15 hrs
🟩 DATOS DE EMBARQUE
◼️	Embarque: Rotopala y BeltFeeder 2, 2 tractores.
◼️ Producto:		FKPS	
◼️ Total a embarcar:	177138 TM
◼️ Total abordo:	 34500 TM
◼️ Tonelaje jornada:	19000 TM
- - - - - - - - - - - - - - - - - - - - - - - - - -
◼️Eficiencia:	 77 %
◼️Disp. Mantenimiento:	85.6 %
◼️Disp. Operativa:	73 %
◼️Régimen efectivo:	 6124 TM
◼️Régimen general:	 4452 TM
- - - - - - - - - - - - - - - - - - - - - - - - - -
🟧 CONTROL DE CALIDAD  %
 ◼️ S		=	0.225
 ◼️ H2O	=	7.81
🟦 OO.MM. 🕐 07:00 hrs
▫️ Mar   =0.3 metros
▫️ Vien  =6.2 nudos
▫️ Direc =163°
🟦 BARCOS EN BAHIA
🚢 CAPE PEONY
🚢 NAVIOS MARS
🚢 VILLARS</t>
  </si>
  <si>
    <t>RDO-29 SET!C213</t>
  </si>
  <si>
    <t>23/09/2026 al 30/09/2026</t>
  </si>
  <si>
    <t>(horas)</t>
  </si>
  <si>
    <t>23/09: 4 horas</t>
  </si>
  <si>
    <t>Actualización desde el archivo 'SETIEMBRE-REPORTES … TRABAJOS MANTTO. (1).xlsx' (29/09/2026)</t>
  </si>
  <si>
    <t>24/09/2026 al 29/09/2026</t>
  </si>
  <si>
    <t>REACTIVOS, TONELADAS, AGREGADO, CARGA, FILTROS, PURGA</t>
  </si>
  <si>
    <t>757 filas nuevas</t>
  </si>
  <si>
    <t>Modificación</t>
  </si>
  <si>
    <t>REACTIVOS|Espumante|Consumo día</t>
  </si>
  <si>
    <t>2500</t>
  </si>
  <si>
    <t>2000</t>
  </si>
  <si>
    <t>Actualización desde el archivo 'SETIEMBRE-REPORTES … TRABAJOS MANTTO. (1).xlsx' (29/09/2026) · corrección en el origen (total del día 48.800 → 48.300)</t>
  </si>
  <si>
    <t>AGREGADO MEDIOS|CONOS 30X35</t>
  </si>
  <si>
    <t>0</t>
  </si>
  <si>
    <t>12</t>
  </si>
  <si>
    <t>AGREGADO MEDIOS|CONOS 40X50 BM4</t>
  </si>
  <si>
    <t>6</t>
  </si>
  <si>
    <t>AGREGADO MEDIOS|CONOS 40X50 BM6</t>
  </si>
  <si>
    <t>26/09/2026 al 28/09/2026</t>
  </si>
  <si>
    <t>(eventos)</t>
  </si>
  <si>
    <t>3 eventos nuevos</t>
  </si>
  <si>
    <t>tblRDO</t>
  </si>
  <si>
    <t>23/09/2026 al 29/09/2026</t>
  </si>
  <si>
    <t>(valores)</t>
  </si>
  <si>
    <t>1.533 filas (7 días × 219)</t>
  </si>
  <si>
    <t>tblBitacora</t>
  </si>
  <si>
    <t>(líneas)</t>
  </si>
  <si>
    <t>358 líneas</t>
  </si>
  <si>
    <t>22/09/2026</t>
  </si>
  <si>
    <t>21/09/2026</t>
  </si>
  <si>
    <t>175 filas del 23 al 30/09 (23/09 completado a 24 h; 30/09 solo 7 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</si>
</sst>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43" formatCode="_-* #,##0.00_-;\-* #,##0.00_-;_-* &quot;-&quot;??_-;_-@_-"/>
    <numFmt numFmtId="164" formatCode="_(* #,##0.00_);_(* \(#,##0.00\);_(* &quot;-&quot;??_);_(@_)"/>
    <numFmt numFmtId="165" formatCode="0.0"/>
    <numFmt numFmtId="166" formatCode="0.000"/>
    <numFmt numFmtId="167" formatCode="#,##0.0"/>
    <numFmt numFmtId="168" formatCode="0.0%"/>
    <numFmt numFmtId="169" formatCode="0.000%"/>
    <numFmt numFmtId="170" formatCode="_-* #,##0_-;\-* #,##0_-;_-* &quot;-&quot;??_-;_-@_-"/>
    <numFmt numFmtId="171" formatCode="#,##0.000"/>
    <numFmt numFmtId="172" formatCode="[$-409]m/d/yy\ h:mm\ AM/PM;@"/>
    <numFmt numFmtId="173" formatCode="0.0000"/>
    <numFmt numFmtId="174" formatCode="#,##0.0000"/>
    <numFmt numFmtId="175" formatCode="[$$-540A]#,##0"/>
    <numFmt numFmtId="176" formatCode="[$$-409]#,##0.00"/>
    <numFmt numFmtId="177" formatCode="#,##0_ ;\-#,##0\ "/>
    <numFmt numFmtId="178" formatCode="#,##0.00_ ;\-#,##0.00\ "/>
    <numFmt numFmtId="179" formatCode="&quot;&lt;= &quot;0"/>
    <numFmt numFmtId="180" formatCode="#,##0;\(#,##0\);\-"/>
    <numFmt numFmtId="181" formatCode="hh:mm"/>
    <numFmt numFmtId="182" formatCode="#,##0.###"/>
    <numFmt numFmtId="183" formatCode="dd/mm/yyyy\ hh:mm"/>
    <numFmt numFmtId="184" formatCode="d/m/yyyy"/>
    <numFmt numFmtId="185" formatCode="General&quot; h&quot;"/>
    <numFmt numFmtId="186" formatCode="@&quot; — Programa de limpieza diaria de filtros de H2O&quot;"/>
    <numFmt numFmtId="187" formatCode="@&quot; — Purga de tanques de aire comprimido - planta magnética&quot;"/>
    <numFmt numFmtId="188" formatCode="@&quot; — Cumplimiento de limpieza de separadores magnéticos Cobber&quot;"/>
    <numFmt numFmtId="189" formatCode="@&quot; — Producción horaria de concentrado (24 h desde la hora de inicio de Config)&quot;"/>
    <numFmt numFmtId="190" formatCode="dd/mm"/>
    <numFmt numFmtId="191" formatCode="\+0.0;\-0.0;0.0"/>
    <numFmt numFmtId="192" formatCode="\+0%;\-0%;0%"/>
    <numFmt numFmtId="193" formatCode="m/d/yyyy"/>
  </numFmts>
  <fonts count="170">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6"/>
      <color theme="1"/>
      <name val="Calibri"/>
      <family val="2"/>
    </font>
    <font>
      <b/>
      <sz val="11"/>
      <color theme="1"/>
      <name val="Calibri"/>
      <family val="2"/>
    </font>
    <font>
      <b/>
      <sz val="12"/>
      <color theme="1"/>
      <name val="Calibri"/>
      <family val="2"/>
    </font>
    <font>
      <sz val="11"/>
      <color theme="1"/>
      <name val="Calibri"/>
      <family val="2"/>
    </font>
    <font>
      <sz val="11"/>
      <color rgb="FF000000"/>
      <name val="Calibri"/>
      <family val="2"/>
    </font>
    <font>
      <sz val="20"/>
      <color theme="1"/>
      <name val="Calibri"/>
      <family val="2"/>
    </font>
    <font>
      <b/>
      <i/>
      <sz val="12"/>
      <color theme="1"/>
      <name val="Calibri"/>
      <family val="2"/>
    </font>
    <font>
      <b/>
      <sz val="9"/>
      <color theme="0"/>
      <name val="Arial "/>
    </font>
    <font>
      <sz val="10"/>
      <color theme="1"/>
      <name val="Calibri"/>
      <family val="2"/>
    </font>
    <font>
      <sz val="11"/>
      <color rgb="FFFF0000"/>
      <name val="Calibri"/>
      <family val="2"/>
      <scheme val="minor"/>
    </font>
    <font>
      <sz val="11"/>
      <color rgb="FFFF0000"/>
      <name val="Calibri"/>
      <family val="2"/>
    </font>
    <font>
      <sz val="11"/>
      <color theme="1"/>
      <name val="Calibri"/>
      <family val="2"/>
      <charset val="1"/>
    </font>
    <font>
      <sz val="11"/>
      <color rgb="FF242424"/>
      <name val="Aptos Narrow"/>
      <family val="2"/>
    </font>
    <font>
      <sz val="10"/>
      <color rgb="FF000000"/>
      <name val="Century Gothic"/>
      <family val="2"/>
    </font>
    <font>
      <sz val="18"/>
      <color rgb="FF000000"/>
      <name val="Century Gothic"/>
      <family val="2"/>
    </font>
    <font>
      <b/>
      <sz val="18"/>
      <color rgb="FF000000"/>
      <name val="Calibri"/>
      <family val="2"/>
    </font>
    <font>
      <sz val="11"/>
      <color rgb="FF000000"/>
      <name val="Calibri"/>
      <family val="2"/>
      <scheme val="minor"/>
    </font>
    <font>
      <sz val="12"/>
      <color rgb="FF000000"/>
      <name val="Calibri"/>
      <family val="2"/>
    </font>
    <font>
      <b/>
      <sz val="11"/>
      <color theme="1"/>
      <name val="Calibri"/>
      <family val="2"/>
      <scheme val="minor"/>
    </font>
    <font>
      <b/>
      <sz val="11"/>
      <color theme="0"/>
      <name val="Calibri"/>
      <family val="2"/>
      <scheme val="minor"/>
    </font>
    <font>
      <b/>
      <sz val="14"/>
      <color rgb="FFFFFFFF"/>
      <name val="Arial Black"/>
      <family val="2"/>
    </font>
    <font>
      <sz val="11"/>
      <color theme="0"/>
      <name val="Calibri"/>
      <family val="2"/>
      <scheme val="minor"/>
    </font>
    <font>
      <u/>
      <sz val="11"/>
      <color theme="10"/>
      <name val="Calibri"/>
      <family val="2"/>
      <scheme val="minor"/>
    </font>
    <font>
      <b/>
      <sz val="11"/>
      <color theme="0"/>
      <name val="Calibri"/>
      <family val="2"/>
    </font>
    <font>
      <b/>
      <sz val="16"/>
      <color theme="0"/>
      <name val="Calibri"/>
      <family val="2"/>
      <scheme val="minor"/>
    </font>
    <font>
      <b/>
      <i/>
      <sz val="11"/>
      <color rgb="FF000000"/>
      <name val="Calibri"/>
      <family val="2"/>
    </font>
    <font>
      <b/>
      <sz val="12"/>
      <color theme="0"/>
      <name val="Calibri"/>
      <family val="2"/>
    </font>
    <font>
      <b/>
      <sz val="9"/>
      <color rgb="FFFFFFFF"/>
      <name val="Arial"/>
      <family val="2"/>
    </font>
    <font>
      <sz val="14"/>
      <color rgb="FFFFFFFF"/>
      <name val="Arial Black"/>
      <family val="2"/>
    </font>
    <font>
      <b/>
      <sz val="9"/>
      <color theme="1"/>
      <name val="Arial"/>
      <family val="2"/>
    </font>
    <font>
      <b/>
      <sz val="11"/>
      <color rgb="FF000000"/>
      <name val="Calibri"/>
      <family val="2"/>
      <scheme val="minor"/>
    </font>
    <font>
      <b/>
      <sz val="14"/>
      <name val="Arial"/>
      <family val="2"/>
    </font>
    <font>
      <b/>
      <sz val="10"/>
      <color rgb="FF000000"/>
      <name val="Century Gothic"/>
      <family val="2"/>
    </font>
    <font>
      <b/>
      <sz val="10"/>
      <color theme="1"/>
      <name val="Century Gothic"/>
      <family val="2"/>
    </font>
    <font>
      <b/>
      <sz val="11"/>
      <color rgb="FFFFFFFF"/>
      <name val="Calibri"/>
      <family val="2"/>
    </font>
    <font>
      <b/>
      <sz val="16"/>
      <color theme="1"/>
      <name val="Calibri"/>
      <family val="2"/>
      <scheme val="minor"/>
    </font>
    <font>
      <sz val="12"/>
      <color rgb="FF000000"/>
      <name val="Calibri"/>
      <family val="2"/>
      <scheme val="minor"/>
    </font>
    <font>
      <sz val="14"/>
      <color rgb="FF000000"/>
      <name val="Calibri"/>
      <family val="2"/>
      <scheme val="minor"/>
    </font>
    <font>
      <b/>
      <sz val="11"/>
      <color rgb="FF000000"/>
      <name val="Calibri"/>
      <family val="2"/>
      <charset val="1"/>
    </font>
    <font>
      <b/>
      <sz val="11"/>
      <color rgb="FFFF0000"/>
      <name val="Calibri"/>
      <family val="2"/>
    </font>
    <font>
      <sz val="11"/>
      <color theme="0"/>
      <name val="Calibri"/>
      <family val="2"/>
    </font>
    <font>
      <b/>
      <sz val="10"/>
      <name val="Arial"/>
      <family val="2"/>
    </font>
    <font>
      <b/>
      <sz val="9"/>
      <name val="Arial"/>
      <family val="2"/>
    </font>
    <font>
      <b/>
      <sz val="8"/>
      <name val="Arial"/>
      <family val="2"/>
    </font>
    <font>
      <sz val="10"/>
      <name val="Arial"/>
      <family val="2"/>
    </font>
    <font>
      <b/>
      <sz val="7"/>
      <name val="Arial"/>
      <family val="2"/>
    </font>
    <font>
      <sz val="11"/>
      <color theme="1"/>
      <name val="Segoe UI Symbol"/>
      <family val="2"/>
      <charset val="1"/>
    </font>
    <font>
      <sz val="11"/>
      <color theme="1"/>
      <name val="Calibri"/>
      <family val="2"/>
      <scheme val="minor"/>
    </font>
    <font>
      <sz val="11"/>
      <color theme="1"/>
      <name val="Gadugi"/>
      <family val="2"/>
    </font>
    <font>
      <sz val="10"/>
      <color theme="1"/>
      <name val="Gadugi"/>
      <family val="2"/>
    </font>
    <font>
      <b/>
      <sz val="11"/>
      <color theme="1"/>
      <name val="Gadugi"/>
      <family val="2"/>
    </font>
    <font>
      <b/>
      <sz val="12"/>
      <color theme="1"/>
      <name val="Gadugi"/>
      <family val="2"/>
    </font>
    <font>
      <b/>
      <sz val="14"/>
      <color theme="1"/>
      <name val="微软雅黑"/>
      <charset val="134"/>
    </font>
    <font>
      <b/>
      <sz val="14"/>
      <color theme="1"/>
      <name val="Gadugi"/>
      <family val="2"/>
    </font>
    <font>
      <b/>
      <sz val="14"/>
      <color rgb="FF0070C0"/>
      <name val="Gadugi"/>
      <family val="2"/>
    </font>
    <font>
      <b/>
      <sz val="14"/>
      <color rgb="FF002060"/>
      <name val="Gadugi"/>
      <family val="2"/>
    </font>
    <font>
      <sz val="14"/>
      <color theme="4" tint="-0.249977111117893"/>
      <name val="Gadugi"/>
      <family val="2"/>
    </font>
    <font>
      <sz val="14"/>
      <color theme="1"/>
      <name val="Gadugi"/>
      <family val="2"/>
    </font>
    <font>
      <b/>
      <u/>
      <sz val="14"/>
      <name val="Gadugi"/>
      <family val="2"/>
    </font>
    <font>
      <b/>
      <u/>
      <sz val="12"/>
      <name val="Gadugi"/>
      <family val="2"/>
    </font>
    <font>
      <b/>
      <sz val="10"/>
      <color theme="0"/>
      <name val="Gadugi"/>
      <family val="2"/>
    </font>
    <font>
      <b/>
      <sz val="12"/>
      <color theme="4" tint="-0.249977111117893"/>
      <name val="Gadugi"/>
      <family val="2"/>
    </font>
    <font>
      <b/>
      <sz val="10"/>
      <color theme="4" tint="-0.249977111117893"/>
      <name val="Gadugi"/>
      <family val="2"/>
    </font>
    <font>
      <b/>
      <sz val="10"/>
      <color rgb="FFFF0000"/>
      <name val="Gadugi"/>
      <family val="2"/>
    </font>
    <font>
      <b/>
      <sz val="10"/>
      <color theme="8"/>
      <name val="Gadugi"/>
      <family val="2"/>
    </font>
    <font>
      <sz val="10"/>
      <name val="Gadugi"/>
      <family val="2"/>
    </font>
    <font>
      <b/>
      <sz val="10"/>
      <color rgb="FF0070C0"/>
      <name val="Gadugi"/>
      <family val="2"/>
    </font>
    <font>
      <sz val="14"/>
      <color rgb="FF000000"/>
      <name val="Times New Roman"/>
      <family val="1"/>
    </font>
    <font>
      <b/>
      <sz val="10"/>
      <color theme="1"/>
      <name val="Gadugi"/>
      <family val="2"/>
    </font>
    <font>
      <b/>
      <sz val="14"/>
      <color rgb="FF000000"/>
      <name val="微软雅黑"/>
      <charset val="134"/>
    </font>
    <font>
      <b/>
      <sz val="7"/>
      <color theme="0"/>
      <name val="微软雅黑"/>
    </font>
    <font>
      <b/>
      <sz val="9"/>
      <color theme="0"/>
      <name val="Arial Narrow"/>
      <family val="2"/>
    </font>
    <font>
      <b/>
      <sz val="7"/>
      <name val="微软雅黑"/>
    </font>
    <font>
      <sz val="7"/>
      <color theme="1"/>
      <name val="Arial "/>
    </font>
    <font>
      <sz val="7"/>
      <name val="Arial "/>
    </font>
    <font>
      <b/>
      <sz val="9"/>
      <name val="微软雅黑"/>
    </font>
    <font>
      <b/>
      <sz val="9"/>
      <name val="Calibri"/>
      <family val="2"/>
      <scheme val="minor"/>
    </font>
    <font>
      <sz val="9"/>
      <color theme="1"/>
      <name val="Calibri"/>
      <family val="2"/>
      <scheme val="minor"/>
    </font>
    <font>
      <b/>
      <sz val="9"/>
      <color theme="1"/>
      <name val="Calibri"/>
      <family val="2"/>
      <scheme val="minor"/>
    </font>
    <font>
      <sz val="16"/>
      <color theme="1"/>
      <name val="微软雅黑"/>
    </font>
    <font>
      <b/>
      <sz val="16"/>
      <color theme="1"/>
      <name val="微软雅黑"/>
    </font>
    <font>
      <sz val="16"/>
      <color theme="1"/>
      <name val="微软雅黑"/>
      <charset val="134"/>
    </font>
    <font>
      <b/>
      <sz val="16"/>
      <color rgb="FF002060"/>
      <name val="微软雅黑"/>
    </font>
    <font>
      <b/>
      <sz val="16"/>
      <color rgb="FF002060"/>
      <name val="微软雅黑"/>
      <charset val="1"/>
    </font>
    <font>
      <b/>
      <sz val="16"/>
      <color rgb="FF0070C0"/>
      <name val="微软雅黑"/>
    </font>
    <font>
      <sz val="16"/>
      <color rgb="FF0070C0"/>
      <name val="微软雅黑"/>
    </font>
    <font>
      <sz val="16"/>
      <color rgb="FF0070C0"/>
      <name val="微软雅黑"/>
      <charset val="1"/>
    </font>
    <font>
      <b/>
      <sz val="16"/>
      <color theme="4" tint="-0.249977111117893"/>
      <name val="微软雅黑"/>
    </font>
    <font>
      <sz val="16"/>
      <color theme="1"/>
      <name val="微软雅黑"/>
      <charset val="1"/>
    </font>
    <font>
      <b/>
      <sz val="20"/>
      <color theme="1"/>
      <name val="微软雅黑"/>
    </font>
    <font>
      <b/>
      <sz val="16"/>
      <color theme="0"/>
      <name val="微软雅黑"/>
    </font>
    <font>
      <b/>
      <sz val="16"/>
      <color theme="0"/>
      <name val="微软雅黑"/>
      <charset val="1"/>
    </font>
    <font>
      <b/>
      <sz val="16"/>
      <color rgb="FFFFFFFF"/>
      <name val="微软雅黑"/>
    </font>
    <font>
      <b/>
      <sz val="16"/>
      <name val="微软雅黑"/>
    </font>
    <font>
      <sz val="16"/>
      <name val="微软雅黑"/>
    </font>
    <font>
      <b/>
      <sz val="16"/>
      <color theme="1"/>
      <name val="微软雅黑"/>
      <charset val="134"/>
    </font>
    <font>
      <b/>
      <sz val="16"/>
      <color rgb="FFFF0000"/>
      <name val="微软雅黑"/>
    </font>
    <font>
      <b/>
      <sz val="16"/>
      <name val="微软雅黑"/>
      <charset val="1"/>
    </font>
    <font>
      <sz val="16"/>
      <color rgb="FF000000"/>
      <name val="微软雅黑"/>
    </font>
    <font>
      <b/>
      <sz val="20"/>
      <name val="微软雅黑"/>
      <charset val="1"/>
    </font>
    <font>
      <b/>
      <sz val="16"/>
      <color rgb="FF000000"/>
      <name val="微软雅黑"/>
    </font>
    <font>
      <sz val="11"/>
      <color theme="1"/>
      <name val="Arial"/>
      <family val="2"/>
      <charset val="1"/>
    </font>
    <font>
      <sz val="11"/>
      <color rgb="FF000000"/>
      <name val="Arial"/>
      <family val="2"/>
      <charset val="1"/>
    </font>
    <font>
      <sz val="10"/>
      <color rgb="FF000000"/>
      <name val="Arial"/>
      <family val="2"/>
      <charset val="1"/>
    </font>
    <font>
      <sz val="8"/>
      <color rgb="FF000000"/>
      <name val="Arial"/>
      <family val="2"/>
      <charset val="1"/>
    </font>
    <font>
      <sz val="12"/>
      <color theme="1"/>
      <name val="Calibri"/>
      <family val="2"/>
      <charset val="1"/>
    </font>
    <font>
      <sz val="11"/>
      <color theme="1"/>
      <name val="MS Gothic"/>
      <family val="3"/>
    </font>
    <font>
      <i/>
      <sz val="11"/>
      <color rgb="FF595959"/>
      <name val="Calibri"/>
      <family val="2"/>
      <scheme val="minor"/>
    </font>
    <font>
      <b/>
      <sz val="11"/>
      <color rgb="FFFFFFFF"/>
      <name val="Calibri"/>
      <family val="2"/>
      <scheme val="minor"/>
    </font>
    <font>
      <b/>
      <sz val="11"/>
      <color theme="1"/>
      <name val="Calibri"/>
      <family val="2"/>
      <scheme val="minor"/>
    </font>
    <font>
      <b/>
      <sz val="12"/>
      <color rgb="FF1F3864"/>
      <name val="Calibri"/>
      <family val="2"/>
      <scheme val="minor"/>
    </font>
    <font>
      <b/>
      <sz val="14"/>
      <color rgb="FF1F3864"/>
      <name val="Calibri"/>
      <family val="2"/>
      <scheme val="minor"/>
    </font>
    <font>
      <sz val="11"/>
      <color rgb="FF0000FF"/>
      <name val="Calibri"/>
      <family val="2"/>
      <scheme val="minor"/>
    </font>
    <font>
      <sz val="11"/>
      <color rgb="FF000000"/>
      <name val="Calibri"/>
      <family val="2"/>
      <scheme val="minor"/>
    </font>
    <font>
      <i/>
      <sz val="9"/>
      <color rgb="FF595959"/>
      <name val="Calibri"/>
      <family val="2"/>
      <scheme val="minor"/>
    </font>
    <font>
      <sz val="11"/>
      <color rgb="FF008000"/>
      <name val="Calibri"/>
      <family val="2"/>
      <scheme val="minor"/>
    </font>
    <font>
      <sz val="11"/>
      <color rgb="FF008000"/>
      <name val="Calibri"/>
      <family val="2"/>
    </font>
    <font>
      <b/>
      <sz val="10"/>
      <color rgb="FF0000FF"/>
      <name val="Calibri"/>
      <family val="2"/>
      <scheme val="minor"/>
    </font>
    <font>
      <b/>
      <sz val="11"/>
      <color rgb="FFFFFFFF"/>
      <name val="Calibri"/>
      <family val="2"/>
      <scheme val="minor"/>
    </font>
    <font>
      <sz val="11"/>
      <color rgb="FF0000FF"/>
      <name val="Calibri"/>
      <family val="2"/>
      <scheme val="minor"/>
    </font>
    <font>
      <b/>
      <sz val="14"/>
      <color rgb="FF1F3864"/>
      <name val="Calibri"/>
      <family val="2"/>
      <scheme val="minor"/>
    </font>
    <font>
      <i/>
      <sz val="11"/>
      <color rgb="FF595959"/>
      <name val="Calibri"/>
      <family val="2"/>
      <scheme val="minor"/>
    </font>
    <font>
      <sz val="11"/>
      <color rgb="FF808080"/>
      <name val="Calibri"/>
      <family val="2"/>
      <scheme val="minor"/>
    </font>
    <font>
      <b/>
      <sz val="12"/>
      <color rgb="FF1F3864"/>
      <name val="Calibri"/>
      <family val="2"/>
      <scheme val="minor"/>
    </font>
    <font>
      <sz val="11"/>
      <color rgb="FF008000"/>
      <name val="Calibri"/>
      <family val="2"/>
      <scheme val="minor"/>
    </font>
    <font>
      <b/>
      <sz val="11"/>
      <color rgb="FF0000FF"/>
      <name val="Calibri"/>
      <family val="2"/>
      <scheme val="minor"/>
    </font>
    <font>
      <sz val="11"/>
      <color rgb="FF7F7F7F"/>
      <name val="Calibri"/>
      <family val="2"/>
      <scheme val="minor"/>
    </font>
    <font>
      <i/>
      <sz val="11"/>
      <color theme="1"/>
      <name val="Calibri"/>
      <family val="2"/>
      <scheme val="minor"/>
    </font>
    <font>
      <i/>
      <sz val="11"/>
      <color rgb="FF7F7F7F"/>
      <name val="Calibri"/>
      <family val="2"/>
      <scheme val="minor"/>
    </font>
    <font>
      <i/>
      <sz val="9"/>
      <color rgb="FF7F7F7F"/>
      <name val="Calibri"/>
      <family val="2"/>
      <scheme val="minor"/>
    </font>
    <font>
      <b/>
      <sz val="14"/>
      <color rgb="FF1F3864"/>
      <name val="Calibri"/>
      <scheme val="minor"/>
    </font>
    <font>
      <sz val="11"/>
      <color rgb="FF595959"/>
      <name val="Calibri"/>
      <scheme val="minor"/>
    </font>
    <font>
      <b/>
      <sz val="12"/>
      <color rgb="FF1F3864"/>
      <name val="Calibri"/>
      <scheme val="minor"/>
    </font>
    <font>
      <b/>
      <sz val="11"/>
      <color rgb="FFFFFFFF"/>
      <name val="Calibri"/>
      <scheme val="minor"/>
    </font>
    <font>
      <sz val="11"/>
      <color rgb="FF0000FF"/>
      <name val="Calibri"/>
      <scheme val="minor"/>
    </font>
    <font>
      <b/>
      <sz val="11"/>
      <color theme="0"/>
      <name val="Calibri"/>
      <scheme val="minor"/>
    </font>
    <font>
      <b/>
      <sz val="11"/>
      <color theme="1"/>
      <name val="Calibri"/>
      <scheme val="minor"/>
    </font>
    <font>
      <i/>
      <sz val="9"/>
      <color rgb="FF595959"/>
      <name val="Calibri"/>
      <scheme val="minor"/>
    </font>
    <font>
      <sz val="11"/>
      <color rgb="FF000000"/>
      <name val="Calibri"/>
      <scheme val="minor"/>
    </font>
    <font>
      <b/>
      <sz val="12"/>
      <color theme="1"/>
      <name val="Calibri"/>
      <scheme val="minor"/>
    </font>
    <font>
      <sz val="10"/>
      <color rgb="FF1F3864"/>
      <name val="Calibri"/>
      <scheme val="minor"/>
    </font>
    <font>
      <b/>
      <sz val="10"/>
      <color rgb="FF1F3864"/>
      <name val="Calibri"/>
      <scheme val="minor"/>
    </font>
    <font>
      <b/>
      <sz val="10"/>
      <color rgb="FF7F7F7F"/>
      <name val="Calibri"/>
      <scheme val="minor"/>
    </font>
    <font>
      <i/>
      <sz val="11"/>
      <color rgb="FF595959"/>
      <name val="Calibri"/>
      <scheme val="minor"/>
    </font>
    <font>
      <b/>
      <sz val="12"/>
      <color rgb="FF0000FF"/>
      <name val="Calibri"/>
      <scheme val="minor"/>
    </font>
    <font>
      <b/>
      <sz val="11"/>
      <color rgb="FF0000FF"/>
      <name val="Calibri"/>
      <family val="2"/>
    </font>
    <font>
      <sz val="11"/>
      <color rgb="FF0000FF"/>
      <name val="Arial"/>
      <family val="2"/>
      <charset val="1"/>
    </font>
    <font>
      <i/>
      <sz val="9"/>
      <color rgb="FF7F7F7F"/>
      <name val="Calibri"/>
      <scheme val="minor"/>
    </font>
    <font>
      <b/>
      <sz val="11"/>
      <color rgb="FF000000"/>
      <name val="Calibri"/>
      <scheme val="minor"/>
    </font>
    <font>
      <i/>
      <sz val="11"/>
      <color rgb="FF000000"/>
      <name val="Calibri"/>
      <scheme val="minor"/>
    </font>
    <font>
      <b/>
      <sz val="12"/>
      <color rgb="FF000000"/>
      <name val="Calibri"/>
      <scheme val="minor"/>
    </font>
    <font>
      <b/>
      <sz val="16"/>
      <color theme="1"/>
      <name val="Calibri"/>
      <scheme val="minor"/>
    </font>
    <font>
      <b/>
      <i/>
      <sz val="9"/>
      <color rgb="FF595959"/>
      <name val="Calibri"/>
      <scheme val="minor"/>
    </font>
    <font>
      <u/>
      <sz val="11"/>
      <color theme="10"/>
      <name val="Calibri"/>
      <scheme val="minor"/>
    </font>
    <font>
      <sz val="9"/>
      <color rgb="FF595959"/>
      <name val="Calibri"/>
      <scheme val="minor"/>
    </font>
    <font>
      <sz val="9"/>
      <color rgb="FF7F7F7F"/>
      <name val="Calibri"/>
      <scheme val="minor"/>
    </font>
    <font>
      <sz val="11"/>
      <color rgb="FF008000"/>
      <name val="Calibri"/>
      <scheme val="minor"/>
    </font>
    <font>
      <b/>
      <sz val="11"/>
      <color rgb="FF008000"/>
      <name val="Calibri"/>
      <scheme val="minor"/>
    </font>
    <font>
      <b/>
      <sz val="10"/>
      <color rgb="FF0000FF"/>
      <name val="Gadugi"/>
      <family val="2"/>
    </font>
    <font>
      <i/>
      <sz val="9"/>
      <color rgb="FF595959"/>
      <name val="Gadugi"/>
      <family val="2"/>
    </font>
    <font>
      <sz val="10"/>
      <color rgb="FF0000FF"/>
      <name val="Gadugi"/>
      <family val="2"/>
    </font>
    <font>
      <i/>
      <sz val="9"/>
      <color rgb="FF595959"/>
      <name val="微软雅黑"/>
    </font>
    <font>
      <b/>
      <sz val="18"/>
      <color theme="1"/>
      <name val="Calibri"/>
      <scheme val="minor"/>
    </font>
    <font>
      <sz val="10"/>
      <color theme="1"/>
      <name val="Calibri"/>
      <scheme val="minor"/>
    </font>
  </fonts>
  <fills count="49">
    <fill>
      <patternFill patternType="none"/>
    </fill>
    <fill>
      <patternFill patternType="gray125"/>
    </fill>
    <fill>
      <patternFill patternType="solid">
        <fgColor rgb="FFBFBFBF"/>
        <bgColor rgb="FFBFBFBF"/>
      </patternFill>
    </fill>
    <fill>
      <patternFill patternType="solid">
        <fgColor rgb="FFD8D8D8"/>
        <bgColor rgb="FFD8D8D8"/>
      </patternFill>
    </fill>
    <fill>
      <patternFill patternType="solid">
        <fgColor theme="0"/>
        <bgColor theme="0"/>
      </patternFill>
    </fill>
    <fill>
      <patternFill patternType="solid">
        <fgColor rgb="FFBDD6EE"/>
        <bgColor rgb="FFBDD6EE"/>
      </patternFill>
    </fill>
    <fill>
      <patternFill patternType="solid">
        <fgColor rgb="FFFFFF00"/>
        <bgColor rgb="FFFFFF00"/>
      </patternFill>
    </fill>
    <fill>
      <patternFill patternType="solid">
        <fgColor theme="0" tint="-4.9989318521683403E-2"/>
        <bgColor indexed="64"/>
      </patternFill>
    </fill>
    <fill>
      <patternFill patternType="solid">
        <fgColor theme="0"/>
        <bgColor indexed="64"/>
      </patternFill>
    </fill>
    <fill>
      <patternFill patternType="solid">
        <fgColor rgb="FFFFFFFF"/>
        <bgColor rgb="FF000000"/>
      </patternFill>
    </fill>
    <fill>
      <patternFill patternType="solid">
        <fgColor rgb="FFD9D9D9"/>
        <bgColor rgb="FF000000"/>
      </patternFill>
    </fill>
    <fill>
      <patternFill patternType="solid">
        <fgColor theme="4" tint="-0.249977111117893"/>
        <bgColor indexed="64"/>
      </patternFill>
    </fill>
    <fill>
      <patternFill patternType="solid">
        <fgColor rgb="FF92D050"/>
        <bgColor indexed="64"/>
      </patternFill>
    </fill>
    <fill>
      <patternFill patternType="solid">
        <fgColor theme="1"/>
        <bgColor indexed="64"/>
      </patternFill>
    </fill>
    <fill>
      <patternFill patternType="solid">
        <fgColor theme="4"/>
        <bgColor indexed="64"/>
      </patternFill>
    </fill>
    <fill>
      <patternFill patternType="solid">
        <fgColor theme="4" tint="0.79998168889431442"/>
        <bgColor indexed="64"/>
      </patternFill>
    </fill>
    <fill>
      <patternFill patternType="solid">
        <fgColor theme="7"/>
        <bgColor indexed="64"/>
      </patternFill>
    </fill>
    <fill>
      <patternFill patternType="solid">
        <fgColor rgb="FF0070C0"/>
        <bgColor rgb="FF000000"/>
      </patternFill>
    </fill>
    <fill>
      <patternFill patternType="solid">
        <fgColor rgb="FFFFFFFF"/>
        <bgColor rgb="FFDCE6F1"/>
      </patternFill>
    </fill>
    <fill>
      <patternFill patternType="solid">
        <fgColor rgb="FFFAB4BE"/>
        <bgColor indexed="64"/>
      </patternFill>
    </fill>
    <fill>
      <patternFill patternType="solid">
        <fgColor rgb="FFFFFF00"/>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rgb="FF808080"/>
        <bgColor rgb="FF000000"/>
      </patternFill>
    </fill>
    <fill>
      <patternFill patternType="solid">
        <fgColor theme="0" tint="-0.249977111117893"/>
        <bgColor indexed="64"/>
      </patternFill>
    </fill>
    <fill>
      <patternFill patternType="solid">
        <fgColor theme="4" tint="0.59999389629810485"/>
        <bgColor indexed="64"/>
      </patternFill>
    </fill>
    <fill>
      <patternFill patternType="solid">
        <fgColor theme="9" tint="0.79998168889431442"/>
        <bgColor indexed="64"/>
      </patternFill>
    </fill>
    <fill>
      <patternFill patternType="darkTrellis">
        <fgColor rgb="FF000000"/>
      </patternFill>
    </fill>
    <fill>
      <patternFill patternType="solid">
        <fgColor indexed="65"/>
        <bgColor rgb="FF000000"/>
      </patternFill>
    </fill>
    <fill>
      <patternFill patternType="lightGrid">
        <fgColor rgb="FF000000"/>
        <bgColor rgb="FFFFFFFF"/>
      </patternFill>
    </fill>
    <fill>
      <patternFill patternType="darkVertical">
        <fgColor rgb="FF000000"/>
        <bgColor rgb="FFFFFFFF"/>
      </patternFill>
    </fill>
    <fill>
      <patternFill patternType="darkHorizontal">
        <fgColor rgb="FF000000"/>
        <bgColor rgb="FFFFFFFF"/>
      </patternFill>
    </fill>
    <fill>
      <patternFill patternType="lightTrellis">
        <fgColor rgb="FF000000"/>
        <bgColor rgb="FFFFFFFF"/>
      </patternFill>
    </fill>
    <fill>
      <patternFill patternType="solid">
        <fgColor theme="8" tint="-0.249977111117893"/>
        <bgColor indexed="64"/>
      </patternFill>
    </fill>
    <fill>
      <patternFill patternType="solid">
        <fgColor rgb="FF7030A0"/>
        <bgColor indexed="64"/>
      </patternFill>
    </fill>
    <fill>
      <patternFill patternType="solid">
        <fgColor theme="2"/>
        <bgColor indexed="64"/>
      </patternFill>
    </fill>
    <fill>
      <patternFill patternType="solid">
        <fgColor rgb="FF66FFFF"/>
        <bgColor indexed="64"/>
      </patternFill>
    </fill>
    <fill>
      <patternFill patternType="solid">
        <fgColor theme="5"/>
        <bgColor indexed="64"/>
      </patternFill>
    </fill>
    <fill>
      <patternFill patternType="solid">
        <fgColor rgb="FF2F5496"/>
        <bgColor rgb="FF2F5496"/>
      </patternFill>
    </fill>
    <fill>
      <patternFill patternType="solid">
        <fgColor rgb="FF305496"/>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rgb="FF1F3864"/>
        <bgColor indexed="64"/>
      </patternFill>
    </fill>
    <fill>
      <patternFill patternType="solid">
        <fgColor rgb="FFF2F2F2"/>
        <bgColor indexed="64"/>
      </patternFill>
    </fill>
    <fill>
      <patternFill patternType="solid">
        <fgColor rgb="FFFFFFFF"/>
        <bgColor indexed="64"/>
      </patternFill>
    </fill>
    <fill>
      <patternFill patternType="solid">
        <fgColor theme="4"/>
        <bgColor theme="4"/>
      </patternFill>
    </fill>
    <fill>
      <patternFill patternType="solid">
        <fgColor rgb="FFFFF2CC"/>
        <bgColor indexed="64"/>
      </patternFill>
    </fill>
    <fill>
      <patternFill patternType="solid">
        <fgColor rgb="FFD9D9D9"/>
        <bgColor indexed="64"/>
      </patternFill>
    </fill>
    <fill>
      <patternFill patternType="solid">
        <fgColor rgb="FFD8D8D8"/>
        <bgColor indexed="64"/>
      </patternFill>
    </fill>
  </fills>
  <borders count="206">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style="thin">
        <color rgb="FF000000"/>
      </top>
      <bottom/>
      <diagonal/>
    </border>
    <border>
      <left/>
      <right style="thin">
        <color rgb="FF000000"/>
      </right>
      <top/>
      <bottom/>
      <diagonal/>
    </border>
    <border>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rgb="FF000000"/>
      </top>
      <bottom style="thin">
        <color rgb="FF000000"/>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style="medium">
        <color rgb="FF000000"/>
      </left>
      <right style="medium">
        <color rgb="FF000000"/>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indexed="64"/>
      </left>
      <right/>
      <top style="medium">
        <color indexed="64"/>
      </top>
      <bottom/>
      <diagonal/>
    </border>
    <border>
      <left style="medium">
        <color rgb="FF000000"/>
      </left>
      <right/>
      <top style="medium">
        <color rgb="FF000000"/>
      </top>
      <bottom style="medium">
        <color rgb="FF000000"/>
      </bottom>
      <diagonal/>
    </border>
    <border>
      <left style="thin">
        <color indexed="64"/>
      </left>
      <right style="thin">
        <color indexed="64"/>
      </right>
      <top style="thin">
        <color rgb="FF000000"/>
      </top>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medium">
        <color rgb="FF000000"/>
      </right>
      <top/>
      <bottom style="thin">
        <color rgb="FF000000"/>
      </bottom>
      <diagonal/>
    </border>
    <border>
      <left style="medium">
        <color rgb="FF000000"/>
      </left>
      <right/>
      <top style="medium">
        <color rgb="FF000000"/>
      </top>
      <bottom style="thin">
        <color rgb="FF000000"/>
      </bottom>
      <diagonal/>
    </border>
    <border>
      <left style="medium">
        <color rgb="FF000000"/>
      </left>
      <right style="thin">
        <color rgb="FF000000"/>
      </right>
      <top/>
      <bottom style="thin">
        <color rgb="FF000000"/>
      </bottom>
      <diagonal/>
    </border>
    <border>
      <left/>
      <right style="thin">
        <color rgb="FF000000"/>
      </right>
      <top style="thin">
        <color indexed="64"/>
      </top>
      <bottom style="thin">
        <color indexed="64"/>
      </bottom>
      <diagonal/>
    </border>
    <border>
      <left style="thin">
        <color indexed="64"/>
      </left>
      <right style="thin">
        <color indexed="64"/>
      </right>
      <top/>
      <bottom/>
      <diagonal/>
    </border>
    <border>
      <left/>
      <right style="thin">
        <color rgb="FF000000"/>
      </right>
      <top style="thin">
        <color indexed="64"/>
      </top>
      <bottom/>
      <diagonal/>
    </border>
    <border>
      <left style="thin">
        <color indexed="64"/>
      </left>
      <right/>
      <top/>
      <bottom style="thin">
        <color rgb="FF000000"/>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
      <left style="thin">
        <color rgb="FF000000"/>
      </left>
      <right style="medium">
        <color rgb="FF000000"/>
      </right>
      <top/>
      <bottom style="medium">
        <color rgb="FF000000"/>
      </bottom>
      <diagonal/>
    </border>
    <border>
      <left/>
      <right style="thin">
        <color rgb="FF000000"/>
      </right>
      <top/>
      <bottom style="medium">
        <color rgb="FF000000"/>
      </bottom>
      <diagonal/>
    </border>
    <border>
      <left style="medium">
        <color rgb="FF000000"/>
      </left>
      <right style="thin">
        <color indexed="64"/>
      </right>
      <top/>
      <bottom style="thin">
        <color indexed="64"/>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style="thin">
        <color rgb="FF000000"/>
      </right>
      <top style="medium">
        <color rgb="FF000000"/>
      </top>
      <bottom style="thin">
        <color rgb="FF000000"/>
      </bottom>
      <diagonal/>
    </border>
    <border>
      <left/>
      <right style="medium">
        <color rgb="FF000000"/>
      </right>
      <top style="medium">
        <color indexed="64"/>
      </top>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bottom style="medium">
        <color indexed="64"/>
      </bottom>
      <diagonal/>
    </border>
    <border>
      <left/>
      <right/>
      <top style="medium">
        <color indexed="64"/>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medium">
        <color theme="1"/>
      </left>
      <right style="medium">
        <color theme="1"/>
      </right>
      <top/>
      <bottom style="thin">
        <color indexed="64"/>
      </bottom>
      <diagonal/>
    </border>
    <border>
      <left style="medium">
        <color theme="1"/>
      </left>
      <right/>
      <top style="medium">
        <color theme="1"/>
      </top>
      <bottom style="thin">
        <color indexed="64"/>
      </bottom>
      <diagonal/>
    </border>
    <border>
      <left style="medium">
        <color theme="1"/>
      </left>
      <right/>
      <top/>
      <bottom style="thin">
        <color indexed="64"/>
      </bottom>
      <diagonal/>
    </border>
    <border>
      <left style="medium">
        <color theme="1"/>
      </left>
      <right/>
      <top/>
      <bottom style="medium">
        <color theme="1"/>
      </bottom>
      <diagonal/>
    </border>
    <border>
      <left style="medium">
        <color theme="1"/>
      </left>
      <right/>
      <top style="medium">
        <color theme="1"/>
      </top>
      <bottom style="medium">
        <color theme="1"/>
      </bottom>
      <diagonal/>
    </border>
    <border>
      <left style="medium">
        <color theme="1"/>
      </left>
      <right/>
      <top style="medium">
        <color theme="1"/>
      </top>
      <bottom/>
      <diagonal/>
    </border>
    <border>
      <left/>
      <right/>
      <top style="medium">
        <color theme="1"/>
      </top>
      <bottom style="thin">
        <color indexed="64"/>
      </bottom>
      <diagonal/>
    </border>
    <border>
      <left style="medium">
        <color theme="1"/>
      </left>
      <right/>
      <top style="thin">
        <color indexed="64"/>
      </top>
      <bottom style="thin">
        <color indexed="64"/>
      </bottom>
      <diagonal/>
    </border>
    <border>
      <left style="medium">
        <color rgb="FF000000"/>
      </left>
      <right style="medium">
        <color rgb="FF000000"/>
      </right>
      <top style="medium">
        <color theme="1"/>
      </top>
      <bottom style="thin">
        <color indexed="64"/>
      </bottom>
      <diagonal/>
    </border>
    <border>
      <left style="medium">
        <color theme="1"/>
      </left>
      <right style="thin">
        <color indexed="64"/>
      </right>
      <top style="medium">
        <color theme="1"/>
      </top>
      <bottom style="thin">
        <color indexed="64"/>
      </bottom>
      <diagonal/>
    </border>
    <border>
      <left/>
      <right style="thin">
        <color indexed="64"/>
      </right>
      <top style="medium">
        <color theme="1"/>
      </top>
      <bottom style="thin">
        <color indexed="64"/>
      </bottom>
      <diagonal/>
    </border>
    <border>
      <left/>
      <right style="medium">
        <color indexed="64"/>
      </right>
      <top style="medium">
        <color theme="1"/>
      </top>
      <bottom style="thin">
        <color indexed="64"/>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right style="medium">
        <color theme="1"/>
      </right>
      <top style="medium">
        <color theme="1"/>
      </top>
      <bottom style="thin">
        <color indexed="64"/>
      </bottom>
      <diagonal/>
    </border>
    <border>
      <left/>
      <right style="medium">
        <color theme="1"/>
      </right>
      <top style="thin">
        <color indexed="64"/>
      </top>
      <bottom style="thin">
        <color indexed="64"/>
      </bottom>
      <diagonal/>
    </border>
    <border>
      <left style="medium">
        <color theme="1"/>
      </left>
      <right/>
      <top style="thin">
        <color indexed="64"/>
      </top>
      <bottom style="medium">
        <color theme="1"/>
      </bottom>
      <diagonal/>
    </border>
    <border>
      <left/>
      <right style="medium">
        <color theme="1"/>
      </right>
      <top style="thin">
        <color indexed="64"/>
      </top>
      <bottom style="medium">
        <color theme="1"/>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right/>
      <top style="medium">
        <color theme="1"/>
      </top>
      <bottom style="medium">
        <color theme="1"/>
      </bottom>
      <diagonal/>
    </border>
    <border>
      <left style="medium">
        <color rgb="FF000000"/>
      </left>
      <right style="medium">
        <color rgb="FF000000"/>
      </right>
      <top style="medium">
        <color rgb="FF000000"/>
      </top>
      <bottom style="thin">
        <color indexed="64"/>
      </bottom>
      <diagonal/>
    </border>
    <border>
      <left style="medium">
        <color rgb="FF000000"/>
      </left>
      <right style="medium">
        <color rgb="FF000000"/>
      </right>
      <top/>
      <bottom style="thin">
        <color indexed="64"/>
      </bottom>
      <diagonal/>
    </border>
    <border>
      <left style="medium">
        <color rgb="FF000000"/>
      </left>
      <right style="thin">
        <color indexed="64"/>
      </right>
      <top style="medium">
        <color rgb="FF000000"/>
      </top>
      <bottom style="thin">
        <color indexed="64"/>
      </bottom>
      <diagonal/>
    </border>
    <border>
      <left/>
      <right style="thin">
        <color indexed="64"/>
      </right>
      <top style="medium">
        <color rgb="FF000000"/>
      </top>
      <bottom style="thin">
        <color indexed="64"/>
      </bottom>
      <diagonal/>
    </border>
    <border>
      <left/>
      <right style="medium">
        <color rgb="FF000000"/>
      </right>
      <top style="medium">
        <color rgb="FF000000"/>
      </top>
      <bottom style="thin">
        <color rgb="FF95B3D7"/>
      </bottom>
      <diagonal/>
    </border>
    <border>
      <left/>
      <right style="medium">
        <color rgb="FF000000"/>
      </right>
      <top/>
      <bottom style="thin">
        <color rgb="FF95B3D7"/>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thin">
        <color rgb="FF000000"/>
      </left>
      <right style="medium">
        <color rgb="FF000000"/>
      </right>
      <top style="thin">
        <color rgb="FF000000"/>
      </top>
      <bottom/>
      <diagonal/>
    </border>
    <border>
      <left style="medium">
        <color rgb="FF000000"/>
      </left>
      <right/>
      <top style="thin">
        <color rgb="FF000000"/>
      </top>
      <bottom style="thin">
        <color rgb="FF000000"/>
      </bottom>
      <diagonal/>
    </border>
    <border>
      <left style="medium">
        <color rgb="FF000000"/>
      </left>
      <right/>
      <top style="thin">
        <color rgb="FF000000"/>
      </top>
      <bottom/>
      <diagonal/>
    </border>
    <border>
      <left style="medium">
        <color indexed="64"/>
      </left>
      <right style="medium">
        <color indexed="64"/>
      </right>
      <top/>
      <bottom/>
      <diagonal/>
    </border>
    <border>
      <left style="medium">
        <color rgb="FF000000"/>
      </left>
      <right/>
      <top/>
      <bottom style="thin">
        <color indexed="64"/>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theme="1"/>
      </left>
      <right style="medium">
        <color rgb="FF000000"/>
      </right>
      <top/>
      <bottom style="thin">
        <color indexed="64"/>
      </bottom>
      <diagonal/>
    </border>
    <border>
      <left style="medium">
        <color theme="1"/>
      </left>
      <right/>
      <top/>
      <bottom style="medium">
        <color rgb="FF000000"/>
      </bottom>
      <diagonal/>
    </border>
    <border>
      <left style="medium">
        <color theme="1"/>
      </left>
      <right style="medium">
        <color theme="1"/>
      </right>
      <top/>
      <bottom style="medium">
        <color rgb="FF000000"/>
      </bottom>
      <diagonal/>
    </border>
    <border>
      <left style="medium">
        <color rgb="FF000000"/>
      </left>
      <right/>
      <top style="medium">
        <color rgb="FF000000"/>
      </top>
      <bottom style="thin">
        <color indexed="64"/>
      </bottom>
      <diagonal/>
    </border>
    <border>
      <left style="medium">
        <color theme="1"/>
      </left>
      <right/>
      <top style="medium">
        <color rgb="FF000000"/>
      </top>
      <bottom style="thin">
        <color indexed="64"/>
      </bottom>
      <diagonal/>
    </border>
    <border>
      <left style="medium">
        <color theme="1"/>
      </left>
      <right style="medium">
        <color rgb="FF000000"/>
      </right>
      <top style="medium">
        <color rgb="FF000000"/>
      </top>
      <bottom style="thin">
        <color indexed="64"/>
      </bottom>
      <diagonal/>
    </border>
    <border>
      <left style="medium">
        <color rgb="FF000000"/>
      </left>
      <right style="medium">
        <color theme="1"/>
      </right>
      <top/>
      <bottom style="thin">
        <color indexed="64"/>
      </bottom>
      <diagonal/>
    </border>
    <border>
      <left style="medium">
        <color rgb="FF000000"/>
      </left>
      <right style="medium">
        <color theme="1"/>
      </right>
      <top/>
      <bottom style="medium">
        <color rgb="FF000000"/>
      </bottom>
      <diagonal/>
    </border>
    <border>
      <left style="medium">
        <color theme="1"/>
      </left>
      <right style="medium">
        <color rgb="FF000000"/>
      </right>
      <top/>
      <bottom style="medium">
        <color rgb="FF000000"/>
      </bottom>
      <diagonal/>
    </border>
    <border>
      <left style="medium">
        <color theme="1"/>
      </left>
      <right style="medium">
        <color theme="1"/>
      </right>
      <top/>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medium">
        <color indexed="64"/>
      </right>
      <top/>
      <bottom style="medium">
        <color rgb="FF000000"/>
      </bottom>
      <diagonal/>
    </border>
    <border>
      <left/>
      <right/>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rgb="FF000000"/>
      </left>
      <right style="thin">
        <color rgb="FF000000"/>
      </right>
      <top/>
      <bottom style="medium">
        <color rgb="FF000000"/>
      </bottom>
      <diagonal/>
    </border>
    <border>
      <left style="thin">
        <color indexed="64"/>
      </left>
      <right/>
      <top style="thin">
        <color indexed="64"/>
      </top>
      <bottom style="dotted">
        <color indexed="64"/>
      </bottom>
      <diagonal/>
    </border>
    <border>
      <left style="thin">
        <color auto="1"/>
      </left>
      <right style="thin">
        <color auto="1"/>
      </right>
      <top style="thin">
        <color auto="1"/>
      </top>
      <bottom style="dotted">
        <color auto="1"/>
      </bottom>
      <diagonal/>
    </border>
    <border>
      <left style="thin">
        <color indexed="64"/>
      </left>
      <right style="dotted">
        <color indexed="64"/>
      </right>
      <top style="thin">
        <color auto="1"/>
      </top>
      <bottom style="dotted">
        <color indexed="64"/>
      </bottom>
      <diagonal/>
    </border>
    <border>
      <left style="dotted">
        <color indexed="64"/>
      </left>
      <right style="dotted">
        <color indexed="64"/>
      </right>
      <top style="thin">
        <color auto="1"/>
      </top>
      <bottom style="dotted">
        <color indexed="64"/>
      </bottom>
      <diagonal/>
    </border>
    <border>
      <left style="dotted">
        <color indexed="64"/>
      </left>
      <right/>
      <top style="thin">
        <color auto="1"/>
      </top>
      <bottom style="dotted">
        <color indexed="64"/>
      </bottom>
      <diagonal/>
    </border>
    <border>
      <left style="dotted">
        <color indexed="64"/>
      </left>
      <right style="thin">
        <color auto="1"/>
      </right>
      <top style="thin">
        <color auto="1"/>
      </top>
      <bottom style="dotted">
        <color indexed="64"/>
      </bottom>
      <diagonal/>
    </border>
    <border>
      <left style="thin">
        <color auto="1"/>
      </left>
      <right style="thin">
        <color auto="1"/>
      </right>
      <top style="thin">
        <color auto="1"/>
      </top>
      <bottom style="dashed">
        <color auto="1"/>
      </bottom>
      <diagonal/>
    </border>
    <border>
      <left style="thin">
        <color indexed="64"/>
      </left>
      <right/>
      <top/>
      <bottom style="dotted">
        <color indexed="64"/>
      </bottom>
      <diagonal/>
    </border>
    <border>
      <left style="thin">
        <color auto="1"/>
      </left>
      <right style="thin">
        <color auto="1"/>
      </right>
      <top/>
      <bottom style="dotted">
        <color auto="1"/>
      </bottom>
      <diagonal/>
    </border>
    <border>
      <left style="thin">
        <color auto="1"/>
      </left>
      <right style="thin">
        <color auto="1"/>
      </right>
      <top style="dotted">
        <color auto="1"/>
      </top>
      <bottom style="dotted">
        <color auto="1"/>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style="dotted">
        <color indexed="64"/>
      </left>
      <right style="thin">
        <color auto="1"/>
      </right>
      <top/>
      <bottom style="dotted">
        <color indexed="64"/>
      </bottom>
      <diagonal/>
    </border>
    <border>
      <left style="thin">
        <color auto="1"/>
      </left>
      <right style="thin">
        <color auto="1"/>
      </right>
      <top/>
      <bottom style="dashed">
        <color auto="1"/>
      </bottom>
      <diagonal/>
    </border>
    <border>
      <left style="thin">
        <color indexed="64"/>
      </left>
      <right/>
      <top style="dotted">
        <color indexed="64"/>
      </top>
      <bottom style="dotted">
        <color indexed="64"/>
      </bottom>
      <diagonal/>
    </border>
    <border>
      <left/>
      <right style="thin">
        <color indexed="64"/>
      </right>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auto="1"/>
      </left>
      <right style="thin">
        <color auto="1"/>
      </right>
      <top style="dashed">
        <color auto="1"/>
      </top>
      <bottom style="dashed">
        <color auto="1"/>
      </bottom>
      <diagonal/>
    </border>
    <border>
      <left/>
      <right style="thin">
        <color indexed="64"/>
      </right>
      <top style="dotted">
        <color indexed="64"/>
      </top>
      <bottom style="dotted">
        <color indexed="64"/>
      </bottom>
      <diagonal/>
    </border>
    <border>
      <left style="dotted">
        <color indexed="64"/>
      </left>
      <right style="thin">
        <color auto="1"/>
      </right>
      <top style="dotted">
        <color indexed="64"/>
      </top>
      <bottom style="dotted">
        <color indexed="64"/>
      </bottom>
      <diagonal/>
    </border>
    <border>
      <left style="thin">
        <color indexed="64"/>
      </left>
      <right style="dotted">
        <color indexed="64"/>
      </right>
      <top style="dotted">
        <color indexed="64"/>
      </top>
      <bottom/>
      <diagonal/>
    </border>
    <border>
      <left style="dotted">
        <color indexed="64"/>
      </left>
      <right style="thin">
        <color auto="1"/>
      </right>
      <top style="dotted">
        <color indexed="64"/>
      </top>
      <bottom/>
      <diagonal/>
    </border>
    <border>
      <left style="thin">
        <color auto="1"/>
      </left>
      <right style="thin">
        <color auto="1"/>
      </right>
      <top style="dashed">
        <color auto="1"/>
      </top>
      <bottom/>
      <diagonal/>
    </border>
    <border>
      <left style="thin">
        <color indexed="64"/>
      </left>
      <right/>
      <top style="dotted">
        <color indexed="64"/>
      </top>
      <bottom style="thin">
        <color indexed="64"/>
      </bottom>
      <diagonal/>
    </border>
    <border>
      <left style="thin">
        <color auto="1"/>
      </left>
      <right style="thin">
        <color auto="1"/>
      </right>
      <top style="dotted">
        <color auto="1"/>
      </top>
      <bottom style="thin">
        <color auto="1"/>
      </bottom>
      <diagonal/>
    </border>
    <border>
      <left/>
      <right style="thin">
        <color auto="1"/>
      </right>
      <top style="dotted">
        <color auto="1"/>
      </top>
      <bottom style="thin">
        <color auto="1"/>
      </bottom>
      <diagonal/>
    </border>
    <border>
      <left style="thin">
        <color indexed="64"/>
      </left>
      <right style="dotted">
        <color indexed="64"/>
      </right>
      <top style="dotted">
        <color indexed="64"/>
      </top>
      <bottom style="thin">
        <color auto="1"/>
      </bottom>
      <diagonal/>
    </border>
    <border>
      <left style="dotted">
        <color indexed="64"/>
      </left>
      <right style="dotted">
        <color indexed="64"/>
      </right>
      <top style="dotted">
        <color indexed="64"/>
      </top>
      <bottom style="thin">
        <color auto="1"/>
      </bottom>
      <diagonal/>
    </border>
    <border>
      <left style="dotted">
        <color indexed="64"/>
      </left>
      <right/>
      <top style="dotted">
        <color indexed="64"/>
      </top>
      <bottom style="thin">
        <color auto="1"/>
      </bottom>
      <diagonal/>
    </border>
    <border>
      <left style="dotted">
        <color indexed="64"/>
      </left>
      <right style="thin">
        <color auto="1"/>
      </right>
      <top style="dotted">
        <color indexed="64"/>
      </top>
      <bottom style="thin">
        <color auto="1"/>
      </bottom>
      <diagonal/>
    </border>
    <border>
      <left/>
      <right style="thin">
        <color indexed="64"/>
      </right>
      <top style="thin">
        <color indexed="64"/>
      </top>
      <bottom style="dotted">
        <color indexed="64"/>
      </bottom>
      <diagonal/>
    </border>
    <border>
      <left style="thin">
        <color auto="1"/>
      </left>
      <right style="thin">
        <color auto="1"/>
      </right>
      <top style="dashed">
        <color auto="1"/>
      </top>
      <bottom style="thin">
        <color auto="1"/>
      </bottom>
      <diagonal/>
    </border>
    <border>
      <left style="thin">
        <color indexed="64"/>
      </left>
      <right/>
      <top style="dotted">
        <color indexed="64"/>
      </top>
      <bottom/>
      <diagonal/>
    </border>
    <border>
      <left style="thin">
        <color indexed="64"/>
      </left>
      <right style="thin">
        <color indexed="64"/>
      </right>
      <top style="dotted">
        <color indexed="64"/>
      </top>
      <bottom/>
      <diagonal/>
    </border>
    <border>
      <left/>
      <right style="thin">
        <color indexed="64"/>
      </right>
      <top style="dotted">
        <color auto="1"/>
      </top>
      <bottom/>
      <diagonal/>
    </border>
    <border>
      <left style="thin">
        <color indexed="64"/>
      </left>
      <right style="dotted">
        <color indexed="64"/>
      </right>
      <top style="thin">
        <color auto="1"/>
      </top>
      <bottom style="thin">
        <color indexed="64"/>
      </bottom>
      <diagonal/>
    </border>
    <border>
      <left style="dotted">
        <color indexed="64"/>
      </left>
      <right style="dotted">
        <color indexed="64"/>
      </right>
      <top style="thin">
        <color auto="1"/>
      </top>
      <bottom style="thin">
        <color indexed="64"/>
      </bottom>
      <diagonal/>
    </border>
    <border>
      <left style="dotted">
        <color indexed="64"/>
      </left>
      <right style="thin">
        <color auto="1"/>
      </right>
      <top style="thin">
        <color auto="1"/>
      </top>
      <bottom style="thin">
        <color indexed="64"/>
      </bottom>
      <diagonal/>
    </border>
    <border>
      <left style="dotted">
        <color indexed="64"/>
      </left>
      <right/>
      <top style="thin">
        <color auto="1"/>
      </top>
      <bottom style="thin">
        <color indexed="64"/>
      </bottom>
      <diagonal/>
    </border>
    <border>
      <left style="thin">
        <color indexed="64"/>
      </left>
      <right style="dotted">
        <color indexed="64"/>
      </right>
      <top/>
      <bottom style="thin">
        <color auto="1"/>
      </bottom>
      <diagonal/>
    </border>
    <border>
      <left style="dotted">
        <color indexed="64"/>
      </left>
      <right style="dotted">
        <color indexed="64"/>
      </right>
      <top/>
      <bottom style="thin">
        <color auto="1"/>
      </bottom>
      <diagonal/>
    </border>
    <border>
      <left style="dotted">
        <color indexed="64"/>
      </left>
      <right style="thin">
        <color auto="1"/>
      </right>
      <top/>
      <bottom style="thin">
        <color auto="1"/>
      </bottom>
      <diagonal/>
    </border>
    <border>
      <left style="dotted">
        <color indexed="64"/>
      </left>
      <right/>
      <top/>
      <bottom style="thin">
        <color auto="1"/>
      </bottom>
      <diagonal/>
    </border>
    <border>
      <left style="thin">
        <color theme="2"/>
      </left>
      <right style="thin">
        <color theme="2"/>
      </right>
      <top style="thin">
        <color theme="2"/>
      </top>
      <bottom style="thin">
        <color theme="2"/>
      </bottom>
      <diagonal/>
    </border>
    <border>
      <left style="medium">
        <color indexed="64"/>
      </left>
      <right style="medium">
        <color rgb="FF000000"/>
      </right>
      <top style="medium">
        <color theme="1"/>
      </top>
      <bottom style="thin">
        <color indexed="64"/>
      </bottom>
      <diagonal/>
    </border>
    <border>
      <left style="medium">
        <color rgb="FF000000"/>
      </left>
      <right/>
      <top style="thin">
        <color indexed="64"/>
      </top>
      <bottom style="thin">
        <color indexed="64"/>
      </bottom>
      <diagonal/>
    </border>
    <border>
      <left/>
      <right/>
      <top/>
      <bottom style="thin">
        <color rgb="FFBFBFBF"/>
      </bottom>
      <diagonal/>
    </border>
    <border>
      <left/>
      <right/>
      <top style="thin">
        <color rgb="FFBFBFBF"/>
      </top>
      <bottom style="thin">
        <color rgb="FFBFBFBF"/>
      </bottom>
      <diagonal/>
    </border>
    <border>
      <left/>
      <right/>
      <top style="thin">
        <color rgb="FFBFBFBF"/>
      </top>
      <bottom/>
      <diagonal/>
    </border>
    <border>
      <left/>
      <right/>
      <top/>
      <bottom style="thin">
        <color rgb="FFD9D9D9"/>
      </bottom>
      <diagonal/>
    </border>
    <border>
      <left/>
      <right/>
      <top style="thin">
        <color rgb="FFD9D9D9"/>
      </top>
      <bottom style="thin">
        <color rgb="FFD9D9D9"/>
      </bottom>
      <diagonal/>
    </border>
    <border>
      <left/>
      <right/>
      <top style="thin">
        <color rgb="FFD9D9D9"/>
      </top>
      <bottom/>
      <diagonal/>
    </border>
    <border>
      <left/>
      <right/>
      <top style="thin">
        <color rgb="FFD9D9D9"/>
      </top>
      <bottom style="thin">
        <color rgb="FFBFBFBF"/>
      </bottom>
      <diagonal/>
    </border>
    <border>
      <left style="thin">
        <color rgb="FFBFBFBF"/>
      </left>
      <right/>
      <top/>
      <bottom style="thin">
        <color rgb="FFBFBFBF"/>
      </bottom>
      <diagonal/>
    </border>
    <border>
      <left style="thin">
        <color rgb="FFBFBFBF"/>
      </left>
      <right/>
      <top/>
      <bottom/>
      <diagonal/>
    </border>
    <border>
      <left style="thin">
        <color rgb="FFBFBFBF"/>
      </left>
      <right style="thin">
        <color rgb="FFBFBFBF"/>
      </right>
      <top/>
      <bottom style="thin">
        <color rgb="FFBFBFBF"/>
      </bottom>
      <diagonal/>
    </border>
    <border>
      <left style="thin">
        <color rgb="FFBFBFBF"/>
      </left>
      <right style="thin">
        <color rgb="FFBFBFBF"/>
      </right>
      <top/>
      <bottom/>
      <diagonal/>
    </border>
    <border>
      <left style="thin">
        <color theme="2"/>
      </left>
      <right style="thin">
        <color theme="2"/>
      </right>
      <top/>
      <bottom/>
      <diagonal/>
    </border>
    <border>
      <left style="thin">
        <color theme="4"/>
      </left>
      <right/>
      <top style="thin">
        <color theme="4"/>
      </top>
      <bottom/>
      <diagonal/>
    </border>
    <border>
      <left/>
      <right/>
      <top style="thin">
        <color theme="4"/>
      </top>
      <bottom/>
      <diagonal/>
    </border>
    <border>
      <left style="thin">
        <color theme="4"/>
      </left>
      <right/>
      <top style="thin">
        <color theme="4"/>
      </top>
      <bottom style="thin">
        <color theme="4"/>
      </bottom>
      <diagonal/>
    </border>
    <border>
      <left/>
      <right/>
      <top style="thin">
        <color theme="4"/>
      </top>
      <bottom style="thin">
        <color theme="4"/>
      </bottom>
      <diagonal/>
    </border>
    <border>
      <left style="medium">
        <color rgb="FF000000"/>
      </left>
      <right style="thin">
        <color indexed="64"/>
      </right>
      <top/>
      <bottom/>
      <diagonal/>
    </border>
    <border>
      <left style="thin">
        <color rgb="FFBF9000"/>
      </left>
      <right style="thin">
        <color rgb="FFBF9000"/>
      </right>
      <top style="thin">
        <color rgb="FFBF9000"/>
      </top>
      <bottom style="thin">
        <color rgb="FFBF9000"/>
      </bottom>
      <diagonal/>
    </border>
  </borders>
  <cellStyleXfs count="19">
    <xf numFmtId="0" fontId="0" fillId="0" borderId="0"/>
    <xf numFmtId="0" fontId="5" fillId="0" borderId="0"/>
    <xf numFmtId="0" fontId="4" fillId="0" borderId="0"/>
    <xf numFmtId="9" fontId="4" fillId="0" borderId="0" applyFont="0" applyFill="0" applyBorder="0" applyAlignment="0" applyProtection="0"/>
    <xf numFmtId="0" fontId="28" fillId="0" borderId="0" applyNumberFormat="0" applyFill="0" applyBorder="0" applyAlignment="0" applyProtection="0"/>
    <xf numFmtId="164" fontId="53" fillId="0" borderId="0" applyFont="0" applyFill="0" applyBorder="0" applyAlignment="0" applyProtection="0"/>
    <xf numFmtId="9" fontId="53" fillId="0" borderId="0" applyFont="0" applyFill="0" applyBorder="0" applyAlignment="0" applyProtection="0"/>
    <xf numFmtId="0" fontId="50" fillId="0" borderId="0"/>
    <xf numFmtId="0" fontId="3" fillId="0" borderId="0" applyBorder="0"/>
    <xf numFmtId="0" fontId="3" fillId="0" borderId="0"/>
    <xf numFmtId="9" fontId="3" fillId="0" borderId="0" applyFont="0" applyFill="0" applyBorder="0" applyAlignment="0" applyProtection="0"/>
    <xf numFmtId="0" fontId="3" fillId="0" borderId="0" applyBorder="0"/>
    <xf numFmtId="0" fontId="3" fillId="0" borderId="0" applyBorder="0"/>
    <xf numFmtId="43"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0" fontId="3" fillId="0" borderId="0"/>
    <xf numFmtId="0" fontId="159" fillId="0" borderId="0" applyNumberFormat="0" applyFill="0" applyBorder="0" applyAlignment="0" applyProtection="0"/>
  </cellStyleXfs>
  <cellXfs count="1568">
    <xf numFmtId="0" fontId="0" fillId="0" borderId="0" xfId="0"/>
    <xf numFmtId="0" fontId="7" fillId="0" borderId="0" xfId="0" applyFont="1" applyAlignment="1">
      <alignment horizontal="right"/>
    </xf>
    <xf numFmtId="14" fontId="7" fillId="0" borderId="0" xfId="0" applyNumberFormat="1" applyFont="1" applyAlignment="1">
      <alignment horizontal="center"/>
    </xf>
    <xf numFmtId="0" fontId="7" fillId="0" borderId="1" xfId="0" applyFont="1" applyBorder="1"/>
    <xf numFmtId="0" fontId="7" fillId="0" borderId="1" xfId="0" applyFont="1" applyBorder="1" applyAlignment="1">
      <alignment horizontal="center"/>
    </xf>
    <xf numFmtId="0" fontId="9" fillId="0" borderId="1" xfId="0" applyFont="1" applyBorder="1"/>
    <xf numFmtId="0" fontId="9" fillId="0" borderId="1" xfId="0" applyFont="1" applyBorder="1" applyAlignment="1">
      <alignment horizontal="center"/>
    </xf>
    <xf numFmtId="0" fontId="9" fillId="2" borderId="1" xfId="0" applyFont="1" applyFill="1" applyBorder="1" applyAlignment="1">
      <alignment horizontal="center"/>
    </xf>
    <xf numFmtId="0" fontId="9" fillId="2" borderId="1" xfId="0" applyFont="1" applyFill="1" applyBorder="1"/>
    <xf numFmtId="0" fontId="7" fillId="0" borderId="2" xfId="0" applyFont="1" applyBorder="1"/>
    <xf numFmtId="3" fontId="9" fillId="0" borderId="1" xfId="0" applyNumberFormat="1" applyFont="1" applyBorder="1" applyAlignment="1">
      <alignment horizontal="center"/>
    </xf>
    <xf numFmtId="3" fontId="7" fillId="0" borderId="0" xfId="0" applyNumberFormat="1" applyFont="1" applyAlignment="1">
      <alignment horizontal="center"/>
    </xf>
    <xf numFmtId="0" fontId="9" fillId="0" borderId="4" xfId="0" applyFont="1" applyBorder="1"/>
    <xf numFmtId="3" fontId="7" fillId="0" borderId="1" xfId="0" applyNumberFormat="1" applyFont="1" applyBorder="1" applyAlignment="1">
      <alignment horizontal="center"/>
    </xf>
    <xf numFmtId="0" fontId="9" fillId="0" borderId="1" xfId="0" applyFont="1" applyBorder="1" applyAlignment="1">
      <alignment horizontal="left"/>
    </xf>
    <xf numFmtId="0" fontId="9" fillId="0" borderId="1" xfId="0" applyFont="1" applyBorder="1" applyAlignment="1">
      <alignment horizontal="left" vertical="center"/>
    </xf>
    <xf numFmtId="0" fontId="9" fillId="0" borderId="1" xfId="0" applyFont="1" applyBorder="1" applyAlignment="1">
      <alignment horizontal="center" vertical="center"/>
    </xf>
    <xf numFmtId="0" fontId="12" fillId="5" borderId="1" xfId="0" applyFont="1" applyFill="1" applyBorder="1"/>
    <xf numFmtId="0" fontId="12" fillId="5" borderId="1" xfId="0" applyFont="1" applyFill="1" applyBorder="1" applyAlignment="1">
      <alignment horizontal="center" vertical="center"/>
    </xf>
    <xf numFmtId="0" fontId="12" fillId="5" borderId="1" xfId="0" applyFont="1" applyFill="1" applyBorder="1" applyAlignment="1">
      <alignment horizontal="center"/>
    </xf>
    <xf numFmtId="0" fontId="12" fillId="5" borderId="18" xfId="0" applyFont="1" applyFill="1" applyBorder="1" applyAlignment="1">
      <alignment horizontal="center" vertical="center"/>
    </xf>
    <xf numFmtId="14" fontId="5" fillId="0" borderId="19" xfId="1" applyNumberFormat="1" applyBorder="1" applyAlignment="1">
      <alignment horizontal="center" vertical="center"/>
    </xf>
    <xf numFmtId="0" fontId="5" fillId="0" borderId="19" xfId="1" applyBorder="1" applyAlignment="1">
      <alignment horizontal="center" vertical="center" wrapText="1"/>
    </xf>
    <xf numFmtId="0" fontId="5" fillId="0" borderId="19" xfId="1" applyBorder="1" applyAlignment="1">
      <alignment horizontal="center" vertical="center"/>
    </xf>
    <xf numFmtId="0" fontId="5" fillId="0" borderId="19" xfId="1" applyBorder="1" applyAlignment="1">
      <alignment horizontal="left" vertical="center"/>
    </xf>
    <xf numFmtId="0" fontId="9" fillId="6" borderId="1" xfId="0" applyFont="1" applyFill="1" applyBorder="1" applyAlignment="1">
      <alignment horizontal="center"/>
    </xf>
    <xf numFmtId="0" fontId="9" fillId="6" borderId="1" xfId="0" applyFont="1" applyFill="1" applyBorder="1"/>
    <xf numFmtId="0" fontId="5" fillId="0" borderId="19" xfId="1" applyBorder="1" applyAlignment="1">
      <alignment horizontal="left" vertical="center" wrapText="1"/>
    </xf>
    <xf numFmtId="0" fontId="5" fillId="0" borderId="0" xfId="1"/>
    <xf numFmtId="0" fontId="9" fillId="6" borderId="0" xfId="0" applyFont="1" applyFill="1" applyAlignment="1">
      <alignment horizontal="center"/>
    </xf>
    <xf numFmtId="14" fontId="9" fillId="0" borderId="1" xfId="0" applyNumberFormat="1" applyFont="1" applyBorder="1" applyAlignment="1">
      <alignment horizontal="center" vertical="center"/>
    </xf>
    <xf numFmtId="0" fontId="10" fillId="0" borderId="0" xfId="0" applyFont="1" applyAlignment="1">
      <alignment vertical="top"/>
    </xf>
    <xf numFmtId="0" fontId="10" fillId="0" borderId="1" xfId="0" applyFont="1" applyBorder="1" applyAlignment="1">
      <alignment horizontal="center" vertical="top"/>
    </xf>
    <xf numFmtId="0" fontId="10" fillId="0" borderId="0" xfId="0" applyFont="1" applyAlignment="1">
      <alignment horizontal="center" vertical="top"/>
    </xf>
    <xf numFmtId="0" fontId="12" fillId="5" borderId="2" xfId="0" applyFont="1" applyFill="1" applyBorder="1" applyAlignment="1">
      <alignment horizontal="center" vertical="center"/>
    </xf>
    <xf numFmtId="0" fontId="5" fillId="0" borderId="26" xfId="1" applyBorder="1" applyAlignment="1">
      <alignment horizontal="left" vertical="center"/>
    </xf>
    <xf numFmtId="0" fontId="5" fillId="0" borderId="26" xfId="1" applyBorder="1" applyAlignment="1">
      <alignment horizontal="left" vertical="center" wrapText="1"/>
    </xf>
    <xf numFmtId="0" fontId="9" fillId="0" borderId="2" xfId="0" applyFont="1" applyBorder="1" applyAlignment="1">
      <alignment horizontal="left" vertical="center"/>
    </xf>
    <xf numFmtId="0" fontId="10" fillId="0" borderId="2" xfId="0" applyFont="1" applyBorder="1" applyAlignment="1">
      <alignment vertical="top"/>
    </xf>
    <xf numFmtId="0" fontId="12" fillId="5" borderId="4" xfId="0" applyFont="1" applyFill="1" applyBorder="1" applyAlignment="1">
      <alignment horizontal="center"/>
    </xf>
    <xf numFmtId="0" fontId="5" fillId="0" borderId="27" xfId="1" applyBorder="1" applyAlignment="1">
      <alignment horizontal="center" vertical="center"/>
    </xf>
    <xf numFmtId="0" fontId="9" fillId="0" borderId="4" xfId="0" applyFont="1" applyBorder="1" applyAlignment="1">
      <alignment horizontal="center" vertical="center"/>
    </xf>
    <xf numFmtId="0" fontId="12" fillId="5" borderId="19" xfId="0" applyFont="1" applyFill="1" applyBorder="1" applyAlignment="1">
      <alignment horizontal="center" vertical="center"/>
    </xf>
    <xf numFmtId="0" fontId="10" fillId="0" borderId="19" xfId="0" applyFont="1" applyBorder="1" applyAlignment="1">
      <alignment vertical="top"/>
    </xf>
    <xf numFmtId="0" fontId="9" fillId="0" borderId="19" xfId="0" applyFont="1" applyBorder="1" applyAlignment="1">
      <alignment horizontal="left" vertical="center"/>
    </xf>
    <xf numFmtId="0" fontId="5" fillId="0" borderId="19" xfId="1" applyBorder="1" applyAlignment="1">
      <alignment horizontal="center" vertical="top" wrapText="1"/>
    </xf>
    <xf numFmtId="0" fontId="12" fillId="5" borderId="19" xfId="0" applyFont="1" applyFill="1" applyBorder="1"/>
    <xf numFmtId="0" fontId="12" fillId="5" borderId="19" xfId="0" applyFont="1" applyFill="1" applyBorder="1" applyAlignment="1">
      <alignment horizontal="center"/>
    </xf>
    <xf numFmtId="0" fontId="9" fillId="0" borderId="19" xfId="0" applyFont="1" applyBorder="1"/>
    <xf numFmtId="14" fontId="9" fillId="0" borderId="19" xfId="0" applyNumberFormat="1" applyFont="1" applyBorder="1" applyAlignment="1">
      <alignment horizontal="center" vertical="center"/>
    </xf>
    <xf numFmtId="0" fontId="9" fillId="0" borderId="19" xfId="0" applyFont="1" applyBorder="1" applyAlignment="1">
      <alignment horizontal="center" vertical="center"/>
    </xf>
    <xf numFmtId="0" fontId="10" fillId="0" borderId="19" xfId="0" applyFont="1" applyBorder="1" applyAlignment="1">
      <alignment horizontal="center" vertical="top"/>
    </xf>
    <xf numFmtId="0" fontId="0" fillId="0" borderId="19" xfId="0" applyBorder="1"/>
    <xf numFmtId="0" fontId="9" fillId="0" borderId="16" xfId="0" applyFont="1" applyBorder="1" applyAlignment="1">
      <alignment horizontal="center"/>
    </xf>
    <xf numFmtId="0" fontId="0" fillId="0" borderId="0" xfId="0" applyAlignment="1">
      <alignment horizontal="center" vertical="center"/>
    </xf>
    <xf numFmtId="0" fontId="0" fillId="0" borderId="19" xfId="0" applyBorder="1" applyAlignment="1">
      <alignment horizontal="center" vertical="center"/>
    </xf>
    <xf numFmtId="0" fontId="0" fillId="0" borderId="0" xfId="0" applyAlignment="1">
      <alignment horizontal="center"/>
    </xf>
    <xf numFmtId="0" fontId="10" fillId="0" borderId="34" xfId="0" applyFont="1" applyBorder="1" applyAlignment="1">
      <alignment horizontal="center" vertical="top"/>
    </xf>
    <xf numFmtId="14" fontId="0" fillId="0" borderId="19" xfId="0" applyNumberFormat="1" applyBorder="1" applyAlignment="1">
      <alignment horizontal="center"/>
    </xf>
    <xf numFmtId="0" fontId="0" fillId="0" borderId="19" xfId="1" applyFont="1" applyBorder="1" applyAlignment="1">
      <alignment horizontal="left" vertical="center" wrapText="1"/>
    </xf>
    <xf numFmtId="0" fontId="14" fillId="0" borderId="4" xfId="0" applyFont="1" applyBorder="1" applyAlignment="1">
      <alignment horizontal="center" vertical="center"/>
    </xf>
    <xf numFmtId="0" fontId="10" fillId="0" borderId="1" xfId="0" applyFont="1" applyBorder="1" applyAlignment="1">
      <alignment vertical="top"/>
    </xf>
    <xf numFmtId="0" fontId="9" fillId="0" borderId="27" xfId="0" applyFont="1" applyBorder="1" applyAlignment="1">
      <alignment horizontal="center" vertical="center"/>
    </xf>
    <xf numFmtId="0" fontId="12" fillId="5" borderId="21" xfId="0" applyFont="1" applyFill="1" applyBorder="1"/>
    <xf numFmtId="0" fontId="12" fillId="5" borderId="21" xfId="0" applyFont="1" applyFill="1" applyBorder="1" applyAlignment="1">
      <alignment horizontal="center" vertical="center"/>
    </xf>
    <xf numFmtId="14" fontId="9" fillId="0" borderId="35" xfId="0" applyNumberFormat="1" applyFont="1" applyBorder="1" applyAlignment="1">
      <alignment horizontal="center" vertical="center"/>
    </xf>
    <xf numFmtId="0" fontId="10" fillId="0" borderId="35" xfId="0" applyFont="1" applyBorder="1" applyAlignment="1">
      <alignment horizontal="center" vertical="top"/>
    </xf>
    <xf numFmtId="0" fontId="10" fillId="0" borderId="35" xfId="0" applyFont="1" applyBorder="1" applyAlignment="1">
      <alignment vertical="top"/>
    </xf>
    <xf numFmtId="14" fontId="0" fillId="0" borderId="1" xfId="0" applyNumberFormat="1" applyBorder="1" applyAlignment="1">
      <alignment horizontal="center" vertical="center"/>
    </xf>
    <xf numFmtId="0" fontId="0" fillId="0" borderId="1" xfId="0" applyBorder="1" applyAlignment="1">
      <alignment horizontal="center"/>
    </xf>
    <xf numFmtId="0" fontId="0" fillId="0" borderId="1" xfId="0" applyBorder="1"/>
    <xf numFmtId="0" fontId="0" fillId="0" borderId="27" xfId="0" applyBorder="1" applyAlignment="1">
      <alignment horizontal="center" vertical="center"/>
    </xf>
    <xf numFmtId="0" fontId="0" fillId="0" borderId="19" xfId="0" applyBorder="1" applyAlignment="1">
      <alignment horizontal="center"/>
    </xf>
    <xf numFmtId="0" fontId="5" fillId="0" borderId="0" xfId="1" applyAlignment="1">
      <alignment horizontal="center"/>
    </xf>
    <xf numFmtId="0" fontId="5" fillId="0" borderId="19" xfId="1" applyBorder="1" applyAlignment="1">
      <alignment horizontal="center"/>
    </xf>
    <xf numFmtId="0" fontId="0" fillId="0" borderId="19" xfId="1" applyFont="1" applyBorder="1" applyAlignment="1">
      <alignment horizontal="center" vertical="center"/>
    </xf>
    <xf numFmtId="9" fontId="10" fillId="0" borderId="19" xfId="0" applyNumberFormat="1" applyFont="1" applyBorder="1" applyAlignment="1">
      <alignment horizontal="center"/>
    </xf>
    <xf numFmtId="0" fontId="10" fillId="0" borderId="0" xfId="0" applyFont="1"/>
    <xf numFmtId="0" fontId="10" fillId="0" borderId="1" xfId="0" applyFont="1" applyBorder="1"/>
    <xf numFmtId="0" fontId="0" fillId="0" borderId="14" xfId="0" applyBorder="1"/>
    <xf numFmtId="0" fontId="9" fillId="0" borderId="2" xfId="0" applyFont="1" applyBorder="1"/>
    <xf numFmtId="0" fontId="9" fillId="0" borderId="15" xfId="0" applyFont="1" applyBorder="1" applyAlignment="1">
      <alignment vertical="center" wrapText="1"/>
    </xf>
    <xf numFmtId="0" fontId="0" fillId="0" borderId="19" xfId="1" applyFont="1" applyBorder="1" applyAlignment="1">
      <alignment horizontal="left" vertical="center"/>
    </xf>
    <xf numFmtId="14" fontId="0" fillId="0" borderId="19" xfId="1" applyNumberFormat="1" applyFont="1" applyBorder="1" applyAlignment="1">
      <alignment horizontal="center" vertical="center"/>
    </xf>
    <xf numFmtId="14" fontId="16" fillId="0" borderId="19" xfId="0" applyNumberFormat="1" applyFont="1" applyBorder="1" applyAlignment="1">
      <alignment horizontal="center" vertical="center"/>
    </xf>
    <xf numFmtId="0" fontId="16" fillId="0" borderId="19" xfId="0" applyFont="1" applyBorder="1" applyAlignment="1">
      <alignment horizontal="center" vertical="center"/>
    </xf>
    <xf numFmtId="0" fontId="16" fillId="0" borderId="19" xfId="0" applyFont="1" applyBorder="1" applyAlignment="1">
      <alignment horizontal="left" vertical="center"/>
    </xf>
    <xf numFmtId="0" fontId="16" fillId="0" borderId="19" xfId="0" applyFont="1" applyBorder="1"/>
    <xf numFmtId="0" fontId="16" fillId="0" borderId="19" xfId="0" applyFont="1" applyBorder="1" applyAlignment="1">
      <alignment vertical="top"/>
    </xf>
    <xf numFmtId="0" fontId="16" fillId="0" borderId="19" xfId="0" applyFont="1" applyBorder="1" applyAlignment="1">
      <alignment horizontal="center" vertical="top"/>
    </xf>
    <xf numFmtId="0" fontId="9" fillId="0" borderId="13" xfId="0" applyFont="1" applyBorder="1" applyAlignment="1">
      <alignment horizontal="left" vertical="center"/>
    </xf>
    <xf numFmtId="0" fontId="9" fillId="0" borderId="16" xfId="0" applyFont="1" applyBorder="1" applyAlignment="1">
      <alignment horizontal="center" vertical="center"/>
    </xf>
    <xf numFmtId="0" fontId="9" fillId="0" borderId="5" xfId="0" applyFont="1" applyBorder="1" applyAlignment="1">
      <alignment horizontal="center" vertical="center"/>
    </xf>
    <xf numFmtId="0" fontId="10" fillId="0" borderId="27" xfId="0" applyFont="1" applyBorder="1" applyAlignment="1">
      <alignment horizontal="center" vertical="top"/>
    </xf>
    <xf numFmtId="14" fontId="9" fillId="0" borderId="16" xfId="0" applyNumberFormat="1" applyFont="1" applyBorder="1" applyAlignment="1">
      <alignment horizontal="center" vertical="center"/>
    </xf>
    <xf numFmtId="14" fontId="9" fillId="0" borderId="5" xfId="0" applyNumberFormat="1" applyFont="1" applyBorder="1" applyAlignment="1">
      <alignment horizontal="center" vertical="center"/>
    </xf>
    <xf numFmtId="0" fontId="0" fillId="0" borderId="11" xfId="0" applyBorder="1" applyAlignment="1">
      <alignment horizontal="left"/>
    </xf>
    <xf numFmtId="0" fontId="17" fillId="0" borderId="0" xfId="0" applyFont="1"/>
    <xf numFmtId="0" fontId="0" fillId="0" borderId="1" xfId="0" applyBorder="1" applyAlignment="1">
      <alignment horizontal="center" vertical="center"/>
    </xf>
    <xf numFmtId="0" fontId="0" fillId="0" borderId="16" xfId="0" applyBorder="1"/>
    <xf numFmtId="0" fontId="0" fillId="0" borderId="16" xfId="0" applyBorder="1" applyAlignment="1">
      <alignment horizontal="center" vertical="center"/>
    </xf>
    <xf numFmtId="0" fontId="0" fillId="0" borderId="16" xfId="0" applyBorder="1" applyAlignment="1">
      <alignment horizontal="center"/>
    </xf>
    <xf numFmtId="0" fontId="0" fillId="0" borderId="5" xfId="0" applyBorder="1"/>
    <xf numFmtId="0" fontId="10" fillId="0" borderId="16" xfId="0" applyFont="1" applyBorder="1" applyAlignment="1">
      <alignment horizontal="center" vertical="top"/>
    </xf>
    <xf numFmtId="0" fontId="10" fillId="0" borderId="13" xfId="0" applyFont="1" applyBorder="1" applyAlignment="1">
      <alignment vertical="top"/>
    </xf>
    <xf numFmtId="0" fontId="10" fillId="0" borderId="46" xfId="0" applyFont="1" applyBorder="1" applyAlignment="1">
      <alignment horizontal="center" vertical="top"/>
    </xf>
    <xf numFmtId="0" fontId="9" fillId="0" borderId="14" xfId="0" applyFont="1" applyBorder="1" applyAlignment="1">
      <alignment horizontal="center" vertical="center"/>
    </xf>
    <xf numFmtId="14" fontId="0" fillId="0" borderId="19" xfId="0" applyNumberFormat="1" applyBorder="1"/>
    <xf numFmtId="14" fontId="0" fillId="0" borderId="1" xfId="0" applyNumberFormat="1" applyBorder="1" applyAlignment="1">
      <alignment horizontal="center"/>
    </xf>
    <xf numFmtId="0" fontId="7" fillId="3" borderId="13" xfId="0" applyFont="1" applyFill="1" applyBorder="1" applyAlignment="1">
      <alignment horizontal="center"/>
    </xf>
    <xf numFmtId="0" fontId="17" fillId="0" borderId="0" xfId="0" applyFont="1" applyAlignment="1">
      <alignment horizontal="center"/>
    </xf>
    <xf numFmtId="169" fontId="10" fillId="0" borderId="19" xfId="0" applyNumberFormat="1" applyFont="1" applyBorder="1" applyAlignment="1">
      <alignment horizontal="center"/>
    </xf>
    <xf numFmtId="0" fontId="0" fillId="0" borderId="13" xfId="0" applyBorder="1"/>
    <xf numFmtId="14" fontId="0" fillId="0" borderId="16" xfId="0" applyNumberFormat="1" applyBorder="1" applyAlignment="1">
      <alignment horizontal="center"/>
    </xf>
    <xf numFmtId="0" fontId="17" fillId="0" borderId="1" xfId="0" applyFont="1" applyBorder="1" applyAlignment="1">
      <alignment horizontal="center"/>
    </xf>
    <xf numFmtId="0" fontId="7" fillId="0" borderId="3" xfId="0" applyFont="1" applyBorder="1" applyAlignment="1">
      <alignment horizontal="center"/>
    </xf>
    <xf numFmtId="0" fontId="18" fillId="0" borderId="0" xfId="0" applyFont="1"/>
    <xf numFmtId="0" fontId="0" fillId="0" borderId="19" xfId="0" applyBorder="1" applyAlignment="1">
      <alignment horizontal="left"/>
    </xf>
    <xf numFmtId="0" fontId="19" fillId="9" borderId="0" xfId="0" applyFont="1" applyFill="1"/>
    <xf numFmtId="166" fontId="19" fillId="9" borderId="27" xfId="0" applyNumberFormat="1" applyFont="1" applyFill="1" applyBorder="1" applyAlignment="1">
      <alignment horizontal="center" vertical="center"/>
    </xf>
    <xf numFmtId="166" fontId="19" fillId="9" borderId="37" xfId="0" applyNumberFormat="1" applyFont="1" applyFill="1" applyBorder="1" applyAlignment="1">
      <alignment horizontal="center" vertical="center"/>
    </xf>
    <xf numFmtId="166" fontId="10" fillId="0" borderId="0" xfId="0" applyNumberFormat="1" applyFont="1" applyAlignment="1">
      <alignment horizontal="center" vertical="center"/>
    </xf>
    <xf numFmtId="0" fontId="19" fillId="0" borderId="37" xfId="0" applyFont="1" applyBorder="1" applyAlignment="1">
      <alignment horizontal="center" vertical="center"/>
    </xf>
    <xf numFmtId="10" fontId="19" fillId="0" borderId="37" xfId="0" applyNumberFormat="1" applyFont="1" applyBorder="1" applyAlignment="1">
      <alignment horizontal="center" vertical="center"/>
    </xf>
    <xf numFmtId="0" fontId="19" fillId="9" borderId="36" xfId="0" applyFont="1" applyFill="1" applyBorder="1" applyAlignment="1">
      <alignment horizontal="left" vertical="center"/>
    </xf>
    <xf numFmtId="14" fontId="19" fillId="9" borderId="37" xfId="0" applyNumberFormat="1" applyFont="1" applyFill="1" applyBorder="1" applyAlignment="1">
      <alignment horizontal="left" vertical="center"/>
    </xf>
    <xf numFmtId="0" fontId="19" fillId="9" borderId="37" xfId="0" applyFont="1" applyFill="1" applyBorder="1" applyAlignment="1">
      <alignment horizontal="left" vertical="center"/>
    </xf>
    <xf numFmtId="3" fontId="7" fillId="0" borderId="2" xfId="0" applyNumberFormat="1" applyFont="1" applyBorder="1" applyAlignment="1">
      <alignment horizontal="center"/>
    </xf>
    <xf numFmtId="0" fontId="10" fillId="0" borderId="1" xfId="0" applyFont="1" applyBorder="1" applyAlignment="1">
      <alignment horizontal="center"/>
    </xf>
    <xf numFmtId="0" fontId="9" fillId="0" borderId="19" xfId="0" applyFont="1" applyBorder="1" applyAlignment="1">
      <alignment vertical="top"/>
    </xf>
    <xf numFmtId="0" fontId="16" fillId="0" borderId="1" xfId="0" applyFont="1" applyBorder="1" applyAlignment="1">
      <alignment horizontal="center" vertical="center"/>
    </xf>
    <xf numFmtId="14" fontId="9" fillId="0" borderId="21" xfId="0" applyNumberFormat="1" applyFont="1" applyBorder="1" applyAlignment="1">
      <alignment horizontal="center" vertical="center"/>
    </xf>
    <xf numFmtId="0" fontId="9" fillId="0" borderId="21" xfId="0" applyFont="1" applyBorder="1" applyAlignment="1">
      <alignment horizontal="center" vertical="center"/>
    </xf>
    <xf numFmtId="0" fontId="10" fillId="0" borderId="21" xfId="0" applyFont="1" applyBorder="1" applyAlignment="1">
      <alignment vertical="top"/>
    </xf>
    <xf numFmtId="0" fontId="9" fillId="0" borderId="21" xfId="0" applyFont="1" applyBorder="1"/>
    <xf numFmtId="0" fontId="16" fillId="0" borderId="1" xfId="0" applyFont="1" applyBorder="1"/>
    <xf numFmtId="0" fontId="16" fillId="0" borderId="1" xfId="0" applyFont="1" applyBorder="1" applyAlignment="1">
      <alignment horizontal="center" vertical="top"/>
    </xf>
    <xf numFmtId="0" fontId="16" fillId="0" borderId="1" xfId="0" applyFont="1" applyBorder="1" applyAlignment="1">
      <alignment horizontal="left" vertical="center"/>
    </xf>
    <xf numFmtId="14" fontId="16" fillId="0" borderId="1" xfId="0" applyNumberFormat="1" applyFont="1" applyBorder="1" applyAlignment="1">
      <alignment horizontal="center" vertical="center"/>
    </xf>
    <xf numFmtId="0" fontId="16" fillId="0" borderId="1" xfId="0" applyFont="1" applyBorder="1" applyAlignment="1">
      <alignment vertical="top"/>
    </xf>
    <xf numFmtId="0" fontId="9" fillId="0" borderId="16" xfId="0" applyFont="1" applyBorder="1" applyAlignment="1">
      <alignment horizontal="left" vertical="center"/>
    </xf>
    <xf numFmtId="0" fontId="9" fillId="0" borderId="16" xfId="0" applyFont="1" applyBorder="1"/>
    <xf numFmtId="0" fontId="16" fillId="0" borderId="1" xfId="0" applyFont="1" applyBorder="1" applyAlignment="1">
      <alignment horizontal="center"/>
    </xf>
    <xf numFmtId="14" fontId="10" fillId="0" borderId="1" xfId="0" applyNumberFormat="1" applyFont="1" applyBorder="1" applyAlignment="1">
      <alignment horizontal="center"/>
    </xf>
    <xf numFmtId="0" fontId="10" fillId="0" borderId="1" xfId="0" applyFont="1" applyBorder="1" applyAlignment="1">
      <alignment horizontal="center" vertical="center"/>
    </xf>
    <xf numFmtId="0" fontId="10" fillId="0" borderId="16" xfId="0" applyFont="1" applyBorder="1" applyAlignment="1">
      <alignment vertical="top"/>
    </xf>
    <xf numFmtId="14" fontId="16" fillId="0" borderId="1" xfId="0" applyNumberFormat="1" applyFont="1" applyBorder="1" applyAlignment="1">
      <alignment horizontal="center"/>
    </xf>
    <xf numFmtId="14" fontId="10" fillId="0" borderId="16" xfId="0" applyNumberFormat="1" applyFont="1" applyBorder="1" applyAlignment="1">
      <alignment horizontal="center" vertical="center"/>
    </xf>
    <xf numFmtId="0" fontId="10" fillId="0" borderId="16" xfId="0" applyFont="1" applyBorder="1" applyAlignment="1">
      <alignment horizontal="center" vertical="center"/>
    </xf>
    <xf numFmtId="0" fontId="10" fillId="0" borderId="16" xfId="0" applyFont="1" applyBorder="1"/>
    <xf numFmtId="14" fontId="10" fillId="0" borderId="16" xfId="0" applyNumberFormat="1" applyFont="1" applyBorder="1" applyAlignment="1">
      <alignment horizontal="center"/>
    </xf>
    <xf numFmtId="0" fontId="10" fillId="0" borderId="16" xfId="0" applyFont="1" applyBorder="1" applyAlignment="1">
      <alignment horizontal="center"/>
    </xf>
    <xf numFmtId="14" fontId="10" fillId="0" borderId="1" xfId="0" applyNumberFormat="1" applyFont="1" applyBorder="1" applyAlignment="1">
      <alignment horizontal="center" vertical="center"/>
    </xf>
    <xf numFmtId="14" fontId="16" fillId="0" borderId="35" xfId="0" applyNumberFormat="1" applyFont="1" applyBorder="1" applyAlignment="1">
      <alignment horizontal="center" vertical="center"/>
    </xf>
    <xf numFmtId="0" fontId="16" fillId="0" borderId="35" xfId="0" applyFont="1" applyBorder="1" applyAlignment="1">
      <alignment horizontal="center" vertical="top"/>
    </xf>
    <xf numFmtId="0" fontId="16" fillId="0" borderId="35" xfId="0" applyFont="1" applyBorder="1" applyAlignment="1">
      <alignment vertical="top"/>
    </xf>
    <xf numFmtId="0" fontId="16" fillId="0" borderId="35" xfId="0" applyFont="1" applyBorder="1" applyAlignment="1">
      <alignment horizontal="center" vertical="center"/>
    </xf>
    <xf numFmtId="0" fontId="16" fillId="0" borderId="35" xfId="0" applyFont="1" applyBorder="1"/>
    <xf numFmtId="14" fontId="15" fillId="0" borderId="1" xfId="0" applyNumberFormat="1" applyFont="1" applyBorder="1" applyAlignment="1">
      <alignment horizontal="center"/>
    </xf>
    <xf numFmtId="14" fontId="22" fillId="0" borderId="1" xfId="0" applyNumberFormat="1" applyFont="1" applyBorder="1" applyAlignment="1">
      <alignment horizontal="center"/>
    </xf>
    <xf numFmtId="14" fontId="15" fillId="0" borderId="1" xfId="0" applyNumberFormat="1" applyFont="1" applyBorder="1" applyAlignment="1">
      <alignment horizontal="center" vertical="top"/>
    </xf>
    <xf numFmtId="0" fontId="15" fillId="0" borderId="1" xfId="0" applyFont="1" applyBorder="1" applyAlignment="1">
      <alignment horizontal="center"/>
    </xf>
    <xf numFmtId="0" fontId="15" fillId="0" borderId="1" xfId="0" applyFont="1" applyBorder="1" applyAlignment="1">
      <alignment horizontal="center" vertical="top"/>
    </xf>
    <xf numFmtId="0" fontId="15" fillId="0" borderId="1" xfId="0" applyFont="1" applyBorder="1"/>
    <xf numFmtId="0" fontId="10" fillId="0" borderId="21" xfId="0" applyFont="1" applyBorder="1" applyAlignment="1">
      <alignment horizontal="center" vertical="top"/>
    </xf>
    <xf numFmtId="0" fontId="0" fillId="0" borderId="35" xfId="0" applyBorder="1"/>
    <xf numFmtId="0" fontId="7" fillId="0" borderId="13" xfId="0" applyFont="1" applyBorder="1" applyAlignment="1">
      <alignment horizontal="center"/>
    </xf>
    <xf numFmtId="0" fontId="15" fillId="0" borderId="16" xfId="0" applyFont="1" applyBorder="1" applyAlignment="1">
      <alignment horizontal="center"/>
    </xf>
    <xf numFmtId="0" fontId="15" fillId="0" borderId="1" xfId="0" applyFont="1" applyBorder="1" applyAlignment="1">
      <alignment horizontal="center" vertical="center"/>
    </xf>
    <xf numFmtId="166" fontId="10" fillId="0" borderId="0" xfId="0" applyNumberFormat="1" applyFont="1"/>
    <xf numFmtId="0" fontId="0" fillId="8" borderId="0" xfId="0" applyFill="1"/>
    <xf numFmtId="0" fontId="0" fillId="8" borderId="1" xfId="0" applyFill="1" applyBorder="1" applyAlignment="1">
      <alignment horizontal="center"/>
    </xf>
    <xf numFmtId="0" fontId="24" fillId="0" borderId="0" xfId="0" applyFont="1"/>
    <xf numFmtId="0" fontId="27" fillId="13" borderId="0" xfId="0" applyFont="1" applyFill="1" applyAlignment="1">
      <alignment horizontal="center"/>
    </xf>
    <xf numFmtId="0" fontId="27" fillId="13" borderId="0" xfId="0" applyFont="1" applyFill="1" applyAlignment="1">
      <alignment horizontal="center" vertical="center"/>
    </xf>
    <xf numFmtId="2" fontId="27" fillId="13" borderId="0" xfId="0" applyNumberFormat="1" applyFont="1" applyFill="1" applyAlignment="1">
      <alignment horizontal="center"/>
    </xf>
    <xf numFmtId="0" fontId="27" fillId="13" borderId="0" xfId="0" applyFont="1" applyFill="1"/>
    <xf numFmtId="20" fontId="27" fillId="13" borderId="0" xfId="0" applyNumberFormat="1" applyFont="1" applyFill="1"/>
    <xf numFmtId="171" fontId="27" fillId="13" borderId="74" xfId="0" applyNumberFormat="1" applyFont="1" applyFill="1" applyBorder="1" applyAlignment="1">
      <alignment horizontal="center"/>
    </xf>
    <xf numFmtId="20" fontId="27" fillId="13" borderId="74" xfId="0" applyNumberFormat="1" applyFont="1" applyFill="1" applyBorder="1"/>
    <xf numFmtId="0" fontId="13" fillId="13" borderId="74" xfId="2" applyFont="1" applyFill="1" applyBorder="1" applyAlignment="1">
      <alignment horizontal="center" vertical="center"/>
    </xf>
    <xf numFmtId="0" fontId="13" fillId="13" borderId="74" xfId="2" applyFont="1" applyFill="1" applyBorder="1" applyAlignment="1">
      <alignment horizontal="center" vertical="center" wrapText="1"/>
    </xf>
    <xf numFmtId="9" fontId="13" fillId="13" borderId="74" xfId="2" applyNumberFormat="1" applyFont="1" applyFill="1" applyBorder="1" applyAlignment="1">
      <alignment horizontal="center" vertical="center" wrapText="1"/>
    </xf>
    <xf numFmtId="20" fontId="27" fillId="13" borderId="75" xfId="0" applyNumberFormat="1" applyFont="1" applyFill="1" applyBorder="1"/>
    <xf numFmtId="0" fontId="27" fillId="8" borderId="0" xfId="0" applyFont="1" applyFill="1"/>
    <xf numFmtId="0" fontId="9" fillId="8" borderId="70" xfId="0" applyFont="1" applyFill="1" applyBorder="1"/>
    <xf numFmtId="0" fontId="9" fillId="8" borderId="71" xfId="0" applyFont="1" applyFill="1" applyBorder="1"/>
    <xf numFmtId="0" fontId="9" fillId="8" borderId="72" xfId="0" applyFont="1" applyFill="1" applyBorder="1"/>
    <xf numFmtId="3" fontId="9" fillId="15" borderId="78" xfId="0" applyNumberFormat="1" applyFont="1" applyFill="1" applyBorder="1" applyAlignment="1">
      <alignment horizontal="center"/>
    </xf>
    <xf numFmtId="2" fontId="9" fillId="16" borderId="76" xfId="0" applyNumberFormat="1" applyFont="1" applyFill="1" applyBorder="1" applyAlignment="1">
      <alignment horizontal="center"/>
    </xf>
    <xf numFmtId="0" fontId="29" fillId="14" borderId="85" xfId="0" applyFont="1" applyFill="1" applyBorder="1" applyAlignment="1">
      <alignment horizontal="center"/>
    </xf>
    <xf numFmtId="0" fontId="29" fillId="14" borderId="86" xfId="0" applyFont="1" applyFill="1" applyBorder="1" applyAlignment="1">
      <alignment horizontal="center"/>
    </xf>
    <xf numFmtId="0" fontId="29" fillId="14" borderId="87" xfId="0" applyFont="1" applyFill="1" applyBorder="1" applyAlignment="1">
      <alignment horizontal="center"/>
    </xf>
    <xf numFmtId="0" fontId="29" fillId="14" borderId="77" xfId="0" applyFont="1" applyFill="1" applyBorder="1" applyAlignment="1">
      <alignment horizontal="center"/>
    </xf>
    <xf numFmtId="0" fontId="29" fillId="14" borderId="84" xfId="0" applyFont="1" applyFill="1" applyBorder="1" applyAlignment="1">
      <alignment horizontal="center"/>
    </xf>
    <xf numFmtId="0" fontId="29" fillId="14" borderId="82" xfId="0" applyFont="1" applyFill="1" applyBorder="1" applyAlignment="1">
      <alignment horizontal="center"/>
    </xf>
    <xf numFmtId="0" fontId="0" fillId="8" borderId="90" xfId="0" applyFill="1" applyBorder="1"/>
    <xf numFmtId="0" fontId="0" fillId="8" borderId="91" xfId="0" applyFill="1" applyBorder="1"/>
    <xf numFmtId="0" fontId="0" fillId="8" borderId="79" xfId="0" applyFill="1" applyBorder="1"/>
    <xf numFmtId="0" fontId="9" fillId="8" borderId="0" xfId="0" applyFont="1" applyFill="1"/>
    <xf numFmtId="0" fontId="29" fillId="14" borderId="81" xfId="0" applyFont="1" applyFill="1" applyBorder="1" applyAlignment="1">
      <alignment horizontal="center"/>
    </xf>
    <xf numFmtId="0" fontId="0" fillId="8" borderId="1" xfId="0" applyFill="1" applyBorder="1"/>
    <xf numFmtId="3" fontId="0" fillId="8" borderId="1" xfId="0" applyNumberFormat="1" applyFill="1" applyBorder="1" applyAlignment="1">
      <alignment horizontal="center"/>
    </xf>
    <xf numFmtId="0" fontId="29" fillId="14" borderId="99" xfId="0" applyFont="1" applyFill="1" applyBorder="1" applyAlignment="1">
      <alignment horizontal="center"/>
    </xf>
    <xf numFmtId="3" fontId="9" fillId="16" borderId="100" xfId="0" applyNumberFormat="1" applyFont="1" applyFill="1" applyBorder="1" applyAlignment="1">
      <alignment horizontal="center"/>
    </xf>
    <xf numFmtId="10" fontId="9" fillId="16" borderId="41" xfId="0" applyNumberFormat="1" applyFont="1" applyFill="1" applyBorder="1" applyAlignment="1">
      <alignment horizontal="center"/>
    </xf>
    <xf numFmtId="0" fontId="27" fillId="0" borderId="0" xfId="0" applyFont="1"/>
    <xf numFmtId="3" fontId="9" fillId="0" borderId="78" xfId="0" applyNumberFormat="1" applyFont="1" applyBorder="1" applyAlignment="1">
      <alignment horizontal="center"/>
    </xf>
    <xf numFmtId="3" fontId="0" fillId="0" borderId="1" xfId="0" applyNumberFormat="1" applyBorder="1" applyAlignment="1">
      <alignment horizontal="center"/>
    </xf>
    <xf numFmtId="3" fontId="0" fillId="0" borderId="2" xfId="0" applyNumberFormat="1" applyBorder="1" applyAlignment="1">
      <alignment horizontal="center"/>
    </xf>
    <xf numFmtId="0" fontId="26" fillId="9" borderId="0" xfId="0" applyFont="1" applyFill="1"/>
    <xf numFmtId="0" fontId="34" fillId="9" borderId="0" xfId="0" applyFont="1" applyFill="1" applyAlignment="1">
      <alignment horizontal="center"/>
    </xf>
    <xf numFmtId="0" fontId="0" fillId="0" borderId="0" xfId="0" applyAlignment="1">
      <alignment horizontal="right"/>
    </xf>
    <xf numFmtId="0" fontId="36" fillId="0" borderId="102" xfId="0" applyFont="1" applyBorder="1" applyAlignment="1">
      <alignment horizontal="center"/>
    </xf>
    <xf numFmtId="0" fontId="36" fillId="0" borderId="37" xfId="0" applyFont="1" applyBorder="1" applyAlignment="1">
      <alignment horizontal="center"/>
    </xf>
    <xf numFmtId="0" fontId="29" fillId="11" borderId="69" xfId="0" applyFont="1" applyFill="1" applyBorder="1" applyAlignment="1">
      <alignment horizontal="center" vertical="center"/>
    </xf>
    <xf numFmtId="0" fontId="29" fillId="11" borderId="110" xfId="0" applyFont="1" applyFill="1" applyBorder="1" applyAlignment="1">
      <alignment horizontal="center" vertical="center"/>
    </xf>
    <xf numFmtId="3" fontId="9" fillId="15" borderId="111" xfId="0" applyNumberFormat="1" applyFont="1" applyFill="1" applyBorder="1" applyAlignment="1">
      <alignment horizontal="center"/>
    </xf>
    <xf numFmtId="3" fontId="0" fillId="15" borderId="5" xfId="0" applyNumberFormat="1" applyFill="1" applyBorder="1" applyAlignment="1">
      <alignment horizontal="center"/>
    </xf>
    <xf numFmtId="3" fontId="0" fillId="15" borderId="51" xfId="0" applyNumberFormat="1" applyFill="1" applyBorder="1" applyAlignment="1">
      <alignment horizontal="center"/>
    </xf>
    <xf numFmtId="3" fontId="0" fillId="15" borderId="1" xfId="0" applyNumberFormat="1" applyFill="1" applyBorder="1" applyAlignment="1">
      <alignment horizontal="center"/>
    </xf>
    <xf numFmtId="0" fontId="0" fillId="15" borderId="1" xfId="0" applyFill="1" applyBorder="1"/>
    <xf numFmtId="0" fontId="0" fillId="15" borderId="16" xfId="0" applyFill="1" applyBorder="1"/>
    <xf numFmtId="3" fontId="9" fillId="8" borderId="0" xfId="0" applyNumberFormat="1" applyFont="1" applyFill="1" applyAlignment="1">
      <alignment horizontal="center"/>
    </xf>
    <xf numFmtId="0" fontId="9" fillId="8" borderId="0" xfId="0" applyFont="1" applyFill="1" applyAlignment="1">
      <alignment horizontal="center"/>
    </xf>
    <xf numFmtId="0" fontId="10" fillId="0" borderId="12" xfId="0" applyFont="1" applyBorder="1" applyAlignment="1">
      <alignment horizontal="center"/>
    </xf>
    <xf numFmtId="0" fontId="23" fillId="0" borderId="12" xfId="0" applyFont="1" applyBorder="1" applyAlignment="1">
      <alignment horizontal="center"/>
    </xf>
    <xf numFmtId="14" fontId="38" fillId="9" borderId="37" xfId="0" applyNumberFormat="1" applyFont="1" applyFill="1" applyBorder="1" applyAlignment="1">
      <alignment horizontal="left" vertical="center"/>
    </xf>
    <xf numFmtId="0" fontId="10" fillId="0" borderId="35" xfId="0" applyFont="1" applyBorder="1" applyAlignment="1">
      <alignment horizontal="center"/>
    </xf>
    <xf numFmtId="14" fontId="39" fillId="9" borderId="37" xfId="0" applyNumberFormat="1" applyFont="1" applyFill="1" applyBorder="1" applyAlignment="1">
      <alignment horizontal="center" vertical="center"/>
    </xf>
    <xf numFmtId="3" fontId="31" fillId="0" borderId="96" xfId="0" applyNumberFormat="1" applyFont="1" applyBorder="1" applyAlignment="1">
      <alignment horizontal="center"/>
    </xf>
    <xf numFmtId="0" fontId="9" fillId="8" borderId="111" xfId="0" applyFont="1" applyFill="1" applyBorder="1"/>
    <xf numFmtId="0" fontId="9" fillId="8" borderId="60" xfId="0" applyFont="1" applyFill="1" applyBorder="1"/>
    <xf numFmtId="10" fontId="9" fillId="15" borderId="115" xfId="0" applyNumberFormat="1" applyFont="1" applyFill="1" applyBorder="1" applyAlignment="1">
      <alignment horizontal="center"/>
    </xf>
    <xf numFmtId="10" fontId="9" fillId="15" borderId="116" xfId="0" applyNumberFormat="1" applyFont="1" applyFill="1" applyBorder="1" applyAlignment="1">
      <alignment horizontal="center"/>
    </xf>
    <xf numFmtId="10" fontId="9" fillId="15" borderId="61" xfId="0" applyNumberFormat="1" applyFont="1" applyFill="1" applyBorder="1" applyAlignment="1">
      <alignment horizontal="center"/>
    </xf>
    <xf numFmtId="3" fontId="9" fillId="15" borderId="117" xfId="0" applyNumberFormat="1" applyFont="1" applyFill="1" applyBorder="1" applyAlignment="1">
      <alignment horizontal="center"/>
    </xf>
    <xf numFmtId="3" fontId="9" fillId="15" borderId="118" xfId="0" applyNumberFormat="1" applyFont="1" applyFill="1" applyBorder="1" applyAlignment="1">
      <alignment horizontal="center"/>
    </xf>
    <xf numFmtId="3" fontId="9" fillId="16" borderId="119" xfId="0" applyNumberFormat="1" applyFont="1" applyFill="1" applyBorder="1" applyAlignment="1">
      <alignment horizontal="center"/>
    </xf>
    <xf numFmtId="3" fontId="9" fillId="16" borderId="114" xfId="0" applyNumberFormat="1" applyFont="1" applyFill="1" applyBorder="1" applyAlignment="1">
      <alignment horizontal="center"/>
    </xf>
    <xf numFmtId="2" fontId="9" fillId="16" borderId="120" xfId="0" applyNumberFormat="1" applyFont="1" applyFill="1" applyBorder="1" applyAlignment="1">
      <alignment horizontal="center"/>
    </xf>
    <xf numFmtId="2" fontId="9" fillId="16" borderId="114" xfId="0" applyNumberFormat="1" applyFont="1" applyFill="1" applyBorder="1" applyAlignment="1">
      <alignment horizontal="center"/>
    </xf>
    <xf numFmtId="10" fontId="9" fillId="16" borderId="121" xfId="0" applyNumberFormat="1" applyFont="1" applyFill="1" applyBorder="1" applyAlignment="1">
      <alignment horizontal="center"/>
    </xf>
    <xf numFmtId="10" fontId="9" fillId="16" borderId="116" xfId="0" applyNumberFormat="1" applyFont="1" applyFill="1" applyBorder="1" applyAlignment="1">
      <alignment horizontal="center"/>
    </xf>
    <xf numFmtId="10" fontId="9" fillId="16" borderId="122" xfId="0" applyNumberFormat="1" applyFont="1" applyFill="1" applyBorder="1" applyAlignment="1">
      <alignment horizontal="center"/>
    </xf>
    <xf numFmtId="0" fontId="29" fillId="11" borderId="90" xfId="0" applyFont="1" applyFill="1" applyBorder="1" applyAlignment="1">
      <alignment horizontal="center" vertical="center"/>
    </xf>
    <xf numFmtId="0" fontId="29" fillId="11" borderId="123" xfId="0" applyFont="1" applyFill="1" applyBorder="1" applyAlignment="1">
      <alignment horizontal="center" vertical="center"/>
    </xf>
    <xf numFmtId="0" fontId="10" fillId="9" borderId="0" xfId="0" applyFont="1" applyFill="1"/>
    <xf numFmtId="0" fontId="10" fillId="10" borderId="124" xfId="0" applyFont="1" applyFill="1" applyBorder="1"/>
    <xf numFmtId="0" fontId="10" fillId="10" borderId="40" xfId="0" applyFont="1" applyFill="1" applyBorder="1" applyAlignment="1">
      <alignment wrapText="1"/>
    </xf>
    <xf numFmtId="16" fontId="10" fillId="9" borderId="126" xfId="0" applyNumberFormat="1" applyFont="1" applyFill="1" applyBorder="1"/>
    <xf numFmtId="3" fontId="10" fillId="9" borderId="37" xfId="0" applyNumberFormat="1" applyFont="1" applyFill="1" applyBorder="1"/>
    <xf numFmtId="4" fontId="9" fillId="15" borderId="78" xfId="0" applyNumberFormat="1" applyFont="1" applyFill="1" applyBorder="1" applyAlignment="1">
      <alignment horizontal="center"/>
    </xf>
    <xf numFmtId="4" fontId="9" fillId="15" borderId="114" xfId="0" applyNumberFormat="1" applyFont="1" applyFill="1" applyBorder="1" applyAlignment="1">
      <alignment horizontal="center"/>
    </xf>
    <xf numFmtId="171" fontId="9" fillId="15" borderId="78" xfId="0" applyNumberFormat="1" applyFont="1" applyFill="1" applyBorder="1" applyAlignment="1">
      <alignment horizontal="center"/>
    </xf>
    <xf numFmtId="171" fontId="9" fillId="15" borderId="114" xfId="0" applyNumberFormat="1" applyFont="1" applyFill="1" applyBorder="1" applyAlignment="1">
      <alignment horizontal="center"/>
    </xf>
    <xf numFmtId="3" fontId="0" fillId="0" borderId="0" xfId="0" applyNumberFormat="1"/>
    <xf numFmtId="4" fontId="0" fillId="0" borderId="1" xfId="0" applyNumberFormat="1" applyBorder="1"/>
    <xf numFmtId="4" fontId="9" fillId="8" borderId="0" xfId="0" applyNumberFormat="1" applyFont="1" applyFill="1" applyAlignment="1">
      <alignment horizontal="center"/>
    </xf>
    <xf numFmtId="4" fontId="0" fillId="15" borderId="47" xfId="0" applyNumberFormat="1" applyFill="1" applyBorder="1" applyAlignment="1">
      <alignment horizontal="center"/>
    </xf>
    <xf numFmtId="0" fontId="40" fillId="23" borderId="19" xfId="0" applyFont="1" applyFill="1" applyBorder="1" applyAlignment="1">
      <alignment horizontal="center" wrapText="1"/>
    </xf>
    <xf numFmtId="0" fontId="40" fillId="23" borderId="19" xfId="0" applyFont="1" applyFill="1" applyBorder="1" applyAlignment="1">
      <alignment horizontal="center" vertical="center" wrapText="1"/>
    </xf>
    <xf numFmtId="0" fontId="40" fillId="23" borderId="4" xfId="0" applyFont="1" applyFill="1" applyBorder="1" applyAlignment="1">
      <alignment horizontal="center" vertical="center" wrapText="1"/>
    </xf>
    <xf numFmtId="0" fontId="40" fillId="23" borderId="1" xfId="0" applyFont="1" applyFill="1" applyBorder="1" applyAlignment="1">
      <alignment horizontal="center" vertical="center" wrapText="1"/>
    </xf>
    <xf numFmtId="0" fontId="40" fillId="23" borderId="2" xfId="0" applyFont="1" applyFill="1" applyBorder="1" applyAlignment="1">
      <alignment horizontal="center" vertical="center" wrapText="1"/>
    </xf>
    <xf numFmtId="4" fontId="0" fillId="13" borderId="0" xfId="0" applyNumberFormat="1" applyFill="1" applyAlignment="1">
      <alignment horizontal="center" vertical="center"/>
    </xf>
    <xf numFmtId="0" fontId="0" fillId="13" borderId="0" xfId="0" applyFill="1" applyAlignment="1">
      <alignment horizontal="center" vertical="center"/>
    </xf>
    <xf numFmtId="171" fontId="0" fillId="13" borderId="0" xfId="0" applyNumberFormat="1" applyFill="1" applyAlignment="1">
      <alignment horizontal="center"/>
    </xf>
    <xf numFmtId="0" fontId="0" fillId="13" borderId="0" xfId="0" applyFill="1"/>
    <xf numFmtId="0" fontId="0" fillId="24" borderId="3" xfId="0" applyFill="1" applyBorder="1"/>
    <xf numFmtId="0" fontId="8" fillId="24" borderId="3" xfId="0" applyFont="1" applyFill="1" applyBorder="1" applyAlignment="1">
      <alignment horizontal="left"/>
    </xf>
    <xf numFmtId="0" fontId="8" fillId="24" borderId="4" xfId="0" applyFont="1" applyFill="1" applyBorder="1" applyAlignment="1">
      <alignment horizontal="left"/>
    </xf>
    <xf numFmtId="0" fontId="9" fillId="0" borderId="16" xfId="0" applyFont="1" applyBorder="1" applyAlignment="1">
      <alignment vertical="center" wrapText="1" indent="1"/>
    </xf>
    <xf numFmtId="0" fontId="0" fillId="0" borderId="1" xfId="0" applyBorder="1" applyAlignment="1">
      <alignment horizontal="center" vertical="center" wrapText="1"/>
    </xf>
    <xf numFmtId="0" fontId="42" fillId="0" borderId="12" xfId="0" applyFont="1" applyBorder="1" applyAlignment="1">
      <alignment horizontal="center" vertical="center"/>
    </xf>
    <xf numFmtId="0" fontId="42" fillId="0" borderId="12" xfId="0" quotePrefix="1" applyFont="1" applyBorder="1" applyAlignment="1">
      <alignment horizontal="center" vertical="center"/>
    </xf>
    <xf numFmtId="0" fontId="43" fillId="0" borderId="12" xfId="0" applyFont="1" applyBorder="1" applyAlignment="1">
      <alignment horizontal="center" vertical="center"/>
    </xf>
    <xf numFmtId="0" fontId="43" fillId="0" borderId="12" xfId="0" quotePrefix="1" applyFont="1" applyBorder="1" applyAlignment="1">
      <alignment horizontal="center" vertical="center"/>
    </xf>
    <xf numFmtId="0" fontId="22" fillId="0" borderId="12" xfId="0" applyFont="1" applyBorder="1" applyAlignment="1">
      <alignment horizontal="center" vertical="center"/>
    </xf>
    <xf numFmtId="16" fontId="22" fillId="0" borderId="12" xfId="0" applyNumberFormat="1" applyFont="1" applyBorder="1" applyAlignment="1">
      <alignment horizontal="center" vertical="center"/>
    </xf>
    <xf numFmtId="0" fontId="42" fillId="0" borderId="5" xfId="0" applyFont="1" applyBorder="1" applyAlignment="1">
      <alignment horizontal="center" vertical="center"/>
    </xf>
    <xf numFmtId="0" fontId="42" fillId="0" borderId="1" xfId="0" applyFont="1" applyBorder="1" applyAlignment="1">
      <alignment horizontal="center" vertical="center"/>
    </xf>
    <xf numFmtId="0" fontId="42" fillId="0" borderId="10" xfId="0" applyFont="1" applyBorder="1" applyAlignment="1">
      <alignment horizontal="center" vertical="center"/>
    </xf>
    <xf numFmtId="0" fontId="22" fillId="0" borderId="10" xfId="0" applyFont="1" applyBorder="1" applyAlignment="1">
      <alignment horizontal="center" vertical="center"/>
    </xf>
    <xf numFmtId="0" fontId="43" fillId="0" borderId="10" xfId="0" applyFont="1" applyBorder="1" applyAlignment="1">
      <alignment horizontal="center" vertical="center"/>
    </xf>
    <xf numFmtId="0" fontId="42" fillId="0" borderId="23" xfId="0" applyFont="1" applyBorder="1" applyAlignment="1">
      <alignment horizontal="center" vertical="center"/>
    </xf>
    <xf numFmtId="0" fontId="22" fillId="0" borderId="23" xfId="0" applyFont="1" applyBorder="1" applyAlignment="1">
      <alignment horizontal="center" vertical="center"/>
    </xf>
    <xf numFmtId="0" fontId="22" fillId="0" borderId="56" xfId="0" applyFont="1" applyBorder="1" applyAlignment="1">
      <alignment horizontal="center" vertical="center"/>
    </xf>
    <xf numFmtId="0" fontId="43" fillId="0" borderId="1" xfId="0" applyFont="1" applyBorder="1" applyAlignment="1">
      <alignment horizontal="center" vertical="center"/>
    </xf>
    <xf numFmtId="14" fontId="23" fillId="0" borderId="1" xfId="0" applyNumberFormat="1" applyFont="1" applyBorder="1" applyAlignment="1">
      <alignment horizontal="center"/>
    </xf>
    <xf numFmtId="0" fontId="23" fillId="0" borderId="1" xfId="0" applyFont="1" applyBorder="1" applyAlignment="1">
      <alignment horizontal="center"/>
    </xf>
    <xf numFmtId="14" fontId="23" fillId="0" borderId="12" xfId="0" applyNumberFormat="1" applyFont="1" applyBorder="1" applyAlignment="1">
      <alignment horizontal="center"/>
    </xf>
    <xf numFmtId="16" fontId="10" fillId="0" borderId="12" xfId="0" applyNumberFormat="1" applyFont="1" applyBorder="1" applyAlignment="1">
      <alignment horizontal="center"/>
    </xf>
    <xf numFmtId="3" fontId="9" fillId="0" borderId="0" xfId="0" applyNumberFormat="1" applyFont="1" applyAlignment="1">
      <alignment vertical="center"/>
    </xf>
    <xf numFmtId="0" fontId="8" fillId="24" borderId="18" xfId="0" applyFont="1" applyFill="1" applyBorder="1" applyAlignment="1">
      <alignment horizontal="left"/>
    </xf>
    <xf numFmtId="0" fontId="22" fillId="0" borderId="102" xfId="0" applyFont="1" applyBorder="1" applyAlignment="1">
      <alignment horizontal="right"/>
    </xf>
    <xf numFmtId="3" fontId="22" fillId="0" borderId="102" xfId="0" applyNumberFormat="1" applyFont="1" applyBorder="1" applyAlignment="1">
      <alignment horizontal="right"/>
    </xf>
    <xf numFmtId="0" fontId="22" fillId="18" borderId="103" xfId="0" applyFont="1" applyFill="1" applyBorder="1" applyAlignment="1">
      <alignment wrapText="1"/>
    </xf>
    <xf numFmtId="0" fontId="22" fillId="0" borderId="37" xfId="0" applyFont="1" applyBorder="1" applyAlignment="1">
      <alignment horizontal="right"/>
    </xf>
    <xf numFmtId="3" fontId="22" fillId="0" borderId="37" xfId="0" applyNumberFormat="1" applyFont="1" applyBorder="1" applyAlignment="1">
      <alignment horizontal="right"/>
    </xf>
    <xf numFmtId="0" fontId="22" fillId="9" borderId="104" xfId="0" applyFont="1" applyFill="1" applyBorder="1" applyAlignment="1">
      <alignment wrapText="1"/>
    </xf>
    <xf numFmtId="0" fontId="22" fillId="18" borderId="104" xfId="0" applyFont="1" applyFill="1" applyBorder="1" applyAlignment="1">
      <alignment wrapText="1"/>
    </xf>
    <xf numFmtId="0" fontId="15" fillId="8" borderId="0" xfId="0" applyFont="1" applyFill="1"/>
    <xf numFmtId="4" fontId="22" fillId="8" borderId="1" xfId="0" applyNumberFormat="1" applyFont="1" applyFill="1" applyBorder="1" applyAlignment="1">
      <alignment horizontal="center"/>
    </xf>
    <xf numFmtId="0" fontId="22" fillId="20" borderId="0" xfId="0" applyFont="1" applyFill="1" applyAlignment="1">
      <alignment horizontal="center"/>
    </xf>
    <xf numFmtId="0" fontId="22" fillId="20" borderId="96" xfId="0" applyFont="1" applyFill="1" applyBorder="1" applyAlignment="1">
      <alignment horizontal="center"/>
    </xf>
    <xf numFmtId="4" fontId="22" fillId="7" borderId="96" xfId="0" applyNumberFormat="1" applyFont="1" applyFill="1" applyBorder="1" applyAlignment="1">
      <alignment horizontal="center"/>
    </xf>
    <xf numFmtId="0" fontId="22" fillId="7" borderId="96" xfId="0" applyFont="1" applyFill="1" applyBorder="1" applyAlignment="1">
      <alignment horizontal="center"/>
    </xf>
    <xf numFmtId="3" fontId="22" fillId="7" borderId="96" xfId="0" applyNumberFormat="1" applyFont="1" applyFill="1" applyBorder="1" applyAlignment="1">
      <alignment horizontal="center"/>
    </xf>
    <xf numFmtId="0" fontId="22" fillId="0" borderId="0" xfId="0" applyFont="1"/>
    <xf numFmtId="0" fontId="22" fillId="22" borderId="96" xfId="0" applyFont="1" applyFill="1" applyBorder="1" applyAlignment="1">
      <alignment horizontal="center"/>
    </xf>
    <xf numFmtId="4" fontId="24" fillId="0" borderId="1" xfId="0" applyNumberFormat="1" applyFont="1" applyBorder="1" applyAlignment="1">
      <alignment horizontal="center"/>
    </xf>
    <xf numFmtId="0" fontId="15" fillId="0" borderId="0" xfId="0" applyFont="1"/>
    <xf numFmtId="0" fontId="22" fillId="0" borderId="96" xfId="0" applyFont="1" applyBorder="1" applyAlignment="1">
      <alignment horizontal="center"/>
    </xf>
    <xf numFmtId="0" fontId="22" fillId="0" borderId="96" xfId="0" applyFont="1" applyBorder="1"/>
    <xf numFmtId="0" fontId="25" fillId="14" borderId="6" xfId="0" applyFont="1" applyFill="1" applyBorder="1"/>
    <xf numFmtId="3" fontId="0" fillId="15" borderId="47" xfId="0" applyNumberFormat="1" applyFill="1" applyBorder="1" applyAlignment="1">
      <alignment horizontal="center"/>
    </xf>
    <xf numFmtId="0" fontId="22" fillId="25" borderId="96" xfId="0" applyFont="1" applyFill="1" applyBorder="1" applyAlignment="1">
      <alignment horizontal="center"/>
    </xf>
    <xf numFmtId="4" fontId="0" fillId="8" borderId="0" xfId="0" applyNumberFormat="1" applyFill="1" applyAlignment="1">
      <alignment horizontal="center"/>
    </xf>
    <xf numFmtId="0" fontId="0" fillId="26" borderId="52" xfId="0" applyFill="1" applyBorder="1"/>
    <xf numFmtId="0" fontId="0" fillId="26" borderId="108" xfId="0" applyFill="1" applyBorder="1"/>
    <xf numFmtId="0" fontId="0" fillId="26" borderId="109" xfId="0" applyFill="1" applyBorder="1"/>
    <xf numFmtId="4" fontId="44" fillId="0" borderId="96" xfId="0" applyNumberFormat="1" applyFont="1" applyBorder="1" applyAlignment="1">
      <alignment horizontal="center"/>
    </xf>
    <xf numFmtId="3" fontId="7" fillId="15" borderId="45" xfId="0" applyNumberFormat="1" applyFont="1" applyFill="1" applyBorder="1" applyAlignment="1">
      <alignment horizontal="center"/>
    </xf>
    <xf numFmtId="172" fontId="15" fillId="0" borderId="0" xfId="0" applyNumberFormat="1" applyFont="1"/>
    <xf numFmtId="172" fontId="9" fillId="15" borderId="78" xfId="0" applyNumberFormat="1" applyFont="1" applyFill="1" applyBorder="1" applyAlignment="1">
      <alignment horizontal="center"/>
    </xf>
    <xf numFmtId="0" fontId="7" fillId="0" borderId="4" xfId="0" applyFont="1" applyBorder="1"/>
    <xf numFmtId="0" fontId="9" fillId="0" borderId="18" xfId="0" applyFont="1" applyBorder="1"/>
    <xf numFmtId="0" fontId="9" fillId="0" borderId="5" xfId="0" applyFont="1" applyBorder="1" applyAlignment="1">
      <alignment horizontal="center"/>
    </xf>
    <xf numFmtId="0" fontId="9" fillId="0" borderId="1" xfId="0" applyFont="1" applyBorder="1" applyAlignment="1">
      <alignment horizontal="center" wrapText="1"/>
    </xf>
    <xf numFmtId="0" fontId="7" fillId="0" borderId="3" xfId="0" applyFont="1" applyBorder="1"/>
    <xf numFmtId="2" fontId="45" fillId="0" borderId="0" xfId="0" applyNumberFormat="1" applyFont="1" applyAlignment="1">
      <alignment horizontal="center"/>
    </xf>
    <xf numFmtId="3" fontId="9" fillId="0" borderId="16" xfId="0" applyNumberFormat="1" applyFont="1" applyBorder="1" applyAlignment="1">
      <alignment vertical="center"/>
    </xf>
    <xf numFmtId="2" fontId="13" fillId="13" borderId="74" xfId="2" applyNumberFormat="1" applyFont="1" applyFill="1" applyBorder="1" applyAlignment="1">
      <alignment horizontal="center" vertical="center"/>
    </xf>
    <xf numFmtId="2" fontId="0" fillId="8" borderId="0" xfId="0" applyNumberFormat="1" applyFill="1" applyAlignment="1">
      <alignment horizontal="center"/>
    </xf>
    <xf numFmtId="0" fontId="46" fillId="8" borderId="0" xfId="0" applyFont="1" applyFill="1" applyAlignment="1">
      <alignment horizontal="center" vertical="center"/>
    </xf>
    <xf numFmtId="2" fontId="22" fillId="8" borderId="0" xfId="0" applyNumberFormat="1" applyFont="1" applyFill="1" applyAlignment="1">
      <alignment horizontal="center"/>
    </xf>
    <xf numFmtId="0" fontId="50" fillId="0" borderId="0" xfId="0" applyFont="1"/>
    <xf numFmtId="0" fontId="47" fillId="0" borderId="0" xfId="0" applyFont="1"/>
    <xf numFmtId="0" fontId="51" fillId="0" borderId="0" xfId="0" applyFont="1"/>
    <xf numFmtId="0" fontId="50" fillId="27" borderId="128" xfId="0" applyFont="1" applyFill="1" applyBorder="1"/>
    <xf numFmtId="0" fontId="50" fillId="30" borderId="128" xfId="0" applyFont="1" applyFill="1" applyBorder="1"/>
    <xf numFmtId="0" fontId="50" fillId="29" borderId="128" xfId="0" applyFont="1" applyFill="1" applyBorder="1"/>
    <xf numFmtId="0" fontId="50" fillId="32" borderId="128" xfId="0" applyFont="1" applyFill="1" applyBorder="1"/>
    <xf numFmtId="0" fontId="50" fillId="31" borderId="128" xfId="0" applyFont="1" applyFill="1" applyBorder="1"/>
    <xf numFmtId="0" fontId="48" fillId="0" borderId="128" xfId="0" applyFont="1" applyBorder="1" applyAlignment="1">
      <alignment horizontal="center" vertical="center"/>
    </xf>
    <xf numFmtId="0" fontId="47" fillId="0" borderId="33" xfId="0" applyFont="1" applyBorder="1" applyAlignment="1">
      <alignment horizontal="center" vertical="center"/>
    </xf>
    <xf numFmtId="0" fontId="47" fillId="0" borderId="129" xfId="0" applyFont="1" applyBorder="1" applyAlignment="1">
      <alignment horizontal="center" vertical="center"/>
    </xf>
    <xf numFmtId="0" fontId="49" fillId="0" borderId="129" xfId="0" applyFont="1" applyBorder="1" applyAlignment="1">
      <alignment horizontal="center" vertical="center"/>
    </xf>
    <xf numFmtId="16" fontId="49" fillId="0" borderId="129" xfId="0" applyNumberFormat="1" applyFont="1" applyBorder="1" applyAlignment="1">
      <alignment horizontal="center" vertical="center"/>
    </xf>
    <xf numFmtId="0" fontId="49" fillId="0" borderId="33" xfId="0" applyFont="1" applyBorder="1" applyAlignment="1">
      <alignment horizontal="center" vertical="center"/>
    </xf>
    <xf numFmtId="0" fontId="50" fillId="0" borderId="36" xfId="0" applyFont="1" applyBorder="1" applyAlignment="1">
      <alignment horizontal="center" vertical="center"/>
    </xf>
    <xf numFmtId="0" fontId="50" fillId="0" borderId="70" xfId="0" applyFont="1" applyBorder="1" applyAlignment="1">
      <alignment horizontal="center" vertical="center"/>
    </xf>
    <xf numFmtId="0" fontId="50" fillId="0" borderId="124" xfId="0" applyFont="1" applyBorder="1" applyAlignment="1">
      <alignment horizontal="center" vertical="center"/>
    </xf>
    <xf numFmtId="0" fontId="50" fillId="0" borderId="40" xfId="0" applyFont="1" applyBorder="1" applyAlignment="1">
      <alignment horizontal="center" vertical="center"/>
    </xf>
    <xf numFmtId="0" fontId="50" fillId="0" borderId="127" xfId="0" applyFont="1" applyBorder="1" applyAlignment="1">
      <alignment horizontal="center" vertical="center"/>
    </xf>
    <xf numFmtId="16" fontId="50" fillId="0" borderId="71" xfId="0" applyNumberFormat="1" applyFont="1" applyBorder="1" applyAlignment="1">
      <alignment horizontal="center" vertical="center"/>
    </xf>
    <xf numFmtId="0" fontId="50" fillId="0" borderId="126" xfId="0" applyFont="1" applyBorder="1" applyAlignment="1">
      <alignment horizontal="center" vertical="center"/>
    </xf>
    <xf numFmtId="0" fontId="50" fillId="0" borderId="37" xfId="0" applyFont="1" applyBorder="1" applyAlignment="1">
      <alignment horizontal="center" vertical="center"/>
    </xf>
    <xf numFmtId="0" fontId="50" fillId="0" borderId="71" xfId="0" applyFont="1" applyBorder="1" applyAlignment="1">
      <alignment horizontal="center" vertical="center"/>
    </xf>
    <xf numFmtId="0" fontId="50" fillId="9" borderId="126" xfId="0" applyFont="1" applyFill="1" applyBorder="1" applyAlignment="1">
      <alignment horizontal="center" vertical="center"/>
    </xf>
    <xf numFmtId="0" fontId="50" fillId="0" borderId="0" xfId="0" applyFont="1" applyAlignment="1">
      <alignment horizontal="center" vertical="center"/>
    </xf>
    <xf numFmtId="0" fontId="50" fillId="0" borderId="35" xfId="0" applyFont="1" applyBorder="1" applyAlignment="1">
      <alignment horizontal="center" vertical="center"/>
    </xf>
    <xf numFmtId="0" fontId="50" fillId="27" borderId="37" xfId="0" applyFont="1" applyFill="1" applyBorder="1" applyAlignment="1">
      <alignment horizontal="center" vertical="center"/>
    </xf>
    <xf numFmtId="0" fontId="50" fillId="0" borderId="27" xfId="0" applyFont="1" applyBorder="1" applyAlignment="1">
      <alignment horizontal="center" vertical="center"/>
    </xf>
    <xf numFmtId="0" fontId="50" fillId="0" borderId="131" xfId="0" applyFont="1" applyBorder="1" applyAlignment="1">
      <alignment horizontal="center" vertical="center"/>
    </xf>
    <xf numFmtId="0" fontId="50" fillId="0" borderId="72" xfId="0" applyFont="1" applyBorder="1" applyAlignment="1">
      <alignment horizontal="center" vertical="center"/>
    </xf>
    <xf numFmtId="0" fontId="50" fillId="28" borderId="132" xfId="0" applyFont="1" applyFill="1" applyBorder="1" applyAlignment="1">
      <alignment horizontal="center" vertical="center"/>
    </xf>
    <xf numFmtId="0" fontId="50" fillId="0" borderId="133" xfId="0" applyFont="1" applyBorder="1" applyAlignment="1">
      <alignment horizontal="center" vertical="center"/>
    </xf>
    <xf numFmtId="0" fontId="50" fillId="0" borderId="134" xfId="0" applyFont="1" applyBorder="1" applyAlignment="1">
      <alignment horizontal="center" vertical="center"/>
    </xf>
    <xf numFmtId="0" fontId="47" fillId="0" borderId="0" xfId="0" applyFont="1" applyAlignment="1">
      <alignment horizontal="center" vertical="center"/>
    </xf>
    <xf numFmtId="0" fontId="50" fillId="0" borderId="135" xfId="0" applyFont="1" applyBorder="1" applyAlignment="1">
      <alignment horizontal="center" vertical="center"/>
    </xf>
    <xf numFmtId="0" fontId="50" fillId="0" borderId="125" xfId="0" applyFont="1" applyBorder="1" applyAlignment="1">
      <alignment horizontal="center" vertical="center"/>
    </xf>
    <xf numFmtId="0" fontId="50" fillId="0" borderId="136" xfId="0" applyFont="1" applyBorder="1" applyAlignment="1">
      <alignment horizontal="center" vertical="center"/>
    </xf>
    <xf numFmtId="0" fontId="50" fillId="29" borderId="35" xfId="0" applyFont="1" applyFill="1" applyBorder="1" applyAlignment="1">
      <alignment horizontal="center" vertical="center"/>
    </xf>
    <xf numFmtId="16" fontId="50" fillId="0" borderId="136" xfId="0" applyNumberFormat="1" applyFont="1" applyBorder="1" applyAlignment="1">
      <alignment horizontal="center" vertical="center"/>
    </xf>
    <xf numFmtId="0" fontId="50" fillId="30" borderId="35" xfId="0" applyFont="1" applyFill="1" applyBorder="1" applyAlignment="1">
      <alignment horizontal="center" vertical="center"/>
    </xf>
    <xf numFmtId="0" fontId="50" fillId="31" borderId="37" xfId="0" applyFont="1" applyFill="1" applyBorder="1" applyAlignment="1">
      <alignment horizontal="center" vertical="center"/>
    </xf>
    <xf numFmtId="0" fontId="50" fillId="0" borderId="137" xfId="0" applyFont="1" applyBorder="1" applyAlignment="1">
      <alignment horizontal="center" vertical="center"/>
    </xf>
    <xf numFmtId="0" fontId="22" fillId="0" borderId="12" xfId="0" applyFont="1" applyBorder="1" applyAlignment="1">
      <alignment horizontal="center" vertical="center" wrapText="1"/>
    </xf>
    <xf numFmtId="0" fontId="22" fillId="0" borderId="10" xfId="0" applyFont="1" applyBorder="1" applyAlignment="1">
      <alignment horizontal="center" vertical="center" wrapText="1"/>
    </xf>
    <xf numFmtId="0" fontId="0" fillId="0" borderId="0" xfId="0" applyAlignment="1">
      <alignment wrapText="1"/>
    </xf>
    <xf numFmtId="0" fontId="22" fillId="0" borderId="1" xfId="0" applyFont="1" applyBorder="1" applyAlignment="1">
      <alignment horizontal="center" vertical="center" wrapText="1"/>
    </xf>
    <xf numFmtId="0" fontId="42" fillId="0" borderId="12" xfId="0" quotePrefix="1" applyFont="1" applyBorder="1" applyAlignment="1">
      <alignment horizontal="center" vertical="center" wrapText="1"/>
    </xf>
    <xf numFmtId="10" fontId="13" fillId="13" borderId="74" xfId="2" applyNumberFormat="1" applyFont="1" applyFill="1" applyBorder="1" applyAlignment="1">
      <alignment horizontal="center" vertical="center"/>
    </xf>
    <xf numFmtId="4" fontId="22" fillId="13" borderId="0" xfId="0" applyNumberFormat="1" applyFont="1" applyFill="1" applyAlignment="1">
      <alignment horizontal="center" vertical="center"/>
    </xf>
    <xf numFmtId="0" fontId="15" fillId="13" borderId="0" xfId="0" applyFont="1" applyFill="1"/>
    <xf numFmtId="0" fontId="24" fillId="26" borderId="109" xfId="0" applyFont="1" applyFill="1" applyBorder="1" applyAlignment="1">
      <alignment horizontal="center"/>
    </xf>
    <xf numFmtId="0" fontId="24" fillId="26" borderId="48" xfId="0" applyFont="1" applyFill="1" applyBorder="1" applyAlignment="1">
      <alignment horizontal="center"/>
    </xf>
    <xf numFmtId="0" fontId="24" fillId="26" borderId="49" xfId="0" applyFont="1" applyFill="1" applyBorder="1" applyAlignment="1">
      <alignment horizontal="center"/>
    </xf>
    <xf numFmtId="0" fontId="24" fillId="26" borderId="50" xfId="0" applyFont="1" applyFill="1" applyBorder="1" applyAlignment="1">
      <alignment horizontal="center"/>
    </xf>
    <xf numFmtId="0" fontId="24" fillId="26" borderId="45" xfId="0" applyFont="1" applyFill="1" applyBorder="1"/>
    <xf numFmtId="3" fontId="24" fillId="15" borderId="112" xfId="0" applyNumberFormat="1" applyFont="1" applyFill="1" applyBorder="1" applyAlignment="1">
      <alignment horizontal="center"/>
    </xf>
    <xf numFmtId="3" fontId="24" fillId="15" borderId="113" xfId="0" applyNumberFormat="1" applyFont="1" applyFill="1" applyBorder="1" applyAlignment="1">
      <alignment horizontal="center"/>
    </xf>
    <xf numFmtId="3" fontId="22" fillId="7" borderId="97" xfId="0" applyNumberFormat="1" applyFont="1" applyFill="1" applyBorder="1" applyAlignment="1">
      <alignment horizontal="center"/>
    </xf>
    <xf numFmtId="0" fontId="52" fillId="0" borderId="1" xfId="0" applyFont="1" applyBorder="1" applyAlignment="1">
      <alignment horizontal="center"/>
    </xf>
    <xf numFmtId="0" fontId="17" fillId="0" borderId="0" xfId="0" applyFont="1" applyAlignment="1">
      <alignment vertical="top" wrapText="1"/>
    </xf>
    <xf numFmtId="0" fontId="17" fillId="0" borderId="10" xfId="0" applyFont="1" applyBorder="1" applyAlignment="1">
      <alignment vertical="top" wrapText="1"/>
    </xf>
    <xf numFmtId="0" fontId="17" fillId="0" borderId="11" xfId="0" applyFont="1" applyBorder="1"/>
    <xf numFmtId="0" fontId="52" fillId="0" borderId="0" xfId="0" applyFont="1"/>
    <xf numFmtId="3" fontId="0" fillId="15" borderId="105" xfId="0" applyNumberFormat="1" applyFill="1" applyBorder="1" applyAlignment="1">
      <alignment horizontal="center"/>
    </xf>
    <xf numFmtId="3" fontId="0" fillId="15" borderId="106" xfId="0" applyNumberFormat="1" applyFill="1" applyBorder="1" applyAlignment="1">
      <alignment horizontal="center"/>
    </xf>
    <xf numFmtId="0" fontId="0" fillId="15" borderId="49" xfId="0" applyFill="1" applyBorder="1"/>
    <xf numFmtId="4" fontId="0" fillId="15" borderId="50" xfId="0" applyNumberFormat="1" applyFill="1" applyBorder="1" applyAlignment="1">
      <alignment horizontal="center"/>
    </xf>
    <xf numFmtId="3" fontId="0" fillId="15" borderId="15" xfId="0" applyNumberFormat="1" applyFill="1" applyBorder="1" applyAlignment="1">
      <alignment horizontal="center"/>
    </xf>
    <xf numFmtId="0" fontId="0" fillId="15" borderId="2" xfId="0" applyFill="1" applyBorder="1" applyAlignment="1">
      <alignment horizontal="center"/>
    </xf>
    <xf numFmtId="0" fontId="0" fillId="15" borderId="13" xfId="0" applyFill="1" applyBorder="1" applyAlignment="1">
      <alignment horizontal="center"/>
    </xf>
    <xf numFmtId="0" fontId="24" fillId="26" borderId="14" xfId="0" applyFont="1" applyFill="1" applyBorder="1" applyAlignment="1">
      <alignment horizontal="center"/>
    </xf>
    <xf numFmtId="0" fontId="24" fillId="26" borderId="16" xfId="0" applyFont="1" applyFill="1" applyBorder="1" applyAlignment="1">
      <alignment horizontal="center"/>
    </xf>
    <xf numFmtId="0" fontId="24" fillId="26" borderId="107" xfId="0" applyFont="1" applyFill="1" applyBorder="1" applyAlignment="1">
      <alignment horizontal="center"/>
    </xf>
    <xf numFmtId="4" fontId="24" fillId="15" borderId="63" xfId="0" applyNumberFormat="1" applyFont="1" applyFill="1" applyBorder="1"/>
    <xf numFmtId="3" fontId="24" fillId="15" borderId="62" xfId="0" applyNumberFormat="1" applyFont="1" applyFill="1" applyBorder="1" applyAlignment="1">
      <alignment horizontal="center"/>
    </xf>
    <xf numFmtId="0" fontId="54" fillId="0" borderId="0" xfId="0" applyFont="1"/>
    <xf numFmtId="0" fontId="55" fillId="0" borderId="0" xfId="0" applyFont="1" applyAlignment="1">
      <alignment vertical="center"/>
    </xf>
    <xf numFmtId="0" fontId="55" fillId="0" borderId="0" xfId="0" applyFont="1" applyAlignment="1">
      <alignment horizontal="center" vertical="center"/>
    </xf>
    <xf numFmtId="0" fontId="54" fillId="0" borderId="0" xfId="0" applyFont="1" applyAlignment="1">
      <alignment horizontal="left" indent="1"/>
    </xf>
    <xf numFmtId="0" fontId="56" fillId="0" borderId="0" xfId="0" applyFont="1" applyAlignment="1">
      <alignment horizontal="left"/>
    </xf>
    <xf numFmtId="0" fontId="56" fillId="0" borderId="0" xfId="0" applyFont="1" applyAlignment="1">
      <alignment horizontal="center"/>
    </xf>
    <xf numFmtId="0" fontId="57" fillId="0" borderId="0" xfId="0" applyFont="1"/>
    <xf numFmtId="0" fontId="59" fillId="0" borderId="0" xfId="0" applyFont="1" applyAlignment="1">
      <alignment vertical="center" wrapText="1"/>
    </xf>
    <xf numFmtId="0" fontId="60" fillId="0" borderId="0" xfId="0" applyFont="1" applyAlignment="1" applyProtection="1">
      <alignment vertical="center"/>
      <protection hidden="1"/>
    </xf>
    <xf numFmtId="0" fontId="61" fillId="0" borderId="0" xfId="0" applyFont="1" applyAlignment="1">
      <alignment horizontal="center" vertical="center" wrapText="1"/>
    </xf>
    <xf numFmtId="0" fontId="61" fillId="0" borderId="0" xfId="0" applyFont="1" applyAlignment="1">
      <alignment horizontal="left" vertical="center" wrapText="1"/>
    </xf>
    <xf numFmtId="0" fontId="62" fillId="0" borderId="0" xfId="0" applyFont="1" applyAlignment="1" applyProtection="1">
      <alignment vertical="center"/>
      <protection hidden="1"/>
    </xf>
    <xf numFmtId="0" fontId="59" fillId="0" borderId="0" xfId="0" applyFont="1" applyAlignment="1">
      <alignment horizontal="left"/>
    </xf>
    <xf numFmtId="0" fontId="59" fillId="0" borderId="0" xfId="0" applyFont="1" applyAlignment="1">
      <alignment horizontal="center"/>
    </xf>
    <xf numFmtId="0" fontId="59" fillId="0" borderId="0" xfId="0" applyFont="1"/>
    <xf numFmtId="0" fontId="63" fillId="0" borderId="0" xfId="0" applyFont="1"/>
    <xf numFmtId="0" fontId="63" fillId="0" borderId="0" xfId="0" applyFont="1" applyAlignment="1" applyProtection="1">
      <alignment horizontal="left" vertical="center" wrapText="1"/>
      <protection hidden="1"/>
    </xf>
    <xf numFmtId="0" fontId="64" fillId="8" borderId="0" xfId="7" applyFont="1" applyFill="1" applyAlignment="1">
      <alignment horizontal="left" vertical="center"/>
    </xf>
    <xf numFmtId="0" fontId="55" fillId="0" borderId="0" xfId="0" applyFont="1" applyAlignment="1" applyProtection="1">
      <alignment horizontal="left" vertical="center" wrapText="1"/>
      <protection hidden="1"/>
    </xf>
    <xf numFmtId="0" fontId="65" fillId="8" borderId="0" xfId="7" applyFont="1" applyFill="1" applyAlignment="1">
      <alignment horizontal="left" vertical="center"/>
    </xf>
    <xf numFmtId="0" fontId="66" fillId="11" borderId="19" xfId="0" applyFont="1" applyFill="1" applyBorder="1" applyAlignment="1">
      <alignment horizontal="center" vertical="center" wrapText="1"/>
    </xf>
    <xf numFmtId="0" fontId="66" fillId="11" borderId="26" xfId="0" applyFont="1" applyFill="1" applyBorder="1" applyAlignment="1">
      <alignment horizontal="center" vertical="center" wrapText="1"/>
    </xf>
    <xf numFmtId="0" fontId="55" fillId="0" borderId="139" xfId="0" applyFont="1" applyBorder="1" applyAlignment="1">
      <alignment horizontal="left" vertical="center" wrapText="1" indent="1"/>
    </xf>
    <xf numFmtId="0" fontId="68" fillId="7" borderId="140" xfId="0" applyFont="1" applyFill="1" applyBorder="1" applyAlignment="1">
      <alignment horizontal="center" vertical="center" wrapText="1"/>
    </xf>
    <xf numFmtId="3" fontId="68" fillId="7" borderId="21" xfId="6" applyNumberFormat="1" applyFont="1" applyFill="1" applyBorder="1" applyAlignment="1">
      <alignment horizontal="center" vertical="center"/>
    </xf>
    <xf numFmtId="3" fontId="68" fillId="7" borderId="141" xfId="6" applyNumberFormat="1" applyFont="1" applyFill="1" applyBorder="1" applyAlignment="1">
      <alignment horizontal="center" vertical="center"/>
    </xf>
    <xf numFmtId="3" fontId="68" fillId="7" borderId="142" xfId="6" applyNumberFormat="1" applyFont="1" applyFill="1" applyBorder="1" applyAlignment="1">
      <alignment horizontal="center" vertical="center"/>
    </xf>
    <xf numFmtId="9" fontId="69" fillId="7" borderId="143" xfId="6" applyFont="1" applyFill="1" applyBorder="1" applyAlignment="1">
      <alignment horizontal="center" vertical="center"/>
    </xf>
    <xf numFmtId="9" fontId="70" fillId="7" borderId="143" xfId="6" applyFont="1" applyFill="1" applyBorder="1" applyAlignment="1">
      <alignment horizontal="center" vertical="center"/>
    </xf>
    <xf numFmtId="3" fontId="70" fillId="7" borderId="141" xfId="6" applyNumberFormat="1" applyFont="1" applyFill="1" applyBorder="1" applyAlignment="1">
      <alignment horizontal="center" vertical="center"/>
    </xf>
    <xf numFmtId="9" fontId="70" fillId="7" borderId="144" xfId="6" applyFont="1" applyFill="1" applyBorder="1" applyAlignment="1">
      <alignment horizontal="center" vertical="center"/>
    </xf>
    <xf numFmtId="9" fontId="69" fillId="7" borderId="144" xfId="6" applyFont="1" applyFill="1" applyBorder="1" applyAlignment="1">
      <alignment horizontal="center" vertical="center"/>
    </xf>
    <xf numFmtId="3" fontId="71" fillId="8" borderId="145" xfId="0" applyNumberFormat="1" applyFont="1" applyFill="1" applyBorder="1" applyAlignment="1">
      <alignment horizontal="left" vertical="center" wrapText="1"/>
    </xf>
    <xf numFmtId="0" fontId="55" fillId="0" borderId="146" xfId="0" applyFont="1" applyBorder="1" applyAlignment="1">
      <alignment horizontal="left" vertical="center" wrapText="1" indent="1"/>
    </xf>
    <xf numFmtId="0" fontId="68" fillId="7" borderId="147" xfId="0" applyFont="1" applyFill="1" applyBorder="1" applyAlignment="1">
      <alignment horizontal="center" vertical="center" wrapText="1"/>
    </xf>
    <xf numFmtId="3" fontId="68" fillId="7" borderId="148" xfId="6" applyNumberFormat="1" applyFont="1" applyFill="1" applyBorder="1" applyAlignment="1">
      <alignment horizontal="center" vertical="center"/>
    </xf>
    <xf numFmtId="3" fontId="68" fillId="7" borderId="149" xfId="6" applyNumberFormat="1" applyFont="1" applyFill="1" applyBorder="1" applyAlignment="1">
      <alignment horizontal="center" vertical="center"/>
    </xf>
    <xf numFmtId="3" fontId="68" fillId="7" borderId="150" xfId="6" applyNumberFormat="1" applyFont="1" applyFill="1" applyBorder="1" applyAlignment="1">
      <alignment horizontal="center" vertical="center"/>
    </xf>
    <xf numFmtId="9" fontId="69" fillId="7" borderId="151" xfId="6" applyFont="1" applyFill="1" applyBorder="1" applyAlignment="1">
      <alignment horizontal="center" vertical="center"/>
    </xf>
    <xf numFmtId="3" fontId="70" fillId="7" borderId="149" xfId="6" applyNumberFormat="1" applyFont="1" applyFill="1" applyBorder="1" applyAlignment="1">
      <alignment horizontal="center" vertical="center"/>
    </xf>
    <xf numFmtId="9" fontId="70" fillId="7" borderId="152" xfId="6" applyFont="1" applyFill="1" applyBorder="1" applyAlignment="1">
      <alignment horizontal="center" vertical="center"/>
    </xf>
    <xf numFmtId="9" fontId="69" fillId="7" borderId="152" xfId="6" applyFont="1" applyFill="1" applyBorder="1" applyAlignment="1">
      <alignment horizontal="center" vertical="center"/>
    </xf>
    <xf numFmtId="3" fontId="71" fillId="8" borderId="153" xfId="0" applyNumberFormat="1" applyFont="1" applyFill="1" applyBorder="1" applyAlignment="1">
      <alignment horizontal="left" vertical="center" wrapText="1"/>
    </xf>
    <xf numFmtId="3" fontId="68" fillId="7" borderId="147" xfId="6" applyNumberFormat="1" applyFont="1" applyFill="1" applyBorder="1" applyAlignment="1">
      <alignment horizontal="center" vertical="center"/>
    </xf>
    <xf numFmtId="9" fontId="70" fillId="7" borderId="151" xfId="6" applyFont="1" applyFill="1" applyBorder="1" applyAlignment="1">
      <alignment horizontal="center" vertical="center"/>
    </xf>
    <xf numFmtId="0" fontId="55" fillId="0" borderId="154" xfId="0" applyFont="1" applyBorder="1" applyAlignment="1">
      <alignment horizontal="left" vertical="center" wrapText="1" indent="1"/>
    </xf>
    <xf numFmtId="0" fontId="68" fillId="7" borderId="148" xfId="0" applyFont="1" applyFill="1" applyBorder="1" applyAlignment="1">
      <alignment horizontal="center" vertical="center" wrapText="1"/>
    </xf>
    <xf numFmtId="9" fontId="68" fillId="7" borderId="155" xfId="6" applyFont="1" applyFill="1" applyBorder="1" applyAlignment="1">
      <alignment horizontal="center" vertical="center"/>
    </xf>
    <xf numFmtId="3" fontId="68" fillId="7" borderId="156" xfId="0" applyNumberFormat="1" applyFont="1" applyFill="1" applyBorder="1" applyAlignment="1">
      <alignment horizontal="center" vertical="center"/>
    </xf>
    <xf numFmtId="3" fontId="68" fillId="7" borderId="157" xfId="6" applyNumberFormat="1" applyFont="1" applyFill="1" applyBorder="1" applyAlignment="1">
      <alignment horizontal="center" vertical="center"/>
    </xf>
    <xf numFmtId="9" fontId="72" fillId="7" borderId="158" xfId="6" applyFont="1" applyFill="1" applyBorder="1" applyAlignment="1">
      <alignment horizontal="center" vertical="center"/>
    </xf>
    <xf numFmtId="9" fontId="72" fillId="7" borderId="156" xfId="6" applyFont="1" applyFill="1" applyBorder="1" applyAlignment="1">
      <alignment horizontal="center" vertical="center"/>
    </xf>
    <xf numFmtId="9" fontId="72" fillId="7" borderId="157" xfId="6" applyFont="1" applyFill="1" applyBorder="1" applyAlignment="1">
      <alignment horizontal="center" vertical="center"/>
    </xf>
    <xf numFmtId="0" fontId="55" fillId="0" borderId="159" xfId="0" applyFont="1" applyBorder="1" applyAlignment="1">
      <alignment vertical="center" wrapText="1"/>
    </xf>
    <xf numFmtId="4" fontId="68" fillId="7" borderId="160" xfId="5" applyNumberFormat="1" applyFont="1" applyFill="1" applyBorder="1" applyAlignment="1">
      <alignment horizontal="center" vertical="center"/>
    </xf>
    <xf numFmtId="4" fontId="68" fillId="7" borderId="156" xfId="5" applyNumberFormat="1" applyFont="1" applyFill="1" applyBorder="1" applyAlignment="1">
      <alignment horizontal="center" vertical="center"/>
    </xf>
    <xf numFmtId="4" fontId="68" fillId="7" borderId="157" xfId="5" applyNumberFormat="1" applyFont="1" applyFill="1" applyBorder="1" applyAlignment="1">
      <alignment horizontal="center" vertical="center"/>
    </xf>
    <xf numFmtId="9" fontId="69" fillId="7" borderId="158" xfId="6" applyFont="1" applyFill="1" applyBorder="1" applyAlignment="1">
      <alignment horizontal="center" vertical="center"/>
    </xf>
    <xf numFmtId="2" fontId="69" fillId="7" borderId="156" xfId="6" applyNumberFormat="1" applyFont="1" applyFill="1" applyBorder="1" applyAlignment="1">
      <alignment horizontal="center" vertical="center"/>
    </xf>
    <xf numFmtId="2" fontId="70" fillId="7" borderId="156" xfId="6" applyNumberFormat="1" applyFont="1" applyFill="1" applyBorder="1" applyAlignment="1">
      <alignment horizontal="center" vertical="center"/>
    </xf>
    <xf numFmtId="9" fontId="71" fillId="8" borderId="159" xfId="0" applyNumberFormat="1" applyFont="1" applyFill="1" applyBorder="1" applyAlignment="1">
      <alignment horizontal="left" vertical="center" wrapText="1"/>
    </xf>
    <xf numFmtId="9" fontId="68" fillId="7" borderId="160" xfId="0" applyNumberFormat="1" applyFont="1" applyFill="1" applyBorder="1" applyAlignment="1">
      <alignment horizontal="center" vertical="center"/>
    </xf>
    <xf numFmtId="171" fontId="68" fillId="7" borderId="156" xfId="0" applyNumberFormat="1" applyFont="1" applyFill="1" applyBorder="1" applyAlignment="1">
      <alignment horizontal="center" vertical="center"/>
    </xf>
    <xf numFmtId="171" fontId="68" fillId="7" borderId="157" xfId="0" applyNumberFormat="1" applyFont="1" applyFill="1" applyBorder="1" applyAlignment="1">
      <alignment horizontal="center" vertical="center"/>
    </xf>
    <xf numFmtId="171" fontId="70" fillId="7" borderId="149" xfId="6" applyNumberFormat="1" applyFont="1" applyFill="1" applyBorder="1" applyAlignment="1">
      <alignment horizontal="center" vertical="center"/>
    </xf>
    <xf numFmtId="166" fontId="70" fillId="7" borderId="157" xfId="6" applyNumberFormat="1" applyFont="1" applyFill="1" applyBorder="1" applyAlignment="1">
      <alignment horizontal="center" vertical="center"/>
    </xf>
    <xf numFmtId="9" fontId="70" fillId="7" borderId="161" xfId="6" applyFont="1" applyFill="1" applyBorder="1" applyAlignment="1">
      <alignment horizontal="center" vertical="center"/>
    </xf>
    <xf numFmtId="166" fontId="68" fillId="7" borderId="156" xfId="0" applyNumberFormat="1" applyFont="1" applyFill="1" applyBorder="1" applyAlignment="1">
      <alignment horizontal="center" vertical="center"/>
    </xf>
    <xf numFmtId="166" fontId="68" fillId="7" borderId="157" xfId="0" applyNumberFormat="1" applyFont="1" applyFill="1" applyBorder="1" applyAlignment="1">
      <alignment horizontal="center" vertical="center"/>
    </xf>
    <xf numFmtId="9" fontId="69" fillId="7" borderId="161" xfId="0" applyNumberFormat="1" applyFont="1" applyFill="1" applyBorder="1" applyAlignment="1">
      <alignment horizontal="center" vertical="center"/>
    </xf>
    <xf numFmtId="166" fontId="68" fillId="7" borderId="160" xfId="0" applyNumberFormat="1" applyFont="1" applyFill="1" applyBorder="1" applyAlignment="1">
      <alignment horizontal="center" vertical="center"/>
    </xf>
    <xf numFmtId="9" fontId="69" fillId="7" borderId="156" xfId="6" applyFont="1" applyFill="1" applyBorder="1" applyAlignment="1">
      <alignment horizontal="center" vertical="center"/>
    </xf>
    <xf numFmtId="9" fontId="69" fillId="7" borderId="157" xfId="6" applyFont="1" applyFill="1" applyBorder="1" applyAlignment="1">
      <alignment horizontal="center" vertical="center"/>
    </xf>
    <xf numFmtId="9" fontId="69" fillId="7" borderId="161" xfId="6" applyFont="1" applyFill="1" applyBorder="1" applyAlignment="1">
      <alignment horizontal="center" vertical="center"/>
    </xf>
    <xf numFmtId="166" fontId="68" fillId="7" borderId="160" xfId="5" applyNumberFormat="1" applyFont="1" applyFill="1" applyBorder="1" applyAlignment="1">
      <alignment horizontal="center" vertical="center"/>
    </xf>
    <xf numFmtId="9" fontId="68" fillId="7" borderId="158" xfId="6" applyFont="1" applyFill="1" applyBorder="1" applyAlignment="1">
      <alignment horizontal="center" vertical="center"/>
    </xf>
    <xf numFmtId="2" fontId="68" fillId="7" borderId="156" xfId="5" applyNumberFormat="1" applyFont="1" applyFill="1" applyBorder="1" applyAlignment="1">
      <alignment horizontal="center" vertical="center"/>
    </xf>
    <xf numFmtId="2" fontId="68" fillId="7" borderId="157" xfId="5" applyNumberFormat="1" applyFont="1" applyFill="1" applyBorder="1" applyAlignment="1">
      <alignment horizontal="center" vertical="center"/>
    </xf>
    <xf numFmtId="173" fontId="68" fillId="7" borderId="160" xfId="5" applyNumberFormat="1" applyFont="1" applyFill="1" applyBorder="1" applyAlignment="1">
      <alignment horizontal="center" vertical="center"/>
    </xf>
    <xf numFmtId="174" fontId="68" fillId="7" borderId="156" xfId="5" applyNumberFormat="1" applyFont="1" applyFill="1" applyBorder="1" applyAlignment="1">
      <alignment horizontal="center" vertical="center"/>
    </xf>
    <xf numFmtId="174" fontId="68" fillId="7" borderId="157" xfId="5" applyNumberFormat="1" applyFont="1" applyFill="1" applyBorder="1" applyAlignment="1">
      <alignment horizontal="center" vertical="center"/>
    </xf>
    <xf numFmtId="173" fontId="68" fillId="7" borderId="156" xfId="5" applyNumberFormat="1" applyFont="1" applyFill="1" applyBorder="1" applyAlignment="1">
      <alignment horizontal="center" vertical="center"/>
    </xf>
    <xf numFmtId="173" fontId="68" fillId="7" borderId="157" xfId="5" applyNumberFormat="1" applyFont="1" applyFill="1" applyBorder="1" applyAlignment="1">
      <alignment horizontal="center" vertical="center"/>
    </xf>
    <xf numFmtId="9" fontId="68" fillId="7" borderId="161" xfId="6" applyFont="1" applyFill="1" applyBorder="1" applyAlignment="1">
      <alignment horizontal="center" vertical="center"/>
    </xf>
    <xf numFmtId="9" fontId="70" fillId="7" borderId="158" xfId="6" applyFont="1" applyFill="1" applyBorder="1" applyAlignment="1">
      <alignment horizontal="center" vertical="center"/>
    </xf>
    <xf numFmtId="2" fontId="71" fillId="8" borderId="159" xfId="5" applyNumberFormat="1" applyFont="1" applyFill="1" applyBorder="1" applyAlignment="1">
      <alignment horizontal="left" vertical="center" wrapText="1"/>
    </xf>
    <xf numFmtId="2" fontId="71" fillId="8" borderId="164" xfId="5" applyNumberFormat="1" applyFont="1" applyFill="1" applyBorder="1" applyAlignment="1">
      <alignment horizontal="left" vertical="center" wrapText="1"/>
    </xf>
    <xf numFmtId="0" fontId="55" fillId="0" borderId="165" xfId="0" applyFont="1" applyBorder="1" applyAlignment="1">
      <alignment horizontal="left" vertical="center" wrapText="1" indent="1"/>
    </xf>
    <xf numFmtId="0" fontId="68" fillId="7" borderId="166" xfId="0" applyFont="1" applyFill="1" applyBorder="1" applyAlignment="1">
      <alignment horizontal="center" vertical="center" wrapText="1"/>
    </xf>
    <xf numFmtId="2" fontId="68" fillId="7" borderId="167" xfId="5" applyNumberFormat="1" applyFont="1" applyFill="1" applyBorder="1" applyAlignment="1">
      <alignment horizontal="center" vertical="center"/>
    </xf>
    <xf numFmtId="4" fontId="68" fillId="7" borderId="168" xfId="5" applyNumberFormat="1" applyFont="1" applyFill="1" applyBorder="1" applyAlignment="1">
      <alignment horizontal="center" vertical="center"/>
    </xf>
    <xf numFmtId="4" fontId="68" fillId="7" borderId="169" xfId="5" applyNumberFormat="1" applyFont="1" applyFill="1" applyBorder="1" applyAlignment="1">
      <alignment horizontal="center" vertical="center"/>
    </xf>
    <xf numFmtId="9" fontId="68" fillId="7" borderId="170" xfId="6" applyFont="1" applyFill="1" applyBorder="1" applyAlignment="1">
      <alignment horizontal="center" vertical="center"/>
    </xf>
    <xf numFmtId="2" fontId="68" fillId="7" borderId="168" xfId="5" applyNumberFormat="1" applyFont="1" applyFill="1" applyBorder="1" applyAlignment="1">
      <alignment horizontal="center" vertical="center"/>
    </xf>
    <xf numFmtId="9" fontId="68" fillId="7" borderId="171" xfId="6" applyFont="1" applyFill="1" applyBorder="1" applyAlignment="1">
      <alignment horizontal="center" vertical="center"/>
    </xf>
    <xf numFmtId="2" fontId="71" fillId="8" borderId="166" xfId="5" applyNumberFormat="1" applyFont="1" applyFill="1" applyBorder="1" applyAlignment="1">
      <alignment horizontal="left" vertical="center" wrapText="1"/>
    </xf>
    <xf numFmtId="165" fontId="68" fillId="7" borderId="172" xfId="6" applyNumberFormat="1" applyFont="1" applyFill="1" applyBorder="1" applyAlignment="1">
      <alignment horizontal="center" vertical="center"/>
    </xf>
    <xf numFmtId="165" fontId="68" fillId="7" borderId="141" xfId="6" applyNumberFormat="1" applyFont="1" applyFill="1" applyBorder="1" applyAlignment="1">
      <alignment horizontal="center" vertical="center"/>
    </xf>
    <xf numFmtId="165" fontId="68" fillId="7" borderId="142" xfId="6" applyNumberFormat="1" applyFont="1" applyFill="1" applyBorder="1" applyAlignment="1">
      <alignment horizontal="center" vertical="center"/>
    </xf>
    <xf numFmtId="9" fontId="72" fillId="7" borderId="144" xfId="6" applyFont="1" applyFill="1" applyBorder="1" applyAlignment="1">
      <alignment horizontal="center" vertical="center"/>
    </xf>
    <xf numFmtId="9" fontId="68" fillId="7" borderId="144" xfId="6" applyFont="1" applyFill="1" applyBorder="1" applyAlignment="1">
      <alignment horizontal="center" vertical="center"/>
    </xf>
    <xf numFmtId="165" fontId="68" fillId="7" borderId="160" xfId="6" applyNumberFormat="1" applyFont="1" applyFill="1" applyBorder="1" applyAlignment="1">
      <alignment horizontal="center" vertical="center"/>
    </xf>
    <xf numFmtId="165" fontId="68" fillId="7" borderId="156" xfId="6" applyNumberFormat="1" applyFont="1" applyFill="1" applyBorder="1" applyAlignment="1">
      <alignment horizontal="center" vertical="center"/>
    </xf>
    <xf numFmtId="165" fontId="68" fillId="7" borderId="157" xfId="6" applyNumberFormat="1" applyFont="1" applyFill="1" applyBorder="1" applyAlignment="1">
      <alignment horizontal="center" vertical="center"/>
    </xf>
    <xf numFmtId="2" fontId="71" fillId="0" borderId="159" xfId="5" applyNumberFormat="1" applyFont="1" applyBorder="1" applyAlignment="1">
      <alignment horizontal="left" vertical="center" wrapText="1"/>
    </xf>
    <xf numFmtId="167" fontId="68" fillId="7" borderId="147" xfId="6" applyNumberFormat="1" applyFont="1" applyFill="1" applyBorder="1" applyAlignment="1">
      <alignment horizontal="center" vertical="center"/>
    </xf>
    <xf numFmtId="167" fontId="68" fillId="7" borderId="156" xfId="6" applyNumberFormat="1" applyFont="1" applyFill="1" applyBorder="1" applyAlignment="1">
      <alignment horizontal="center" vertical="center"/>
    </xf>
    <xf numFmtId="167" fontId="68" fillId="7" borderId="157" xfId="6" applyNumberFormat="1" applyFont="1" applyFill="1" applyBorder="1" applyAlignment="1">
      <alignment horizontal="center" vertical="center"/>
    </xf>
    <xf numFmtId="0" fontId="71" fillId="0" borderId="173" xfId="0" applyFont="1" applyBorder="1" applyAlignment="1">
      <alignment vertical="center" wrapText="1"/>
    </xf>
    <xf numFmtId="0" fontId="73" fillId="0" borderId="0" xfId="0" applyFont="1"/>
    <xf numFmtId="0" fontId="71" fillId="0" borderId="153" xfId="0" applyFont="1" applyBorder="1" applyAlignment="1">
      <alignment vertical="center" wrapText="1"/>
    </xf>
    <xf numFmtId="165" fontId="71" fillId="0" borderId="159" xfId="6" applyNumberFormat="1" applyFont="1" applyBorder="1" applyAlignment="1">
      <alignment horizontal="left" vertical="center" wrapText="1"/>
    </xf>
    <xf numFmtId="165" fontId="68" fillId="7" borderId="167" xfId="6" applyNumberFormat="1" applyFont="1" applyFill="1" applyBorder="1" applyAlignment="1">
      <alignment horizontal="center" vertical="center"/>
    </xf>
    <xf numFmtId="165" fontId="68" fillId="7" borderId="168" xfId="6" applyNumberFormat="1" applyFont="1" applyFill="1" applyBorder="1" applyAlignment="1">
      <alignment horizontal="center" vertical="center"/>
    </xf>
    <xf numFmtId="165" fontId="68" fillId="7" borderId="169" xfId="6" applyNumberFormat="1" applyFont="1" applyFill="1" applyBorder="1" applyAlignment="1">
      <alignment horizontal="center" vertical="center"/>
    </xf>
    <xf numFmtId="9" fontId="68" fillId="7" borderId="168" xfId="6" applyFont="1" applyFill="1" applyBorder="1" applyAlignment="1">
      <alignment horizontal="center" vertical="center"/>
    </xf>
    <xf numFmtId="9" fontId="68" fillId="7" borderId="169" xfId="6" applyFont="1" applyFill="1" applyBorder="1" applyAlignment="1">
      <alignment horizontal="center" vertical="center"/>
    </xf>
    <xf numFmtId="166" fontId="71" fillId="0" borderId="173" xfId="5" applyNumberFormat="1" applyFont="1" applyBorder="1" applyAlignment="1">
      <alignment horizontal="left" vertical="center"/>
    </xf>
    <xf numFmtId="9" fontId="68" fillId="7" borderId="172" xfId="0" applyNumberFormat="1" applyFont="1" applyFill="1" applyBorder="1" applyAlignment="1">
      <alignment horizontal="center" vertical="center"/>
    </xf>
    <xf numFmtId="9" fontId="68" fillId="7" borderId="141" xfId="0" applyNumberFormat="1" applyFont="1" applyFill="1" applyBorder="1" applyAlignment="1">
      <alignment horizontal="center" vertical="center"/>
    </xf>
    <xf numFmtId="9" fontId="68" fillId="7" borderId="142" xfId="0" applyNumberFormat="1" applyFont="1" applyFill="1" applyBorder="1" applyAlignment="1">
      <alignment horizontal="center" vertical="center"/>
    </xf>
    <xf numFmtId="9" fontId="68" fillId="7" borderId="144" xfId="0" applyNumberFormat="1" applyFont="1" applyFill="1" applyBorder="1" applyAlignment="1">
      <alignment horizontal="center" vertical="center"/>
    </xf>
    <xf numFmtId="9" fontId="69" fillId="7" borderId="144" xfId="0" applyNumberFormat="1" applyFont="1" applyFill="1" applyBorder="1" applyAlignment="1">
      <alignment horizontal="center" vertical="center"/>
    </xf>
    <xf numFmtId="9" fontId="69" fillId="7" borderId="143" xfId="0" applyNumberFormat="1" applyFont="1" applyFill="1" applyBorder="1" applyAlignment="1">
      <alignment horizontal="center" vertical="center"/>
    </xf>
    <xf numFmtId="9" fontId="72" fillId="7" borderId="144" xfId="0" applyNumberFormat="1" applyFont="1" applyFill="1" applyBorder="1" applyAlignment="1">
      <alignment horizontal="center" vertical="center"/>
    </xf>
    <xf numFmtId="0" fontId="71" fillId="0" borderId="159" xfId="0" applyFont="1" applyBorder="1" applyAlignment="1">
      <alignment vertical="center" wrapText="1"/>
    </xf>
    <xf numFmtId="1" fontId="55" fillId="0" borderId="0" xfId="0" applyNumberFormat="1" applyFont="1" applyAlignment="1">
      <alignment vertical="center"/>
    </xf>
    <xf numFmtId="9" fontId="68" fillId="7" borderId="156" xfId="0" applyNumberFormat="1" applyFont="1" applyFill="1" applyBorder="1" applyAlignment="1">
      <alignment horizontal="center" vertical="center"/>
    </xf>
    <xf numFmtId="9" fontId="68" fillId="7" borderId="157" xfId="0" applyNumberFormat="1" applyFont="1" applyFill="1" applyBorder="1" applyAlignment="1">
      <alignment horizontal="center" vertical="center"/>
    </xf>
    <xf numFmtId="9" fontId="68" fillId="7" borderId="161" xfId="0" applyNumberFormat="1" applyFont="1" applyFill="1" applyBorder="1" applyAlignment="1">
      <alignment horizontal="center" vertical="center"/>
    </xf>
    <xf numFmtId="9" fontId="68" fillId="7" borderId="158" xfId="0" applyNumberFormat="1" applyFont="1" applyFill="1" applyBorder="1" applyAlignment="1">
      <alignment horizontal="center" vertical="center"/>
    </xf>
    <xf numFmtId="9" fontId="72" fillId="7" borderId="161" xfId="0" applyNumberFormat="1" applyFont="1" applyFill="1" applyBorder="1" applyAlignment="1">
      <alignment horizontal="center" vertical="center"/>
    </xf>
    <xf numFmtId="9" fontId="70" fillId="7" borderId="158" xfId="0" applyNumberFormat="1" applyFont="1" applyFill="1" applyBorder="1" applyAlignment="1">
      <alignment horizontal="center" vertical="center"/>
    </xf>
    <xf numFmtId="0" fontId="55" fillId="0" borderId="174" xfId="0" applyFont="1" applyBorder="1" applyAlignment="1">
      <alignment horizontal="left" vertical="center" wrapText="1" indent="1"/>
    </xf>
    <xf numFmtId="0" fontId="68" fillId="7" borderId="175" xfId="0" applyFont="1" applyFill="1" applyBorder="1" applyAlignment="1">
      <alignment horizontal="center" vertical="center" wrapText="1"/>
    </xf>
    <xf numFmtId="9" fontId="68" fillId="7" borderId="176" xfId="0" applyNumberFormat="1" applyFont="1" applyFill="1" applyBorder="1" applyAlignment="1">
      <alignment horizontal="center" vertical="center"/>
    </xf>
    <xf numFmtId="9" fontId="68" fillId="7" borderId="168" xfId="0" applyNumberFormat="1" applyFont="1" applyFill="1" applyBorder="1" applyAlignment="1">
      <alignment horizontal="center" vertical="center"/>
    </xf>
    <xf numFmtId="9" fontId="68" fillId="7" borderId="169" xfId="0" applyNumberFormat="1" applyFont="1" applyFill="1" applyBorder="1" applyAlignment="1">
      <alignment horizontal="center" vertical="center"/>
    </xf>
    <xf numFmtId="9" fontId="69" fillId="7" borderId="171" xfId="0" applyNumberFormat="1" applyFont="1" applyFill="1" applyBorder="1" applyAlignment="1">
      <alignment horizontal="center" vertical="center"/>
    </xf>
    <xf numFmtId="9" fontId="69" fillId="7" borderId="170" xfId="0" applyNumberFormat="1" applyFont="1" applyFill="1" applyBorder="1" applyAlignment="1">
      <alignment horizontal="center" vertical="center"/>
    </xf>
    <xf numFmtId="2" fontId="71" fillId="8" borderId="173" xfId="5" applyNumberFormat="1" applyFont="1" applyFill="1" applyBorder="1" applyAlignment="1">
      <alignment horizontal="left" vertical="center" wrapText="1"/>
    </xf>
    <xf numFmtId="9" fontId="69" fillId="7" borderId="158" xfId="0" applyNumberFormat="1" applyFont="1" applyFill="1" applyBorder="1" applyAlignment="1">
      <alignment horizontal="center" vertical="center"/>
    </xf>
    <xf numFmtId="0" fontId="71" fillId="9" borderId="159" xfId="0" applyFont="1" applyFill="1" applyBorder="1" applyAlignment="1">
      <alignment horizontal="left" vertical="center" wrapText="1"/>
    </xf>
    <xf numFmtId="9" fontId="71" fillId="0" borderId="159" xfId="0" applyNumberFormat="1" applyFont="1" applyBorder="1" applyAlignment="1">
      <alignment horizontal="left" vertical="center" wrapText="1"/>
    </xf>
    <xf numFmtId="9" fontId="68" fillId="7" borderId="167" xfId="0" applyNumberFormat="1" applyFont="1" applyFill="1" applyBorder="1" applyAlignment="1">
      <alignment horizontal="center" vertical="center"/>
    </xf>
    <xf numFmtId="0" fontId="55" fillId="0" borderId="140" xfId="0" applyFont="1" applyBorder="1" applyAlignment="1">
      <alignment horizontal="left" vertical="center" wrapText="1" indent="1"/>
    </xf>
    <xf numFmtId="2" fontId="68" fillId="7" borderId="172" xfId="0" applyNumberFormat="1" applyFont="1" applyFill="1" applyBorder="1" applyAlignment="1">
      <alignment horizontal="center" vertical="center"/>
    </xf>
    <xf numFmtId="2" fontId="68" fillId="7" borderId="141" xfId="0" applyNumberFormat="1" applyFont="1" applyFill="1" applyBorder="1" applyAlignment="1">
      <alignment horizontal="center" vertical="center"/>
    </xf>
    <xf numFmtId="2" fontId="68" fillId="7" borderId="142" xfId="0" applyNumberFormat="1" applyFont="1" applyFill="1" applyBorder="1" applyAlignment="1">
      <alignment horizontal="center" vertical="center"/>
    </xf>
    <xf numFmtId="9" fontId="70" fillId="7" borderId="144" xfId="0" applyNumberFormat="1" applyFont="1" applyFill="1" applyBorder="1" applyAlignment="1">
      <alignment horizontal="center" vertical="center"/>
    </xf>
    <xf numFmtId="2" fontId="71" fillId="8" borderId="140" xfId="5" applyNumberFormat="1" applyFont="1" applyFill="1" applyBorder="1" applyAlignment="1">
      <alignment horizontal="left" vertical="center" wrapText="1"/>
    </xf>
    <xf numFmtId="0" fontId="55" fillId="0" borderId="166" xfId="0" applyFont="1" applyBorder="1" applyAlignment="1">
      <alignment horizontal="left" vertical="center" wrapText="1" indent="1"/>
    </xf>
    <xf numFmtId="166" fontId="68" fillId="7" borderId="167" xfId="0" applyNumberFormat="1" applyFont="1" applyFill="1" applyBorder="1" applyAlignment="1">
      <alignment horizontal="center" vertical="center"/>
    </xf>
    <xf numFmtId="2" fontId="68" fillId="7" borderId="168" xfId="0" applyNumberFormat="1" applyFont="1" applyFill="1" applyBorder="1" applyAlignment="1">
      <alignment horizontal="center" vertical="center"/>
    </xf>
    <xf numFmtId="2" fontId="68" fillId="7" borderId="169" xfId="0" applyNumberFormat="1" applyFont="1" applyFill="1" applyBorder="1" applyAlignment="1">
      <alignment horizontal="center" vertical="center"/>
    </xf>
    <xf numFmtId="9" fontId="69" fillId="7" borderId="171" xfId="6" applyFont="1" applyFill="1" applyBorder="1" applyAlignment="1">
      <alignment horizontal="center" vertical="center"/>
    </xf>
    <xf numFmtId="9" fontId="69" fillId="7" borderId="170" xfId="6" applyFont="1" applyFill="1" applyBorder="1" applyAlignment="1">
      <alignment horizontal="center" vertical="center"/>
    </xf>
    <xf numFmtId="9" fontId="70" fillId="7" borderId="171" xfId="6" applyFont="1" applyFill="1" applyBorder="1" applyAlignment="1">
      <alignment horizontal="center" vertical="center"/>
    </xf>
    <xf numFmtId="0" fontId="71" fillId="0" borderId="139" xfId="0" applyFont="1" applyBorder="1" applyAlignment="1">
      <alignment horizontal="left" vertical="center" wrapText="1" indent="1"/>
    </xf>
    <xf numFmtId="9" fontId="68" fillId="7" borderId="140" xfId="0" applyNumberFormat="1" applyFont="1" applyFill="1" applyBorder="1" applyAlignment="1">
      <alignment horizontal="center" vertical="center"/>
    </xf>
    <xf numFmtId="175" fontId="68" fillId="7" borderId="141" xfId="0" applyNumberFormat="1" applyFont="1" applyFill="1" applyBorder="1" applyAlignment="1">
      <alignment horizontal="center" vertical="center"/>
    </xf>
    <xf numFmtId="175" fontId="68" fillId="7" borderId="142" xfId="0" applyNumberFormat="1" applyFont="1" applyFill="1" applyBorder="1" applyAlignment="1">
      <alignment horizontal="center" vertical="center"/>
    </xf>
    <xf numFmtId="9" fontId="71" fillId="8" borderId="140" xfId="0" applyNumberFormat="1" applyFont="1" applyFill="1" applyBorder="1" applyAlignment="1">
      <alignment horizontal="left" vertical="center" wrapText="1"/>
    </xf>
    <xf numFmtId="0" fontId="71" fillId="0" borderId="165" xfId="0" applyFont="1" applyBorder="1" applyAlignment="1">
      <alignment horizontal="left" vertical="center" wrapText="1" indent="1"/>
    </xf>
    <xf numFmtId="176" fontId="68" fillId="7" borderId="166" xfId="0" applyNumberFormat="1" applyFont="1" applyFill="1" applyBorder="1" applyAlignment="1">
      <alignment horizontal="center" vertical="center"/>
    </xf>
    <xf numFmtId="176" fontId="68" fillId="7" borderId="168" xfId="0" applyNumberFormat="1" applyFont="1" applyFill="1" applyBorder="1" applyAlignment="1">
      <alignment horizontal="center" vertical="center"/>
    </xf>
    <xf numFmtId="176" fontId="68" fillId="7" borderId="169" xfId="0" applyNumberFormat="1" applyFont="1" applyFill="1" applyBorder="1" applyAlignment="1">
      <alignment horizontal="center" vertical="center"/>
    </xf>
    <xf numFmtId="9" fontId="70" fillId="7" borderId="170" xfId="6" applyFont="1" applyFill="1" applyBorder="1" applyAlignment="1">
      <alignment horizontal="center" vertical="center"/>
    </xf>
    <xf numFmtId="9" fontId="72" fillId="7" borderId="171" xfId="6" applyFont="1" applyFill="1" applyBorder="1" applyAlignment="1">
      <alignment horizontal="center" vertical="center"/>
    </xf>
    <xf numFmtId="9" fontId="71" fillId="8" borderId="166" xfId="0" applyNumberFormat="1" applyFont="1" applyFill="1" applyBorder="1" applyAlignment="1">
      <alignment horizontal="left" vertical="center" wrapText="1"/>
    </xf>
    <xf numFmtId="0" fontId="67" fillId="0" borderId="26" xfId="0" applyFont="1" applyBorder="1" applyAlignment="1">
      <alignment horizontal="center" vertical="center" wrapText="1"/>
    </xf>
    <xf numFmtId="0" fontId="71" fillId="0" borderId="26" xfId="0" applyFont="1" applyBorder="1" applyAlignment="1">
      <alignment horizontal="left" vertical="center" wrapText="1" indent="1"/>
    </xf>
    <xf numFmtId="0" fontId="68" fillId="7" borderId="19" xfId="0" applyFont="1" applyFill="1" applyBorder="1" applyAlignment="1">
      <alignment horizontal="center" vertical="center" wrapText="1"/>
    </xf>
    <xf numFmtId="9" fontId="68" fillId="7" borderId="27" xfId="0" applyNumberFormat="1" applyFont="1" applyFill="1" applyBorder="1" applyAlignment="1">
      <alignment horizontal="center" vertical="center"/>
    </xf>
    <xf numFmtId="175" fontId="68" fillId="7" borderId="177" xfId="0" applyNumberFormat="1" applyFont="1" applyFill="1" applyBorder="1" applyAlignment="1">
      <alignment horizontal="center" vertical="center"/>
    </xf>
    <xf numFmtId="175" fontId="68" fillId="7" borderId="178" xfId="0" applyNumberFormat="1" applyFont="1" applyFill="1" applyBorder="1" applyAlignment="1">
      <alignment horizontal="center" vertical="center"/>
    </xf>
    <xf numFmtId="9" fontId="68" fillId="7" borderId="179" xfId="0" applyNumberFormat="1" applyFont="1" applyFill="1" applyBorder="1" applyAlignment="1">
      <alignment horizontal="center" vertical="center"/>
    </xf>
    <xf numFmtId="9" fontId="68" fillId="7" borderId="180" xfId="0" applyNumberFormat="1" applyFont="1" applyFill="1" applyBorder="1" applyAlignment="1">
      <alignment horizontal="center" vertical="center"/>
    </xf>
    <xf numFmtId="9" fontId="71" fillId="8" borderId="27" xfId="0" applyNumberFormat="1" applyFont="1" applyFill="1" applyBorder="1" applyAlignment="1">
      <alignment horizontal="left" vertical="center"/>
    </xf>
    <xf numFmtId="9" fontId="69" fillId="7" borderId="179" xfId="0" applyNumberFormat="1" applyFont="1" applyFill="1" applyBorder="1" applyAlignment="1">
      <alignment horizontal="center" vertical="center"/>
    </xf>
    <xf numFmtId="9" fontId="69" fillId="7" borderId="180" xfId="0" applyNumberFormat="1" applyFont="1" applyFill="1" applyBorder="1" applyAlignment="1">
      <alignment horizontal="center" vertical="center"/>
    </xf>
    <xf numFmtId="9" fontId="71" fillId="8" borderId="27" xfId="0" applyNumberFormat="1" applyFont="1" applyFill="1" applyBorder="1" applyAlignment="1">
      <alignment horizontal="left" vertical="center" wrapText="1"/>
    </xf>
    <xf numFmtId="9" fontId="68" fillId="7" borderId="143" xfId="6" applyFont="1" applyFill="1" applyBorder="1" applyAlignment="1">
      <alignment horizontal="center" vertical="center"/>
    </xf>
    <xf numFmtId="9" fontId="68" fillId="7" borderId="141" xfId="6" applyFont="1" applyFill="1" applyBorder="1" applyAlignment="1">
      <alignment horizontal="center" vertical="center"/>
    </xf>
    <xf numFmtId="9" fontId="68" fillId="7" borderId="142" xfId="6" applyFont="1" applyFill="1" applyBorder="1" applyAlignment="1">
      <alignment horizontal="center" vertical="center"/>
    </xf>
    <xf numFmtId="49" fontId="71" fillId="8" borderId="140" xfId="0" applyNumberFormat="1" applyFont="1" applyFill="1" applyBorder="1" applyAlignment="1">
      <alignment horizontal="left" vertical="center"/>
    </xf>
    <xf numFmtId="0" fontId="71" fillId="0" borderId="154" xfId="0" applyFont="1" applyBorder="1" applyAlignment="1">
      <alignment horizontal="left" vertical="center" wrapText="1" indent="1"/>
    </xf>
    <xf numFmtId="176" fontId="68" fillId="7" borderId="160" xfId="0" applyNumberFormat="1" applyFont="1" applyFill="1" applyBorder="1" applyAlignment="1">
      <alignment horizontal="center" vertical="center"/>
    </xf>
    <xf numFmtId="2" fontId="68" fillId="7" borderId="156" xfId="0" applyNumberFormat="1" applyFont="1" applyFill="1" applyBorder="1" applyAlignment="1">
      <alignment horizontal="center" vertical="center"/>
    </xf>
    <xf numFmtId="2" fontId="68" fillId="7" borderId="157" xfId="0" applyNumberFormat="1" applyFont="1" applyFill="1" applyBorder="1" applyAlignment="1">
      <alignment horizontal="center" vertical="center"/>
    </xf>
    <xf numFmtId="49" fontId="71" fillId="8" borderId="148" xfId="0" applyNumberFormat="1" applyFont="1" applyFill="1" applyBorder="1" applyAlignment="1">
      <alignment horizontal="left" vertical="center" wrapText="1"/>
    </xf>
    <xf numFmtId="2" fontId="68" fillId="7" borderId="167" xfId="0" applyNumberFormat="1" applyFont="1" applyFill="1" applyBorder="1" applyAlignment="1">
      <alignment horizontal="center" vertical="center"/>
    </xf>
    <xf numFmtId="49" fontId="71" fillId="8" borderId="166" xfId="0" applyNumberFormat="1" applyFont="1" applyFill="1" applyBorder="1" applyAlignment="1">
      <alignment horizontal="left" vertical="center"/>
    </xf>
    <xf numFmtId="0" fontId="55" fillId="0" borderId="19" xfId="0" applyFont="1" applyBorder="1" applyAlignment="1">
      <alignment vertical="center" wrapText="1"/>
    </xf>
    <xf numFmtId="0" fontId="70" fillId="7" borderId="19" xfId="0" applyFont="1" applyFill="1" applyBorder="1" applyAlignment="1">
      <alignment horizontal="center" vertical="center"/>
    </xf>
    <xf numFmtId="0" fontId="70" fillId="7" borderId="177" xfId="0" applyFont="1" applyFill="1" applyBorder="1" applyAlignment="1">
      <alignment horizontal="center" vertical="center"/>
    </xf>
    <xf numFmtId="0" fontId="70" fillId="7" borderId="178" xfId="0" applyFont="1" applyFill="1" applyBorder="1" applyAlignment="1">
      <alignment horizontal="center" vertical="center"/>
    </xf>
    <xf numFmtId="9" fontId="70" fillId="7" borderId="179" xfId="6" applyFont="1" applyFill="1" applyBorder="1" applyAlignment="1">
      <alignment horizontal="center" vertical="center"/>
    </xf>
    <xf numFmtId="9" fontId="70" fillId="7" borderId="180" xfId="6" applyFont="1" applyFill="1" applyBorder="1" applyAlignment="1">
      <alignment horizontal="center" vertical="center"/>
    </xf>
    <xf numFmtId="0" fontId="55" fillId="0" borderId="19" xfId="0" applyFont="1" applyBorder="1" applyAlignment="1">
      <alignment vertical="center"/>
    </xf>
    <xf numFmtId="0" fontId="70" fillId="7" borderId="181" xfId="0" applyFont="1" applyFill="1" applyBorder="1" applyAlignment="1">
      <alignment horizontal="center" vertical="center"/>
    </xf>
    <xf numFmtId="0" fontId="70" fillId="7" borderId="182" xfId="0" applyFont="1" applyFill="1" applyBorder="1" applyAlignment="1">
      <alignment horizontal="center" vertical="center"/>
    </xf>
    <xf numFmtId="9" fontId="70" fillId="7" borderId="183" xfId="6" applyFont="1" applyFill="1" applyBorder="1" applyAlignment="1">
      <alignment horizontal="center" vertical="center"/>
    </xf>
    <xf numFmtId="9" fontId="70" fillId="7" borderId="184" xfId="6" applyFont="1" applyFill="1" applyBorder="1" applyAlignment="1">
      <alignment horizontal="center" vertical="center"/>
    </xf>
    <xf numFmtId="0" fontId="74" fillId="0" borderId="0" xfId="0" applyFont="1" applyAlignment="1">
      <alignment horizontal="center" vertical="center"/>
    </xf>
    <xf numFmtId="0" fontId="74" fillId="0" borderId="0" xfId="0" applyFont="1" applyAlignment="1">
      <alignment vertical="center"/>
    </xf>
    <xf numFmtId="0" fontId="74" fillId="0" borderId="0" xfId="0" applyFont="1" applyAlignment="1">
      <alignment horizontal="left" vertical="center"/>
    </xf>
    <xf numFmtId="174" fontId="68" fillId="7" borderId="156" xfId="5" quotePrefix="1" applyNumberFormat="1" applyFont="1" applyFill="1" applyBorder="1" applyAlignment="1">
      <alignment horizontal="center" vertical="center"/>
    </xf>
    <xf numFmtId="174" fontId="68" fillId="7" borderId="157" xfId="5" quotePrefix="1" applyNumberFormat="1" applyFont="1" applyFill="1" applyBorder="1" applyAlignment="1">
      <alignment horizontal="center" vertical="center"/>
    </xf>
    <xf numFmtId="9" fontId="68" fillId="7" borderId="158" xfId="6" quotePrefix="1" applyFont="1" applyFill="1" applyBorder="1" applyAlignment="1">
      <alignment horizontal="center" vertical="center"/>
    </xf>
    <xf numFmtId="0" fontId="76" fillId="33" borderId="21" xfId="8" applyFont="1" applyFill="1" applyBorder="1" applyAlignment="1">
      <alignment vertical="center" wrapText="1"/>
    </xf>
    <xf numFmtId="0" fontId="76" fillId="33" borderId="21" xfId="8" applyFont="1" applyFill="1" applyBorder="1" applyAlignment="1">
      <alignment horizontal="center" vertical="center" wrapText="1"/>
    </xf>
    <xf numFmtId="0" fontId="0" fillId="0" borderId="0" xfId="8" applyFont="1"/>
    <xf numFmtId="0" fontId="76" fillId="8" borderId="0" xfId="8" applyFont="1" applyFill="1" applyAlignment="1">
      <alignment horizontal="center" vertical="center" wrapText="1"/>
    </xf>
    <xf numFmtId="3" fontId="77" fillId="8" borderId="36" xfId="8" applyNumberFormat="1" applyFont="1" applyFill="1" applyBorder="1" applyAlignment="1">
      <alignment horizontal="center" vertical="center" wrapText="1"/>
    </xf>
    <xf numFmtId="0" fontId="51" fillId="21" borderId="19" xfId="8" applyFont="1" applyFill="1" applyBorder="1" applyAlignment="1">
      <alignment horizontal="center" vertical="center" wrapText="1"/>
    </xf>
    <xf numFmtId="0" fontId="51" fillId="21" borderId="19" xfId="8" applyFont="1" applyFill="1" applyBorder="1" applyAlignment="1">
      <alignment horizontal="center" vertical="top" wrapText="1"/>
    </xf>
    <xf numFmtId="0" fontId="76" fillId="8" borderId="36" xfId="8" applyFont="1" applyFill="1" applyBorder="1" applyAlignment="1">
      <alignment horizontal="center" vertical="center" wrapText="1"/>
    </xf>
    <xf numFmtId="3" fontId="77" fillId="34" borderId="185" xfId="8" applyNumberFormat="1" applyFont="1" applyFill="1" applyBorder="1" applyAlignment="1">
      <alignment horizontal="center" vertical="center" wrapText="1"/>
    </xf>
    <xf numFmtId="3" fontId="77" fillId="34" borderId="185" xfId="8" applyNumberFormat="1" applyFont="1" applyFill="1" applyBorder="1" applyAlignment="1">
      <alignment horizontal="center" vertical="top" wrapText="1"/>
    </xf>
    <xf numFmtId="0" fontId="82" fillId="8" borderId="19" xfId="8" applyFont="1" applyFill="1" applyBorder="1" applyAlignment="1">
      <alignment horizontal="center" vertical="center"/>
    </xf>
    <xf numFmtId="3" fontId="83" fillId="0" borderId="19" xfId="8" applyNumberFormat="1" applyFont="1" applyBorder="1" applyAlignment="1">
      <alignment horizontal="center"/>
    </xf>
    <xf numFmtId="4" fontId="83" fillId="0" borderId="19" xfId="8" applyNumberFormat="1" applyFont="1" applyBorder="1" applyAlignment="1">
      <alignment horizontal="center"/>
    </xf>
    <xf numFmtId="9" fontId="83" fillId="0" borderId="19" xfId="6" applyFont="1" applyBorder="1" applyAlignment="1">
      <alignment horizontal="center"/>
    </xf>
    <xf numFmtId="2" fontId="0" fillId="0" borderId="0" xfId="8" applyNumberFormat="1" applyFont="1"/>
    <xf numFmtId="0" fontId="82" fillId="35" borderId="19" xfId="8" applyFont="1" applyFill="1" applyBorder="1" applyAlignment="1">
      <alignment horizontal="center" vertical="center"/>
    </xf>
    <xf numFmtId="3" fontId="83" fillId="35" borderId="19" xfId="8" applyNumberFormat="1" applyFont="1" applyFill="1" applyBorder="1" applyAlignment="1">
      <alignment horizontal="center"/>
    </xf>
    <xf numFmtId="4" fontId="83" fillId="35" borderId="19" xfId="8" applyNumberFormat="1" applyFont="1" applyFill="1" applyBorder="1" applyAlignment="1">
      <alignment horizontal="center"/>
    </xf>
    <xf numFmtId="9" fontId="84" fillId="35" borderId="19" xfId="6" applyFont="1" applyFill="1" applyBorder="1" applyAlignment="1">
      <alignment horizontal="center"/>
    </xf>
    <xf numFmtId="3" fontId="0" fillId="0" borderId="0" xfId="8" applyNumberFormat="1" applyFont="1"/>
    <xf numFmtId="166" fontId="0" fillId="0" borderId="0" xfId="8" applyNumberFormat="1" applyFont="1"/>
    <xf numFmtId="167" fontId="83" fillId="0" borderId="19" xfId="8" applyNumberFormat="1" applyFont="1" applyBorder="1" applyAlignment="1">
      <alignment horizontal="center"/>
    </xf>
    <xf numFmtId="165" fontId="83" fillId="0" borderId="19" xfId="6" applyNumberFormat="1" applyFont="1" applyBorder="1" applyAlignment="1">
      <alignment horizontal="center"/>
    </xf>
    <xf numFmtId="165" fontId="83" fillId="35" borderId="19" xfId="6" applyNumberFormat="1" applyFont="1" applyFill="1" applyBorder="1" applyAlignment="1">
      <alignment horizontal="center"/>
    </xf>
    <xf numFmtId="167" fontId="0" fillId="0" borderId="0" xfId="8" applyNumberFormat="1" applyFont="1" applyAlignment="1">
      <alignment horizontal="center"/>
    </xf>
    <xf numFmtId="167" fontId="0" fillId="0" borderId="0" xfId="8" applyNumberFormat="1" applyFont="1"/>
    <xf numFmtId="0" fontId="0" fillId="0" borderId="0" xfId="8" applyFont="1" applyAlignment="1">
      <alignment vertical="top"/>
    </xf>
    <xf numFmtId="171" fontId="83" fillId="0" borderId="19" xfId="8" applyNumberFormat="1" applyFont="1" applyBorder="1" applyAlignment="1">
      <alignment horizontal="center"/>
    </xf>
    <xf numFmtId="171" fontId="83" fillId="35" borderId="19" xfId="8" applyNumberFormat="1" applyFont="1" applyFill="1" applyBorder="1" applyAlignment="1">
      <alignment horizontal="center"/>
    </xf>
    <xf numFmtId="3" fontId="0" fillId="0" borderId="0" xfId="8" applyNumberFormat="1" applyFont="1" applyAlignment="1">
      <alignment horizontal="center"/>
    </xf>
    <xf numFmtId="171" fontId="0" fillId="0" borderId="0" xfId="8" applyNumberFormat="1" applyFont="1" applyAlignment="1">
      <alignment horizontal="center"/>
    </xf>
    <xf numFmtId="0" fontId="85" fillId="0" borderId="0" xfId="9" applyFont="1"/>
    <xf numFmtId="0" fontId="85" fillId="0" borderId="0" xfId="9" applyFont="1" applyAlignment="1">
      <alignment vertical="center"/>
    </xf>
    <xf numFmtId="0" fontId="85" fillId="0" borderId="0" xfId="9" applyFont="1" applyAlignment="1">
      <alignment horizontal="center" vertical="center"/>
    </xf>
    <xf numFmtId="0" fontId="86" fillId="0" borderId="0" xfId="9" applyFont="1" applyAlignment="1">
      <alignment horizontal="left"/>
    </xf>
    <xf numFmtId="0" fontId="85" fillId="0" borderId="0" xfId="9" applyFont="1" applyAlignment="1">
      <alignment horizontal="left" indent="1"/>
    </xf>
    <xf numFmtId="0" fontId="86" fillId="0" borderId="0" xfId="9" applyFont="1" applyAlignment="1">
      <alignment horizontal="center"/>
    </xf>
    <xf numFmtId="0" fontId="86" fillId="0" borderId="0" xfId="9" applyFont="1"/>
    <xf numFmtId="9" fontId="87" fillId="8" borderId="0" xfId="10" applyFont="1" applyFill="1" applyAlignment="1" applyProtection="1">
      <alignment vertical="center"/>
      <protection locked="0"/>
    </xf>
    <xf numFmtId="0" fontId="0" fillId="0" borderId="0" xfId="0" applyAlignment="1" applyProtection="1">
      <alignment vertical="center"/>
      <protection locked="0"/>
    </xf>
    <xf numFmtId="0" fontId="85" fillId="0" borderId="0" xfId="0" applyFont="1"/>
    <xf numFmtId="9" fontId="87" fillId="8" borderId="0" xfId="10" applyFont="1" applyFill="1" applyAlignment="1" applyProtection="1">
      <alignment vertical="center"/>
      <protection hidden="1"/>
    </xf>
    <xf numFmtId="0" fontId="88" fillId="0" borderId="0" xfId="11" applyFont="1" applyAlignment="1">
      <alignment horizontal="left" vertical="center" wrapText="1"/>
    </xf>
    <xf numFmtId="0" fontId="86" fillId="0" borderId="0" xfId="9" applyFont="1" applyAlignment="1">
      <alignment vertical="center" wrapText="1"/>
    </xf>
    <xf numFmtId="0" fontId="86" fillId="8" borderId="0" xfId="0" applyFont="1" applyFill="1" applyAlignment="1">
      <alignment horizontal="right"/>
    </xf>
    <xf numFmtId="9" fontId="89" fillId="8" borderId="0" xfId="10" applyFont="1" applyFill="1" applyAlignment="1">
      <alignment horizontal="left" vertical="center" wrapText="1"/>
    </xf>
    <xf numFmtId="0" fontId="86" fillId="8" borderId="0" xfId="0" applyFont="1" applyFill="1" applyAlignment="1">
      <alignment horizontal="center"/>
    </xf>
    <xf numFmtId="0" fontId="88" fillId="8" borderId="0" xfId="12" applyFont="1" applyFill="1" applyAlignment="1">
      <alignment vertical="center"/>
    </xf>
    <xf numFmtId="0" fontId="88" fillId="0" borderId="0" xfId="9" applyFont="1" applyAlignment="1">
      <alignment horizontal="center" vertical="center" wrapText="1"/>
    </xf>
    <xf numFmtId="0" fontId="90" fillId="0" borderId="0" xfId="11" applyFont="1" applyAlignment="1" applyProtection="1">
      <alignment vertical="center"/>
      <protection hidden="1"/>
    </xf>
    <xf numFmtId="0" fontId="91" fillId="0" borderId="0" xfId="11" applyFont="1" applyAlignment="1" applyProtection="1">
      <alignment vertical="center"/>
      <protection hidden="1"/>
    </xf>
    <xf numFmtId="9" fontId="92" fillId="8" borderId="0" xfId="10" applyFont="1" applyFill="1" applyAlignment="1" applyProtection="1">
      <alignment vertical="center"/>
      <protection hidden="1"/>
    </xf>
    <xf numFmtId="0" fontId="85" fillId="0" borderId="0" xfId="0" applyFont="1" applyAlignment="1">
      <alignment horizontal="center"/>
    </xf>
    <xf numFmtId="0" fontId="93" fillId="0" borderId="0" xfId="11" applyFont="1" applyAlignment="1" applyProtection="1">
      <alignment vertical="center"/>
      <protection hidden="1"/>
    </xf>
    <xf numFmtId="0" fontId="86" fillId="0" borderId="0" xfId="11" applyFont="1" applyAlignment="1">
      <alignment vertical="center" wrapText="1"/>
    </xf>
    <xf numFmtId="0" fontId="85" fillId="0" borderId="0" xfId="11" applyFont="1" applyAlignment="1" applyProtection="1">
      <alignment vertical="center"/>
      <protection locked="0"/>
    </xf>
    <xf numFmtId="9" fontId="94" fillId="8" borderId="0" xfId="10" applyFont="1" applyFill="1" applyAlignment="1" applyProtection="1">
      <alignment vertical="center"/>
      <protection hidden="1"/>
    </xf>
    <xf numFmtId="0" fontId="55" fillId="0" borderId="0" xfId="0" applyFont="1" applyAlignment="1" applyProtection="1">
      <alignment vertical="center"/>
      <protection locked="0"/>
    </xf>
    <xf numFmtId="0" fontId="85" fillId="0" borderId="0" xfId="11" applyFont="1" applyAlignment="1" applyProtection="1">
      <alignment vertical="center"/>
      <protection hidden="1"/>
    </xf>
    <xf numFmtId="164" fontId="85" fillId="0" borderId="0" xfId="5" applyFont="1"/>
    <xf numFmtId="170" fontId="85" fillId="0" borderId="0" xfId="9" applyNumberFormat="1" applyFont="1"/>
    <xf numFmtId="0" fontId="85" fillId="0" borderId="0" xfId="9" applyFont="1" applyAlignment="1" applyProtection="1">
      <alignment vertical="center"/>
      <protection hidden="1"/>
    </xf>
    <xf numFmtId="0" fontId="85" fillId="0" borderId="0" xfId="9" applyFont="1" applyAlignment="1" applyProtection="1">
      <alignment horizontal="center" vertical="center"/>
      <protection hidden="1"/>
    </xf>
    <xf numFmtId="170" fontId="85" fillId="0" borderId="0" xfId="13" applyNumberFormat="1" applyFont="1"/>
    <xf numFmtId="0" fontId="55" fillId="36" borderId="31" xfId="11" applyFont="1" applyFill="1" applyBorder="1" applyAlignment="1" applyProtection="1">
      <alignment vertical="center"/>
      <protection locked="0"/>
    </xf>
    <xf numFmtId="0" fontId="86" fillId="36" borderId="32" xfId="11" applyFont="1" applyFill="1" applyBorder="1" applyAlignment="1">
      <alignment horizontal="right"/>
    </xf>
    <xf numFmtId="9" fontId="95" fillId="36" borderId="128" xfId="10" applyFont="1" applyFill="1" applyBorder="1" applyAlignment="1">
      <alignment horizontal="center"/>
    </xf>
    <xf numFmtId="0" fontId="85" fillId="0" borderId="0" xfId="9" applyFont="1" applyAlignment="1" applyProtection="1">
      <alignment horizontal="left" vertical="center" wrapText="1"/>
      <protection hidden="1"/>
    </xf>
    <xf numFmtId="0" fontId="85" fillId="0" borderId="0" xfId="9" applyFont="1" applyAlignment="1" applyProtection="1">
      <alignment horizontal="center" vertical="center" wrapText="1"/>
      <protection hidden="1"/>
    </xf>
    <xf numFmtId="0" fontId="85" fillId="0" borderId="0" xfId="0" applyFont="1" applyAlignment="1" applyProtection="1">
      <alignment vertical="center"/>
      <protection locked="0"/>
    </xf>
    <xf numFmtId="0" fontId="96" fillId="38" borderId="14" xfId="14" applyFont="1" applyFill="1" applyBorder="1" applyAlignment="1">
      <alignment horizontal="center" vertical="center" wrapText="1"/>
    </xf>
    <xf numFmtId="0" fontId="96" fillId="38" borderId="16" xfId="14" applyFont="1" applyFill="1" applyBorder="1" applyAlignment="1">
      <alignment horizontal="center" vertical="center" wrapText="1"/>
    </xf>
    <xf numFmtId="0" fontId="98" fillId="39" borderId="14" xfId="15" applyFont="1" applyFill="1" applyBorder="1" applyAlignment="1">
      <alignment horizontal="center" vertical="center" wrapText="1"/>
    </xf>
    <xf numFmtId="0" fontId="99" fillId="0" borderId="19" xfId="9" applyFont="1" applyBorder="1" applyAlignment="1">
      <alignment horizontal="left" vertical="center" wrapText="1"/>
    </xf>
    <xf numFmtId="0" fontId="85" fillId="0" borderId="19" xfId="9" applyFont="1" applyBorder="1" applyAlignment="1">
      <alignment horizontal="left" vertical="center" wrapText="1" indent="1"/>
    </xf>
    <xf numFmtId="0" fontId="85" fillId="0" borderId="19" xfId="9" applyFont="1" applyBorder="1" applyAlignment="1">
      <alignment horizontal="center" vertical="center" wrapText="1"/>
    </xf>
    <xf numFmtId="0" fontId="99" fillId="0" borderId="19" xfId="9" applyFont="1" applyBorder="1" applyAlignment="1">
      <alignment horizontal="center" vertical="center" wrapText="1"/>
    </xf>
    <xf numFmtId="177" fontId="99" fillId="0" borderId="19" xfId="16" applyNumberFormat="1" applyFont="1" applyBorder="1" applyAlignment="1">
      <alignment horizontal="center" vertical="center"/>
    </xf>
    <xf numFmtId="165" fontId="100" fillId="0" borderId="19" xfId="17" applyNumberFormat="1" applyFont="1" applyBorder="1" applyAlignment="1">
      <alignment horizontal="center" vertical="center"/>
    </xf>
    <xf numFmtId="9" fontId="99" fillId="0" borderId="19" xfId="10" applyFont="1" applyBorder="1" applyAlignment="1">
      <alignment horizontal="center" vertical="center"/>
    </xf>
    <xf numFmtId="3" fontId="100" fillId="0" borderId="19" xfId="17" applyNumberFormat="1" applyFont="1" applyBorder="1" applyAlignment="1">
      <alignment horizontal="center" vertical="center"/>
    </xf>
    <xf numFmtId="3" fontId="100" fillId="0" borderId="19" xfId="13" applyNumberFormat="1" applyFont="1" applyBorder="1" applyAlignment="1">
      <alignment horizontal="center" vertical="center"/>
    </xf>
    <xf numFmtId="170" fontId="100" fillId="0" borderId="19" xfId="5" applyNumberFormat="1" applyFont="1" applyBorder="1" applyAlignment="1">
      <alignment horizontal="center" vertical="center"/>
    </xf>
    <xf numFmtId="9" fontId="99" fillId="0" borderId="19" xfId="16" applyFont="1" applyBorder="1" applyAlignment="1">
      <alignment horizontal="center" vertical="center"/>
    </xf>
    <xf numFmtId="177" fontId="101" fillId="0" borderId="26" xfId="10" applyNumberFormat="1" applyFont="1" applyBorder="1" applyAlignment="1">
      <alignment horizontal="center" vertical="center"/>
    </xf>
    <xf numFmtId="177" fontId="101" fillId="0" borderId="19" xfId="13" applyNumberFormat="1" applyFont="1" applyBorder="1" applyAlignment="1">
      <alignment horizontal="center" vertical="center"/>
    </xf>
    <xf numFmtId="178" fontId="85" fillId="0" borderId="19" xfId="0" applyNumberFormat="1" applyFont="1" applyBorder="1" applyAlignment="1">
      <alignment horizontal="center" vertical="center"/>
    </xf>
    <xf numFmtId="9" fontId="102" fillId="0" borderId="19" xfId="10" applyFont="1" applyBorder="1" applyAlignment="1">
      <alignment horizontal="center" vertical="center"/>
    </xf>
    <xf numFmtId="9" fontId="100" fillId="0" borderId="19" xfId="17" applyNumberFormat="1" applyFont="1" applyBorder="1" applyAlignment="1">
      <alignment horizontal="left" vertical="center" wrapText="1"/>
    </xf>
    <xf numFmtId="3" fontId="85" fillId="0" borderId="0" xfId="9" applyNumberFormat="1" applyFont="1" applyAlignment="1">
      <alignment vertical="center"/>
    </xf>
    <xf numFmtId="165" fontId="85" fillId="0" borderId="0" xfId="9" applyNumberFormat="1" applyFont="1" applyAlignment="1">
      <alignment vertical="center"/>
    </xf>
    <xf numFmtId="0" fontId="100" fillId="0" borderId="19" xfId="9" applyFont="1" applyBorder="1" applyAlignment="1">
      <alignment horizontal="left" vertical="center" wrapText="1" indent="1"/>
    </xf>
    <xf numFmtId="0" fontId="100" fillId="0" borderId="19" xfId="9" applyFont="1" applyBorder="1" applyAlignment="1">
      <alignment horizontal="center" vertical="center" wrapText="1"/>
    </xf>
    <xf numFmtId="9" fontId="99" fillId="0" borderId="19" xfId="9" applyNumberFormat="1" applyFont="1" applyBorder="1" applyAlignment="1">
      <alignment horizontal="center" vertical="center"/>
    </xf>
    <xf numFmtId="177" fontId="103" fillId="0" borderId="19" xfId="10" applyNumberFormat="1" applyFont="1" applyBorder="1" applyAlignment="1" applyProtection="1">
      <alignment horizontal="center" vertical="center"/>
      <protection hidden="1"/>
    </xf>
    <xf numFmtId="9" fontId="100" fillId="0" borderId="35" xfId="17" applyNumberFormat="1" applyFont="1" applyBorder="1" applyAlignment="1">
      <alignment horizontal="left" vertical="center" wrapText="1"/>
    </xf>
    <xf numFmtId="170" fontId="100" fillId="0" borderId="19" xfId="13" applyNumberFormat="1" applyFont="1" applyBorder="1" applyAlignment="1">
      <alignment horizontal="center" vertical="center"/>
    </xf>
    <xf numFmtId="177" fontId="103" fillId="0" borderId="21" xfId="10" applyNumberFormat="1" applyFont="1" applyBorder="1" applyAlignment="1" applyProtection="1">
      <alignment horizontal="center" vertical="center"/>
      <protection hidden="1"/>
    </xf>
    <xf numFmtId="177" fontId="99" fillId="0" borderId="19" xfId="9" applyNumberFormat="1" applyFont="1" applyBorder="1" applyAlignment="1">
      <alignment horizontal="center" vertical="center"/>
    </xf>
    <xf numFmtId="3" fontId="104" fillId="0" borderId="19" xfId="17" applyNumberFormat="1" applyFont="1" applyBorder="1" applyAlignment="1">
      <alignment horizontal="center" vertical="center"/>
    </xf>
    <xf numFmtId="177" fontId="100" fillId="0" borderId="37" xfId="17" applyNumberFormat="1" applyFont="1" applyBorder="1" applyAlignment="1">
      <alignment horizontal="center" vertical="center"/>
    </xf>
    <xf numFmtId="9" fontId="99" fillId="0" borderId="19" xfId="17" applyNumberFormat="1" applyFont="1" applyBorder="1" applyAlignment="1">
      <alignment horizontal="center" vertical="center"/>
    </xf>
    <xf numFmtId="9" fontId="100" fillId="0" borderId="19" xfId="17" applyNumberFormat="1" applyFont="1" applyBorder="1" applyAlignment="1">
      <alignment horizontal="center" vertical="center"/>
    </xf>
    <xf numFmtId="9" fontId="99" fillId="0" borderId="37" xfId="16" applyFont="1" applyBorder="1" applyAlignment="1">
      <alignment horizontal="center" vertical="center"/>
    </xf>
    <xf numFmtId="165" fontId="99" fillId="0" borderId="19" xfId="9" applyNumberFormat="1" applyFont="1" applyBorder="1" applyAlignment="1">
      <alignment horizontal="center" vertical="center"/>
    </xf>
    <xf numFmtId="0" fontId="100" fillId="0" borderId="19" xfId="17" applyFont="1" applyBorder="1" applyAlignment="1">
      <alignment horizontal="center" vertical="center"/>
    </xf>
    <xf numFmtId="2" fontId="99" fillId="0" borderId="19" xfId="9" applyNumberFormat="1" applyFont="1" applyBorder="1" applyAlignment="1">
      <alignment horizontal="center" vertical="center"/>
    </xf>
    <xf numFmtId="2" fontId="100" fillId="0" borderId="19" xfId="17" applyNumberFormat="1" applyFont="1" applyBorder="1" applyAlignment="1">
      <alignment horizontal="center" vertical="center"/>
    </xf>
    <xf numFmtId="0" fontId="100" fillId="0" borderId="19" xfId="11" applyFont="1" applyBorder="1" applyAlignment="1" applyProtection="1">
      <alignment horizontal="left" vertical="center" wrapText="1"/>
      <protection hidden="1"/>
    </xf>
    <xf numFmtId="0" fontId="100" fillId="0" borderId="19" xfId="11" applyFont="1" applyBorder="1" applyAlignment="1" applyProtection="1">
      <alignment horizontal="center" vertical="center" wrapText="1"/>
      <protection hidden="1"/>
    </xf>
    <xf numFmtId="0" fontId="99" fillId="0" borderId="19" xfId="11" applyFont="1" applyBorder="1" applyAlignment="1" applyProtection="1">
      <alignment horizontal="center" vertical="center" wrapText="1"/>
      <protection hidden="1"/>
    </xf>
    <xf numFmtId="179" fontId="99" fillId="0" borderId="19" xfId="11" applyNumberFormat="1" applyFont="1" applyBorder="1" applyAlignment="1">
      <alignment horizontal="center" vertical="center"/>
    </xf>
    <xf numFmtId="0" fontId="85" fillId="0" borderId="19" xfId="0" applyFont="1" applyBorder="1" applyAlignment="1">
      <alignment horizontal="center" vertical="center"/>
    </xf>
    <xf numFmtId="0" fontId="100" fillId="0" borderId="35" xfId="11" applyFont="1" applyBorder="1" applyAlignment="1" applyProtection="1">
      <alignment horizontal="left" vertical="center" wrapText="1"/>
      <protection hidden="1"/>
    </xf>
    <xf numFmtId="0" fontId="100" fillId="0" borderId="19" xfId="17" applyFont="1" applyBorder="1" applyAlignment="1" applyProtection="1">
      <alignment horizontal="center" vertical="center"/>
      <protection hidden="1"/>
    </xf>
    <xf numFmtId="0" fontId="99" fillId="0" borderId="35" xfId="9" applyFont="1" applyBorder="1" applyAlignment="1" applyProtection="1">
      <alignment vertical="center" wrapText="1"/>
      <protection hidden="1"/>
    </xf>
    <xf numFmtId="0" fontId="100" fillId="0" borderId="35" xfId="0" applyFont="1" applyBorder="1" applyAlignment="1" applyProtection="1">
      <alignment horizontal="left" vertical="center" wrapText="1"/>
      <protection hidden="1"/>
    </xf>
    <xf numFmtId="0" fontId="100" fillId="0" borderId="19" xfId="9" applyFont="1" applyBorder="1" applyAlignment="1" applyProtection="1">
      <alignment horizontal="center" vertical="center" wrapText="1"/>
      <protection hidden="1"/>
    </xf>
    <xf numFmtId="0" fontId="86" fillId="0" borderId="19" xfId="9" applyFont="1" applyBorder="1" applyAlignment="1">
      <alignment horizontal="center" vertical="center"/>
    </xf>
    <xf numFmtId="165" fontId="85" fillId="0" borderId="19" xfId="13" applyNumberFormat="1" applyFont="1" applyBorder="1" applyAlignment="1">
      <alignment horizontal="center" vertical="center"/>
    </xf>
    <xf numFmtId="0" fontId="103" fillId="21" borderId="26" xfId="0" applyFont="1" applyFill="1" applyBorder="1" applyAlignment="1" applyProtection="1">
      <alignment vertical="center"/>
      <protection hidden="1"/>
    </xf>
    <xf numFmtId="0" fontId="103" fillId="21" borderId="39" xfId="0" applyFont="1" applyFill="1" applyBorder="1" applyAlignment="1" applyProtection="1">
      <alignment vertical="center"/>
      <protection hidden="1"/>
    </xf>
    <xf numFmtId="0" fontId="103" fillId="21" borderId="27" xfId="0" applyFont="1" applyFill="1" applyBorder="1" applyAlignment="1" applyProtection="1">
      <alignment vertical="center"/>
      <protection hidden="1"/>
    </xf>
    <xf numFmtId="177" fontId="103" fillId="21" borderId="32" xfId="10" applyNumberFormat="1" applyFont="1" applyFill="1" applyBorder="1" applyAlignment="1" applyProtection="1">
      <alignment horizontal="center" vertical="center"/>
      <protection hidden="1"/>
    </xf>
    <xf numFmtId="177" fontId="103" fillId="21" borderId="31" xfId="0" applyNumberFormat="1" applyFont="1" applyFill="1" applyBorder="1" applyAlignment="1" applyProtection="1">
      <alignment horizontal="center" vertical="center"/>
      <protection hidden="1"/>
    </xf>
    <xf numFmtId="178" fontId="103" fillId="21" borderId="31" xfId="0" applyNumberFormat="1" applyFont="1" applyFill="1" applyBorder="1" applyAlignment="1" applyProtection="1">
      <alignment horizontal="center" vertical="center"/>
      <protection hidden="1"/>
    </xf>
    <xf numFmtId="177" fontId="105" fillId="20" borderId="128" xfId="0" applyNumberFormat="1" applyFont="1" applyFill="1" applyBorder="1" applyAlignment="1" applyProtection="1">
      <alignment horizontal="center" vertical="center"/>
      <protection hidden="1"/>
    </xf>
    <xf numFmtId="3" fontId="85" fillId="0" borderId="0" xfId="9" applyNumberFormat="1" applyFont="1"/>
    <xf numFmtId="9" fontId="103" fillId="8" borderId="0" xfId="10" applyFont="1" applyFill="1" applyAlignment="1" applyProtection="1">
      <alignment vertical="center"/>
      <protection hidden="1"/>
    </xf>
    <xf numFmtId="0" fontId="103" fillId="0" borderId="0" xfId="0" applyFont="1" applyAlignment="1" applyProtection="1">
      <alignment vertical="center"/>
      <protection hidden="1"/>
    </xf>
    <xf numFmtId="0" fontId="85" fillId="0" borderId="0" xfId="0" applyFont="1" applyAlignment="1">
      <alignment vertical="center"/>
    </xf>
    <xf numFmtId="0" fontId="85" fillId="0" borderId="0" xfId="0" applyFont="1" applyAlignment="1">
      <alignment horizontal="left" vertical="center"/>
    </xf>
    <xf numFmtId="9" fontId="87" fillId="8" borderId="0" xfId="10" applyFont="1" applyFill="1"/>
    <xf numFmtId="9" fontId="101" fillId="8" borderId="0" xfId="10" applyFont="1" applyFill="1" applyAlignment="1">
      <alignment horizontal="center" vertical="center"/>
    </xf>
    <xf numFmtId="9" fontId="87" fillId="8" borderId="0" xfId="10" applyFont="1" applyFill="1" applyAlignment="1">
      <alignment horizontal="center" vertical="center"/>
    </xf>
    <xf numFmtId="9" fontId="10" fillId="0" borderId="35" xfId="0" applyNumberFormat="1" applyFont="1" applyBorder="1" applyAlignment="1">
      <alignment horizontal="center"/>
    </xf>
    <xf numFmtId="0" fontId="10" fillId="0" borderId="5" xfId="0" applyFont="1" applyBorder="1" applyAlignment="1">
      <alignment horizontal="center"/>
    </xf>
    <xf numFmtId="0" fontId="0" fillId="8" borderId="58" xfId="0" applyFill="1" applyBorder="1"/>
    <xf numFmtId="0" fontId="29" fillId="14" borderId="186" xfId="0" applyFont="1" applyFill="1" applyBorder="1" applyAlignment="1">
      <alignment horizontal="center"/>
    </xf>
    <xf numFmtId="0" fontId="9" fillId="8" borderId="187" xfId="0" applyFont="1" applyFill="1" applyBorder="1"/>
    <xf numFmtId="0" fontId="2" fillId="0" borderId="0" xfId="0" applyFont="1"/>
    <xf numFmtId="0" fontId="2" fillId="0" borderId="19" xfId="1" applyFont="1" applyBorder="1" applyAlignment="1">
      <alignment horizontal="left" vertical="center" wrapText="1"/>
    </xf>
    <xf numFmtId="0" fontId="2" fillId="0" borderId="0" xfId="0" applyFont="1" applyAlignment="1">
      <alignment horizontal="center"/>
    </xf>
    <xf numFmtId="0" fontId="2" fillId="0" borderId="26" xfId="1" applyFont="1" applyBorder="1" applyAlignment="1">
      <alignment horizontal="left" vertical="center" wrapText="1"/>
    </xf>
    <xf numFmtId="14" fontId="2" fillId="0" borderId="1" xfId="0" applyNumberFormat="1" applyFont="1" applyBorder="1" applyAlignment="1">
      <alignment horizontal="center"/>
    </xf>
    <xf numFmtId="14" fontId="2" fillId="0" borderId="16" xfId="0" applyNumberFormat="1" applyFont="1" applyBorder="1" applyAlignment="1">
      <alignment horizontal="center"/>
    </xf>
    <xf numFmtId="0" fontId="2" fillId="0" borderId="19" xfId="1" applyFont="1" applyBorder="1" applyAlignment="1">
      <alignment horizontal="center" vertical="center"/>
    </xf>
    <xf numFmtId="0" fontId="2" fillId="0" borderId="19" xfId="1" applyFont="1" applyBorder="1" applyAlignment="1">
      <alignment horizontal="center" vertical="center" wrapText="1"/>
    </xf>
    <xf numFmtId="0" fontId="2" fillId="0" borderId="26" xfId="1" applyFont="1" applyBorder="1" applyAlignment="1">
      <alignment horizontal="left" vertical="center"/>
    </xf>
    <xf numFmtId="0" fontId="2" fillId="0" borderId="27" xfId="1" applyFont="1" applyBorder="1" applyAlignment="1">
      <alignment horizontal="center" vertical="center"/>
    </xf>
    <xf numFmtId="0" fontId="0" fillId="0" borderId="2" xfId="0" applyBorder="1"/>
    <xf numFmtId="0" fontId="17" fillId="0" borderId="3" xfId="0" applyFont="1" applyBorder="1" applyAlignment="1">
      <alignment horizontal="left" vertical="top" wrapText="1"/>
    </xf>
    <xf numFmtId="0" fontId="17" fillId="0" borderId="4" xfId="0" applyFont="1" applyBorder="1" applyAlignment="1">
      <alignment horizontal="left" vertical="top" wrapText="1"/>
    </xf>
    <xf numFmtId="0" fontId="7" fillId="0" borderId="14" xfId="0" applyFont="1" applyBorder="1"/>
    <xf numFmtId="0" fontId="50" fillId="20" borderId="36" xfId="0" applyFont="1" applyFill="1" applyBorder="1" applyAlignment="1">
      <alignment horizontal="center" vertical="center"/>
    </xf>
    <xf numFmtId="0" fontId="50" fillId="12" borderId="36" xfId="0" applyFont="1" applyFill="1" applyBorder="1" applyAlignment="1">
      <alignment horizontal="center" vertical="center"/>
    </xf>
    <xf numFmtId="3" fontId="15" fillId="8" borderId="0" xfId="0" applyNumberFormat="1" applyFont="1" applyFill="1"/>
    <xf numFmtId="0" fontId="17" fillId="0" borderId="18" xfId="0" applyFont="1" applyBorder="1" applyAlignment="1">
      <alignment vertical="top" wrapText="1"/>
    </xf>
    <xf numFmtId="0" fontId="17" fillId="0" borderId="13" xfId="0" applyFont="1" applyBorder="1" applyAlignment="1">
      <alignment wrapText="1"/>
    </xf>
    <xf numFmtId="0" fontId="17" fillId="0" borderId="9" xfId="0" applyFont="1" applyBorder="1"/>
    <xf numFmtId="0" fontId="107" fillId="0" borderId="0" xfId="0" applyFont="1"/>
    <xf numFmtId="0" fontId="107" fillId="0" borderId="11" xfId="0" applyFont="1" applyBorder="1"/>
    <xf numFmtId="0" fontId="17" fillId="0" borderId="10" xfId="0" applyFont="1" applyBorder="1" applyAlignment="1">
      <alignment vertical="center" wrapText="1"/>
    </xf>
    <xf numFmtId="0" fontId="9" fillId="0" borderId="0" xfId="0" applyFont="1" applyAlignment="1">
      <alignment vertical="top" wrapText="1"/>
    </xf>
    <xf numFmtId="0" fontId="9" fillId="0" borderId="10" xfId="0" applyFont="1" applyBorder="1" applyAlignment="1">
      <alignment vertical="top" wrapText="1"/>
    </xf>
    <xf numFmtId="0" fontId="22" fillId="40" borderId="96" xfId="0" applyFont="1" applyFill="1" applyBorder="1" applyAlignment="1">
      <alignment horizontal="center"/>
    </xf>
    <xf numFmtId="0" fontId="22" fillId="41" borderId="96" xfId="0" applyFont="1" applyFill="1" applyBorder="1" applyAlignment="1">
      <alignment horizontal="center"/>
    </xf>
    <xf numFmtId="0" fontId="107" fillId="0" borderId="9" xfId="0" applyFont="1" applyBorder="1" applyAlignment="1">
      <alignment vertical="center" wrapText="1"/>
    </xf>
    <xf numFmtId="0" fontId="107" fillId="0" borderId="0" xfId="0" applyFont="1" applyAlignment="1">
      <alignment vertical="center" wrapText="1"/>
    </xf>
    <xf numFmtId="0" fontId="107" fillId="0" borderId="11" xfId="0" applyFont="1" applyBorder="1" applyAlignment="1">
      <alignment vertical="center" wrapText="1"/>
    </xf>
    <xf numFmtId="0" fontId="107" fillId="0" borderId="0" xfId="0" quotePrefix="1" applyFont="1"/>
    <xf numFmtId="3" fontId="100" fillId="0" borderId="19" xfId="0" applyNumberFormat="1" applyFont="1" applyBorder="1" applyAlignment="1">
      <alignment vertical="center"/>
    </xf>
    <xf numFmtId="3" fontId="100" fillId="0" borderId="27" xfId="0" applyNumberFormat="1" applyFont="1" applyBorder="1" applyAlignment="1">
      <alignment vertical="center"/>
    </xf>
    <xf numFmtId="9" fontId="99" fillId="0" borderId="27" xfId="0" applyNumberFormat="1" applyFont="1" applyBorder="1" applyAlignment="1">
      <alignment vertical="center"/>
    </xf>
    <xf numFmtId="4" fontId="100" fillId="0" borderId="19" xfId="0" applyNumberFormat="1" applyFont="1" applyBorder="1" applyAlignment="1">
      <alignment vertical="center"/>
    </xf>
    <xf numFmtId="0" fontId="100" fillId="0" borderId="35" xfId="0" applyFont="1" applyBorder="1" applyAlignment="1">
      <alignment vertical="center"/>
    </xf>
    <xf numFmtId="0" fontId="100" fillId="0" borderId="37" xfId="0" applyFont="1" applyBorder="1" applyAlignment="1">
      <alignment vertical="center"/>
    </xf>
    <xf numFmtId="9" fontId="99" fillId="0" borderId="37" xfId="0" applyNumberFormat="1" applyFont="1" applyBorder="1" applyAlignment="1">
      <alignment vertical="center"/>
    </xf>
    <xf numFmtId="3" fontId="100" fillId="0" borderId="35" xfId="0" applyNumberFormat="1" applyFont="1" applyBorder="1" applyAlignment="1">
      <alignment vertical="center"/>
    </xf>
    <xf numFmtId="3" fontId="100" fillId="0" borderId="37" xfId="0" applyNumberFormat="1" applyFont="1" applyBorder="1" applyAlignment="1">
      <alignment vertical="center"/>
    </xf>
    <xf numFmtId="0" fontId="104" fillId="0" borderId="35" xfId="0" applyFont="1" applyBorder="1" applyAlignment="1">
      <alignment vertical="center"/>
    </xf>
    <xf numFmtId="0" fontId="104" fillId="0" borderId="37" xfId="0" applyFont="1" applyBorder="1" applyAlignment="1">
      <alignment vertical="center"/>
    </xf>
    <xf numFmtId="0" fontId="100" fillId="0" borderId="19" xfId="0" applyFont="1" applyBorder="1" applyAlignment="1">
      <alignment wrapText="1"/>
    </xf>
    <xf numFmtId="0" fontId="107" fillId="0" borderId="1" xfId="0" applyFont="1" applyBorder="1" applyAlignment="1">
      <alignment horizontal="center"/>
    </xf>
    <xf numFmtId="0" fontId="52" fillId="0" borderId="11" xfId="0" applyFont="1" applyBorder="1"/>
    <xf numFmtId="0" fontId="107" fillId="0" borderId="11" xfId="0" quotePrefix="1" applyFont="1" applyBorder="1"/>
    <xf numFmtId="0" fontId="108" fillId="0" borderId="0" xfId="0" applyFont="1"/>
    <xf numFmtId="0" fontId="111" fillId="0" borderId="1" xfId="0" applyFont="1" applyBorder="1" applyAlignment="1">
      <alignment horizontal="center"/>
    </xf>
    <xf numFmtId="0" fontId="107" fillId="0" borderId="9" xfId="0" applyFont="1" applyBorder="1"/>
    <xf numFmtId="0" fontId="107" fillId="0" borderId="18" xfId="0" applyFont="1" applyBorder="1"/>
    <xf numFmtId="0" fontId="107" fillId="0" borderId="15" xfId="0" applyFont="1" applyBorder="1"/>
    <xf numFmtId="10" fontId="0" fillId="0" borderId="0" xfId="0" applyNumberFormat="1"/>
    <xf numFmtId="10" fontId="0" fillId="0" borderId="0" xfId="0" applyNumberFormat="1" applyAlignment="1">
      <alignment horizontal="center"/>
    </xf>
    <xf numFmtId="0" fontId="112" fillId="0" borderId="1" xfId="0" applyFont="1" applyBorder="1" applyAlignment="1">
      <alignment horizontal="center"/>
    </xf>
    <xf numFmtId="0" fontId="107" fillId="0" borderId="14" xfId="0" applyFont="1" applyBorder="1"/>
    <xf numFmtId="0" fontId="107" fillId="0" borderId="10" xfId="0" applyFont="1" applyBorder="1"/>
    <xf numFmtId="0" fontId="107" fillId="0" borderId="12" xfId="0" applyFont="1" applyBorder="1"/>
    <xf numFmtId="0" fontId="108" fillId="0" borderId="14" xfId="0" applyFont="1" applyBorder="1" applyAlignment="1">
      <alignment wrapText="1"/>
    </xf>
    <xf numFmtId="0" fontId="108" fillId="0" borderId="10" xfId="0" applyFont="1" applyBorder="1" applyAlignment="1">
      <alignment wrapText="1"/>
    </xf>
    <xf numFmtId="0" fontId="108" fillId="0" borderId="12" xfId="0" applyFont="1" applyBorder="1" applyAlignment="1">
      <alignment wrapText="1"/>
    </xf>
    <xf numFmtId="0" fontId="107" fillId="0" borderId="13" xfId="0" applyFont="1" applyBorder="1" applyAlignment="1">
      <alignment wrapText="1"/>
    </xf>
    <xf numFmtId="0" fontId="107" fillId="0" borderId="14" xfId="0" applyFont="1" applyBorder="1" applyAlignment="1">
      <alignment vertical="center" wrapText="1"/>
    </xf>
    <xf numFmtId="0" fontId="107" fillId="0" borderId="10" xfId="0" applyFont="1" applyBorder="1" applyAlignment="1">
      <alignment vertical="center" wrapText="1"/>
    </xf>
    <xf numFmtId="0" fontId="107" fillId="0" borderId="12" xfId="0" applyFont="1" applyBorder="1" applyAlignment="1">
      <alignment vertical="center" wrapText="1"/>
    </xf>
    <xf numFmtId="0" fontId="107" fillId="0" borderId="9" xfId="0" applyFont="1" applyBorder="1" applyAlignment="1">
      <alignment wrapText="1"/>
    </xf>
    <xf numFmtId="0" fontId="107" fillId="0" borderId="0" xfId="0" applyFont="1" applyAlignment="1">
      <alignment wrapText="1"/>
    </xf>
    <xf numFmtId="0" fontId="107" fillId="0" borderId="15" xfId="0" applyFont="1" applyBorder="1" applyAlignment="1">
      <alignment wrapText="1"/>
    </xf>
    <xf numFmtId="0" fontId="107" fillId="0" borderId="11" xfId="0" applyFont="1" applyBorder="1" applyAlignment="1">
      <alignment wrapText="1"/>
    </xf>
    <xf numFmtId="0" fontId="17" fillId="0" borderId="9" xfId="0" applyFont="1" applyBorder="1" applyAlignment="1">
      <alignment wrapText="1"/>
    </xf>
    <xf numFmtId="0" fontId="17" fillId="0" borderId="14" xfId="0" applyFont="1" applyBorder="1" applyAlignment="1">
      <alignment wrapText="1"/>
    </xf>
    <xf numFmtId="0" fontId="17" fillId="0" borderId="18" xfId="0" applyFont="1" applyBorder="1" applyAlignment="1">
      <alignment wrapText="1"/>
    </xf>
    <xf numFmtId="0" fontId="17" fillId="0" borderId="0" xfId="0" applyFont="1" applyAlignment="1">
      <alignment wrapText="1"/>
    </xf>
    <xf numFmtId="0" fontId="17" fillId="0" borderId="10" xfId="0" applyFont="1" applyBorder="1" applyAlignment="1">
      <alignment wrapText="1"/>
    </xf>
    <xf numFmtId="0" fontId="17" fillId="0" borderId="15" xfId="0" applyFont="1" applyBorder="1" applyAlignment="1">
      <alignment wrapText="1"/>
    </xf>
    <xf numFmtId="0" fontId="17" fillId="0" borderId="11" xfId="0" applyFont="1" applyBorder="1" applyAlignment="1">
      <alignment wrapText="1"/>
    </xf>
    <xf numFmtId="0" fontId="17" fillId="0" borderId="12" xfId="0" applyFont="1" applyBorder="1" applyAlignment="1">
      <alignment wrapText="1"/>
    </xf>
    <xf numFmtId="0" fontId="108" fillId="0" borderId="9" xfId="0" applyFont="1" applyBorder="1"/>
    <xf numFmtId="0" fontId="108" fillId="0" borderId="14" xfId="0" applyFont="1" applyBorder="1"/>
    <xf numFmtId="0" fontId="108" fillId="0" borderId="10" xfId="0" applyFont="1" applyBorder="1"/>
    <xf numFmtId="0" fontId="108" fillId="0" borderId="11" xfId="0" applyFont="1" applyBorder="1"/>
    <xf numFmtId="0" fontId="108" fillId="0" borderId="12" xfId="0" applyFont="1" applyBorder="1"/>
    <xf numFmtId="0" fontId="0" fillId="0" borderId="9" xfId="0" applyBorder="1"/>
    <xf numFmtId="0" fontId="0" fillId="0" borderId="10" xfId="0" applyBorder="1"/>
    <xf numFmtId="0" fontId="0" fillId="0" borderId="11" xfId="0" applyBorder="1"/>
    <xf numFmtId="0" fontId="0" fillId="0" borderId="12" xfId="0" applyBorder="1"/>
    <xf numFmtId="0" fontId="52" fillId="0" borderId="1" xfId="0" applyFont="1" applyBorder="1" applyAlignment="1">
      <alignment horizontal="center" vertical="center"/>
    </xf>
    <xf numFmtId="3" fontId="107" fillId="0" borderId="15" xfId="0" applyNumberFormat="1" applyFont="1" applyBorder="1" applyAlignment="1">
      <alignment horizontal="center"/>
    </xf>
    <xf numFmtId="3" fontId="9" fillId="0" borderId="18" xfId="0" applyNumberFormat="1" applyFont="1" applyBorder="1" applyAlignment="1">
      <alignment horizontal="center"/>
    </xf>
    <xf numFmtId="3" fontId="17" fillId="0" borderId="17" xfId="0" applyNumberFormat="1" applyFont="1" applyBorder="1" applyAlignment="1">
      <alignment horizontal="center"/>
    </xf>
    <xf numFmtId="0" fontId="0" fillId="13" borderId="0" xfId="0" applyFill="1" applyAlignment="1">
      <alignment horizontal="center"/>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0" fontId="113" fillId="0" borderId="0" xfId="0" applyFont="1"/>
    <xf numFmtId="0" fontId="116" fillId="0" borderId="0" xfId="0" applyFont="1"/>
    <xf numFmtId="0" fontId="117" fillId="0" borderId="0" xfId="0" applyFont="1"/>
    <xf numFmtId="0" fontId="114" fillId="42" borderId="188" xfId="0" applyFont="1" applyFill="1" applyBorder="1"/>
    <xf numFmtId="0" fontId="0" fillId="0" borderId="189" xfId="0" applyBorder="1"/>
    <xf numFmtId="3" fontId="119" fillId="0" borderId="189" xfId="0" applyNumberFormat="1" applyFont="1" applyBorder="1"/>
    <xf numFmtId="4" fontId="119" fillId="0" borderId="189" xfId="0" applyNumberFormat="1" applyFont="1" applyBorder="1"/>
    <xf numFmtId="0" fontId="0" fillId="0" borderId="190" xfId="0" applyBorder="1"/>
    <xf numFmtId="0" fontId="114" fillId="42" borderId="191" xfId="0" applyFont="1" applyFill="1" applyBorder="1"/>
    <xf numFmtId="0" fontId="0" fillId="0" borderId="192" xfId="0" applyBorder="1"/>
    <xf numFmtId="0" fontId="0" fillId="0" borderId="192" xfId="0" applyBorder="1" applyAlignment="1">
      <alignment horizontal="center"/>
    </xf>
    <xf numFmtId="180" fontId="118" fillId="0" borderId="192" xfId="0" applyNumberFormat="1" applyFont="1" applyBorder="1"/>
    <xf numFmtId="0" fontId="115" fillId="0" borderId="193" xfId="0" applyFont="1" applyBorder="1"/>
    <xf numFmtId="180" fontId="115" fillId="0" borderId="193" xfId="0" applyNumberFormat="1" applyFont="1" applyBorder="1"/>
    <xf numFmtId="0" fontId="0" fillId="0" borderId="193" xfId="0" applyBorder="1"/>
    <xf numFmtId="0" fontId="120" fillId="0" borderId="192" xfId="0" applyFont="1" applyBorder="1"/>
    <xf numFmtId="14" fontId="0" fillId="0" borderId="0" xfId="0" applyNumberFormat="1"/>
    <xf numFmtId="14" fontId="121" fillId="0" borderId="192" xfId="0" applyNumberFormat="1" applyFont="1" applyBorder="1"/>
    <xf numFmtId="1" fontId="0" fillId="0" borderId="192" xfId="0" applyNumberFormat="1" applyBorder="1"/>
    <xf numFmtId="167" fontId="0" fillId="0" borderId="192" xfId="0" applyNumberFormat="1" applyBorder="1"/>
    <xf numFmtId="167" fontId="0" fillId="0" borderId="193" xfId="0" applyNumberFormat="1" applyBorder="1"/>
    <xf numFmtId="0" fontId="120" fillId="0" borderId="193" xfId="0" applyFont="1" applyBorder="1"/>
    <xf numFmtId="3" fontId="122" fillId="15" borderId="111" xfId="0" applyNumberFormat="1" applyFont="1" applyFill="1" applyBorder="1" applyAlignment="1">
      <alignment horizontal="center"/>
    </xf>
    <xf numFmtId="3" fontId="122" fillId="15" borderId="58" xfId="0" applyNumberFormat="1" applyFont="1" applyFill="1" applyBorder="1" applyAlignment="1">
      <alignment horizontal="center"/>
    </xf>
    <xf numFmtId="4" fontId="121" fillId="15" borderId="67" xfId="0" applyNumberFormat="1" applyFont="1" applyFill="1" applyBorder="1" applyAlignment="1">
      <alignment horizontal="center"/>
    </xf>
    <xf numFmtId="4" fontId="121" fillId="15" borderId="53" xfId="0" applyNumberFormat="1" applyFont="1" applyFill="1" applyBorder="1" applyAlignment="1">
      <alignment horizontal="center"/>
    </xf>
    <xf numFmtId="4" fontId="121" fillId="15" borderId="138" xfId="0" applyNumberFormat="1" applyFont="1" applyFill="1" applyBorder="1" applyAlignment="1">
      <alignment horizontal="center"/>
    </xf>
    <xf numFmtId="14" fontId="123" fillId="20" borderId="0" xfId="0" applyNumberFormat="1" applyFont="1" applyFill="1" applyAlignment="1">
      <alignment horizontal="center"/>
    </xf>
    <xf numFmtId="0" fontId="124" fillId="13" borderId="0" xfId="0" applyNumberFormat="1" applyFont="1" applyFill="1" applyAlignment="1">
      <alignment horizontal="right"/>
    </xf>
    <xf numFmtId="0" fontId="0" fillId="0" borderId="192" xfId="0" applyNumberFormat="1" applyBorder="1" applyAlignment="1">
      <alignment horizontal="right"/>
    </xf>
    <xf numFmtId="0" fontId="126" fillId="0" borderId="0" xfId="0" applyFont="1"/>
    <xf numFmtId="0" fontId="127" fillId="0" borderId="0" xfId="0" applyFont="1"/>
    <xf numFmtId="0" fontId="124" fillId="42" borderId="0" xfId="0" applyFont="1" applyFill="1"/>
    <xf numFmtId="0" fontId="124" fillId="42" borderId="191" xfId="0" applyFont="1" applyFill="1" applyBorder="1" applyAlignment="1">
      <alignment vertical="center" wrapText="1"/>
    </xf>
    <xf numFmtId="14" fontId="0" fillId="0" borderId="192" xfId="0" applyNumberFormat="1" applyBorder="1"/>
    <xf numFmtId="3" fontId="0" fillId="0" borderId="192" xfId="0" applyNumberFormat="1" applyBorder="1"/>
    <xf numFmtId="0" fontId="0" fillId="0" borderId="194" xfId="0" applyBorder="1" applyAlignment="1">
      <alignment horizontal="center"/>
    </xf>
    <xf numFmtId="14" fontId="0" fillId="0" borderId="194" xfId="0" applyNumberFormat="1" applyBorder="1"/>
    <xf numFmtId="3" fontId="0" fillId="0" borderId="194" xfId="0" applyNumberFormat="1" applyBorder="1"/>
    <xf numFmtId="0" fontId="0" fillId="0" borderId="194" xfId="0" applyBorder="1"/>
    <xf numFmtId="3" fontId="122" fillId="7" borderId="78" xfId="0" applyNumberFormat="1" applyFont="1" applyFill="1" applyBorder="1" applyAlignment="1">
      <alignment horizontal="center"/>
    </xf>
    <xf numFmtId="0" fontId="125" fillId="0" borderId="196" xfId="0" applyFont="1" applyBorder="1"/>
    <xf numFmtId="0" fontId="125" fillId="0" borderId="195" xfId="0" applyFont="1" applyBorder="1"/>
    <xf numFmtId="0" fontId="125" fillId="0" borderId="198" xfId="0" applyFont="1" applyBorder="1"/>
    <xf numFmtId="0" fontId="125" fillId="0" borderId="197" xfId="0" applyFont="1" applyBorder="1"/>
    <xf numFmtId="49" fontId="0" fillId="0" borderId="0" xfId="0" applyNumberFormat="1"/>
    <xf numFmtId="0" fontId="128" fillId="0" borderId="0" xfId="0" applyFont="1"/>
    <xf numFmtId="0" fontId="124" fillId="42" borderId="191" xfId="0" applyFont="1" applyFill="1" applyBorder="1" applyAlignment="1">
      <alignment horizontal="center" vertical="center" wrapText="1"/>
    </xf>
    <xf numFmtId="180" fontId="0" fillId="0" borderId="192" xfId="0" applyNumberFormat="1" applyBorder="1" applyAlignment="1">
      <alignment horizontal="center"/>
    </xf>
    <xf numFmtId="180" fontId="24" fillId="0" borderId="194" xfId="0" applyNumberFormat="1" applyFont="1" applyBorder="1" applyAlignment="1">
      <alignment horizontal="center"/>
    </xf>
    <xf numFmtId="3" fontId="0" fillId="0" borderId="192" xfId="0" applyNumberFormat="1" applyBorder="1" applyAlignment="1">
      <alignment horizontal="center"/>
    </xf>
    <xf numFmtId="168" fontId="0" fillId="0" borderId="192" xfId="0" applyNumberFormat="1" applyBorder="1" applyAlignment="1">
      <alignment horizontal="center"/>
    </xf>
    <xf numFmtId="3" fontId="24" fillId="0" borderId="194" xfId="0" applyNumberFormat="1" applyFont="1" applyBorder="1" applyAlignment="1">
      <alignment horizontal="center"/>
    </xf>
    <xf numFmtId="168" fontId="24" fillId="0" borderId="194" xfId="0" applyNumberFormat="1" applyFont="1" applyBorder="1" applyAlignment="1">
      <alignment horizontal="center"/>
    </xf>
    <xf numFmtId="0" fontId="124" fillId="42" borderId="191" xfId="0" applyFont="1" applyFill="1" applyBorder="1" applyAlignment="1">
      <alignment horizontal="left" vertical="center" wrapText="1"/>
    </xf>
    <xf numFmtId="0" fontId="0" fillId="0" borderId="192" xfId="0" applyBorder="1" applyAlignment="1">
      <alignment horizontal="left"/>
    </xf>
    <xf numFmtId="0" fontId="24" fillId="0" borderId="194" xfId="0" applyFont="1" applyBorder="1" applyAlignment="1">
      <alignment horizontal="left"/>
    </xf>
    <xf numFmtId="0" fontId="129" fillId="0" borderId="0" xfId="0" applyFont="1" applyAlignment="1">
      <alignment horizontal="left"/>
    </xf>
    <xf numFmtId="0" fontId="130" fillId="0" borderId="0" xfId="0" applyFont="1"/>
    <xf numFmtId="0" fontId="132" fillId="0" borderId="0" xfId="0" applyFont="1"/>
    <xf numFmtId="14" fontId="132" fillId="0" borderId="0" xfId="0" applyNumberFormat="1" applyFont="1"/>
    <xf numFmtId="0" fontId="133" fillId="0" borderId="0" xfId="0" applyFont="1"/>
    <xf numFmtId="0" fontId="124" fillId="42" borderId="0" xfId="0" applyFont="1" applyFill="1" applyAlignment="1">
      <alignment horizontal="center"/>
    </xf>
    <xf numFmtId="0" fontId="134" fillId="0" borderId="0" xfId="0" applyFont="1"/>
    <xf numFmtId="0" fontId="115" fillId="43" borderId="191" xfId="0" applyFont="1" applyFill="1" applyBorder="1" applyAlignment="1">
      <alignment vertical="center"/>
    </xf>
    <xf numFmtId="0" fontId="0" fillId="43" borderId="191" xfId="0" applyFill="1" applyBorder="1" applyAlignment="1">
      <alignment vertical="center"/>
    </xf>
    <xf numFmtId="0" fontId="0" fillId="43" borderId="191" xfId="0" applyFill="1" applyBorder="1" applyAlignment="1">
      <alignment horizontal="center" vertical="center" wrapText="1"/>
    </xf>
    <xf numFmtId="0" fontId="115" fillId="43" borderId="192" xfId="0" applyFont="1" applyFill="1" applyBorder="1" applyAlignment="1">
      <alignment vertical="center"/>
    </xf>
    <xf numFmtId="0" fontId="0" fillId="43" borderId="192" xfId="0" applyFill="1" applyBorder="1" applyAlignment="1">
      <alignment vertical="center"/>
    </xf>
    <xf numFmtId="0" fontId="0" fillId="43" borderId="192" xfId="0" applyFill="1" applyBorder="1" applyAlignment="1">
      <alignment horizontal="center" vertical="center" wrapText="1"/>
    </xf>
    <xf numFmtId="0" fontId="115" fillId="44" borderId="192" xfId="0" applyFont="1" applyFill="1" applyBorder="1" applyAlignment="1">
      <alignment vertical="center"/>
    </xf>
    <xf numFmtId="0" fontId="0" fillId="44" borderId="192" xfId="0" applyFill="1" applyBorder="1" applyAlignment="1">
      <alignment vertical="center"/>
    </xf>
    <xf numFmtId="0" fontId="0" fillId="44" borderId="192" xfId="0" applyFill="1" applyBorder="1" applyAlignment="1">
      <alignment horizontal="center" vertical="center" wrapText="1"/>
    </xf>
    <xf numFmtId="14" fontId="131" fillId="20" borderId="0" xfId="0" applyNumberFormat="1" applyFont="1" applyFill="1" applyAlignment="1">
      <alignment horizontal="center"/>
    </xf>
    <xf numFmtId="3" fontId="77" fillId="34" borderId="199" xfId="8" applyNumberFormat="1" applyFont="1" applyFill="1" applyBorder="1" applyAlignment="1">
      <alignment horizontal="center" vertical="center" wrapText="1"/>
    </xf>
    <xf numFmtId="0" fontId="118" fillId="0" borderId="0" xfId="8" applyFont="1"/>
    <xf numFmtId="0" fontId="118" fillId="0" borderId="0" xfId="0" applyFont="1"/>
    <xf numFmtId="0" fontId="115" fillId="0" borderId="0" xfId="8" applyFont="1"/>
    <xf numFmtId="0" fontId="114" fillId="42" borderId="0" xfId="0" applyFont="1" applyFill="1"/>
    <xf numFmtId="0" fontId="0" fillId="0" borderId="0" xfId="0" applyAlignment="1"/>
    <xf numFmtId="0" fontId="0" fillId="0" borderId="0" xfId="0"/>
    <xf numFmtId="0" fontId="0" fillId="0" borderId="0" xfId="0" applyAlignment="1">
      <alignment horizontal="left"/>
    </xf>
    <xf numFmtId="0" fontId="17" fillId="0" borderId="10" xfId="0" applyFont="1" applyBorder="1" applyAlignment="1">
      <alignment horizontal="left"/>
    </xf>
    <xf numFmtId="0" fontId="17" fillId="0" borderId="12" xfId="0" applyFont="1" applyBorder="1" applyAlignment="1">
      <alignment horizontal="left"/>
    </xf>
    <xf numFmtId="0" fontId="7" fillId="4" borderId="17" xfId="0" applyFont="1" applyFill="1" applyBorder="1" applyAlignment="1">
      <alignment horizontal="center" vertical="center"/>
    </xf>
    <xf numFmtId="0" fontId="7" fillId="0" borderId="2" xfId="0" applyFont="1" applyBorder="1" applyAlignment="1">
      <alignment horizontal="center"/>
    </xf>
    <xf numFmtId="0" fontId="9" fillId="0" borderId="16" xfId="0" applyFont="1" applyBorder="1" applyAlignment="1">
      <alignment horizontal="center" vertical="center" wrapText="1" indent="1"/>
    </xf>
    <xf numFmtId="0" fontId="0" fillId="0" borderId="0" xfId="0" applyAlignment="1">
      <alignment horizontal="center"/>
    </xf>
    <xf numFmtId="0" fontId="0" fillId="0" borderId="10" xfId="0" applyBorder="1" applyAlignment="1">
      <alignment horizontal="left"/>
    </xf>
    <xf numFmtId="0" fontId="0" fillId="0" borderId="11" xfId="0" applyBorder="1" applyAlignment="1">
      <alignment horizontal="left"/>
    </xf>
    <xf numFmtId="0" fontId="1" fillId="0" borderId="0" xfId="0" applyFont="1"/>
    <xf numFmtId="14" fontId="118" fillId="20" borderId="0" xfId="0" applyNumberFormat="1" applyFont="1" applyFill="1"/>
    <xf numFmtId="0" fontId="135" fillId="0" borderId="0" xfId="0" applyFont="1"/>
    <xf numFmtId="0" fontId="136" fillId="0" borderId="0" xfId="0" applyFont="1"/>
    <xf numFmtId="0" fontId="137" fillId="0" borderId="0" xfId="0" applyFont="1"/>
    <xf numFmtId="0" fontId="138" fillId="0" borderId="0" xfId="0" applyFont="1"/>
    <xf numFmtId="0" fontId="139" fillId="42" borderId="0" xfId="0" applyFont="1" applyFill="1"/>
    <xf numFmtId="181" fontId="0" fillId="0" borderId="0" xfId="0" applyNumberFormat="1"/>
    <xf numFmtId="14" fontId="140" fillId="0" borderId="0" xfId="0" applyNumberFormat="1" applyFont="1"/>
    <xf numFmtId="181" fontId="140" fillId="0" borderId="0" xfId="0" applyNumberFormat="1" applyFont="1"/>
    <xf numFmtId="0" fontId="140" fillId="0" borderId="0" xfId="0" applyFont="1"/>
    <xf numFmtId="14" fontId="0" fillId="0" borderId="0" xfId="0" applyNumberFormat="1" applyAlignment="1">
      <alignment horizontal="right"/>
    </xf>
    <xf numFmtId="181" fontId="140" fillId="0" borderId="0" xfId="0" applyNumberFormat="1" applyFont="1" applyAlignment="1">
      <alignment horizontal="right"/>
    </xf>
    <xf numFmtId="0" fontId="140" fillId="0" borderId="0" xfId="0" applyFont="1" applyAlignment="1">
      <alignment horizontal="right"/>
    </xf>
    <xf numFmtId="182" fontId="140" fillId="0" borderId="0" xfId="0" applyNumberFormat="1" applyFont="1"/>
    <xf numFmtId="0" fontId="141" fillId="45" borderId="200" xfId="0" applyFont="1" applyFill="1" applyBorder="1"/>
    <xf numFmtId="0" fontId="141" fillId="45" borderId="201" xfId="0" applyFont="1" applyFill="1" applyBorder="1"/>
    <xf numFmtId="0" fontId="0" fillId="0" borderId="202" xfId="0" applyFont="1" applyBorder="1"/>
    <xf numFmtId="0" fontId="0" fillId="0" borderId="203" xfId="0" applyFont="1" applyBorder="1"/>
    <xf numFmtId="3" fontId="121" fillId="0" borderId="189" xfId="0" applyNumberFormat="1" applyFont="1" applyBorder="1"/>
    <xf numFmtId="4" fontId="121" fillId="0" borderId="189" xfId="0" applyNumberFormat="1" applyFont="1" applyBorder="1"/>
    <xf numFmtId="2" fontId="121" fillId="0" borderId="189" xfId="0" applyNumberFormat="1" applyFont="1" applyBorder="1"/>
    <xf numFmtId="165" fontId="121" fillId="0" borderId="189" xfId="0" applyNumberFormat="1" applyFont="1" applyBorder="1"/>
    <xf numFmtId="168" fontId="121" fillId="0" borderId="190" xfId="0" applyNumberFormat="1" applyFont="1" applyBorder="1"/>
    <xf numFmtId="3" fontId="121" fillId="20" borderId="189" xfId="0" applyNumberFormat="1" applyFont="1" applyFill="1" applyBorder="1"/>
    <xf numFmtId="166" fontId="0" fillId="0" borderId="0" xfId="0" applyNumberFormat="1"/>
    <xf numFmtId="165" fontId="0" fillId="0" borderId="0" xfId="0" applyNumberFormat="1"/>
    <xf numFmtId="1" fontId="0" fillId="0" borderId="0" xfId="0" applyNumberFormat="1"/>
    <xf numFmtId="2" fontId="0" fillId="43" borderId="0" xfId="0" applyNumberFormat="1" applyFill="1"/>
    <xf numFmtId="168" fontId="0" fillId="43" borderId="0" xfId="0" applyNumberFormat="1" applyFill="1"/>
    <xf numFmtId="0" fontId="0" fillId="43" borderId="0" xfId="0" applyFill="1"/>
    <xf numFmtId="1" fontId="0" fillId="43" borderId="0" xfId="0" applyNumberFormat="1" applyFill="1"/>
    <xf numFmtId="0" fontId="0" fillId="0" borderId="0" xfId="0" applyAlignment="1">
      <alignment vertical="center" wrapText="1"/>
    </xf>
    <xf numFmtId="183" fontId="0" fillId="0" borderId="0" xfId="0" applyNumberFormat="1"/>
    <xf numFmtId="9" fontId="0" fillId="0" borderId="0" xfId="0" applyNumberFormat="1"/>
    <xf numFmtId="0" fontId="142" fillId="0" borderId="0" xfId="0" applyFont="1"/>
    <xf numFmtId="0" fontId="143" fillId="0" borderId="0" xfId="0" applyFont="1"/>
    <xf numFmtId="0" fontId="0" fillId="0" borderId="0" xfId="0" applyFill="1" applyBorder="1"/>
    <xf numFmtId="0" fontId="120" fillId="0" borderId="0" xfId="0" applyFont="1" applyFill="1" applyBorder="1"/>
    <xf numFmtId="0" fontId="0" fillId="0" borderId="0" xfId="0" applyAlignment="1">
      <alignment vertical="top" wrapText="1"/>
    </xf>
    <xf numFmtId="0" fontId="138" fillId="0" borderId="0" xfId="0" applyFont="1" applyAlignment="1">
      <alignment vertical="top" wrapText="1"/>
    </xf>
    <xf numFmtId="0" fontId="142" fillId="0" borderId="0" xfId="0" applyFont="1" applyAlignment="1">
      <alignment vertical="top" wrapText="1"/>
    </xf>
    <xf numFmtId="183" fontId="0" fillId="0" borderId="203" xfId="0" applyNumberFormat="1" applyFont="1" applyBorder="1"/>
    <xf numFmtId="0" fontId="0" fillId="0" borderId="0" xfId="0" applyAlignment="1">
      <alignment vertical="center"/>
    </xf>
    <xf numFmtId="0" fontId="140" fillId="0" borderId="0" xfId="0" applyFont="1" applyAlignment="1">
      <alignment horizontal="center"/>
    </xf>
    <xf numFmtId="2" fontId="140" fillId="0" borderId="0" xfId="0" applyNumberFormat="1" applyFont="1"/>
    <xf numFmtId="3" fontId="140" fillId="0" borderId="0" xfId="0" applyNumberFormat="1" applyFont="1"/>
    <xf numFmtId="3" fontId="0" fillId="43" borderId="0" xfId="0" applyNumberFormat="1" applyFill="1"/>
    <xf numFmtId="1" fontId="144" fillId="0" borderId="0" xfId="0" applyNumberFormat="1" applyFont="1"/>
    <xf numFmtId="165" fontId="144" fillId="0" borderId="0" xfId="0" applyNumberFormat="1" applyFont="1"/>
    <xf numFmtId="165" fontId="0" fillId="0" borderId="0" xfId="0" applyNumberFormat="1" applyAlignment="1">
      <alignment horizontal="right"/>
    </xf>
    <xf numFmtId="14" fontId="36" fillId="0" borderId="101" xfId="0" applyNumberFormat="1" applyFont="1" applyBorder="1" applyAlignment="1">
      <alignment horizontal="center"/>
    </xf>
    <xf numFmtId="14" fontId="36" fillId="0" borderId="64" xfId="0" applyNumberFormat="1" applyFont="1" applyBorder="1" applyAlignment="1">
      <alignment horizontal="center"/>
    </xf>
    <xf numFmtId="0" fontId="33" fillId="17" borderId="55" xfId="0" applyFont="1" applyFill="1" applyBorder="1" applyAlignment="1">
      <alignment horizontal="center" vertical="center"/>
    </xf>
    <xf numFmtId="0" fontId="33" fillId="17" borderId="25" xfId="0" applyFont="1" applyFill="1" applyBorder="1" applyAlignment="1">
      <alignment horizontal="center" vertical="center"/>
    </xf>
    <xf numFmtId="0" fontId="33" fillId="17" borderId="25" xfId="0" applyFont="1" applyFill="1" applyBorder="1" applyAlignment="1">
      <alignment horizontal="center" vertical="center" wrapText="1"/>
    </xf>
    <xf numFmtId="0" fontId="35" fillId="19" borderId="25" xfId="0" applyFont="1" applyFill="1" applyBorder="1" applyAlignment="1">
      <alignment horizontal="center" vertical="center" wrapText="1"/>
    </xf>
    <xf numFmtId="0" fontId="35" fillId="12" borderId="25" xfId="0" applyFont="1" applyFill="1" applyBorder="1" applyAlignment="1">
      <alignment horizontal="center" vertical="center" wrapText="1"/>
    </xf>
    <xf numFmtId="14" fontId="36" fillId="0" borderId="204" xfId="0" applyNumberFormat="1" applyFont="1" applyBorder="1" applyAlignment="1">
      <alignment horizontal="center"/>
    </xf>
    <xf numFmtId="0" fontId="22" fillId="0" borderId="25" xfId="0" applyFont="1" applyBorder="1" applyAlignment="1">
      <alignment horizontal="right"/>
    </xf>
    <xf numFmtId="3" fontId="22" fillId="0" borderId="25" xfId="0" applyNumberFormat="1" applyFont="1" applyBorder="1" applyAlignment="1">
      <alignment horizontal="right"/>
    </xf>
    <xf numFmtId="0" fontId="36" fillId="0" borderId="25" xfId="0" applyFont="1" applyBorder="1" applyAlignment="1">
      <alignment horizontal="center"/>
    </xf>
    <xf numFmtId="0" fontId="22" fillId="9" borderId="59" xfId="0" applyFont="1" applyFill="1" applyBorder="1" applyAlignment="1">
      <alignment wrapText="1"/>
    </xf>
    <xf numFmtId="184" fontId="8" fillId="46" borderId="0" xfId="0" applyNumberFormat="1" applyFont="1" applyFill="1" applyAlignment="1">
      <alignment horizontal="center"/>
    </xf>
    <xf numFmtId="0" fontId="147" fillId="0" borderId="0" xfId="0" applyFont="1"/>
    <xf numFmtId="0" fontId="146" fillId="0" borderId="0" xfId="0" applyFont="1" applyAlignment="1">
      <alignment horizontal="right"/>
    </xf>
    <xf numFmtId="0" fontId="148" fillId="0" borderId="0" xfId="0" applyFont="1"/>
    <xf numFmtId="185" fontId="9" fillId="0" borderId="1" xfId="0" applyNumberFormat="1" applyFont="1" applyBorder="1" applyAlignment="1">
      <alignment horizontal="center"/>
    </xf>
    <xf numFmtId="49" fontId="9" fillId="0" borderId="5" xfId="0" applyNumberFormat="1" applyFont="1" applyBorder="1" applyAlignment="1">
      <alignment horizontal="center"/>
    </xf>
    <xf numFmtId="49" fontId="9" fillId="0" borderId="1" xfId="0" applyNumberFormat="1" applyFont="1" applyBorder="1" applyAlignment="1">
      <alignment horizontal="center"/>
    </xf>
    <xf numFmtId="49" fontId="10" fillId="0" borderId="35" xfId="0" applyNumberFormat="1" applyFont="1" applyBorder="1" applyAlignment="1">
      <alignment horizontal="center"/>
    </xf>
    <xf numFmtId="49" fontId="10" fillId="0" borderId="19" xfId="0" applyNumberFormat="1" applyFont="1" applyBorder="1" applyAlignment="1">
      <alignment horizontal="center"/>
    </xf>
    <xf numFmtId="49" fontId="9" fillId="0" borderId="16" xfId="0" applyNumberFormat="1" applyFont="1" applyBorder="1" applyAlignment="1">
      <alignment horizontal="center"/>
    </xf>
    <xf numFmtId="49" fontId="52" fillId="0" borderId="1" xfId="0" applyNumberFormat="1" applyFont="1" applyBorder="1" applyAlignment="1">
      <alignment horizontal="center"/>
    </xf>
    <xf numFmtId="49" fontId="17" fillId="0" borderId="1" xfId="0" applyNumberFormat="1" applyFont="1" applyBorder="1" applyAlignment="1">
      <alignment horizontal="center"/>
    </xf>
    <xf numFmtId="49" fontId="0" fillId="0" borderId="1" xfId="0" applyNumberFormat="1" applyBorder="1" applyAlignment="1">
      <alignment horizontal="center" vertical="center"/>
    </xf>
    <xf numFmtId="49" fontId="108" fillId="0" borderId="1" xfId="0" applyNumberFormat="1" applyFont="1" applyBorder="1" applyAlignment="1">
      <alignment horizontal="center"/>
    </xf>
    <xf numFmtId="49" fontId="110" fillId="0" borderId="1" xfId="0" applyNumberFormat="1" applyFont="1" applyBorder="1" applyAlignment="1">
      <alignment horizontal="center"/>
    </xf>
    <xf numFmtId="49" fontId="7" fillId="0" borderId="1" xfId="0" applyNumberFormat="1" applyFont="1" applyBorder="1" applyAlignment="1">
      <alignment horizontal="center" vertical="center" wrapText="1"/>
    </xf>
    <xf numFmtId="49" fontId="109" fillId="0" borderId="1" xfId="0" applyNumberFormat="1" applyFont="1" applyBorder="1" applyAlignment="1">
      <alignment horizontal="center"/>
    </xf>
    <xf numFmtId="49" fontId="17" fillId="0" borderId="1" xfId="0" applyNumberFormat="1" applyFont="1" applyBorder="1"/>
    <xf numFmtId="0" fontId="0" fillId="0" borderId="24" xfId="0" applyBorder="1"/>
    <xf numFmtId="0" fontId="149" fillId="0" borderId="0" xfId="0" applyFont="1"/>
    <xf numFmtId="1" fontId="138" fillId="0" borderId="0" xfId="0" applyNumberFormat="1" applyFont="1"/>
    <xf numFmtId="1" fontId="139" fillId="42" borderId="0" xfId="0" applyNumberFormat="1" applyFont="1" applyFill="1"/>
    <xf numFmtId="0" fontId="150" fillId="46" borderId="205" xfId="0" applyFont="1" applyFill="1" applyBorder="1" applyAlignment="1">
      <alignment horizontal="right"/>
    </xf>
    <xf numFmtId="0" fontId="142" fillId="0" borderId="0" xfId="0" applyFont="1" applyAlignment="1">
      <alignment horizontal="right"/>
    </xf>
    <xf numFmtId="14" fontId="144" fillId="0" borderId="0" xfId="0" applyNumberFormat="1" applyFont="1" applyAlignment="1">
      <alignment horizontal="right"/>
    </xf>
    <xf numFmtId="0" fontId="144" fillId="0" borderId="0" xfId="0" applyFont="1"/>
    <xf numFmtId="0" fontId="107" fillId="0" borderId="18" xfId="0" applyNumberFormat="1" applyFont="1" applyBorder="1" applyAlignment="1">
      <alignment horizontal="left" wrapText="1"/>
    </xf>
    <xf numFmtId="0" fontId="107" fillId="0" borderId="0" xfId="0" applyNumberFormat="1" applyFont="1" applyAlignment="1">
      <alignment horizontal="left" wrapText="1"/>
    </xf>
    <xf numFmtId="9" fontId="107" fillId="0" borderId="0" xfId="0" applyNumberFormat="1" applyFont="1" applyAlignment="1">
      <alignment horizontal="left" wrapText="1"/>
    </xf>
    <xf numFmtId="0" fontId="107" fillId="0" borderId="10" xfId="0" applyNumberFormat="1" applyFont="1" applyBorder="1" applyAlignment="1">
      <alignment horizontal="left" wrapText="1"/>
    </xf>
    <xf numFmtId="0" fontId="0" fillId="0" borderId="0" xfId="0" applyNumberFormat="1"/>
    <xf numFmtId="0" fontId="152" fillId="0" borderId="0" xfId="0" applyNumberFormat="1" applyFont="1" applyAlignment="1">
      <alignment horizontal="left" wrapText="1"/>
    </xf>
    <xf numFmtId="0" fontId="140" fillId="0" borderId="0" xfId="0" applyNumberFormat="1" applyFont="1"/>
    <xf numFmtId="14" fontId="151" fillId="4" borderId="17" xfId="0" applyNumberFormat="1" applyFont="1" applyFill="1" applyBorder="1" applyAlignment="1">
      <alignment horizontal="center" vertical="center"/>
    </xf>
    <xf numFmtId="0" fontId="107" fillId="0" borderId="13" xfId="0" quotePrefix="1" applyFont="1" applyBorder="1" applyAlignment="1">
      <alignment wrapText="1"/>
    </xf>
    <xf numFmtId="0" fontId="153" fillId="0" borderId="0" xfId="0" applyFont="1" applyAlignment="1">
      <alignment horizontal="right"/>
    </xf>
    <xf numFmtId="0" fontId="153" fillId="0" borderId="0" xfId="0" applyFont="1"/>
    <xf numFmtId="0" fontId="154" fillId="0" borderId="0" xfId="0" applyFont="1"/>
    <xf numFmtId="0" fontId="155" fillId="0" borderId="0" xfId="0" applyFont="1"/>
    <xf numFmtId="0" fontId="154" fillId="0" borderId="0" xfId="0" applyFont="1" applyAlignment="1">
      <alignment horizontal="right"/>
    </xf>
    <xf numFmtId="0" fontId="144" fillId="0" borderId="1" xfId="0" applyFont="1" applyBorder="1" applyAlignment="1">
      <alignment horizontal="center"/>
    </xf>
    <xf numFmtId="0" fontId="144" fillId="0" borderId="1" xfId="0" applyFont="1" applyBorder="1"/>
    <xf numFmtId="0" fontId="144" fillId="0" borderId="2" xfId="0" applyFont="1" applyBorder="1"/>
    <xf numFmtId="3" fontId="144" fillId="0" borderId="1" xfId="0" applyNumberFormat="1" applyFont="1" applyBorder="1" applyAlignment="1">
      <alignment horizontal="center"/>
    </xf>
    <xf numFmtId="166" fontId="144" fillId="0" borderId="1" xfId="0" applyNumberFormat="1" applyFont="1" applyBorder="1" applyAlignment="1">
      <alignment horizontal="center"/>
    </xf>
    <xf numFmtId="165" fontId="144" fillId="0" borderId="1" xfId="0" applyNumberFormat="1" applyFont="1" applyBorder="1" applyAlignment="1">
      <alignment horizontal="center"/>
    </xf>
    <xf numFmtId="0" fontId="144" fillId="47" borderId="1" xfId="0" applyFont="1" applyFill="1" applyBorder="1"/>
    <xf numFmtId="0" fontId="154" fillId="48" borderId="1" xfId="0" applyFont="1" applyFill="1" applyBorder="1"/>
    <xf numFmtId="3" fontId="154" fillId="48" borderId="1" xfId="0" applyNumberFormat="1" applyFont="1" applyFill="1" applyBorder="1"/>
    <xf numFmtId="166" fontId="154" fillId="48" borderId="1" xfId="0" applyNumberFormat="1" applyFont="1" applyFill="1" applyBorder="1"/>
    <xf numFmtId="165" fontId="154" fillId="48" borderId="1" xfId="0" applyNumberFormat="1" applyFont="1" applyFill="1" applyBorder="1"/>
    <xf numFmtId="0" fontId="154" fillId="0" borderId="2" xfId="0" applyFont="1" applyBorder="1" applyAlignment="1">
      <alignment horizontal="center" vertical="center" wrapText="1"/>
    </xf>
    <xf numFmtId="0" fontId="154" fillId="0" borderId="1" xfId="0" applyFont="1" applyBorder="1" applyAlignment="1">
      <alignment horizontal="center" vertical="center" wrapText="1"/>
    </xf>
    <xf numFmtId="0" fontId="144" fillId="43" borderId="1" xfId="0" applyFont="1" applyFill="1" applyBorder="1"/>
    <xf numFmtId="0" fontId="144" fillId="43" borderId="1" xfId="0" applyFont="1" applyFill="1" applyBorder="1" applyAlignment="1">
      <alignment horizontal="center"/>
    </xf>
    <xf numFmtId="0" fontId="154" fillId="0" borderId="1" xfId="0" applyFont="1" applyBorder="1"/>
    <xf numFmtId="9" fontId="144" fillId="43" borderId="1" xfId="0" applyNumberFormat="1" applyFont="1" applyFill="1" applyBorder="1" applyAlignment="1">
      <alignment horizontal="center"/>
    </xf>
    <xf numFmtId="0" fontId="154" fillId="48" borderId="2" xfId="0" applyFont="1" applyFill="1" applyBorder="1"/>
    <xf numFmtId="0" fontId="154" fillId="48" borderId="1" xfId="0" applyFont="1" applyFill="1" applyBorder="1" applyAlignment="1">
      <alignment horizontal="center"/>
    </xf>
    <xf numFmtId="0" fontId="154" fillId="43" borderId="1" xfId="0" applyFont="1" applyFill="1" applyBorder="1" applyAlignment="1">
      <alignment horizontal="center"/>
    </xf>
    <xf numFmtId="0" fontId="154" fillId="47" borderId="1" xfId="0" applyFont="1" applyFill="1" applyBorder="1" applyAlignment="1">
      <alignment horizontal="center" vertical="center" wrapText="1"/>
    </xf>
    <xf numFmtId="0" fontId="153" fillId="0" borderId="0" xfId="0" applyFont="1" applyAlignment="1">
      <alignment horizontal="center"/>
    </xf>
    <xf numFmtId="3" fontId="154" fillId="48" borderId="1" xfId="0" applyNumberFormat="1" applyFont="1" applyFill="1" applyBorder="1" applyAlignment="1">
      <alignment horizontal="center"/>
    </xf>
    <xf numFmtId="2" fontId="154" fillId="48" borderId="1" xfId="0" applyNumberFormat="1" applyFont="1" applyFill="1" applyBorder="1" applyAlignment="1">
      <alignment horizontal="center"/>
    </xf>
    <xf numFmtId="0" fontId="154" fillId="48" borderId="1" xfId="0" applyFont="1" applyFill="1" applyBorder="1" applyAlignment="1">
      <alignment horizontal="center" vertical="center" wrapText="1"/>
    </xf>
    <xf numFmtId="0" fontId="154" fillId="0" borderId="1" xfId="0" applyFont="1" applyBorder="1" applyAlignment="1">
      <alignment horizontal="center" wrapText="1"/>
    </xf>
    <xf numFmtId="190" fontId="144" fillId="43" borderId="1" xfId="0" applyNumberFormat="1" applyFont="1" applyFill="1" applyBorder="1" applyAlignment="1">
      <alignment horizontal="center"/>
    </xf>
    <xf numFmtId="3" fontId="154" fillId="43" borderId="1" xfId="0" applyNumberFormat="1" applyFont="1" applyFill="1" applyBorder="1" applyAlignment="1">
      <alignment horizontal="center"/>
    </xf>
    <xf numFmtId="1" fontId="154" fillId="48" borderId="1" xfId="0" applyNumberFormat="1" applyFont="1" applyFill="1" applyBorder="1" applyAlignment="1">
      <alignment horizontal="center"/>
    </xf>
    <xf numFmtId="165" fontId="154" fillId="48" borderId="1" xfId="0" applyNumberFormat="1" applyFont="1" applyFill="1" applyBorder="1" applyAlignment="1">
      <alignment horizontal="center"/>
    </xf>
    <xf numFmtId="14" fontId="145" fillId="46" borderId="0" xfId="0" applyNumberFormat="1" applyFont="1" applyFill="1" applyAlignment="1">
      <alignment horizontal="center"/>
    </xf>
    <xf numFmtId="14" fontId="156" fillId="46" borderId="0" xfId="0" applyNumberFormat="1" applyFont="1" applyFill="1" applyAlignment="1">
      <alignment horizontal="center"/>
    </xf>
    <xf numFmtId="0" fontId="144" fillId="43" borderId="1" xfId="0" applyFont="1" applyFill="1" applyBorder="1" applyAlignment="1">
      <alignment horizontal="center" vertical="center"/>
    </xf>
    <xf numFmtId="0" fontId="144" fillId="43" borderId="1" xfId="0" applyFont="1" applyFill="1" applyBorder="1" applyAlignment="1">
      <alignment vertical="center"/>
    </xf>
    <xf numFmtId="0" fontId="144" fillId="0" borderId="1" xfId="0" applyFont="1" applyBorder="1" applyAlignment="1">
      <alignment horizontal="center" vertical="center"/>
    </xf>
    <xf numFmtId="0" fontId="144" fillId="0" borderId="1" xfId="0" applyFont="1" applyBorder="1" applyAlignment="1">
      <alignment vertical="center" wrapText="1"/>
    </xf>
    <xf numFmtId="9" fontId="154" fillId="48" borderId="1" xfId="0" applyNumberFormat="1" applyFont="1" applyFill="1" applyBorder="1" applyAlignment="1">
      <alignment horizontal="center"/>
    </xf>
    <xf numFmtId="9" fontId="154" fillId="48" borderId="1" xfId="0" applyNumberFormat="1" applyFont="1" applyFill="1" applyBorder="1" applyAlignment="1">
      <alignment horizontal="left"/>
    </xf>
    <xf numFmtId="3" fontId="144" fillId="0" borderId="1" xfId="0" applyNumberFormat="1" applyFont="1" applyBorder="1" applyAlignment="1">
      <alignment horizontal="right"/>
    </xf>
    <xf numFmtId="0" fontId="143" fillId="0" borderId="1" xfId="0" applyFont="1" applyBorder="1"/>
    <xf numFmtId="1" fontId="144" fillId="0" borderId="1" xfId="0" applyNumberFormat="1" applyFont="1" applyBorder="1" applyAlignment="1">
      <alignment horizontal="right"/>
    </xf>
    <xf numFmtId="168" fontId="144" fillId="0" borderId="1" xfId="0" applyNumberFormat="1" applyFont="1" applyBorder="1" applyAlignment="1">
      <alignment horizontal="right"/>
    </xf>
    <xf numFmtId="166" fontId="144" fillId="0" borderId="1" xfId="0" applyNumberFormat="1" applyFont="1" applyBorder="1" applyAlignment="1">
      <alignment horizontal="right"/>
    </xf>
    <xf numFmtId="2" fontId="144" fillId="0" borderId="1" xfId="0" applyNumberFormat="1" applyFont="1" applyBorder="1" applyAlignment="1">
      <alignment horizontal="right"/>
    </xf>
    <xf numFmtId="9" fontId="144" fillId="0" borderId="1" xfId="0" applyNumberFormat="1" applyFont="1" applyBorder="1" applyAlignment="1">
      <alignment horizontal="right"/>
    </xf>
    <xf numFmtId="165" fontId="144" fillId="0" borderId="1" xfId="0" applyNumberFormat="1" applyFont="1" applyBorder="1" applyAlignment="1">
      <alignment horizontal="right"/>
    </xf>
    <xf numFmtId="0" fontId="0" fillId="0" borderId="0" xfId="0" applyFont="1"/>
    <xf numFmtId="0" fontId="142" fillId="48" borderId="1" xfId="0" applyFont="1" applyFill="1" applyBorder="1" applyAlignment="1">
      <alignment horizontal="center"/>
    </xf>
    <xf numFmtId="0" fontId="0" fillId="0" borderId="0" xfId="0"/>
    <xf numFmtId="0" fontId="156" fillId="46" borderId="0" xfId="0" applyFont="1" applyFill="1" applyAlignment="1">
      <alignment horizontal="center"/>
    </xf>
    <xf numFmtId="0" fontId="0" fillId="0" borderId="0" xfId="0" applyAlignment="1">
      <alignment horizontal="center"/>
    </xf>
    <xf numFmtId="0" fontId="0" fillId="0" borderId="0" xfId="0" applyAlignment="1">
      <alignment horizontal="left"/>
    </xf>
    <xf numFmtId="0" fontId="0" fillId="0" borderId="0" xfId="0"/>
    <xf numFmtId="0" fontId="144" fillId="0" borderId="0" xfId="0" applyFont="1" applyAlignment="1">
      <alignment horizontal="center"/>
    </xf>
    <xf numFmtId="1" fontId="144" fillId="0" borderId="0" xfId="0" applyNumberFormat="1" applyFont="1" applyAlignment="1">
      <alignment horizontal="center"/>
    </xf>
    <xf numFmtId="165" fontId="144" fillId="0" borderId="0" xfId="0" applyNumberFormat="1" applyFont="1" applyAlignment="1">
      <alignment horizontal="center"/>
    </xf>
    <xf numFmtId="3" fontId="144" fillId="0" borderId="4" xfId="0" applyNumberFormat="1" applyFont="1" applyBorder="1" applyAlignment="1">
      <alignment horizontal="center"/>
    </xf>
    <xf numFmtId="0" fontId="154" fillId="0" borderId="1" xfId="0" applyFont="1" applyBorder="1" applyAlignment="1">
      <alignment horizontal="center"/>
    </xf>
    <xf numFmtId="1" fontId="154" fillId="43" borderId="1" xfId="0" applyNumberFormat="1" applyFont="1" applyFill="1" applyBorder="1" applyAlignment="1">
      <alignment horizontal="center"/>
    </xf>
    <xf numFmtId="0" fontId="161" fillId="0" borderId="0" xfId="0" applyFont="1"/>
    <xf numFmtId="0" fontId="154" fillId="48" borderId="5" xfId="0" applyFont="1" applyFill="1" applyBorder="1" applyAlignment="1">
      <alignment horizontal="center" vertical="center" wrapText="1"/>
    </xf>
    <xf numFmtId="0" fontId="154" fillId="43" borderId="1" xfId="0" applyFont="1" applyFill="1" applyBorder="1" applyAlignment="1">
      <alignment horizontal="right"/>
    </xf>
    <xf numFmtId="0" fontId="153" fillId="0" borderId="1" xfId="0" applyFont="1" applyBorder="1" applyAlignment="1">
      <alignment horizontal="right"/>
    </xf>
    <xf numFmtId="0" fontId="153" fillId="0" borderId="1" xfId="0" applyFont="1" applyBorder="1" applyAlignment="1">
      <alignment horizontal="center"/>
    </xf>
    <xf numFmtId="0" fontId="154" fillId="48" borderId="2" xfId="0" applyFont="1" applyFill="1" applyBorder="1" applyAlignment="1">
      <alignment horizontal="center" vertical="center" wrapText="1"/>
    </xf>
    <xf numFmtId="0" fontId="154" fillId="0" borderId="2" xfId="0" applyFont="1" applyBorder="1" applyAlignment="1">
      <alignment horizontal="center" wrapText="1"/>
    </xf>
    <xf numFmtId="3" fontId="154" fillId="43" borderId="2" xfId="0" applyNumberFormat="1" applyFont="1" applyFill="1" applyBorder="1" applyAlignment="1">
      <alignment horizontal="center"/>
    </xf>
    <xf numFmtId="0" fontId="153" fillId="0" borderId="16" xfId="0" applyFont="1" applyBorder="1" applyAlignment="1">
      <alignment horizontal="right"/>
    </xf>
    <xf numFmtId="0" fontId="153" fillId="0" borderId="16" xfId="0" applyFont="1" applyBorder="1" applyAlignment="1">
      <alignment horizontal="center"/>
    </xf>
    <xf numFmtId="3" fontId="154" fillId="48" borderId="2" xfId="0" applyNumberFormat="1" applyFont="1" applyFill="1" applyBorder="1" applyAlignment="1">
      <alignment horizontal="center"/>
    </xf>
    <xf numFmtId="1" fontId="154" fillId="48" borderId="2" xfId="0" applyNumberFormat="1" applyFont="1" applyFill="1" applyBorder="1" applyAlignment="1">
      <alignment horizontal="center"/>
    </xf>
    <xf numFmtId="191" fontId="154" fillId="48" borderId="1" xfId="0" applyNumberFormat="1" applyFont="1" applyFill="1" applyBorder="1" applyAlignment="1">
      <alignment horizontal="center"/>
    </xf>
    <xf numFmtId="3" fontId="144" fillId="43" borderId="1" xfId="0" applyNumberFormat="1" applyFont="1" applyFill="1" applyBorder="1" applyAlignment="1">
      <alignment horizontal="center"/>
    </xf>
    <xf numFmtId="0" fontId="154" fillId="48" borderId="16" xfId="0" applyFont="1" applyFill="1" applyBorder="1" applyAlignment="1">
      <alignment horizontal="center" vertical="center" wrapText="1"/>
    </xf>
    <xf numFmtId="0" fontId="144" fillId="0" borderId="0" xfId="0" applyFont="1"/>
    <xf numFmtId="0" fontId="154" fillId="48" borderId="12" xfId="0" applyFont="1" applyFill="1" applyBorder="1" applyAlignment="1">
      <alignment horizontal="center" vertical="center" wrapText="1"/>
    </xf>
    <xf numFmtId="0" fontId="154" fillId="48" borderId="15" xfId="0" applyFont="1" applyFill="1" applyBorder="1" applyAlignment="1">
      <alignment horizontal="center" vertical="center" wrapText="1"/>
    </xf>
    <xf numFmtId="0" fontId="144" fillId="0" borderId="16" xfId="0" applyFont="1" applyBorder="1"/>
    <xf numFmtId="14" fontId="144" fillId="0" borderId="4" xfId="0" applyNumberFormat="1" applyFont="1" applyBorder="1" applyAlignment="1">
      <alignment horizontal="center"/>
    </xf>
    <xf numFmtId="14" fontId="144" fillId="0" borderId="14" xfId="0" applyNumberFormat="1" applyFont="1" applyBorder="1" applyAlignment="1">
      <alignment horizontal="center"/>
    </xf>
    <xf numFmtId="14" fontId="144" fillId="0" borderId="0" xfId="0" applyNumberFormat="1" applyFont="1" applyAlignment="1">
      <alignment horizontal="center"/>
    </xf>
    <xf numFmtId="14" fontId="0" fillId="0" borderId="0" xfId="0" applyNumberFormat="1" applyAlignment="1">
      <alignment horizontal="center"/>
    </xf>
    <xf numFmtId="0" fontId="144" fillId="0" borderId="16" xfId="0" applyFont="1" applyBorder="1" applyAlignment="1">
      <alignment horizontal="center"/>
    </xf>
    <xf numFmtId="0" fontId="144" fillId="0" borderId="1" xfId="0" applyFont="1" applyBorder="1" applyAlignment="1">
      <alignment horizontal="left"/>
    </xf>
    <xf numFmtId="0" fontId="144" fillId="0" borderId="16" xfId="0" applyFont="1" applyBorder="1" applyAlignment="1">
      <alignment horizontal="left"/>
    </xf>
    <xf numFmtId="0" fontId="144" fillId="0" borderId="0" xfId="0" applyFont="1" applyAlignment="1">
      <alignment horizontal="left"/>
    </xf>
    <xf numFmtId="1" fontId="144" fillId="0" borderId="1" xfId="0" applyNumberFormat="1" applyFont="1" applyBorder="1" applyAlignment="1">
      <alignment horizontal="center"/>
    </xf>
    <xf numFmtId="1" fontId="144" fillId="0" borderId="16" xfId="0" applyNumberFormat="1" applyFont="1" applyBorder="1" applyAlignment="1">
      <alignment horizontal="center"/>
    </xf>
    <xf numFmtId="1" fontId="0" fillId="0" borderId="0" xfId="0" applyNumberFormat="1" applyAlignment="1">
      <alignment horizontal="center"/>
    </xf>
    <xf numFmtId="181" fontId="144" fillId="0" borderId="1" xfId="0" applyNumberFormat="1" applyFont="1" applyBorder="1" applyAlignment="1">
      <alignment horizontal="center"/>
    </xf>
    <xf numFmtId="181" fontId="144" fillId="0" borderId="16" xfId="0" applyNumberFormat="1" applyFont="1" applyBorder="1" applyAlignment="1">
      <alignment horizontal="center"/>
    </xf>
    <xf numFmtId="181" fontId="144" fillId="0" borderId="0" xfId="0" applyNumberFormat="1" applyFont="1" applyAlignment="1">
      <alignment horizontal="center"/>
    </xf>
    <xf numFmtId="181" fontId="0" fillId="0" borderId="0" xfId="0" applyNumberFormat="1" applyAlignment="1">
      <alignment horizontal="center"/>
    </xf>
    <xf numFmtId="165" fontId="144" fillId="43" borderId="1" xfId="0" applyNumberFormat="1" applyFont="1" applyFill="1" applyBorder="1" applyAlignment="1">
      <alignment horizontal="center"/>
    </xf>
    <xf numFmtId="165" fontId="144" fillId="43" borderId="16" xfId="0" applyNumberFormat="1" applyFont="1" applyFill="1" applyBorder="1" applyAlignment="1">
      <alignment horizontal="center"/>
    </xf>
    <xf numFmtId="165" fontId="0" fillId="0" borderId="0" xfId="0" applyNumberFormat="1" applyAlignment="1">
      <alignment horizontal="center"/>
    </xf>
    <xf numFmtId="0" fontId="144" fillId="0" borderId="2" xfId="0" applyFont="1" applyBorder="1" applyAlignment="1">
      <alignment horizontal="left"/>
    </xf>
    <xf numFmtId="0" fontId="144" fillId="0" borderId="13" xfId="0" applyFont="1" applyBorder="1" applyAlignment="1">
      <alignment horizontal="left"/>
    </xf>
    <xf numFmtId="1" fontId="144" fillId="43" borderId="4" xfId="0" applyNumberFormat="1" applyFont="1" applyFill="1" applyBorder="1" applyAlignment="1">
      <alignment horizontal="center"/>
    </xf>
    <xf numFmtId="1" fontId="144" fillId="43" borderId="14" xfId="0" applyNumberFormat="1" applyFont="1" applyFill="1" applyBorder="1" applyAlignment="1">
      <alignment horizontal="center"/>
    </xf>
    <xf numFmtId="14" fontId="144" fillId="0" borderId="1" xfId="0" applyNumberFormat="1" applyFont="1" applyBorder="1" applyAlignment="1">
      <alignment horizontal="center"/>
    </xf>
    <xf numFmtId="14" fontId="144" fillId="0" borderId="16" xfId="0" applyNumberFormat="1" applyFont="1" applyBorder="1" applyAlignment="1">
      <alignment horizontal="center"/>
    </xf>
    <xf numFmtId="167" fontId="144" fillId="0" borderId="1" xfId="0" applyNumberFormat="1" applyFont="1" applyBorder="1" applyAlignment="1">
      <alignment horizontal="center"/>
    </xf>
    <xf numFmtId="167" fontId="144" fillId="0" borderId="16" xfId="0" applyNumberFormat="1" applyFont="1" applyBorder="1" applyAlignment="1">
      <alignment horizontal="center"/>
    </xf>
    <xf numFmtId="167" fontId="144" fillId="0" borderId="0" xfId="0" applyNumberFormat="1" applyFont="1" applyAlignment="1">
      <alignment horizontal="center"/>
    </xf>
    <xf numFmtId="167" fontId="0" fillId="0" borderId="0" xfId="0" applyNumberFormat="1" applyAlignment="1">
      <alignment horizontal="center"/>
    </xf>
    <xf numFmtId="0" fontId="54" fillId="0" borderId="0" xfId="0" applyFont="1" applyFill="1"/>
    <xf numFmtId="0" fontId="54" fillId="0" borderId="0" xfId="0" applyFont="1" applyFill="1" applyAlignment="1">
      <alignment horizontal="left" indent="1"/>
    </xf>
    <xf numFmtId="0" fontId="56" fillId="0" borderId="0" xfId="0" applyFont="1" applyFill="1" applyAlignment="1">
      <alignment horizontal="left"/>
    </xf>
    <xf numFmtId="0" fontId="56" fillId="0" borderId="0" xfId="0" applyFont="1" applyFill="1" applyAlignment="1">
      <alignment horizontal="center"/>
    </xf>
    <xf numFmtId="0" fontId="57" fillId="0" borderId="0" xfId="0" applyFont="1" applyFill="1"/>
    <xf numFmtId="0" fontId="0" fillId="0" borderId="0" xfId="0" applyFill="1"/>
    <xf numFmtId="0" fontId="85" fillId="0" borderId="0" xfId="9" applyFont="1" applyFill="1"/>
    <xf numFmtId="0" fontId="85" fillId="0" borderId="0" xfId="9" applyFont="1" applyFill="1" applyAlignment="1">
      <alignment horizontal="left" indent="1"/>
    </xf>
    <xf numFmtId="0" fontId="86" fillId="0" borderId="0" xfId="9" applyFont="1" applyFill="1" applyAlignment="1">
      <alignment horizontal="left"/>
    </xf>
    <xf numFmtId="0" fontId="86" fillId="0" borderId="0" xfId="9" applyFont="1" applyFill="1" applyAlignment="1">
      <alignment horizontal="center"/>
    </xf>
    <xf numFmtId="0" fontId="86" fillId="0" borderId="0" xfId="9" applyFont="1" applyFill="1"/>
    <xf numFmtId="9" fontId="87" fillId="0" borderId="0" xfId="10" applyFont="1" applyFill="1" applyAlignment="1" applyProtection="1">
      <alignment vertical="center"/>
      <protection locked="0"/>
    </xf>
    <xf numFmtId="0" fontId="0" fillId="0" borderId="0" xfId="0" applyFill="1" applyAlignment="1" applyProtection="1">
      <alignment vertical="center"/>
      <protection locked="0"/>
    </xf>
    <xf numFmtId="0" fontId="143" fillId="0" borderId="0" xfId="0" applyFont="1"/>
    <xf numFmtId="3" fontId="162" fillId="0" borderId="1" xfId="0" applyNumberFormat="1" applyFont="1" applyBorder="1" applyAlignment="1">
      <alignment horizontal="center"/>
    </xf>
    <xf numFmtId="9" fontId="144" fillId="0" borderId="1" xfId="0" applyNumberFormat="1" applyFont="1" applyBorder="1" applyAlignment="1">
      <alignment horizontal="center"/>
    </xf>
    <xf numFmtId="0" fontId="160" fillId="0" borderId="1" xfId="0" applyFont="1" applyBorder="1"/>
    <xf numFmtId="166" fontId="162" fillId="0" borderId="1" xfId="0" applyNumberFormat="1" applyFont="1" applyBorder="1" applyAlignment="1">
      <alignment horizontal="center"/>
    </xf>
    <xf numFmtId="2" fontId="162" fillId="0" borderId="1" xfId="0" applyNumberFormat="1" applyFont="1" applyBorder="1" applyAlignment="1">
      <alignment horizontal="center"/>
    </xf>
    <xf numFmtId="2" fontId="144" fillId="0" borderId="1" xfId="0" applyNumberFormat="1" applyFont="1" applyBorder="1" applyAlignment="1">
      <alignment horizontal="center"/>
    </xf>
    <xf numFmtId="173" fontId="162" fillId="0" borderId="1" xfId="0" applyNumberFormat="1" applyFont="1" applyBorder="1" applyAlignment="1">
      <alignment horizontal="center"/>
    </xf>
    <xf numFmtId="173" fontId="144" fillId="0" borderId="1" xfId="0" applyNumberFormat="1" applyFont="1" applyBorder="1" applyAlignment="1">
      <alignment horizontal="center"/>
    </xf>
    <xf numFmtId="0" fontId="154" fillId="0" borderId="0" xfId="0" applyFont="1" applyAlignment="1">
      <alignment horizontal="left"/>
    </xf>
    <xf numFmtId="0" fontId="140" fillId="0" borderId="1" xfId="0" applyFont="1" applyBorder="1" applyAlignment="1">
      <alignment horizontal="center"/>
    </xf>
    <xf numFmtId="3" fontId="144" fillId="0" borderId="16" xfId="0" applyNumberFormat="1" applyFont="1" applyBorder="1" applyAlignment="1">
      <alignment horizontal="right"/>
    </xf>
    <xf numFmtId="0" fontId="143" fillId="0" borderId="16" xfId="0" applyFont="1" applyBorder="1"/>
    <xf numFmtId="0" fontId="154" fillId="48" borderId="1" xfId="0" applyFont="1" applyFill="1" applyBorder="1" applyAlignment="1">
      <alignment horizontal="center" vertical="center"/>
    </xf>
    <xf numFmtId="0" fontId="144" fillId="0" borderId="1" xfId="0" applyFont="1" applyBorder="1" applyAlignment="1">
      <alignment vertical="center"/>
    </xf>
    <xf numFmtId="0" fontId="159" fillId="0" borderId="1" xfId="18" applyBorder="1" applyAlignment="1">
      <alignment vertical="center"/>
    </xf>
    <xf numFmtId="1" fontId="154" fillId="0" borderId="1" xfId="0" applyNumberFormat="1" applyFont="1" applyBorder="1" applyAlignment="1">
      <alignment horizontal="center"/>
    </xf>
    <xf numFmtId="167" fontId="154" fillId="0" borderId="1" xfId="0" applyNumberFormat="1" applyFont="1" applyBorder="1" applyAlignment="1">
      <alignment horizontal="center"/>
    </xf>
    <xf numFmtId="168" fontId="144" fillId="0" borderId="1" xfId="0" applyNumberFormat="1" applyFont="1" applyBorder="1" applyAlignment="1">
      <alignment horizontal="center"/>
    </xf>
    <xf numFmtId="9" fontId="140" fillId="0" borderId="16" xfId="0" applyNumberFormat="1" applyFont="1" applyBorder="1" applyAlignment="1">
      <alignment horizontal="center"/>
    </xf>
    <xf numFmtId="0" fontId="0" fillId="0" borderId="1" xfId="0" applyFont="1" applyBorder="1" applyAlignment="1">
      <alignment horizontal="center"/>
    </xf>
    <xf numFmtId="166" fontId="163" fillId="0" borderId="0" xfId="0" applyNumberFormat="1" applyFont="1" applyAlignment="1">
      <alignment horizontal="center"/>
    </xf>
    <xf numFmtId="173" fontId="163" fillId="0" borderId="0" xfId="0" applyNumberFormat="1" applyFont="1" applyAlignment="1">
      <alignment horizontal="center"/>
    </xf>
    <xf numFmtId="0" fontId="142" fillId="48" borderId="0" xfId="0" applyFont="1" applyFill="1" applyAlignment="1">
      <alignment horizontal="center" vertical="center" wrapText="1"/>
    </xf>
    <xf numFmtId="3" fontId="0" fillId="43" borderId="0" xfId="0" applyNumberFormat="1" applyFill="1" applyAlignment="1">
      <alignment horizontal="center"/>
    </xf>
    <xf numFmtId="166" fontId="0" fillId="43" borderId="0" xfId="0" applyNumberFormat="1" applyFill="1" applyAlignment="1">
      <alignment horizontal="center"/>
    </xf>
    <xf numFmtId="173" fontId="0" fillId="43" borderId="0" xfId="0" applyNumberFormat="1" applyFill="1" applyAlignment="1">
      <alignment horizontal="center"/>
    </xf>
    <xf numFmtId="166" fontId="142" fillId="48" borderId="1" xfId="0" applyNumberFormat="1" applyFont="1" applyFill="1" applyBorder="1" applyAlignment="1">
      <alignment horizontal="center"/>
    </xf>
    <xf numFmtId="173" fontId="142" fillId="48" borderId="1" xfId="0" applyNumberFormat="1" applyFont="1" applyFill="1" applyBorder="1" applyAlignment="1">
      <alignment horizontal="center"/>
    </xf>
    <xf numFmtId="192" fontId="142" fillId="48" borderId="1" xfId="0" applyNumberFormat="1" applyFont="1" applyFill="1" applyBorder="1" applyAlignment="1">
      <alignment horizontal="center"/>
    </xf>
    <xf numFmtId="0" fontId="144" fillId="0" borderId="16" xfId="0" applyFont="1" applyBorder="1" applyAlignment="1">
      <alignment horizontal="right"/>
    </xf>
    <xf numFmtId="0" fontId="154" fillId="0" borderId="0" xfId="0" applyFont="1" applyAlignment="1">
      <alignment vertical="top" wrapText="1"/>
    </xf>
    <xf numFmtId="0" fontId="144" fillId="0" borderId="0" xfId="0" applyFont="1" applyAlignment="1">
      <alignment vertical="top" wrapText="1"/>
    </xf>
    <xf numFmtId="49" fontId="164" fillId="7" borderId="144" xfId="6" applyNumberFormat="1" applyFont="1" applyFill="1" applyBorder="1" applyAlignment="1">
      <alignment horizontal="center" vertical="center"/>
    </xf>
    <xf numFmtId="49" fontId="164" fillId="7" borderId="152" xfId="6" applyNumberFormat="1" applyFont="1" applyFill="1" applyBorder="1" applyAlignment="1">
      <alignment horizontal="center" vertical="center"/>
    </xf>
    <xf numFmtId="49" fontId="164" fillId="7" borderId="161" xfId="0" applyNumberFormat="1" applyFont="1" applyFill="1" applyBorder="1" applyAlignment="1">
      <alignment horizontal="center" vertical="center"/>
    </xf>
    <xf numFmtId="49" fontId="164" fillId="7" borderId="161" xfId="6" applyNumberFormat="1" applyFont="1" applyFill="1" applyBorder="1" applyAlignment="1">
      <alignment horizontal="center" vertical="center"/>
    </xf>
    <xf numFmtId="49" fontId="164" fillId="7" borderId="171" xfId="6" applyNumberFormat="1" applyFont="1" applyFill="1" applyBorder="1" applyAlignment="1">
      <alignment horizontal="center" vertical="center"/>
    </xf>
    <xf numFmtId="49" fontId="164" fillId="7" borderId="144" xfId="0" applyNumberFormat="1" applyFont="1" applyFill="1" applyBorder="1" applyAlignment="1">
      <alignment horizontal="center" vertical="center"/>
    </xf>
    <xf numFmtId="49" fontId="164" fillId="7" borderId="171" xfId="0" applyNumberFormat="1" applyFont="1" applyFill="1" applyBorder="1" applyAlignment="1">
      <alignment horizontal="center" vertical="center"/>
    </xf>
    <xf numFmtId="49" fontId="164" fillId="7" borderId="179" xfId="0" applyNumberFormat="1" applyFont="1" applyFill="1" applyBorder="1" applyAlignment="1">
      <alignment horizontal="center" vertical="center"/>
    </xf>
    <xf numFmtId="49" fontId="164" fillId="7" borderId="179" xfId="6" applyNumberFormat="1" applyFont="1" applyFill="1" applyBorder="1" applyAlignment="1">
      <alignment horizontal="center" vertical="center"/>
    </xf>
    <xf numFmtId="49" fontId="164" fillId="7" borderId="183" xfId="6" applyNumberFormat="1" applyFont="1" applyFill="1" applyBorder="1" applyAlignment="1">
      <alignment horizontal="center" vertical="center"/>
    </xf>
    <xf numFmtId="0" fontId="165" fillId="0" borderId="0" xfId="0" applyFont="1" applyAlignment="1">
      <alignment horizontal="left" indent="1"/>
    </xf>
    <xf numFmtId="0" fontId="86" fillId="0" borderId="0" xfId="9" applyFont="1" applyAlignment="1"/>
    <xf numFmtId="0" fontId="85" fillId="0" borderId="0" xfId="9" applyFont="1" applyAlignment="1"/>
    <xf numFmtId="0" fontId="166" fillId="0" borderId="0" xfId="0" applyFont="1" applyAlignment="1">
      <alignment horizontal="center" vertical="center"/>
    </xf>
    <xf numFmtId="0" fontId="167" fillId="0" borderId="0" xfId="9" applyFont="1" applyAlignment="1">
      <alignment horizontal="left" indent="1"/>
    </xf>
    <xf numFmtId="190" fontId="161" fillId="0" borderId="0" xfId="0" applyNumberFormat="1" applyFont="1"/>
    <xf numFmtId="166" fontId="161" fillId="0" borderId="0" xfId="0" applyNumberFormat="1" applyFont="1"/>
    <xf numFmtId="173" fontId="161" fillId="0" borderId="0" xfId="0" applyNumberFormat="1" applyFont="1"/>
    <xf numFmtId="0" fontId="0" fillId="0" borderId="1" xfId="0" applyBorder="1" applyAlignment="1">
      <alignment wrapText="1"/>
    </xf>
    <xf numFmtId="0" fontId="157" fillId="0" borderId="0" xfId="0" applyFont="1" applyAlignment="1">
      <alignment horizontal="center"/>
    </xf>
    <xf numFmtId="0" fontId="0" fillId="0" borderId="0" xfId="0"/>
    <xf numFmtId="0" fontId="142" fillId="48" borderId="1" xfId="0" applyFont="1" applyFill="1" applyBorder="1" applyAlignment="1">
      <alignment horizontal="center"/>
    </xf>
    <xf numFmtId="0" fontId="0" fillId="48" borderId="1" xfId="0" applyFill="1" applyBorder="1"/>
    <xf numFmtId="0" fontId="6" fillId="0" borderId="0" xfId="0" applyFont="1" applyAlignment="1">
      <alignment horizontal="center"/>
    </xf>
    <xf numFmtId="0" fontId="7" fillId="0" borderId="2" xfId="0" applyFont="1" applyBorder="1" applyAlignment="1">
      <alignment horizontal="center"/>
    </xf>
    <xf numFmtId="0" fontId="9" fillId="0" borderId="16" xfId="0" applyFont="1" applyBorder="1" applyAlignment="1">
      <alignment horizontal="center" vertical="center"/>
    </xf>
    <xf numFmtId="3" fontId="9" fillId="0" borderId="16" xfId="0" applyNumberFormat="1" applyFont="1" applyBorder="1" applyAlignment="1">
      <alignment horizontal="center" vertical="center"/>
    </xf>
    <xf numFmtId="0" fontId="7" fillId="0" borderId="15" xfId="0" applyFont="1" applyBorder="1" applyAlignment="1">
      <alignment horizontal="left"/>
    </xf>
    <xf numFmtId="0" fontId="9" fillId="0" borderId="16" xfId="0" applyFont="1" applyBorder="1" applyAlignment="1">
      <alignment horizontal="center" vertical="center" wrapText="1" indent="1"/>
    </xf>
    <xf numFmtId="0" fontId="7" fillId="4" borderId="1" xfId="0" applyFont="1" applyFill="1" applyBorder="1" applyAlignment="1">
      <alignment horizontal="center" vertical="center"/>
    </xf>
    <xf numFmtId="0" fontId="7" fillId="4" borderId="16" xfId="0" applyFont="1" applyFill="1" applyBorder="1" applyAlignment="1">
      <alignment horizontal="center" vertical="center"/>
    </xf>
    <xf numFmtId="0" fontId="17" fillId="0" borderId="13" xfId="0" applyFont="1" applyBorder="1" applyAlignment="1">
      <alignment horizontal="left" vertical="top" wrapText="1"/>
    </xf>
    <xf numFmtId="0" fontId="17" fillId="0" borderId="9" xfId="0" applyFont="1" applyBorder="1" applyAlignment="1">
      <alignment horizontal="left" vertical="top" wrapText="1"/>
    </xf>
    <xf numFmtId="0" fontId="17" fillId="0" borderId="14" xfId="0" applyFont="1" applyBorder="1" applyAlignment="1">
      <alignment horizontal="left" vertical="top" wrapText="1"/>
    </xf>
    <xf numFmtId="0" fontId="17" fillId="0" borderId="18" xfId="0" applyFont="1" applyBorder="1" applyAlignment="1">
      <alignment horizontal="left" vertical="top" wrapText="1"/>
    </xf>
    <xf numFmtId="0" fontId="17" fillId="0" borderId="0" xfId="0" applyFont="1" applyAlignment="1">
      <alignment horizontal="left" vertical="top" wrapText="1"/>
    </xf>
    <xf numFmtId="0" fontId="17" fillId="0" borderId="10" xfId="0" applyFont="1" applyBorder="1" applyAlignment="1">
      <alignment horizontal="left" vertical="top" wrapText="1"/>
    </xf>
    <xf numFmtId="0" fontId="7" fillId="4" borderId="17" xfId="0" applyFont="1" applyFill="1" applyBorder="1" applyAlignment="1">
      <alignment horizontal="center" vertical="center"/>
    </xf>
    <xf numFmtId="0" fontId="7" fillId="4" borderId="5" xfId="0" applyFont="1" applyFill="1" applyBorder="1" applyAlignment="1">
      <alignment horizontal="center" vertical="center"/>
    </xf>
    <xf numFmtId="0" fontId="10" fillId="0" borderId="13" xfId="0" applyFont="1" applyBorder="1" applyAlignment="1">
      <alignment horizontal="left" wrapText="1"/>
    </xf>
    <xf numFmtId="0" fontId="10" fillId="0" borderId="9" xfId="0" applyFont="1" applyBorder="1" applyAlignment="1">
      <alignment horizontal="left" wrapText="1"/>
    </xf>
    <xf numFmtId="0" fontId="10" fillId="0" borderId="18" xfId="0" applyFont="1" applyBorder="1" applyAlignment="1">
      <alignment horizontal="left" wrapText="1"/>
    </xf>
    <xf numFmtId="0" fontId="10" fillId="0" borderId="0" xfId="0" applyFont="1" applyAlignment="1">
      <alignment horizontal="left" wrapText="1"/>
    </xf>
    <xf numFmtId="0" fontId="10" fillId="0" borderId="10" xfId="0" applyFont="1" applyBorder="1" applyAlignment="1">
      <alignment horizontal="left" wrapText="1"/>
    </xf>
    <xf numFmtId="0" fontId="10" fillId="0" borderId="15" xfId="0" applyFont="1" applyBorder="1" applyAlignment="1">
      <alignment horizontal="left" wrapText="1"/>
    </xf>
    <xf numFmtId="0" fontId="10" fillId="0" borderId="11" xfId="0" applyFont="1" applyBorder="1" applyAlignment="1">
      <alignment horizontal="left" wrapText="1"/>
    </xf>
    <xf numFmtId="0" fontId="10" fillId="0" borderId="12" xfId="0" applyFont="1" applyBorder="1" applyAlignment="1">
      <alignment horizontal="left" wrapText="1"/>
    </xf>
    <xf numFmtId="0" fontId="7" fillId="4" borderId="17" xfId="0" applyFont="1" applyFill="1" applyBorder="1" applyAlignment="1">
      <alignment horizontal="center" vertical="center" wrapText="1"/>
    </xf>
    <xf numFmtId="0" fontId="7" fillId="4" borderId="5" xfId="0" applyFont="1" applyFill="1" applyBorder="1" applyAlignment="1">
      <alignment horizontal="center" vertical="center" wrapText="1"/>
    </xf>
    <xf numFmtId="0" fontId="17" fillId="0" borderId="13" xfId="0" quotePrefix="1" applyFont="1" applyBorder="1" applyAlignment="1">
      <alignment horizontal="left" vertical="center" wrapText="1"/>
    </xf>
    <xf numFmtId="0" fontId="17" fillId="0" borderId="9" xfId="0" applyFont="1" applyBorder="1" applyAlignment="1">
      <alignment horizontal="left" vertical="center" wrapText="1"/>
    </xf>
    <xf numFmtId="0" fontId="17" fillId="0" borderId="14" xfId="0" applyFont="1" applyBorder="1" applyAlignment="1">
      <alignment horizontal="left" vertical="center" wrapText="1"/>
    </xf>
    <xf numFmtId="0" fontId="17" fillId="0" borderId="18" xfId="0" applyFont="1" applyBorder="1" applyAlignment="1">
      <alignment horizontal="left" vertical="center" wrapText="1"/>
    </xf>
    <xf numFmtId="0" fontId="17" fillId="0" borderId="0" xfId="0" applyFont="1" applyAlignment="1">
      <alignment horizontal="left" vertical="center" wrapText="1"/>
    </xf>
    <xf numFmtId="0" fontId="17" fillId="0" borderId="10" xfId="0" applyFont="1" applyBorder="1" applyAlignment="1">
      <alignment horizontal="left" vertical="center" wrapText="1"/>
    </xf>
    <xf numFmtId="0" fontId="17" fillId="0" borderId="15" xfId="0" applyFont="1" applyBorder="1" applyAlignment="1">
      <alignment horizontal="left" vertical="center" wrapText="1"/>
    </xf>
    <xf numFmtId="0" fontId="17" fillId="0" borderId="11" xfId="0" applyFont="1" applyBorder="1" applyAlignment="1">
      <alignment horizontal="left" vertical="center" wrapText="1"/>
    </xf>
    <xf numFmtId="0" fontId="17" fillId="0" borderId="12" xfId="0" applyFont="1" applyBorder="1" applyAlignment="1">
      <alignment horizontal="left" vertical="center" wrapText="1"/>
    </xf>
    <xf numFmtId="0" fontId="107" fillId="0" borderId="13" xfId="0" applyFont="1" applyBorder="1" applyAlignment="1">
      <alignment horizontal="left" wrapText="1"/>
    </xf>
    <xf numFmtId="0" fontId="107" fillId="0" borderId="9" xfId="0" applyFont="1" applyBorder="1" applyAlignment="1">
      <alignment horizontal="left" wrapText="1"/>
    </xf>
    <xf numFmtId="0" fontId="107" fillId="0" borderId="18" xfId="0" applyFont="1" applyBorder="1" applyAlignment="1">
      <alignment horizontal="left" wrapText="1"/>
    </xf>
    <xf numFmtId="0" fontId="107" fillId="0" borderId="0" xfId="0" applyFont="1" applyAlignment="1">
      <alignment horizontal="left" wrapText="1"/>
    </xf>
    <xf numFmtId="0" fontId="107" fillId="0" borderId="15" xfId="0" applyFont="1" applyBorder="1" applyAlignment="1">
      <alignment horizontal="left" wrapText="1"/>
    </xf>
    <xf numFmtId="0" fontId="107" fillId="0" borderId="11" xfId="0" applyFont="1" applyBorder="1" applyAlignment="1">
      <alignment horizontal="left" wrapText="1"/>
    </xf>
    <xf numFmtId="0" fontId="7" fillId="4" borderId="13" xfId="0" applyFont="1" applyFill="1" applyBorder="1" applyAlignment="1">
      <alignment horizontal="center" vertical="center"/>
    </xf>
    <xf numFmtId="0" fontId="7" fillId="4" borderId="18" xfId="0" applyFont="1" applyFill="1" applyBorder="1" applyAlignment="1">
      <alignment horizontal="center" vertical="center"/>
    </xf>
    <xf numFmtId="0" fontId="107" fillId="0" borderId="13" xfId="0" applyFont="1" applyBorder="1" applyAlignment="1">
      <alignment horizontal="left" vertical="top" wrapText="1"/>
    </xf>
    <xf numFmtId="0" fontId="107" fillId="0" borderId="9" xfId="0" applyFont="1" applyBorder="1" applyAlignment="1">
      <alignment horizontal="left" vertical="top"/>
    </xf>
    <xf numFmtId="0" fontId="107" fillId="0" borderId="14" xfId="0" applyFont="1" applyBorder="1" applyAlignment="1">
      <alignment horizontal="left" vertical="top"/>
    </xf>
    <xf numFmtId="0" fontId="107" fillId="0" borderId="18" xfId="0" applyFont="1" applyBorder="1" applyAlignment="1">
      <alignment horizontal="left" vertical="top"/>
    </xf>
    <xf numFmtId="0" fontId="107" fillId="0" borderId="0" xfId="0" applyFont="1" applyAlignment="1">
      <alignment horizontal="left" vertical="top"/>
    </xf>
    <xf numFmtId="0" fontId="107" fillId="0" borderId="10" xfId="0" applyFont="1" applyBorder="1" applyAlignment="1">
      <alignment horizontal="left" vertical="top"/>
    </xf>
    <xf numFmtId="0" fontId="107" fillId="0" borderId="15" xfId="0" applyFont="1" applyBorder="1" applyAlignment="1">
      <alignment horizontal="left" vertical="top"/>
    </xf>
    <xf numFmtId="0" fontId="107" fillId="0" borderId="11" xfId="0" applyFont="1" applyBorder="1" applyAlignment="1">
      <alignment horizontal="left" vertical="top"/>
    </xf>
    <xf numFmtId="0" fontId="107" fillId="0" borderId="12" xfId="0" applyFont="1" applyBorder="1" applyAlignment="1">
      <alignment horizontal="left" vertical="top"/>
    </xf>
    <xf numFmtId="0" fontId="7" fillId="4" borderId="15" xfId="0" applyFont="1" applyFill="1" applyBorder="1" applyAlignment="1">
      <alignment horizontal="center" vertical="center"/>
    </xf>
    <xf numFmtId="0" fontId="17" fillId="0" borderId="11" xfId="0" applyFont="1" applyBorder="1" applyAlignment="1">
      <alignment horizontal="left" vertical="top"/>
    </xf>
    <xf numFmtId="0" fontId="17" fillId="0" borderId="12" xfId="0" applyFont="1" applyBorder="1" applyAlignment="1">
      <alignment horizontal="left" vertical="top"/>
    </xf>
    <xf numFmtId="0" fontId="8" fillId="3" borderId="15" xfId="0" applyFont="1" applyFill="1" applyBorder="1" applyAlignment="1">
      <alignment horizontal="left" vertical="center"/>
    </xf>
    <xf numFmtId="0" fontId="8" fillId="3" borderId="3" xfId="0" applyFont="1" applyFill="1" applyBorder="1" applyAlignment="1">
      <alignment horizontal="left" vertical="center"/>
    </xf>
    <xf numFmtId="0" fontId="8" fillId="3" borderId="4" xfId="0" applyFont="1" applyFill="1" applyBorder="1" applyAlignment="1">
      <alignment horizontal="left" vertical="center"/>
    </xf>
    <xf numFmtId="0" fontId="107" fillId="0" borderId="13" xfId="0" quotePrefix="1" applyFont="1" applyBorder="1" applyAlignment="1">
      <alignment horizontal="left" wrapText="1"/>
    </xf>
    <xf numFmtId="0" fontId="107" fillId="0" borderId="9" xfId="0" applyFont="1" applyBorder="1" applyAlignment="1">
      <alignment horizontal="left"/>
    </xf>
    <xf numFmtId="0" fontId="107" fillId="0" borderId="14" xfId="0" applyFont="1" applyBorder="1" applyAlignment="1">
      <alignment horizontal="left"/>
    </xf>
    <xf numFmtId="0" fontId="107" fillId="0" borderId="18" xfId="0" applyFont="1" applyBorder="1" applyAlignment="1">
      <alignment horizontal="left"/>
    </xf>
    <xf numFmtId="0" fontId="107" fillId="0" borderId="0" xfId="0" applyFont="1" applyAlignment="1">
      <alignment horizontal="left"/>
    </xf>
    <xf numFmtId="0" fontId="107" fillId="0" borderId="10" xfId="0" applyFont="1" applyBorder="1" applyAlignment="1">
      <alignment horizontal="left"/>
    </xf>
    <xf numFmtId="0" fontId="107" fillId="0" borderId="15" xfId="0" applyFont="1" applyBorder="1" applyAlignment="1">
      <alignment horizontal="left"/>
    </xf>
    <xf numFmtId="0" fontId="107" fillId="0" borderId="11" xfId="0" applyFont="1" applyBorder="1" applyAlignment="1">
      <alignment horizontal="left"/>
    </xf>
    <xf numFmtId="0" fontId="107" fillId="0" borderId="12" xfId="0" applyFont="1" applyBorder="1" applyAlignment="1">
      <alignment horizontal="left"/>
    </xf>
    <xf numFmtId="0" fontId="107" fillId="0" borderId="14" xfId="0" applyFont="1" applyBorder="1" applyAlignment="1">
      <alignment horizontal="left" wrapText="1"/>
    </xf>
    <xf numFmtId="0" fontId="107" fillId="0" borderId="10" xfId="0" applyFont="1" applyBorder="1" applyAlignment="1">
      <alignment horizontal="left" wrapText="1"/>
    </xf>
    <xf numFmtId="0" fontId="107" fillId="0" borderId="12" xfId="0" applyFont="1" applyBorder="1" applyAlignment="1">
      <alignment horizontal="left" wrapText="1"/>
    </xf>
    <xf numFmtId="0" fontId="107" fillId="0" borderId="13" xfId="0" applyFont="1" applyBorder="1" applyAlignment="1">
      <alignment horizontal="left" vertical="center" wrapText="1"/>
    </xf>
    <xf numFmtId="0" fontId="107" fillId="0" borderId="9" xfId="0" applyFont="1" applyBorder="1" applyAlignment="1">
      <alignment horizontal="left" vertical="center" wrapText="1"/>
    </xf>
    <xf numFmtId="0" fontId="107" fillId="0" borderId="14" xfId="0" applyFont="1" applyBorder="1" applyAlignment="1">
      <alignment horizontal="left" vertical="center" wrapText="1"/>
    </xf>
    <xf numFmtId="0" fontId="107" fillId="0" borderId="18" xfId="0" applyFont="1" applyBorder="1" applyAlignment="1">
      <alignment horizontal="left" vertical="center" wrapText="1"/>
    </xf>
    <xf numFmtId="0" fontId="107" fillId="0" borderId="0" xfId="0" applyFont="1" applyAlignment="1">
      <alignment horizontal="left" vertical="center" wrapText="1"/>
    </xf>
    <xf numFmtId="0" fontId="107" fillId="0" borderId="10" xfId="0" applyFont="1" applyBorder="1" applyAlignment="1">
      <alignment horizontal="left" vertical="center" wrapText="1"/>
    </xf>
    <xf numFmtId="0" fontId="107" fillId="0" borderId="15" xfId="0" applyFont="1" applyBorder="1" applyAlignment="1">
      <alignment horizontal="left" vertical="center" wrapText="1"/>
    </xf>
    <xf numFmtId="0" fontId="107" fillId="0" borderId="11" xfId="0" applyFont="1" applyBorder="1" applyAlignment="1">
      <alignment horizontal="left" vertical="center" wrapText="1"/>
    </xf>
    <xf numFmtId="0" fontId="107" fillId="0" borderId="12" xfId="0" applyFont="1" applyBorder="1" applyAlignment="1">
      <alignment horizontal="left" vertical="center" wrapText="1"/>
    </xf>
    <xf numFmtId="0" fontId="7" fillId="4" borderId="16" xfId="0" applyFont="1" applyFill="1" applyBorder="1" applyAlignment="1">
      <alignment horizontal="center" vertical="center" wrapText="1"/>
    </xf>
    <xf numFmtId="0" fontId="7" fillId="4" borderId="17" xfId="0" applyFont="1" applyFill="1" applyBorder="1" applyAlignment="1">
      <alignment horizontal="right" vertical="center"/>
    </xf>
    <xf numFmtId="0" fontId="7" fillId="4" borderId="16" xfId="0" applyFont="1" applyFill="1" applyBorder="1" applyAlignment="1">
      <alignment horizontal="right" vertical="center"/>
    </xf>
    <xf numFmtId="0" fontId="7" fillId="4" borderId="1" xfId="0" applyFont="1" applyFill="1" applyBorder="1" applyAlignment="1">
      <alignment horizontal="right" vertical="center"/>
    </xf>
    <xf numFmtId="189" fontId="142" fillId="48" borderId="1" xfId="0" applyNumberFormat="1" applyFont="1" applyFill="1" applyBorder="1" applyAlignment="1">
      <alignment horizontal="center"/>
    </xf>
    <xf numFmtId="14" fontId="145" fillId="46" borderId="0" xfId="0" applyNumberFormat="1" applyFont="1" applyFill="1" applyAlignment="1">
      <alignment horizontal="center"/>
    </xf>
    <xf numFmtId="0" fontId="145" fillId="46" borderId="0" xfId="0" applyFont="1" applyFill="1" applyAlignment="1">
      <alignment horizontal="center"/>
    </xf>
    <xf numFmtId="186" fontId="142" fillId="48" borderId="1" xfId="0" applyNumberFormat="1" applyFont="1" applyFill="1" applyBorder="1" applyAlignment="1">
      <alignment horizontal="center"/>
    </xf>
    <xf numFmtId="0" fontId="142" fillId="48" borderId="2" xfId="0" applyFont="1" applyFill="1" applyBorder="1" applyAlignment="1">
      <alignment horizontal="center"/>
    </xf>
    <xf numFmtId="0" fontId="142" fillId="43" borderId="1" xfId="0" applyFont="1" applyFill="1" applyBorder="1" applyAlignment="1">
      <alignment horizontal="center"/>
    </xf>
    <xf numFmtId="187" fontId="142" fillId="48" borderId="1" xfId="0" applyNumberFormat="1" applyFont="1" applyFill="1" applyBorder="1" applyAlignment="1">
      <alignment horizontal="center"/>
    </xf>
    <xf numFmtId="188" fontId="142" fillId="48" borderId="1" xfId="0" applyNumberFormat="1" applyFont="1" applyFill="1" applyBorder="1" applyAlignment="1">
      <alignment horizontal="center"/>
    </xf>
    <xf numFmtId="0" fontId="156" fillId="46" borderId="0" xfId="0" applyFont="1" applyFill="1" applyAlignment="1">
      <alignment horizontal="center"/>
    </xf>
    <xf numFmtId="0" fontId="142" fillId="48" borderId="1" xfId="0" applyFont="1" applyFill="1" applyBorder="1"/>
    <xf numFmtId="0" fontId="142" fillId="0" borderId="11" xfId="0" applyFont="1" applyBorder="1" applyAlignment="1">
      <alignment horizontal="center"/>
    </xf>
    <xf numFmtId="0" fontId="0" fillId="0" borderId="11" xfId="0" applyBorder="1"/>
    <xf numFmtId="0" fontId="142" fillId="48" borderId="3" xfId="0" applyFont="1" applyFill="1" applyBorder="1" applyAlignment="1">
      <alignment horizontal="center"/>
    </xf>
    <xf numFmtId="0" fontId="142" fillId="48" borderId="4" xfId="0" applyFont="1" applyFill="1" applyBorder="1" applyAlignment="1">
      <alignment horizontal="center"/>
    </xf>
    <xf numFmtId="0" fontId="142" fillId="0" borderId="16" xfId="0" applyFont="1" applyBorder="1" applyAlignment="1">
      <alignment horizontal="center"/>
    </xf>
    <xf numFmtId="0" fontId="0" fillId="0" borderId="1" xfId="0" applyBorder="1"/>
    <xf numFmtId="1" fontId="142" fillId="0" borderId="1" xfId="0" applyNumberFormat="1" applyFont="1" applyBorder="1" applyAlignment="1">
      <alignment horizontal="center"/>
    </xf>
    <xf numFmtId="0" fontId="0" fillId="0" borderId="1" xfId="0" applyFill="1" applyBorder="1"/>
    <xf numFmtId="9" fontId="142" fillId="0" borderId="1" xfId="0" applyNumberFormat="1" applyFont="1" applyBorder="1" applyAlignment="1">
      <alignment horizontal="center"/>
    </xf>
    <xf numFmtId="0" fontId="145" fillId="46" borderId="11" xfId="0" applyFont="1" applyFill="1" applyBorder="1" applyAlignment="1">
      <alignment horizontal="center"/>
    </xf>
    <xf numFmtId="0" fontId="0" fillId="48" borderId="1" xfId="0" applyFill="1" applyBorder="1" applyAlignment="1">
      <alignment horizontal="center"/>
    </xf>
    <xf numFmtId="165" fontId="142" fillId="0" borderId="1" xfId="0" applyNumberFormat="1" applyFont="1" applyBorder="1" applyAlignment="1">
      <alignment horizontal="center"/>
    </xf>
    <xf numFmtId="0" fontId="26" fillId="17" borderId="0" xfId="0" applyFont="1" applyFill="1" applyAlignment="1">
      <alignment vertical="center"/>
    </xf>
    <xf numFmtId="0" fontId="142" fillId="48" borderId="1" xfId="0" applyFont="1" applyFill="1" applyBorder="1" applyAlignment="1">
      <alignment horizontal="left"/>
    </xf>
    <xf numFmtId="0" fontId="0" fillId="48" borderId="1" xfId="0" applyFont="1" applyFill="1" applyBorder="1"/>
    <xf numFmtId="0" fontId="142" fillId="48" borderId="1" xfId="0" applyFont="1" applyFill="1" applyBorder="1" applyAlignment="1">
      <alignment horizontal="right"/>
    </xf>
    <xf numFmtId="0" fontId="158" fillId="48" borderId="1" xfId="0" applyFont="1" applyFill="1" applyBorder="1"/>
    <xf numFmtId="0" fontId="0" fillId="0" borderId="0" xfId="0" applyAlignment="1">
      <alignment horizontal="center"/>
    </xf>
    <xf numFmtId="0" fontId="143" fillId="0" borderId="0" xfId="0" applyFont="1"/>
    <xf numFmtId="0" fontId="142" fillId="48" borderId="0" xfId="0" applyFont="1" applyFill="1" applyAlignment="1">
      <alignment horizontal="center"/>
    </xf>
    <xf numFmtId="0" fontId="0" fillId="48" borderId="0" xfId="0" applyFill="1"/>
    <xf numFmtId="0" fontId="0" fillId="0" borderId="2" xfId="0" applyBorder="1"/>
    <xf numFmtId="0" fontId="0" fillId="0" borderId="4" xfId="0" applyBorder="1"/>
    <xf numFmtId="0" fontId="0" fillId="0" borderId="16" xfId="0" applyBorder="1"/>
    <xf numFmtId="0" fontId="32" fillId="14" borderId="80" xfId="0" applyFont="1" applyFill="1" applyBorder="1" applyAlignment="1">
      <alignment horizontal="center"/>
    </xf>
    <xf numFmtId="0" fontId="32" fillId="14" borderId="98" xfId="0" applyFont="1" applyFill="1" applyBorder="1" applyAlignment="1">
      <alignment horizontal="center"/>
    </xf>
    <xf numFmtId="0" fontId="29" fillId="14" borderId="6" xfId="0" applyFont="1" applyFill="1" applyBorder="1" applyAlignment="1">
      <alignment horizontal="center"/>
    </xf>
    <xf numFmtId="0" fontId="29" fillId="14" borderId="7" xfId="0" applyFont="1" applyFill="1" applyBorder="1" applyAlignment="1">
      <alignment horizontal="center"/>
    </xf>
    <xf numFmtId="0" fontId="29" fillId="14" borderId="8" xfId="0" applyFont="1" applyFill="1" applyBorder="1" applyAlignment="1">
      <alignment horizontal="center"/>
    </xf>
    <xf numFmtId="0" fontId="25" fillId="14" borderId="6" xfId="0" applyFont="1" applyFill="1" applyBorder="1" applyAlignment="1">
      <alignment horizontal="center"/>
    </xf>
    <xf numFmtId="0" fontId="25" fillId="14" borderId="7" xfId="0" applyFont="1" applyFill="1" applyBorder="1" applyAlignment="1">
      <alignment horizontal="center"/>
    </xf>
    <xf numFmtId="0" fontId="25" fillId="14" borderId="8" xfId="0" applyFont="1" applyFill="1" applyBorder="1" applyAlignment="1">
      <alignment horizontal="center"/>
    </xf>
    <xf numFmtId="0" fontId="25" fillId="14" borderId="52" xfId="0" applyFont="1" applyFill="1" applyBorder="1" applyAlignment="1">
      <alignment horizontal="center"/>
    </xf>
    <xf numFmtId="0" fontId="25" fillId="14" borderId="65" xfId="0" applyFont="1" applyFill="1" applyBorder="1" applyAlignment="1">
      <alignment horizontal="center"/>
    </xf>
    <xf numFmtId="0" fontId="25" fillId="14" borderId="66" xfId="0" applyFont="1" applyFill="1" applyBorder="1" applyAlignment="1">
      <alignment horizontal="center"/>
    </xf>
    <xf numFmtId="3" fontId="9" fillId="15" borderId="94" xfId="0" applyNumberFormat="1" applyFont="1" applyFill="1" applyBorder="1" applyAlignment="1">
      <alignment horizontal="center"/>
    </xf>
    <xf numFmtId="3" fontId="9" fillId="15" borderId="95" xfId="0" applyNumberFormat="1" applyFont="1" applyFill="1" applyBorder="1" applyAlignment="1">
      <alignment horizontal="center"/>
    </xf>
    <xf numFmtId="0" fontId="25" fillId="13" borderId="74" xfId="0" applyFont="1" applyFill="1" applyBorder="1" applyAlignment="1">
      <alignment horizontal="center"/>
    </xf>
    <xf numFmtId="0" fontId="29" fillId="14" borderId="44" xfId="0" applyFont="1" applyFill="1" applyBorder="1" applyAlignment="1">
      <alignment horizontal="center"/>
    </xf>
    <xf numFmtId="0" fontId="29" fillId="14" borderId="73" xfId="0" applyFont="1" applyFill="1" applyBorder="1" applyAlignment="1">
      <alignment horizontal="center"/>
    </xf>
    <xf numFmtId="0" fontId="29" fillId="14" borderId="68" xfId="0" applyFont="1" applyFill="1" applyBorder="1" applyAlignment="1">
      <alignment horizontal="center"/>
    </xf>
    <xf numFmtId="0" fontId="0" fillId="13" borderId="0" xfId="0" applyFill="1" applyAlignment="1">
      <alignment horizontal="center"/>
    </xf>
    <xf numFmtId="0" fontId="30" fillId="14" borderId="45" xfId="0" applyFont="1" applyFill="1" applyBorder="1" applyAlignment="1">
      <alignment horizontal="center"/>
    </xf>
    <xf numFmtId="0" fontId="30" fillId="14" borderId="42" xfId="0" applyFont="1" applyFill="1" applyBorder="1" applyAlignment="1">
      <alignment horizontal="center"/>
    </xf>
    <xf numFmtId="0" fontId="30" fillId="14" borderId="43" xfId="0" applyFont="1" applyFill="1" applyBorder="1" applyAlignment="1">
      <alignment horizontal="center"/>
    </xf>
    <xf numFmtId="16" fontId="27" fillId="13" borderId="74" xfId="0" applyNumberFormat="1" applyFont="1" applyFill="1" applyBorder="1" applyAlignment="1">
      <alignment horizontal="center" vertical="center"/>
    </xf>
    <xf numFmtId="0" fontId="27" fillId="13" borderId="74" xfId="0" applyFont="1" applyFill="1" applyBorder="1" applyAlignment="1">
      <alignment horizontal="center" vertical="center"/>
    </xf>
    <xf numFmtId="0" fontId="27" fillId="13" borderId="75" xfId="0" applyFont="1" applyFill="1" applyBorder="1" applyAlignment="1">
      <alignment horizontal="center" vertical="center"/>
    </xf>
    <xf numFmtId="0" fontId="29" fillId="14" borderId="45" xfId="0" applyFont="1" applyFill="1" applyBorder="1" applyAlignment="1">
      <alignment horizontal="center"/>
    </xf>
    <xf numFmtId="0" fontId="29" fillId="14" borderId="42" xfId="0" applyFont="1" applyFill="1" applyBorder="1" applyAlignment="1">
      <alignment horizontal="center"/>
    </xf>
    <xf numFmtId="0" fontId="29" fillId="14" borderId="43" xfId="0" applyFont="1" applyFill="1" applyBorder="1" applyAlignment="1">
      <alignment horizontal="center"/>
    </xf>
    <xf numFmtId="0" fontId="29" fillId="14" borderId="80" xfId="0" applyFont="1" applyFill="1" applyBorder="1" applyAlignment="1">
      <alignment horizontal="center" vertical="center"/>
    </xf>
    <xf numFmtId="0" fontId="29" fillId="14" borderId="88" xfId="0" applyFont="1" applyFill="1" applyBorder="1" applyAlignment="1">
      <alignment horizontal="center" vertical="center"/>
    </xf>
    <xf numFmtId="0" fontId="29" fillId="14" borderId="89" xfId="0" applyFont="1" applyFill="1" applyBorder="1" applyAlignment="1">
      <alignment horizontal="center" vertical="center"/>
    </xf>
    <xf numFmtId="3" fontId="9" fillId="15" borderId="77" xfId="0" applyNumberFormat="1" applyFont="1" applyFill="1" applyBorder="1" applyAlignment="1">
      <alignment horizontal="center"/>
    </xf>
    <xf numFmtId="3" fontId="9" fillId="15" borderId="92" xfId="0" applyNumberFormat="1" applyFont="1" applyFill="1" applyBorder="1" applyAlignment="1">
      <alignment horizontal="center"/>
    </xf>
    <xf numFmtId="3" fontId="9" fillId="15" borderId="83" xfId="0" applyNumberFormat="1" applyFont="1" applyFill="1" applyBorder="1" applyAlignment="1">
      <alignment horizontal="center"/>
    </xf>
    <xf numFmtId="3" fontId="9" fillId="15" borderId="93" xfId="0" applyNumberFormat="1" applyFont="1" applyFill="1" applyBorder="1" applyAlignment="1">
      <alignment horizontal="center"/>
    </xf>
    <xf numFmtId="0" fontId="24" fillId="0" borderId="0" xfId="0" applyFont="1" applyAlignment="1">
      <alignment horizontal="center"/>
    </xf>
    <xf numFmtId="0" fontId="66" fillId="11" borderId="19" xfId="0" applyFont="1" applyFill="1" applyBorder="1" applyAlignment="1">
      <alignment horizontal="center" vertical="center"/>
    </xf>
    <xf numFmtId="49" fontId="164" fillId="7" borderId="163" xfId="6" applyNumberFormat="1" applyFont="1" applyFill="1" applyBorder="1" applyAlignment="1">
      <alignment horizontal="center" vertical="center"/>
    </xf>
    <xf numFmtId="49" fontId="164" fillId="7" borderId="152" xfId="6" applyNumberFormat="1" applyFont="1" applyFill="1" applyBorder="1" applyAlignment="1">
      <alignment horizontal="center" vertical="center"/>
    </xf>
    <xf numFmtId="0" fontId="67" fillId="0" borderId="21" xfId="0" applyFont="1" applyBorder="1" applyAlignment="1">
      <alignment horizontal="center" vertical="center" wrapText="1"/>
    </xf>
    <xf numFmtId="0" fontId="67" fillId="0" borderId="35" xfId="0" applyFont="1" applyBorder="1" applyAlignment="1">
      <alignment horizontal="center" vertical="center" wrapText="1"/>
    </xf>
    <xf numFmtId="0" fontId="67" fillId="0" borderId="55" xfId="0" applyFont="1" applyBorder="1" applyAlignment="1">
      <alignment horizontal="center" vertical="center" wrapText="1"/>
    </xf>
    <xf numFmtId="9" fontId="72" fillId="7" borderId="163" xfId="6" applyFont="1" applyFill="1" applyBorder="1" applyAlignment="1">
      <alignment horizontal="center" vertical="center"/>
    </xf>
    <xf numFmtId="9" fontId="72" fillId="7" borderId="152" xfId="6" applyFont="1" applyFill="1" applyBorder="1" applyAlignment="1">
      <alignment horizontal="center" vertical="center"/>
    </xf>
    <xf numFmtId="2" fontId="71" fillId="8" borderId="164" xfId="5" applyNumberFormat="1" applyFont="1" applyFill="1" applyBorder="1" applyAlignment="1">
      <alignment horizontal="left" vertical="center" wrapText="1"/>
    </xf>
    <xf numFmtId="2" fontId="71" fillId="8" borderId="153" xfId="5" applyNumberFormat="1" applyFont="1" applyFill="1" applyBorder="1" applyAlignment="1">
      <alignment horizontal="left" vertical="center" wrapText="1"/>
    </xf>
    <xf numFmtId="2" fontId="71" fillId="0" borderId="21" xfId="5" applyNumberFormat="1" applyFont="1" applyBorder="1" applyAlignment="1">
      <alignment horizontal="left" vertical="center" wrapText="1"/>
    </xf>
    <xf numFmtId="2" fontId="71" fillId="0" borderId="153" xfId="5" applyNumberFormat="1" applyFont="1" applyBorder="1" applyAlignment="1">
      <alignment horizontal="left" vertical="center" wrapText="1"/>
    </xf>
    <xf numFmtId="0" fontId="66" fillId="11" borderId="26" xfId="0" applyFont="1" applyFill="1" applyBorder="1" applyAlignment="1">
      <alignment horizontal="center" vertical="center"/>
    </xf>
    <xf numFmtId="0" fontId="66" fillId="11" borderId="39" xfId="0" applyFont="1" applyFill="1" applyBorder="1" applyAlignment="1">
      <alignment horizontal="center" vertical="center"/>
    </xf>
    <xf numFmtId="0" fontId="66" fillId="11" borderId="27" xfId="0" applyFont="1" applyFill="1" applyBorder="1" applyAlignment="1">
      <alignment horizontal="center" vertical="center"/>
    </xf>
    <xf numFmtId="173" fontId="68" fillId="7" borderId="162" xfId="5" applyNumberFormat="1" applyFont="1" applyFill="1" applyBorder="1" applyAlignment="1">
      <alignment horizontal="center" vertical="center"/>
    </xf>
    <xf numFmtId="173" fontId="68" fillId="7" borderId="149" xfId="5" applyNumberFormat="1" applyFont="1" applyFill="1" applyBorder="1" applyAlignment="1">
      <alignment horizontal="center" vertical="center"/>
    </xf>
    <xf numFmtId="0" fontId="58" fillId="0" borderId="0" xfId="0" applyFont="1" applyAlignment="1">
      <alignment horizontal="left" vertical="center" wrapText="1"/>
    </xf>
    <xf numFmtId="0" fontId="63" fillId="0" borderId="0" xfId="0" applyFont="1" applyAlignment="1" applyProtection="1">
      <alignment horizontal="left" vertical="center" wrapText="1"/>
      <protection hidden="1"/>
    </xf>
    <xf numFmtId="0" fontId="66" fillId="11" borderId="19" xfId="0" applyFont="1" applyFill="1" applyBorder="1" applyAlignment="1">
      <alignment horizontal="center" vertical="center" wrapText="1"/>
    </xf>
    <xf numFmtId="0" fontId="51" fillId="21" borderId="21" xfId="8" applyFont="1" applyFill="1" applyBorder="1" applyAlignment="1">
      <alignment horizontal="center" vertical="center" wrapText="1"/>
    </xf>
    <xf numFmtId="0" fontId="51" fillId="21" borderId="35" xfId="8" applyFont="1" applyFill="1" applyBorder="1" applyAlignment="1">
      <alignment horizontal="center" vertical="center" wrapText="1"/>
    </xf>
    <xf numFmtId="0" fontId="78" fillId="8" borderId="19" xfId="8" applyFont="1" applyFill="1" applyBorder="1" applyAlignment="1">
      <alignment horizontal="center" vertical="center" wrapText="1"/>
    </xf>
    <xf numFmtId="17" fontId="79" fillId="8" borderId="21" xfId="8" applyNumberFormat="1" applyFont="1" applyFill="1" applyBorder="1" applyAlignment="1">
      <alignment horizontal="center" vertical="center" wrapText="1"/>
    </xf>
    <xf numFmtId="17" fontId="79" fillId="8" borderId="55" xfId="8" applyNumberFormat="1" applyFont="1" applyFill="1" applyBorder="1" applyAlignment="1">
      <alignment horizontal="center" vertical="center" wrapText="1"/>
    </xf>
    <xf numFmtId="17" fontId="79" fillId="8" borderId="35" xfId="8" applyNumberFormat="1" applyFont="1" applyFill="1" applyBorder="1" applyAlignment="1">
      <alignment horizontal="center" vertical="center" wrapText="1"/>
    </xf>
    <xf numFmtId="49" fontId="80" fillId="8" borderId="21" xfId="8" applyNumberFormat="1" applyFont="1" applyFill="1" applyBorder="1" applyAlignment="1">
      <alignment horizontal="center" vertical="center" wrapText="1"/>
    </xf>
    <xf numFmtId="49" fontId="80" fillId="8" borderId="55" xfId="8" applyNumberFormat="1" applyFont="1" applyFill="1" applyBorder="1" applyAlignment="1">
      <alignment horizontal="center" vertical="center" wrapText="1"/>
    </xf>
    <xf numFmtId="49" fontId="80" fillId="8" borderId="35" xfId="8" applyNumberFormat="1" applyFont="1" applyFill="1" applyBorder="1" applyAlignment="1">
      <alignment horizontal="center" vertical="center" wrapText="1"/>
    </xf>
    <xf numFmtId="0" fontId="78" fillId="8" borderId="21" xfId="8" applyFont="1" applyFill="1" applyBorder="1" applyAlignment="1">
      <alignment horizontal="left" vertical="center" wrapText="1"/>
    </xf>
    <xf numFmtId="0" fontId="78" fillId="8" borderId="55" xfId="8" applyFont="1" applyFill="1" applyBorder="1" applyAlignment="1">
      <alignment horizontal="left" vertical="center" wrapText="1"/>
    </xf>
    <xf numFmtId="0" fontId="78" fillId="8" borderId="35" xfId="8" applyFont="1" applyFill="1" applyBorder="1" applyAlignment="1">
      <alignment horizontal="left" vertical="center" wrapText="1"/>
    </xf>
    <xf numFmtId="171" fontId="81" fillId="8" borderId="19" xfId="8" applyNumberFormat="1" applyFont="1" applyFill="1" applyBorder="1" applyAlignment="1">
      <alignment horizontal="center" vertical="center" wrapText="1"/>
    </xf>
    <xf numFmtId="4" fontId="81" fillId="8" borderId="19" xfId="8" applyNumberFormat="1" applyFont="1" applyFill="1" applyBorder="1" applyAlignment="1">
      <alignment horizontal="center" vertical="center" wrapText="1"/>
    </xf>
    <xf numFmtId="167" fontId="81" fillId="8" borderId="19" xfId="8" applyNumberFormat="1" applyFont="1" applyFill="1" applyBorder="1" applyAlignment="1">
      <alignment horizontal="center" vertical="center" wrapText="1"/>
    </xf>
    <xf numFmtId="0" fontId="76" fillId="33" borderId="26" xfId="8" applyFont="1" applyFill="1" applyBorder="1" applyAlignment="1">
      <alignment horizontal="center" vertical="center" wrapText="1"/>
    </xf>
    <xf numFmtId="0" fontId="76" fillId="33" borderId="39" xfId="8" applyFont="1" applyFill="1" applyBorder="1" applyAlignment="1">
      <alignment horizontal="center" vertical="center" wrapText="1"/>
    </xf>
    <xf numFmtId="0" fontId="76" fillId="33" borderId="27" xfId="8" applyFont="1" applyFill="1" applyBorder="1" applyAlignment="1">
      <alignment horizontal="center" vertical="center" wrapText="1"/>
    </xf>
    <xf numFmtId="0" fontId="99" fillId="0" borderId="21" xfId="11" applyFont="1" applyBorder="1" applyAlignment="1" applyProtection="1">
      <alignment horizontal="left" vertical="center" wrapText="1"/>
      <protection hidden="1"/>
    </xf>
    <xf numFmtId="0" fontId="99" fillId="0" borderId="35" xfId="11" applyFont="1" applyBorder="1" applyAlignment="1" applyProtection="1">
      <alignment horizontal="left" vertical="center" wrapText="1"/>
      <protection hidden="1"/>
    </xf>
    <xf numFmtId="177" fontId="103" fillId="0" borderId="21" xfId="10" applyNumberFormat="1" applyFont="1" applyBorder="1" applyAlignment="1" applyProtection="1">
      <alignment horizontal="center" vertical="center"/>
      <protection hidden="1"/>
    </xf>
    <xf numFmtId="177" fontId="103" fillId="0" borderId="35" xfId="10" applyNumberFormat="1" applyFont="1" applyBorder="1" applyAlignment="1" applyProtection="1">
      <alignment horizontal="center" vertical="center"/>
      <protection hidden="1"/>
    </xf>
    <xf numFmtId="0" fontId="103" fillId="21" borderId="26" xfId="0" applyFont="1" applyFill="1" applyBorder="1" applyAlignment="1" applyProtection="1">
      <alignment horizontal="center" vertical="center"/>
      <protection hidden="1"/>
    </xf>
    <xf numFmtId="0" fontId="103" fillId="21" borderId="39" xfId="0" applyFont="1" applyFill="1" applyBorder="1" applyAlignment="1" applyProtection="1">
      <alignment horizontal="center" vertical="center"/>
      <protection hidden="1"/>
    </xf>
    <xf numFmtId="0" fontId="103" fillId="21" borderId="27" xfId="0" applyFont="1" applyFill="1" applyBorder="1" applyAlignment="1" applyProtection="1">
      <alignment horizontal="center" vertical="center"/>
      <protection hidden="1"/>
    </xf>
    <xf numFmtId="0" fontId="97" fillId="37" borderId="21" xfId="0" applyFont="1" applyFill="1" applyBorder="1" applyAlignment="1" applyProtection="1">
      <alignment horizontal="center" vertical="center" wrapText="1"/>
      <protection hidden="1"/>
    </xf>
    <xf numFmtId="0" fontId="97" fillId="37" borderId="55" xfId="0" applyFont="1" applyFill="1" applyBorder="1" applyAlignment="1" applyProtection="1">
      <alignment horizontal="center" vertical="center" wrapText="1"/>
      <protection hidden="1"/>
    </xf>
    <xf numFmtId="0" fontId="96" fillId="11" borderId="19" xfId="0" applyFont="1" applyFill="1" applyBorder="1" applyAlignment="1">
      <alignment horizontal="center" vertical="center"/>
    </xf>
    <xf numFmtId="0" fontId="96" fillId="11" borderId="21" xfId="9" applyFont="1" applyFill="1" applyBorder="1" applyAlignment="1">
      <alignment horizontal="center" vertical="center" wrapText="1"/>
    </xf>
    <xf numFmtId="0" fontId="96" fillId="11" borderId="55" xfId="9" applyFont="1" applyFill="1" applyBorder="1" applyAlignment="1">
      <alignment horizontal="center" vertical="center" wrapText="1"/>
    </xf>
    <xf numFmtId="17" fontId="96" fillId="11" borderId="21" xfId="0" applyNumberFormat="1" applyFont="1" applyFill="1" applyBorder="1" applyAlignment="1" applyProtection="1">
      <alignment horizontal="center" vertical="center" wrapText="1"/>
      <protection locked="0"/>
    </xf>
    <xf numFmtId="17" fontId="96" fillId="11" borderId="35" xfId="0" applyNumberFormat="1" applyFont="1" applyFill="1" applyBorder="1" applyAlignment="1" applyProtection="1">
      <alignment horizontal="center" vertical="center" wrapText="1"/>
      <protection locked="0"/>
    </xf>
    <xf numFmtId="0" fontId="96" fillId="11" borderId="23" xfId="9" applyFont="1" applyFill="1" applyBorder="1" applyAlignment="1">
      <alignment horizontal="center" vertical="center"/>
    </xf>
    <xf numFmtId="0" fontId="96" fillId="11" borderId="25" xfId="9" applyFont="1" applyFill="1" applyBorder="1" applyAlignment="1">
      <alignment horizontal="center" vertical="center"/>
    </xf>
    <xf numFmtId="0" fontId="99" fillId="0" borderId="19" xfId="9" applyFont="1" applyBorder="1" applyAlignment="1">
      <alignment horizontal="left" vertical="center" wrapText="1"/>
    </xf>
    <xf numFmtId="177" fontId="103" fillId="0" borderId="55" xfId="10" applyNumberFormat="1" applyFont="1" applyBorder="1" applyAlignment="1" applyProtection="1">
      <alignment horizontal="center" vertical="center"/>
      <protection hidden="1"/>
    </xf>
    <xf numFmtId="17" fontId="96" fillId="11" borderId="19" xfId="11" applyNumberFormat="1" applyFont="1" applyFill="1" applyBorder="1" applyAlignment="1">
      <alignment horizontal="center" vertical="center"/>
    </xf>
    <xf numFmtId="0" fontId="96" fillId="11" borderId="19" xfId="11" applyFont="1" applyFill="1" applyBorder="1" applyAlignment="1">
      <alignment horizontal="center" vertical="center"/>
    </xf>
    <xf numFmtId="0" fontId="96" fillId="11" borderId="21" xfId="11" applyFont="1" applyFill="1" applyBorder="1" applyAlignment="1">
      <alignment horizontal="center" vertical="center"/>
    </xf>
    <xf numFmtId="0" fontId="88" fillId="0" borderId="0" xfId="11" applyFont="1" applyAlignment="1">
      <alignment horizontal="left" vertical="center" wrapText="1"/>
    </xf>
    <xf numFmtId="0" fontId="86" fillId="8" borderId="0" xfId="11" applyFont="1" applyFill="1" applyAlignment="1" applyProtection="1">
      <alignment horizontal="left" vertical="center" wrapText="1"/>
      <protection hidden="1"/>
    </xf>
    <xf numFmtId="0" fontId="96" fillId="11" borderId="22" xfId="9" applyFont="1" applyFill="1" applyBorder="1" applyAlignment="1">
      <alignment horizontal="center" vertical="center"/>
    </xf>
    <xf numFmtId="0" fontId="96" fillId="11" borderId="38" xfId="9" applyFont="1" applyFill="1" applyBorder="1" applyAlignment="1">
      <alignment horizontal="center" vertical="center"/>
    </xf>
    <xf numFmtId="0" fontId="96" fillId="11" borderId="21" xfId="9" applyFont="1" applyFill="1" applyBorder="1" applyAlignment="1">
      <alignment horizontal="center" vertical="center"/>
    </xf>
    <xf numFmtId="0" fontId="96" fillId="11" borderId="55" xfId="9" applyFont="1" applyFill="1" applyBorder="1" applyAlignment="1">
      <alignment horizontal="center" vertical="center"/>
    </xf>
    <xf numFmtId="0" fontId="96" fillId="11" borderId="21" xfId="9" applyFont="1" applyFill="1" applyBorder="1" applyAlignment="1" applyProtection="1">
      <alignment horizontal="center" vertical="center" wrapText="1"/>
      <protection hidden="1"/>
    </xf>
    <xf numFmtId="0" fontId="96" fillId="11" borderId="35" xfId="9" applyFont="1" applyFill="1" applyBorder="1" applyAlignment="1" applyProtection="1">
      <alignment horizontal="center" vertical="center" wrapText="1"/>
      <protection hidden="1"/>
    </xf>
    <xf numFmtId="0" fontId="21" fillId="0" borderId="26" xfId="0" applyFont="1" applyBorder="1" applyAlignment="1">
      <alignment horizontal="center"/>
    </xf>
    <xf numFmtId="0" fontId="21" fillId="0" borderId="39" xfId="0" applyFont="1" applyBorder="1" applyAlignment="1">
      <alignment horizontal="center"/>
    </xf>
    <xf numFmtId="0" fontId="21" fillId="0" borderId="54" xfId="0" applyFont="1" applyBorder="1" applyAlignment="1">
      <alignment horizontal="center"/>
    </xf>
    <xf numFmtId="0" fontId="10" fillId="0" borderId="22" xfId="0" applyFont="1" applyBorder="1" applyAlignment="1">
      <alignment horizontal="center" vertical="center"/>
    </xf>
    <xf numFmtId="0" fontId="10" fillId="0" borderId="20" xfId="0" applyFont="1" applyBorder="1" applyAlignment="1">
      <alignment horizontal="center" vertical="center"/>
    </xf>
    <xf numFmtId="0" fontId="10" fillId="0" borderId="23" xfId="0" applyFont="1" applyBorder="1" applyAlignment="1">
      <alignment horizontal="center" vertical="center"/>
    </xf>
    <xf numFmtId="0" fontId="10" fillId="0" borderId="38" xfId="0" applyFont="1" applyBorder="1" applyAlignment="1">
      <alignment horizontal="center" vertical="center"/>
    </xf>
    <xf numFmtId="0" fontId="10" fillId="0" borderId="36" xfId="0" applyFont="1" applyBorder="1" applyAlignment="1">
      <alignment horizontal="center" vertical="center"/>
    </xf>
    <xf numFmtId="0" fontId="10" fillId="0" borderId="37" xfId="0" applyFont="1" applyBorder="1" applyAlignment="1">
      <alignment horizontal="center" vertical="center"/>
    </xf>
    <xf numFmtId="0" fontId="19" fillId="9" borderId="26" xfId="0" applyFont="1" applyFill="1" applyBorder="1" applyAlignment="1"/>
    <xf numFmtId="0" fontId="19" fillId="9" borderId="39" xfId="0" applyFont="1" applyFill="1" applyBorder="1" applyAlignment="1"/>
    <xf numFmtId="0" fontId="19" fillId="0" borderId="39" xfId="0" applyFont="1" applyBorder="1" applyAlignment="1">
      <alignment horizontal="center" vertical="center"/>
    </xf>
    <xf numFmtId="0" fontId="19" fillId="0" borderId="27" xfId="0" applyFont="1" applyBorder="1" applyAlignment="1">
      <alignment horizontal="center" vertical="center"/>
    </xf>
    <xf numFmtId="0" fontId="19" fillId="0" borderId="39" xfId="0" applyFont="1" applyBorder="1" applyAlignment="1">
      <alignment horizontal="left" vertical="center"/>
    </xf>
    <xf numFmtId="0" fontId="19" fillId="0" borderId="27" xfId="0" applyFont="1" applyBorder="1" applyAlignment="1">
      <alignment horizontal="left" vertical="center"/>
    </xf>
    <xf numFmtId="0" fontId="19" fillId="0" borderId="24" xfId="0" applyFont="1" applyBorder="1" applyAlignment="1">
      <alignment horizontal="left" vertical="center" wrapText="1"/>
    </xf>
    <xf numFmtId="0" fontId="19" fillId="0" borderId="0" xfId="0" applyFont="1" applyAlignment="1">
      <alignment horizontal="left" vertical="center" wrapText="1"/>
    </xf>
    <xf numFmtId="0" fontId="19" fillId="0" borderId="10" xfId="0" applyFont="1" applyBorder="1" applyAlignment="1">
      <alignment horizontal="left" vertical="center" wrapText="1"/>
    </xf>
    <xf numFmtId="0" fontId="19" fillId="0" borderId="57" xfId="0" applyFont="1" applyBorder="1" applyAlignment="1">
      <alignment horizontal="left" vertical="center" wrapText="1"/>
    </xf>
    <xf numFmtId="0" fontId="19" fillId="0" borderId="11" xfId="0" applyFont="1" applyBorder="1" applyAlignment="1">
      <alignment horizontal="left" vertical="center" wrapText="1"/>
    </xf>
    <xf numFmtId="0" fontId="19" fillId="0" borderId="12" xfId="0" applyFont="1" applyBorder="1" applyAlignment="1">
      <alignment horizontal="left" vertical="center" wrapText="1"/>
    </xf>
    <xf numFmtId="0" fontId="20" fillId="10" borderId="26" xfId="0" applyFont="1" applyFill="1" applyBorder="1" applyAlignment="1">
      <alignment horizontal="center"/>
    </xf>
    <xf numFmtId="0" fontId="20" fillId="10" borderId="39" xfId="0" applyFont="1" applyFill="1" applyBorder="1" applyAlignment="1">
      <alignment horizontal="center"/>
    </xf>
    <xf numFmtId="0" fontId="20" fillId="10" borderId="27" xfId="0" applyFont="1" applyFill="1" applyBorder="1" applyAlignment="1">
      <alignment horizontal="center"/>
    </xf>
    <xf numFmtId="0" fontId="19" fillId="0" borderId="55" xfId="0" applyFont="1" applyBorder="1" applyAlignment="1">
      <alignment horizontal="center" vertical="center" textRotation="255" wrapText="1"/>
    </xf>
    <xf numFmtId="0" fontId="19" fillId="0" borderId="35" xfId="0" applyFont="1" applyBorder="1" applyAlignment="1">
      <alignment horizontal="center" vertical="center" textRotation="255" wrapText="1"/>
    </xf>
    <xf numFmtId="0" fontId="19" fillId="0" borderId="22" xfId="0" applyFont="1" applyBorder="1" applyAlignment="1">
      <alignment horizontal="center" vertical="center"/>
    </xf>
    <xf numFmtId="0" fontId="19" fillId="0" borderId="56" xfId="0" applyFont="1" applyBorder="1" applyAlignment="1">
      <alignment horizontal="center" vertical="center"/>
    </xf>
    <xf numFmtId="0" fontId="19" fillId="0" borderId="57" xfId="0" applyFont="1" applyBorder="1" applyAlignment="1">
      <alignment horizontal="center" vertical="center"/>
    </xf>
    <xf numFmtId="0" fontId="19" fillId="0" borderId="12" xfId="0" applyFont="1" applyBorder="1" applyAlignment="1">
      <alignment horizontal="center" vertical="center"/>
    </xf>
    <xf numFmtId="0" fontId="19" fillId="0" borderId="54" xfId="0" applyFont="1" applyBorder="1" applyAlignment="1">
      <alignment horizontal="center" vertical="center"/>
    </xf>
    <xf numFmtId="0" fontId="19" fillId="0" borderId="20" xfId="0" applyFont="1" applyBorder="1" applyAlignment="1">
      <alignment horizontal="center" vertical="center"/>
    </xf>
    <xf numFmtId="0" fontId="19" fillId="0" borderId="23" xfId="0" applyFont="1" applyBorder="1" applyAlignment="1">
      <alignment horizontal="center" vertical="center"/>
    </xf>
    <xf numFmtId="0" fontId="19" fillId="0" borderId="0" xfId="0" applyFont="1" applyAlignment="1">
      <alignment horizontal="center" vertical="center"/>
    </xf>
    <xf numFmtId="0" fontId="19" fillId="0" borderId="25" xfId="0" applyFont="1" applyBorder="1" applyAlignment="1">
      <alignment horizontal="center" vertical="center"/>
    </xf>
    <xf numFmtId="0" fontId="19" fillId="0" borderId="36" xfId="0" applyFont="1" applyBorder="1" applyAlignment="1">
      <alignment horizontal="center" vertical="center"/>
    </xf>
    <xf numFmtId="0" fontId="19" fillId="0" borderId="37" xfId="0" applyFont="1" applyBorder="1" applyAlignment="1">
      <alignment horizontal="center" vertical="center"/>
    </xf>
    <xf numFmtId="0" fontId="19" fillId="0" borderId="22" xfId="0" applyFont="1" applyBorder="1" applyAlignment="1">
      <alignment horizontal="left" vertical="center"/>
    </xf>
    <xf numFmtId="0" fontId="19" fillId="0" borderId="20" xfId="0" applyFont="1" applyBorder="1" applyAlignment="1">
      <alignment horizontal="left" vertical="center"/>
    </xf>
    <xf numFmtId="0" fontId="19" fillId="0" borderId="56" xfId="0" applyFont="1" applyBorder="1" applyAlignment="1">
      <alignment horizontal="left" vertical="center"/>
    </xf>
    <xf numFmtId="0" fontId="19" fillId="0" borderId="24" xfId="0" applyFont="1" applyBorder="1" applyAlignment="1">
      <alignment horizontal="left" vertical="center"/>
    </xf>
    <xf numFmtId="0" fontId="19" fillId="0" borderId="0" xfId="0" applyFont="1" applyAlignment="1">
      <alignment horizontal="left" vertical="center"/>
    </xf>
    <xf numFmtId="0" fontId="19" fillId="0" borderId="10" xfId="0" applyFont="1" applyBorder="1" applyAlignment="1">
      <alignment horizontal="left" vertical="center"/>
    </xf>
    <xf numFmtId="0" fontId="19" fillId="0" borderId="57" xfId="0" applyFont="1" applyBorder="1" applyAlignment="1">
      <alignment horizontal="left" vertical="center"/>
    </xf>
    <xf numFmtId="0" fontId="19" fillId="0" borderId="11" xfId="0" applyFont="1" applyBorder="1" applyAlignment="1">
      <alignment horizontal="left" vertical="center"/>
    </xf>
    <xf numFmtId="0" fontId="19" fillId="0" borderId="12" xfId="0" applyFont="1" applyBorder="1" applyAlignment="1">
      <alignment horizontal="left" vertical="center"/>
    </xf>
    <xf numFmtId="0" fontId="10" fillId="9" borderId="39" xfId="0" applyFont="1" applyFill="1" applyBorder="1" applyAlignment="1">
      <alignment horizontal="center" vertical="center"/>
    </xf>
    <xf numFmtId="0" fontId="19" fillId="0" borderId="38" xfId="0" applyFont="1" applyBorder="1" applyAlignment="1">
      <alignment horizontal="center" vertical="center"/>
    </xf>
    <xf numFmtId="0" fontId="19" fillId="0" borderId="22" xfId="0" applyFont="1" applyBorder="1" applyAlignment="1">
      <alignment horizontal="left" vertical="center" wrapText="1"/>
    </xf>
    <xf numFmtId="0" fontId="19" fillId="0" borderId="20" xfId="0" applyFont="1" applyBorder="1" applyAlignment="1">
      <alignment horizontal="left" vertical="center" wrapText="1"/>
    </xf>
    <xf numFmtId="0" fontId="19" fillId="0" borderId="56" xfId="0" applyFont="1" applyBorder="1" applyAlignment="1">
      <alignment horizontal="left" vertical="center" wrapText="1"/>
    </xf>
    <xf numFmtId="0" fontId="19" fillId="0" borderId="23" xfId="0" applyFont="1" applyBorder="1" applyAlignment="1">
      <alignment horizontal="left" vertical="center"/>
    </xf>
    <xf numFmtId="0" fontId="19" fillId="0" borderId="25" xfId="0" applyFont="1" applyBorder="1" applyAlignment="1">
      <alignment horizontal="left" vertical="center"/>
    </xf>
    <xf numFmtId="0" fontId="19" fillId="0" borderId="38" xfId="0" applyFont="1" applyBorder="1" applyAlignment="1">
      <alignment horizontal="left" vertical="center"/>
    </xf>
    <xf numFmtId="0" fontId="19" fillId="0" borderId="36" xfId="0" applyFont="1" applyBorder="1" applyAlignment="1">
      <alignment horizontal="left" vertical="center"/>
    </xf>
    <xf numFmtId="0" fontId="19" fillId="0" borderId="37" xfId="0" applyFont="1" applyBorder="1" applyAlignment="1">
      <alignment horizontal="left" vertical="center"/>
    </xf>
    <xf numFmtId="0" fontId="19" fillId="0" borderId="23" xfId="0" applyFont="1" applyBorder="1" applyAlignment="1">
      <alignment horizontal="left" vertical="center" wrapText="1"/>
    </xf>
    <xf numFmtId="0" fontId="19" fillId="0" borderId="25" xfId="0" applyFont="1" applyBorder="1" applyAlignment="1">
      <alignment horizontal="left" vertical="center" wrapText="1"/>
    </xf>
    <xf numFmtId="0" fontId="19" fillId="0" borderId="38" xfId="0" applyFont="1" applyBorder="1" applyAlignment="1">
      <alignment horizontal="left" vertical="center" wrapText="1"/>
    </xf>
    <xf numFmtId="0" fontId="19" fillId="0" borderId="36" xfId="0" applyFont="1" applyBorder="1" applyAlignment="1">
      <alignment horizontal="left" vertical="center" wrapText="1"/>
    </xf>
    <xf numFmtId="0" fontId="19" fillId="0" borderId="37" xfId="0" applyFont="1" applyBorder="1" applyAlignment="1">
      <alignment horizontal="left" vertical="center" wrapText="1"/>
    </xf>
    <xf numFmtId="17" fontId="20" fillId="10" borderId="26" xfId="0" applyNumberFormat="1" applyFont="1" applyFill="1" applyBorder="1" applyAlignment="1">
      <alignment horizontal="center"/>
    </xf>
    <xf numFmtId="17" fontId="20" fillId="10" borderId="39" xfId="0" applyNumberFormat="1" applyFont="1" applyFill="1" applyBorder="1" applyAlignment="1">
      <alignment horizontal="center"/>
    </xf>
    <xf numFmtId="17" fontId="20" fillId="10" borderId="27" xfId="0" applyNumberFormat="1" applyFont="1" applyFill="1" applyBorder="1" applyAlignment="1">
      <alignment horizontal="center"/>
    </xf>
    <xf numFmtId="0" fontId="19" fillId="8" borderId="55" xfId="0" applyFont="1" applyFill="1" applyBorder="1" applyAlignment="1">
      <alignment horizontal="center" vertical="center" textRotation="255" wrapText="1"/>
    </xf>
    <xf numFmtId="0" fontId="19" fillId="8" borderId="35" xfId="0" applyFont="1" applyFill="1" applyBorder="1" applyAlignment="1">
      <alignment horizontal="center" vertical="center" textRotation="255" wrapText="1"/>
    </xf>
    <xf numFmtId="0" fontId="50" fillId="0" borderId="0" xfId="0" applyFont="1" applyAlignment="1"/>
    <xf numFmtId="0" fontId="37" fillId="0" borderId="45" xfId="0" applyFont="1" applyBorder="1" applyAlignment="1">
      <alignment horizontal="center"/>
    </xf>
    <xf numFmtId="0" fontId="37" fillId="0" borderId="42" xfId="0" applyFont="1" applyBorder="1" applyAlignment="1">
      <alignment horizontal="center"/>
    </xf>
    <xf numFmtId="0" fontId="37" fillId="0" borderId="43" xfId="0" applyFont="1" applyBorder="1" applyAlignment="1">
      <alignment horizontal="center"/>
    </xf>
    <xf numFmtId="0" fontId="47" fillId="0" borderId="0" xfId="0" applyFont="1" applyAlignment="1"/>
    <xf numFmtId="0" fontId="47" fillId="0" borderId="110" xfId="0" applyFont="1" applyBorder="1" applyAlignment="1">
      <alignment horizontal="center" vertical="center" textRotation="90"/>
    </xf>
    <xf numFmtId="0" fontId="47" fillId="0" borderId="130" xfId="0" applyFont="1" applyBorder="1" applyAlignment="1">
      <alignment horizontal="center" vertical="center" textRotation="90"/>
    </xf>
    <xf numFmtId="0" fontId="22" fillId="0" borderId="16" xfId="0" applyFont="1" applyBorder="1" applyAlignment="1">
      <alignment horizontal="center" vertical="center" wrapText="1"/>
    </xf>
    <xf numFmtId="0" fontId="22" fillId="0" borderId="17" xfId="0" applyFont="1" applyBorder="1" applyAlignment="1">
      <alignment horizontal="center" vertical="center" wrapText="1"/>
    </xf>
    <xf numFmtId="0" fontId="22" fillId="0" borderId="5" xfId="0" applyFont="1" applyBorder="1" applyAlignment="1">
      <alignment horizontal="center" vertical="center" wrapText="1"/>
    </xf>
    <xf numFmtId="16" fontId="10" fillId="0" borderId="16" xfId="0" applyNumberFormat="1" applyFont="1" applyBorder="1" applyAlignment="1">
      <alignment horizontal="center" vertical="center"/>
    </xf>
    <xf numFmtId="16" fontId="10" fillId="0" borderId="17" xfId="0" applyNumberFormat="1" applyFont="1" applyBorder="1" applyAlignment="1">
      <alignment horizontal="center" vertical="center"/>
    </xf>
    <xf numFmtId="16" fontId="10" fillId="0" borderId="5" xfId="0" applyNumberFormat="1" applyFont="1" applyBorder="1" applyAlignment="1">
      <alignment horizontal="center" vertical="center"/>
    </xf>
    <xf numFmtId="0" fontId="42" fillId="0" borderId="16" xfId="0" applyFont="1" applyBorder="1" applyAlignment="1">
      <alignment horizontal="center" vertical="center"/>
    </xf>
    <xf numFmtId="0" fontId="42" fillId="0" borderId="5" xfId="0" applyFont="1" applyBorder="1" applyAlignment="1">
      <alignment horizontal="center" vertical="center"/>
    </xf>
    <xf numFmtId="0" fontId="22" fillId="0" borderId="16" xfId="0" applyFont="1" applyBorder="1" applyAlignment="1">
      <alignment horizontal="center" vertical="center"/>
    </xf>
    <xf numFmtId="0" fontId="22" fillId="0" borderId="5" xfId="0" applyFont="1" applyBorder="1" applyAlignment="1">
      <alignment horizontal="center" vertical="center"/>
    </xf>
    <xf numFmtId="0" fontId="41" fillId="0" borderId="16" xfId="0" applyFont="1" applyBorder="1" applyAlignment="1">
      <alignment horizontal="center" vertical="center"/>
    </xf>
    <xf numFmtId="0" fontId="42" fillId="0" borderId="17" xfId="0" applyFont="1" applyBorder="1" applyAlignment="1">
      <alignment horizontal="center" vertical="center"/>
    </xf>
    <xf numFmtId="16" fontId="22" fillId="0" borderId="16" xfId="0" applyNumberFormat="1" applyFont="1" applyBorder="1" applyAlignment="1">
      <alignment horizontal="center" vertical="center"/>
    </xf>
    <xf numFmtId="16" fontId="22" fillId="0" borderId="5" xfId="0" applyNumberFormat="1" applyFont="1" applyBorder="1" applyAlignment="1">
      <alignment horizontal="center" vertical="center"/>
    </xf>
    <xf numFmtId="0" fontId="42" fillId="0" borderId="1" xfId="0" applyFont="1" applyBorder="1" applyAlignment="1">
      <alignment horizontal="center" vertical="center"/>
    </xf>
    <xf numFmtId="0" fontId="43" fillId="0" borderId="16" xfId="0" applyFont="1" applyBorder="1" applyAlignment="1">
      <alignment horizontal="center" vertical="center"/>
    </xf>
    <xf numFmtId="0" fontId="43" fillId="0" borderId="5" xfId="0" applyFont="1" applyBorder="1" applyAlignment="1">
      <alignment horizontal="center" vertical="center"/>
    </xf>
    <xf numFmtId="0" fontId="43" fillId="0" borderId="17" xfId="0" applyFont="1" applyBorder="1" applyAlignment="1">
      <alignment horizontal="center" vertical="center"/>
    </xf>
    <xf numFmtId="0" fontId="10" fillId="0" borderId="16" xfId="0" applyFont="1" applyBorder="1" applyAlignment="1">
      <alignment horizontal="center" vertical="center"/>
    </xf>
    <xf numFmtId="0" fontId="10" fillId="0" borderId="17" xfId="0" applyFont="1" applyBorder="1" applyAlignment="1">
      <alignment horizontal="center" vertical="center"/>
    </xf>
    <xf numFmtId="0" fontId="10" fillId="0" borderId="5" xfId="0" applyFont="1" applyBorder="1" applyAlignment="1">
      <alignment horizontal="center" vertical="center"/>
    </xf>
    <xf numFmtId="14" fontId="23" fillId="0" borderId="16" xfId="0" applyNumberFormat="1" applyFont="1" applyBorder="1" applyAlignment="1">
      <alignment horizontal="center" vertical="center"/>
    </xf>
    <xf numFmtId="14" fontId="23" fillId="0" borderId="5" xfId="0" applyNumberFormat="1" applyFont="1" applyBorder="1" applyAlignment="1">
      <alignment horizontal="center" vertical="center"/>
    </xf>
    <xf numFmtId="0" fontId="11" fillId="5" borderId="31" xfId="0" applyFont="1" applyFill="1" applyBorder="1" applyAlignment="1">
      <alignment horizontal="center"/>
    </xf>
    <xf numFmtId="0" fontId="11" fillId="5" borderId="32" xfId="0" applyFont="1" applyFill="1" applyBorder="1" applyAlignment="1">
      <alignment horizontal="center"/>
    </xf>
    <xf numFmtId="0" fontId="11" fillId="5" borderId="33" xfId="0" applyFont="1" applyFill="1" applyBorder="1" applyAlignment="1">
      <alignment horizontal="center"/>
    </xf>
    <xf numFmtId="0" fontId="11" fillId="5" borderId="33" xfId="0" applyFont="1" applyFill="1" applyBorder="1" applyAlignment="1">
      <alignment horizontal="center" vertical="center"/>
    </xf>
    <xf numFmtId="0" fontId="11" fillId="5" borderId="28" xfId="0" applyFont="1" applyFill="1" applyBorder="1" applyAlignment="1">
      <alignment horizontal="center"/>
    </xf>
    <xf numFmtId="0" fontId="11" fillId="5" borderId="29" xfId="0" applyFont="1" applyFill="1" applyBorder="1" applyAlignment="1">
      <alignment horizontal="center"/>
    </xf>
    <xf numFmtId="0" fontId="11" fillId="5" borderId="30" xfId="0" applyFont="1" applyFill="1" applyBorder="1" applyAlignment="1">
      <alignment horizontal="center"/>
    </xf>
    <xf numFmtId="0" fontId="154" fillId="0" borderId="1" xfId="0" applyFont="1" applyBorder="1" applyAlignment="1">
      <alignment vertical="top"/>
    </xf>
    <xf numFmtId="0" fontId="0" fillId="0" borderId="1" xfId="0" applyFont="1" applyBorder="1" applyAlignment="1">
      <alignment vertical="top" wrapText="1"/>
    </xf>
    <xf numFmtId="0" fontId="154" fillId="0" borderId="1" xfId="0" applyFont="1" applyBorder="1"/>
    <xf numFmtId="0" fontId="0" fillId="0" borderId="1" xfId="0" applyFont="1" applyFill="1" applyBorder="1" applyAlignment="1">
      <alignment vertical="top" wrapText="1"/>
    </xf>
    <xf numFmtId="0" fontId="144" fillId="0" borderId="0" xfId="0" applyFont="1" applyAlignment="1"/>
    <xf numFmtId="0" fontId="168" fillId="0" borderId="0" xfId="0" applyFont="1" applyAlignment="1">
      <alignment horizontal="center"/>
    </xf>
    <xf numFmtId="0" fontId="156" fillId="46" borderId="0" xfId="0" applyFont="1" applyFill="1"/>
    <xf numFmtId="0" fontId="139" fillId="42" borderId="1" xfId="0" applyFont="1" applyFill="1" applyBorder="1"/>
    <xf numFmtId="0" fontId="159" fillId="0" borderId="1" xfId="18" applyBorder="1"/>
    <xf numFmtId="0" fontId="144" fillId="0" borderId="1" xfId="0" applyFont="1" applyBorder="1" applyAlignment="1">
      <alignment horizontal="center" vertical="center" wrapText="1"/>
    </xf>
    <xf numFmtId="0" fontId="154" fillId="48" borderId="5" xfId="0" applyFont="1" applyFill="1" applyBorder="1" applyAlignment="1">
      <alignment horizontal="center" vertical="center"/>
    </xf>
    <xf numFmtId="0" fontId="169" fillId="0" borderId="1" xfId="0" applyFont="1" applyBorder="1" applyAlignment="1">
      <alignment wrapText="1"/>
    </xf>
    <xf numFmtId="0" fontId="154" fillId="0" borderId="1" xfId="0" applyFont="1" applyBorder="1" applyAlignment="1">
      <alignment horizontal="center" vertical="center"/>
    </xf>
    <xf numFmtId="0" fontId="139" fillId="42" borderId="1" xfId="0" applyFont="1" applyFill="1" applyBorder="1" applyAlignment="1">
      <alignment horizontal="center"/>
    </xf>
    <xf numFmtId="0" fontId="144" fillId="0" borderId="1" xfId="18" applyFont="1" applyBorder="1" applyAlignment="1">
      <alignment horizontal="left" vertical="center"/>
    </xf>
    <xf numFmtId="193" fontId="0" fillId="0" borderId="0" xfId="0" applyNumberFormat="1"/>
    <xf numFmtId="0" fontId="0" fillId="43" borderId="0" xfId="0" applyNumberFormat="1" applyFill="1"/>
    <xf numFmtId="0" fontId="0" fillId="0" borderId="0" xfId="0" applyNumberFormat="1" applyAlignment="1">
      <alignment horizontal="center"/>
    </xf>
    <xf numFmtId="0" fontId="121" fillId="0" borderId="0" xfId="0" applyNumberFormat="1" applyFont="1"/>
    <xf numFmtId="0" fontId="121" fillId="0" borderId="0" xfId="0" quotePrefix="1" applyNumberFormat="1" applyFont="1"/>
    <xf numFmtId="0" fontId="121" fillId="0" borderId="0" xfId="0" applyNumberFormat="1" applyFont="1" applyAlignment="1">
      <alignment wrapText="1"/>
    </xf>
    <xf numFmtId="0" fontId="0" fillId="0" borderId="0" xfId="0" applyNumberFormat="1" applyAlignment="1">
      <alignment wrapText="1"/>
    </xf>
    <xf numFmtId="0" fontId="0" fillId="0" borderId="0" xfId="0" quotePrefix="1" applyNumberFormat="1" applyAlignment="1">
      <alignment wrapText="1"/>
    </xf>
  </cellXfs>
  <cellStyles count="19">
    <cellStyle name="Hipervínculo" xfId="18" builtinId="8"/>
    <cellStyle name="Hyperlink" xfId="4" xr:uid="{00000000-000B-0000-0000-000008000000}"/>
    <cellStyle name="Millares" xfId="5" builtinId="3"/>
    <cellStyle name="Millares 2 4 3" xfId="13" xr:uid="{986E1ACE-3C46-4463-84C9-C8CC9EF59ACA}"/>
    <cellStyle name="Normal" xfId="0" builtinId="0"/>
    <cellStyle name="Normal 10" xfId="12" xr:uid="{475123D3-E557-465B-B68A-7EC95F8BB469}"/>
    <cellStyle name="Normal 11" xfId="11" xr:uid="{7C02227D-7B1E-469F-A449-32466F6E8E72}"/>
    <cellStyle name="Normal 2" xfId="1" xr:uid="{BCACCE11-D23B-4ACB-ADB6-43F13F757EB0}"/>
    <cellStyle name="Normal 2 2" xfId="2" xr:uid="{C1A1E834-1A4C-4A6B-95CF-49CE455C2A3C}"/>
    <cellStyle name="Normal 2 3" xfId="7" xr:uid="{0E93E4D5-982E-4EAF-A426-E564FD62CCE4}"/>
    <cellStyle name="Normal 3" xfId="8" xr:uid="{E1533A12-E36A-4D0E-8E6C-41206BB8F9A6}"/>
    <cellStyle name="Normal 6 3" xfId="9" xr:uid="{6B5ABA0F-ED89-416A-AEBE-89F4F1F7A611}"/>
    <cellStyle name="Normal 7 2" xfId="15" xr:uid="{C6BC6DBA-41C1-49CF-909E-0B0D71D6B967}"/>
    <cellStyle name="Normal 7 3" xfId="17" xr:uid="{226D9B65-6C25-42F5-B433-FD854EF05ACC}"/>
    <cellStyle name="Normal 9 2" xfId="14" xr:uid="{8DA8CFD5-BAC0-4BF2-B67A-CDCD7CB60323}"/>
    <cellStyle name="Porcentaje" xfId="6" builtinId="5"/>
    <cellStyle name="Porcentaje 2" xfId="3" xr:uid="{0ED26096-989E-42E5-846D-1DA85601F20A}"/>
    <cellStyle name="Porcentaje 5" xfId="16" xr:uid="{10AA8712-BCD8-4A30-B899-8CC55AA71490}"/>
    <cellStyle name="Porcentaje 7 3" xfId="10" xr:uid="{75E1D3A5-093C-4913-B5B8-266DA978AEB9}"/>
  </cellStyles>
  <dxfs count="238">
    <dxf>
      <fill>
        <patternFill patternType="solid">
          <fgColor indexed="64"/>
          <bgColor rgb="FFFFC7CE"/>
        </patternFill>
      </fill>
    </dxf>
    <dxf>
      <font>
        <color rgb="FF595959"/>
      </font>
      <fill>
        <patternFill patternType="solid">
          <fgColor indexed="64"/>
          <bgColor rgb="FFEDEDED"/>
        </patternFill>
      </fill>
    </dxf>
    <dxf>
      <font>
        <color rgb="FF9C0006"/>
      </font>
      <fill>
        <patternFill patternType="solid">
          <fgColor indexed="64"/>
          <bgColor rgb="FFFFC7CE"/>
        </patternFill>
      </fill>
    </dxf>
    <dxf>
      <font>
        <color rgb="FF9C5700"/>
      </font>
      <fill>
        <patternFill patternType="solid">
          <fgColor indexed="64"/>
          <bgColor rgb="FFFFEB9C"/>
        </patternFill>
      </fill>
    </dxf>
    <dxf>
      <font>
        <color rgb="FF006100"/>
      </font>
      <fill>
        <patternFill patternType="solid">
          <fgColor indexed="64"/>
          <bgColor rgb="FFC6EFCE"/>
        </patternFill>
      </fill>
    </dxf>
    <dxf>
      <font>
        <color rgb="FF006100"/>
      </font>
      <fill>
        <patternFill patternType="solid">
          <fgColor indexed="64"/>
          <bgColor rgb="FFC6EFCE"/>
        </patternFill>
      </fill>
    </dxf>
    <dxf>
      <font>
        <color rgb="FF595959"/>
      </font>
      <fill>
        <patternFill patternType="solid">
          <fgColor indexed="64"/>
          <bgColor rgb="FFEDEDED"/>
        </patternFill>
      </fill>
    </dxf>
    <dxf>
      <font>
        <color rgb="FF9C0006"/>
      </font>
      <fill>
        <patternFill patternType="solid">
          <fgColor indexed="64"/>
          <bgColor rgb="FFFFC7CE"/>
        </patternFill>
      </fill>
    </dxf>
    <dxf>
      <font>
        <color rgb="FF9C5700"/>
      </font>
      <fill>
        <patternFill patternType="solid">
          <fgColor indexed="64"/>
          <bgColor rgb="FFFFEB9C"/>
        </patternFill>
      </fill>
    </dxf>
    <dxf>
      <font>
        <color rgb="FF006100"/>
      </font>
      <fill>
        <patternFill patternType="solid">
          <fgColor indexed="64"/>
          <bgColor rgb="FFC6EFCE"/>
        </patternFill>
      </fill>
    </dxf>
    <dxf>
      <font>
        <color rgb="FF006100"/>
      </font>
      <fill>
        <patternFill patternType="solid">
          <fgColor indexed="64"/>
          <bgColor rgb="FFC6EFCE"/>
        </patternFill>
      </fill>
    </dxf>
    <dxf>
      <font>
        <color rgb="FF595959"/>
      </font>
      <fill>
        <patternFill patternType="solid">
          <fgColor indexed="64"/>
          <bgColor rgb="FFEDEDED"/>
        </patternFill>
      </fill>
    </dxf>
    <dxf>
      <font>
        <color rgb="FF9C0006"/>
      </font>
      <fill>
        <patternFill patternType="solid">
          <fgColor indexed="64"/>
          <bgColor rgb="FFFFC7CE"/>
        </patternFill>
      </fill>
    </dxf>
    <dxf>
      <font>
        <color rgb="FF9C5700"/>
      </font>
      <fill>
        <patternFill patternType="solid">
          <fgColor indexed="64"/>
          <bgColor rgb="FFFFEB9C"/>
        </patternFill>
      </fill>
    </dxf>
    <dxf>
      <font>
        <color rgb="FF006100"/>
      </font>
      <fill>
        <patternFill patternType="solid">
          <fgColor indexed="64"/>
          <bgColor rgb="FFC6EFCE"/>
        </patternFill>
      </fill>
    </dxf>
    <dxf>
      <font>
        <color rgb="FF006100"/>
      </font>
      <fill>
        <patternFill patternType="solid">
          <fgColor indexed="64"/>
          <bgColor rgb="FFC6EFCE"/>
        </patternFill>
      </fill>
    </dxf>
    <dxf>
      <font>
        <color rgb="FF595959"/>
      </font>
      <fill>
        <patternFill patternType="solid">
          <fgColor indexed="64"/>
          <bgColor rgb="FFEDEDED"/>
        </patternFill>
      </fill>
    </dxf>
    <dxf>
      <font>
        <color rgb="FF9C0006"/>
      </font>
      <fill>
        <patternFill patternType="solid">
          <fgColor indexed="64"/>
          <bgColor rgb="FFFFC7CE"/>
        </patternFill>
      </fill>
    </dxf>
    <dxf>
      <font>
        <color rgb="FF9C5700"/>
      </font>
      <fill>
        <patternFill patternType="solid">
          <fgColor indexed="64"/>
          <bgColor rgb="FFFFEB9C"/>
        </patternFill>
      </fill>
    </dxf>
    <dxf>
      <font>
        <color rgb="FF006100"/>
      </font>
      <fill>
        <patternFill patternType="solid">
          <fgColor indexed="64"/>
          <bgColor rgb="FFC6EF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548235"/>
      </font>
    </dxf>
    <dxf>
      <font>
        <color rgb="FFC00000"/>
      </font>
    </dxf>
    <dxf>
      <font>
        <color rgb="FF9C0006"/>
      </font>
      <fill>
        <patternFill patternType="solid">
          <fgColor indexed="64"/>
          <bgColor rgb="FFFFC7CE"/>
        </patternFill>
      </fill>
    </dxf>
    <dxf>
      <font>
        <color rgb="FF9C0006"/>
      </font>
      <fill>
        <patternFill>
          <bgColor rgb="FFFFC7CE"/>
        </patternFill>
      </fill>
    </dxf>
    <dxf>
      <font>
        <color rgb="FF9C0006"/>
      </font>
      <fill>
        <patternFill>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000000"/>
      </font>
      <fill>
        <patternFill patternType="solid">
          <fgColor indexed="64"/>
          <bgColor rgb="FFFFF2CC"/>
        </patternFill>
      </fill>
    </dxf>
    <dxf>
      <font>
        <color rgb="FF595959"/>
      </font>
      <fill>
        <patternFill patternType="solid">
          <fgColor indexed="64"/>
          <bgColor rgb="FFEDEDED"/>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b/>
        <i val="0"/>
        <color rgb="FFFF0000"/>
      </font>
    </dxf>
    <dxf>
      <font>
        <b/>
        <i val="0"/>
        <color rgb="FFC00000"/>
      </font>
    </dxf>
    <dxf>
      <font>
        <color rgb="FFC00000"/>
      </font>
    </dxf>
    <dxf>
      <font>
        <color rgb="FFC00000"/>
      </font>
    </dxf>
    <dxf>
      <font>
        <color rgb="FFC00000"/>
      </font>
    </dxf>
    <dxf>
      <font>
        <color rgb="FF548235"/>
      </font>
    </dxf>
    <dxf>
      <font>
        <color rgb="FF9C5700"/>
      </font>
      <fill>
        <patternFill patternType="solid">
          <fgColor indexed="64"/>
          <bgColor rgb="FFFFEB9C"/>
        </patternFill>
      </fill>
    </dxf>
    <dxf>
      <font>
        <color rgb="FF9C0006"/>
      </font>
      <fill>
        <patternFill patternType="solid">
          <fgColor indexed="64"/>
          <bgColor rgb="FFFFC7CE"/>
        </patternFill>
      </fill>
    </dxf>
    <dxf>
      <font>
        <color rgb="FFFFFFFF"/>
      </font>
      <fill>
        <patternFill patternType="solid">
          <fgColor indexed="64"/>
          <bgColor rgb="FFC00000"/>
        </patternFill>
      </fill>
    </dxf>
    <dxf>
      <font>
        <color rgb="FF9C5700"/>
      </font>
      <fill>
        <patternFill patternType="solid">
          <fgColor indexed="64"/>
          <bgColor rgb="FFFFEB9C"/>
        </patternFill>
      </fill>
    </dxf>
    <dxf>
      <font>
        <color rgb="FF595959"/>
      </font>
      <fill>
        <patternFill patternType="solid">
          <fgColor indexed="64"/>
          <bgColor rgb="FFEDEDED"/>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C00000"/>
      </font>
    </dxf>
    <dxf>
      <font>
        <color rgb="FFFFFFFF"/>
      </font>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9C0006"/>
      </font>
      <fill>
        <patternFill patternType="solid">
          <fgColor indexed="64"/>
          <bgColor rgb="FFFFC7CE"/>
        </patternFill>
      </fill>
    </dxf>
    <dxf>
      <font>
        <color rgb="FF595959"/>
      </font>
      <fill>
        <patternFill patternType="solid">
          <fgColor indexed="64"/>
          <bgColor rgb="FFEDEDED"/>
        </patternFill>
      </fill>
    </dxf>
    <dxf>
      <font>
        <color rgb="FF006100"/>
      </font>
      <fill>
        <patternFill patternType="solid">
          <fgColor indexed="64"/>
          <bgColor rgb="FFC6EF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9C0006"/>
      </font>
      <fill>
        <patternFill patternType="solid">
          <fgColor indexed="64"/>
          <bgColor rgb="FFFFC7CE"/>
        </patternFill>
      </fill>
    </dxf>
    <dxf>
      <font>
        <color rgb="FF595959"/>
      </font>
      <fill>
        <patternFill patternType="solid">
          <fgColor indexed="64"/>
          <bgColor rgb="FFEDEDED"/>
        </patternFill>
      </fill>
    </dxf>
    <dxf>
      <font>
        <color rgb="FF006100"/>
      </font>
      <fill>
        <patternFill patternType="solid">
          <fgColor indexed="64"/>
          <bgColor rgb="FFC6EFCE"/>
        </patternFill>
      </fill>
    </dxf>
    <dxf>
      <font>
        <color rgb="FF006100"/>
      </font>
      <fill>
        <patternFill patternType="solid">
          <fgColor indexed="64"/>
          <bgColor rgb="FFC6EFCE"/>
        </patternFill>
      </fill>
    </dxf>
    <dxf>
      <font>
        <color rgb="FF9C0006"/>
      </font>
      <fill>
        <patternFill patternType="solid">
          <fgColor indexed="64"/>
          <bgColor rgb="FFFFC7CE"/>
        </patternFill>
      </fill>
    </dxf>
    <dxf>
      <font>
        <color rgb="FF9C0006"/>
      </font>
      <fill>
        <patternFill patternType="solid">
          <fgColor indexed="64"/>
          <bgColor rgb="FFFFC7CE"/>
        </patternFill>
      </fill>
    </dxf>
    <dxf>
      <font>
        <color rgb="FF595959"/>
      </font>
      <fill>
        <patternFill patternType="solid">
          <fgColor indexed="64"/>
          <bgColor rgb="FFEDEDED"/>
        </patternFill>
      </fill>
    </dxf>
    <dxf>
      <font>
        <color rgb="FF006100"/>
      </font>
      <fill>
        <patternFill patternType="solid">
          <fgColor indexed="64"/>
          <bgColor rgb="FFC6EFCE"/>
        </patternFill>
      </fill>
    </dxf>
    <dxf>
      <fill>
        <patternFill patternType="solid">
          <fgColor indexed="64"/>
          <bgColor rgb="FFFFC7CE"/>
        </patternFill>
      </fill>
    </dxf>
    <dxf>
      <font>
        <color rgb="FF9C0006"/>
      </font>
      <fill>
        <patternFill patternType="solid">
          <fgColor indexed="64"/>
          <bgColor rgb="FFFFC7CE"/>
        </patternFill>
      </fill>
    </dxf>
    <dxf>
      <font>
        <color rgb="FF9C0006"/>
      </font>
      <fill>
        <patternFill patternType="solid">
          <fgColor indexed="64"/>
          <bgColor rgb="FFFFC7CE"/>
        </patternFill>
      </fill>
    </dxf>
    <dxf>
      <font>
        <color rgb="FF595959"/>
      </font>
      <fill>
        <patternFill patternType="solid">
          <fgColor indexed="64"/>
          <bgColor rgb="FFEDEDED"/>
        </patternFill>
      </fill>
    </dxf>
    <dxf>
      <font>
        <color rgb="FF1F3864"/>
      </font>
      <fill>
        <patternFill patternType="solid">
          <fgColor indexed="64"/>
          <bgColor rgb="FFDDEBF7"/>
        </patternFill>
      </fill>
    </dxf>
    <dxf>
      <font>
        <color rgb="FF595959"/>
      </font>
      <fill>
        <patternFill patternType="solid">
          <fgColor indexed="64"/>
          <bgColor rgb="FFEDEDED"/>
        </patternFill>
      </fill>
    </dxf>
    <dxf>
      <font>
        <color rgb="FF9C5700"/>
      </font>
      <fill>
        <patternFill patternType="solid">
          <fgColor indexed="64"/>
          <bgColor rgb="FFFFEB9C"/>
        </patternFill>
      </fill>
    </dxf>
    <dxf>
      <font>
        <color rgb="FF006100"/>
      </font>
      <fill>
        <patternFill patternType="solid">
          <fgColor indexed="64"/>
          <bgColor rgb="FFC6EFCE"/>
        </patternFill>
      </fill>
    </dxf>
    <dxf>
      <font>
        <color rgb="FF1F3864"/>
      </font>
      <fill>
        <patternFill patternType="solid">
          <fgColor indexed="64"/>
          <bgColor rgb="FFDDEBF7"/>
        </patternFill>
      </fill>
    </dxf>
    <dxf>
      <font>
        <color rgb="FF595959"/>
      </font>
      <fill>
        <patternFill patternType="solid">
          <fgColor indexed="64"/>
          <bgColor rgb="FFEDEDED"/>
        </patternFill>
      </fill>
    </dxf>
    <dxf>
      <font>
        <color rgb="FF9C5700"/>
      </font>
      <fill>
        <patternFill patternType="solid">
          <fgColor indexed="64"/>
          <bgColor rgb="FFFFEB9C"/>
        </patternFill>
      </fill>
    </dxf>
    <dxf>
      <font>
        <color rgb="FF006100"/>
      </font>
      <fill>
        <patternFill patternType="solid">
          <fgColor indexed="64"/>
          <bgColor rgb="FFC6EFCE"/>
        </patternFill>
      </fill>
    </dxf>
    <dxf>
      <font>
        <color rgb="FF0000FF"/>
      </font>
      <alignment horizontal="center"/>
    </dxf>
    <dxf>
      <alignment horizontal="center"/>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numFmt numFmtId="30" formatCode="@"/>
    </dxf>
    <dxf>
      <alignment wrapText="1"/>
    </dxf>
    <dxf>
      <font>
        <color rgb="FF808080"/>
      </font>
    </dxf>
    <dxf>
      <numFmt numFmtId="30" formatCode="@"/>
    </dxf>
    <dxf>
      <alignment horizontal="center"/>
    </dxf>
    <dxf>
      <alignment wrapText="1"/>
    </dxf>
    <dxf>
      <alignment wrapText="1"/>
    </dxf>
    <dxf>
      <numFmt numFmtId="19" formatCode="dd/mm/yyyy"/>
    </dxf>
    <dxf>
      <font>
        <color rgb="FF008000"/>
      </font>
    </dxf>
    <dxf>
      <alignment horizontal="center"/>
    </dxf>
    <dxf>
      <numFmt numFmtId="19" formatCode="dd/mm/yyyy"/>
    </dxf>
    <dxf>
      <fill>
        <patternFill patternType="solid">
          <fgColor indexed="64"/>
          <bgColor rgb="FFF2F2F2"/>
        </patternFill>
      </fill>
    </dxf>
    <dxf>
      <fill>
        <patternFill patternType="solid">
          <fgColor indexed="64"/>
          <bgColor rgb="FFF2F2F2"/>
        </patternFill>
      </fill>
    </dxf>
    <dxf>
      <alignment vertical="center"/>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alignment vertical="center" wrapText="1"/>
    </dxf>
    <dxf>
      <numFmt numFmtId="30" formatCode="@"/>
    </dxf>
    <dxf>
      <numFmt numFmtId="30" formatCode="@"/>
    </dxf>
    <dxf>
      <numFmt numFmtId="30" formatCode="@"/>
    </dxf>
    <dxf>
      <numFmt numFmtId="30" formatCode="@"/>
    </dxf>
    <dxf>
      <numFmt numFmtId="183" formatCode="dd/mm/yyyy\ hh:mm"/>
    </dxf>
    <dxf>
      <font>
        <color rgb="FF0000FF"/>
      </font>
    </dxf>
    <dxf>
      <font>
        <color rgb="FF0000FF"/>
      </font>
    </dxf>
    <dxf>
      <font>
        <color rgb="FF0000FF"/>
      </font>
    </dxf>
    <dxf>
      <font>
        <color rgb="FF000000"/>
      </font>
    </dxf>
    <dxf>
      <font>
        <color rgb="FF000000"/>
      </font>
    </dxf>
    <dxf>
      <font>
        <color rgb="FF0000FF"/>
      </font>
    </dxf>
    <dxf>
      <font>
        <color rgb="FF0000FF"/>
      </font>
    </dxf>
    <dxf>
      <alignment vertical="center" wrapText="1"/>
    </dxf>
    <dxf>
      <font>
        <b val="0"/>
        <i val="0"/>
        <strike val="0"/>
        <condense val="0"/>
        <extend val="0"/>
        <outline val="0"/>
        <shadow val="0"/>
        <u val="none"/>
        <vertAlign val="baseline"/>
        <sz val="11"/>
        <color rgb="FF000000"/>
        <name val="Calibri"/>
        <family val="2"/>
        <scheme val="minor"/>
      </font>
      <fill>
        <patternFill patternType="solid">
          <fgColor rgb="FF000000"/>
          <bgColor rgb="FFFFFFFF"/>
        </patternFill>
      </fill>
      <alignment horizontal="general" vertical="bottom" textRotation="0" wrapText="1" indent="0" justifyLastLine="0" shrinkToFit="0" readingOrder="0"/>
      <border diagonalUp="0" diagonalDown="0">
        <left/>
        <right style="medium">
          <color rgb="FF000000"/>
        </right>
        <top/>
        <bottom style="thin">
          <color rgb="FF95B3D7"/>
        </bottom>
        <vertical/>
        <horizontal/>
      </border>
    </dxf>
    <dxf>
      <font>
        <b/>
        <i val="0"/>
        <strike val="0"/>
        <condense val="0"/>
        <extend val="0"/>
        <outline val="0"/>
        <shadow val="0"/>
        <u val="none"/>
        <vertAlign val="baseline"/>
        <sz val="11"/>
        <color rgb="FF000000"/>
        <name val="Calibri"/>
        <family val="2"/>
        <scheme val="minor"/>
      </font>
      <alignment horizontal="center" vertical="bottom" textRotation="0" wrapText="0" indent="0" justifyLastLine="0" shrinkToFit="0" readingOrder="0"/>
      <border diagonalUp="0" diagonalDown="0">
        <left/>
        <right style="thin">
          <color indexed="64"/>
        </right>
        <top/>
        <bottom style="thin">
          <color indexed="64"/>
        </bottom>
        <vertical/>
        <horizontal/>
      </border>
    </dxf>
    <dxf>
      <font>
        <b/>
        <i val="0"/>
        <strike val="0"/>
        <condense val="0"/>
        <extend val="0"/>
        <outline val="0"/>
        <shadow val="0"/>
        <u val="none"/>
        <vertAlign val="baseline"/>
        <sz val="11"/>
        <color rgb="FF000000"/>
        <name val="Calibri"/>
        <family val="2"/>
        <scheme val="minor"/>
      </font>
      <alignment horizontal="center" vertical="bottom" textRotation="0" wrapText="0" indent="0" justifyLastLine="0" shrinkToFit="0" readingOrder="0"/>
      <border diagonalUp="0" diagonalDown="0">
        <left/>
        <right style="thin">
          <color indexed="64"/>
        </right>
        <top/>
        <bottom style="thin">
          <color indexed="64"/>
        </bottom>
        <vertical/>
        <horizontal/>
      </border>
    </dxf>
    <dxf>
      <font>
        <b val="0"/>
        <i val="0"/>
        <strike val="0"/>
        <condense val="0"/>
        <extend val="0"/>
        <outline val="0"/>
        <shadow val="0"/>
        <u val="none"/>
        <vertAlign val="baseline"/>
        <sz val="11"/>
        <color rgb="FF000000"/>
        <name val="Calibri"/>
        <family val="2"/>
        <scheme val="minor"/>
      </font>
      <alignment horizontal="right" vertical="bottom" textRotation="0" wrapText="0" indent="0" justifyLastLine="0" shrinkToFit="0" readingOrder="0"/>
      <border diagonalUp="0" diagonalDown="0">
        <left/>
        <right style="thin">
          <color indexed="64"/>
        </right>
        <top/>
        <bottom style="thin">
          <color indexed="64"/>
        </bottom>
        <vertical/>
        <horizontal/>
      </border>
    </dxf>
    <dxf>
      <font>
        <b val="0"/>
        <i val="0"/>
        <strike val="0"/>
        <condense val="0"/>
        <extend val="0"/>
        <outline val="0"/>
        <shadow val="0"/>
        <u val="none"/>
        <vertAlign val="baseline"/>
        <sz val="11"/>
        <color rgb="FF000000"/>
        <name val="Calibri"/>
        <family val="2"/>
        <scheme val="minor"/>
      </font>
      <alignment horizontal="right" vertical="bottom" textRotation="0" wrapText="0" indent="0" justifyLastLine="0" shrinkToFit="0" readingOrder="0"/>
      <border diagonalUp="0" diagonalDown="0">
        <left/>
        <right style="thin">
          <color indexed="64"/>
        </right>
        <top/>
        <bottom style="thin">
          <color indexed="64"/>
        </bottom>
        <vertical/>
        <horizontal/>
      </border>
    </dxf>
    <dxf>
      <font>
        <b val="0"/>
        <i val="0"/>
        <strike val="0"/>
        <condense val="0"/>
        <extend val="0"/>
        <outline val="0"/>
        <shadow val="0"/>
        <u val="none"/>
        <vertAlign val="baseline"/>
        <sz val="11"/>
        <color rgb="FF000000"/>
        <name val="Calibri"/>
        <family val="2"/>
        <scheme val="minor"/>
      </font>
      <alignment horizontal="right" vertical="bottom" textRotation="0" wrapText="0" indent="0" justifyLastLine="0" shrinkToFit="0" readingOrder="0"/>
      <border diagonalUp="0" diagonalDown="0">
        <left/>
        <right style="thin">
          <color indexed="64"/>
        </right>
        <top/>
        <bottom style="thin">
          <color indexed="64"/>
        </bottom>
        <vertical/>
        <horizontal/>
      </border>
    </dxf>
    <dxf>
      <font>
        <b/>
        <i val="0"/>
        <strike val="0"/>
        <condense val="0"/>
        <extend val="0"/>
        <outline val="0"/>
        <shadow val="0"/>
        <u val="none"/>
        <vertAlign val="baseline"/>
        <sz val="11"/>
        <color rgb="FF000000"/>
        <name val="Calibri"/>
        <family val="2"/>
        <scheme val="minor"/>
      </font>
      <alignment horizontal="center" vertical="bottom" textRotation="0" wrapText="0" indent="0" justifyLastLine="0" shrinkToFit="0" readingOrder="0"/>
      <border diagonalUp="0" diagonalDown="0">
        <left/>
        <right style="thin">
          <color indexed="64"/>
        </right>
        <top/>
        <bottom style="thin">
          <color indexed="64"/>
        </bottom>
        <vertical/>
        <horizontal/>
      </border>
    </dxf>
    <dxf>
      <font>
        <b/>
        <i val="0"/>
        <strike val="0"/>
        <condense val="0"/>
        <extend val="0"/>
        <outline val="0"/>
        <shadow val="0"/>
        <u val="none"/>
        <vertAlign val="baseline"/>
        <sz val="11"/>
        <color rgb="FF000000"/>
        <name val="Calibri"/>
        <family val="2"/>
        <scheme val="minor"/>
      </font>
      <alignment horizontal="center" vertical="bottom" textRotation="0" wrapText="0" indent="0" justifyLastLine="0" shrinkToFit="0" readingOrder="0"/>
      <border diagonalUp="0" diagonalDown="0">
        <left/>
        <right style="thin">
          <color indexed="64"/>
        </right>
        <top/>
        <bottom style="thin">
          <color indexed="64"/>
        </bottom>
        <vertical/>
        <horizontal/>
      </border>
    </dxf>
    <dxf>
      <font>
        <b val="0"/>
        <i val="0"/>
        <strike val="0"/>
        <condense val="0"/>
        <extend val="0"/>
        <outline val="0"/>
        <shadow val="0"/>
        <u val="none"/>
        <vertAlign val="baseline"/>
        <sz val="11"/>
        <color rgb="FF000000"/>
        <name val="Calibri"/>
        <family val="2"/>
        <scheme val="minor"/>
      </font>
      <numFmt numFmtId="3" formatCode="#,##0"/>
      <alignment horizontal="right" vertical="bottom" textRotation="0" wrapText="0" indent="0" justifyLastLine="0" shrinkToFit="0" readingOrder="0"/>
      <border diagonalUp="0" diagonalDown="0">
        <left/>
        <right style="thin">
          <color indexed="64"/>
        </right>
        <top/>
        <bottom style="thin">
          <color indexed="64"/>
        </bottom>
        <vertical/>
        <horizontal/>
      </border>
    </dxf>
    <dxf>
      <font>
        <b val="0"/>
        <i val="0"/>
        <strike val="0"/>
        <condense val="0"/>
        <extend val="0"/>
        <outline val="0"/>
        <shadow val="0"/>
        <u val="none"/>
        <vertAlign val="baseline"/>
        <sz val="11"/>
        <color rgb="FF000000"/>
        <name val="Calibri"/>
        <family val="2"/>
        <scheme val="minor"/>
      </font>
      <numFmt numFmtId="3" formatCode="#,##0"/>
      <alignment horizontal="right" vertical="bottom" textRotation="0" wrapText="0" indent="0" justifyLastLine="0" shrinkToFit="0" readingOrder="0"/>
      <border diagonalUp="0" diagonalDown="0">
        <left/>
        <right style="thin">
          <color indexed="64"/>
        </right>
        <top/>
        <bottom style="thin">
          <color indexed="64"/>
        </bottom>
        <vertical/>
        <horizontal/>
      </border>
    </dxf>
    <dxf>
      <font>
        <b val="0"/>
        <i val="0"/>
        <strike val="0"/>
        <condense val="0"/>
        <extend val="0"/>
        <outline val="0"/>
        <shadow val="0"/>
        <u val="none"/>
        <vertAlign val="baseline"/>
        <sz val="11"/>
        <color rgb="FF000000"/>
        <name val="Calibri"/>
        <family val="2"/>
        <scheme val="minor"/>
      </font>
      <numFmt numFmtId="3" formatCode="#,##0"/>
      <alignment horizontal="right" vertical="bottom" textRotation="0" wrapText="0" indent="0" justifyLastLine="0" shrinkToFit="0" readingOrder="0"/>
      <border diagonalUp="0" diagonalDown="0">
        <left/>
        <right style="thin">
          <color indexed="64"/>
        </right>
        <top/>
        <bottom style="thin">
          <color indexed="64"/>
        </bottom>
        <vertical/>
        <horizontal/>
      </border>
    </dxf>
    <dxf>
      <font>
        <b val="0"/>
        <i val="0"/>
        <strike val="0"/>
        <condense val="0"/>
        <extend val="0"/>
        <outline val="0"/>
        <shadow val="0"/>
        <u val="none"/>
        <vertAlign val="baseline"/>
        <sz val="11"/>
        <color rgb="FF000000"/>
        <name val="Calibri"/>
        <family val="2"/>
        <scheme val="minor"/>
      </font>
      <alignment horizontal="right" vertical="bottom" textRotation="0" wrapText="0" indent="0" justifyLastLine="0" shrinkToFit="0" readingOrder="0"/>
      <border diagonalUp="0" diagonalDown="0">
        <left/>
        <right style="thin">
          <color indexed="64"/>
        </right>
        <top/>
        <bottom style="thin">
          <color indexed="64"/>
        </bottom>
        <vertical/>
        <horizontal/>
      </border>
    </dxf>
    <dxf>
      <font>
        <b val="0"/>
        <i val="0"/>
        <strike val="0"/>
        <condense val="0"/>
        <extend val="0"/>
        <outline val="0"/>
        <shadow val="0"/>
        <u val="none"/>
        <vertAlign val="baseline"/>
        <sz val="11"/>
        <color rgb="FF000000"/>
        <name val="Calibri"/>
        <family val="2"/>
        <scheme val="minor"/>
      </font>
      <alignment horizontal="right" vertical="bottom" textRotation="0" wrapText="0" indent="0" justifyLastLine="0" shrinkToFit="0" readingOrder="0"/>
      <border diagonalUp="0" diagonalDown="0">
        <left/>
        <right style="thin">
          <color indexed="64"/>
        </right>
        <top/>
        <bottom style="thin">
          <color indexed="64"/>
        </bottom>
        <vertical/>
        <horizontal/>
      </border>
    </dxf>
    <dxf>
      <font>
        <b/>
        <i val="0"/>
        <strike val="0"/>
        <condense val="0"/>
        <extend val="0"/>
        <outline val="0"/>
        <shadow val="0"/>
        <u val="none"/>
        <vertAlign val="baseline"/>
        <sz val="11"/>
        <color rgb="FF000000"/>
        <name val="Calibri"/>
        <family val="2"/>
        <scheme val="minor"/>
      </font>
      <numFmt numFmtId="19" formatCode="dd/mm/yyyy"/>
      <alignment horizontal="center" vertical="bottom" textRotation="0" wrapText="0" indent="0" justifyLastLine="0" shrinkToFit="0" readingOrder="0"/>
      <border diagonalUp="0" diagonalDown="0">
        <left style="medium">
          <color rgb="FF000000"/>
        </left>
        <right style="thin">
          <color indexed="64"/>
        </right>
        <top/>
        <bottom style="thin">
          <color indexed="64"/>
        </bottom>
        <vertical/>
        <horizontal/>
      </border>
    </dxf>
    <dxf>
      <border outline="0">
        <top style="thin">
          <color indexed="64"/>
        </top>
        <bottom style="medium">
          <color rgb="FF000000"/>
        </bottom>
      </border>
    </dxf>
    <dxf>
      <font>
        <b val="0"/>
        <i val="0"/>
        <strike val="0"/>
        <condense val="0"/>
        <extend val="0"/>
        <outline val="0"/>
        <shadow val="0"/>
        <u val="none"/>
        <vertAlign val="baseline"/>
        <sz val="11"/>
        <color rgb="FF000000"/>
        <name val="Calibri"/>
        <scheme val="minor"/>
      </font>
      <alignment horizontal="left"/>
      <border diagonalUp="0" diagonalDown="0">
        <left style="thin">
          <color rgb="FF000000"/>
        </left>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minor"/>
      </font>
      <alignment horizontal="center"/>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minor"/>
      </font>
      <alignment horizontal="center"/>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minor"/>
      </font>
      <alignment horizontal="left"/>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minor"/>
      </font>
      <alignment horizontal="center"/>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minor"/>
      </font>
      <alignment horizontal="center"/>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minor"/>
      </font>
      <alignment horizontal="center"/>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minor"/>
      </font>
      <fill>
        <patternFill patternType="solid">
          <fgColor indexed="64"/>
          <bgColor rgb="FFF2F2F2"/>
        </patternFill>
      </fill>
      <alignment horizontal="center"/>
      <border diagonalUp="0" diagonalDown="0">
        <left/>
        <right style="thin">
          <color rgb="FF000000"/>
        </right>
        <top style="thin">
          <color rgb="FF000000"/>
        </top>
        <bottom style="thin">
          <color rgb="FF000000"/>
        </bottom>
        <vertical style="thin">
          <color rgb="FF000000"/>
        </vertical>
        <horizontal style="thin">
          <color rgb="FF000000"/>
        </horizontal>
      </border>
    </dxf>
    <dxf>
      <border>
        <top style="thin">
          <color rgb="FF000000"/>
        </top>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Calibri"/>
        <scheme val="minor"/>
      </font>
    </dxf>
    <dxf>
      <border>
        <bottom style="thin">
          <color rgb="FF000000"/>
        </bottom>
      </border>
    </dxf>
    <dxf>
      <font>
        <b/>
        <i val="0"/>
        <strike val="0"/>
        <condense val="0"/>
        <extend val="0"/>
        <outline val="0"/>
        <shadow val="0"/>
        <u val="none"/>
        <vertAlign val="baseline"/>
        <sz val="11"/>
        <color rgb="FF000000"/>
        <name val="Calibri"/>
        <scheme val="minor"/>
      </font>
      <fill>
        <patternFill patternType="solid">
          <fgColor indexed="64"/>
          <bgColor rgb="FFD8D8D8"/>
        </patternFill>
      </fill>
      <alignment horizontal="center" vertical="center" wrapText="1"/>
      <border diagonalUp="0" diagonalDown="0">
        <left style="thin">
          <color rgb="FF000000"/>
        </left>
        <right style="thin">
          <color rgb="FF000000"/>
        </right>
        <top/>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minor"/>
      </font>
      <alignment horizontal="left"/>
      <border diagonalUp="0" diagonalDown="0">
        <left style="thin">
          <color rgb="FF000000"/>
        </left>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minor"/>
      </font>
      <alignment horizontal="left"/>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minor"/>
      </font>
      <alignment horizontal="center"/>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minor"/>
      </font>
      <fill>
        <patternFill patternType="solid">
          <fgColor indexed="64"/>
          <bgColor rgb="FFF2F2F2"/>
        </patternFill>
      </fill>
      <alignment horizontal="center"/>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minor"/>
      </font>
      <alignment horizontal="center"/>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minor"/>
      </font>
      <alignment horizontal="center"/>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minor"/>
      </font>
      <alignment horizontal="left"/>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minor"/>
      </font>
      <alignment horizontal="center"/>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minor"/>
      </font>
      <alignment horizontal="left"/>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minor"/>
      </font>
      <alignment horizontal="center"/>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minor"/>
      </font>
      <alignment horizontal="center"/>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minor"/>
      </font>
      <alignment horizontal="left"/>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minor"/>
      </font>
      <alignment horizontal="center"/>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minor"/>
      </font>
      <alignment horizontal="center"/>
      <border diagonalUp="0" diagonalDown="0">
        <left/>
        <right style="thin">
          <color rgb="FF000000"/>
        </right>
        <top style="thin">
          <color rgb="FF000000"/>
        </top>
        <bottom style="thin">
          <color rgb="FF000000"/>
        </bottom>
        <vertical style="thin">
          <color rgb="FF000000"/>
        </vertical>
        <horizontal style="thin">
          <color rgb="FF000000"/>
        </horizontal>
      </border>
    </dxf>
    <dxf>
      <border>
        <top style="thin">
          <color rgb="FF000000"/>
        </top>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Calibri"/>
        <scheme val="minor"/>
      </font>
    </dxf>
    <dxf>
      <border>
        <bottom style="thin">
          <color rgb="FF000000"/>
        </bottom>
      </border>
    </dxf>
    <dxf>
      <font>
        <b/>
        <i val="0"/>
        <strike val="0"/>
        <condense val="0"/>
        <extend val="0"/>
        <outline val="0"/>
        <shadow val="0"/>
        <u val="none"/>
        <vertAlign val="baseline"/>
        <sz val="11"/>
        <color rgb="FF000000"/>
        <name val="Calibri"/>
        <scheme val="minor"/>
      </font>
      <fill>
        <patternFill patternType="solid">
          <fgColor indexed="64"/>
          <bgColor rgb="FFD8D8D8"/>
        </patternFill>
      </fill>
      <alignment horizontal="center" vertical="center" wrapText="1"/>
      <border diagonalUp="0" diagonalDown="0">
        <left style="thin">
          <color rgb="FF000000"/>
        </left>
        <right style="thin">
          <color rgb="FF000000"/>
        </right>
        <top/>
        <bottom/>
        <vertical style="thin">
          <color rgb="FF000000"/>
        </vertical>
        <horizontal style="thin">
          <color rgb="FF000000"/>
        </horizontal>
      </border>
    </dxf>
    <dxf>
      <fill>
        <patternFill patternType="solid">
          <fgColor indexed="64"/>
          <bgColor rgb="FFF2F2F2"/>
        </patternFill>
      </fill>
    </dxf>
    <dxf>
      <font>
        <color rgb="FF0000FF"/>
      </font>
    </dxf>
    <dxf>
      <font>
        <color rgb="FF0000FF"/>
      </font>
    </dxf>
    <dxf>
      <fill>
        <patternFill patternType="solid">
          <fgColor indexed="64"/>
          <bgColor rgb="FFF2F2F2"/>
        </patternFill>
      </fill>
    </dxf>
    <dxf>
      <fill>
        <patternFill patternType="solid">
          <fgColor indexed="64"/>
          <bgColor rgb="FFF2F2F2"/>
        </patternFill>
      </fill>
    </dxf>
    <dxf>
      <font>
        <color rgb="FF0000FF"/>
      </font>
    </dxf>
    <dxf>
      <font>
        <color rgb="FF0000FF"/>
      </font>
    </dxf>
    <dxf>
      <font>
        <color rgb="FF0000FF"/>
      </font>
    </dxf>
    <dxf>
      <font>
        <color rgb="FF0000FF"/>
      </font>
    </dxf>
    <dxf>
      <font>
        <color rgb="FF0000FF"/>
      </font>
    </dxf>
    <dxf>
      <font>
        <color rgb="FF0000FF"/>
      </font>
    </dxf>
    <dxf>
      <alignment vertical="center" wrapText="1"/>
    </dxf>
  </dxfs>
  <tableStyles count="0" defaultTableStyle="TableStyleMedium2" defaultPivotStyle="PivotStyleLight16"/>
  <colors>
    <mruColors>
      <color rgb="FFF08CCF"/>
      <color rgb="FFFDD5E1"/>
      <color rgb="FFFFCDCD"/>
      <color rgb="FFFCBCC5"/>
      <color rgb="FFFB9BA9"/>
      <color rgb="FFFAB4BE"/>
      <color rgb="FFFFAFAF"/>
      <color rgb="FFFF8585"/>
      <color rgb="FFFC688A"/>
      <color rgb="FFB1E5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alcChain" Target="calcChain.xml"/><Relationship Id="rId89"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Ácido oxálico — kg/TMS diario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1"/>
          <c:order val="0"/>
          <c:tx>
            <c:strRef>
              <c:f>'Control Reactivos'!$AB$9</c:f>
              <c:strCache>
                <c:ptCount val="1"/>
                <c:pt idx="0">
                  <c:v>Ácido oxálico</c:v>
                </c:pt>
              </c:strCache>
            </c:strRef>
          </c:tx>
          <c:spPr>
            <a:ln w="28575" cap="rnd">
              <a:solidFill>
                <a:srgbClr val="1F3864"/>
              </a:solidFill>
              <a:prstDash val="solid"/>
              <a:round/>
            </a:ln>
            <a:effectLst/>
          </c:spPr>
          <c:marker>
            <c:symbol val="none"/>
          </c:marker>
          <c:cat>
            <c:numRef>
              <c:f>'Control Reactivos'!$AA$10:$AA$40</c:f>
              <c:numCache>
                <c:formatCode>dd/mm</c:formatCode>
                <c:ptCount val="3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#N/A</c:v>
                </c:pt>
              </c:numCache>
            </c:numRef>
          </c:cat>
          <c:val>
            <c:numRef>
              <c:f>'Control Reactivos'!$AB$10:$AB$40</c:f>
              <c:numCache>
                <c:formatCode>0.000</c:formatCode>
                <c:ptCount val="31"/>
                <c:pt idx="0">
                  <c:v>1.4849034812737172</c:v>
                </c:pt>
                <c:pt idx="1">
                  <c:v>1.2896985329679187</c:v>
                </c:pt>
                <c:pt idx="2">
                  <c:v>1.6528166750837887</c:v>
                </c:pt>
                <c:pt idx="3">
                  <c:v>1.7486539965947265</c:v>
                </c:pt>
                <c:pt idx="4">
                  <c:v>1.2464387464387465</c:v>
                </c:pt>
                <c:pt idx="5">
                  <c:v>1.4805903854161846</c:v>
                </c:pt>
                <c:pt idx="6">
                  <c:v>1.5440289505428226</c:v>
                </c:pt>
                <c:pt idx="7">
                  <c:v>1.433268695725487</c:v>
                </c:pt>
                <c:pt idx="8">
                  <c:v>1.437183121082678</c:v>
                </c:pt>
                <c:pt idx="9">
                  <c:v>1.5391850870067125</c:v>
                </c:pt>
                <c:pt idx="10">
                  <c:v>1.4340915428434848</c:v>
                </c:pt>
                <c:pt idx="11">
                  <c:v>1.6827147798448163</c:v>
                </c:pt>
                <c:pt idx="12">
                  <c:v>1.5161086544535691</c:v>
                </c:pt>
                <c:pt idx="13">
                  <c:v>1.4736477115117892</c:v>
                </c:pt>
                <c:pt idx="14">
                  <c:v>2.1584952204748689</c:v>
                </c:pt>
                <c:pt idx="15">
                  <c:v>1.9426906265177271</c:v>
                </c:pt>
                <c:pt idx="16">
                  <c:v>1.9384018953262976</c:v>
                </c:pt>
                <c:pt idx="17">
                  <c:v>1.7567427921876615</c:v>
                </c:pt>
                <c:pt idx="18">
                  <c:v>1.8055973517905508</c:v>
                </c:pt>
                <c:pt idx="19">
                  <c:v>1.7074273087932506</c:v>
                </c:pt>
                <c:pt idx="20">
                  <c:v>2.2718667171525939</c:v>
                </c:pt>
                <c:pt idx="21">
                  <c:v>1.8951058890415502</c:v>
                </c:pt>
                <c:pt idx="22">
                  <c:v>1.8832391713747645</c:v>
                </c:pt>
                <c:pt idx="23">
                  <c:v>2.4399060184348453</c:v>
                </c:pt>
                <c:pt idx="24">
                  <c:v>2.3636363636363638</c:v>
                </c:pt>
                <c:pt idx="25">
                  <c:v>1.8679950186799501</c:v>
                </c:pt>
                <c:pt idx="26">
                  <c:v>1.9507869651961871</c:v>
                </c:pt>
                <c:pt idx="27">
                  <c:v>1.8985157059026578</c:v>
                </c:pt>
                <c:pt idx="28">
                  <c:v>1.6667438307329043</c:v>
                </c:pt>
                <c:pt idx="29">
                  <c:v>#N/A</c:v>
                </c:pt>
                <c:pt idx="30">
                  <c:v>#N/A</c:v>
                </c:pt>
              </c:numCache>
            </c:numRef>
          </c:val>
          <c:smooth val="0"/>
          <c:extLst>
            <c:ext xmlns:c16="http://schemas.microsoft.com/office/drawing/2014/chart" uri="{C3380CC4-5D6E-409C-BE32-E72D297353CC}">
              <c16:uniqueId val="{00000001-F11E-4D3C-A801-A6D0574E9588}"/>
            </c:ext>
          </c:extLst>
        </c:ser>
        <c:dLbls>
          <c:showLegendKey val="0"/>
          <c:showVal val="0"/>
          <c:showCatName val="0"/>
          <c:showSerName val="0"/>
          <c:showPercent val="0"/>
          <c:showBubbleSize val="0"/>
        </c:dLbls>
        <c:smooth val="0"/>
        <c:axId val="707574400"/>
        <c:axId val="707575232"/>
      </c:lineChart>
      <c:dateAx>
        <c:axId val="707574400"/>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07575232"/>
        <c:crosses val="autoZero"/>
        <c:auto val="1"/>
        <c:lblOffset val="100"/>
        <c:baseTimeUnit val="days"/>
      </c:dateAx>
      <c:valAx>
        <c:axId val="707575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07574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Xantato y espumante — kg/TMS diario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1"/>
          <c:order val="0"/>
          <c:tx>
            <c:strRef>
              <c:f>'Control Reactivos'!$AE$9</c:f>
              <c:strCache>
                <c:ptCount val="1"/>
                <c:pt idx="0">
                  <c:v>Xantato</c:v>
                </c:pt>
              </c:strCache>
            </c:strRef>
          </c:tx>
          <c:spPr>
            <a:ln w="28575" cap="rnd">
              <a:solidFill>
                <a:srgbClr val="548235"/>
              </a:solidFill>
              <a:prstDash val="solid"/>
              <a:round/>
            </a:ln>
            <a:effectLst/>
          </c:spPr>
          <c:marker>
            <c:symbol val="none"/>
          </c:marker>
          <c:cat>
            <c:numRef>
              <c:f>'Control Reactivos'!$AD$10:$AD$40</c:f>
              <c:numCache>
                <c:formatCode>dd/mm</c:formatCode>
                <c:ptCount val="3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#N/A</c:v>
                </c:pt>
              </c:numCache>
            </c:numRef>
          </c:cat>
          <c:val>
            <c:numRef>
              <c:f>'Control Reactivos'!$AE$10:$AE$40</c:f>
              <c:numCache>
                <c:formatCode>0.0000</c:formatCode>
                <c:ptCount val="31"/>
                <c:pt idx="0">
                  <c:v>0.31554198977066489</c:v>
                </c:pt>
                <c:pt idx="1">
                  <c:v>0.31033370949540545</c:v>
                </c:pt>
                <c:pt idx="2">
                  <c:v>0.35237133281300215</c:v>
                </c:pt>
                <c:pt idx="3">
                  <c:v>0.32672219410059361</c:v>
                </c:pt>
                <c:pt idx="4">
                  <c:v>0.32719017094017094</c:v>
                </c:pt>
                <c:pt idx="5">
                  <c:v>0.32850599176421597</c:v>
                </c:pt>
                <c:pt idx="6">
                  <c:v>0.30880579010856452</c:v>
                </c:pt>
                <c:pt idx="7">
                  <c:v>0.31405446421043759</c:v>
                </c:pt>
                <c:pt idx="8">
                  <c:v>0.37326839394786221</c:v>
                </c:pt>
                <c:pt idx="9">
                  <c:v>0.26935739022617472</c:v>
                </c:pt>
                <c:pt idx="10">
                  <c:v>0.26490857666414375</c:v>
                </c:pt>
                <c:pt idx="11">
                  <c:v>0.32719454052538094</c:v>
                </c:pt>
                <c:pt idx="12">
                  <c:v>0.3979785217940619</c:v>
                </c:pt>
                <c:pt idx="13">
                  <c:v>0.39008321775312066</c:v>
                </c:pt>
                <c:pt idx="14">
                  <c:v>0.40600267242265392</c:v>
                </c:pt>
                <c:pt idx="15">
                  <c:v>0.35939776590577949</c:v>
                </c:pt>
                <c:pt idx="16">
                  <c:v>0.39306482877449922</c:v>
                </c:pt>
                <c:pt idx="17">
                  <c:v>0.3539320037201612</c:v>
                </c:pt>
                <c:pt idx="18">
                  <c:v>0.34356505166014645</c:v>
                </c:pt>
                <c:pt idx="19">
                  <c:v>0.41681313714658763</c:v>
                </c:pt>
                <c:pt idx="20">
                  <c:v>0.4083950884405258</c:v>
                </c:pt>
                <c:pt idx="21">
                  <c:v>0.29847917752404418</c:v>
                </c:pt>
                <c:pt idx="22">
                  <c:v>0.30042148686216485</c:v>
                </c:pt>
                <c:pt idx="23">
                  <c:v>0.4043918308331827</c:v>
                </c:pt>
                <c:pt idx="24">
                  <c:v>0.38181818181818183</c:v>
                </c:pt>
                <c:pt idx="25">
                  <c:v>0.36322125363221253</c:v>
                </c:pt>
                <c:pt idx="26">
                  <c:v>0.31256927510529814</c:v>
                </c:pt>
                <c:pt idx="27">
                  <c:v>0.30419399378667589</c:v>
                </c:pt>
                <c:pt idx="28">
                  <c:v>0.32177415621093569</c:v>
                </c:pt>
                <c:pt idx="29">
                  <c:v>#N/A</c:v>
                </c:pt>
                <c:pt idx="30">
                  <c:v>#N/A</c:v>
                </c:pt>
              </c:numCache>
            </c:numRef>
          </c:val>
          <c:smooth val="0"/>
          <c:extLst>
            <c:ext xmlns:c16="http://schemas.microsoft.com/office/drawing/2014/chart" uri="{C3380CC4-5D6E-409C-BE32-E72D297353CC}">
              <c16:uniqueId val="{00000001-CA1A-4672-BD7A-030BA5DA67B6}"/>
            </c:ext>
          </c:extLst>
        </c:ser>
        <c:ser>
          <c:idx val="2"/>
          <c:order val="1"/>
          <c:tx>
            <c:strRef>
              <c:f>'Control Reactivos'!$AF$9</c:f>
              <c:strCache>
                <c:ptCount val="1"/>
                <c:pt idx="0">
                  <c:v>Espumante</c:v>
                </c:pt>
              </c:strCache>
            </c:strRef>
          </c:tx>
          <c:spPr>
            <a:ln w="28575" cap="rnd">
              <a:solidFill>
                <a:srgbClr val="C55A11"/>
              </a:solidFill>
              <a:prstDash val="solid"/>
              <a:round/>
            </a:ln>
            <a:effectLst/>
          </c:spPr>
          <c:marker>
            <c:symbol val="none"/>
          </c:marker>
          <c:cat>
            <c:numRef>
              <c:f>'Control Reactivos'!$AD$10:$AD$40</c:f>
              <c:numCache>
                <c:formatCode>dd/mm</c:formatCode>
                <c:ptCount val="3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#N/A</c:v>
                </c:pt>
              </c:numCache>
            </c:numRef>
          </c:cat>
          <c:val>
            <c:numRef>
              <c:f>'Control Reactivos'!$AF$10:$AF$40</c:f>
              <c:numCache>
                <c:formatCode>0.0000</c:formatCode>
                <c:ptCount val="31"/>
                <c:pt idx="0">
                  <c:v>0.12374195677280976</c:v>
                </c:pt>
                <c:pt idx="1">
                  <c:v>0.14106077704336611</c:v>
                </c:pt>
                <c:pt idx="2">
                  <c:v>0.13773472292364905</c:v>
                </c:pt>
                <c:pt idx="3">
                  <c:v>0.11504302609175832</c:v>
                </c:pt>
                <c:pt idx="4">
                  <c:v>0.11128917378917379</c:v>
                </c:pt>
                <c:pt idx="5">
                  <c:v>0.11567112386063944</c:v>
                </c:pt>
                <c:pt idx="6">
                  <c:v>9.6501809408926414E-2</c:v>
                </c:pt>
                <c:pt idx="7">
                  <c:v>0.10538740409746226</c:v>
                </c:pt>
                <c:pt idx="8">
                  <c:v>9.9804383408519298E-2</c:v>
                </c:pt>
                <c:pt idx="9">
                  <c:v>0.10688785326435504</c:v>
                </c:pt>
                <c:pt idx="10">
                  <c:v>7.9671752380193597E-2</c:v>
                </c:pt>
                <c:pt idx="11">
                  <c:v>0.14022623165373468</c:v>
                </c:pt>
                <c:pt idx="12">
                  <c:v>0.14739945251631922</c:v>
                </c:pt>
                <c:pt idx="13">
                  <c:v>0.15169902912621358</c:v>
                </c:pt>
                <c:pt idx="14">
                  <c:v>0.17987460170623909</c:v>
                </c:pt>
                <c:pt idx="15">
                  <c:v>0.16998542982030113</c:v>
                </c:pt>
                <c:pt idx="16">
                  <c:v>0.16153349127719147</c:v>
                </c:pt>
                <c:pt idx="17">
                  <c:v>0.18084116978402398</c:v>
                </c:pt>
                <c:pt idx="18">
                  <c:v>0.15046644598254588</c:v>
                </c:pt>
                <c:pt idx="19">
                  <c:v>0.15065535077587505</c:v>
                </c:pt>
                <c:pt idx="20">
                  <c:v>0.13523016173527344</c:v>
                </c:pt>
                <c:pt idx="21">
                  <c:v>9.4755294452077504E-2</c:v>
                </c:pt>
                <c:pt idx="22">
                  <c:v>8.9678055779750701E-2</c:v>
                </c:pt>
                <c:pt idx="23">
                  <c:v>9.0366889571660947E-2</c:v>
                </c:pt>
                <c:pt idx="24">
                  <c:v>9.0909090909090912E-2</c:v>
                </c:pt>
                <c:pt idx="25">
                  <c:v>0.12972187629721876</c:v>
                </c:pt>
                <c:pt idx="26">
                  <c:v>0.11084016847705609</c:v>
                </c:pt>
                <c:pt idx="27">
                  <c:v>0.12944425267518123</c:v>
                </c:pt>
                <c:pt idx="28">
                  <c:v>0.13889531922774204</c:v>
                </c:pt>
                <c:pt idx="29">
                  <c:v>#N/A</c:v>
                </c:pt>
                <c:pt idx="30">
                  <c:v>#N/A</c:v>
                </c:pt>
              </c:numCache>
            </c:numRef>
          </c:val>
          <c:smooth val="0"/>
          <c:extLst>
            <c:ext xmlns:c16="http://schemas.microsoft.com/office/drawing/2014/chart" uri="{C3380CC4-5D6E-409C-BE32-E72D297353CC}">
              <c16:uniqueId val="{00000002-CA1A-4672-BD7A-030BA5DA67B6}"/>
            </c:ext>
          </c:extLst>
        </c:ser>
        <c:dLbls>
          <c:showLegendKey val="0"/>
          <c:showVal val="0"/>
          <c:showCatName val="0"/>
          <c:showSerName val="0"/>
          <c:showPercent val="0"/>
          <c:showBubbleSize val="0"/>
        </c:dLbls>
        <c:smooth val="0"/>
        <c:axId val="860609520"/>
        <c:axId val="860608688"/>
      </c:lineChart>
      <c:dateAx>
        <c:axId val="860609520"/>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860608688"/>
        <c:crosses val="autoZero"/>
        <c:auto val="1"/>
        <c:lblOffset val="100"/>
        <c:baseTimeUnit val="days"/>
      </c:dateAx>
      <c:valAx>
        <c:axId val="860608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860609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Horas perdidas por tipo de falla — mes en control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bar"/>
        <c:grouping val="clustered"/>
        <c:varyColors val="0"/>
        <c:ser>
          <c:idx val="1"/>
          <c:order val="0"/>
          <c:tx>
            <c:strRef>
              <c:f>Operatividad!$M$7</c:f>
              <c:strCache>
                <c:ptCount val="1"/>
                <c:pt idx="0">
                  <c:v>Horas</c:v>
                </c:pt>
              </c:strCache>
            </c:strRef>
          </c:tx>
          <c:spPr>
            <a:solidFill>
              <a:srgbClr val="1F386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Operatividad!$K$8:$K$12</c:f>
              <c:strCache>
                <c:ptCount val="5"/>
                <c:pt idx="0">
                  <c:v>Mecánica</c:v>
                </c:pt>
                <c:pt idx="1">
                  <c:v>Eléctrica</c:v>
                </c:pt>
                <c:pt idx="2">
                  <c:v>Instrumentación</c:v>
                </c:pt>
                <c:pt idx="3">
                  <c:v>Operaciones</c:v>
                </c:pt>
                <c:pt idx="4">
                  <c:v>Otros</c:v>
                </c:pt>
              </c:strCache>
            </c:strRef>
          </c:cat>
          <c:val>
            <c:numRef>
              <c:f>Operatividad!$M$8:$M$12</c:f>
              <c:numCache>
                <c:formatCode>#,##0.0</c:formatCode>
                <c:ptCount val="5"/>
                <c:pt idx="0">
                  <c:v>101.59</c:v>
                </c:pt>
                <c:pt idx="1">
                  <c:v>9.56</c:v>
                </c:pt>
                <c:pt idx="2">
                  <c:v>0.77999999999999992</c:v>
                </c:pt>
                <c:pt idx="3">
                  <c:v>0.65</c:v>
                </c:pt>
                <c:pt idx="4">
                  <c:v>0</c:v>
                </c:pt>
              </c:numCache>
            </c:numRef>
          </c:val>
          <c:extLst>
            <c:ext xmlns:c16="http://schemas.microsoft.com/office/drawing/2014/chart" uri="{C3380CC4-5D6E-409C-BE32-E72D297353CC}">
              <c16:uniqueId val="{00000001-EE59-4A0C-8442-097D88EBC6A7}"/>
            </c:ext>
          </c:extLst>
        </c:ser>
        <c:dLbls>
          <c:showLegendKey val="0"/>
          <c:showVal val="0"/>
          <c:showCatName val="0"/>
          <c:showSerName val="0"/>
          <c:showPercent val="0"/>
          <c:showBubbleSize val="0"/>
        </c:dLbls>
        <c:gapWidth val="182"/>
        <c:axId val="271767008"/>
        <c:axId val="271767424"/>
      </c:barChart>
      <c:catAx>
        <c:axId val="271767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71767424"/>
        <c:crosses val="autoZero"/>
        <c:auto val="1"/>
        <c:lblAlgn val="ctr"/>
        <c:lblOffset val="100"/>
        <c:noMultiLvlLbl val="0"/>
      </c:catAx>
      <c:valAx>
        <c:axId val="271767424"/>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71767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Disponibilidad por equipo (falla)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7"/>
          <c:order val="0"/>
          <c:tx>
            <c:strRef>
              <c:f>Operatividad!$K$25</c:f>
              <c:strCache>
                <c:ptCount val="1"/>
                <c:pt idx="0">
                  <c:v>Disponibilidad (falla)</c:v>
                </c:pt>
              </c:strCache>
            </c:strRef>
          </c:tx>
          <c:spPr>
            <a:solidFill>
              <a:srgbClr val="548235"/>
            </a:solidFill>
            <a:ln>
              <a:noFill/>
            </a:ln>
            <a:effectLst/>
          </c:spPr>
          <c:invertIfNegative val="0"/>
          <c:cat>
            <c:strRef>
              <c:f>Operatividad!$B$26:$B$43</c:f>
              <c:strCache>
                <c:ptCount val="18"/>
                <c:pt idx="0">
                  <c:v>032-081</c:v>
                </c:pt>
                <c:pt idx="1">
                  <c:v>032-082</c:v>
                </c:pt>
                <c:pt idx="2">
                  <c:v>032-089</c:v>
                </c:pt>
                <c:pt idx="3">
                  <c:v>032-209</c:v>
                </c:pt>
                <c:pt idx="4">
                  <c:v>032-084</c:v>
                </c:pt>
                <c:pt idx="5">
                  <c:v>032-085</c:v>
                </c:pt>
                <c:pt idx="6">
                  <c:v>032-087</c:v>
                </c:pt>
                <c:pt idx="7">
                  <c:v>032-083</c:v>
                </c:pt>
                <c:pt idx="8">
                  <c:v>032-204</c:v>
                </c:pt>
                <c:pt idx="9">
                  <c:v>RM01/09</c:v>
                </c:pt>
                <c:pt idx="10">
                  <c:v>BM01/10</c:v>
                </c:pt>
                <c:pt idx="11">
                  <c:v>032-086</c:v>
                </c:pt>
                <c:pt idx="12">
                  <c:v>032-201</c:v>
                </c:pt>
                <c:pt idx="13">
                  <c:v>032-207</c:v>
                </c:pt>
                <c:pt idx="14">
                  <c:v>032-210</c:v>
                </c:pt>
                <c:pt idx="15">
                  <c:v>032-088</c:v>
                </c:pt>
                <c:pt idx="16">
                  <c:v>032-208</c:v>
                </c:pt>
                <c:pt idx="17">
                  <c:v>032-205</c:v>
                </c:pt>
              </c:strCache>
            </c:strRef>
          </c:cat>
          <c:val>
            <c:numRef>
              <c:f>Operatividad!$K$26:$K$43</c:f>
              <c:numCache>
                <c:formatCode>0.0%</c:formatCode>
                <c:ptCount val="18"/>
                <c:pt idx="0">
                  <c:v>0.99472222222222217</c:v>
                </c:pt>
                <c:pt idx="1">
                  <c:v>0.99851388888888892</c:v>
                </c:pt>
                <c:pt idx="2">
                  <c:v>0.97334722222222225</c:v>
                </c:pt>
                <c:pt idx="3">
                  <c:v>0.98743055555555559</c:v>
                </c:pt>
                <c:pt idx="4">
                  <c:v>0.99250000000000005</c:v>
                </c:pt>
                <c:pt idx="5">
                  <c:v>0.99294444444444441</c:v>
                </c:pt>
                <c:pt idx="6">
                  <c:v>0.98766666666666669</c:v>
                </c:pt>
                <c:pt idx="7">
                  <c:v>0.97518055555555561</c:v>
                </c:pt>
                <c:pt idx="8">
                  <c:v>0.99220833333333336</c:v>
                </c:pt>
                <c:pt idx="9">
                  <c:v>0.99815277777777778</c:v>
                </c:pt>
                <c:pt idx="10">
                  <c:v>0.99815277777777778</c:v>
                </c:pt>
                <c:pt idx="11">
                  <c:v>1</c:v>
                </c:pt>
                <c:pt idx="12">
                  <c:v>0.99605555555555558</c:v>
                </c:pt>
                <c:pt idx="13">
                  <c:v>0.98787499999999995</c:v>
                </c:pt>
                <c:pt idx="14">
                  <c:v>0.99570833333333331</c:v>
                </c:pt>
                <c:pt idx="15">
                  <c:v>0.99</c:v>
                </c:pt>
                <c:pt idx="16">
                  <c:v>0.99</c:v>
                </c:pt>
                <c:pt idx="17">
                  <c:v>0.99444444444444446</c:v>
                </c:pt>
              </c:numCache>
            </c:numRef>
          </c:val>
          <c:extLst>
            <c:ext xmlns:c16="http://schemas.microsoft.com/office/drawing/2014/chart" uri="{C3380CC4-5D6E-409C-BE32-E72D297353CC}">
              <c16:uniqueId val="{00000007-05D5-47B5-9B6C-48DFF0C3F211}"/>
            </c:ext>
          </c:extLst>
        </c:ser>
        <c:dLbls>
          <c:showLegendKey val="0"/>
          <c:showVal val="0"/>
          <c:showCatName val="0"/>
          <c:showSerName val="0"/>
          <c:showPercent val="0"/>
          <c:showBubbleSize val="0"/>
        </c:dLbls>
        <c:gapWidth val="219"/>
        <c:overlap val="-27"/>
        <c:axId val="271769920"/>
        <c:axId val="271768672"/>
      </c:barChart>
      <c:catAx>
        <c:axId val="271769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71768672"/>
        <c:crosses val="autoZero"/>
        <c:auto val="1"/>
        <c:lblAlgn val="ctr"/>
        <c:lblOffset val="100"/>
        <c:noMultiLvlLbl val="0"/>
      </c:catAx>
      <c:valAx>
        <c:axId val="271768672"/>
        <c:scaling>
          <c:orientation val="minMax"/>
          <c:max val="1"/>
          <c:min val="0.9"/>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71769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Mineral procesado  - Concentrado producido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v>Mineral Procesado</c:v>
          </c:tx>
          <c:spPr>
            <a:solidFill>
              <a:schemeClr val="accent1"/>
            </a:solidFill>
            <a:ln>
              <a:noFill/>
            </a:ln>
            <a:effectLst/>
          </c:spPr>
          <c:invertIfNegative val="0"/>
          <c:cat>
            <c:numRef>
              <c:f>'Reporte Auto'!$B$3:$B$26</c:f>
              <c:numCache>
                <c:formatCode>h:mm</c:formatCode>
                <c:ptCount val="24"/>
                <c:pt idx="0">
                  <c:v>0.375</c:v>
                </c:pt>
                <c:pt idx="1">
                  <c:v>0.41666666666666702</c:v>
                </c:pt>
                <c:pt idx="2">
                  <c:v>0.45833333333333298</c:v>
                </c:pt>
                <c:pt idx="3">
                  <c:v>0.5</c:v>
                </c:pt>
                <c:pt idx="4">
                  <c:v>0.54166666666666696</c:v>
                </c:pt>
                <c:pt idx="5">
                  <c:v>0.58333333333333304</c:v>
                </c:pt>
                <c:pt idx="6">
                  <c:v>0.625</c:v>
                </c:pt>
                <c:pt idx="7">
                  <c:v>0.66666666666666696</c:v>
                </c:pt>
                <c:pt idx="8">
                  <c:v>0.70833333333333304</c:v>
                </c:pt>
                <c:pt idx="9">
                  <c:v>0.75</c:v>
                </c:pt>
                <c:pt idx="10">
                  <c:v>0.79166666666666696</c:v>
                </c:pt>
                <c:pt idx="11">
                  <c:v>0.83333333333333304</c:v>
                </c:pt>
                <c:pt idx="12">
                  <c:v>0.875</c:v>
                </c:pt>
                <c:pt idx="13">
                  <c:v>0.91666666666666696</c:v>
                </c:pt>
                <c:pt idx="14">
                  <c:v>0.95833333333333304</c:v>
                </c:pt>
                <c:pt idx="15">
                  <c:v>1</c:v>
                </c:pt>
                <c:pt idx="16">
                  <c:v>1.0416666666666701</c:v>
                </c:pt>
                <c:pt idx="17">
                  <c:v>1.0833333333333299</c:v>
                </c:pt>
                <c:pt idx="18">
                  <c:v>1.125</c:v>
                </c:pt>
                <c:pt idx="19">
                  <c:v>1.1666666666666701</c:v>
                </c:pt>
                <c:pt idx="20">
                  <c:v>1.2083333333333299</c:v>
                </c:pt>
                <c:pt idx="21">
                  <c:v>1.25</c:v>
                </c:pt>
                <c:pt idx="22">
                  <c:v>1.2916666666666701</c:v>
                </c:pt>
                <c:pt idx="23">
                  <c:v>1.3333333333333299</c:v>
                </c:pt>
              </c:numCache>
            </c:numRef>
          </c:cat>
          <c:val>
            <c:numRef>
              <c:f>'Reporte Auto'!$C$3:$C$26</c:f>
              <c:numCache>
                <c:formatCode>#,##0.000</c:formatCode>
                <c:ptCount val="24"/>
                <c:pt idx="0">
                  <c:v>1564</c:v>
                </c:pt>
                <c:pt idx="1">
                  <c:v>1505</c:v>
                </c:pt>
                <c:pt idx="2">
                  <c:v>1364</c:v>
                </c:pt>
                <c:pt idx="3">
                  <c:v>1317</c:v>
                </c:pt>
                <c:pt idx="4">
                  <c:v>1292</c:v>
                </c:pt>
                <c:pt idx="5">
                  <c:v>1226</c:v>
                </c:pt>
                <c:pt idx="6">
                  <c:v>1327</c:v>
                </c:pt>
                <c:pt idx="7">
                  <c:v>1380</c:v>
                </c:pt>
                <c:pt idx="8">
                  <c:v>1353</c:v>
                </c:pt>
                <c:pt idx="9">
                  <c:v>1397</c:v>
                </c:pt>
                <c:pt idx="10">
                  <c:v>1412</c:v>
                </c:pt>
                <c:pt idx="11">
                  <c:v>1399</c:v>
                </c:pt>
                <c:pt idx="12">
                  <c:v>1390</c:v>
                </c:pt>
                <c:pt idx="13">
                  <c:v>1227</c:v>
                </c:pt>
                <c:pt idx="14">
                  <c:v>1389</c:v>
                </c:pt>
                <c:pt idx="15">
                  <c:v>1312</c:v>
                </c:pt>
                <c:pt idx="16">
                  <c:v>1376</c:v>
                </c:pt>
                <c:pt idx="17">
                  <c:v>1391</c:v>
                </c:pt>
                <c:pt idx="18">
                  <c:v>1409</c:v>
                </c:pt>
                <c:pt idx="19">
                  <c:v>1452</c:v>
                </c:pt>
                <c:pt idx="20">
                  <c:v>1465</c:v>
                </c:pt>
                <c:pt idx="21">
                  <c:v>1455</c:v>
                </c:pt>
                <c:pt idx="22">
                  <c:v>1481</c:v>
                </c:pt>
                <c:pt idx="23">
                  <c:v>1464</c:v>
                </c:pt>
              </c:numCache>
            </c:numRef>
          </c:val>
          <c:extLst>
            <c:ext xmlns:c16="http://schemas.microsoft.com/office/drawing/2014/chart" uri="{C3380CC4-5D6E-409C-BE32-E72D297353CC}">
              <c16:uniqueId val="{00000000-8727-4F22-AA6A-2B99044D8B02}"/>
            </c:ext>
          </c:extLst>
        </c:ser>
        <c:ser>
          <c:idx val="1"/>
          <c:order val="1"/>
          <c:tx>
            <c:v>Concentrado Producido</c:v>
          </c:tx>
          <c:spPr>
            <a:solidFill>
              <a:schemeClr val="accent2"/>
            </a:solidFill>
            <a:ln>
              <a:noFill/>
            </a:ln>
            <a:effectLst/>
          </c:spPr>
          <c:invertIfNegative val="0"/>
          <c:cat>
            <c:numRef>
              <c:f>'Reporte Auto'!$B$3:$B$26</c:f>
              <c:numCache>
                <c:formatCode>h:mm</c:formatCode>
                <c:ptCount val="24"/>
                <c:pt idx="0">
                  <c:v>0.375</c:v>
                </c:pt>
                <c:pt idx="1">
                  <c:v>0.41666666666666702</c:v>
                </c:pt>
                <c:pt idx="2">
                  <c:v>0.45833333333333298</c:v>
                </c:pt>
                <c:pt idx="3">
                  <c:v>0.5</c:v>
                </c:pt>
                <c:pt idx="4">
                  <c:v>0.54166666666666696</c:v>
                </c:pt>
                <c:pt idx="5">
                  <c:v>0.58333333333333304</c:v>
                </c:pt>
                <c:pt idx="6">
                  <c:v>0.625</c:v>
                </c:pt>
                <c:pt idx="7">
                  <c:v>0.66666666666666696</c:v>
                </c:pt>
                <c:pt idx="8">
                  <c:v>0.70833333333333304</c:v>
                </c:pt>
                <c:pt idx="9">
                  <c:v>0.75</c:v>
                </c:pt>
                <c:pt idx="10">
                  <c:v>0.79166666666666696</c:v>
                </c:pt>
                <c:pt idx="11">
                  <c:v>0.83333333333333304</c:v>
                </c:pt>
                <c:pt idx="12">
                  <c:v>0.875</c:v>
                </c:pt>
                <c:pt idx="13">
                  <c:v>0.91666666666666696</c:v>
                </c:pt>
                <c:pt idx="14">
                  <c:v>0.95833333333333304</c:v>
                </c:pt>
                <c:pt idx="15">
                  <c:v>1</c:v>
                </c:pt>
                <c:pt idx="16">
                  <c:v>1.0416666666666701</c:v>
                </c:pt>
                <c:pt idx="17">
                  <c:v>1.0833333333333299</c:v>
                </c:pt>
                <c:pt idx="18">
                  <c:v>1.125</c:v>
                </c:pt>
                <c:pt idx="19">
                  <c:v>1.1666666666666701</c:v>
                </c:pt>
                <c:pt idx="20">
                  <c:v>1.2083333333333299</c:v>
                </c:pt>
                <c:pt idx="21">
                  <c:v>1.25</c:v>
                </c:pt>
                <c:pt idx="22">
                  <c:v>1.2916666666666701</c:v>
                </c:pt>
                <c:pt idx="23">
                  <c:v>1.3333333333333299</c:v>
                </c:pt>
              </c:numCache>
            </c:numRef>
          </c:cat>
          <c:val>
            <c:numRef>
              <c:f>'Reporte Auto'!$D$3:$D$26</c:f>
              <c:numCache>
                <c:formatCode>#,##0.000</c:formatCode>
                <c:ptCount val="24"/>
                <c:pt idx="0">
                  <c:v>991</c:v>
                </c:pt>
                <c:pt idx="1">
                  <c:v>975</c:v>
                </c:pt>
                <c:pt idx="2">
                  <c:v>763</c:v>
                </c:pt>
                <c:pt idx="3">
                  <c:v>458</c:v>
                </c:pt>
                <c:pt idx="4">
                  <c:v>787</c:v>
                </c:pt>
                <c:pt idx="5">
                  <c:v>840</c:v>
                </c:pt>
                <c:pt idx="6">
                  <c:v>1078</c:v>
                </c:pt>
                <c:pt idx="7">
                  <c:v>988</c:v>
                </c:pt>
                <c:pt idx="8">
                  <c:v>1151</c:v>
                </c:pt>
                <c:pt idx="9">
                  <c:v>1194</c:v>
                </c:pt>
                <c:pt idx="10">
                  <c:v>1001</c:v>
                </c:pt>
                <c:pt idx="11">
                  <c:v>464</c:v>
                </c:pt>
                <c:pt idx="12">
                  <c:v>1065</c:v>
                </c:pt>
                <c:pt idx="13">
                  <c:v>1069</c:v>
                </c:pt>
                <c:pt idx="14">
                  <c:v>980</c:v>
                </c:pt>
                <c:pt idx="15">
                  <c:v>756</c:v>
                </c:pt>
                <c:pt idx="16">
                  <c:v>891</c:v>
                </c:pt>
                <c:pt idx="17">
                  <c:v>792</c:v>
                </c:pt>
                <c:pt idx="18">
                  <c:v>868</c:v>
                </c:pt>
                <c:pt idx="19">
                  <c:v>807</c:v>
                </c:pt>
                <c:pt idx="20">
                  <c:v>910</c:v>
                </c:pt>
                <c:pt idx="21">
                  <c:v>963</c:v>
                </c:pt>
                <c:pt idx="22">
                  <c:v>847</c:v>
                </c:pt>
                <c:pt idx="23">
                  <c:v>961</c:v>
                </c:pt>
              </c:numCache>
            </c:numRef>
          </c:val>
          <c:extLst>
            <c:ext xmlns:c16="http://schemas.microsoft.com/office/drawing/2014/chart" uri="{C3380CC4-5D6E-409C-BE32-E72D297353CC}">
              <c16:uniqueId val="{00000001-8727-4F22-AA6A-2B99044D8B02}"/>
            </c:ext>
          </c:extLst>
        </c:ser>
        <c:dLbls>
          <c:showLegendKey val="0"/>
          <c:showVal val="0"/>
          <c:showCatName val="0"/>
          <c:showSerName val="0"/>
          <c:showPercent val="0"/>
          <c:showBubbleSize val="0"/>
        </c:dLbls>
        <c:gapWidth val="219"/>
        <c:overlap val="-27"/>
        <c:axId val="277289479"/>
        <c:axId val="277312007"/>
      </c:barChart>
      <c:catAx>
        <c:axId val="277289479"/>
        <c:scaling>
          <c:orientation val="minMax"/>
        </c:scaling>
        <c:delete val="0"/>
        <c:axPos val="b"/>
        <c:numFmt formatCode="h:m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77312007"/>
        <c:crosses val="autoZero"/>
        <c:auto val="1"/>
        <c:lblAlgn val="ctr"/>
        <c:lblOffset val="100"/>
        <c:noMultiLvlLbl val="0"/>
      </c:catAx>
      <c:valAx>
        <c:axId val="277312007"/>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772894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 en el Concentrado</a:t>
            </a:r>
          </a:p>
        </c:rich>
      </c:tx>
      <c:layout>
        <c:manualLayout>
          <c:xMode val="edge"/>
          <c:yMode val="edge"/>
          <c:x val="0.48417825587280372"/>
          <c:y val="2.59661651463899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8.9817147856517954E-2"/>
          <c:y val="0.15141316073354907"/>
          <c:w val="0.87129396325459318"/>
          <c:h val="0.59944618573163788"/>
        </c:manualLayout>
      </c:layout>
      <c:barChart>
        <c:barDir val="col"/>
        <c:grouping val="clustered"/>
        <c:varyColors val="0"/>
        <c:ser>
          <c:idx val="0"/>
          <c:order val="0"/>
          <c:tx>
            <c:strRef>
              <c:f>'Reporte Auto'!$E$2</c:f>
              <c:strCache>
                <c:ptCount val="1"/>
                <c:pt idx="0">
                  <c:v>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'Reporte Auto'!$B$3:$B$26</c:f>
              <c:numCache>
                <c:formatCode>h:mm</c:formatCode>
                <c:ptCount val="24"/>
                <c:pt idx="0">
                  <c:v>0.375</c:v>
                </c:pt>
                <c:pt idx="1">
                  <c:v>0.41666666666666702</c:v>
                </c:pt>
                <c:pt idx="2">
                  <c:v>0.45833333333333298</c:v>
                </c:pt>
                <c:pt idx="3">
                  <c:v>0.5</c:v>
                </c:pt>
                <c:pt idx="4">
                  <c:v>0.54166666666666696</c:v>
                </c:pt>
                <c:pt idx="5">
                  <c:v>0.58333333333333304</c:v>
                </c:pt>
                <c:pt idx="6">
                  <c:v>0.625</c:v>
                </c:pt>
                <c:pt idx="7">
                  <c:v>0.66666666666666696</c:v>
                </c:pt>
                <c:pt idx="8">
                  <c:v>0.70833333333333304</c:v>
                </c:pt>
                <c:pt idx="9">
                  <c:v>0.75</c:v>
                </c:pt>
                <c:pt idx="10">
                  <c:v>0.79166666666666696</c:v>
                </c:pt>
                <c:pt idx="11">
                  <c:v>0.83333333333333304</c:v>
                </c:pt>
                <c:pt idx="12">
                  <c:v>0.875</c:v>
                </c:pt>
                <c:pt idx="13">
                  <c:v>0.91666666666666696</c:v>
                </c:pt>
                <c:pt idx="14">
                  <c:v>0.95833333333333304</c:v>
                </c:pt>
                <c:pt idx="15">
                  <c:v>1</c:v>
                </c:pt>
                <c:pt idx="16">
                  <c:v>1.0416666666666701</c:v>
                </c:pt>
                <c:pt idx="17">
                  <c:v>1.0833333333333299</c:v>
                </c:pt>
                <c:pt idx="18">
                  <c:v>1.125</c:v>
                </c:pt>
                <c:pt idx="19">
                  <c:v>1.1666666666666701</c:v>
                </c:pt>
                <c:pt idx="20">
                  <c:v>1.2083333333333299</c:v>
                </c:pt>
                <c:pt idx="21">
                  <c:v>1.25</c:v>
                </c:pt>
                <c:pt idx="22">
                  <c:v>1.2916666666666701</c:v>
                </c:pt>
                <c:pt idx="23">
                  <c:v>1.3333333333333299</c:v>
                </c:pt>
              </c:numCache>
            </c:numRef>
          </c:cat>
          <c:val>
            <c:numRef>
              <c:f>'Reporte Auto'!$E$3:$E$26</c:f>
              <c:numCache>
                <c:formatCode>#,##0.000</c:formatCode>
                <c:ptCount val="24"/>
                <c:pt idx="0">
                  <c:v>0.22800000000000001</c:v>
                </c:pt>
                <c:pt idx="1">
                  <c:v>0</c:v>
                </c:pt>
                <c:pt idx="2">
                  <c:v>0.20100000000000001</c:v>
                </c:pt>
                <c:pt idx="3">
                  <c:v>0</c:v>
                </c:pt>
                <c:pt idx="4">
                  <c:v>0.222</c:v>
                </c:pt>
                <c:pt idx="5">
                  <c:v>0</c:v>
                </c:pt>
                <c:pt idx="6">
                  <c:v>0.17499999999999999</c:v>
                </c:pt>
                <c:pt idx="7">
                  <c:v>0</c:v>
                </c:pt>
                <c:pt idx="8">
                  <c:v>0.19</c:v>
                </c:pt>
                <c:pt idx="9">
                  <c:v>0</c:v>
                </c:pt>
                <c:pt idx="10">
                  <c:v>0.17899999999999999</c:v>
                </c:pt>
                <c:pt idx="11">
                  <c:v>0</c:v>
                </c:pt>
                <c:pt idx="12">
                  <c:v>0.16700000000000001</c:v>
                </c:pt>
                <c:pt idx="13">
                  <c:v>0</c:v>
                </c:pt>
                <c:pt idx="14">
                  <c:v>0.17699999999999999</c:v>
                </c:pt>
                <c:pt idx="15">
                  <c:v>0</c:v>
                </c:pt>
                <c:pt idx="16">
                  <c:v>0.16</c:v>
                </c:pt>
                <c:pt idx="17">
                  <c:v>0</c:v>
                </c:pt>
                <c:pt idx="18">
                  <c:v>0.189</c:v>
                </c:pt>
                <c:pt idx="19">
                  <c:v>0</c:v>
                </c:pt>
                <c:pt idx="20">
                  <c:v>0.19</c:v>
                </c:pt>
                <c:pt idx="21">
                  <c:v>0</c:v>
                </c:pt>
                <c:pt idx="22">
                  <c:v>0.21099999999999999</c:v>
                </c:pt>
                <c:pt idx="23">
                  <c:v>0</c:v>
                </c:pt>
              </c:numCache>
            </c:numRef>
          </c:val>
          <c:extLst>
            <c:ext xmlns:c16="http://schemas.microsoft.com/office/drawing/2014/chart" uri="{C3380CC4-5D6E-409C-BE32-E72D297353CC}">
              <c16:uniqueId val="{00000000-4E6E-4807-A6F3-4D4CAE048D72}"/>
            </c:ext>
          </c:extLst>
        </c:ser>
        <c:dLbls>
          <c:showLegendKey val="0"/>
          <c:showVal val="1"/>
          <c:showCatName val="0"/>
          <c:showSerName val="0"/>
          <c:showPercent val="0"/>
          <c:showBubbleSize val="0"/>
        </c:dLbls>
        <c:gapWidth val="150"/>
        <c:axId val="244775943"/>
        <c:axId val="379018759"/>
      </c:barChart>
      <c:lineChart>
        <c:grouping val="standard"/>
        <c:varyColors val="0"/>
        <c:ser>
          <c:idx val="1"/>
          <c:order val="1"/>
          <c:tx>
            <c:strRef>
              <c:f>'Reporte Auto'!$AA$2</c:f>
              <c:strCache>
                <c:ptCount val="1"/>
                <c:pt idx="0">
                  <c:v>KPI S</c:v>
                </c:pt>
              </c:strCache>
            </c:strRef>
          </c:tx>
          <c:spPr>
            <a:ln w="28575" cap="rnd">
              <a:solidFill>
                <a:schemeClr val="accent2"/>
              </a:solidFill>
              <a:round/>
            </a:ln>
            <a:effectLst/>
          </c:spPr>
          <c:marker>
            <c:symbol val="none"/>
          </c:marker>
          <c:cat>
            <c:numRef>
              <c:f>'Reporte Auto'!$B$3:$B$26</c:f>
              <c:numCache>
                <c:formatCode>h:mm</c:formatCode>
                <c:ptCount val="24"/>
                <c:pt idx="0">
                  <c:v>0.375</c:v>
                </c:pt>
                <c:pt idx="1">
                  <c:v>0.41666666666666702</c:v>
                </c:pt>
                <c:pt idx="2">
                  <c:v>0.45833333333333298</c:v>
                </c:pt>
                <c:pt idx="3">
                  <c:v>0.5</c:v>
                </c:pt>
                <c:pt idx="4">
                  <c:v>0.54166666666666696</c:v>
                </c:pt>
                <c:pt idx="5">
                  <c:v>0.58333333333333304</c:v>
                </c:pt>
                <c:pt idx="6">
                  <c:v>0.625</c:v>
                </c:pt>
                <c:pt idx="7">
                  <c:v>0.66666666666666696</c:v>
                </c:pt>
                <c:pt idx="8">
                  <c:v>0.70833333333333304</c:v>
                </c:pt>
                <c:pt idx="9">
                  <c:v>0.75</c:v>
                </c:pt>
                <c:pt idx="10">
                  <c:v>0.79166666666666696</c:v>
                </c:pt>
                <c:pt idx="11">
                  <c:v>0.83333333333333304</c:v>
                </c:pt>
                <c:pt idx="12">
                  <c:v>0.875</c:v>
                </c:pt>
                <c:pt idx="13">
                  <c:v>0.91666666666666696</c:v>
                </c:pt>
                <c:pt idx="14">
                  <c:v>0.95833333333333304</c:v>
                </c:pt>
                <c:pt idx="15">
                  <c:v>1</c:v>
                </c:pt>
                <c:pt idx="16">
                  <c:v>1.0416666666666701</c:v>
                </c:pt>
                <c:pt idx="17">
                  <c:v>1.0833333333333299</c:v>
                </c:pt>
                <c:pt idx="18">
                  <c:v>1.125</c:v>
                </c:pt>
                <c:pt idx="19">
                  <c:v>1.1666666666666701</c:v>
                </c:pt>
                <c:pt idx="20">
                  <c:v>1.2083333333333299</c:v>
                </c:pt>
                <c:pt idx="21">
                  <c:v>1.25</c:v>
                </c:pt>
                <c:pt idx="22">
                  <c:v>1.2916666666666701</c:v>
                </c:pt>
                <c:pt idx="23">
                  <c:v>1.3333333333333299</c:v>
                </c:pt>
              </c:numCache>
            </c:numRef>
          </c:cat>
          <c:val>
            <c:numRef>
              <c:f>'Reporte Auto'!$AA$3:$AA$26</c:f>
              <c:numCache>
                <c:formatCode>#,##0.000</c:formatCode>
                <c:ptCount val="24"/>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numCache>
            </c:numRef>
          </c:val>
          <c:smooth val="0"/>
          <c:extLst>
            <c:ext xmlns:c16="http://schemas.microsoft.com/office/drawing/2014/chart" uri="{C3380CC4-5D6E-409C-BE32-E72D297353CC}">
              <c16:uniqueId val="{00000001-4E6E-4807-A6F3-4D4CAE048D72}"/>
            </c:ext>
          </c:extLst>
        </c:ser>
        <c:dLbls>
          <c:showLegendKey val="0"/>
          <c:showVal val="0"/>
          <c:showCatName val="0"/>
          <c:showSerName val="0"/>
          <c:showPercent val="0"/>
          <c:showBubbleSize val="0"/>
        </c:dLbls>
        <c:marker val="1"/>
        <c:smooth val="0"/>
        <c:axId val="244775943"/>
        <c:axId val="379018759"/>
      </c:lineChart>
      <c:catAx>
        <c:axId val="244775943"/>
        <c:scaling>
          <c:orientation val="minMax"/>
        </c:scaling>
        <c:delete val="0"/>
        <c:axPos val="b"/>
        <c:numFmt formatCode="h:m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79018759"/>
        <c:crosses val="autoZero"/>
        <c:auto val="1"/>
        <c:lblAlgn val="ctr"/>
        <c:lblOffset val="100"/>
        <c:noMultiLvlLbl val="0"/>
      </c:catAx>
      <c:valAx>
        <c:axId val="379018759"/>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47759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Fe en colas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strRef>
              <c:f>'Reporte Auto'!$N$2</c:f>
              <c:strCache>
                <c:ptCount val="1"/>
                <c:pt idx="0">
                  <c:v>Promedio de Fe Sol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'Reporte Auto'!$B$3:$B$26</c:f>
              <c:numCache>
                <c:formatCode>h:mm</c:formatCode>
                <c:ptCount val="24"/>
                <c:pt idx="0">
                  <c:v>0.375</c:v>
                </c:pt>
                <c:pt idx="1">
                  <c:v>0.41666666666666702</c:v>
                </c:pt>
                <c:pt idx="2">
                  <c:v>0.45833333333333298</c:v>
                </c:pt>
                <c:pt idx="3">
                  <c:v>0.5</c:v>
                </c:pt>
                <c:pt idx="4">
                  <c:v>0.54166666666666696</c:v>
                </c:pt>
                <c:pt idx="5">
                  <c:v>0.58333333333333304</c:v>
                </c:pt>
                <c:pt idx="6">
                  <c:v>0.625</c:v>
                </c:pt>
                <c:pt idx="7">
                  <c:v>0.66666666666666696</c:v>
                </c:pt>
                <c:pt idx="8">
                  <c:v>0.70833333333333304</c:v>
                </c:pt>
                <c:pt idx="9">
                  <c:v>0.75</c:v>
                </c:pt>
                <c:pt idx="10">
                  <c:v>0.79166666666666696</c:v>
                </c:pt>
                <c:pt idx="11">
                  <c:v>0.83333333333333304</c:v>
                </c:pt>
                <c:pt idx="12">
                  <c:v>0.875</c:v>
                </c:pt>
                <c:pt idx="13">
                  <c:v>0.91666666666666696</c:v>
                </c:pt>
                <c:pt idx="14">
                  <c:v>0.95833333333333304</c:v>
                </c:pt>
                <c:pt idx="15">
                  <c:v>1</c:v>
                </c:pt>
                <c:pt idx="16">
                  <c:v>1.0416666666666701</c:v>
                </c:pt>
                <c:pt idx="17">
                  <c:v>1.0833333333333299</c:v>
                </c:pt>
                <c:pt idx="18">
                  <c:v>1.125</c:v>
                </c:pt>
                <c:pt idx="19">
                  <c:v>1.1666666666666701</c:v>
                </c:pt>
                <c:pt idx="20">
                  <c:v>1.2083333333333299</c:v>
                </c:pt>
                <c:pt idx="21">
                  <c:v>1.25</c:v>
                </c:pt>
                <c:pt idx="22">
                  <c:v>1.2916666666666701</c:v>
                </c:pt>
                <c:pt idx="23">
                  <c:v>1.3333333333333299</c:v>
                </c:pt>
              </c:numCache>
            </c:numRef>
          </c:cat>
          <c:val>
            <c:numRef>
              <c:f>'Reporte Auto'!$N$3:$N$26</c:f>
              <c:numCache>
                <c:formatCode>#,##0.000</c:formatCode>
                <c:ptCount val="24"/>
                <c:pt idx="0">
                  <c:v>17.48</c:v>
                </c:pt>
                <c:pt idx="1">
                  <c:v>0</c:v>
                </c:pt>
                <c:pt idx="2">
                  <c:v>16.560000000000002</c:v>
                </c:pt>
                <c:pt idx="3">
                  <c:v>0</c:v>
                </c:pt>
                <c:pt idx="4">
                  <c:v>18.380000000000003</c:v>
                </c:pt>
                <c:pt idx="5">
                  <c:v>0</c:v>
                </c:pt>
                <c:pt idx="6">
                  <c:v>19.54</c:v>
                </c:pt>
                <c:pt idx="7">
                  <c:v>0</c:v>
                </c:pt>
                <c:pt idx="8">
                  <c:v>17.899999999999999</c:v>
                </c:pt>
                <c:pt idx="9">
                  <c:v>0</c:v>
                </c:pt>
                <c:pt idx="10">
                  <c:v>18.579999999999998</c:v>
                </c:pt>
                <c:pt idx="11">
                  <c:v>0</c:v>
                </c:pt>
                <c:pt idx="12">
                  <c:v>18.5</c:v>
                </c:pt>
                <c:pt idx="13">
                  <c:v>0</c:v>
                </c:pt>
                <c:pt idx="14">
                  <c:v>18.080000000000002</c:v>
                </c:pt>
                <c:pt idx="15">
                  <c:v>0</c:v>
                </c:pt>
                <c:pt idx="16">
                  <c:v>17.98</c:v>
                </c:pt>
                <c:pt idx="17">
                  <c:v>0</c:v>
                </c:pt>
                <c:pt idx="18">
                  <c:v>17.100000000000001</c:v>
                </c:pt>
                <c:pt idx="19">
                  <c:v>0</c:v>
                </c:pt>
                <c:pt idx="20">
                  <c:v>18.28</c:v>
                </c:pt>
                <c:pt idx="21">
                  <c:v>0</c:v>
                </c:pt>
                <c:pt idx="22">
                  <c:v>0</c:v>
                </c:pt>
                <c:pt idx="23">
                  <c:v>0</c:v>
                </c:pt>
              </c:numCache>
            </c:numRef>
          </c:val>
          <c:extLst>
            <c:ext xmlns:c16="http://schemas.microsoft.com/office/drawing/2014/chart" uri="{C3380CC4-5D6E-409C-BE32-E72D297353CC}">
              <c16:uniqueId val="{00000000-3212-4499-8741-13A7A2B5BE3A}"/>
            </c:ext>
          </c:extLst>
        </c:ser>
        <c:dLbls>
          <c:dLblPos val="outEnd"/>
          <c:showLegendKey val="0"/>
          <c:showVal val="1"/>
          <c:showCatName val="0"/>
          <c:showSerName val="0"/>
          <c:showPercent val="0"/>
          <c:showBubbleSize val="0"/>
        </c:dLbls>
        <c:gapWidth val="150"/>
        <c:axId val="1241309703"/>
        <c:axId val="1241311751"/>
      </c:barChart>
      <c:lineChart>
        <c:grouping val="standard"/>
        <c:varyColors val="0"/>
        <c:ser>
          <c:idx val="1"/>
          <c:order val="1"/>
          <c:tx>
            <c:strRef>
              <c:f>'Reporte Auto'!$AB$2</c:f>
              <c:strCache>
                <c:ptCount val="1"/>
                <c:pt idx="0">
                  <c:v>KPI Fe</c:v>
                </c:pt>
              </c:strCache>
            </c:strRef>
          </c:tx>
          <c:spPr>
            <a:ln w="19050" cap="rnd">
              <a:solidFill>
                <a:schemeClr val="accent2"/>
              </a:solidFill>
              <a:round/>
            </a:ln>
            <a:effectLst/>
          </c:spPr>
          <c:marker>
            <c:symbol val="none"/>
          </c:marker>
          <c:cat>
            <c:numRef>
              <c:f>'Reporte Auto'!$B$3:$B$26</c:f>
              <c:numCache>
                <c:formatCode>h:mm</c:formatCode>
                <c:ptCount val="24"/>
                <c:pt idx="0">
                  <c:v>0.375</c:v>
                </c:pt>
                <c:pt idx="1">
                  <c:v>0.41666666666666702</c:v>
                </c:pt>
                <c:pt idx="2">
                  <c:v>0.45833333333333298</c:v>
                </c:pt>
                <c:pt idx="3">
                  <c:v>0.5</c:v>
                </c:pt>
                <c:pt idx="4">
                  <c:v>0.54166666666666696</c:v>
                </c:pt>
                <c:pt idx="5">
                  <c:v>0.58333333333333304</c:v>
                </c:pt>
                <c:pt idx="6">
                  <c:v>0.625</c:v>
                </c:pt>
                <c:pt idx="7">
                  <c:v>0.66666666666666696</c:v>
                </c:pt>
                <c:pt idx="8">
                  <c:v>0.70833333333333304</c:v>
                </c:pt>
                <c:pt idx="9">
                  <c:v>0.75</c:v>
                </c:pt>
                <c:pt idx="10">
                  <c:v>0.79166666666666696</c:v>
                </c:pt>
                <c:pt idx="11">
                  <c:v>0.83333333333333304</c:v>
                </c:pt>
                <c:pt idx="12">
                  <c:v>0.875</c:v>
                </c:pt>
                <c:pt idx="13">
                  <c:v>0.91666666666666696</c:v>
                </c:pt>
                <c:pt idx="14">
                  <c:v>0.95833333333333304</c:v>
                </c:pt>
                <c:pt idx="15">
                  <c:v>1</c:v>
                </c:pt>
                <c:pt idx="16">
                  <c:v>1.0416666666666701</c:v>
                </c:pt>
                <c:pt idx="17">
                  <c:v>1.0833333333333299</c:v>
                </c:pt>
                <c:pt idx="18">
                  <c:v>1.125</c:v>
                </c:pt>
                <c:pt idx="19">
                  <c:v>1.1666666666666701</c:v>
                </c:pt>
                <c:pt idx="20">
                  <c:v>1.2083333333333299</c:v>
                </c:pt>
                <c:pt idx="21">
                  <c:v>1.25</c:v>
                </c:pt>
                <c:pt idx="22">
                  <c:v>1.2916666666666701</c:v>
                </c:pt>
                <c:pt idx="23">
                  <c:v>1.3333333333333299</c:v>
                </c:pt>
              </c:numCache>
            </c:numRef>
          </c:cat>
          <c:val>
            <c:numRef>
              <c:f>'Reporte Auto'!$AB$3:$AB$26</c:f>
              <c:numCache>
                <c:formatCode>#,##0.000</c:formatCode>
                <c:ptCount val="24"/>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numCache>
            </c:numRef>
          </c:val>
          <c:smooth val="0"/>
          <c:extLst>
            <c:ext xmlns:c16="http://schemas.microsoft.com/office/drawing/2014/chart" uri="{C3380CC4-5D6E-409C-BE32-E72D297353CC}">
              <c16:uniqueId val="{00000001-3212-4499-8741-13A7A2B5BE3A}"/>
            </c:ext>
          </c:extLst>
        </c:ser>
        <c:dLbls>
          <c:showLegendKey val="0"/>
          <c:showVal val="0"/>
          <c:showCatName val="0"/>
          <c:showSerName val="0"/>
          <c:showPercent val="0"/>
          <c:showBubbleSize val="0"/>
        </c:dLbls>
        <c:marker val="1"/>
        <c:smooth val="0"/>
        <c:axId val="1241309703"/>
        <c:axId val="1241311751"/>
      </c:lineChart>
      <c:catAx>
        <c:axId val="1241309703"/>
        <c:scaling>
          <c:orientation val="minMax"/>
        </c:scaling>
        <c:delete val="0"/>
        <c:axPos val="b"/>
        <c:majorGridlines>
          <c:spPr>
            <a:ln w="9525" cap="flat" cmpd="sng" algn="ctr">
              <a:solidFill>
                <a:schemeClr val="tx1">
                  <a:lumMod val="15000"/>
                  <a:lumOff val="85000"/>
                </a:schemeClr>
              </a:solidFill>
              <a:round/>
            </a:ln>
            <a:effectLst/>
          </c:spPr>
        </c:majorGridlines>
        <c:numFmt formatCode="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41311751"/>
        <c:crosses val="autoZero"/>
        <c:auto val="1"/>
        <c:lblAlgn val="ctr"/>
        <c:lblOffset val="100"/>
        <c:noMultiLvlLbl val="0"/>
      </c:catAx>
      <c:valAx>
        <c:axId val="1241311751"/>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413097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FeO en colas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strRef>
              <c:f>'Reporte Auto'!$O$2</c:f>
              <c:strCache>
                <c:ptCount val="1"/>
                <c:pt idx="0">
                  <c:v>Promedio de FeO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'Reporte Auto'!$O$3:$O$26</c:f>
              <c:numCache>
                <c:formatCode>#,##0.000</c:formatCode>
                <c:ptCount val="24"/>
                <c:pt idx="0">
                  <c:v>1.8199999999999998</c:v>
                </c:pt>
                <c:pt idx="1">
                  <c:v>0</c:v>
                </c:pt>
                <c:pt idx="2">
                  <c:v>1.9</c:v>
                </c:pt>
                <c:pt idx="3">
                  <c:v>0</c:v>
                </c:pt>
                <c:pt idx="4">
                  <c:v>2.16</c:v>
                </c:pt>
                <c:pt idx="5">
                  <c:v>0</c:v>
                </c:pt>
                <c:pt idx="6">
                  <c:v>1.9</c:v>
                </c:pt>
                <c:pt idx="7">
                  <c:v>0</c:v>
                </c:pt>
                <c:pt idx="8">
                  <c:v>2.08</c:v>
                </c:pt>
                <c:pt idx="9">
                  <c:v>0</c:v>
                </c:pt>
                <c:pt idx="10">
                  <c:v>2.1799999999999997</c:v>
                </c:pt>
                <c:pt idx="11">
                  <c:v>0</c:v>
                </c:pt>
                <c:pt idx="12">
                  <c:v>2.64</c:v>
                </c:pt>
                <c:pt idx="13">
                  <c:v>0</c:v>
                </c:pt>
                <c:pt idx="14">
                  <c:v>2.2800000000000002</c:v>
                </c:pt>
                <c:pt idx="15">
                  <c:v>0</c:v>
                </c:pt>
                <c:pt idx="16">
                  <c:v>2.5599999999999996</c:v>
                </c:pt>
                <c:pt idx="17">
                  <c:v>0</c:v>
                </c:pt>
                <c:pt idx="18">
                  <c:v>2.4000000000000004</c:v>
                </c:pt>
                <c:pt idx="19">
                  <c:v>0</c:v>
                </c:pt>
                <c:pt idx="20">
                  <c:v>2.2599999999999998</c:v>
                </c:pt>
                <c:pt idx="21">
                  <c:v>0</c:v>
                </c:pt>
                <c:pt idx="22">
                  <c:v>2.2599999999999998</c:v>
                </c:pt>
                <c:pt idx="23">
                  <c:v>0</c:v>
                </c:pt>
              </c:numCache>
            </c:numRef>
          </c:val>
          <c:extLst>
            <c:ext xmlns:c16="http://schemas.microsoft.com/office/drawing/2014/chart" uri="{C3380CC4-5D6E-409C-BE32-E72D297353CC}">
              <c16:uniqueId val="{00000000-A44F-41CC-A960-1CB74AAC40F9}"/>
            </c:ext>
          </c:extLst>
        </c:ser>
        <c:dLbls>
          <c:dLblPos val="outEnd"/>
          <c:showLegendKey val="0"/>
          <c:showVal val="1"/>
          <c:showCatName val="0"/>
          <c:showSerName val="0"/>
          <c:showPercent val="0"/>
          <c:showBubbleSize val="0"/>
        </c:dLbls>
        <c:gapWidth val="219"/>
        <c:axId val="1005076487"/>
        <c:axId val="1098057735"/>
      </c:barChart>
      <c:lineChart>
        <c:grouping val="standard"/>
        <c:varyColors val="0"/>
        <c:ser>
          <c:idx val="1"/>
          <c:order val="1"/>
          <c:tx>
            <c:strRef>
              <c:f>'Reporte Auto'!$AC$2</c:f>
              <c:strCache>
                <c:ptCount val="1"/>
                <c:pt idx="0">
                  <c:v>KPI FeO</c:v>
                </c:pt>
              </c:strCache>
            </c:strRef>
          </c:tx>
          <c:spPr>
            <a:ln w="28575" cap="rnd">
              <a:solidFill>
                <a:schemeClr val="accent2"/>
              </a:solidFill>
              <a:round/>
            </a:ln>
            <a:effectLst/>
          </c:spPr>
          <c:marker>
            <c:symbol val="none"/>
          </c:marker>
          <c:val>
            <c:numRef>
              <c:f>'Reporte Auto'!$AC$3:$AC$26</c:f>
              <c:numCache>
                <c:formatCode>#,##0.000</c:formatCode>
                <c:ptCount val="24"/>
                <c:pt idx="0">
                  <c:v>1.8</c:v>
                </c:pt>
                <c:pt idx="1">
                  <c:v>1.8</c:v>
                </c:pt>
                <c:pt idx="2">
                  <c:v>1.8</c:v>
                </c:pt>
                <c:pt idx="3">
                  <c:v>1.8</c:v>
                </c:pt>
                <c:pt idx="4">
                  <c:v>1.8</c:v>
                </c:pt>
                <c:pt idx="5">
                  <c:v>1.8</c:v>
                </c:pt>
                <c:pt idx="6">
                  <c:v>1.8</c:v>
                </c:pt>
                <c:pt idx="7">
                  <c:v>1.8</c:v>
                </c:pt>
                <c:pt idx="8">
                  <c:v>1.8</c:v>
                </c:pt>
                <c:pt idx="9">
                  <c:v>1.8</c:v>
                </c:pt>
                <c:pt idx="10">
                  <c:v>1.8</c:v>
                </c:pt>
                <c:pt idx="11">
                  <c:v>1.8</c:v>
                </c:pt>
                <c:pt idx="12">
                  <c:v>1.8</c:v>
                </c:pt>
                <c:pt idx="13">
                  <c:v>1.8</c:v>
                </c:pt>
                <c:pt idx="14">
                  <c:v>1.8</c:v>
                </c:pt>
                <c:pt idx="15">
                  <c:v>1.8</c:v>
                </c:pt>
                <c:pt idx="16">
                  <c:v>1.8</c:v>
                </c:pt>
                <c:pt idx="17">
                  <c:v>1.8</c:v>
                </c:pt>
                <c:pt idx="18">
                  <c:v>1.8</c:v>
                </c:pt>
                <c:pt idx="19">
                  <c:v>1.8</c:v>
                </c:pt>
                <c:pt idx="20">
                  <c:v>1.8</c:v>
                </c:pt>
                <c:pt idx="21">
                  <c:v>1.8</c:v>
                </c:pt>
                <c:pt idx="22">
                  <c:v>1.8</c:v>
                </c:pt>
                <c:pt idx="23">
                  <c:v>1.8</c:v>
                </c:pt>
              </c:numCache>
            </c:numRef>
          </c:val>
          <c:smooth val="0"/>
          <c:extLst>
            <c:ext xmlns:c16="http://schemas.microsoft.com/office/drawing/2014/chart" uri="{C3380CC4-5D6E-409C-BE32-E72D297353CC}">
              <c16:uniqueId val="{00000001-A44F-41CC-A960-1CB74AAC40F9}"/>
            </c:ext>
          </c:extLst>
        </c:ser>
        <c:dLbls>
          <c:showLegendKey val="0"/>
          <c:showVal val="0"/>
          <c:showCatName val="0"/>
          <c:showSerName val="0"/>
          <c:showPercent val="0"/>
          <c:showBubbleSize val="0"/>
        </c:dLbls>
        <c:marker val="1"/>
        <c:smooth val="0"/>
        <c:axId val="1005076487"/>
        <c:axId val="1098057735"/>
      </c:lineChart>
      <c:catAx>
        <c:axId val="1005076487"/>
        <c:scaling>
          <c:orientation val="minMax"/>
        </c:scaling>
        <c:delete val="0"/>
        <c:axPos val="b"/>
        <c:numFmt formatCode="h:m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098057735"/>
        <c:crosses val="autoZero"/>
        <c:auto val="1"/>
        <c:lblAlgn val="ctr"/>
        <c:lblOffset val="100"/>
        <c:noMultiLvlLbl val="0"/>
      </c:catAx>
      <c:valAx>
        <c:axId val="1098057735"/>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0050764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DTT-100 1/2/3</a:t>
            </a:r>
          </a:p>
        </c:rich>
      </c:tx>
      <c:layout>
        <c:manualLayout>
          <c:xMode val="edge"/>
          <c:yMode val="edge"/>
          <c:x val="0.37823322687251626"/>
          <c:y val="2.69608591117109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'Reporte Auto'!$F$2</c:f>
              <c:strCache>
                <c:ptCount val="1"/>
                <c:pt idx="0">
                  <c:v>RM 1/2/3
DTT-100 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'Reporte Auto'!$B$3:$B$26</c:f>
              <c:numCache>
                <c:formatCode>h:mm</c:formatCode>
                <c:ptCount val="24"/>
                <c:pt idx="0">
                  <c:v>0.375</c:v>
                </c:pt>
                <c:pt idx="1">
                  <c:v>0.41666666666666702</c:v>
                </c:pt>
                <c:pt idx="2">
                  <c:v>0.45833333333333298</c:v>
                </c:pt>
                <c:pt idx="3">
                  <c:v>0.5</c:v>
                </c:pt>
                <c:pt idx="4">
                  <c:v>0.54166666666666696</c:v>
                </c:pt>
                <c:pt idx="5">
                  <c:v>0.58333333333333304</c:v>
                </c:pt>
                <c:pt idx="6">
                  <c:v>0.625</c:v>
                </c:pt>
                <c:pt idx="7">
                  <c:v>0.66666666666666696</c:v>
                </c:pt>
                <c:pt idx="8">
                  <c:v>0.70833333333333304</c:v>
                </c:pt>
                <c:pt idx="9">
                  <c:v>0.75</c:v>
                </c:pt>
                <c:pt idx="10">
                  <c:v>0.79166666666666696</c:v>
                </c:pt>
                <c:pt idx="11">
                  <c:v>0.83333333333333304</c:v>
                </c:pt>
                <c:pt idx="12">
                  <c:v>0.875</c:v>
                </c:pt>
                <c:pt idx="13">
                  <c:v>0.91666666666666696</c:v>
                </c:pt>
                <c:pt idx="14">
                  <c:v>0.95833333333333304</c:v>
                </c:pt>
                <c:pt idx="15">
                  <c:v>1</c:v>
                </c:pt>
                <c:pt idx="16">
                  <c:v>1.0416666666666701</c:v>
                </c:pt>
                <c:pt idx="17">
                  <c:v>1.0833333333333299</c:v>
                </c:pt>
                <c:pt idx="18">
                  <c:v>1.125</c:v>
                </c:pt>
                <c:pt idx="19">
                  <c:v>1.1666666666666701</c:v>
                </c:pt>
                <c:pt idx="20">
                  <c:v>1.2083333333333299</c:v>
                </c:pt>
                <c:pt idx="21">
                  <c:v>1.25</c:v>
                </c:pt>
                <c:pt idx="22">
                  <c:v>1.2916666666666701</c:v>
                </c:pt>
                <c:pt idx="23">
                  <c:v>1.3333333333333299</c:v>
                </c:pt>
              </c:numCache>
            </c:numRef>
          </c:cat>
          <c:val>
            <c:numRef>
              <c:f>'Reporte Auto'!$F$3:$F$26</c:f>
              <c:numCache>
                <c:formatCode>#,##0.000</c:formatCode>
                <c:ptCount val="24"/>
                <c:pt idx="0">
                  <c:v>0.63100000000000001</c:v>
                </c:pt>
                <c:pt idx="1">
                  <c:v>0</c:v>
                </c:pt>
                <c:pt idx="2">
                  <c:v>0.63400000000000001</c:v>
                </c:pt>
                <c:pt idx="3">
                  <c:v>0</c:v>
                </c:pt>
                <c:pt idx="4">
                  <c:v>0.71299999999999997</c:v>
                </c:pt>
                <c:pt idx="5">
                  <c:v>0</c:v>
                </c:pt>
                <c:pt idx="6">
                  <c:v>0.66500000000000004</c:v>
                </c:pt>
                <c:pt idx="7">
                  <c:v>0</c:v>
                </c:pt>
                <c:pt idx="8">
                  <c:v>0.59699999999999998</c:v>
                </c:pt>
                <c:pt idx="9">
                  <c:v>0</c:v>
                </c:pt>
                <c:pt idx="10">
                  <c:v>0.62</c:v>
                </c:pt>
                <c:pt idx="11">
                  <c:v>0</c:v>
                </c:pt>
                <c:pt idx="12">
                  <c:v>0.56499999999999995</c:v>
                </c:pt>
                <c:pt idx="13">
                  <c:v>0</c:v>
                </c:pt>
                <c:pt idx="14">
                  <c:v>0.59399999999999997</c:v>
                </c:pt>
                <c:pt idx="15">
                  <c:v>0</c:v>
                </c:pt>
                <c:pt idx="16">
                  <c:v>0.59699999999999998</c:v>
                </c:pt>
                <c:pt idx="17">
                  <c:v>0</c:v>
                </c:pt>
                <c:pt idx="18">
                  <c:v>0.627</c:v>
                </c:pt>
                <c:pt idx="19">
                  <c:v>0</c:v>
                </c:pt>
                <c:pt idx="20">
                  <c:v>0.6</c:v>
                </c:pt>
                <c:pt idx="21">
                  <c:v>0</c:v>
                </c:pt>
                <c:pt idx="22">
                  <c:v>0.54300000000000004</c:v>
                </c:pt>
                <c:pt idx="23">
                  <c:v>0</c:v>
                </c:pt>
              </c:numCache>
            </c:numRef>
          </c:val>
          <c:smooth val="0"/>
          <c:extLst>
            <c:ext xmlns:c16="http://schemas.microsoft.com/office/drawing/2014/chart" uri="{C3380CC4-5D6E-409C-BE32-E72D297353CC}">
              <c16:uniqueId val="{00000000-905F-4C18-BA63-1DD326FB55C8}"/>
            </c:ext>
          </c:extLst>
        </c:ser>
        <c:ser>
          <c:idx val="1"/>
          <c:order val="1"/>
          <c:tx>
            <c:strRef>
              <c:f>'Reporte Auto'!$U$2</c:f>
              <c:strCache>
                <c:ptCount val="1"/>
                <c:pt idx="0">
                  <c:v>Mediana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'Reporte Auto'!$B$3:$B$26</c:f>
              <c:numCache>
                <c:formatCode>h:mm</c:formatCode>
                <c:ptCount val="24"/>
                <c:pt idx="0">
                  <c:v>0.375</c:v>
                </c:pt>
                <c:pt idx="1">
                  <c:v>0.41666666666666702</c:v>
                </c:pt>
                <c:pt idx="2">
                  <c:v>0.45833333333333298</c:v>
                </c:pt>
                <c:pt idx="3">
                  <c:v>0.5</c:v>
                </c:pt>
                <c:pt idx="4">
                  <c:v>0.54166666666666696</c:v>
                </c:pt>
                <c:pt idx="5">
                  <c:v>0.58333333333333304</c:v>
                </c:pt>
                <c:pt idx="6">
                  <c:v>0.625</c:v>
                </c:pt>
                <c:pt idx="7">
                  <c:v>0.66666666666666696</c:v>
                </c:pt>
                <c:pt idx="8">
                  <c:v>0.70833333333333304</c:v>
                </c:pt>
                <c:pt idx="9">
                  <c:v>0.75</c:v>
                </c:pt>
                <c:pt idx="10">
                  <c:v>0.79166666666666696</c:v>
                </c:pt>
                <c:pt idx="11">
                  <c:v>0.83333333333333304</c:v>
                </c:pt>
                <c:pt idx="12">
                  <c:v>0.875</c:v>
                </c:pt>
                <c:pt idx="13">
                  <c:v>0.91666666666666696</c:v>
                </c:pt>
                <c:pt idx="14">
                  <c:v>0.95833333333333304</c:v>
                </c:pt>
                <c:pt idx="15">
                  <c:v>1</c:v>
                </c:pt>
                <c:pt idx="16">
                  <c:v>1.0416666666666701</c:v>
                </c:pt>
                <c:pt idx="17">
                  <c:v>1.0833333333333299</c:v>
                </c:pt>
                <c:pt idx="18">
                  <c:v>1.125</c:v>
                </c:pt>
                <c:pt idx="19">
                  <c:v>1.1666666666666701</c:v>
                </c:pt>
                <c:pt idx="20">
                  <c:v>1.2083333333333299</c:v>
                </c:pt>
                <c:pt idx="21">
                  <c:v>1.25</c:v>
                </c:pt>
                <c:pt idx="22">
                  <c:v>1.2916666666666701</c:v>
                </c:pt>
                <c:pt idx="23">
                  <c:v>1.3333333333333299</c:v>
                </c:pt>
              </c:numCache>
            </c:numRef>
          </c:cat>
          <c:val>
            <c:numRef>
              <c:f>'Reporte Auto'!$U$3:$U$26</c:f>
              <c:numCache>
                <c:formatCode>#,##0.000</c:formatCode>
                <c:ptCount val="24"/>
                <c:pt idx="0">
                  <c:v>0.27150000000000002</c:v>
                </c:pt>
                <c:pt idx="1">
                  <c:v>0.27150000000000002</c:v>
                </c:pt>
                <c:pt idx="2">
                  <c:v>0.27150000000000002</c:v>
                </c:pt>
                <c:pt idx="3">
                  <c:v>0.27150000000000002</c:v>
                </c:pt>
                <c:pt idx="4">
                  <c:v>0.27150000000000002</c:v>
                </c:pt>
                <c:pt idx="5">
                  <c:v>0.27150000000000002</c:v>
                </c:pt>
                <c:pt idx="6">
                  <c:v>0.27150000000000002</c:v>
                </c:pt>
                <c:pt idx="7">
                  <c:v>0.27150000000000002</c:v>
                </c:pt>
                <c:pt idx="8">
                  <c:v>0.27150000000000002</c:v>
                </c:pt>
                <c:pt idx="9">
                  <c:v>0.27150000000000002</c:v>
                </c:pt>
                <c:pt idx="10">
                  <c:v>0.27150000000000002</c:v>
                </c:pt>
                <c:pt idx="11">
                  <c:v>0.27150000000000002</c:v>
                </c:pt>
                <c:pt idx="12">
                  <c:v>0.27150000000000002</c:v>
                </c:pt>
                <c:pt idx="13">
                  <c:v>0.27150000000000002</c:v>
                </c:pt>
                <c:pt idx="14">
                  <c:v>0.27150000000000002</c:v>
                </c:pt>
                <c:pt idx="15">
                  <c:v>0.27150000000000002</c:v>
                </c:pt>
                <c:pt idx="16">
                  <c:v>0.27150000000000002</c:v>
                </c:pt>
                <c:pt idx="17">
                  <c:v>0.27150000000000002</c:v>
                </c:pt>
                <c:pt idx="18">
                  <c:v>0.27150000000000002</c:v>
                </c:pt>
                <c:pt idx="19">
                  <c:v>0.27150000000000002</c:v>
                </c:pt>
                <c:pt idx="20">
                  <c:v>0.27150000000000002</c:v>
                </c:pt>
                <c:pt idx="21">
                  <c:v>0.27150000000000002</c:v>
                </c:pt>
                <c:pt idx="22">
                  <c:v>0.27150000000000002</c:v>
                </c:pt>
                <c:pt idx="23">
                  <c:v>0.27150000000000002</c:v>
                </c:pt>
              </c:numCache>
            </c:numRef>
          </c:val>
          <c:smooth val="0"/>
          <c:extLst>
            <c:ext xmlns:c16="http://schemas.microsoft.com/office/drawing/2014/chart" uri="{C3380CC4-5D6E-409C-BE32-E72D297353CC}">
              <c16:uniqueId val="{00000001-905F-4C18-BA63-1DD326FB55C8}"/>
            </c:ext>
          </c:extLst>
        </c:ser>
        <c:ser>
          <c:idx val="2"/>
          <c:order val="2"/>
          <c:tx>
            <c:strRef>
              <c:f>'Reporte Auto'!$V$2</c:f>
              <c:strCache>
                <c:ptCount val="1"/>
                <c:pt idx="0">
                  <c:v>Mayor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'Reporte Auto'!$B$3:$B$26</c:f>
              <c:numCache>
                <c:formatCode>h:mm</c:formatCode>
                <c:ptCount val="24"/>
                <c:pt idx="0">
                  <c:v>0.375</c:v>
                </c:pt>
                <c:pt idx="1">
                  <c:v>0.41666666666666702</c:v>
                </c:pt>
                <c:pt idx="2">
                  <c:v>0.45833333333333298</c:v>
                </c:pt>
                <c:pt idx="3">
                  <c:v>0.5</c:v>
                </c:pt>
                <c:pt idx="4">
                  <c:v>0.54166666666666696</c:v>
                </c:pt>
                <c:pt idx="5">
                  <c:v>0.58333333333333304</c:v>
                </c:pt>
                <c:pt idx="6">
                  <c:v>0.625</c:v>
                </c:pt>
                <c:pt idx="7">
                  <c:v>0.66666666666666696</c:v>
                </c:pt>
                <c:pt idx="8">
                  <c:v>0.70833333333333304</c:v>
                </c:pt>
                <c:pt idx="9">
                  <c:v>0.75</c:v>
                </c:pt>
                <c:pt idx="10">
                  <c:v>0.79166666666666696</c:v>
                </c:pt>
                <c:pt idx="11">
                  <c:v>0.83333333333333304</c:v>
                </c:pt>
                <c:pt idx="12">
                  <c:v>0.875</c:v>
                </c:pt>
                <c:pt idx="13">
                  <c:v>0.91666666666666696</c:v>
                </c:pt>
                <c:pt idx="14">
                  <c:v>0.95833333333333304</c:v>
                </c:pt>
                <c:pt idx="15">
                  <c:v>1</c:v>
                </c:pt>
                <c:pt idx="16">
                  <c:v>1.0416666666666701</c:v>
                </c:pt>
                <c:pt idx="17">
                  <c:v>1.0833333333333299</c:v>
                </c:pt>
                <c:pt idx="18">
                  <c:v>1.125</c:v>
                </c:pt>
                <c:pt idx="19">
                  <c:v>1.1666666666666701</c:v>
                </c:pt>
                <c:pt idx="20">
                  <c:v>1.2083333333333299</c:v>
                </c:pt>
                <c:pt idx="21">
                  <c:v>1.25</c:v>
                </c:pt>
                <c:pt idx="22">
                  <c:v>1.2916666666666701</c:v>
                </c:pt>
                <c:pt idx="23">
                  <c:v>1.3333333333333299</c:v>
                </c:pt>
              </c:numCache>
            </c:numRef>
          </c:cat>
          <c:val>
            <c:numRef>
              <c:f>'Reporte Auto'!$V$3:$V$26</c:f>
              <c:numCache>
                <c:formatCode>#,##0.000</c:formatCode>
                <c:ptCount val="24"/>
                <c:pt idx="0">
                  <c:v>0.29186250000000002</c:v>
                </c:pt>
                <c:pt idx="1">
                  <c:v>0.29186250000000002</c:v>
                </c:pt>
                <c:pt idx="2">
                  <c:v>0.29186250000000002</c:v>
                </c:pt>
                <c:pt idx="3">
                  <c:v>0.29186250000000002</c:v>
                </c:pt>
                <c:pt idx="4">
                  <c:v>0.29186250000000002</c:v>
                </c:pt>
                <c:pt idx="5">
                  <c:v>0.29186250000000002</c:v>
                </c:pt>
                <c:pt idx="6">
                  <c:v>0.29186250000000002</c:v>
                </c:pt>
                <c:pt idx="7">
                  <c:v>0.29186250000000002</c:v>
                </c:pt>
                <c:pt idx="8">
                  <c:v>0.29186250000000002</c:v>
                </c:pt>
                <c:pt idx="9">
                  <c:v>0.29186250000000002</c:v>
                </c:pt>
                <c:pt idx="10">
                  <c:v>0.29186250000000002</c:v>
                </c:pt>
                <c:pt idx="11">
                  <c:v>0.29186250000000002</c:v>
                </c:pt>
                <c:pt idx="12">
                  <c:v>0.29186250000000002</c:v>
                </c:pt>
                <c:pt idx="13">
                  <c:v>0.29186250000000002</c:v>
                </c:pt>
                <c:pt idx="14">
                  <c:v>0.29186250000000002</c:v>
                </c:pt>
                <c:pt idx="15">
                  <c:v>0.29186250000000002</c:v>
                </c:pt>
                <c:pt idx="16">
                  <c:v>0.29186250000000002</c:v>
                </c:pt>
                <c:pt idx="17">
                  <c:v>0.29186250000000002</c:v>
                </c:pt>
                <c:pt idx="18">
                  <c:v>0.29186250000000002</c:v>
                </c:pt>
                <c:pt idx="19">
                  <c:v>0.29186250000000002</c:v>
                </c:pt>
                <c:pt idx="20">
                  <c:v>0.29186250000000002</c:v>
                </c:pt>
                <c:pt idx="21">
                  <c:v>0.29186250000000002</c:v>
                </c:pt>
                <c:pt idx="22">
                  <c:v>0.29186250000000002</c:v>
                </c:pt>
                <c:pt idx="23">
                  <c:v>0.29186250000000002</c:v>
                </c:pt>
              </c:numCache>
            </c:numRef>
          </c:val>
          <c:smooth val="0"/>
          <c:extLst>
            <c:ext xmlns:c16="http://schemas.microsoft.com/office/drawing/2014/chart" uri="{C3380CC4-5D6E-409C-BE32-E72D297353CC}">
              <c16:uniqueId val="{00000002-905F-4C18-BA63-1DD326FB55C8}"/>
            </c:ext>
          </c:extLst>
        </c:ser>
        <c:ser>
          <c:idx val="3"/>
          <c:order val="3"/>
          <c:tx>
            <c:strRef>
              <c:f>'Reporte Auto'!$W$2</c:f>
              <c:strCache>
                <c:ptCount val="1"/>
                <c:pt idx="0">
                  <c:v>Menor</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'Reporte Auto'!$B$3:$B$26</c:f>
              <c:numCache>
                <c:formatCode>h:mm</c:formatCode>
                <c:ptCount val="24"/>
                <c:pt idx="0">
                  <c:v>0.375</c:v>
                </c:pt>
                <c:pt idx="1">
                  <c:v>0.41666666666666702</c:v>
                </c:pt>
                <c:pt idx="2">
                  <c:v>0.45833333333333298</c:v>
                </c:pt>
                <c:pt idx="3">
                  <c:v>0.5</c:v>
                </c:pt>
                <c:pt idx="4">
                  <c:v>0.54166666666666696</c:v>
                </c:pt>
                <c:pt idx="5">
                  <c:v>0.58333333333333304</c:v>
                </c:pt>
                <c:pt idx="6">
                  <c:v>0.625</c:v>
                </c:pt>
                <c:pt idx="7">
                  <c:v>0.66666666666666696</c:v>
                </c:pt>
                <c:pt idx="8">
                  <c:v>0.70833333333333304</c:v>
                </c:pt>
                <c:pt idx="9">
                  <c:v>0.75</c:v>
                </c:pt>
                <c:pt idx="10">
                  <c:v>0.79166666666666696</c:v>
                </c:pt>
                <c:pt idx="11">
                  <c:v>0.83333333333333304</c:v>
                </c:pt>
                <c:pt idx="12">
                  <c:v>0.875</c:v>
                </c:pt>
                <c:pt idx="13">
                  <c:v>0.91666666666666696</c:v>
                </c:pt>
                <c:pt idx="14">
                  <c:v>0.95833333333333304</c:v>
                </c:pt>
                <c:pt idx="15">
                  <c:v>1</c:v>
                </c:pt>
                <c:pt idx="16">
                  <c:v>1.0416666666666701</c:v>
                </c:pt>
                <c:pt idx="17">
                  <c:v>1.0833333333333299</c:v>
                </c:pt>
                <c:pt idx="18">
                  <c:v>1.125</c:v>
                </c:pt>
                <c:pt idx="19">
                  <c:v>1.1666666666666701</c:v>
                </c:pt>
                <c:pt idx="20">
                  <c:v>1.2083333333333299</c:v>
                </c:pt>
                <c:pt idx="21">
                  <c:v>1.25</c:v>
                </c:pt>
                <c:pt idx="22">
                  <c:v>1.2916666666666701</c:v>
                </c:pt>
                <c:pt idx="23">
                  <c:v>1.3333333333333299</c:v>
                </c:pt>
              </c:numCache>
            </c:numRef>
          </c:cat>
          <c:val>
            <c:numRef>
              <c:f>'Reporte Auto'!$W$3:$W$26</c:f>
              <c:numCache>
                <c:formatCode>#,##0.000</c:formatCode>
                <c:ptCount val="24"/>
                <c:pt idx="0">
                  <c:v>0.25113750000000001</c:v>
                </c:pt>
                <c:pt idx="1">
                  <c:v>0.25113750000000001</c:v>
                </c:pt>
                <c:pt idx="2">
                  <c:v>0.25113750000000001</c:v>
                </c:pt>
                <c:pt idx="3">
                  <c:v>0.25113750000000001</c:v>
                </c:pt>
                <c:pt idx="4">
                  <c:v>0.25113750000000001</c:v>
                </c:pt>
                <c:pt idx="5">
                  <c:v>0.25113750000000001</c:v>
                </c:pt>
                <c:pt idx="6">
                  <c:v>0.25113750000000001</c:v>
                </c:pt>
                <c:pt idx="7">
                  <c:v>0.25113750000000001</c:v>
                </c:pt>
                <c:pt idx="8">
                  <c:v>0.25113750000000001</c:v>
                </c:pt>
                <c:pt idx="9">
                  <c:v>0.25113750000000001</c:v>
                </c:pt>
                <c:pt idx="10">
                  <c:v>0.25113750000000001</c:v>
                </c:pt>
                <c:pt idx="11">
                  <c:v>0.25113750000000001</c:v>
                </c:pt>
                <c:pt idx="12">
                  <c:v>0.25113750000000001</c:v>
                </c:pt>
                <c:pt idx="13">
                  <c:v>0.25113750000000001</c:v>
                </c:pt>
                <c:pt idx="14">
                  <c:v>0.25113750000000001</c:v>
                </c:pt>
                <c:pt idx="15">
                  <c:v>0.25113750000000001</c:v>
                </c:pt>
                <c:pt idx="16">
                  <c:v>0.25113750000000001</c:v>
                </c:pt>
                <c:pt idx="17">
                  <c:v>0.25113750000000001</c:v>
                </c:pt>
                <c:pt idx="18">
                  <c:v>0.25113750000000001</c:v>
                </c:pt>
                <c:pt idx="19">
                  <c:v>0.25113750000000001</c:v>
                </c:pt>
                <c:pt idx="20">
                  <c:v>0.25113750000000001</c:v>
                </c:pt>
                <c:pt idx="21">
                  <c:v>0.25113750000000001</c:v>
                </c:pt>
                <c:pt idx="22">
                  <c:v>0.25113750000000001</c:v>
                </c:pt>
                <c:pt idx="23">
                  <c:v>0.25113750000000001</c:v>
                </c:pt>
              </c:numCache>
            </c:numRef>
          </c:val>
          <c:smooth val="0"/>
          <c:extLst>
            <c:ext xmlns:c16="http://schemas.microsoft.com/office/drawing/2014/chart" uri="{C3380CC4-5D6E-409C-BE32-E72D297353CC}">
              <c16:uniqueId val="{00000003-905F-4C18-BA63-1DD326FB55C8}"/>
            </c:ext>
          </c:extLst>
        </c:ser>
        <c:dLbls>
          <c:showLegendKey val="0"/>
          <c:showVal val="0"/>
          <c:showCatName val="0"/>
          <c:showSerName val="0"/>
          <c:showPercent val="0"/>
          <c:showBubbleSize val="0"/>
        </c:dLbls>
        <c:marker val="1"/>
        <c:smooth val="0"/>
        <c:axId val="1005088775"/>
        <c:axId val="1098117127"/>
      </c:lineChart>
      <c:catAx>
        <c:axId val="1005088775"/>
        <c:scaling>
          <c:orientation val="minMax"/>
        </c:scaling>
        <c:delete val="0"/>
        <c:axPos val="b"/>
        <c:numFmt formatCode="h:m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098117127"/>
        <c:crosses val="autoZero"/>
        <c:auto val="1"/>
        <c:lblAlgn val="ctr"/>
        <c:lblOffset val="100"/>
        <c:noMultiLvlLbl val="0"/>
      </c:catAx>
      <c:valAx>
        <c:axId val="1098117127"/>
        <c:scaling>
          <c:orientation val="minMax"/>
          <c:min val="0.4"/>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0050887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DTT-100 5/6/7/8/9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'Reporte Auto'!$H$2</c:f>
              <c:strCache>
                <c:ptCount val="1"/>
                <c:pt idx="0">
                  <c:v>RM 5/6/7/8/9
DTT-100 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'Reporte Auto'!$B$3:$B$26</c:f>
              <c:numCache>
                <c:formatCode>h:mm</c:formatCode>
                <c:ptCount val="24"/>
                <c:pt idx="0">
                  <c:v>0.375</c:v>
                </c:pt>
                <c:pt idx="1">
                  <c:v>0.41666666666666702</c:v>
                </c:pt>
                <c:pt idx="2">
                  <c:v>0.45833333333333298</c:v>
                </c:pt>
                <c:pt idx="3">
                  <c:v>0.5</c:v>
                </c:pt>
                <c:pt idx="4">
                  <c:v>0.54166666666666696</c:v>
                </c:pt>
                <c:pt idx="5">
                  <c:v>0.58333333333333304</c:v>
                </c:pt>
                <c:pt idx="6">
                  <c:v>0.625</c:v>
                </c:pt>
                <c:pt idx="7">
                  <c:v>0.66666666666666696</c:v>
                </c:pt>
                <c:pt idx="8">
                  <c:v>0.70833333333333304</c:v>
                </c:pt>
                <c:pt idx="9">
                  <c:v>0.75</c:v>
                </c:pt>
                <c:pt idx="10">
                  <c:v>0.79166666666666696</c:v>
                </c:pt>
                <c:pt idx="11">
                  <c:v>0.83333333333333304</c:v>
                </c:pt>
                <c:pt idx="12">
                  <c:v>0.875</c:v>
                </c:pt>
                <c:pt idx="13">
                  <c:v>0.91666666666666696</c:v>
                </c:pt>
                <c:pt idx="14">
                  <c:v>0.95833333333333304</c:v>
                </c:pt>
                <c:pt idx="15">
                  <c:v>1</c:v>
                </c:pt>
                <c:pt idx="16">
                  <c:v>1.0416666666666701</c:v>
                </c:pt>
                <c:pt idx="17">
                  <c:v>1.0833333333333299</c:v>
                </c:pt>
                <c:pt idx="18">
                  <c:v>1.125</c:v>
                </c:pt>
                <c:pt idx="19">
                  <c:v>1.1666666666666701</c:v>
                </c:pt>
                <c:pt idx="20">
                  <c:v>1.2083333333333299</c:v>
                </c:pt>
                <c:pt idx="21">
                  <c:v>1.25</c:v>
                </c:pt>
                <c:pt idx="22">
                  <c:v>1.2916666666666701</c:v>
                </c:pt>
                <c:pt idx="23">
                  <c:v>1.3333333333333299</c:v>
                </c:pt>
              </c:numCache>
            </c:numRef>
          </c:cat>
          <c:val>
            <c:numRef>
              <c:f>'Reporte Auto'!$H$3:$H$26</c:f>
              <c:numCache>
                <c:formatCode>#,##0.000</c:formatCode>
                <c:ptCount val="24"/>
                <c:pt idx="0">
                  <c:v>0.63100000000000001</c:v>
                </c:pt>
                <c:pt idx="1">
                  <c:v>0</c:v>
                </c:pt>
                <c:pt idx="2">
                  <c:v>0.63400000000000001</c:v>
                </c:pt>
                <c:pt idx="3">
                  <c:v>0</c:v>
                </c:pt>
                <c:pt idx="4">
                  <c:v>0.71299999999999997</c:v>
                </c:pt>
                <c:pt idx="5">
                  <c:v>0</c:v>
                </c:pt>
                <c:pt idx="6">
                  <c:v>0.66500000000000004</c:v>
                </c:pt>
                <c:pt idx="7">
                  <c:v>0</c:v>
                </c:pt>
                <c:pt idx="8">
                  <c:v>0.59699999999999998</c:v>
                </c:pt>
                <c:pt idx="9">
                  <c:v>0</c:v>
                </c:pt>
                <c:pt idx="10">
                  <c:v>0.62</c:v>
                </c:pt>
                <c:pt idx="11">
                  <c:v>0</c:v>
                </c:pt>
                <c:pt idx="12">
                  <c:v>0.56499999999999995</c:v>
                </c:pt>
                <c:pt idx="13">
                  <c:v>0</c:v>
                </c:pt>
                <c:pt idx="14">
                  <c:v>0.59399999999999997</c:v>
                </c:pt>
                <c:pt idx="15">
                  <c:v>0</c:v>
                </c:pt>
                <c:pt idx="16">
                  <c:v>0.59699999999999998</c:v>
                </c:pt>
                <c:pt idx="17">
                  <c:v>0</c:v>
                </c:pt>
                <c:pt idx="18">
                  <c:v>0.627</c:v>
                </c:pt>
                <c:pt idx="19">
                  <c:v>0</c:v>
                </c:pt>
                <c:pt idx="20">
                  <c:v>0.6</c:v>
                </c:pt>
                <c:pt idx="21">
                  <c:v>0</c:v>
                </c:pt>
                <c:pt idx="22">
                  <c:v>0.54300000000000004</c:v>
                </c:pt>
                <c:pt idx="23">
                  <c:v>0</c:v>
                </c:pt>
              </c:numCache>
            </c:numRef>
          </c:val>
          <c:smooth val="0"/>
          <c:extLst>
            <c:ext xmlns:c16="http://schemas.microsoft.com/office/drawing/2014/chart" uri="{C3380CC4-5D6E-409C-BE32-E72D297353CC}">
              <c16:uniqueId val="{00000000-C690-4E05-ADE2-5C82EFDC9D0C}"/>
            </c:ext>
          </c:extLst>
        </c:ser>
        <c:ser>
          <c:idx val="1"/>
          <c:order val="1"/>
          <c:tx>
            <c:strRef>
              <c:f>'Reporte Auto'!$X$2</c:f>
              <c:strCache>
                <c:ptCount val="1"/>
                <c:pt idx="0">
                  <c:v>Mediana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'Reporte Auto'!$B$3:$B$26</c:f>
              <c:numCache>
                <c:formatCode>h:mm</c:formatCode>
                <c:ptCount val="24"/>
                <c:pt idx="0">
                  <c:v>0.375</c:v>
                </c:pt>
                <c:pt idx="1">
                  <c:v>0.41666666666666702</c:v>
                </c:pt>
                <c:pt idx="2">
                  <c:v>0.45833333333333298</c:v>
                </c:pt>
                <c:pt idx="3">
                  <c:v>0.5</c:v>
                </c:pt>
                <c:pt idx="4">
                  <c:v>0.54166666666666696</c:v>
                </c:pt>
                <c:pt idx="5">
                  <c:v>0.58333333333333304</c:v>
                </c:pt>
                <c:pt idx="6">
                  <c:v>0.625</c:v>
                </c:pt>
                <c:pt idx="7">
                  <c:v>0.66666666666666696</c:v>
                </c:pt>
                <c:pt idx="8">
                  <c:v>0.70833333333333304</c:v>
                </c:pt>
                <c:pt idx="9">
                  <c:v>0.75</c:v>
                </c:pt>
                <c:pt idx="10">
                  <c:v>0.79166666666666696</c:v>
                </c:pt>
                <c:pt idx="11">
                  <c:v>0.83333333333333304</c:v>
                </c:pt>
                <c:pt idx="12">
                  <c:v>0.875</c:v>
                </c:pt>
                <c:pt idx="13">
                  <c:v>0.91666666666666696</c:v>
                </c:pt>
                <c:pt idx="14">
                  <c:v>0.95833333333333304</c:v>
                </c:pt>
                <c:pt idx="15">
                  <c:v>1</c:v>
                </c:pt>
                <c:pt idx="16">
                  <c:v>1.0416666666666701</c:v>
                </c:pt>
                <c:pt idx="17">
                  <c:v>1.0833333333333299</c:v>
                </c:pt>
                <c:pt idx="18">
                  <c:v>1.125</c:v>
                </c:pt>
                <c:pt idx="19">
                  <c:v>1.1666666666666701</c:v>
                </c:pt>
                <c:pt idx="20">
                  <c:v>1.2083333333333299</c:v>
                </c:pt>
                <c:pt idx="21">
                  <c:v>1.25</c:v>
                </c:pt>
                <c:pt idx="22">
                  <c:v>1.2916666666666701</c:v>
                </c:pt>
                <c:pt idx="23">
                  <c:v>1.3333333333333299</c:v>
                </c:pt>
              </c:numCache>
            </c:numRef>
          </c:cat>
          <c:val>
            <c:numRef>
              <c:f>'Reporte Auto'!$X$3:$X$26</c:f>
              <c:numCache>
                <c:formatCode>#,##0.000</c:formatCode>
                <c:ptCount val="24"/>
                <c:pt idx="0">
                  <c:v>0.27150000000000002</c:v>
                </c:pt>
                <c:pt idx="1">
                  <c:v>0.27150000000000002</c:v>
                </c:pt>
                <c:pt idx="2">
                  <c:v>0.27150000000000002</c:v>
                </c:pt>
                <c:pt idx="3">
                  <c:v>0.27150000000000002</c:v>
                </c:pt>
                <c:pt idx="4">
                  <c:v>0.27150000000000002</c:v>
                </c:pt>
                <c:pt idx="5">
                  <c:v>0.27150000000000002</c:v>
                </c:pt>
                <c:pt idx="6">
                  <c:v>0.27150000000000002</c:v>
                </c:pt>
                <c:pt idx="7">
                  <c:v>0.27150000000000002</c:v>
                </c:pt>
                <c:pt idx="8">
                  <c:v>0.27150000000000002</c:v>
                </c:pt>
                <c:pt idx="9">
                  <c:v>0.27150000000000002</c:v>
                </c:pt>
                <c:pt idx="10">
                  <c:v>0.27150000000000002</c:v>
                </c:pt>
                <c:pt idx="11">
                  <c:v>0.27150000000000002</c:v>
                </c:pt>
                <c:pt idx="12">
                  <c:v>0.27150000000000002</c:v>
                </c:pt>
                <c:pt idx="13">
                  <c:v>0.27150000000000002</c:v>
                </c:pt>
                <c:pt idx="14">
                  <c:v>0.27150000000000002</c:v>
                </c:pt>
                <c:pt idx="15">
                  <c:v>0.27150000000000002</c:v>
                </c:pt>
                <c:pt idx="16">
                  <c:v>0.27150000000000002</c:v>
                </c:pt>
                <c:pt idx="17">
                  <c:v>0.27150000000000002</c:v>
                </c:pt>
                <c:pt idx="18">
                  <c:v>0.27150000000000002</c:v>
                </c:pt>
                <c:pt idx="19">
                  <c:v>0.27150000000000002</c:v>
                </c:pt>
                <c:pt idx="20">
                  <c:v>0.27150000000000002</c:v>
                </c:pt>
                <c:pt idx="21">
                  <c:v>0.27150000000000002</c:v>
                </c:pt>
                <c:pt idx="22">
                  <c:v>0.27150000000000002</c:v>
                </c:pt>
                <c:pt idx="23">
                  <c:v>0.27150000000000002</c:v>
                </c:pt>
              </c:numCache>
            </c:numRef>
          </c:val>
          <c:smooth val="0"/>
          <c:extLst>
            <c:ext xmlns:c16="http://schemas.microsoft.com/office/drawing/2014/chart" uri="{C3380CC4-5D6E-409C-BE32-E72D297353CC}">
              <c16:uniqueId val="{00000001-C690-4E05-ADE2-5C82EFDC9D0C}"/>
            </c:ext>
          </c:extLst>
        </c:ser>
        <c:ser>
          <c:idx val="2"/>
          <c:order val="2"/>
          <c:tx>
            <c:strRef>
              <c:f>'Reporte Auto'!$Y$2</c:f>
              <c:strCache>
                <c:ptCount val="1"/>
                <c:pt idx="0">
                  <c:v>Mayor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'Reporte Auto'!$B$3:$B$26</c:f>
              <c:numCache>
                <c:formatCode>h:mm</c:formatCode>
                <c:ptCount val="24"/>
                <c:pt idx="0">
                  <c:v>0.375</c:v>
                </c:pt>
                <c:pt idx="1">
                  <c:v>0.41666666666666702</c:v>
                </c:pt>
                <c:pt idx="2">
                  <c:v>0.45833333333333298</c:v>
                </c:pt>
                <c:pt idx="3">
                  <c:v>0.5</c:v>
                </c:pt>
                <c:pt idx="4">
                  <c:v>0.54166666666666696</c:v>
                </c:pt>
                <c:pt idx="5">
                  <c:v>0.58333333333333304</c:v>
                </c:pt>
                <c:pt idx="6">
                  <c:v>0.625</c:v>
                </c:pt>
                <c:pt idx="7">
                  <c:v>0.66666666666666696</c:v>
                </c:pt>
                <c:pt idx="8">
                  <c:v>0.70833333333333304</c:v>
                </c:pt>
                <c:pt idx="9">
                  <c:v>0.75</c:v>
                </c:pt>
                <c:pt idx="10">
                  <c:v>0.79166666666666696</c:v>
                </c:pt>
                <c:pt idx="11">
                  <c:v>0.83333333333333304</c:v>
                </c:pt>
                <c:pt idx="12">
                  <c:v>0.875</c:v>
                </c:pt>
                <c:pt idx="13">
                  <c:v>0.91666666666666696</c:v>
                </c:pt>
                <c:pt idx="14">
                  <c:v>0.95833333333333304</c:v>
                </c:pt>
                <c:pt idx="15">
                  <c:v>1</c:v>
                </c:pt>
                <c:pt idx="16">
                  <c:v>1.0416666666666701</c:v>
                </c:pt>
                <c:pt idx="17">
                  <c:v>1.0833333333333299</c:v>
                </c:pt>
                <c:pt idx="18">
                  <c:v>1.125</c:v>
                </c:pt>
                <c:pt idx="19">
                  <c:v>1.1666666666666701</c:v>
                </c:pt>
                <c:pt idx="20">
                  <c:v>1.2083333333333299</c:v>
                </c:pt>
                <c:pt idx="21">
                  <c:v>1.25</c:v>
                </c:pt>
                <c:pt idx="22">
                  <c:v>1.2916666666666701</c:v>
                </c:pt>
                <c:pt idx="23">
                  <c:v>1.3333333333333299</c:v>
                </c:pt>
              </c:numCache>
            </c:numRef>
          </c:cat>
          <c:val>
            <c:numRef>
              <c:f>'Reporte Auto'!$Y$3:$Y$26</c:f>
              <c:numCache>
                <c:formatCode>#,##0.000</c:formatCode>
                <c:ptCount val="24"/>
                <c:pt idx="0">
                  <c:v>0.29186250000000002</c:v>
                </c:pt>
                <c:pt idx="1">
                  <c:v>0.29186250000000002</c:v>
                </c:pt>
                <c:pt idx="2">
                  <c:v>0.29186250000000002</c:v>
                </c:pt>
                <c:pt idx="3">
                  <c:v>0.29186250000000002</c:v>
                </c:pt>
                <c:pt idx="4">
                  <c:v>0.29186250000000002</c:v>
                </c:pt>
                <c:pt idx="5">
                  <c:v>0.29186250000000002</c:v>
                </c:pt>
                <c:pt idx="6">
                  <c:v>0.29186250000000002</c:v>
                </c:pt>
                <c:pt idx="7">
                  <c:v>0.29186250000000002</c:v>
                </c:pt>
                <c:pt idx="8">
                  <c:v>0.29186250000000002</c:v>
                </c:pt>
                <c:pt idx="9">
                  <c:v>0.29186250000000002</c:v>
                </c:pt>
                <c:pt idx="10">
                  <c:v>0.29186250000000002</c:v>
                </c:pt>
                <c:pt idx="11">
                  <c:v>0.29186250000000002</c:v>
                </c:pt>
                <c:pt idx="12">
                  <c:v>0.29186250000000002</c:v>
                </c:pt>
                <c:pt idx="13">
                  <c:v>0.29186250000000002</c:v>
                </c:pt>
                <c:pt idx="14">
                  <c:v>0.29186250000000002</c:v>
                </c:pt>
                <c:pt idx="15">
                  <c:v>0.29186250000000002</c:v>
                </c:pt>
                <c:pt idx="16">
                  <c:v>0.29186250000000002</c:v>
                </c:pt>
                <c:pt idx="17">
                  <c:v>0.29186250000000002</c:v>
                </c:pt>
                <c:pt idx="18">
                  <c:v>0.29186250000000002</c:v>
                </c:pt>
                <c:pt idx="19">
                  <c:v>0.29186250000000002</c:v>
                </c:pt>
                <c:pt idx="20">
                  <c:v>0.29186250000000002</c:v>
                </c:pt>
                <c:pt idx="21">
                  <c:v>0.29186250000000002</c:v>
                </c:pt>
                <c:pt idx="22">
                  <c:v>0.29186250000000002</c:v>
                </c:pt>
                <c:pt idx="23">
                  <c:v>0.29186250000000002</c:v>
                </c:pt>
              </c:numCache>
            </c:numRef>
          </c:val>
          <c:smooth val="0"/>
          <c:extLst>
            <c:ext xmlns:c16="http://schemas.microsoft.com/office/drawing/2014/chart" uri="{C3380CC4-5D6E-409C-BE32-E72D297353CC}">
              <c16:uniqueId val="{00000002-C690-4E05-ADE2-5C82EFDC9D0C}"/>
            </c:ext>
          </c:extLst>
        </c:ser>
        <c:ser>
          <c:idx val="3"/>
          <c:order val="3"/>
          <c:tx>
            <c:strRef>
              <c:f>'Reporte Auto'!$Z$2</c:f>
              <c:strCache>
                <c:ptCount val="1"/>
                <c:pt idx="0">
                  <c:v>Menor</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'Reporte Auto'!$B$3:$B$26</c:f>
              <c:numCache>
                <c:formatCode>h:mm</c:formatCode>
                <c:ptCount val="24"/>
                <c:pt idx="0">
                  <c:v>0.375</c:v>
                </c:pt>
                <c:pt idx="1">
                  <c:v>0.41666666666666702</c:v>
                </c:pt>
                <c:pt idx="2">
                  <c:v>0.45833333333333298</c:v>
                </c:pt>
                <c:pt idx="3">
                  <c:v>0.5</c:v>
                </c:pt>
                <c:pt idx="4">
                  <c:v>0.54166666666666696</c:v>
                </c:pt>
                <c:pt idx="5">
                  <c:v>0.58333333333333304</c:v>
                </c:pt>
                <c:pt idx="6">
                  <c:v>0.625</c:v>
                </c:pt>
                <c:pt idx="7">
                  <c:v>0.66666666666666696</c:v>
                </c:pt>
                <c:pt idx="8">
                  <c:v>0.70833333333333304</c:v>
                </c:pt>
                <c:pt idx="9">
                  <c:v>0.75</c:v>
                </c:pt>
                <c:pt idx="10">
                  <c:v>0.79166666666666696</c:v>
                </c:pt>
                <c:pt idx="11">
                  <c:v>0.83333333333333304</c:v>
                </c:pt>
                <c:pt idx="12">
                  <c:v>0.875</c:v>
                </c:pt>
                <c:pt idx="13">
                  <c:v>0.91666666666666696</c:v>
                </c:pt>
                <c:pt idx="14">
                  <c:v>0.95833333333333304</c:v>
                </c:pt>
                <c:pt idx="15">
                  <c:v>1</c:v>
                </c:pt>
                <c:pt idx="16">
                  <c:v>1.0416666666666701</c:v>
                </c:pt>
                <c:pt idx="17">
                  <c:v>1.0833333333333299</c:v>
                </c:pt>
                <c:pt idx="18">
                  <c:v>1.125</c:v>
                </c:pt>
                <c:pt idx="19">
                  <c:v>1.1666666666666701</c:v>
                </c:pt>
                <c:pt idx="20">
                  <c:v>1.2083333333333299</c:v>
                </c:pt>
                <c:pt idx="21">
                  <c:v>1.25</c:v>
                </c:pt>
                <c:pt idx="22">
                  <c:v>1.2916666666666701</c:v>
                </c:pt>
                <c:pt idx="23">
                  <c:v>1.3333333333333299</c:v>
                </c:pt>
              </c:numCache>
            </c:numRef>
          </c:cat>
          <c:val>
            <c:numRef>
              <c:f>'Reporte Auto'!$Z$3:$Z$26</c:f>
              <c:numCache>
                <c:formatCode>#,##0.000</c:formatCode>
                <c:ptCount val="24"/>
                <c:pt idx="0">
                  <c:v>0.25113750000000001</c:v>
                </c:pt>
                <c:pt idx="1">
                  <c:v>0.25113750000000001</c:v>
                </c:pt>
                <c:pt idx="2">
                  <c:v>0.25113750000000001</c:v>
                </c:pt>
                <c:pt idx="3">
                  <c:v>0.25113750000000001</c:v>
                </c:pt>
                <c:pt idx="4">
                  <c:v>0.25113750000000001</c:v>
                </c:pt>
                <c:pt idx="5">
                  <c:v>0.25113750000000001</c:v>
                </c:pt>
                <c:pt idx="6">
                  <c:v>0.25113750000000001</c:v>
                </c:pt>
                <c:pt idx="7">
                  <c:v>0.25113750000000001</c:v>
                </c:pt>
                <c:pt idx="8">
                  <c:v>0.25113750000000001</c:v>
                </c:pt>
                <c:pt idx="9">
                  <c:v>0.25113750000000001</c:v>
                </c:pt>
                <c:pt idx="10">
                  <c:v>0.25113750000000001</c:v>
                </c:pt>
                <c:pt idx="11">
                  <c:v>0.25113750000000001</c:v>
                </c:pt>
                <c:pt idx="12">
                  <c:v>0.25113750000000001</c:v>
                </c:pt>
                <c:pt idx="13">
                  <c:v>0.25113750000000001</c:v>
                </c:pt>
                <c:pt idx="14">
                  <c:v>0.25113750000000001</c:v>
                </c:pt>
                <c:pt idx="15">
                  <c:v>0.25113750000000001</c:v>
                </c:pt>
                <c:pt idx="16">
                  <c:v>0.25113750000000001</c:v>
                </c:pt>
                <c:pt idx="17">
                  <c:v>0.25113750000000001</c:v>
                </c:pt>
                <c:pt idx="18">
                  <c:v>0.25113750000000001</c:v>
                </c:pt>
                <c:pt idx="19">
                  <c:v>0.25113750000000001</c:v>
                </c:pt>
                <c:pt idx="20">
                  <c:v>0.25113750000000001</c:v>
                </c:pt>
                <c:pt idx="21">
                  <c:v>0.25113750000000001</c:v>
                </c:pt>
                <c:pt idx="22">
                  <c:v>0.25113750000000001</c:v>
                </c:pt>
                <c:pt idx="23">
                  <c:v>0.25113750000000001</c:v>
                </c:pt>
              </c:numCache>
            </c:numRef>
          </c:val>
          <c:smooth val="0"/>
          <c:extLst>
            <c:ext xmlns:c16="http://schemas.microsoft.com/office/drawing/2014/chart" uri="{C3380CC4-5D6E-409C-BE32-E72D297353CC}">
              <c16:uniqueId val="{00000003-C690-4E05-ADE2-5C82EFDC9D0C}"/>
            </c:ext>
          </c:extLst>
        </c:ser>
        <c:dLbls>
          <c:showLegendKey val="0"/>
          <c:showVal val="0"/>
          <c:showCatName val="0"/>
          <c:showSerName val="0"/>
          <c:showPercent val="0"/>
          <c:showBubbleSize val="0"/>
        </c:dLbls>
        <c:marker val="1"/>
        <c:smooth val="0"/>
        <c:axId val="1005088775"/>
        <c:axId val="1098117127"/>
      </c:lineChart>
      <c:catAx>
        <c:axId val="1005088775"/>
        <c:scaling>
          <c:orientation val="minMax"/>
        </c:scaling>
        <c:delete val="0"/>
        <c:axPos val="b"/>
        <c:numFmt formatCode="h:m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098117127"/>
        <c:crosses val="autoZero"/>
        <c:auto val="1"/>
        <c:lblAlgn val="ctr"/>
        <c:lblOffset val="100"/>
        <c:noMultiLvlLbl val="0"/>
      </c:catAx>
      <c:valAx>
        <c:axId val="1098117127"/>
        <c:scaling>
          <c:orientation val="minMax"/>
          <c:min val="0.4"/>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0050887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Tonelaje de alimentación por guardia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spPr>
            <a:solidFill>
              <a:srgbClr val="20376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'Reporte Auto'!$AJ$2:$AL$2</c:f>
              <c:strCache>
                <c:ptCount val="3"/>
                <c:pt idx="0">
                  <c:v>Turno A</c:v>
                </c:pt>
                <c:pt idx="1">
                  <c:v>Turno B</c:v>
                </c:pt>
                <c:pt idx="2">
                  <c:v>Turno C</c:v>
                </c:pt>
              </c:strCache>
            </c:strRef>
          </c:cat>
          <c:val>
            <c:numRef>
              <c:f>'Reporte Auto'!$AJ$3:$AL$3</c:f>
              <c:numCache>
                <c:formatCode>#,##0</c:formatCode>
                <c:ptCount val="3"/>
                <c:pt idx="0">
                  <c:v>10975</c:v>
                </c:pt>
                <c:pt idx="1">
                  <c:v>10879</c:v>
                </c:pt>
                <c:pt idx="2">
                  <c:v>11493</c:v>
                </c:pt>
              </c:numCache>
            </c:numRef>
          </c:val>
          <c:extLst>
            <c:ext xmlns:c16="http://schemas.microsoft.com/office/drawing/2014/chart" uri="{C3380CC4-5D6E-409C-BE32-E72D297353CC}">
              <c16:uniqueId val="{00000000-4AAE-449D-9C97-C93EA7176723}"/>
            </c:ext>
          </c:extLst>
        </c:ser>
        <c:dLbls>
          <c:dLblPos val="outEnd"/>
          <c:showLegendKey val="0"/>
          <c:showVal val="1"/>
          <c:showCatName val="0"/>
          <c:showSerName val="0"/>
          <c:showPercent val="0"/>
          <c:showBubbleSize val="0"/>
        </c:dLbls>
        <c:gapWidth val="219"/>
        <c:overlap val="-27"/>
        <c:axId val="2127436807"/>
        <c:axId val="2138184199"/>
      </c:barChart>
      <c:catAx>
        <c:axId val="2127436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38184199"/>
        <c:crosses val="autoZero"/>
        <c:auto val="1"/>
        <c:lblAlgn val="ctr"/>
        <c:lblOffset val="100"/>
        <c:noMultiLvlLbl val="0"/>
      </c:catAx>
      <c:valAx>
        <c:axId val="213818419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274368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r>
              <a:rPr lang="en-US"/>
              <a:t>Concentrado Producido</a:t>
            </a:r>
          </a:p>
        </c:rich>
      </c:tx>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es-ES"/>
        </a:p>
      </c:txPr>
    </c:title>
    <c:autoTitleDeleted val="0"/>
    <c:plotArea>
      <c:layout/>
      <c:barChart>
        <c:barDir val="bar"/>
        <c:grouping val="stacked"/>
        <c:varyColors val="0"/>
        <c:ser>
          <c:idx val="0"/>
          <c:order val="0"/>
          <c:tx>
            <c:strRef>
              <c:f>'Reporte Auto'!$AI$4</c:f>
              <c:strCache>
                <c:ptCount val="1"/>
                <c:pt idx="0">
                  <c:v>Concentrado (TMS)</c:v>
                </c:pt>
              </c:strCache>
            </c:strRef>
          </c:tx>
          <c:spPr>
            <a:solidFill>
              <a:schemeClr val="accent1"/>
            </a:solidFill>
            <a:ln w="19050">
              <a:solidFill>
                <a:schemeClr val="lt1"/>
              </a:solidFill>
            </a:ln>
            <a:effectLst/>
          </c:spPr>
          <c:invertIfNegative val="0"/>
          <c:dPt>
            <c:idx val="0"/>
            <c:invertIfNegative val="0"/>
            <c:bubble3D val="0"/>
            <c:spPr>
              <a:solidFill>
                <a:srgbClr val="C65911"/>
              </a:solidFill>
              <a:ln w="19050">
                <a:solidFill>
                  <a:schemeClr val="lt1"/>
                </a:solidFill>
              </a:ln>
              <a:effectLst/>
            </c:spPr>
            <c:extLst>
              <c:ext xmlns:c16="http://schemas.microsoft.com/office/drawing/2014/chart" uri="{C3380CC4-5D6E-409C-BE32-E72D297353CC}">
                <c16:uniqueId val="{00000001-E92E-4E7B-90D2-2883BFACBE18}"/>
              </c:ext>
            </c:extLst>
          </c:dPt>
          <c:dPt>
            <c:idx val="1"/>
            <c:invertIfNegative val="0"/>
            <c:bubble3D val="0"/>
            <c:spPr>
              <a:solidFill>
                <a:srgbClr val="7B7B7B"/>
              </a:solidFill>
              <a:ln w="19050">
                <a:solidFill>
                  <a:schemeClr val="lt1"/>
                </a:solidFill>
              </a:ln>
              <a:effectLst/>
            </c:spPr>
            <c:extLst>
              <c:ext xmlns:c16="http://schemas.microsoft.com/office/drawing/2014/chart" uri="{C3380CC4-5D6E-409C-BE32-E72D297353CC}">
                <c16:uniqueId val="{00000003-E92E-4E7B-90D2-2883BFACBE1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baseline="0">
                    <a:solidFill>
                      <a:srgbClr val="FFFFFF"/>
                    </a:solidFill>
                    <a:latin typeface="+mn-lt"/>
                    <a:ea typeface="+mn-ea"/>
                    <a:cs typeface="+mn-cs"/>
                  </a:defRPr>
                </a:pPr>
                <a:endParaRPr lang="es-E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'Reporte Auto'!$AJ$2:$AL$2</c:f>
              <c:strCache>
                <c:ptCount val="3"/>
                <c:pt idx="0">
                  <c:v>Turno A</c:v>
                </c:pt>
                <c:pt idx="1">
                  <c:v>Turno B</c:v>
                </c:pt>
                <c:pt idx="2">
                  <c:v>Turno C</c:v>
                </c:pt>
              </c:strCache>
            </c:strRef>
          </c:cat>
          <c:val>
            <c:numRef>
              <c:f>'Reporte Auto'!$AJ$4:$AL$4</c:f>
              <c:numCache>
                <c:formatCode>#,##0</c:formatCode>
                <c:ptCount val="3"/>
                <c:pt idx="0">
                  <c:v>6880</c:v>
                </c:pt>
                <c:pt idx="1">
                  <c:v>7680</c:v>
                </c:pt>
                <c:pt idx="2">
                  <c:v>7039</c:v>
                </c:pt>
              </c:numCache>
            </c:numRef>
          </c:val>
          <c:extLst>
            <c:ext xmlns:c16="http://schemas.microsoft.com/office/drawing/2014/chart" uri="{C3380CC4-5D6E-409C-BE32-E72D297353CC}">
              <c16:uniqueId val="{00000004-E92E-4E7B-90D2-2883BFACBE18}"/>
            </c:ext>
          </c:extLst>
        </c:ser>
        <c:dLbls>
          <c:showLegendKey val="0"/>
          <c:showVal val="0"/>
          <c:showCatName val="0"/>
          <c:showSerName val="0"/>
          <c:showPercent val="0"/>
          <c:showBubbleSize val="0"/>
        </c:dLbls>
        <c:gapWidth val="100"/>
        <c:overlap val="100"/>
        <c:axId val="2138756615"/>
        <c:axId val="2138759175"/>
      </c:barChart>
      <c:valAx>
        <c:axId val="2138759175"/>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s-ES"/>
          </a:p>
        </c:txPr>
        <c:crossAx val="2138756615"/>
        <c:crosses val="autoZero"/>
        <c:crossBetween val="between"/>
      </c:valAx>
      <c:catAx>
        <c:axId val="213875661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s-ES"/>
          </a:p>
        </c:txPr>
        <c:crossAx val="2138759175"/>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de S en concentrado por guardia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strRef>
              <c:f>'Reporte Auto'!$AI$10</c:f>
              <c:strCache>
                <c:ptCount val="1"/>
                <c:pt idx="0">
                  <c:v>S (%)</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'Reporte Auto'!$AJ$2:$AL$2</c:f>
              <c:strCache>
                <c:ptCount val="3"/>
                <c:pt idx="0">
                  <c:v>Turno A</c:v>
                </c:pt>
                <c:pt idx="1">
                  <c:v>Turno B</c:v>
                </c:pt>
                <c:pt idx="2">
                  <c:v>Turno C</c:v>
                </c:pt>
              </c:strCache>
            </c:strRef>
          </c:cat>
          <c:val>
            <c:numRef>
              <c:f>'Reporte Auto'!$AJ$10:$AL$10</c:f>
              <c:numCache>
                <c:formatCode>#,##0.000</c:formatCode>
                <c:ptCount val="3"/>
              </c:numCache>
            </c:numRef>
          </c:val>
          <c:extLst>
            <c:ext xmlns:c16="http://schemas.microsoft.com/office/drawing/2014/chart" uri="{C3380CC4-5D6E-409C-BE32-E72D297353CC}">
              <c16:uniqueId val="{00000000-45CE-40B6-8B90-7D35D9B4ABD1}"/>
            </c:ext>
          </c:extLst>
        </c:ser>
        <c:dLbls>
          <c:dLblPos val="outEnd"/>
          <c:showLegendKey val="0"/>
          <c:showVal val="1"/>
          <c:showCatName val="0"/>
          <c:showSerName val="0"/>
          <c:showPercent val="0"/>
          <c:showBubbleSize val="0"/>
        </c:dLbls>
        <c:gapWidth val="219"/>
        <c:overlap val="-27"/>
        <c:axId val="2139006471"/>
        <c:axId val="2139008519"/>
      </c:barChart>
      <c:catAx>
        <c:axId val="2139006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39008519"/>
        <c:crosses val="autoZero"/>
        <c:auto val="1"/>
        <c:lblAlgn val="ctr"/>
        <c:lblOffset val="100"/>
        <c:noMultiLvlLbl val="0"/>
      </c:catAx>
      <c:valAx>
        <c:axId val="2139008519"/>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390064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stacked"/>
        <c:varyColors val="0"/>
        <c:ser>
          <c:idx val="0"/>
          <c:order val="0"/>
          <c:tx>
            <c:strRef>
              <c:f>'Reporte Auto'!$AI$11</c:f>
              <c:strCache>
                <c:ptCount val="1"/>
                <c:pt idx="0">
                  <c:v>Malla 200 (%)</c:v>
                </c:pt>
              </c:strCache>
            </c:strRef>
          </c:tx>
          <c:spPr>
            <a:solidFill>
              <a:srgbClr val="F4B08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FFFF"/>
                    </a:solidFill>
                    <a:latin typeface="+mn-lt"/>
                    <a:ea typeface="+mn-ea"/>
                    <a:cs typeface="+mn-cs"/>
                  </a:defRPr>
                </a:pPr>
                <a:endParaRPr lang="es-E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'Reporte Auto'!$AJ$2:$AL$2</c:f>
              <c:strCache>
                <c:ptCount val="3"/>
                <c:pt idx="0">
                  <c:v>Turno A</c:v>
                </c:pt>
                <c:pt idx="1">
                  <c:v>Turno B</c:v>
                </c:pt>
                <c:pt idx="2">
                  <c:v>Turno C</c:v>
                </c:pt>
              </c:strCache>
            </c:strRef>
          </c:cat>
          <c:val>
            <c:numRef>
              <c:f>'Reporte Auto'!$AJ$11:$AL$11</c:f>
              <c:numCache>
                <c:formatCode>#,##0.00</c:formatCode>
                <c:ptCount val="3"/>
              </c:numCache>
            </c:numRef>
          </c:val>
          <c:extLst>
            <c:ext xmlns:c16="http://schemas.microsoft.com/office/drawing/2014/chart" uri="{C3380CC4-5D6E-409C-BE32-E72D297353CC}">
              <c16:uniqueId val="{00000000-79D5-4681-9A60-ECD0F371F67D}"/>
            </c:ext>
          </c:extLst>
        </c:ser>
        <c:dLbls>
          <c:dLblPos val="inEnd"/>
          <c:showLegendKey val="0"/>
          <c:showVal val="1"/>
          <c:showCatName val="0"/>
          <c:showSerName val="0"/>
          <c:showPercent val="0"/>
          <c:showBubbleSize val="0"/>
        </c:dLbls>
        <c:gapWidth val="219"/>
        <c:overlap val="100"/>
        <c:axId val="2127493639"/>
        <c:axId val="2138698247"/>
      </c:barChart>
      <c:catAx>
        <c:axId val="2127493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38698247"/>
        <c:crosses val="autoZero"/>
        <c:auto val="1"/>
        <c:lblAlgn val="ctr"/>
        <c:lblOffset val="100"/>
        <c:noMultiLvlLbl val="0"/>
      </c:catAx>
      <c:valAx>
        <c:axId val="21386982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274936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Diario -Sinter Calibrado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bar"/>
        <c:grouping val="stacked"/>
        <c:varyColors val="0"/>
        <c:ser>
          <c:idx val="0"/>
          <c:order val="0"/>
          <c:tx>
            <c:strRef>
              <c:f>'Reporte Auto'!$AJ$27</c:f>
              <c:strCache>
                <c:ptCount val="1"/>
                <c:pt idx="0">
                  <c:v>Diario</c:v>
                </c:pt>
              </c:strCache>
            </c:strRef>
          </c:tx>
          <c:spPr>
            <a:solidFill>
              <a:srgbClr val="ED7D31"/>
            </a:solidFill>
            <a:ln>
              <a:noFill/>
            </a:ln>
            <a:effectLst/>
          </c:spPr>
          <c:invertIfNegative val="0"/>
          <c:dPt>
            <c:idx val="1"/>
            <c:invertIfNegative val="0"/>
            <c:bubble3D val="0"/>
            <c:spPr>
              <a:solidFill>
                <a:srgbClr val="808080"/>
              </a:solidFill>
              <a:ln>
                <a:noFill/>
              </a:ln>
              <a:effectLst/>
            </c:spPr>
            <c:extLst>
              <c:ext xmlns:c16="http://schemas.microsoft.com/office/drawing/2014/chart" uri="{C3380CC4-5D6E-409C-BE32-E72D297353CC}">
                <c16:uniqueId val="{00000001-724A-43F2-8891-E6FA1B638D39}"/>
              </c:ext>
            </c:extLst>
          </c:dPt>
          <c:cat>
            <c:strRef>
              <c:f>'Reporte Auto'!$AI$28:$AI$29</c:f>
              <c:strCache>
                <c:ptCount val="2"/>
                <c:pt idx="0">
                  <c:v>Acumulado (TMS)</c:v>
                </c:pt>
                <c:pt idx="1">
                  <c:v>Ppto 2026 (TMS)</c:v>
                </c:pt>
              </c:strCache>
            </c:strRef>
          </c:cat>
          <c:val>
            <c:numRef>
              <c:f>'Reporte Auto'!$AJ$28:$AJ$29</c:f>
              <c:numCache>
                <c:formatCode>#,##0</c:formatCode>
                <c:ptCount val="2"/>
                <c:pt idx="0">
                  <c:v>1970</c:v>
                </c:pt>
                <c:pt idx="1">
                  <c:v>3333.3333333333335</c:v>
                </c:pt>
              </c:numCache>
            </c:numRef>
          </c:val>
          <c:extLst>
            <c:ext xmlns:c16="http://schemas.microsoft.com/office/drawing/2014/chart" uri="{C3380CC4-5D6E-409C-BE32-E72D297353CC}">
              <c16:uniqueId val="{00000002-724A-43F2-8891-E6FA1B638D39}"/>
            </c:ext>
          </c:extLst>
        </c:ser>
        <c:dLbls>
          <c:showLegendKey val="0"/>
          <c:showVal val="0"/>
          <c:showCatName val="0"/>
          <c:showSerName val="0"/>
          <c:showPercent val="0"/>
          <c:showBubbleSize val="0"/>
        </c:dLbls>
        <c:gapWidth val="150"/>
        <c:overlap val="100"/>
        <c:axId val="32202760"/>
        <c:axId val="34888200"/>
      </c:barChart>
      <c:catAx>
        <c:axId val="322027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4888200"/>
        <c:crosses val="autoZero"/>
        <c:auto val="1"/>
        <c:lblAlgn val="ctr"/>
        <c:lblOffset val="100"/>
        <c:noMultiLvlLbl val="0"/>
      </c:catAx>
      <c:valAx>
        <c:axId val="34888200"/>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2202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Semana - Sinter Calibrado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bar"/>
        <c:grouping val="stacked"/>
        <c:varyColors val="0"/>
        <c:ser>
          <c:idx val="0"/>
          <c:order val="0"/>
          <c:tx>
            <c:strRef>
              <c:f>'Reporte Auto'!$AK$27</c:f>
              <c:strCache>
                <c:ptCount val="1"/>
                <c:pt idx="0">
                  <c:v>Semana</c:v>
                </c:pt>
              </c:strCache>
            </c:strRef>
          </c:tx>
          <c:spPr>
            <a:solidFill>
              <a:srgbClr val="ED7D31"/>
            </a:solidFill>
            <a:ln>
              <a:noFill/>
            </a:ln>
            <a:effectLst/>
          </c:spPr>
          <c:invertIfNegative val="0"/>
          <c:dPt>
            <c:idx val="1"/>
            <c:invertIfNegative val="0"/>
            <c:bubble3D val="0"/>
            <c:spPr>
              <a:solidFill>
                <a:srgbClr val="808080"/>
              </a:solidFill>
              <a:ln>
                <a:noFill/>
              </a:ln>
              <a:effectLst/>
            </c:spPr>
            <c:extLst>
              <c:ext xmlns:c16="http://schemas.microsoft.com/office/drawing/2014/chart" uri="{C3380CC4-5D6E-409C-BE32-E72D297353CC}">
                <c16:uniqueId val="{00000001-7097-42B1-B079-11E5970FA6E8}"/>
              </c:ext>
            </c:extLst>
          </c:dPt>
          <c:cat>
            <c:strRef>
              <c:f>'Reporte Auto'!$AI$28:$AI$29</c:f>
              <c:strCache>
                <c:ptCount val="2"/>
                <c:pt idx="0">
                  <c:v>Acumulado (TMS)</c:v>
                </c:pt>
                <c:pt idx="1">
                  <c:v>Ppto 2026 (TMS)</c:v>
                </c:pt>
              </c:strCache>
            </c:strRef>
          </c:cat>
          <c:val>
            <c:numRef>
              <c:f>'Reporte Auto'!$AK$28:$AK$29</c:f>
              <c:numCache>
                <c:formatCode>#,##0</c:formatCode>
                <c:ptCount val="2"/>
                <c:pt idx="0">
                  <c:v>10415</c:v>
                </c:pt>
                <c:pt idx="1">
                  <c:v>10000</c:v>
                </c:pt>
              </c:numCache>
            </c:numRef>
          </c:val>
          <c:extLst>
            <c:ext xmlns:c16="http://schemas.microsoft.com/office/drawing/2014/chart" uri="{C3380CC4-5D6E-409C-BE32-E72D297353CC}">
              <c16:uniqueId val="{00000002-7097-42B1-B079-11E5970FA6E8}"/>
            </c:ext>
          </c:extLst>
        </c:ser>
        <c:dLbls>
          <c:showLegendKey val="0"/>
          <c:showVal val="0"/>
          <c:showCatName val="0"/>
          <c:showSerName val="0"/>
          <c:showPercent val="0"/>
          <c:showBubbleSize val="0"/>
        </c:dLbls>
        <c:gapWidth val="150"/>
        <c:overlap val="100"/>
        <c:axId val="32202760"/>
        <c:axId val="34888200"/>
      </c:barChart>
      <c:catAx>
        <c:axId val="322027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4888200"/>
        <c:crosses val="autoZero"/>
        <c:auto val="1"/>
        <c:lblAlgn val="ctr"/>
        <c:lblOffset val="100"/>
        <c:noMultiLvlLbl val="0"/>
      </c:catAx>
      <c:valAx>
        <c:axId val="34888200"/>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2202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Diario - Concentrado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bar"/>
        <c:grouping val="stacked"/>
        <c:varyColors val="0"/>
        <c:ser>
          <c:idx val="0"/>
          <c:order val="0"/>
          <c:tx>
            <c:strRef>
              <c:f>'Reporte Auto'!$AJ$21</c:f>
              <c:strCache>
                <c:ptCount val="1"/>
                <c:pt idx="0">
                  <c:v>Diario</c:v>
                </c:pt>
              </c:strCache>
            </c:strRef>
          </c:tx>
          <c:spPr>
            <a:solidFill>
              <a:srgbClr val="ED7D31"/>
            </a:solidFill>
            <a:ln>
              <a:noFill/>
            </a:ln>
            <a:effectLst/>
          </c:spPr>
          <c:invertIfNegative val="0"/>
          <c:dPt>
            <c:idx val="0"/>
            <c:invertIfNegative val="0"/>
            <c:bubble3D val="0"/>
            <c:spPr>
              <a:solidFill>
                <a:srgbClr val="806000"/>
              </a:solidFill>
              <a:ln>
                <a:noFill/>
              </a:ln>
              <a:effectLst/>
            </c:spPr>
            <c:extLst>
              <c:ext xmlns:c16="http://schemas.microsoft.com/office/drawing/2014/chart" uri="{C3380CC4-5D6E-409C-BE32-E72D297353CC}">
                <c16:uniqueId val="{00000001-2564-48BA-836C-E169032B5678}"/>
              </c:ext>
            </c:extLst>
          </c:dPt>
          <c:cat>
            <c:strRef>
              <c:f>'Reporte Auto'!$AI$22:$AI$23</c:f>
              <c:strCache>
                <c:ptCount val="2"/>
                <c:pt idx="0">
                  <c:v>Acumulado (TMS)</c:v>
                </c:pt>
                <c:pt idx="1">
                  <c:v>Ppto 2026 (TMS)</c:v>
                </c:pt>
              </c:strCache>
            </c:strRef>
          </c:cat>
          <c:val>
            <c:numRef>
              <c:f>'Reporte Auto'!$AJ$22:$AJ$23</c:f>
              <c:numCache>
                <c:formatCode>#,##0</c:formatCode>
                <c:ptCount val="2"/>
                <c:pt idx="0">
                  <c:v>21099</c:v>
                </c:pt>
                <c:pt idx="1">
                  <c:v>23201.566666666666</c:v>
                </c:pt>
              </c:numCache>
            </c:numRef>
          </c:val>
          <c:extLst>
            <c:ext xmlns:c16="http://schemas.microsoft.com/office/drawing/2014/chart" uri="{C3380CC4-5D6E-409C-BE32-E72D297353CC}">
              <c16:uniqueId val="{00000002-2564-48BA-836C-E169032B5678}"/>
            </c:ext>
          </c:extLst>
        </c:ser>
        <c:dLbls>
          <c:showLegendKey val="0"/>
          <c:showVal val="0"/>
          <c:showCatName val="0"/>
          <c:showSerName val="0"/>
          <c:showPercent val="0"/>
          <c:showBubbleSize val="0"/>
        </c:dLbls>
        <c:gapWidth val="150"/>
        <c:overlap val="100"/>
        <c:axId val="32202760"/>
        <c:axId val="34888200"/>
      </c:barChart>
      <c:catAx>
        <c:axId val="322027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4888200"/>
        <c:crosses val="autoZero"/>
        <c:auto val="1"/>
        <c:lblAlgn val="ctr"/>
        <c:lblOffset val="100"/>
        <c:noMultiLvlLbl val="0"/>
      </c:catAx>
      <c:valAx>
        <c:axId val="34888200"/>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2202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Semana - Concentrado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bar"/>
        <c:grouping val="stacked"/>
        <c:varyColors val="0"/>
        <c:ser>
          <c:idx val="0"/>
          <c:order val="0"/>
          <c:tx>
            <c:strRef>
              <c:f>'Reporte Auto'!$AK$21</c:f>
              <c:strCache>
                <c:ptCount val="1"/>
                <c:pt idx="0">
                  <c:v>Semana</c:v>
                </c:pt>
              </c:strCache>
            </c:strRef>
          </c:tx>
          <c:spPr>
            <a:solidFill>
              <a:srgbClr val="ED7D31"/>
            </a:solidFill>
            <a:ln>
              <a:noFill/>
            </a:ln>
            <a:effectLst/>
          </c:spPr>
          <c:invertIfNegative val="0"/>
          <c:dPt>
            <c:idx val="0"/>
            <c:invertIfNegative val="0"/>
            <c:bubble3D val="0"/>
            <c:spPr>
              <a:solidFill>
                <a:srgbClr val="806000"/>
              </a:solidFill>
              <a:ln>
                <a:noFill/>
              </a:ln>
              <a:effectLst/>
            </c:spPr>
            <c:extLst>
              <c:ext xmlns:c16="http://schemas.microsoft.com/office/drawing/2014/chart" uri="{C3380CC4-5D6E-409C-BE32-E72D297353CC}">
                <c16:uniqueId val="{00000001-D1A6-4C99-BE07-E443351FE90B}"/>
              </c:ext>
            </c:extLst>
          </c:dPt>
          <c:cat>
            <c:strRef>
              <c:f>'Reporte Auto'!$AI$22:$AI$23</c:f>
              <c:strCache>
                <c:ptCount val="2"/>
                <c:pt idx="0">
                  <c:v>Acumulado (TMS)</c:v>
                </c:pt>
                <c:pt idx="1">
                  <c:v>Ppto 2026 (TMS)</c:v>
                </c:pt>
              </c:strCache>
            </c:strRef>
          </c:cat>
          <c:val>
            <c:numRef>
              <c:f>'Reporte Auto'!$AK$22:$AK$23</c:f>
              <c:numCache>
                <c:formatCode>#,##0</c:formatCode>
                <c:ptCount val="2"/>
                <c:pt idx="0">
                  <c:v>65830</c:v>
                </c:pt>
                <c:pt idx="1">
                  <c:v>69604.7</c:v>
                </c:pt>
              </c:numCache>
            </c:numRef>
          </c:val>
          <c:extLst>
            <c:ext xmlns:c16="http://schemas.microsoft.com/office/drawing/2014/chart" uri="{C3380CC4-5D6E-409C-BE32-E72D297353CC}">
              <c16:uniqueId val="{00000002-D1A6-4C99-BE07-E443351FE90B}"/>
            </c:ext>
          </c:extLst>
        </c:ser>
        <c:dLbls>
          <c:showLegendKey val="0"/>
          <c:showVal val="0"/>
          <c:showCatName val="0"/>
          <c:showSerName val="0"/>
          <c:showPercent val="0"/>
          <c:showBubbleSize val="0"/>
        </c:dLbls>
        <c:gapWidth val="150"/>
        <c:overlap val="100"/>
        <c:axId val="32202760"/>
        <c:axId val="34888200"/>
      </c:barChart>
      <c:catAx>
        <c:axId val="322027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4888200"/>
        <c:crosses val="autoZero"/>
        <c:auto val="1"/>
        <c:lblAlgn val="ctr"/>
        <c:lblOffset val="100"/>
        <c:noMultiLvlLbl val="0"/>
      </c:catAx>
      <c:valAx>
        <c:axId val="34888200"/>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2202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Eficiencia de Alimentacion por Guardia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spPr>
            <a:solidFill>
              <a:srgbClr val="20376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'Reporte Auto'!$AJ$2:$AL$2</c:f>
              <c:strCache>
                <c:ptCount val="3"/>
                <c:pt idx="0">
                  <c:v>Turno A</c:v>
                </c:pt>
                <c:pt idx="1">
                  <c:v>Turno B</c:v>
                </c:pt>
                <c:pt idx="2">
                  <c:v>Turno C</c:v>
                </c:pt>
              </c:strCache>
            </c:strRef>
          </c:cat>
          <c:val>
            <c:numRef>
              <c:f>'Reporte Auto'!$AJ$7:$AL$7</c:f>
              <c:numCache>
                <c:formatCode>0.00</c:formatCode>
                <c:ptCount val="3"/>
                <c:pt idx="0">
                  <c:v>82.148203592814369</c:v>
                </c:pt>
                <c:pt idx="1">
                  <c:v>81.429640718562879</c:v>
                </c:pt>
                <c:pt idx="2">
                  <c:v>86.025449101796397</c:v>
                </c:pt>
              </c:numCache>
            </c:numRef>
          </c:val>
          <c:extLst>
            <c:ext xmlns:c16="http://schemas.microsoft.com/office/drawing/2014/chart" uri="{C3380CC4-5D6E-409C-BE32-E72D297353CC}">
              <c16:uniqueId val="{00000000-D092-461C-AF07-9D7DB24AE740}"/>
            </c:ext>
          </c:extLst>
        </c:ser>
        <c:dLbls>
          <c:dLblPos val="outEnd"/>
          <c:showLegendKey val="0"/>
          <c:showVal val="1"/>
          <c:showCatName val="0"/>
          <c:showSerName val="0"/>
          <c:showPercent val="0"/>
          <c:showBubbleSize val="0"/>
        </c:dLbls>
        <c:gapWidth val="219"/>
        <c:overlap val="-27"/>
        <c:axId val="2127436807"/>
        <c:axId val="2138184199"/>
      </c:barChart>
      <c:catAx>
        <c:axId val="2127436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38184199"/>
        <c:crosses val="autoZero"/>
        <c:auto val="1"/>
        <c:lblAlgn val="ctr"/>
        <c:lblOffset val="100"/>
        <c:noMultiLvlLbl val="0"/>
      </c:catAx>
      <c:valAx>
        <c:axId val="213818419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274368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kumimoji="0" lang="en-US" sz="1400" b="0" i="0" u="none" strike="noStrike" kern="1200" cap="none" spc="0" normalizeH="0" baseline="0" noProof="0">
                <a:ln>
                  <a:noFill/>
                </a:ln>
                <a:solidFill>
                  <a:srgbClr val="000000">
                    <a:lumMod val="65000"/>
                    <a:lumOff val="35000"/>
                  </a:srgbClr>
                </a:solidFill>
                <a:effectLst/>
                <a:uLnTx/>
                <a:uFillTx/>
                <a:latin typeface="Calibri"/>
                <a:ea typeface="Calibri"/>
                <a:cs typeface="Calibri"/>
              </a:rPr>
              <a:t>Eficiencia de alimentación por día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5.1220236474590043E-2"/>
          <c:y val="0.16214207650273227"/>
          <c:w val="0.92296141405560816"/>
          <c:h val="0.73644473129383414"/>
        </c:manualLayout>
      </c:layout>
      <c:barChart>
        <c:barDir val="col"/>
        <c:grouping val="clustered"/>
        <c:varyColors val="0"/>
        <c:ser>
          <c:idx val="0"/>
          <c:order val="0"/>
          <c:spPr>
            <a:solidFill>
              <a:schemeClr val="accent1"/>
            </a:solidFill>
            <a:ln>
              <a:noFill/>
            </a:ln>
            <a:effectLst/>
          </c:spPr>
          <c:invertIfNegative val="0"/>
          <c:val>
            <c:numRef>
              <c:f>'Reporte Auto'!$AN$64</c:f>
              <c:numCache>
                <c:formatCode>0.00</c:formatCode>
                <c:ptCount val="1"/>
              </c:numCache>
            </c:numRef>
          </c:val>
          <c:extLst>
            <c:ext xmlns:c16="http://schemas.microsoft.com/office/drawing/2014/chart" uri="{C3380CC4-5D6E-409C-BE32-E72D297353CC}">
              <c16:uniqueId val="{00000000-7B40-46C6-8337-469835FFD39D}"/>
            </c:ext>
          </c:extLst>
        </c:ser>
        <c:ser>
          <c:idx val="1"/>
          <c:order val="1"/>
          <c:spPr>
            <a:solidFill>
              <a:schemeClr val="accent2"/>
            </a:solidFill>
            <a:ln>
              <a:noFill/>
            </a:ln>
            <a:effectLst/>
          </c:spPr>
          <c:invertIfNegative val="0"/>
          <c:val>
            <c:numRef>
              <c:f>'Reporte Auto'!$AN$65</c:f>
              <c:numCache>
                <c:formatCode>0.00</c:formatCode>
                <c:ptCount val="1"/>
              </c:numCache>
            </c:numRef>
          </c:val>
          <c:extLst>
            <c:ext xmlns:c16="http://schemas.microsoft.com/office/drawing/2014/chart" uri="{C3380CC4-5D6E-409C-BE32-E72D297353CC}">
              <c16:uniqueId val="{00000001-7B40-46C6-8337-469835FFD39D}"/>
            </c:ext>
          </c:extLst>
        </c:ser>
        <c:ser>
          <c:idx val="2"/>
          <c:order val="2"/>
          <c:spPr>
            <a:solidFill>
              <a:schemeClr val="accent3"/>
            </a:solidFill>
            <a:ln>
              <a:noFill/>
            </a:ln>
            <a:effectLst/>
          </c:spPr>
          <c:invertIfNegative val="0"/>
          <c:val>
            <c:numRef>
              <c:f>'Reporte Auto'!$AN$66</c:f>
              <c:numCache>
                <c:formatCode>0.00</c:formatCode>
                <c:ptCount val="1"/>
              </c:numCache>
            </c:numRef>
          </c:val>
          <c:extLst>
            <c:ext xmlns:c16="http://schemas.microsoft.com/office/drawing/2014/chart" uri="{C3380CC4-5D6E-409C-BE32-E72D297353CC}">
              <c16:uniqueId val="{00000002-7B40-46C6-8337-469835FFD39D}"/>
            </c:ext>
          </c:extLst>
        </c:ser>
        <c:ser>
          <c:idx val="3"/>
          <c:order val="3"/>
          <c:spPr>
            <a:solidFill>
              <a:schemeClr val="accent4"/>
            </a:solidFill>
            <a:ln>
              <a:noFill/>
            </a:ln>
            <a:effectLst/>
          </c:spPr>
          <c:invertIfNegative val="0"/>
          <c:val>
            <c:numRef>
              <c:f>'Reporte Auto'!$AN$67</c:f>
              <c:numCache>
                <c:formatCode>0.00</c:formatCode>
                <c:ptCount val="1"/>
              </c:numCache>
            </c:numRef>
          </c:val>
          <c:extLst>
            <c:ext xmlns:c16="http://schemas.microsoft.com/office/drawing/2014/chart" uri="{C3380CC4-5D6E-409C-BE32-E72D297353CC}">
              <c16:uniqueId val="{00000003-7B40-46C6-8337-469835FFD39D}"/>
            </c:ext>
          </c:extLst>
        </c:ser>
        <c:ser>
          <c:idx val="4"/>
          <c:order val="4"/>
          <c:spPr>
            <a:solidFill>
              <a:schemeClr val="accent5"/>
            </a:solidFill>
            <a:ln>
              <a:noFill/>
            </a:ln>
            <a:effectLst/>
          </c:spPr>
          <c:invertIfNegative val="0"/>
          <c:val>
            <c:numRef>
              <c:f>'Reporte Auto'!$AN$68</c:f>
              <c:numCache>
                <c:formatCode>0.00</c:formatCode>
                <c:ptCount val="1"/>
              </c:numCache>
            </c:numRef>
          </c:val>
          <c:extLst>
            <c:ext xmlns:c16="http://schemas.microsoft.com/office/drawing/2014/chart" uri="{C3380CC4-5D6E-409C-BE32-E72D297353CC}">
              <c16:uniqueId val="{00000004-7B40-46C6-8337-469835FFD39D}"/>
            </c:ext>
          </c:extLst>
        </c:ser>
        <c:ser>
          <c:idx val="5"/>
          <c:order val="5"/>
          <c:spPr>
            <a:solidFill>
              <a:schemeClr val="accent6"/>
            </a:solidFill>
            <a:ln>
              <a:noFill/>
            </a:ln>
            <a:effectLst/>
          </c:spPr>
          <c:invertIfNegative val="0"/>
          <c:val>
            <c:numRef>
              <c:f>'Reporte Auto'!$AN$69</c:f>
              <c:numCache>
                <c:formatCode>0.00</c:formatCode>
                <c:ptCount val="1"/>
              </c:numCache>
            </c:numRef>
          </c:val>
          <c:extLst>
            <c:ext xmlns:c16="http://schemas.microsoft.com/office/drawing/2014/chart" uri="{C3380CC4-5D6E-409C-BE32-E72D297353CC}">
              <c16:uniqueId val="{00000005-7B40-46C6-8337-469835FFD39D}"/>
            </c:ext>
          </c:extLst>
        </c:ser>
        <c:ser>
          <c:idx val="6"/>
          <c:order val="6"/>
          <c:spPr>
            <a:solidFill>
              <a:schemeClr val="accent1">
                <a:lumMod val="60000"/>
              </a:schemeClr>
            </a:solidFill>
            <a:ln>
              <a:noFill/>
            </a:ln>
            <a:effectLst/>
          </c:spPr>
          <c:invertIfNegative val="0"/>
          <c:val>
            <c:numRef>
              <c:f>'Reporte Auto'!$AN$70</c:f>
              <c:numCache>
                <c:formatCode>0.00</c:formatCode>
                <c:ptCount val="1"/>
              </c:numCache>
            </c:numRef>
          </c:val>
          <c:extLst>
            <c:ext xmlns:c16="http://schemas.microsoft.com/office/drawing/2014/chart" uri="{C3380CC4-5D6E-409C-BE32-E72D297353CC}">
              <c16:uniqueId val="{00000006-7B40-46C6-8337-469835FFD39D}"/>
            </c:ext>
          </c:extLst>
        </c:ser>
        <c:ser>
          <c:idx val="7"/>
          <c:order val="7"/>
          <c:spPr>
            <a:solidFill>
              <a:schemeClr val="accent2">
                <a:lumMod val="60000"/>
              </a:schemeClr>
            </a:solidFill>
            <a:ln>
              <a:noFill/>
            </a:ln>
            <a:effectLst/>
          </c:spPr>
          <c:invertIfNegative val="0"/>
          <c:val>
            <c:numRef>
              <c:f>'Reporte Auto'!$AN$71</c:f>
              <c:numCache>
                <c:formatCode>0.00</c:formatCode>
                <c:ptCount val="1"/>
              </c:numCache>
            </c:numRef>
          </c:val>
          <c:extLst>
            <c:ext xmlns:c16="http://schemas.microsoft.com/office/drawing/2014/chart" uri="{C3380CC4-5D6E-409C-BE32-E72D297353CC}">
              <c16:uniqueId val="{00000007-7B40-46C6-8337-469835FFD39D}"/>
            </c:ext>
          </c:extLst>
        </c:ser>
        <c:ser>
          <c:idx val="8"/>
          <c:order val="8"/>
          <c:spPr>
            <a:solidFill>
              <a:schemeClr val="accent3">
                <a:lumMod val="60000"/>
              </a:schemeClr>
            </a:solidFill>
            <a:ln>
              <a:noFill/>
            </a:ln>
            <a:effectLst/>
          </c:spPr>
          <c:invertIfNegative val="0"/>
          <c:val>
            <c:numRef>
              <c:f>'Reporte Auto'!$AN$72</c:f>
              <c:numCache>
                <c:formatCode>0.00</c:formatCode>
                <c:ptCount val="1"/>
              </c:numCache>
            </c:numRef>
          </c:val>
          <c:extLst>
            <c:ext xmlns:c16="http://schemas.microsoft.com/office/drawing/2014/chart" uri="{C3380CC4-5D6E-409C-BE32-E72D297353CC}">
              <c16:uniqueId val="{00000008-7B40-46C6-8337-469835FFD39D}"/>
            </c:ext>
          </c:extLst>
        </c:ser>
        <c:ser>
          <c:idx val="9"/>
          <c:order val="9"/>
          <c:spPr>
            <a:solidFill>
              <a:schemeClr val="accent4">
                <a:lumMod val="60000"/>
              </a:schemeClr>
            </a:solidFill>
            <a:ln>
              <a:noFill/>
            </a:ln>
            <a:effectLst/>
          </c:spPr>
          <c:invertIfNegative val="0"/>
          <c:val>
            <c:numRef>
              <c:f>'Reporte Auto'!$AN$73</c:f>
              <c:numCache>
                <c:formatCode>0.00</c:formatCode>
                <c:ptCount val="1"/>
              </c:numCache>
            </c:numRef>
          </c:val>
          <c:extLst>
            <c:ext xmlns:c16="http://schemas.microsoft.com/office/drawing/2014/chart" uri="{C3380CC4-5D6E-409C-BE32-E72D297353CC}">
              <c16:uniqueId val="{00000009-7B40-46C6-8337-469835FFD39D}"/>
            </c:ext>
          </c:extLst>
        </c:ser>
        <c:ser>
          <c:idx val="10"/>
          <c:order val="10"/>
          <c:spPr>
            <a:solidFill>
              <a:schemeClr val="accent5">
                <a:lumMod val="60000"/>
              </a:schemeClr>
            </a:solidFill>
            <a:ln>
              <a:noFill/>
            </a:ln>
            <a:effectLst/>
          </c:spPr>
          <c:invertIfNegative val="0"/>
          <c:val>
            <c:numRef>
              <c:f>'Reporte Auto'!$AN$74</c:f>
              <c:numCache>
                <c:formatCode>0.00</c:formatCode>
                <c:ptCount val="1"/>
              </c:numCache>
            </c:numRef>
          </c:val>
          <c:extLst>
            <c:ext xmlns:c16="http://schemas.microsoft.com/office/drawing/2014/chart" uri="{C3380CC4-5D6E-409C-BE32-E72D297353CC}">
              <c16:uniqueId val="{0000000A-7B40-46C6-8337-469835FFD39D}"/>
            </c:ext>
          </c:extLst>
        </c:ser>
        <c:ser>
          <c:idx val="11"/>
          <c:order val="11"/>
          <c:spPr>
            <a:solidFill>
              <a:schemeClr val="accent6">
                <a:lumMod val="60000"/>
              </a:schemeClr>
            </a:solidFill>
            <a:ln>
              <a:noFill/>
            </a:ln>
            <a:effectLst/>
          </c:spPr>
          <c:invertIfNegative val="0"/>
          <c:val>
            <c:numRef>
              <c:f>'Reporte Auto'!$AN$75</c:f>
              <c:numCache>
                <c:formatCode>0.00</c:formatCode>
                <c:ptCount val="1"/>
              </c:numCache>
            </c:numRef>
          </c:val>
          <c:extLst>
            <c:ext xmlns:c16="http://schemas.microsoft.com/office/drawing/2014/chart" uri="{C3380CC4-5D6E-409C-BE32-E72D297353CC}">
              <c16:uniqueId val="{0000000B-7B40-46C6-8337-469835FFD39D}"/>
            </c:ext>
          </c:extLst>
        </c:ser>
        <c:ser>
          <c:idx val="12"/>
          <c:order val="12"/>
          <c:spPr>
            <a:solidFill>
              <a:schemeClr val="accent1">
                <a:lumMod val="80000"/>
                <a:lumOff val="20000"/>
              </a:schemeClr>
            </a:solidFill>
            <a:ln>
              <a:noFill/>
            </a:ln>
            <a:effectLst/>
          </c:spPr>
          <c:invertIfNegative val="0"/>
          <c:val>
            <c:numRef>
              <c:f>'Reporte Auto'!$AN$76</c:f>
              <c:numCache>
                <c:formatCode>0.00</c:formatCode>
                <c:ptCount val="1"/>
              </c:numCache>
            </c:numRef>
          </c:val>
          <c:extLst>
            <c:ext xmlns:c16="http://schemas.microsoft.com/office/drawing/2014/chart" uri="{C3380CC4-5D6E-409C-BE32-E72D297353CC}">
              <c16:uniqueId val="{0000000C-7B40-46C6-8337-469835FFD39D}"/>
            </c:ext>
          </c:extLst>
        </c:ser>
        <c:ser>
          <c:idx val="13"/>
          <c:order val="13"/>
          <c:spPr>
            <a:solidFill>
              <a:schemeClr val="accent2">
                <a:lumMod val="80000"/>
                <a:lumOff val="20000"/>
              </a:schemeClr>
            </a:solidFill>
            <a:ln>
              <a:noFill/>
            </a:ln>
            <a:effectLst/>
          </c:spPr>
          <c:invertIfNegative val="0"/>
          <c:val>
            <c:numRef>
              <c:f>'Reporte Auto'!$AN$77</c:f>
              <c:numCache>
                <c:formatCode>0.00</c:formatCode>
                <c:ptCount val="1"/>
              </c:numCache>
            </c:numRef>
          </c:val>
          <c:extLst>
            <c:ext xmlns:c16="http://schemas.microsoft.com/office/drawing/2014/chart" uri="{C3380CC4-5D6E-409C-BE32-E72D297353CC}">
              <c16:uniqueId val="{0000000D-7B40-46C6-8337-469835FFD39D}"/>
            </c:ext>
          </c:extLst>
        </c:ser>
        <c:ser>
          <c:idx val="14"/>
          <c:order val="14"/>
          <c:spPr>
            <a:solidFill>
              <a:schemeClr val="accent3">
                <a:lumMod val="80000"/>
                <a:lumOff val="20000"/>
              </a:schemeClr>
            </a:solidFill>
            <a:ln>
              <a:noFill/>
            </a:ln>
            <a:effectLst/>
          </c:spPr>
          <c:invertIfNegative val="0"/>
          <c:val>
            <c:numRef>
              <c:f>'Reporte Auto'!$AN$78</c:f>
              <c:numCache>
                <c:formatCode>0.00</c:formatCode>
                <c:ptCount val="1"/>
              </c:numCache>
            </c:numRef>
          </c:val>
          <c:extLst>
            <c:ext xmlns:c16="http://schemas.microsoft.com/office/drawing/2014/chart" uri="{C3380CC4-5D6E-409C-BE32-E72D297353CC}">
              <c16:uniqueId val="{0000000E-7B40-46C6-8337-469835FFD39D}"/>
            </c:ext>
          </c:extLst>
        </c:ser>
        <c:ser>
          <c:idx val="15"/>
          <c:order val="15"/>
          <c:spPr>
            <a:solidFill>
              <a:schemeClr val="accent4">
                <a:lumMod val="80000"/>
                <a:lumOff val="20000"/>
              </a:schemeClr>
            </a:solidFill>
            <a:ln>
              <a:noFill/>
            </a:ln>
            <a:effectLst/>
          </c:spPr>
          <c:invertIfNegative val="0"/>
          <c:val>
            <c:numRef>
              <c:f>'Reporte Auto'!$AN$79</c:f>
              <c:numCache>
                <c:formatCode>0.00</c:formatCode>
                <c:ptCount val="1"/>
              </c:numCache>
            </c:numRef>
          </c:val>
          <c:extLst>
            <c:ext xmlns:c16="http://schemas.microsoft.com/office/drawing/2014/chart" uri="{C3380CC4-5D6E-409C-BE32-E72D297353CC}">
              <c16:uniqueId val="{0000000F-7B40-46C6-8337-469835FFD39D}"/>
            </c:ext>
          </c:extLst>
        </c:ser>
        <c:ser>
          <c:idx val="16"/>
          <c:order val="16"/>
          <c:spPr>
            <a:solidFill>
              <a:schemeClr val="accent5">
                <a:lumMod val="80000"/>
                <a:lumOff val="20000"/>
              </a:schemeClr>
            </a:solidFill>
            <a:ln>
              <a:noFill/>
            </a:ln>
            <a:effectLst/>
          </c:spPr>
          <c:invertIfNegative val="0"/>
          <c:val>
            <c:numRef>
              <c:f>'Reporte Auto'!$AN$80</c:f>
              <c:numCache>
                <c:formatCode>0.00</c:formatCode>
                <c:ptCount val="1"/>
              </c:numCache>
            </c:numRef>
          </c:val>
          <c:extLst>
            <c:ext xmlns:c16="http://schemas.microsoft.com/office/drawing/2014/chart" uri="{C3380CC4-5D6E-409C-BE32-E72D297353CC}">
              <c16:uniqueId val="{00000010-7B40-46C6-8337-469835FFD39D}"/>
            </c:ext>
          </c:extLst>
        </c:ser>
        <c:ser>
          <c:idx val="17"/>
          <c:order val="17"/>
          <c:spPr>
            <a:solidFill>
              <a:schemeClr val="accent6">
                <a:lumMod val="80000"/>
                <a:lumOff val="20000"/>
              </a:schemeClr>
            </a:solidFill>
            <a:ln>
              <a:noFill/>
            </a:ln>
            <a:effectLst/>
          </c:spPr>
          <c:invertIfNegative val="0"/>
          <c:val>
            <c:numRef>
              <c:f>'Reporte Auto'!$AN$81</c:f>
              <c:numCache>
                <c:formatCode>0.00</c:formatCode>
                <c:ptCount val="1"/>
              </c:numCache>
            </c:numRef>
          </c:val>
          <c:extLst>
            <c:ext xmlns:c16="http://schemas.microsoft.com/office/drawing/2014/chart" uri="{C3380CC4-5D6E-409C-BE32-E72D297353CC}">
              <c16:uniqueId val="{00000011-7B40-46C6-8337-469835FFD39D}"/>
            </c:ext>
          </c:extLst>
        </c:ser>
        <c:ser>
          <c:idx val="18"/>
          <c:order val="18"/>
          <c:spPr>
            <a:solidFill>
              <a:schemeClr val="accent1">
                <a:lumMod val="80000"/>
              </a:schemeClr>
            </a:solidFill>
            <a:ln>
              <a:noFill/>
            </a:ln>
            <a:effectLst/>
          </c:spPr>
          <c:invertIfNegative val="0"/>
          <c:val>
            <c:numRef>
              <c:f>'Reporte Auto'!$AN$82</c:f>
              <c:numCache>
                <c:formatCode>0.00</c:formatCode>
                <c:ptCount val="1"/>
              </c:numCache>
            </c:numRef>
          </c:val>
          <c:extLst>
            <c:ext xmlns:c16="http://schemas.microsoft.com/office/drawing/2014/chart" uri="{C3380CC4-5D6E-409C-BE32-E72D297353CC}">
              <c16:uniqueId val="{00000012-7B40-46C6-8337-469835FFD39D}"/>
            </c:ext>
          </c:extLst>
        </c:ser>
        <c:ser>
          <c:idx val="19"/>
          <c:order val="19"/>
          <c:spPr>
            <a:solidFill>
              <a:schemeClr val="accent2">
                <a:lumMod val="80000"/>
              </a:schemeClr>
            </a:solidFill>
            <a:ln>
              <a:noFill/>
            </a:ln>
            <a:effectLst/>
          </c:spPr>
          <c:invertIfNegative val="0"/>
          <c:val>
            <c:numRef>
              <c:f>'Reporte Auto'!$AN$83</c:f>
              <c:numCache>
                <c:formatCode>0.00</c:formatCode>
                <c:ptCount val="1"/>
              </c:numCache>
            </c:numRef>
          </c:val>
          <c:extLst>
            <c:ext xmlns:c16="http://schemas.microsoft.com/office/drawing/2014/chart" uri="{C3380CC4-5D6E-409C-BE32-E72D297353CC}">
              <c16:uniqueId val="{00000013-7B40-46C6-8337-469835FFD39D}"/>
            </c:ext>
          </c:extLst>
        </c:ser>
        <c:ser>
          <c:idx val="20"/>
          <c:order val="20"/>
          <c:spPr>
            <a:solidFill>
              <a:schemeClr val="accent3">
                <a:lumMod val="80000"/>
              </a:schemeClr>
            </a:solidFill>
            <a:ln>
              <a:noFill/>
            </a:ln>
            <a:effectLst/>
          </c:spPr>
          <c:invertIfNegative val="0"/>
          <c:val>
            <c:numRef>
              <c:f>'Reporte Auto'!$AN$84</c:f>
              <c:numCache>
                <c:formatCode>0.00</c:formatCode>
                <c:ptCount val="1"/>
              </c:numCache>
            </c:numRef>
          </c:val>
          <c:extLst>
            <c:ext xmlns:c16="http://schemas.microsoft.com/office/drawing/2014/chart" uri="{C3380CC4-5D6E-409C-BE32-E72D297353CC}">
              <c16:uniqueId val="{00000014-7B40-46C6-8337-469835FFD39D}"/>
            </c:ext>
          </c:extLst>
        </c:ser>
        <c:ser>
          <c:idx val="21"/>
          <c:order val="21"/>
          <c:spPr>
            <a:solidFill>
              <a:schemeClr val="accent4">
                <a:lumMod val="80000"/>
              </a:schemeClr>
            </a:solidFill>
            <a:ln>
              <a:noFill/>
            </a:ln>
            <a:effectLst/>
          </c:spPr>
          <c:invertIfNegative val="0"/>
          <c:val>
            <c:numRef>
              <c:f>'Reporte Auto'!$AN$85</c:f>
              <c:numCache>
                <c:formatCode>0.00</c:formatCode>
                <c:ptCount val="1"/>
              </c:numCache>
            </c:numRef>
          </c:val>
          <c:extLst>
            <c:ext xmlns:c16="http://schemas.microsoft.com/office/drawing/2014/chart" uri="{C3380CC4-5D6E-409C-BE32-E72D297353CC}">
              <c16:uniqueId val="{00000015-7B40-46C6-8337-469835FFD39D}"/>
            </c:ext>
          </c:extLst>
        </c:ser>
        <c:ser>
          <c:idx val="22"/>
          <c:order val="22"/>
          <c:spPr>
            <a:solidFill>
              <a:schemeClr val="accent5">
                <a:lumMod val="80000"/>
              </a:schemeClr>
            </a:solidFill>
            <a:ln>
              <a:noFill/>
            </a:ln>
            <a:effectLst/>
          </c:spPr>
          <c:invertIfNegative val="0"/>
          <c:val>
            <c:numRef>
              <c:f>'Reporte Auto'!$AN$86</c:f>
              <c:numCache>
                <c:formatCode>0.00</c:formatCode>
                <c:ptCount val="1"/>
              </c:numCache>
            </c:numRef>
          </c:val>
          <c:extLst>
            <c:ext xmlns:c16="http://schemas.microsoft.com/office/drawing/2014/chart" uri="{C3380CC4-5D6E-409C-BE32-E72D297353CC}">
              <c16:uniqueId val="{00000016-7B40-46C6-8337-469835FFD39D}"/>
            </c:ext>
          </c:extLst>
        </c:ser>
        <c:ser>
          <c:idx val="23"/>
          <c:order val="23"/>
          <c:spPr>
            <a:solidFill>
              <a:schemeClr val="accent6">
                <a:lumMod val="80000"/>
              </a:schemeClr>
            </a:solidFill>
            <a:ln>
              <a:noFill/>
            </a:ln>
            <a:effectLst/>
          </c:spPr>
          <c:invertIfNegative val="0"/>
          <c:val>
            <c:numRef>
              <c:f>'Reporte Auto'!$AN$87</c:f>
              <c:numCache>
                <c:formatCode>0.00</c:formatCode>
                <c:ptCount val="1"/>
              </c:numCache>
            </c:numRef>
          </c:val>
          <c:extLst>
            <c:ext xmlns:c16="http://schemas.microsoft.com/office/drawing/2014/chart" uri="{C3380CC4-5D6E-409C-BE32-E72D297353CC}">
              <c16:uniqueId val="{00000017-7B40-46C6-8337-469835FFD39D}"/>
            </c:ext>
          </c:extLst>
        </c:ser>
        <c:ser>
          <c:idx val="24"/>
          <c:order val="24"/>
          <c:spPr>
            <a:solidFill>
              <a:schemeClr val="accent1">
                <a:lumMod val="60000"/>
                <a:lumOff val="40000"/>
              </a:schemeClr>
            </a:solidFill>
            <a:ln>
              <a:noFill/>
            </a:ln>
            <a:effectLst/>
          </c:spPr>
          <c:invertIfNegative val="0"/>
          <c:val>
            <c:numRef>
              <c:f>'Reporte Auto'!$AN$88</c:f>
              <c:numCache>
                <c:formatCode>0.00</c:formatCode>
                <c:ptCount val="1"/>
              </c:numCache>
            </c:numRef>
          </c:val>
          <c:extLst>
            <c:ext xmlns:c16="http://schemas.microsoft.com/office/drawing/2014/chart" uri="{C3380CC4-5D6E-409C-BE32-E72D297353CC}">
              <c16:uniqueId val="{00000018-7B40-46C6-8337-469835FFD39D}"/>
            </c:ext>
          </c:extLst>
        </c:ser>
        <c:ser>
          <c:idx val="25"/>
          <c:order val="25"/>
          <c:spPr>
            <a:solidFill>
              <a:schemeClr val="accent2">
                <a:lumMod val="60000"/>
                <a:lumOff val="40000"/>
              </a:schemeClr>
            </a:solidFill>
            <a:ln>
              <a:noFill/>
            </a:ln>
            <a:effectLst/>
          </c:spPr>
          <c:invertIfNegative val="0"/>
          <c:val>
            <c:numRef>
              <c:f>'Reporte Auto'!$AN$89</c:f>
              <c:numCache>
                <c:formatCode>0.00</c:formatCode>
                <c:ptCount val="1"/>
              </c:numCache>
            </c:numRef>
          </c:val>
          <c:extLst>
            <c:ext xmlns:c16="http://schemas.microsoft.com/office/drawing/2014/chart" uri="{C3380CC4-5D6E-409C-BE32-E72D297353CC}">
              <c16:uniqueId val="{00000019-7B40-46C6-8337-469835FFD39D}"/>
            </c:ext>
          </c:extLst>
        </c:ser>
        <c:ser>
          <c:idx val="26"/>
          <c:order val="26"/>
          <c:spPr>
            <a:solidFill>
              <a:schemeClr val="accent3">
                <a:lumMod val="60000"/>
                <a:lumOff val="40000"/>
              </a:schemeClr>
            </a:solidFill>
            <a:ln>
              <a:noFill/>
            </a:ln>
            <a:effectLst/>
          </c:spPr>
          <c:invertIfNegative val="0"/>
          <c:val>
            <c:numRef>
              <c:f>'Reporte Auto'!$AN$90</c:f>
              <c:numCache>
                <c:formatCode>0.00</c:formatCode>
                <c:ptCount val="1"/>
              </c:numCache>
            </c:numRef>
          </c:val>
          <c:extLst>
            <c:ext xmlns:c16="http://schemas.microsoft.com/office/drawing/2014/chart" uri="{C3380CC4-5D6E-409C-BE32-E72D297353CC}">
              <c16:uniqueId val="{0000001A-7B40-46C6-8337-469835FFD39D}"/>
            </c:ext>
          </c:extLst>
        </c:ser>
        <c:ser>
          <c:idx val="27"/>
          <c:order val="27"/>
          <c:spPr>
            <a:solidFill>
              <a:schemeClr val="accent4">
                <a:lumMod val="60000"/>
                <a:lumOff val="40000"/>
              </a:schemeClr>
            </a:solidFill>
            <a:ln>
              <a:noFill/>
            </a:ln>
            <a:effectLst/>
          </c:spPr>
          <c:invertIfNegative val="0"/>
          <c:val>
            <c:numRef>
              <c:f>'Reporte Auto'!$AN$91</c:f>
              <c:numCache>
                <c:formatCode>0.00</c:formatCode>
                <c:ptCount val="1"/>
              </c:numCache>
            </c:numRef>
          </c:val>
          <c:extLst>
            <c:ext xmlns:c16="http://schemas.microsoft.com/office/drawing/2014/chart" uri="{C3380CC4-5D6E-409C-BE32-E72D297353CC}">
              <c16:uniqueId val="{0000001B-7B40-46C6-8337-469835FFD39D}"/>
            </c:ext>
          </c:extLst>
        </c:ser>
        <c:ser>
          <c:idx val="28"/>
          <c:order val="28"/>
          <c:spPr>
            <a:solidFill>
              <a:schemeClr val="accent5">
                <a:lumMod val="60000"/>
                <a:lumOff val="40000"/>
              </a:schemeClr>
            </a:solidFill>
            <a:ln>
              <a:noFill/>
            </a:ln>
            <a:effectLst/>
          </c:spPr>
          <c:invertIfNegative val="0"/>
          <c:val>
            <c:numRef>
              <c:f>'Reporte Auto'!$AN$92</c:f>
              <c:numCache>
                <c:formatCode>0.00</c:formatCode>
                <c:ptCount val="1"/>
              </c:numCache>
            </c:numRef>
          </c:val>
          <c:extLst>
            <c:ext xmlns:c16="http://schemas.microsoft.com/office/drawing/2014/chart" uri="{C3380CC4-5D6E-409C-BE32-E72D297353CC}">
              <c16:uniqueId val="{0000001C-7B40-46C6-8337-469835FFD39D}"/>
            </c:ext>
          </c:extLst>
        </c:ser>
        <c:ser>
          <c:idx val="29"/>
          <c:order val="29"/>
          <c:spPr>
            <a:solidFill>
              <a:schemeClr val="accent6">
                <a:lumMod val="60000"/>
                <a:lumOff val="40000"/>
              </a:schemeClr>
            </a:solidFill>
            <a:ln>
              <a:noFill/>
            </a:ln>
            <a:effectLst/>
          </c:spPr>
          <c:invertIfNegative val="0"/>
          <c:val>
            <c:numRef>
              <c:f>'Reporte Auto'!$AN$93</c:f>
              <c:numCache>
                <c:formatCode>0.00</c:formatCode>
                <c:ptCount val="1"/>
              </c:numCache>
            </c:numRef>
          </c:val>
          <c:extLst>
            <c:ext xmlns:c16="http://schemas.microsoft.com/office/drawing/2014/chart" uri="{C3380CC4-5D6E-409C-BE32-E72D297353CC}">
              <c16:uniqueId val="{0000001D-7B40-46C6-8337-469835FFD39D}"/>
            </c:ext>
          </c:extLst>
        </c:ser>
        <c:ser>
          <c:idx val="30"/>
          <c:order val="30"/>
          <c:spPr>
            <a:solidFill>
              <a:schemeClr val="accent1">
                <a:lumMod val="50000"/>
              </a:schemeClr>
            </a:solidFill>
            <a:ln>
              <a:noFill/>
            </a:ln>
            <a:effectLst/>
          </c:spPr>
          <c:invertIfNegative val="0"/>
          <c:val>
            <c:numRef>
              <c:f>'Reporte Auto'!$AN$94</c:f>
              <c:numCache>
                <c:formatCode>0.00</c:formatCode>
                <c:ptCount val="1"/>
              </c:numCache>
            </c:numRef>
          </c:val>
          <c:extLst>
            <c:ext xmlns:c16="http://schemas.microsoft.com/office/drawing/2014/chart" uri="{C3380CC4-5D6E-409C-BE32-E72D297353CC}">
              <c16:uniqueId val="{0000001E-7B40-46C6-8337-469835FFD39D}"/>
            </c:ext>
          </c:extLst>
        </c:ser>
        <c:dLbls>
          <c:showLegendKey val="0"/>
          <c:showVal val="0"/>
          <c:showCatName val="0"/>
          <c:showSerName val="0"/>
          <c:showPercent val="0"/>
          <c:showBubbleSize val="0"/>
        </c:dLbls>
        <c:gapWidth val="219"/>
        <c:axId val="2017394696"/>
        <c:axId val="2017396744"/>
      </c:barChart>
      <c:catAx>
        <c:axId val="20173946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017396744"/>
        <c:crosses val="autoZero"/>
        <c:auto val="1"/>
        <c:lblAlgn val="ctr"/>
        <c:lblOffset val="100"/>
        <c:noMultiLvlLbl val="0"/>
      </c:catAx>
      <c:valAx>
        <c:axId val="2017396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017394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Avisos abiertos por área y criticidad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stacked"/>
        <c:varyColors val="0"/>
        <c:ser>
          <c:idx val="0"/>
          <c:order val="0"/>
          <c:tx>
            <c:strRef>
              <c:f>'Resumen Avisos'!$J$5</c:f>
              <c:strCache>
                <c:ptCount val="1"/>
                <c:pt idx="0">
                  <c:v>Parada</c:v>
                </c:pt>
              </c:strCache>
            </c:strRef>
          </c:tx>
          <c:spPr>
            <a:solidFill>
              <a:srgbClr val="C00000"/>
            </a:solidFill>
            <a:ln>
              <a:noFill/>
            </a:ln>
            <a:effectLst/>
          </c:spPr>
          <c:invertIfNegative val="0"/>
          <c:cat>
            <c:strRef>
              <c:f>'Resumen Avisos'!$I$6:$I$10</c:f>
              <c:strCache>
                <c:ptCount val="5"/>
                <c:pt idx="0">
                  <c:v>Trituración</c:v>
                </c:pt>
                <c:pt idx="1">
                  <c:v>Magnética</c:v>
                </c:pt>
                <c:pt idx="2">
                  <c:v>Filtros</c:v>
                </c:pt>
                <c:pt idx="3">
                  <c:v>Relaves</c:v>
                </c:pt>
                <c:pt idx="4">
                  <c:v>Embarque</c:v>
                </c:pt>
              </c:strCache>
            </c:strRef>
          </c:cat>
          <c:val>
            <c:numRef>
              <c:f>'Resumen Avisos'!$J$6:$J$10</c:f>
              <c:numCache>
                <c:formatCode>#,##0;\(#,##0\);\-</c:formatCode>
                <c:ptCount val="5"/>
                <c:pt idx="0">
                  <c:v>0</c:v>
                </c:pt>
                <c:pt idx="1">
                  <c:v>35</c:v>
                </c:pt>
                <c:pt idx="2">
                  <c:v>0</c:v>
                </c:pt>
                <c:pt idx="3">
                  <c:v>0</c:v>
                </c:pt>
                <c:pt idx="4">
                  <c:v>2</c:v>
                </c:pt>
              </c:numCache>
            </c:numRef>
          </c:val>
          <c:extLst>
            <c:ext xmlns:c16="http://schemas.microsoft.com/office/drawing/2014/chart" uri="{C3380CC4-5D6E-409C-BE32-E72D297353CC}">
              <c16:uniqueId val="{00000000-C5BD-4506-A7DA-11775DE4506A}"/>
            </c:ext>
          </c:extLst>
        </c:ser>
        <c:ser>
          <c:idx val="1"/>
          <c:order val="1"/>
          <c:tx>
            <c:strRef>
              <c:f>'Resumen Avisos'!$K$5</c:f>
              <c:strCache>
                <c:ptCount val="1"/>
                <c:pt idx="0">
                  <c:v>Alta</c:v>
                </c:pt>
              </c:strCache>
            </c:strRef>
          </c:tx>
          <c:spPr>
            <a:solidFill>
              <a:srgbClr val="FF7C80"/>
            </a:solidFill>
            <a:ln>
              <a:noFill/>
            </a:ln>
            <a:effectLst/>
          </c:spPr>
          <c:invertIfNegative val="0"/>
          <c:cat>
            <c:strRef>
              <c:f>'Resumen Avisos'!$I$6:$I$10</c:f>
              <c:strCache>
                <c:ptCount val="5"/>
                <c:pt idx="0">
                  <c:v>Trituración</c:v>
                </c:pt>
                <c:pt idx="1">
                  <c:v>Magnética</c:v>
                </c:pt>
                <c:pt idx="2">
                  <c:v>Filtros</c:v>
                </c:pt>
                <c:pt idx="3">
                  <c:v>Relaves</c:v>
                </c:pt>
                <c:pt idx="4">
                  <c:v>Embarque</c:v>
                </c:pt>
              </c:strCache>
            </c:strRef>
          </c:cat>
          <c:val>
            <c:numRef>
              <c:f>'Resumen Avisos'!$K$6:$K$10</c:f>
              <c:numCache>
                <c:formatCode>#,##0;\(#,##0\);\-</c:formatCode>
                <c:ptCount val="5"/>
                <c:pt idx="0">
                  <c:v>0</c:v>
                </c:pt>
                <c:pt idx="1">
                  <c:v>70</c:v>
                </c:pt>
                <c:pt idx="2">
                  <c:v>8</c:v>
                </c:pt>
                <c:pt idx="3">
                  <c:v>9</c:v>
                </c:pt>
                <c:pt idx="4">
                  <c:v>27</c:v>
                </c:pt>
              </c:numCache>
            </c:numRef>
          </c:val>
          <c:extLst>
            <c:ext xmlns:c16="http://schemas.microsoft.com/office/drawing/2014/chart" uri="{C3380CC4-5D6E-409C-BE32-E72D297353CC}">
              <c16:uniqueId val="{00000001-C5BD-4506-A7DA-11775DE4506A}"/>
            </c:ext>
          </c:extLst>
        </c:ser>
        <c:ser>
          <c:idx val="2"/>
          <c:order val="2"/>
          <c:tx>
            <c:strRef>
              <c:f>'Resumen Avisos'!$L$5</c:f>
              <c:strCache>
                <c:ptCount val="1"/>
                <c:pt idx="0">
                  <c:v>Media</c:v>
                </c:pt>
              </c:strCache>
            </c:strRef>
          </c:tx>
          <c:spPr>
            <a:solidFill>
              <a:srgbClr val="FFC000"/>
            </a:solidFill>
            <a:ln>
              <a:noFill/>
            </a:ln>
            <a:effectLst/>
          </c:spPr>
          <c:invertIfNegative val="0"/>
          <c:cat>
            <c:strRef>
              <c:f>'Resumen Avisos'!$I$6:$I$10</c:f>
              <c:strCache>
                <c:ptCount val="5"/>
                <c:pt idx="0">
                  <c:v>Trituración</c:v>
                </c:pt>
                <c:pt idx="1">
                  <c:v>Magnética</c:v>
                </c:pt>
                <c:pt idx="2">
                  <c:v>Filtros</c:v>
                </c:pt>
                <c:pt idx="3">
                  <c:v>Relaves</c:v>
                </c:pt>
                <c:pt idx="4">
                  <c:v>Embarque</c:v>
                </c:pt>
              </c:strCache>
            </c:strRef>
          </c:cat>
          <c:val>
            <c:numRef>
              <c:f>'Resumen Avisos'!$L$6:$L$10</c:f>
              <c:numCache>
                <c:formatCode>#,##0;\(#,##0\);\-</c:formatCode>
                <c:ptCount val="5"/>
                <c:pt idx="0">
                  <c:v>0</c:v>
                </c:pt>
                <c:pt idx="1">
                  <c:v>83</c:v>
                </c:pt>
                <c:pt idx="2">
                  <c:v>0</c:v>
                </c:pt>
                <c:pt idx="3">
                  <c:v>1</c:v>
                </c:pt>
                <c:pt idx="4">
                  <c:v>34</c:v>
                </c:pt>
              </c:numCache>
            </c:numRef>
          </c:val>
          <c:extLst>
            <c:ext xmlns:c16="http://schemas.microsoft.com/office/drawing/2014/chart" uri="{C3380CC4-5D6E-409C-BE32-E72D297353CC}">
              <c16:uniqueId val="{00000002-C5BD-4506-A7DA-11775DE4506A}"/>
            </c:ext>
          </c:extLst>
        </c:ser>
        <c:ser>
          <c:idx val="3"/>
          <c:order val="3"/>
          <c:tx>
            <c:strRef>
              <c:f>'Resumen Avisos'!$M$5</c:f>
              <c:strCache>
                <c:ptCount val="1"/>
                <c:pt idx="0">
                  <c:v>Baja</c:v>
                </c:pt>
              </c:strCache>
            </c:strRef>
          </c:tx>
          <c:spPr>
            <a:solidFill>
              <a:srgbClr val="A9D08E"/>
            </a:solidFill>
            <a:ln>
              <a:noFill/>
            </a:ln>
            <a:effectLst/>
          </c:spPr>
          <c:invertIfNegative val="0"/>
          <c:cat>
            <c:strRef>
              <c:f>'Resumen Avisos'!$I$6:$I$10</c:f>
              <c:strCache>
                <c:ptCount val="5"/>
                <c:pt idx="0">
                  <c:v>Trituración</c:v>
                </c:pt>
                <c:pt idx="1">
                  <c:v>Magnética</c:v>
                </c:pt>
                <c:pt idx="2">
                  <c:v>Filtros</c:v>
                </c:pt>
                <c:pt idx="3">
                  <c:v>Relaves</c:v>
                </c:pt>
                <c:pt idx="4">
                  <c:v>Embarque</c:v>
                </c:pt>
              </c:strCache>
            </c:strRef>
          </c:cat>
          <c:val>
            <c:numRef>
              <c:f>'Resumen Avisos'!$M$6:$M$10</c:f>
              <c:numCache>
                <c:formatCode>#,##0;\(#,##0\);\-</c:formatCode>
                <c:ptCount val="5"/>
                <c:pt idx="0">
                  <c:v>0</c:v>
                </c:pt>
                <c:pt idx="1">
                  <c:v>0</c:v>
                </c:pt>
                <c:pt idx="2">
                  <c:v>0</c:v>
                </c:pt>
                <c:pt idx="3">
                  <c:v>2</c:v>
                </c:pt>
                <c:pt idx="4">
                  <c:v>6</c:v>
                </c:pt>
              </c:numCache>
            </c:numRef>
          </c:val>
          <c:extLst>
            <c:ext xmlns:c16="http://schemas.microsoft.com/office/drawing/2014/chart" uri="{C3380CC4-5D6E-409C-BE32-E72D297353CC}">
              <c16:uniqueId val="{00000003-C5BD-4506-A7DA-11775DE4506A}"/>
            </c:ext>
          </c:extLst>
        </c:ser>
        <c:dLbls>
          <c:showLegendKey val="0"/>
          <c:showVal val="0"/>
          <c:showCatName val="0"/>
          <c:showSerName val="0"/>
          <c:showPercent val="0"/>
          <c:showBubbleSize val="0"/>
        </c:dLbls>
        <c:gapWidth val="150"/>
        <c:overlap val="100"/>
        <c:axId val="1923842448"/>
        <c:axId val="1926521120"/>
      </c:barChart>
      <c:catAx>
        <c:axId val="192384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926521120"/>
        <c:crosses val="autoZero"/>
        <c:auto val="1"/>
        <c:lblAlgn val="ctr"/>
        <c:lblOffset val="100"/>
        <c:noMultiLvlLbl val="0"/>
      </c:catAx>
      <c:valAx>
        <c:axId val="192652112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923842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tmp"/></Relationships>
</file>

<file path=xl/drawings/_rels/drawing2.xml.rels><?xml version="1.0" encoding="UTF-8" standalone="yes"?>
<Relationships xmlns="http://schemas.openxmlformats.org/package/2006/relationships"><Relationship Id="rId1" Type="http://schemas.openxmlformats.org/officeDocument/2006/relationships/image" Target="../media/image1.tmp"/></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1" Type="http://schemas.openxmlformats.org/officeDocument/2006/relationships/image" Target="../media/image2.jp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2.jpg"/></Relationships>
</file>

<file path=xl/drawings/_rels/drawing8.xml.rels><?xml version="1.0" encoding="UTF-8" standalone="yes"?>
<Relationships xmlns="http://schemas.openxmlformats.org/package/2006/relationships"><Relationship Id="rId1" Type="http://schemas.openxmlformats.org/officeDocument/2006/relationships/image" Target="../media/image2.jpg"/></Relationships>
</file>

<file path=xl/drawings/_rels/drawing9.xml.rels><?xml version="1.0" encoding="UTF-8" standalone="yes"?>
<Relationships xmlns="http://schemas.openxmlformats.org/package/2006/relationships"><Relationship Id="rId1" Type="http://schemas.openxmlformats.org/officeDocument/2006/relationships/image" Target="../media/image1.tmp"/></Relationships>
</file>

<file path=xl/drawings/_rels/drawing10.xml.rels><?xml version="1.0" encoding="UTF-8" standalone="yes"?>
<Relationships xmlns="http://schemas.openxmlformats.org/package/2006/relationships"><Relationship Id="rId1" Type="http://schemas.openxmlformats.org/officeDocument/2006/relationships/image" Target="../media/image1.tmp"/></Relationships>
</file>

<file path=xl/drawings/_rels/drawing11.xml.rels><?xml version="1.0" encoding="UTF-8" standalone="yes"?>
<Relationships xmlns="http://schemas.openxmlformats.org/package/2006/relationships"><Relationship Id="rId1" Type="http://schemas.openxmlformats.org/officeDocument/2006/relationships/image" Target="../media/image1.tmp"/></Relationships>
</file>

<file path=xl/drawings/_rels/drawing12.xml.rels><?xml version="1.0" encoding="UTF-8" standalone="yes"?>
<Relationships xmlns="http://schemas.openxmlformats.org/package/2006/relationships"><Relationship Id="rId1" Type="http://schemas.openxmlformats.org/officeDocument/2006/relationships/image" Target="../media/image1.tmp"/></Relationships>
</file>

<file path=xl/drawings/_rels/drawing13.xml.rels><?xml version="1.0" encoding="UTF-8" standalone="yes"?>
<Relationships xmlns="http://schemas.openxmlformats.org/package/2006/relationships"><Relationship Id="rId1" Type="http://schemas.openxmlformats.org/officeDocument/2006/relationships/image" Target="../media/image1.tmp"/></Relationships>
</file>

<file path=xl/drawings/_rels/drawing14.xml.rels><?xml version="1.0" encoding="UTF-8" standalone="yes"?>
<Relationships xmlns="http://schemas.openxmlformats.org/package/2006/relationships"><Relationship Id="rId1" Type="http://schemas.openxmlformats.org/officeDocument/2006/relationships/image" Target="../media/image1.tmp"/></Relationships>
</file>

<file path=xl/drawings/_rels/drawing15.xml.rels><?xml version="1.0" encoding="UTF-8" standalone="yes"?>
<Relationships xmlns="http://schemas.openxmlformats.org/package/2006/relationships"><Relationship Id="rId1" Type="http://schemas.openxmlformats.org/officeDocument/2006/relationships/image" Target="../media/image1.tmp"/></Relationships>
</file>

<file path=xl/drawings/_rels/drawing1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image" Target="../media/image1.tmp"/></Relationships>
</file>

<file path=xl/drawings/_rels/drawing17.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7.xml"/><Relationship Id="rId3" Type="http://schemas.openxmlformats.org/officeDocument/2006/relationships/chart" Target="../charts/chart7.xml"/><Relationship Id="rId7" Type="http://schemas.openxmlformats.org/officeDocument/2006/relationships/chart" Target="../charts/chart11.xml"/><Relationship Id="rId12" Type="http://schemas.openxmlformats.org/officeDocument/2006/relationships/chart" Target="../charts/chart16.xml"/><Relationship Id="rId2" Type="http://schemas.openxmlformats.org/officeDocument/2006/relationships/chart" Target="../charts/chart6.xml"/><Relationship Id="rId16" Type="http://schemas.openxmlformats.org/officeDocument/2006/relationships/chart" Target="../charts/chart20.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chart" Target="../charts/chart9.xml"/><Relationship Id="rId15" Type="http://schemas.openxmlformats.org/officeDocument/2006/relationships/chart" Target="../charts/chart19.xml"/><Relationship Id="rId10" Type="http://schemas.openxmlformats.org/officeDocument/2006/relationships/chart" Target="../charts/chart14.xml"/><Relationship Id="rId4" Type="http://schemas.openxmlformats.org/officeDocument/2006/relationships/chart" Target="../charts/chart8.xml"/><Relationship Id="rId9" Type="http://schemas.openxmlformats.org/officeDocument/2006/relationships/chart" Target="../charts/chart13.xml"/><Relationship Id="rId14" Type="http://schemas.openxmlformats.org/officeDocument/2006/relationships/chart" Target="../charts/chart18.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177800</xdr:colOff>
      <xdr:row>0</xdr:row>
      <xdr:rowOff>25400</xdr:rowOff>
    </xdr:from>
    <xdr:to>
      <xdr:col>2</xdr:col>
      <xdr:colOff>571500</xdr:colOff>
      <xdr:row>2</xdr:row>
      <xdr:rowOff>158750</xdr:rowOff>
    </xdr:to>
    <xdr:pic>
      <xdr:nvPicPr>
        <xdr:cNvPr id="2" name="logoShougang">
          <a:extLst>
            <a:ext uri="{FF2B5EF4-FFF2-40B4-BE49-F238E27FC236}">
              <a16:creationId xmlns:a16="http://schemas.microsoft.com/office/drawing/2014/main" id="{5EDA8732-448E-4C8C-9B55-391B53CBB740}"/>
            </a:ext>
          </a:extLst>
        </xdr:cNvPr>
        <xdr:cNvPicPr>
          <a:picLocks noChangeAspect="1"/>
        </xdr:cNvPicPr>
      </xdr:nvPicPr>
      <xdr:blipFill>
        <a:blip xmlns:r="http://schemas.openxmlformats.org/officeDocument/2006/relationships" r:embed="rId1"/>
        <a:stretch>
          <a:fillRect/>
        </a:stretch>
      </xdr:blipFill>
      <xdr:spPr>
        <a:xfrm>
          <a:off x="177800" y="25400"/>
          <a:ext cx="965200" cy="647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177800</xdr:colOff>
      <xdr:row>0</xdr:row>
      <xdr:rowOff>25400</xdr:rowOff>
    </xdr:from>
    <xdr:to>
      <xdr:col>2</xdr:col>
      <xdr:colOff>571500</xdr:colOff>
      <xdr:row>3</xdr:row>
      <xdr:rowOff>6350</xdr:rowOff>
    </xdr:to>
    <xdr:pic>
      <xdr:nvPicPr>
        <xdr:cNvPr id="2" name="logoShougang">
          <a:extLst>
            <a:ext uri="{FF2B5EF4-FFF2-40B4-BE49-F238E27FC236}">
              <a16:creationId xmlns:a16="http://schemas.microsoft.com/office/drawing/2014/main" id="{9741EF38-EFF1-42D4-AC5E-CF955F0F99F1}"/>
            </a:ext>
          </a:extLst>
        </xdr:cNvPr>
        <xdr:cNvPicPr>
          <a:picLocks noChangeAspect="1"/>
        </xdr:cNvPicPr>
      </xdr:nvPicPr>
      <xdr:blipFill>
        <a:blip xmlns:r="http://schemas.openxmlformats.org/officeDocument/2006/relationships" r:embed="rId1"/>
        <a:stretch>
          <a:fillRect/>
        </a:stretch>
      </xdr:blipFill>
      <xdr:spPr>
        <a:xfrm>
          <a:off x="177800" y="25400"/>
          <a:ext cx="965200" cy="647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xdr:col>
      <xdr:colOff>228600</xdr:colOff>
      <xdr:row>0</xdr:row>
      <xdr:rowOff>0</xdr:rowOff>
    </xdr:from>
    <xdr:ext cx="1304925" cy="876300"/>
    <xdr:pic>
      <xdr:nvPicPr>
        <xdr:cNvPr id="2" name="image1.jpg" descr="SHOUGANG HIERRO PERU S.A.A.">
          <a:extLst>
            <a:ext uri="{FF2B5EF4-FFF2-40B4-BE49-F238E27FC236}">
              <a16:creationId xmlns:a16="http://schemas.microsoft.com/office/drawing/2014/main" id="{9CB62B7A-2C4F-40D7-9577-9DB76EE2AE7F}"/>
            </a:ext>
          </a:extLst>
        </xdr:cNvPr>
        <xdr:cNvPicPr preferRelativeResize="0"/>
      </xdr:nvPicPr>
      <xdr:blipFill>
        <a:blip xmlns:r="http://schemas.openxmlformats.org/officeDocument/2006/relationships" r:embed="rId1" cstate="print"/>
        <a:stretch>
          <a:fillRect/>
        </a:stretch>
      </xdr:blipFill>
      <xdr:spPr>
        <a:xfrm>
          <a:off x="990600" y="0"/>
          <a:ext cx="1304925" cy="876300"/>
        </a:xfrm>
        <a:prstGeom prst="rect">
          <a:avLst/>
        </a:prstGeom>
        <a:noFill/>
      </xdr:spPr>
    </xdr:pic>
    <xdr:clientData fLocksWithSheet="0"/>
  </xdr:oneCellAnchor>
  <xdr:twoCellAnchor>
    <xdr:from>
      <xdr:col>5</xdr:col>
      <xdr:colOff>2334986</xdr:colOff>
      <xdr:row>2</xdr:row>
      <xdr:rowOff>58057</xdr:rowOff>
    </xdr:from>
    <xdr:to>
      <xdr:col>6</xdr:col>
      <xdr:colOff>1403350</xdr:colOff>
      <xdr:row>4</xdr:row>
      <xdr:rowOff>9071</xdr:rowOff>
    </xdr:to>
    <xdr:sp macro="[0]!GuardarRDO" textlink="">
      <xdr:nvSpPr>
        <xdr:cNvPr id="3" name="btn_GuardarRDO">
          <a:extLst>
            <a:ext uri="{FF2B5EF4-FFF2-40B4-BE49-F238E27FC236}">
              <a16:creationId xmlns:a16="http://schemas.microsoft.com/office/drawing/2014/main" id="{E1C1E68E-5948-41C4-82E9-1E7AF004400C}"/>
            </a:ext>
          </a:extLst>
        </xdr:cNvPr>
        <xdr:cNvSpPr/>
      </xdr:nvSpPr>
      <xdr:spPr>
        <a:xfrm>
          <a:off x="11315700" y="520700"/>
          <a:ext cx="1422400" cy="304800"/>
        </a:xfrm>
        <a:prstGeom prst="roundRect">
          <a:avLst/>
        </a:prstGeom>
        <a:solidFill>
          <a:srgbClr val="548235"/>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ES" sz="1000" b="1" i="0" u="none" strike="noStrike" kern="0" cap="none" spc="0" normalizeH="0" baseline="0" noProof="0">
              <a:ln>
                <a:noFill/>
              </a:ln>
              <a:solidFill>
                <a:srgbClr val="FFFFFF"/>
              </a:solidFill>
              <a:effectLst/>
              <a:uLnTx/>
              <a:uFillTx/>
              <a:latin typeface="Calibri"/>
              <a:cs typeface="Calibri"/>
            </a:rPr>
            <a:t>GUARDAR DÍA</a:t>
          </a:r>
        </a:p>
      </xdr:txBody>
    </xdr:sp>
    <xdr:clientData fPrintsWithSheet="0"/>
  </xdr:twoCellAnchor>
  <xdr:twoCellAnchor>
    <xdr:from>
      <xdr:col>6</xdr:col>
      <xdr:colOff>1504950</xdr:colOff>
      <xdr:row>2</xdr:row>
      <xdr:rowOff>58057</xdr:rowOff>
    </xdr:from>
    <xdr:to>
      <xdr:col>7</xdr:col>
      <xdr:colOff>872671</xdr:colOff>
      <xdr:row>4</xdr:row>
      <xdr:rowOff>9071</xdr:rowOff>
    </xdr:to>
    <xdr:sp macro="[0]!CargarRDO" textlink="">
      <xdr:nvSpPr>
        <xdr:cNvPr id="4" name="btn_CargarRDO">
          <a:extLst>
            <a:ext uri="{FF2B5EF4-FFF2-40B4-BE49-F238E27FC236}">
              <a16:creationId xmlns:a16="http://schemas.microsoft.com/office/drawing/2014/main" id="{9BF7FF88-8A18-45DB-B5B0-308DC5B262D8}"/>
            </a:ext>
          </a:extLst>
        </xdr:cNvPr>
        <xdr:cNvSpPr/>
      </xdr:nvSpPr>
      <xdr:spPr>
        <a:xfrm>
          <a:off x="12839700" y="520700"/>
          <a:ext cx="1422400" cy="304800"/>
        </a:xfrm>
        <a:prstGeom prst="roundRect">
          <a:avLst/>
        </a:prstGeom>
        <a:solidFill>
          <a:srgbClr val="1F3864"/>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ES" sz="1000" b="1" i="0" u="none" strike="noStrike" kern="0" cap="none" spc="0" normalizeH="0" baseline="0" noProof="0">
              <a:ln>
                <a:noFill/>
              </a:ln>
              <a:solidFill>
                <a:srgbClr val="FFFFFF"/>
              </a:solidFill>
              <a:effectLst/>
              <a:uLnTx/>
              <a:uFillTx/>
              <a:latin typeface="Calibri"/>
              <a:cs typeface="Calibri"/>
            </a:rPr>
            <a:t>CARGAR DÍA</a:t>
          </a:r>
        </a:p>
      </xdr:txBody>
    </xdr:sp>
    <xdr:clientData fPrintsWithSheet="0"/>
  </xdr:twoCellAnchor>
  <xdr:twoCellAnchor>
    <xdr:from>
      <xdr:col>7</xdr:col>
      <xdr:colOff>974271</xdr:colOff>
      <xdr:row>2</xdr:row>
      <xdr:rowOff>58057</xdr:rowOff>
    </xdr:from>
    <xdr:to>
      <xdr:col>8</xdr:col>
      <xdr:colOff>341993</xdr:colOff>
      <xdr:row>4</xdr:row>
      <xdr:rowOff>9071</xdr:rowOff>
    </xdr:to>
    <xdr:sp macro="[0]!LimpiarRDO" textlink="">
      <xdr:nvSpPr>
        <xdr:cNvPr id="5" name="btn_LimpiarRDO">
          <a:extLst>
            <a:ext uri="{FF2B5EF4-FFF2-40B4-BE49-F238E27FC236}">
              <a16:creationId xmlns:a16="http://schemas.microsoft.com/office/drawing/2014/main" id="{126E07B4-0145-460F-9C42-54FB51E0D09A}"/>
            </a:ext>
          </a:extLst>
        </xdr:cNvPr>
        <xdr:cNvSpPr/>
      </xdr:nvSpPr>
      <xdr:spPr>
        <a:xfrm>
          <a:off x="14363700" y="520700"/>
          <a:ext cx="1422400" cy="304800"/>
        </a:xfrm>
        <a:prstGeom prst="roundRect">
          <a:avLst/>
        </a:prstGeom>
        <a:solidFill>
          <a:srgbClr val="7F7F7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ES" sz="1000" b="1" i="0" u="none" strike="noStrike" kern="0" cap="none" spc="0" normalizeH="0" baseline="0" noProof="0">
              <a:ln>
                <a:noFill/>
              </a:ln>
              <a:solidFill>
                <a:srgbClr val="FFFFFF"/>
              </a:solidFill>
              <a:effectLst/>
              <a:uLnTx/>
              <a:uFillTx/>
              <a:latin typeface="Calibri"/>
              <a:cs typeface="Calibri"/>
            </a:rPr>
            <a:t>LIMPIAR</a:t>
          </a:r>
        </a:p>
      </xdr:txBody>
    </xdr:sp>
    <xdr:clientData fPrintsWithSheet="0"/>
  </xdr:twoCellAnchor>
  <xdr:twoCellAnchor>
    <xdr:from>
      <xdr:col>8</xdr:col>
      <xdr:colOff>443593</xdr:colOff>
      <xdr:row>2</xdr:row>
      <xdr:rowOff>58057</xdr:rowOff>
    </xdr:from>
    <xdr:to>
      <xdr:col>8</xdr:col>
      <xdr:colOff>1865993</xdr:colOff>
      <xdr:row>4</xdr:row>
      <xdr:rowOff>9071</xdr:rowOff>
    </xdr:to>
    <xdr:sp macro="[0]!CerrarRDO" textlink="">
      <xdr:nvSpPr>
        <xdr:cNvPr id="6" name="btn_CerrarRDO">
          <a:extLst>
            <a:ext uri="{FF2B5EF4-FFF2-40B4-BE49-F238E27FC236}">
              <a16:creationId xmlns:a16="http://schemas.microsoft.com/office/drawing/2014/main" id="{B534335D-D9AA-49B6-BD0A-1AC59D9ACAEA}"/>
            </a:ext>
          </a:extLst>
        </xdr:cNvPr>
        <xdr:cNvSpPr/>
      </xdr:nvSpPr>
      <xdr:spPr>
        <a:xfrm>
          <a:off x="15887700" y="520700"/>
          <a:ext cx="1422400" cy="304800"/>
        </a:xfrm>
        <a:prstGeom prst="roundRect">
          <a:avLst/>
        </a:prstGeom>
        <a:solidFill>
          <a:srgbClr val="C55A11"/>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ES" sz="1000" b="1" i="0" u="none" strike="noStrike" kern="0" cap="none" spc="0" normalizeH="0" baseline="0" noProof="0">
              <a:ln>
                <a:noFill/>
              </a:ln>
              <a:solidFill>
                <a:srgbClr val="FFFFFF"/>
              </a:solidFill>
              <a:effectLst/>
              <a:uLnTx/>
              <a:uFillTx/>
              <a:latin typeface="Calibri"/>
              <a:cs typeface="Calibri"/>
            </a:rPr>
            <a:t>CERRAR DÍA</a:t>
          </a:r>
        </a:p>
      </xdr:txBody>
    </xdr:sp>
    <xdr:clientData fPrintsWithSheet="0"/>
  </xdr:two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790575" cy="485775"/>
    <xdr:pic>
      <xdr:nvPicPr>
        <xdr:cNvPr id="2" name="logoShougang" descr="SHOUGANG HIERRO PERU S.A.A.">
          <a:extLst>
            <a:ext uri="{FF2B5EF4-FFF2-40B4-BE49-F238E27FC236}">
              <a16:creationId xmlns:a16="http://schemas.microsoft.com/office/drawing/2014/main" id="{FE546C42-12EC-41D2-9F5A-01AF73C54E1B}"/>
            </a:ext>
          </a:extLst>
        </xdr:cNvPr>
        <xdr:cNvPicPr preferRelativeResize="0"/>
      </xdr:nvPicPr>
      <xdr:blipFill>
        <a:blip xmlns:r="http://schemas.openxmlformats.org/officeDocument/2006/relationships" r:embed="rId1" cstate="print"/>
        <a:stretch>
          <a:fillRect/>
        </a:stretch>
      </xdr:blipFill>
      <xdr:spPr>
        <a:xfrm>
          <a:off x="0" y="0"/>
          <a:ext cx="790575" cy="485775"/>
        </a:xfrm>
        <a:prstGeom prst="rect">
          <a:avLst/>
        </a:prstGeom>
        <a:noFill/>
      </xdr:spPr>
    </xdr:pic>
    <xdr:clientData fLocksWithSheet="0"/>
  </xdr:oneCellAnchor>
  <xdr:twoCellAnchor>
    <xdr:from>
      <xdr:col>8</xdr:col>
      <xdr:colOff>4618</xdr:colOff>
      <xdr:row>2</xdr:row>
      <xdr:rowOff>48491</xdr:rowOff>
    </xdr:from>
    <xdr:to>
      <xdr:col>8</xdr:col>
      <xdr:colOff>1427018</xdr:colOff>
      <xdr:row>2</xdr:row>
      <xdr:rowOff>353291</xdr:rowOff>
    </xdr:to>
    <xdr:sp macro="[0]!GuardarPlanta" textlink="">
      <xdr:nvSpPr>
        <xdr:cNvPr id="3" name="btn_GuardarPlanta">
          <a:extLst>
            <a:ext uri="{FF2B5EF4-FFF2-40B4-BE49-F238E27FC236}">
              <a16:creationId xmlns:a16="http://schemas.microsoft.com/office/drawing/2014/main" id="{7D60D025-053B-4157-847F-F979E3EA6990}"/>
            </a:ext>
          </a:extLst>
        </xdr:cNvPr>
        <xdr:cNvSpPr/>
      </xdr:nvSpPr>
      <xdr:spPr>
        <a:xfrm>
          <a:off x="9131300" y="533400"/>
          <a:ext cx="1422400" cy="304800"/>
        </a:xfrm>
        <a:prstGeom prst="roundRect">
          <a:avLst/>
        </a:prstGeom>
        <a:solidFill>
          <a:srgbClr val="548235"/>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ES" sz="1000" b="1" i="0" u="none" strike="noStrike" kern="0" cap="none" spc="0" normalizeH="0" baseline="0" noProof="0">
              <a:ln>
                <a:noFill/>
              </a:ln>
              <a:solidFill>
                <a:srgbClr val="FFFFFF"/>
              </a:solidFill>
              <a:effectLst/>
              <a:uLnTx/>
              <a:uFillTx/>
              <a:latin typeface="Calibri"/>
              <a:cs typeface="Calibri"/>
            </a:rPr>
            <a:t>GUARDAR DÍA</a:t>
          </a:r>
        </a:p>
      </xdr:txBody>
    </xdr:sp>
    <xdr:clientData/>
  </xdr:twoCellAnchor>
  <xdr:twoCellAnchor>
    <xdr:from>
      <xdr:col>8</xdr:col>
      <xdr:colOff>1528618</xdr:colOff>
      <xdr:row>2</xdr:row>
      <xdr:rowOff>48491</xdr:rowOff>
    </xdr:from>
    <xdr:to>
      <xdr:col>9</xdr:col>
      <xdr:colOff>1046018</xdr:colOff>
      <xdr:row>2</xdr:row>
      <xdr:rowOff>353291</xdr:rowOff>
    </xdr:to>
    <xdr:sp macro="[0]!CargarPlanta" textlink="">
      <xdr:nvSpPr>
        <xdr:cNvPr id="4" name="btn_CargarPlanta">
          <a:extLst>
            <a:ext uri="{FF2B5EF4-FFF2-40B4-BE49-F238E27FC236}">
              <a16:creationId xmlns:a16="http://schemas.microsoft.com/office/drawing/2014/main" id="{28C3AFEF-85DD-4D68-B2BF-7108C5C7A0A1}"/>
            </a:ext>
          </a:extLst>
        </xdr:cNvPr>
        <xdr:cNvSpPr/>
      </xdr:nvSpPr>
      <xdr:spPr>
        <a:xfrm>
          <a:off x="10655300" y="533400"/>
          <a:ext cx="1422400" cy="304800"/>
        </a:xfrm>
        <a:prstGeom prst="roundRect">
          <a:avLst/>
        </a:prstGeom>
        <a:solidFill>
          <a:srgbClr val="1F3864"/>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ES" sz="1000" b="1" i="0" u="none" strike="noStrike" kern="0" cap="none" spc="0" normalizeH="0" baseline="0" noProof="0">
              <a:ln>
                <a:noFill/>
              </a:ln>
              <a:solidFill>
                <a:srgbClr val="FFFFFF"/>
              </a:solidFill>
              <a:effectLst/>
              <a:uLnTx/>
              <a:uFillTx/>
              <a:latin typeface="Calibri"/>
              <a:cs typeface="Calibri"/>
            </a:rPr>
            <a:t>CARGAR DÍA</a:t>
          </a:r>
        </a:p>
      </xdr:txBody>
    </xdr:sp>
    <xdr:clientData/>
  </xdr:twoCellAnchor>
  <xdr:twoCellAnchor>
    <xdr:from>
      <xdr:col>10</xdr:col>
      <xdr:colOff>39255</xdr:colOff>
      <xdr:row>2</xdr:row>
      <xdr:rowOff>48491</xdr:rowOff>
    </xdr:from>
    <xdr:to>
      <xdr:col>11</xdr:col>
      <xdr:colOff>647700</xdr:colOff>
      <xdr:row>2</xdr:row>
      <xdr:rowOff>353291</xdr:rowOff>
    </xdr:to>
    <xdr:sp macro="[0]!LimpiarPlanta" textlink="">
      <xdr:nvSpPr>
        <xdr:cNvPr id="5" name="btn_LimpiarPlanta">
          <a:extLst>
            <a:ext uri="{FF2B5EF4-FFF2-40B4-BE49-F238E27FC236}">
              <a16:creationId xmlns:a16="http://schemas.microsoft.com/office/drawing/2014/main" id="{1AB202EF-5920-492D-A14D-A76337DBB4FC}"/>
            </a:ext>
          </a:extLst>
        </xdr:cNvPr>
        <xdr:cNvSpPr/>
      </xdr:nvSpPr>
      <xdr:spPr>
        <a:xfrm>
          <a:off x="12179300" y="533400"/>
          <a:ext cx="1422400" cy="304800"/>
        </a:xfrm>
        <a:prstGeom prst="roundRect">
          <a:avLst/>
        </a:prstGeom>
        <a:solidFill>
          <a:srgbClr val="7F7F7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ES" sz="1000" b="1" i="0" u="none" strike="noStrike" kern="0" cap="none" spc="0" normalizeH="0" baseline="0" noProof="0">
              <a:ln>
                <a:noFill/>
              </a:ln>
              <a:solidFill>
                <a:srgbClr val="FFFFFF"/>
              </a:solidFill>
              <a:effectLst/>
              <a:uLnTx/>
              <a:uFillTx/>
              <a:latin typeface="Calibri"/>
              <a:cs typeface="Calibri"/>
            </a:rPr>
            <a:t>LIMPIAR</a:t>
          </a:r>
        </a:p>
      </xdr:txBody>
    </xdr:sp>
    <xdr:clientData/>
  </xdr:twoCellAnchor>
  <xdr:twoCellAnchor>
    <xdr:from>
      <xdr:col>11</xdr:col>
      <xdr:colOff>749300</xdr:colOff>
      <xdr:row>2</xdr:row>
      <xdr:rowOff>48491</xdr:rowOff>
    </xdr:from>
    <xdr:to>
      <xdr:col>13</xdr:col>
      <xdr:colOff>543791</xdr:colOff>
      <xdr:row>2</xdr:row>
      <xdr:rowOff>353291</xdr:rowOff>
    </xdr:to>
    <xdr:sp macro="[0]!CerrarPlanta" textlink="">
      <xdr:nvSpPr>
        <xdr:cNvPr id="6" name="btn_CerrarPlanta">
          <a:extLst>
            <a:ext uri="{FF2B5EF4-FFF2-40B4-BE49-F238E27FC236}">
              <a16:creationId xmlns:a16="http://schemas.microsoft.com/office/drawing/2014/main" id="{C9FFE889-C1A0-46C6-9ACA-08801FCDBA71}"/>
            </a:ext>
          </a:extLst>
        </xdr:cNvPr>
        <xdr:cNvSpPr/>
      </xdr:nvSpPr>
      <xdr:spPr>
        <a:xfrm>
          <a:off x="13703300" y="533400"/>
          <a:ext cx="1422400" cy="304800"/>
        </a:xfrm>
        <a:prstGeom prst="roundRect">
          <a:avLst/>
        </a:prstGeom>
        <a:solidFill>
          <a:srgbClr val="C55A11"/>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ES" sz="1000" b="1" i="0" u="none" strike="noStrike" kern="0" cap="none" spc="0" normalizeH="0" baseline="0" noProof="0">
              <a:ln>
                <a:noFill/>
              </a:ln>
              <a:solidFill>
                <a:srgbClr val="FFFFFF"/>
              </a:solidFill>
              <a:effectLst/>
              <a:uLnTx/>
              <a:uFillTx/>
              <a:latin typeface="Calibri"/>
              <a:cs typeface="Calibri"/>
            </a:rPr>
            <a:t>CERRAR DÍA</a:t>
          </a: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0</xdr:col>
      <xdr:colOff>177800</xdr:colOff>
      <xdr:row>0</xdr:row>
      <xdr:rowOff>25400</xdr:rowOff>
    </xdr:from>
    <xdr:ext cx="889000" cy="596900"/>
    <xdr:pic>
      <xdr:nvPicPr>
        <xdr:cNvPr id="2" name="logoShougang" descr="SHOUGANG HIERRO PERU S.A.A.">
          <a:extLst>
            <a:ext uri="{FF2B5EF4-FFF2-40B4-BE49-F238E27FC236}">
              <a16:creationId xmlns:a16="http://schemas.microsoft.com/office/drawing/2014/main" id="{AA0BFCCE-23A7-429A-80CC-CA9DDB9AED54}"/>
            </a:ext>
          </a:extLst>
        </xdr:cNvPr>
        <xdr:cNvPicPr preferRelativeResize="0"/>
      </xdr:nvPicPr>
      <xdr:blipFill>
        <a:blip xmlns:r="http://schemas.openxmlformats.org/officeDocument/2006/relationships" r:embed="rId1" cstate="print"/>
        <a:stretch>
          <a:fillRect/>
        </a:stretch>
      </xdr:blipFill>
      <xdr:spPr>
        <a:xfrm>
          <a:off x="177800" y="25400"/>
          <a:ext cx="889000" cy="596900"/>
        </a:xfrm>
        <a:prstGeom prst="rect">
          <a:avLst/>
        </a:prstGeom>
        <a:noFill/>
      </xdr:spPr>
    </xdr:pic>
    <xdr:clientData fLocksWithSheet="0"/>
  </xdr:oneCellAnchor>
  <xdr:twoCellAnchor>
    <xdr:from>
      <xdr:col>7</xdr:col>
      <xdr:colOff>816429</xdr:colOff>
      <xdr:row>1</xdr:row>
      <xdr:rowOff>57150</xdr:rowOff>
    </xdr:from>
    <xdr:to>
      <xdr:col>9</xdr:col>
      <xdr:colOff>551543</xdr:colOff>
      <xdr:row>2</xdr:row>
      <xdr:rowOff>171450</xdr:rowOff>
    </xdr:to>
    <xdr:sp macro="[0]!GuardarMes" textlink="">
      <xdr:nvSpPr>
        <xdr:cNvPr id="3" name="btn_GuardarMes">
          <a:extLst>
            <a:ext uri="{FF2B5EF4-FFF2-40B4-BE49-F238E27FC236}">
              <a16:creationId xmlns:a16="http://schemas.microsoft.com/office/drawing/2014/main" id="{87F1F44A-2055-49A6-844B-618888B265F6}"/>
            </a:ext>
          </a:extLst>
        </xdr:cNvPr>
        <xdr:cNvSpPr/>
      </xdr:nvSpPr>
      <xdr:spPr>
        <a:xfrm>
          <a:off x="6477000" y="342900"/>
          <a:ext cx="1422400" cy="304800"/>
        </a:xfrm>
        <a:prstGeom prst="roundRect">
          <a:avLst/>
        </a:prstGeom>
        <a:solidFill>
          <a:srgbClr val="548235"/>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ES" sz="1000" b="1" i="0" u="none" strike="noStrike" kern="0" cap="none" spc="0" normalizeH="0" baseline="0" noProof="0">
              <a:ln>
                <a:noFill/>
              </a:ln>
              <a:solidFill>
                <a:srgbClr val="FFFFFF"/>
              </a:solidFill>
              <a:effectLst/>
              <a:uLnTx/>
              <a:uFillTx/>
              <a:latin typeface="Calibri"/>
              <a:cs typeface="Calibri"/>
            </a:rPr>
            <a:t>GUARDAR MES</a:t>
          </a:r>
        </a:p>
      </xdr:txBody>
    </xdr:sp>
    <xdr:clientData/>
  </xdr:twoCellAnchor>
  <xdr:twoCellAnchor>
    <xdr:from>
      <xdr:col>9</xdr:col>
      <xdr:colOff>653143</xdr:colOff>
      <xdr:row>1</xdr:row>
      <xdr:rowOff>57150</xdr:rowOff>
    </xdr:from>
    <xdr:to>
      <xdr:col>12</xdr:col>
      <xdr:colOff>48079</xdr:colOff>
      <xdr:row>2</xdr:row>
      <xdr:rowOff>171450</xdr:rowOff>
    </xdr:to>
    <xdr:sp macro="[0]!CargarMes" textlink="">
      <xdr:nvSpPr>
        <xdr:cNvPr id="4" name="btn_CargarMes">
          <a:extLst>
            <a:ext uri="{FF2B5EF4-FFF2-40B4-BE49-F238E27FC236}">
              <a16:creationId xmlns:a16="http://schemas.microsoft.com/office/drawing/2014/main" id="{E450BE6B-AB74-4305-9FE1-BFF9C4A6CA65}"/>
            </a:ext>
          </a:extLst>
        </xdr:cNvPr>
        <xdr:cNvSpPr/>
      </xdr:nvSpPr>
      <xdr:spPr>
        <a:xfrm>
          <a:off x="8001000" y="342900"/>
          <a:ext cx="1422400" cy="304800"/>
        </a:xfrm>
        <a:prstGeom prst="roundRect">
          <a:avLst/>
        </a:prstGeom>
        <a:solidFill>
          <a:srgbClr val="1F3864"/>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ES" sz="1000" b="1" i="0" u="none" strike="noStrike" kern="0" cap="none" spc="0" normalizeH="0" baseline="0" noProof="0">
              <a:ln>
                <a:noFill/>
              </a:ln>
              <a:solidFill>
                <a:srgbClr val="FFFFFF"/>
              </a:solidFill>
              <a:effectLst/>
              <a:uLnTx/>
              <a:uFillTx/>
              <a:latin typeface="Calibri"/>
              <a:cs typeface="Calibri"/>
            </a:rPr>
            <a:t>CARGAR MES</a:t>
          </a:r>
        </a:p>
      </xdr:txBody>
    </xdr:sp>
    <xdr:clientData/>
  </xdr:twoCellAnchor>
  <xdr:twoCellAnchor>
    <xdr:from>
      <xdr:col>12</xdr:col>
      <xdr:colOff>149679</xdr:colOff>
      <xdr:row>1</xdr:row>
      <xdr:rowOff>57150</xdr:rowOff>
    </xdr:from>
    <xdr:to>
      <xdr:col>13</xdr:col>
      <xdr:colOff>510721</xdr:colOff>
      <xdr:row>2</xdr:row>
      <xdr:rowOff>171450</xdr:rowOff>
    </xdr:to>
    <xdr:sp macro="[0]!LimpiarMes" textlink="">
      <xdr:nvSpPr>
        <xdr:cNvPr id="5" name="btn_LimpiarMes">
          <a:extLst>
            <a:ext uri="{FF2B5EF4-FFF2-40B4-BE49-F238E27FC236}">
              <a16:creationId xmlns:a16="http://schemas.microsoft.com/office/drawing/2014/main" id="{ACB35146-05D7-4A0B-81E8-B173BA051FF2}"/>
            </a:ext>
          </a:extLst>
        </xdr:cNvPr>
        <xdr:cNvSpPr/>
      </xdr:nvSpPr>
      <xdr:spPr>
        <a:xfrm>
          <a:off x="9525000" y="342900"/>
          <a:ext cx="1422400" cy="304800"/>
        </a:xfrm>
        <a:prstGeom prst="roundRect">
          <a:avLst/>
        </a:prstGeom>
        <a:solidFill>
          <a:srgbClr val="7F7F7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ES" sz="1000" b="1" i="0" u="none" strike="noStrike" kern="0" cap="none" spc="0" normalizeH="0" baseline="0" noProof="0">
              <a:ln>
                <a:noFill/>
              </a:ln>
              <a:solidFill>
                <a:srgbClr val="FFFFFF"/>
              </a:solidFill>
              <a:effectLst/>
              <a:uLnTx/>
              <a:uFillTx/>
              <a:latin typeface="Calibri"/>
              <a:cs typeface="Calibri"/>
            </a:rPr>
            <a:t>LIMPIAR</a:t>
          </a:r>
        </a:p>
      </xdr:txBody>
    </xdr:sp>
    <xdr:clientData/>
  </xdr:twoCellAnchor>
  <xdr:twoCellAnchor>
    <xdr:from>
      <xdr:col>17</xdr:col>
      <xdr:colOff>0</xdr:colOff>
      <xdr:row>6</xdr:row>
      <xdr:rowOff>190499</xdr:rowOff>
    </xdr:from>
    <xdr:to>
      <xdr:col>25</xdr:col>
      <xdr:colOff>0</xdr:colOff>
      <xdr:row>23</xdr:row>
      <xdr:rowOff>190499</xdr:rowOff>
    </xdr:to>
    <xdr:graphicFrame macro="">
      <xdr:nvGraphicFramePr>
        <xdr:cNvPr id="10" name="grfReacOxalico">
          <a:extLst>
            <a:ext uri="{FF2B5EF4-FFF2-40B4-BE49-F238E27FC236}">
              <a16:creationId xmlns:a16="http://schemas.microsoft.com/office/drawing/2014/main" id="{B0AAE432-E1DA-4305-866A-7E84046157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24</xdr:row>
      <xdr:rowOff>190499</xdr:rowOff>
    </xdr:from>
    <xdr:to>
      <xdr:col>25</xdr:col>
      <xdr:colOff>0</xdr:colOff>
      <xdr:row>43</xdr:row>
      <xdr:rowOff>190499</xdr:rowOff>
    </xdr:to>
    <xdr:graphicFrame macro="">
      <xdr:nvGraphicFramePr>
        <xdr:cNvPr id="11" name="grfReacXanEsp">
          <a:extLst>
            <a:ext uri="{FF2B5EF4-FFF2-40B4-BE49-F238E27FC236}">
              <a16:creationId xmlns:a16="http://schemas.microsoft.com/office/drawing/2014/main" id="{B042D8A4-22D6-40C9-A00F-C0E4C95124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0</xdr:col>
      <xdr:colOff>177800</xdr:colOff>
      <xdr:row>0</xdr:row>
      <xdr:rowOff>25400</xdr:rowOff>
    </xdr:from>
    <xdr:ext cx="889000" cy="596900"/>
    <xdr:pic>
      <xdr:nvPicPr>
        <xdr:cNvPr id="2" name="logoShougang" descr="SHOUGANG HIERRO PERU S.A.A.">
          <a:extLst>
            <a:ext uri="{FF2B5EF4-FFF2-40B4-BE49-F238E27FC236}">
              <a16:creationId xmlns:a16="http://schemas.microsoft.com/office/drawing/2014/main" id="{463217A4-7C95-436A-8A80-5A7175AEED24}"/>
            </a:ext>
          </a:extLst>
        </xdr:cNvPr>
        <xdr:cNvPicPr preferRelativeResize="0"/>
      </xdr:nvPicPr>
      <xdr:blipFill>
        <a:blip xmlns:r="http://schemas.openxmlformats.org/officeDocument/2006/relationships" r:embed="rId1" cstate="print"/>
        <a:stretch>
          <a:fillRect/>
        </a:stretch>
      </xdr:blipFill>
      <xdr:spPr>
        <a:xfrm>
          <a:off x="177800" y="25400"/>
          <a:ext cx="889000" cy="596900"/>
        </a:xfrm>
        <a:prstGeom prst="rect">
          <a:avLst/>
        </a:prstGeom>
        <a:noFill/>
      </xdr:spPr>
    </xdr:pic>
    <xdr:clientData fLocksWithSheet="0"/>
  </xdr:oneCellAnchor>
  <xdr:twoCellAnchor>
    <xdr:from>
      <xdr:col>8</xdr:col>
      <xdr:colOff>0</xdr:colOff>
      <xdr:row>1</xdr:row>
      <xdr:rowOff>57150</xdr:rowOff>
    </xdr:from>
    <xdr:to>
      <xdr:col>9</xdr:col>
      <xdr:colOff>584200</xdr:colOff>
      <xdr:row>2</xdr:row>
      <xdr:rowOff>171450</xdr:rowOff>
    </xdr:to>
    <xdr:sp macro="[0]!GuardarMes" textlink="">
      <xdr:nvSpPr>
        <xdr:cNvPr id="3" name="btn_GuardarMes">
          <a:extLst>
            <a:ext uri="{FF2B5EF4-FFF2-40B4-BE49-F238E27FC236}">
              <a16:creationId xmlns:a16="http://schemas.microsoft.com/office/drawing/2014/main" id="{5C4B434B-2AAB-4A66-B846-64A59A2E5141}"/>
            </a:ext>
          </a:extLst>
        </xdr:cNvPr>
        <xdr:cNvSpPr/>
      </xdr:nvSpPr>
      <xdr:spPr>
        <a:xfrm>
          <a:off x="6477000" y="342900"/>
          <a:ext cx="1422400" cy="304800"/>
        </a:xfrm>
        <a:prstGeom prst="roundRect">
          <a:avLst/>
        </a:prstGeom>
        <a:solidFill>
          <a:srgbClr val="548235"/>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ES" sz="1000" b="1" i="0" u="none" strike="noStrike" kern="0" cap="none" spc="0" normalizeH="0" baseline="0" noProof="0">
              <a:ln>
                <a:noFill/>
              </a:ln>
              <a:solidFill>
                <a:srgbClr val="FFFFFF"/>
              </a:solidFill>
              <a:effectLst/>
              <a:uLnTx/>
              <a:uFillTx/>
              <a:latin typeface="Calibri"/>
              <a:cs typeface="Calibri"/>
            </a:rPr>
            <a:t>GUARDAR MES</a:t>
          </a:r>
        </a:p>
      </xdr:txBody>
    </xdr:sp>
    <xdr:clientData/>
  </xdr:twoCellAnchor>
  <xdr:twoCellAnchor>
    <xdr:from>
      <xdr:col>9</xdr:col>
      <xdr:colOff>685800</xdr:colOff>
      <xdr:row>1</xdr:row>
      <xdr:rowOff>57150</xdr:rowOff>
    </xdr:from>
    <xdr:to>
      <xdr:col>11</xdr:col>
      <xdr:colOff>431800</xdr:colOff>
      <xdr:row>2</xdr:row>
      <xdr:rowOff>171450</xdr:rowOff>
    </xdr:to>
    <xdr:sp macro="[0]!CargarMes" textlink="">
      <xdr:nvSpPr>
        <xdr:cNvPr id="4" name="btn_CargarMes">
          <a:extLst>
            <a:ext uri="{FF2B5EF4-FFF2-40B4-BE49-F238E27FC236}">
              <a16:creationId xmlns:a16="http://schemas.microsoft.com/office/drawing/2014/main" id="{621D68B4-12C7-4013-9E8F-D866F327E919}"/>
            </a:ext>
          </a:extLst>
        </xdr:cNvPr>
        <xdr:cNvSpPr/>
      </xdr:nvSpPr>
      <xdr:spPr>
        <a:xfrm>
          <a:off x="8001000" y="342900"/>
          <a:ext cx="1422400" cy="304800"/>
        </a:xfrm>
        <a:prstGeom prst="roundRect">
          <a:avLst/>
        </a:prstGeom>
        <a:solidFill>
          <a:srgbClr val="1F3864"/>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ES" sz="1000" b="1" i="0" u="none" strike="noStrike" kern="0" cap="none" spc="0" normalizeH="0" baseline="0" noProof="0">
              <a:ln>
                <a:noFill/>
              </a:ln>
              <a:solidFill>
                <a:srgbClr val="FFFFFF"/>
              </a:solidFill>
              <a:effectLst/>
              <a:uLnTx/>
              <a:uFillTx/>
              <a:latin typeface="Calibri"/>
              <a:cs typeface="Calibri"/>
            </a:rPr>
            <a:t>CARGAR MES</a:t>
          </a:r>
        </a:p>
      </xdr:txBody>
    </xdr:sp>
    <xdr:clientData/>
  </xdr:twoCellAnchor>
  <xdr:twoCellAnchor>
    <xdr:from>
      <xdr:col>11</xdr:col>
      <xdr:colOff>533400</xdr:colOff>
      <xdr:row>1</xdr:row>
      <xdr:rowOff>57150</xdr:rowOff>
    </xdr:from>
    <xdr:to>
      <xdr:col>13</xdr:col>
      <xdr:colOff>279400</xdr:colOff>
      <xdr:row>2</xdr:row>
      <xdr:rowOff>171450</xdr:rowOff>
    </xdr:to>
    <xdr:sp macro="[0]!LimpiarMes" textlink="">
      <xdr:nvSpPr>
        <xdr:cNvPr id="5" name="btn_LimpiarMes">
          <a:extLst>
            <a:ext uri="{FF2B5EF4-FFF2-40B4-BE49-F238E27FC236}">
              <a16:creationId xmlns:a16="http://schemas.microsoft.com/office/drawing/2014/main" id="{1210148E-20E0-48E2-9B00-336BCDAEEEEB}"/>
            </a:ext>
          </a:extLst>
        </xdr:cNvPr>
        <xdr:cNvSpPr/>
      </xdr:nvSpPr>
      <xdr:spPr>
        <a:xfrm>
          <a:off x="9525000" y="342900"/>
          <a:ext cx="1422400" cy="304800"/>
        </a:xfrm>
        <a:prstGeom prst="roundRect">
          <a:avLst/>
        </a:prstGeom>
        <a:solidFill>
          <a:srgbClr val="7F7F7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ES" sz="1000" b="1" i="0" u="none" strike="noStrike" kern="0" cap="none" spc="0" normalizeH="0" baseline="0" noProof="0">
              <a:ln>
                <a:noFill/>
              </a:ln>
              <a:solidFill>
                <a:srgbClr val="FFFFFF"/>
              </a:solidFill>
              <a:effectLst/>
              <a:uLnTx/>
              <a:uFillTx/>
              <a:latin typeface="Calibri"/>
              <a:cs typeface="Calibri"/>
            </a:rPr>
            <a:t>LIMPIAR</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0</xdr:col>
      <xdr:colOff>177800</xdr:colOff>
      <xdr:row>0</xdr:row>
      <xdr:rowOff>25400</xdr:rowOff>
    </xdr:from>
    <xdr:ext cx="889000" cy="596900"/>
    <xdr:pic>
      <xdr:nvPicPr>
        <xdr:cNvPr id="2" name="logoShougang" descr="SHOUGANG HIERRO PERU S.A.A.">
          <a:extLst>
            <a:ext uri="{FF2B5EF4-FFF2-40B4-BE49-F238E27FC236}">
              <a16:creationId xmlns:a16="http://schemas.microsoft.com/office/drawing/2014/main" id="{D21F2877-501B-4DA1-ADB5-B08B0E4D8CB8}"/>
            </a:ext>
          </a:extLst>
        </xdr:cNvPr>
        <xdr:cNvPicPr preferRelativeResize="0"/>
      </xdr:nvPicPr>
      <xdr:blipFill>
        <a:blip xmlns:r="http://schemas.openxmlformats.org/officeDocument/2006/relationships" r:embed="rId1" cstate="print"/>
        <a:stretch>
          <a:fillRect/>
        </a:stretch>
      </xdr:blipFill>
      <xdr:spPr>
        <a:xfrm>
          <a:off x="177800" y="25400"/>
          <a:ext cx="889000" cy="596900"/>
        </a:xfrm>
        <a:prstGeom prst="rect">
          <a:avLst/>
        </a:prstGeom>
        <a:noFill/>
      </xdr:spPr>
    </xdr:pic>
    <xdr:clientData fLocksWithSheet="0"/>
  </xdr:oneCellAnchor>
  <xdr:twoCellAnchor>
    <xdr:from>
      <xdr:col>8</xdr:col>
      <xdr:colOff>0</xdr:colOff>
      <xdr:row>1</xdr:row>
      <xdr:rowOff>57150</xdr:rowOff>
    </xdr:from>
    <xdr:to>
      <xdr:col>9</xdr:col>
      <xdr:colOff>584200</xdr:colOff>
      <xdr:row>2</xdr:row>
      <xdr:rowOff>171450</xdr:rowOff>
    </xdr:to>
    <xdr:sp macro="[0]!GuardarMes" textlink="">
      <xdr:nvSpPr>
        <xdr:cNvPr id="3" name="btn_GuardarMes">
          <a:extLst>
            <a:ext uri="{FF2B5EF4-FFF2-40B4-BE49-F238E27FC236}">
              <a16:creationId xmlns:a16="http://schemas.microsoft.com/office/drawing/2014/main" id="{16355DCD-0CBE-41DE-B156-127A0B5A03B9}"/>
            </a:ext>
          </a:extLst>
        </xdr:cNvPr>
        <xdr:cNvSpPr/>
      </xdr:nvSpPr>
      <xdr:spPr>
        <a:xfrm>
          <a:off x="6477000" y="342900"/>
          <a:ext cx="1422400" cy="304800"/>
        </a:xfrm>
        <a:prstGeom prst="roundRect">
          <a:avLst/>
        </a:prstGeom>
        <a:solidFill>
          <a:srgbClr val="548235"/>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ES" sz="1000" b="1" i="0" u="none" strike="noStrike" kern="0" cap="none" spc="0" normalizeH="0" baseline="0" noProof="0">
              <a:ln>
                <a:noFill/>
              </a:ln>
              <a:solidFill>
                <a:srgbClr val="FFFFFF"/>
              </a:solidFill>
              <a:effectLst/>
              <a:uLnTx/>
              <a:uFillTx/>
              <a:latin typeface="Calibri"/>
              <a:cs typeface="Calibri"/>
            </a:rPr>
            <a:t>GUARDAR MES</a:t>
          </a:r>
        </a:p>
      </xdr:txBody>
    </xdr:sp>
    <xdr:clientData/>
  </xdr:twoCellAnchor>
  <xdr:twoCellAnchor>
    <xdr:from>
      <xdr:col>9</xdr:col>
      <xdr:colOff>685800</xdr:colOff>
      <xdr:row>1</xdr:row>
      <xdr:rowOff>57150</xdr:rowOff>
    </xdr:from>
    <xdr:to>
      <xdr:col>11</xdr:col>
      <xdr:colOff>431800</xdr:colOff>
      <xdr:row>2</xdr:row>
      <xdr:rowOff>171450</xdr:rowOff>
    </xdr:to>
    <xdr:sp macro="[0]!CargarMes" textlink="">
      <xdr:nvSpPr>
        <xdr:cNvPr id="4" name="btn_CargarMes">
          <a:extLst>
            <a:ext uri="{FF2B5EF4-FFF2-40B4-BE49-F238E27FC236}">
              <a16:creationId xmlns:a16="http://schemas.microsoft.com/office/drawing/2014/main" id="{C156A0B6-86AD-479E-9BD6-E1CFED73346B}"/>
            </a:ext>
          </a:extLst>
        </xdr:cNvPr>
        <xdr:cNvSpPr/>
      </xdr:nvSpPr>
      <xdr:spPr>
        <a:xfrm>
          <a:off x="8001000" y="342900"/>
          <a:ext cx="1422400" cy="304800"/>
        </a:xfrm>
        <a:prstGeom prst="roundRect">
          <a:avLst/>
        </a:prstGeom>
        <a:solidFill>
          <a:srgbClr val="1F3864"/>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ES" sz="1000" b="1" i="0" u="none" strike="noStrike" kern="0" cap="none" spc="0" normalizeH="0" baseline="0" noProof="0">
              <a:ln>
                <a:noFill/>
              </a:ln>
              <a:solidFill>
                <a:srgbClr val="FFFFFF"/>
              </a:solidFill>
              <a:effectLst/>
              <a:uLnTx/>
              <a:uFillTx/>
              <a:latin typeface="Calibri"/>
              <a:cs typeface="Calibri"/>
            </a:rPr>
            <a:t>CARGAR MES</a:t>
          </a:r>
        </a:p>
      </xdr:txBody>
    </xdr:sp>
    <xdr:clientData/>
  </xdr:twoCellAnchor>
  <xdr:twoCellAnchor>
    <xdr:from>
      <xdr:col>11</xdr:col>
      <xdr:colOff>533400</xdr:colOff>
      <xdr:row>1</xdr:row>
      <xdr:rowOff>57150</xdr:rowOff>
    </xdr:from>
    <xdr:to>
      <xdr:col>13</xdr:col>
      <xdr:colOff>279400</xdr:colOff>
      <xdr:row>2</xdr:row>
      <xdr:rowOff>171450</xdr:rowOff>
    </xdr:to>
    <xdr:sp macro="[0]!LimpiarMes" textlink="">
      <xdr:nvSpPr>
        <xdr:cNvPr id="5" name="btn_LimpiarMes">
          <a:extLst>
            <a:ext uri="{FF2B5EF4-FFF2-40B4-BE49-F238E27FC236}">
              <a16:creationId xmlns:a16="http://schemas.microsoft.com/office/drawing/2014/main" id="{9894F539-CC38-4A76-B813-7F08A7333C94}"/>
            </a:ext>
          </a:extLst>
        </xdr:cNvPr>
        <xdr:cNvSpPr/>
      </xdr:nvSpPr>
      <xdr:spPr>
        <a:xfrm>
          <a:off x="9525000" y="342900"/>
          <a:ext cx="1422400" cy="304800"/>
        </a:xfrm>
        <a:prstGeom prst="roundRect">
          <a:avLst/>
        </a:prstGeom>
        <a:solidFill>
          <a:srgbClr val="7F7F7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ES" sz="1000" b="1" i="0" u="none" strike="noStrike" kern="0" cap="none" spc="0" normalizeH="0" baseline="0" noProof="0">
              <a:ln>
                <a:noFill/>
              </a:ln>
              <a:solidFill>
                <a:srgbClr val="FFFFFF"/>
              </a:solidFill>
              <a:effectLst/>
              <a:uLnTx/>
              <a:uFillTx/>
              <a:latin typeface="Calibri"/>
              <a:cs typeface="Calibri"/>
            </a:rPr>
            <a:t>LIMPIAR</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0</xdr:col>
      <xdr:colOff>101600</xdr:colOff>
      <xdr:row>0</xdr:row>
      <xdr:rowOff>25400</xdr:rowOff>
    </xdr:from>
    <xdr:ext cx="965200" cy="647700"/>
    <xdr:pic>
      <xdr:nvPicPr>
        <xdr:cNvPr id="2" name="logoShougang" descr="SHOUGANG HIERRO PERU S.A.A.">
          <a:extLst>
            <a:ext uri="{FF2B5EF4-FFF2-40B4-BE49-F238E27FC236}">
              <a16:creationId xmlns:a16="http://schemas.microsoft.com/office/drawing/2014/main" id="{3702F44F-350E-4E3B-9CB6-CD21B267748A}"/>
            </a:ext>
          </a:extLst>
        </xdr:cNvPr>
        <xdr:cNvPicPr preferRelativeResize="0"/>
      </xdr:nvPicPr>
      <xdr:blipFill>
        <a:blip xmlns:r="http://schemas.openxmlformats.org/officeDocument/2006/relationships" r:embed="rId1" cstate="print"/>
        <a:stretch>
          <a:fillRect/>
        </a:stretch>
      </xdr:blipFill>
      <xdr:spPr>
        <a:xfrm>
          <a:off x="101600" y="25400"/>
          <a:ext cx="965200" cy="647700"/>
        </a:xfrm>
        <a:prstGeom prst="rect">
          <a:avLst/>
        </a:prstGeom>
        <a:noFill/>
      </xdr:spPr>
    </xdr:pic>
    <xdr:clientData fLocksWithSheet="0"/>
  </xdr:oneCellAnchor>
  <xdr:twoCellAnchor>
    <xdr:from>
      <xdr:col>6</xdr:col>
      <xdr:colOff>0</xdr:colOff>
      <xdr:row>1</xdr:row>
      <xdr:rowOff>57150</xdr:rowOff>
    </xdr:from>
    <xdr:to>
      <xdr:col>7</xdr:col>
      <xdr:colOff>431800</xdr:colOff>
      <xdr:row>2</xdr:row>
      <xdr:rowOff>171450</xdr:rowOff>
    </xdr:to>
    <xdr:sp macro="[0]!GuardarCanaletas" textlink="">
      <xdr:nvSpPr>
        <xdr:cNvPr id="3" name="btn_GuardarCanaletas">
          <a:extLst>
            <a:ext uri="{FF2B5EF4-FFF2-40B4-BE49-F238E27FC236}">
              <a16:creationId xmlns:a16="http://schemas.microsoft.com/office/drawing/2014/main" id="{FD0F6D40-0CB8-4250-8343-2C2397DC76E3}"/>
            </a:ext>
          </a:extLst>
        </xdr:cNvPr>
        <xdr:cNvSpPr/>
      </xdr:nvSpPr>
      <xdr:spPr>
        <a:xfrm>
          <a:off x="6362700" y="342900"/>
          <a:ext cx="1422400" cy="304800"/>
        </a:xfrm>
        <a:prstGeom prst="roundRect">
          <a:avLst/>
        </a:prstGeom>
        <a:solidFill>
          <a:srgbClr val="548235"/>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ES" sz="1000" b="1" i="0" u="none" strike="noStrike" kern="0" cap="none" spc="0" normalizeH="0" baseline="0" noProof="0">
              <a:ln>
                <a:noFill/>
              </a:ln>
              <a:solidFill>
                <a:srgbClr val="FFFFFF"/>
              </a:solidFill>
              <a:effectLst/>
              <a:uLnTx/>
              <a:uFillTx/>
              <a:latin typeface="Calibri"/>
              <a:cs typeface="Calibri"/>
            </a:rPr>
            <a:t>GUARDAR SEMANA</a:t>
          </a:r>
        </a:p>
      </xdr:txBody>
    </xdr:sp>
    <xdr:clientData/>
  </xdr:twoCellAnchor>
  <xdr:twoCellAnchor>
    <xdr:from>
      <xdr:col>7</xdr:col>
      <xdr:colOff>533400</xdr:colOff>
      <xdr:row>1</xdr:row>
      <xdr:rowOff>57150</xdr:rowOff>
    </xdr:from>
    <xdr:to>
      <xdr:col>8</xdr:col>
      <xdr:colOff>965200</xdr:colOff>
      <xdr:row>2</xdr:row>
      <xdr:rowOff>171450</xdr:rowOff>
    </xdr:to>
    <xdr:sp macro="[0]!CargarCanaletas" textlink="">
      <xdr:nvSpPr>
        <xdr:cNvPr id="4" name="btn_CargarCanaletas">
          <a:extLst>
            <a:ext uri="{FF2B5EF4-FFF2-40B4-BE49-F238E27FC236}">
              <a16:creationId xmlns:a16="http://schemas.microsoft.com/office/drawing/2014/main" id="{AFD84386-8148-42B9-B7C5-D1F3FDB4FC96}"/>
            </a:ext>
          </a:extLst>
        </xdr:cNvPr>
        <xdr:cNvSpPr/>
      </xdr:nvSpPr>
      <xdr:spPr>
        <a:xfrm>
          <a:off x="7886700" y="342900"/>
          <a:ext cx="1422400" cy="304800"/>
        </a:xfrm>
        <a:prstGeom prst="roundRect">
          <a:avLst/>
        </a:prstGeom>
        <a:solidFill>
          <a:srgbClr val="1F3864"/>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ES" sz="1000" b="1" i="0" u="none" strike="noStrike" kern="0" cap="none" spc="0" normalizeH="0" baseline="0" noProof="0">
              <a:ln>
                <a:noFill/>
              </a:ln>
              <a:solidFill>
                <a:srgbClr val="FFFFFF"/>
              </a:solidFill>
              <a:effectLst/>
              <a:uLnTx/>
              <a:uFillTx/>
              <a:latin typeface="Calibri"/>
              <a:cs typeface="Calibri"/>
            </a:rPr>
            <a:t>CARGAR SEMANA</a:t>
          </a:r>
        </a:p>
      </xdr:txBody>
    </xdr:sp>
    <xdr:clientData/>
  </xdr:twoCellAnchor>
  <xdr:twoCellAnchor>
    <xdr:from>
      <xdr:col>9</xdr:col>
      <xdr:colOff>76200</xdr:colOff>
      <xdr:row>1</xdr:row>
      <xdr:rowOff>57150</xdr:rowOff>
    </xdr:from>
    <xdr:to>
      <xdr:col>10</xdr:col>
      <xdr:colOff>508000</xdr:colOff>
      <xdr:row>2</xdr:row>
      <xdr:rowOff>171450</xdr:rowOff>
    </xdr:to>
    <xdr:sp macro="[0]!LimpiarCanaletas" textlink="">
      <xdr:nvSpPr>
        <xdr:cNvPr id="5" name="btn_LimpiarCanaletas">
          <a:extLst>
            <a:ext uri="{FF2B5EF4-FFF2-40B4-BE49-F238E27FC236}">
              <a16:creationId xmlns:a16="http://schemas.microsoft.com/office/drawing/2014/main" id="{942724C8-8251-4C13-9808-84CDA87E92A7}"/>
            </a:ext>
          </a:extLst>
        </xdr:cNvPr>
        <xdr:cNvSpPr/>
      </xdr:nvSpPr>
      <xdr:spPr>
        <a:xfrm>
          <a:off x="9410700" y="342900"/>
          <a:ext cx="1422400" cy="304800"/>
        </a:xfrm>
        <a:prstGeom prst="roundRect">
          <a:avLst/>
        </a:prstGeom>
        <a:solidFill>
          <a:srgbClr val="7F7F7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ES" sz="1000" b="1" i="0" u="none" strike="noStrike" kern="0" cap="none" spc="0" normalizeH="0" baseline="0" noProof="0">
              <a:ln>
                <a:noFill/>
              </a:ln>
              <a:solidFill>
                <a:srgbClr val="FFFFFF"/>
              </a:solidFill>
              <a:effectLst/>
              <a:uLnTx/>
              <a:uFillTx/>
              <a:latin typeface="Calibri"/>
              <a:cs typeface="Calibri"/>
            </a:rPr>
            <a:t>LIMPIAR</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177800</xdr:colOff>
      <xdr:row>0</xdr:row>
      <xdr:rowOff>25400</xdr:rowOff>
    </xdr:from>
    <xdr:to>
      <xdr:col>1</xdr:col>
      <xdr:colOff>952500</xdr:colOff>
      <xdr:row>3</xdr:row>
      <xdr:rowOff>6350</xdr:rowOff>
    </xdr:to>
    <xdr:pic>
      <xdr:nvPicPr>
        <xdr:cNvPr id="2" name="logoShougang">
          <a:extLst>
            <a:ext uri="{FF2B5EF4-FFF2-40B4-BE49-F238E27FC236}">
              <a16:creationId xmlns:a16="http://schemas.microsoft.com/office/drawing/2014/main" id="{22E2A96E-2F20-4D41-A160-28BF6CC8392F}"/>
            </a:ext>
          </a:extLst>
        </xdr:cNvPr>
        <xdr:cNvPicPr>
          <a:picLocks noChangeAspect="1"/>
        </xdr:cNvPicPr>
      </xdr:nvPicPr>
      <xdr:blipFill>
        <a:blip xmlns:r="http://schemas.openxmlformats.org/officeDocument/2006/relationships" r:embed="rId1"/>
        <a:stretch>
          <a:fillRect/>
        </a:stretch>
      </xdr:blipFill>
      <xdr:spPr>
        <a:xfrm>
          <a:off x="177800" y="25400"/>
          <a:ext cx="965200" cy="647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177800</xdr:colOff>
      <xdr:row>0</xdr:row>
      <xdr:rowOff>25400</xdr:rowOff>
    </xdr:from>
    <xdr:to>
      <xdr:col>2</xdr:col>
      <xdr:colOff>381000</xdr:colOff>
      <xdr:row>3</xdr:row>
      <xdr:rowOff>6350</xdr:rowOff>
    </xdr:to>
    <xdr:pic>
      <xdr:nvPicPr>
        <xdr:cNvPr id="2" name="logoShougang">
          <a:extLst>
            <a:ext uri="{FF2B5EF4-FFF2-40B4-BE49-F238E27FC236}">
              <a16:creationId xmlns:a16="http://schemas.microsoft.com/office/drawing/2014/main" id="{69105FEC-8D06-4DC1-AF45-424D7E92E31B}"/>
            </a:ext>
          </a:extLst>
        </xdr:cNvPr>
        <xdr:cNvPicPr>
          <a:picLocks noChangeAspect="1"/>
        </xdr:cNvPicPr>
      </xdr:nvPicPr>
      <xdr:blipFill>
        <a:blip xmlns:r="http://schemas.openxmlformats.org/officeDocument/2006/relationships" r:embed="rId1"/>
        <a:stretch>
          <a:fillRect/>
        </a:stretch>
      </xdr:blipFill>
      <xdr:spPr>
        <a:xfrm>
          <a:off x="177800" y="25400"/>
          <a:ext cx="965200" cy="647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44450</xdr:colOff>
      <xdr:row>0</xdr:row>
      <xdr:rowOff>12700</xdr:rowOff>
    </xdr:from>
    <xdr:to>
      <xdr:col>1</xdr:col>
      <xdr:colOff>1009650</xdr:colOff>
      <xdr:row>3</xdr:row>
      <xdr:rowOff>19050</xdr:rowOff>
    </xdr:to>
    <xdr:pic>
      <xdr:nvPicPr>
        <xdr:cNvPr id="2" name="logoShougang">
          <a:extLst>
            <a:ext uri="{FF2B5EF4-FFF2-40B4-BE49-F238E27FC236}">
              <a16:creationId xmlns:a16="http://schemas.microsoft.com/office/drawing/2014/main" id="{538AA75C-E84E-4A38-A2E1-1FB3B86700E7}"/>
            </a:ext>
          </a:extLst>
        </xdr:cNvPr>
        <xdr:cNvPicPr>
          <a:picLocks noChangeAspect="1"/>
        </xdr:cNvPicPr>
      </xdr:nvPicPr>
      <xdr:blipFill>
        <a:blip xmlns:r="http://schemas.openxmlformats.org/officeDocument/2006/relationships" r:embed="rId1"/>
        <a:stretch>
          <a:fillRect/>
        </a:stretch>
      </xdr:blipFill>
      <xdr:spPr>
        <a:xfrm>
          <a:off x="101600" y="12700"/>
          <a:ext cx="965200" cy="6350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101600</xdr:colOff>
      <xdr:row>0</xdr:row>
      <xdr:rowOff>12700</xdr:rowOff>
    </xdr:from>
    <xdr:to>
      <xdr:col>1</xdr:col>
      <xdr:colOff>457200</xdr:colOff>
      <xdr:row>3</xdr:row>
      <xdr:rowOff>19050</xdr:rowOff>
    </xdr:to>
    <xdr:pic>
      <xdr:nvPicPr>
        <xdr:cNvPr id="2" name="logoShougang">
          <a:extLst>
            <a:ext uri="{FF2B5EF4-FFF2-40B4-BE49-F238E27FC236}">
              <a16:creationId xmlns:a16="http://schemas.microsoft.com/office/drawing/2014/main" id="{E635BF03-1EA3-45D0-8EE7-110C883D9134}"/>
            </a:ext>
          </a:extLst>
        </xdr:cNvPr>
        <xdr:cNvPicPr>
          <a:picLocks noChangeAspect="1"/>
        </xdr:cNvPicPr>
      </xdr:nvPicPr>
      <xdr:blipFill>
        <a:blip xmlns:r="http://schemas.openxmlformats.org/officeDocument/2006/relationships" r:embed="rId1"/>
        <a:stretch>
          <a:fillRect/>
        </a:stretch>
      </xdr:blipFill>
      <xdr:spPr>
        <a:xfrm>
          <a:off x="101600" y="12700"/>
          <a:ext cx="965200" cy="6350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49645</xdr:colOff>
      <xdr:row>0</xdr:row>
      <xdr:rowOff>12700</xdr:rowOff>
    </xdr:from>
    <xdr:to>
      <xdr:col>1</xdr:col>
      <xdr:colOff>1014845</xdr:colOff>
      <xdr:row>3</xdr:row>
      <xdr:rowOff>24245</xdr:rowOff>
    </xdr:to>
    <xdr:pic>
      <xdr:nvPicPr>
        <xdr:cNvPr id="2" name="logoShougang">
          <a:extLst>
            <a:ext uri="{FF2B5EF4-FFF2-40B4-BE49-F238E27FC236}">
              <a16:creationId xmlns:a16="http://schemas.microsoft.com/office/drawing/2014/main" id="{2BD6B054-E0FD-417B-BCED-5B0216639E7A}"/>
            </a:ext>
          </a:extLst>
        </xdr:cNvPr>
        <xdr:cNvPicPr>
          <a:picLocks noChangeAspect="1"/>
        </xdr:cNvPicPr>
      </xdr:nvPicPr>
      <xdr:blipFill>
        <a:blip xmlns:r="http://schemas.openxmlformats.org/officeDocument/2006/relationships" r:embed="rId1"/>
        <a:stretch>
          <a:fillRect/>
        </a:stretch>
      </xdr:blipFill>
      <xdr:spPr>
        <a:xfrm>
          <a:off x="101600" y="12700"/>
          <a:ext cx="965200" cy="6350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177800</xdr:colOff>
      <xdr:row>0</xdr:row>
      <xdr:rowOff>25400</xdr:rowOff>
    </xdr:from>
    <xdr:to>
      <xdr:col>1</xdr:col>
      <xdr:colOff>952500</xdr:colOff>
      <xdr:row>3</xdr:row>
      <xdr:rowOff>6350</xdr:rowOff>
    </xdr:to>
    <xdr:pic>
      <xdr:nvPicPr>
        <xdr:cNvPr id="2" name="logoShougang">
          <a:extLst>
            <a:ext uri="{FF2B5EF4-FFF2-40B4-BE49-F238E27FC236}">
              <a16:creationId xmlns:a16="http://schemas.microsoft.com/office/drawing/2014/main" id="{4DD2BC64-8B81-43DE-8435-498FBDCDA6C3}"/>
            </a:ext>
          </a:extLst>
        </xdr:cNvPr>
        <xdr:cNvPicPr>
          <a:picLocks noChangeAspect="1"/>
        </xdr:cNvPicPr>
      </xdr:nvPicPr>
      <xdr:blipFill>
        <a:blip xmlns:r="http://schemas.openxmlformats.org/officeDocument/2006/relationships" r:embed="rId1"/>
        <a:stretch>
          <a:fillRect/>
        </a:stretch>
      </xdr:blipFill>
      <xdr:spPr>
        <a:xfrm>
          <a:off x="177800" y="25400"/>
          <a:ext cx="965200" cy="6477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38100</xdr:colOff>
      <xdr:row>0</xdr:row>
      <xdr:rowOff>25400</xdr:rowOff>
    </xdr:from>
    <xdr:to>
      <xdr:col>1</xdr:col>
      <xdr:colOff>1003300</xdr:colOff>
      <xdr:row>2</xdr:row>
      <xdr:rowOff>196850</xdr:rowOff>
    </xdr:to>
    <xdr:pic>
      <xdr:nvPicPr>
        <xdr:cNvPr id="2" name="logoShougang">
          <a:extLst>
            <a:ext uri="{FF2B5EF4-FFF2-40B4-BE49-F238E27FC236}">
              <a16:creationId xmlns:a16="http://schemas.microsoft.com/office/drawing/2014/main" id="{BA2F795D-8311-4E48-A20B-C0445315171C}"/>
            </a:ext>
          </a:extLst>
        </xdr:cNvPr>
        <xdr:cNvPicPr>
          <a:picLocks noChangeAspect="1"/>
        </xdr:cNvPicPr>
      </xdr:nvPicPr>
      <xdr:blipFill>
        <a:blip xmlns:r="http://schemas.openxmlformats.org/officeDocument/2006/relationships" r:embed="rId1"/>
        <a:stretch>
          <a:fillRect/>
        </a:stretch>
      </xdr:blipFill>
      <xdr:spPr>
        <a:xfrm>
          <a:off x="228600" y="25400"/>
          <a:ext cx="965200"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177800</xdr:colOff>
      <xdr:row>0</xdr:row>
      <xdr:rowOff>25400</xdr:rowOff>
    </xdr:from>
    <xdr:to>
      <xdr:col>1</xdr:col>
      <xdr:colOff>952500</xdr:colOff>
      <xdr:row>3</xdr:row>
      <xdr:rowOff>6350</xdr:rowOff>
    </xdr:to>
    <xdr:pic>
      <xdr:nvPicPr>
        <xdr:cNvPr id="2" name="logoShougang">
          <a:extLst>
            <a:ext uri="{FF2B5EF4-FFF2-40B4-BE49-F238E27FC236}">
              <a16:creationId xmlns:a16="http://schemas.microsoft.com/office/drawing/2014/main" id="{CA4B18CF-5B8A-49CB-A81E-80F5E7F00349}"/>
            </a:ext>
          </a:extLst>
        </xdr:cNvPr>
        <xdr:cNvPicPr>
          <a:picLocks noChangeAspect="1"/>
        </xdr:cNvPicPr>
      </xdr:nvPicPr>
      <xdr:blipFill>
        <a:blip xmlns:r="http://schemas.openxmlformats.org/officeDocument/2006/relationships" r:embed="rId1"/>
        <a:stretch>
          <a:fillRect/>
        </a:stretch>
      </xdr:blipFill>
      <xdr:spPr>
        <a:xfrm>
          <a:off x="177800" y="25400"/>
          <a:ext cx="965200" cy="647700"/>
        </a:xfrm>
        <a:prstGeom prst="rect">
          <a:avLst/>
        </a:prstGeom>
      </xdr:spPr>
    </xdr:pic>
    <xdr:clientData/>
  </xdr:twoCellAnchor>
  <xdr:twoCellAnchor>
    <xdr:from>
      <xdr:col>1</xdr:col>
      <xdr:colOff>0</xdr:colOff>
      <xdr:row>12</xdr:row>
      <xdr:rowOff>0</xdr:rowOff>
    </xdr:from>
    <xdr:to>
      <xdr:col>8</xdr:col>
      <xdr:colOff>0</xdr:colOff>
      <xdr:row>22</xdr:row>
      <xdr:rowOff>0</xdr:rowOff>
    </xdr:to>
    <xdr:graphicFrame macro="">
      <xdr:nvGraphicFramePr>
        <xdr:cNvPr id="5" name="grfOperatividadFalla">
          <a:extLst>
            <a:ext uri="{FF2B5EF4-FFF2-40B4-BE49-F238E27FC236}">
              <a16:creationId xmlns:a16="http://schemas.microsoft.com/office/drawing/2014/main" id="{3DAF7545-F315-43F5-B4EA-D23764D1D7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12</xdr:row>
      <xdr:rowOff>0</xdr:rowOff>
    </xdr:from>
    <xdr:to>
      <xdr:col>14</xdr:col>
      <xdr:colOff>0</xdr:colOff>
      <xdr:row>22</xdr:row>
      <xdr:rowOff>0</xdr:rowOff>
    </xdr:to>
    <xdr:graphicFrame macro="">
      <xdr:nvGraphicFramePr>
        <xdr:cNvPr id="6" name="grfOperatividadEquipo">
          <a:extLst>
            <a:ext uri="{FF2B5EF4-FFF2-40B4-BE49-F238E27FC236}">
              <a16:creationId xmlns:a16="http://schemas.microsoft.com/office/drawing/2014/main" id="{9A835F83-1A79-4D89-80F0-8A8234123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-247650</xdr:colOff>
      <xdr:row>28</xdr:row>
      <xdr:rowOff>76200</xdr:rowOff>
    </xdr:from>
    <xdr:to>
      <xdr:col>7</xdr:col>
      <xdr:colOff>57150</xdr:colOff>
      <xdr:row>43</xdr:row>
      <xdr:rowOff>152400</xdr:rowOff>
    </xdr:to>
    <xdr:graphicFrame macro="">
      <xdr:nvGraphicFramePr>
        <xdr:cNvPr id="2" name="Gráfico 2">
          <a:extLst>
            <a:ext uri="{FF2B5EF4-FFF2-40B4-BE49-F238E27FC236}">
              <a16:creationId xmlns:a16="http://schemas.microsoft.com/office/drawing/2014/main" id="{66FB31AB-E06C-4715-96D3-D385C49B93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542925</xdr:colOff>
      <xdr:row>28</xdr:row>
      <xdr:rowOff>76200</xdr:rowOff>
    </xdr:from>
    <xdr:to>
      <xdr:col>15</xdr:col>
      <xdr:colOff>238125</xdr:colOff>
      <xdr:row>43</xdr:row>
      <xdr:rowOff>152400</xdr:rowOff>
    </xdr:to>
    <xdr:graphicFrame macro="">
      <xdr:nvGraphicFramePr>
        <xdr:cNvPr id="3" name="Gráfico 5">
          <a:extLst>
            <a:ext uri="{FF2B5EF4-FFF2-40B4-BE49-F238E27FC236}">
              <a16:creationId xmlns:a16="http://schemas.microsoft.com/office/drawing/2014/main" id="{BF538F35-C07C-40B2-812F-252BE4E4CF30}"/>
            </a:ext>
            <a:ext uri="{147F2762-F138-4A5C-976F-8EAC2B608ADB}">
              <a16:predDERef xmlns:a16="http://schemas.microsoft.com/office/drawing/2014/main" pred="{D7CEB967-8714-AC10-F2F2-AFA3CA9635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542925</xdr:colOff>
      <xdr:row>43</xdr:row>
      <xdr:rowOff>180975</xdr:rowOff>
    </xdr:from>
    <xdr:to>
      <xdr:col>15</xdr:col>
      <xdr:colOff>238125</xdr:colOff>
      <xdr:row>58</xdr:row>
      <xdr:rowOff>66675</xdr:rowOff>
    </xdr:to>
    <xdr:graphicFrame macro="">
      <xdr:nvGraphicFramePr>
        <xdr:cNvPr id="4" name="Gráfico 1">
          <a:extLst>
            <a:ext uri="{FF2B5EF4-FFF2-40B4-BE49-F238E27FC236}">
              <a16:creationId xmlns:a16="http://schemas.microsoft.com/office/drawing/2014/main" id="{C4E6296E-A2AF-40FA-A49A-E12085CE2DF0}"/>
            </a:ext>
            <a:ext uri="{147F2762-F138-4A5C-976F-8EAC2B608ADB}">
              <a16:predDERef xmlns:a16="http://schemas.microsoft.com/office/drawing/2014/main" pred="{691ABE37-999E-AEA4-CE85-F2FDAC0F70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219075</xdr:colOff>
      <xdr:row>43</xdr:row>
      <xdr:rowOff>180975</xdr:rowOff>
    </xdr:from>
    <xdr:to>
      <xdr:col>7</xdr:col>
      <xdr:colOff>523875</xdr:colOff>
      <xdr:row>58</xdr:row>
      <xdr:rowOff>66675</xdr:rowOff>
    </xdr:to>
    <xdr:graphicFrame macro="">
      <xdr:nvGraphicFramePr>
        <xdr:cNvPr id="5" name="Gráfico 6">
          <a:extLst>
            <a:ext uri="{FF2B5EF4-FFF2-40B4-BE49-F238E27FC236}">
              <a16:creationId xmlns:a16="http://schemas.microsoft.com/office/drawing/2014/main" id="{ACF7B267-3AA5-4DCE-AEE8-713DCBEA737D}"/>
            </a:ext>
            <a:ext uri="{147F2762-F138-4A5C-976F-8EAC2B608ADB}">
              <a16:predDERef xmlns:a16="http://schemas.microsoft.com/office/drawing/2014/main" pred="{3A40F9B7-AB29-C53B-CC1B-53A2DF952F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209550</xdr:colOff>
      <xdr:row>58</xdr:row>
      <xdr:rowOff>85725</xdr:rowOff>
    </xdr:from>
    <xdr:to>
      <xdr:col>7</xdr:col>
      <xdr:colOff>514350</xdr:colOff>
      <xdr:row>72</xdr:row>
      <xdr:rowOff>161925</xdr:rowOff>
    </xdr:to>
    <xdr:graphicFrame macro="">
      <xdr:nvGraphicFramePr>
        <xdr:cNvPr id="6" name="Gráfico 9">
          <a:extLst>
            <a:ext uri="{FF2B5EF4-FFF2-40B4-BE49-F238E27FC236}">
              <a16:creationId xmlns:a16="http://schemas.microsoft.com/office/drawing/2014/main" id="{6EDA768A-5EB1-494B-9030-A03ED54D95C5}"/>
            </a:ext>
            <a:ext uri="{147F2762-F138-4A5C-976F-8EAC2B608ADB}">
              <a16:predDERef xmlns:a16="http://schemas.microsoft.com/office/drawing/2014/main" pred="{2DB79578-CA92-4672-B2DA-2CAAF291E7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542925</xdr:colOff>
      <xdr:row>58</xdr:row>
      <xdr:rowOff>85725</xdr:rowOff>
    </xdr:from>
    <xdr:to>
      <xdr:col>15</xdr:col>
      <xdr:colOff>238125</xdr:colOff>
      <xdr:row>72</xdr:row>
      <xdr:rowOff>161925</xdr:rowOff>
    </xdr:to>
    <xdr:graphicFrame macro="">
      <xdr:nvGraphicFramePr>
        <xdr:cNvPr id="7" name="Gráfico 10">
          <a:extLst>
            <a:ext uri="{FF2B5EF4-FFF2-40B4-BE49-F238E27FC236}">
              <a16:creationId xmlns:a16="http://schemas.microsoft.com/office/drawing/2014/main" id="{9D907BA4-1A12-48E1-A29C-4937DC3ABB24}"/>
            </a:ext>
            <a:ext uri="{147F2762-F138-4A5C-976F-8EAC2B608ADB}">
              <a16:predDERef xmlns:a16="http://schemas.microsoft.com/office/drawing/2014/main" pred="{BA4ADE61-0507-EE7F-A1EA-A775710ACD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40</xdr:col>
      <xdr:colOff>0</xdr:colOff>
      <xdr:row>1</xdr:row>
      <xdr:rowOff>19050</xdr:rowOff>
    </xdr:from>
    <xdr:to>
      <xdr:col>43</xdr:col>
      <xdr:colOff>1028700</xdr:colOff>
      <xdr:row>12</xdr:row>
      <xdr:rowOff>28575</xdr:rowOff>
    </xdr:to>
    <xdr:graphicFrame macro="">
      <xdr:nvGraphicFramePr>
        <xdr:cNvPr id="8" name="Gráfico 4">
          <a:extLst>
            <a:ext uri="{FF2B5EF4-FFF2-40B4-BE49-F238E27FC236}">
              <a16:creationId xmlns:a16="http://schemas.microsoft.com/office/drawing/2014/main" id="{E72DABFC-B1EC-4D8C-BC49-C60849F8BB39}"/>
            </a:ext>
            <a:ext uri="{147F2762-F138-4A5C-976F-8EAC2B608ADB}">
              <a16:predDERef xmlns:a16="http://schemas.microsoft.com/office/drawing/2014/main" pred="{7EBCE55E-A675-4728-B5EB-E3738E7CD8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40</xdr:col>
      <xdr:colOff>0</xdr:colOff>
      <xdr:row>12</xdr:row>
      <xdr:rowOff>57150</xdr:rowOff>
    </xdr:from>
    <xdr:to>
      <xdr:col>43</xdr:col>
      <xdr:colOff>1019175</xdr:colOff>
      <xdr:row>26</xdr:row>
      <xdr:rowOff>9525</xdr:rowOff>
    </xdr:to>
    <xdr:graphicFrame macro="">
      <xdr:nvGraphicFramePr>
        <xdr:cNvPr id="9" name="Gráfico 8">
          <a:extLst>
            <a:ext uri="{FF2B5EF4-FFF2-40B4-BE49-F238E27FC236}">
              <a16:creationId xmlns:a16="http://schemas.microsoft.com/office/drawing/2014/main" id="{2EEA9F81-3BC7-4BCD-AEF5-EA2AB7BA6F9A}"/>
            </a:ext>
            <a:ext uri="{147F2762-F138-4A5C-976F-8EAC2B608ADB}">
              <a16:predDERef xmlns:a16="http://schemas.microsoft.com/office/drawing/2014/main" pred="{F73E02F5-7C36-573B-65DB-6F1E90EAF1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43</xdr:col>
      <xdr:colOff>1047750</xdr:colOff>
      <xdr:row>12</xdr:row>
      <xdr:rowOff>28575</xdr:rowOff>
    </xdr:from>
    <xdr:to>
      <xdr:col>49</xdr:col>
      <xdr:colOff>600075</xdr:colOff>
      <xdr:row>26</xdr:row>
      <xdr:rowOff>19050</xdr:rowOff>
    </xdr:to>
    <xdr:graphicFrame macro="">
      <xdr:nvGraphicFramePr>
        <xdr:cNvPr id="10" name="Gráfico 11">
          <a:extLst>
            <a:ext uri="{FF2B5EF4-FFF2-40B4-BE49-F238E27FC236}">
              <a16:creationId xmlns:a16="http://schemas.microsoft.com/office/drawing/2014/main" id="{8AC90900-436D-49E1-9687-20F0132C57B1}"/>
            </a:ext>
            <a:ext uri="{147F2762-F138-4A5C-976F-8EAC2B608ADB}">
              <a16:predDERef xmlns:a16="http://schemas.microsoft.com/office/drawing/2014/main" pred="{0DBC5492-3AE2-D008-F075-AB9D4C9CA6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43</xdr:col>
      <xdr:colOff>1038225</xdr:colOff>
      <xdr:row>1</xdr:row>
      <xdr:rowOff>0</xdr:rowOff>
    </xdr:from>
    <xdr:to>
      <xdr:col>50</xdr:col>
      <xdr:colOff>0</xdr:colOff>
      <xdr:row>11</xdr:row>
      <xdr:rowOff>180975</xdr:rowOff>
    </xdr:to>
    <xdr:graphicFrame macro="">
      <xdr:nvGraphicFramePr>
        <xdr:cNvPr id="11" name="Gráfico 12">
          <a:extLst>
            <a:ext uri="{FF2B5EF4-FFF2-40B4-BE49-F238E27FC236}">
              <a16:creationId xmlns:a16="http://schemas.microsoft.com/office/drawing/2014/main" id="{058A04CD-CACE-4308-BDB3-D07C287897C9}"/>
            </a:ext>
            <a:ext uri="{147F2762-F138-4A5C-976F-8EAC2B608ADB}">
              <a16:predDERef xmlns:a16="http://schemas.microsoft.com/office/drawing/2014/main" pred="{87C8B639-34E0-2FA5-D8EF-109FE5DDD2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38</xdr:col>
      <xdr:colOff>66675</xdr:colOff>
      <xdr:row>30</xdr:row>
      <xdr:rowOff>76200</xdr:rowOff>
    </xdr:from>
    <xdr:to>
      <xdr:col>42</xdr:col>
      <xdr:colOff>971550</xdr:colOff>
      <xdr:row>44</xdr:row>
      <xdr:rowOff>152400</xdr:rowOff>
    </xdr:to>
    <xdr:graphicFrame macro="">
      <xdr:nvGraphicFramePr>
        <xdr:cNvPr id="12" name="Gráfico 13">
          <a:extLst>
            <a:ext uri="{FF2B5EF4-FFF2-40B4-BE49-F238E27FC236}">
              <a16:creationId xmlns:a16="http://schemas.microsoft.com/office/drawing/2014/main" id="{E92AFCE3-5FCA-4E4C-ABC1-792DA54997B1}"/>
            </a:ext>
            <a:ext uri="{147F2762-F138-4A5C-976F-8EAC2B608ADB}">
              <a16:predDERef xmlns:a16="http://schemas.microsoft.com/office/drawing/2014/main" pred="{75515088-6202-A702-3313-96522B29AB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38</xdr:col>
      <xdr:colOff>57150</xdr:colOff>
      <xdr:row>44</xdr:row>
      <xdr:rowOff>142875</xdr:rowOff>
    </xdr:from>
    <xdr:to>
      <xdr:col>42</xdr:col>
      <xdr:colOff>962025</xdr:colOff>
      <xdr:row>59</xdr:row>
      <xdr:rowOff>28575</xdr:rowOff>
    </xdr:to>
    <xdr:graphicFrame macro="">
      <xdr:nvGraphicFramePr>
        <xdr:cNvPr id="13" name="Gráfico 17">
          <a:extLst>
            <a:ext uri="{FF2B5EF4-FFF2-40B4-BE49-F238E27FC236}">
              <a16:creationId xmlns:a16="http://schemas.microsoft.com/office/drawing/2014/main" id="{88B084F7-1213-4245-AFFE-E195DAED81B6}"/>
            </a:ext>
            <a:ext uri="{147F2762-F138-4A5C-976F-8EAC2B608ADB}">
              <a16:predDERef xmlns:a16="http://schemas.microsoft.com/office/drawing/2014/main" pred="{0FC953E4-084F-9D79-7D8B-7A0D3BBA9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33</xdr:col>
      <xdr:colOff>38100</xdr:colOff>
      <xdr:row>30</xdr:row>
      <xdr:rowOff>38100</xdr:rowOff>
    </xdr:from>
    <xdr:to>
      <xdr:col>38</xdr:col>
      <xdr:colOff>57150</xdr:colOff>
      <xdr:row>44</xdr:row>
      <xdr:rowOff>114300</xdr:rowOff>
    </xdr:to>
    <xdr:graphicFrame macro="">
      <xdr:nvGraphicFramePr>
        <xdr:cNvPr id="14" name="Gráfico 19">
          <a:extLst>
            <a:ext uri="{FF2B5EF4-FFF2-40B4-BE49-F238E27FC236}">
              <a16:creationId xmlns:a16="http://schemas.microsoft.com/office/drawing/2014/main" id="{2B1238EC-68EA-4BE7-A7F1-2679B176D247}"/>
            </a:ext>
            <a:ext uri="{147F2762-F138-4A5C-976F-8EAC2B608ADB}">
              <a16:predDERef xmlns:a16="http://schemas.microsoft.com/office/drawing/2014/main" pred="{7F573268-565E-4B37-B1E0-C7EC8DECA2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33</xdr:col>
      <xdr:colOff>9525</xdr:colOff>
      <xdr:row>44</xdr:row>
      <xdr:rowOff>161925</xdr:rowOff>
    </xdr:from>
    <xdr:to>
      <xdr:col>38</xdr:col>
      <xdr:colOff>28575</xdr:colOff>
      <xdr:row>59</xdr:row>
      <xdr:rowOff>47625</xdr:rowOff>
    </xdr:to>
    <xdr:graphicFrame macro="">
      <xdr:nvGraphicFramePr>
        <xdr:cNvPr id="15" name="Gráfico 20">
          <a:extLst>
            <a:ext uri="{FF2B5EF4-FFF2-40B4-BE49-F238E27FC236}">
              <a16:creationId xmlns:a16="http://schemas.microsoft.com/office/drawing/2014/main" id="{2E212A55-4277-4F4C-93A4-496EB439F702}"/>
            </a:ext>
            <a:ext uri="{147F2762-F138-4A5C-976F-8EAC2B608ADB}">
              <a16:predDERef xmlns:a16="http://schemas.microsoft.com/office/drawing/2014/main" pred="{20A2DDF7-75E3-4730-A512-D1E154ECC8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50</xdr:col>
      <xdr:colOff>0</xdr:colOff>
      <xdr:row>1</xdr:row>
      <xdr:rowOff>0</xdr:rowOff>
    </xdr:from>
    <xdr:to>
      <xdr:col>57</xdr:col>
      <xdr:colOff>571500</xdr:colOff>
      <xdr:row>12</xdr:row>
      <xdr:rowOff>9525</xdr:rowOff>
    </xdr:to>
    <xdr:graphicFrame macro="">
      <xdr:nvGraphicFramePr>
        <xdr:cNvPr id="16" name="Gráfico 3">
          <a:extLst>
            <a:ext uri="{FF2B5EF4-FFF2-40B4-BE49-F238E27FC236}">
              <a16:creationId xmlns:a16="http://schemas.microsoft.com/office/drawing/2014/main" id="{05B4771F-A767-48AB-B1A6-B996CBCF65B0}"/>
            </a:ext>
            <a:ext uri="{147F2762-F138-4A5C-976F-8EAC2B608ADB}">
              <a16:predDERef xmlns:a16="http://schemas.microsoft.com/office/drawing/2014/main" pred="{76F89AA2-6E45-42A3-84DE-287E62CE16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42</xdr:col>
      <xdr:colOff>1038225</xdr:colOff>
      <xdr:row>78</xdr:row>
      <xdr:rowOff>180975</xdr:rowOff>
    </xdr:from>
    <xdr:to>
      <xdr:col>49</xdr:col>
      <xdr:colOff>428625</xdr:colOff>
      <xdr:row>94</xdr:row>
      <xdr:rowOff>38100</xdr:rowOff>
    </xdr:to>
    <xdr:graphicFrame macro="">
      <xdr:nvGraphicFramePr>
        <xdr:cNvPr id="17" name="Gráfico 7">
          <a:extLst>
            <a:ext uri="{FF2B5EF4-FFF2-40B4-BE49-F238E27FC236}">
              <a16:creationId xmlns:a16="http://schemas.microsoft.com/office/drawing/2014/main" id="{A29C00C1-BCED-4AA9-8A17-1FBD2B4E17F1}"/>
            </a:ext>
            <a:ext uri="{147F2762-F138-4A5C-976F-8EAC2B608ADB}">
              <a16:predDERef xmlns:a16="http://schemas.microsoft.com/office/drawing/2014/main" pred="{09505EEF-C41C-4EC8-86AB-4EC69613AB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22</xdr:row>
      <xdr:rowOff>0</xdr:rowOff>
    </xdr:from>
    <xdr:to>
      <xdr:col>8</xdr:col>
      <xdr:colOff>0</xdr:colOff>
      <xdr:row>40</xdr:row>
      <xdr:rowOff>0</xdr:rowOff>
    </xdr:to>
    <xdr:graphicFrame macro="">
      <xdr:nvGraphicFramePr>
        <xdr:cNvPr id="2" name="Gráfico 1">
          <a:extLst>
            <a:ext uri="{FF2B5EF4-FFF2-40B4-BE49-F238E27FC236}">
              <a16:creationId xmlns:a16="http://schemas.microsoft.com/office/drawing/2014/main" id="{3D3B1BEA-D4BF-40AE-A76C-87E918801B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4</xdr:col>
      <xdr:colOff>209550</xdr:colOff>
      <xdr:row>2</xdr:row>
      <xdr:rowOff>180975</xdr:rowOff>
    </xdr:from>
    <xdr:to>
      <xdr:col>8</xdr:col>
      <xdr:colOff>523875</xdr:colOff>
      <xdr:row>16</xdr:row>
      <xdr:rowOff>0</xdr:rowOff>
    </xdr:to>
    <xdr:pic>
      <xdr:nvPicPr>
        <xdr:cNvPr id="2" name="Picture 1">
          <a:extLst>
            <a:ext uri="{FF2B5EF4-FFF2-40B4-BE49-F238E27FC236}">
              <a16:creationId xmlns:a16="http://schemas.microsoft.com/office/drawing/2014/main" id="{D34BBB22-7776-ABAA-0933-127FEA744461}"/>
            </a:ext>
          </a:extLst>
        </xdr:cNvPr>
        <xdr:cNvPicPr>
          <a:picLocks noChangeAspect="1"/>
        </xdr:cNvPicPr>
      </xdr:nvPicPr>
      <xdr:blipFill>
        <a:blip xmlns:r="http://schemas.openxmlformats.org/officeDocument/2006/relationships" r:embed="rId1"/>
        <a:stretch>
          <a:fillRect/>
        </a:stretch>
      </xdr:blipFill>
      <xdr:spPr>
        <a:xfrm>
          <a:off x="4238625" y="666750"/>
          <a:ext cx="2752725" cy="2486025"/>
        </a:xfrm>
        <a:prstGeom prst="rect">
          <a:avLst/>
        </a:prstGeom>
      </xdr:spPr>
    </xdr:pic>
    <xdr:clientData/>
  </xdr:twoCellAnchor>
  <xdr:twoCellAnchor editAs="oneCell">
    <xdr:from>
      <xdr:col>9</xdr:col>
      <xdr:colOff>257175</xdr:colOff>
      <xdr:row>2</xdr:row>
      <xdr:rowOff>180975</xdr:rowOff>
    </xdr:from>
    <xdr:to>
      <xdr:col>13</xdr:col>
      <xdr:colOff>400050</xdr:colOff>
      <xdr:row>16</xdr:row>
      <xdr:rowOff>0</xdr:rowOff>
    </xdr:to>
    <xdr:pic>
      <xdr:nvPicPr>
        <xdr:cNvPr id="3" name="Picture 2">
          <a:extLst>
            <a:ext uri="{FF2B5EF4-FFF2-40B4-BE49-F238E27FC236}">
              <a16:creationId xmlns:a16="http://schemas.microsoft.com/office/drawing/2014/main" id="{CB4AFE28-4DED-C31F-F681-89F668BFC2B9}"/>
            </a:ext>
            <a:ext uri="{147F2762-F138-4A5C-976F-8EAC2B608ADB}">
              <a16:predDERef xmlns:a16="http://schemas.microsoft.com/office/drawing/2014/main" pred="{D34BBB22-7776-ABAA-0933-127FEA744461}"/>
            </a:ext>
          </a:extLst>
        </xdr:cNvPr>
        <xdr:cNvPicPr>
          <a:picLocks noChangeAspect="1"/>
        </xdr:cNvPicPr>
      </xdr:nvPicPr>
      <xdr:blipFill>
        <a:blip xmlns:r="http://schemas.openxmlformats.org/officeDocument/2006/relationships" r:embed="rId2"/>
        <a:stretch>
          <a:fillRect/>
        </a:stretch>
      </xdr:blipFill>
      <xdr:spPr>
        <a:xfrm>
          <a:off x="7334250" y="666750"/>
          <a:ext cx="2581275" cy="248602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314325</xdr:colOff>
      <xdr:row>1</xdr:row>
      <xdr:rowOff>57150</xdr:rowOff>
    </xdr:to>
    <xdr:sp macro="[0]!OcultarCeldasConUno" textlink="">
      <xdr:nvSpPr>
        <xdr:cNvPr id="3" name="Rectángulo: esquinas redondeadas 2">
          <a:extLst>
            <a:ext uri="{FF2B5EF4-FFF2-40B4-BE49-F238E27FC236}">
              <a16:creationId xmlns:a16="http://schemas.microsoft.com/office/drawing/2014/main" id="{7D5CCD18-6906-4AA1-BC9B-3F66349C3F66}"/>
            </a:ext>
          </a:extLst>
        </xdr:cNvPr>
        <xdr:cNvSpPr/>
      </xdr:nvSpPr>
      <xdr:spPr>
        <a:xfrm>
          <a:off x="14925675" y="0"/>
          <a:ext cx="1552575" cy="247650"/>
        </a:xfrm>
        <a:prstGeom prst="roundRect">
          <a:avLst/>
        </a:prstGeom>
        <a:solidFill>
          <a:srgbClr val="70AD47">
            <a:lumMod val="20000"/>
            <a:lumOff val="80000"/>
          </a:srgbClr>
        </a:solidFill>
        <a:ln w="12700" cap="flat" cmpd="sng" algn="ctr">
          <a:solidFill>
            <a:srgbClr val="A5A5A5">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s-PE" sz="1100" b="0" i="0" u="none" strike="noStrike" kern="0" cap="none" spc="0" normalizeH="0" baseline="0" noProof="0">
              <a:ln>
                <a:solidFill>
                  <a:sysClr val="windowText" lastClr="000000"/>
                </a:solidFill>
              </a:ln>
              <a:solidFill>
                <a:sysClr val="windowText" lastClr="000000"/>
              </a:solidFill>
              <a:effectLst/>
              <a:uLnTx/>
              <a:uFillTx/>
              <a:latin typeface="Calibri"/>
              <a:ea typeface="Calibri"/>
              <a:cs typeface="Calibri"/>
            </a:rPr>
            <a:t>   OCULTAR ESTADO 1</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314325</xdr:colOff>
      <xdr:row>1</xdr:row>
      <xdr:rowOff>57150</xdr:rowOff>
    </xdr:to>
    <xdr:sp macro="[0]!OcultarCeldasConUno" textlink="">
      <xdr:nvSpPr>
        <xdr:cNvPr id="3" name="Rectángulo: esquinas redondeadas 2">
          <a:extLst>
            <a:ext uri="{FF2B5EF4-FFF2-40B4-BE49-F238E27FC236}">
              <a16:creationId xmlns:a16="http://schemas.microsoft.com/office/drawing/2014/main" id="{E8FE8F0D-3657-45EE-93B8-A42628D9757F}"/>
            </a:ext>
          </a:extLst>
        </xdr:cNvPr>
        <xdr:cNvSpPr/>
      </xdr:nvSpPr>
      <xdr:spPr>
        <a:xfrm>
          <a:off x="14277975" y="0"/>
          <a:ext cx="1552575" cy="247650"/>
        </a:xfrm>
        <a:prstGeom prst="roundRect">
          <a:avLst/>
        </a:prstGeom>
        <a:solidFill>
          <a:srgbClr val="70AD47">
            <a:lumMod val="20000"/>
            <a:lumOff val="80000"/>
          </a:srgbClr>
        </a:solidFill>
        <a:ln w="12700" cap="flat" cmpd="sng" algn="ctr">
          <a:solidFill>
            <a:srgbClr val="A5A5A5">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s-PE" sz="1100" b="0" i="0" u="none" strike="noStrike" kern="0" cap="none" spc="0" normalizeH="0" baseline="0" noProof="0">
              <a:ln>
                <a:solidFill>
                  <a:sysClr val="windowText" lastClr="000000"/>
                </a:solidFill>
              </a:ln>
              <a:solidFill>
                <a:sysClr val="windowText" lastClr="000000"/>
              </a:solidFill>
              <a:effectLst/>
              <a:uLnTx/>
              <a:uFillTx/>
              <a:latin typeface="Calibri"/>
              <a:ea typeface="Calibri"/>
              <a:cs typeface="Calibri"/>
            </a:rPr>
            <a:t>   OCULTAR ESTADO 1</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1114425</xdr:colOff>
      <xdr:row>0</xdr:row>
      <xdr:rowOff>28575</xdr:rowOff>
    </xdr:from>
    <xdr:to>
      <xdr:col>7</xdr:col>
      <xdr:colOff>209550</xdr:colOff>
      <xdr:row>1</xdr:row>
      <xdr:rowOff>85725</xdr:rowOff>
    </xdr:to>
    <xdr:sp macro="[0]!OcultarCeldasConUno" textlink="">
      <xdr:nvSpPr>
        <xdr:cNvPr id="2" name="Rectángulo: esquinas redondeadas 1">
          <a:extLst>
            <a:ext uri="{FF2B5EF4-FFF2-40B4-BE49-F238E27FC236}">
              <a16:creationId xmlns:a16="http://schemas.microsoft.com/office/drawing/2014/main" id="{BEB1BEEA-EB03-6CFB-94F0-C9305C51295A}"/>
            </a:ext>
          </a:extLst>
        </xdr:cNvPr>
        <xdr:cNvSpPr/>
      </xdr:nvSpPr>
      <xdr:spPr>
        <a:xfrm>
          <a:off x="14297025" y="28575"/>
          <a:ext cx="1552575" cy="247650"/>
        </a:xfrm>
        <a:prstGeom prst="roundRect">
          <a:avLst/>
        </a:prstGeom>
        <a:solidFill>
          <a:schemeClr val="accent6">
            <a:lumMod val="20000"/>
            <a:lumOff val="8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r>
            <a:rPr lang="es-PE" sz="1100">
              <a:ln>
                <a:solidFill>
                  <a:sysClr val="windowText" lastClr="000000"/>
                </a:solidFill>
              </a:ln>
              <a:solidFill>
                <a:sysClr val="windowText" lastClr="000000"/>
              </a:solidFill>
            </a:rPr>
            <a:t>   OCULTAR</a:t>
          </a:r>
          <a:r>
            <a:rPr lang="es-PE" sz="1100" baseline="0">
              <a:ln>
                <a:solidFill>
                  <a:sysClr val="windowText" lastClr="000000"/>
                </a:solidFill>
              </a:ln>
              <a:solidFill>
                <a:sysClr val="windowText" lastClr="000000"/>
              </a:solidFill>
            </a:rPr>
            <a:t> ESTADO 1</a:t>
          </a:r>
          <a:endParaRPr lang="es-PE" sz="1100">
            <a:ln>
              <a:solidFill>
                <a:sysClr val="windowText" lastClr="000000"/>
              </a:solidFill>
            </a:ln>
            <a:solidFill>
              <a:sysClr val="windowText" lastClr="000000"/>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1190625</xdr:colOff>
      <xdr:row>0</xdr:row>
      <xdr:rowOff>9525</xdr:rowOff>
    </xdr:from>
    <xdr:to>
      <xdr:col>7</xdr:col>
      <xdr:colOff>190500</xdr:colOff>
      <xdr:row>1</xdr:row>
      <xdr:rowOff>104775</xdr:rowOff>
    </xdr:to>
    <xdr:sp macro="[0]!OcultarCeldasConUno" textlink="">
      <xdr:nvSpPr>
        <xdr:cNvPr id="2" name="Rectángulo: esquinas redondeadas 2">
          <a:extLst>
            <a:ext uri="{FF2B5EF4-FFF2-40B4-BE49-F238E27FC236}">
              <a16:creationId xmlns:a16="http://schemas.microsoft.com/office/drawing/2014/main" id="{8852FD80-5A07-4E99-B56B-2E4992D3BC4B}"/>
            </a:ext>
          </a:extLst>
        </xdr:cNvPr>
        <xdr:cNvSpPr/>
      </xdr:nvSpPr>
      <xdr:spPr>
        <a:xfrm>
          <a:off x="13592175" y="9525"/>
          <a:ext cx="1638300" cy="285750"/>
        </a:xfrm>
        <a:prstGeom prst="roundRect">
          <a:avLst/>
        </a:prstGeom>
        <a:solidFill>
          <a:srgbClr val="70AD47">
            <a:lumMod val="20000"/>
            <a:lumOff val="80000"/>
          </a:srgbClr>
        </a:solidFill>
        <a:ln w="12700" cap="flat" cmpd="sng" algn="ctr">
          <a:solidFill>
            <a:srgbClr val="A5A5A5">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s-PE" sz="1100" b="0" i="0" u="none" strike="noStrike" kern="0" cap="none" spc="0" normalizeH="0" baseline="0" noProof="0">
              <a:ln>
                <a:solidFill>
                  <a:sysClr val="windowText" lastClr="000000"/>
                </a:solidFill>
              </a:ln>
              <a:solidFill>
                <a:sysClr val="windowText" lastClr="000000"/>
              </a:solidFill>
              <a:effectLst/>
              <a:uLnTx/>
              <a:uFillTx/>
              <a:latin typeface="Calibri"/>
              <a:ea typeface="Calibri"/>
              <a:cs typeface="Calibri"/>
            </a:rPr>
            <a:t>   OCULTAR ESTADO 1</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1190625</xdr:colOff>
      <xdr:row>3</xdr:row>
      <xdr:rowOff>9525</xdr:rowOff>
    </xdr:from>
    <xdr:to>
      <xdr:col>7</xdr:col>
      <xdr:colOff>190500</xdr:colOff>
      <xdr:row>4</xdr:row>
      <xdr:rowOff>104775</xdr:rowOff>
    </xdr:to>
    <xdr:sp macro="[0]!OcultarCeldasConUno" textlink="">
      <xdr:nvSpPr>
        <xdr:cNvPr id="3" name="Rectángulo: esquinas redondeadas 2">
          <a:extLst>
            <a:ext uri="{FF2B5EF4-FFF2-40B4-BE49-F238E27FC236}">
              <a16:creationId xmlns:a16="http://schemas.microsoft.com/office/drawing/2014/main" id="{1DACB673-800B-455E-8717-FBC4FC337590}"/>
            </a:ext>
          </a:extLst>
        </xdr:cNvPr>
        <xdr:cNvSpPr/>
      </xdr:nvSpPr>
      <xdr:spPr>
        <a:xfrm>
          <a:off x="13592175" y="9525"/>
          <a:ext cx="1552575" cy="285750"/>
        </a:xfrm>
        <a:prstGeom prst="roundRect">
          <a:avLst/>
        </a:prstGeom>
        <a:solidFill>
          <a:srgbClr val="70AD47">
            <a:lumMod val="20000"/>
            <a:lumOff val="80000"/>
          </a:srgbClr>
        </a:solidFill>
        <a:ln w="12700" cap="flat" cmpd="sng" algn="ctr">
          <a:solidFill>
            <a:srgbClr val="A5A5A5">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s-PE" sz="1100" b="0" i="0" u="none" strike="noStrike" kern="0" cap="none" spc="0" normalizeH="0" baseline="0" noProof="0">
              <a:ln>
                <a:solidFill>
                  <a:sysClr val="windowText" lastClr="000000"/>
                </a:solidFill>
              </a:ln>
              <a:solidFill>
                <a:sysClr val="windowText" lastClr="000000"/>
              </a:solidFill>
              <a:effectLst/>
              <a:uLnTx/>
              <a:uFillTx/>
              <a:latin typeface="Calibri"/>
              <a:ea typeface="Calibri"/>
              <a:cs typeface="Calibri"/>
            </a:rPr>
            <a:t>   OCULTAR ESTADO 1</a:t>
          </a:r>
        </a:p>
      </xdr:txBody>
    </xdr:sp>
    <xdr:clientData/>
  </xdr:twoCellAnchor>
</xdr:wsDr>
</file>

<file path=xl/persons/person.xml><?xml version="1.0" encoding="utf-8"?>
<personList xmlns="http://schemas.microsoft.com/office/spreadsheetml/2018/threadedcomments" xmlns:x="http://schemas.openxmlformats.org/spreadsheetml/2006/main">
  <person displayName="Luis Bendezu" id="{FFC46503-923F-4D84-B7A7-B8CBE38B75D7}" userId="S::lbendezu@shp.pe::a78e9589-2969-4919-8e23-c347f5f873a0"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4FD7B3-F8B6-4AE6-A19F-BAB92591B343}" name="tblParadas" displayName="tblParadas" ref="B4:N58" totalsRowShown="0" headerRowDxfId="237">
  <autoFilter ref="B4:N58" xr:uid="{C84FD7B3-F8B6-4AE6-A19F-BAB92591B343}"/>
  <tableColumns count="13">
    <tableColumn id="1" xr3:uid="{E43461CA-E696-4F2A-B148-98FD5A4CA5F9}" name="Fecha" dataDxfId="236"/>
    <tableColumn id="2" xr3:uid="{A208BF5E-56E2-45D9-827C-7F3F2FF26383}" name="Equipo" dataDxfId="235"/>
    <tableColumn id="3" xr3:uid="{311A26BF-4C38-43FF-B717-941E392777F5}" name="Inicio de parada" dataDxfId="234"/>
    <tableColumn id="4" xr3:uid="{A6186172-E319-458C-A193-49CE4577AEBE}" name="Arranque" dataDxfId="233"/>
    <tableColumn id="5" xr3:uid="{7CCFFA6A-EF98-404F-9201-4F1C048D8395}" name="Horas perdidas" dataDxfId="232"/>
    <tableColumn id="6" xr3:uid="{B0376258-BB71-4A67-BD8F-3C77D042D7E5}" name="TM/h no procesadas" dataDxfId="231"/>
    <tableColumn id="7" xr3:uid="{707084A3-EB79-4323-8642-8E837BEDD98C}" name="Mineral no procesado (TM)" dataDxfId="230">
      <calculatedColumnFormula>IF(tblParadas[[#This Row],[TM/h no procesadas]]="","",tblParadas[[#This Row],[Horas perdidas]]*tblParadas[[#This Row],[TM/h no procesadas]])</calculatedColumnFormula>
    </tableColumn>
    <tableColumn id="8" xr3:uid="{E41A7F48-176A-401B-A958-224FBFCB39C0}" name="Concentrado no producido (TMS)" dataDxfId="229">
      <calculatedColumnFormula>IF(tblParadas[[#This Row],[Mineral no procesado (TM)]]="","",tblParadas[[#This Row],[Mineral no procesado (TM)]]/SUMIFS(tblMetas[Valor],tblMetas[Código],"RATIO_MIN_CONC",tblMetas[Desde],"&lt;="&amp;tblParadas[[#This Row],[Fecha]],tblMetas[Hasta],"&gt;="&amp;tblParadas[[#This Row],[Fecha]]))</calculatedColumnFormula>
    </tableColumn>
    <tableColumn id="9" xr3:uid="{AA466F74-2AE7-4C87-97F9-1DEB8DF3A0A6}" name="Tipo de falla" dataDxfId="228"/>
    <tableColumn id="10" xr3:uid="{E18BC652-327E-4755-8002-215E9A0F1573}" name="Motivo" dataDxfId="227"/>
    <tableColumn id="11" xr3:uid="{4194CF59-C096-44F1-98D6-664656AF912A}" name="Control" dataDxfId="226">
      <calculatedColumnFormula>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calculatedColumnFormula>
    </tableColumn>
    <tableColumn id="12" xr3:uid="{90659D59-EBFB-45E8-B00A-264E9CC35EE2}" name="Registrado por"/>
    <tableColumn id="13" xr3:uid="{DFB56AF2-AEE3-49FA-94CE-12B7A939FD2C}" name="Orige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97DFB20-2E55-4F70-809D-7CFC0D7F955E}" name="tblMantto" displayName="tblMantto" ref="B12:O52" totalsRowShown="0" headerRowDxfId="225" dataDxfId="223" headerRowBorderDxfId="224" tableBorderDxfId="222" totalsRowBorderDxfId="221">
  <autoFilter ref="B12:O52" xr:uid="{D97DFB20-2E55-4F70-809D-7CFC0D7F955E}"/>
  <tableColumns count="14">
    <tableColumn id="1" xr3:uid="{CE75DB0E-6196-4451-AF3F-16644839CB57}" name="Fecha" dataDxfId="220"/>
    <tableColumn id="2" xr3:uid="{9964E501-E2FA-408D-8FDF-4708E86B0C32}" name="Guardia" dataDxfId="219"/>
    <tableColumn id="3" xr3:uid="{406A625E-DA54-4752-B8BF-F244D90BA052}" name="Área" dataDxfId="218"/>
    <tableColumn id="4" xr3:uid="{53225AC7-E3AC-4FD5-AAA7-2666C3C17339}" name="Equipo" dataDxfId="217"/>
    <tableColumn id="5" xr3:uid="{FC8AA4E5-990D-4F05-96FA-A6367D9B0530}" name="Aviso SAP" dataDxfId="216"/>
    <tableColumn id="6" xr3:uid="{57E7C010-C589-45E0-8ED6-EBE65B0AB2F3}" name="Especialidad" dataDxfId="215"/>
    <tableColumn id="7" xr3:uid="{E2D8CF49-825C-4FD3-961D-6DB954139C75}" name="Tipo" dataDxfId="214"/>
    <tableColumn id="8" xr3:uid="{4743A802-15F1-4029-896E-80234CE572DA}" name="Trabajo realizado" dataDxfId="213"/>
    <tableColumn id="9" xr3:uid="{EFBB8BCC-BEC3-4B74-8744-D74158D13E3B}" name="Inicio" dataDxfId="212"/>
    <tableColumn id="10" xr3:uid="{2AA67DE1-BF37-49F3-9136-F01342064A79}" name="Fin" dataDxfId="211"/>
    <tableColumn id="11" xr3:uid="{5FE86C70-2549-48B4-BFDA-F97225D579FB}" name="Horas" dataDxfId="210">
      <calculatedColumnFormula>IF(AND(ISNUMBER(tblMantto[[#This Row],[Inicio]]),ISNUMBER(tblMantto[[#This Row],[Fin]])),MOD(tblMantto[[#This Row],[Fin]]-tblMantto[[#This Row],[Inicio]],1)*24,"")</calculatedColumnFormula>
    </tableColumn>
    <tableColumn id="12" xr3:uid="{6F0EAD96-07D7-4460-A18B-82FA5979F171}" name="Estado" dataDxfId="209"/>
    <tableColumn id="13" xr3:uid="{79748F50-EF94-43A3-892A-3BF3CAB00C53}" name="Responsable" dataDxfId="208"/>
    <tableColumn id="14" xr3:uid="{5E7EEB1B-A20C-44BC-A7A9-94954F0E9262}" name="Observaciones" dataDxfId="207"/>
  </tableColumns>
  <tableStyleInfo name="TableStyleLight1"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84C5F0F-1678-4EA7-913D-BE585E49CC66}" name="tblBombas" displayName="tblBombas" ref="B12:I42" totalsRowShown="0" headerRowDxfId="206" dataDxfId="204" headerRowBorderDxfId="205" tableBorderDxfId="203" totalsRowBorderDxfId="202">
  <autoFilter ref="B12:I42" xr:uid="{F84C5F0F-1678-4EA7-913D-BE585E49CC66}"/>
  <tableColumns count="8">
    <tableColumn id="1" xr3:uid="{44027510-5BF6-4A8A-A9A0-57D7CD2B3F2E}" name="Ítem" dataDxfId="201">
      <calculatedColumnFormula>IF(tblBombas[[#This Row],[Fecha]]="","",ROW()-ROW(tblBombas[[#Headers],[Ítem]]))</calculatedColumnFormula>
    </tableColumn>
    <tableColumn id="2" xr3:uid="{24B803A1-782D-4FF5-8F0E-516DB43001F7}" name="Fecha" dataDxfId="200"/>
    <tableColumn id="3" xr3:uid="{BF8F1320-F2D3-45CD-8AB0-827F2594B141}" name="Turno" dataDxfId="199"/>
    <tableColumn id="4" xr3:uid="{22563494-1141-4363-842A-19FF6ECBCE56}" name="Equipo" dataDxfId="198"/>
    <tableColumn id="5" xr3:uid="{3381C61A-4587-4F0B-8A62-63F769A12234}" name="Componentes cambiados" dataDxfId="197"/>
    <tableColumn id="6" xr3:uid="{8C3C5852-8EE7-4F15-9C1D-A15109AD7162}" name="Tipo de mantenimiento" dataDxfId="196"/>
    <tableColumn id="7" xr3:uid="{BF2010AC-2138-4B76-8DE0-86A1907008D2}" name="Horas equipo" dataDxfId="195"/>
    <tableColumn id="8" xr3:uid="{BB7C6EB1-2DAD-4A6A-9D0E-6A37502F0715}" name="Observaciones" dataDxfId="194"/>
  </tableColumns>
  <tableStyleInfo name="TableStyleLight1"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701B391-4125-423A-9142-ECE71184665F}" name="tblBalanzas" displayName="tblBalanzas" ref="B3:O11" totalsRowShown="0" tableBorderDxfId="193">
  <autoFilter ref="B3:O11" xr:uid="{7701B391-4125-423A-9142-ECE71184665F}"/>
  <tableColumns count="14">
    <tableColumn id="1" xr3:uid="{CDF2BF96-0CED-49D2-9E53-703F44CB68EF}" name="FECHA" dataDxfId="192"/>
    <tableColumn id="2" xr3:uid="{2D38E340-9D06-4E1E-A3D1-B374783137D8}" name="EQUIPO" dataDxfId="191"/>
    <tableColumn id="3" xr3:uid="{B412FD13-C5CC-44BF-82F3-60B1ECB9FE15}" name="FAJA TRANSP" dataDxfId="190"/>
    <tableColumn id="4" xr3:uid="{AAEE1516-95E7-4E85-830C-3ABB9BAF231F}" name="ZERO AS FOUND" dataDxfId="189"/>
    <tableColumn id="5" xr3:uid="{62CA24AC-20EE-49BA-88F8-660101B46D00}" name="ZERO AS         LEFT" dataDxfId="188"/>
    <tableColumn id="6" xr3:uid="{3F15C185-328E-4224-A386-C0B9823C79B0}" name="DELTA    ZERO" dataDxfId="187">
      <calculatedColumnFormula>F4-E4</calculatedColumnFormula>
    </tableColumn>
    <tableColumn id="7" xr3:uid="{3DDD09C2-C68E-4716-9273-C8C3001AE6A5}" name="ERROR ZERO ENCONTRADO (%)" dataDxfId="186"/>
    <tableColumn id="8" xr3:uid="{9B79668E-3E75-4C86-B54E-081E73138A66}" name="ERROR ZERO DEJADO (%)" dataDxfId="185"/>
    <tableColumn id="9" xr3:uid="{91FB3AFC-507D-4E51-8603-6A9436B619CE}" name="SPAN AS FOUND" dataDxfId="184"/>
    <tableColumn id="10" xr3:uid="{5AB06EB3-D385-43EA-AAC8-C8FADF4DD522}" name="SPAN AS         LEFT" dataDxfId="183"/>
    <tableColumn id="11" xr3:uid="{6F7A1F9B-0879-4AF7-9827-9D6A5B1FD163}" name="DELTA      SPAN" dataDxfId="182">
      <calculatedColumnFormula>K4-J4</calculatedColumnFormula>
    </tableColumn>
    <tableColumn id="12" xr3:uid="{2633AB2A-EF2B-4A52-92AB-D1FFF02B9E4C}" name="ERROR SPAN ENCONTRADO (%)" dataDxfId="181"/>
    <tableColumn id="13" xr3:uid="{873FB122-9A32-4FA2-A7B9-3B353665A90E}" name="ERROR SPAN DEJADO (%)" dataDxfId="180"/>
    <tableColumn id="14" xr3:uid="{F54AC041-F4C2-4B96-9B45-95198CC6850B}" name="OBSERVACION" dataDxfId="179"/>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B0538CD-5C5B-41C5-96EF-CF9D48A38C3E}" name="tblAvisos" displayName="tblAvisos" ref="B4:Q490" totalsRowShown="0" headerRowDxfId="150">
  <autoFilter ref="B4:Q490" xr:uid="{4B0538CD-5C5B-41C5-96EF-CF9D48A38C3E}"/>
  <tableColumns count="16">
    <tableColumn id="1" xr3:uid="{819DC011-D28E-49A2-8DF6-A4D13EF21119}" name="N°" dataDxfId="149">
      <calculatedColumnFormula array="1">ROW()-ROW(tblAvisos[#Headers])</calculatedColumnFormula>
    </tableColumn>
    <tableColumn id="2" xr3:uid="{E1B57FE5-D93D-40A2-8A31-131CD9F4C655}" name="Área planta"/>
    <tableColumn id="3" xr3:uid="{6C7CD89E-F93C-4525-B374-BBED16C88A8D}" name="Fecha reporte"/>
    <tableColumn id="4" xr3:uid="{76AC35ED-A46D-4303-A1AD-7ADCB3A8940F}" name="Aviso SAP" dataDxfId="148"/>
    <tableColumn id="5" xr3:uid="{AF9F1F15-5736-474E-BBB7-E172E1F512F2}" name="Equipo"/>
    <tableColumn id="6" xr3:uid="{416633FD-F2B1-4D56-A0B5-47EB4A57793E}" name="Descripción"/>
    <tableColumn id="7" xr3:uid="{FDE2B1CC-A9E2-41CE-91C3-7AF038748778}" name="Especialidad"/>
    <tableColumn id="8" xr3:uid="{DBBBE6D9-6652-4E7B-87D4-6CE3F8EE943A}" name="Estado trabajo"/>
    <tableColumn id="9" xr3:uid="{C0C12F80-3442-47E6-97AC-E09CE4D1650F}" name="Condición equipo"/>
    <tableColumn id="10" xr3:uid="{7AC0ECD7-6DE7-4A18-9F24-1C432206F75C}" name="Criticidad"/>
    <tableColumn id="11" xr3:uid="{5C64BAC6-6FEB-43B2-A31B-775A85C484F8}" name="Fecha cierre"/>
    <tableColumn id="12" xr3:uid="{A729FA6C-5880-462B-9568-0DCB62C30C57}" name="Responsable"/>
    <tableColumn id="13" xr3:uid="{137BD850-CC32-44BF-B99D-3ACE3B0A1543}" name="Observaciones"/>
    <tableColumn id="14" xr3:uid="{D155C959-E0C5-4343-B232-61A56032091B}" name="Días abierto">
      <calculatedColumnFormula>IF(OR(tblAvisos[[#This Row],[Estado trabajo]]="Cerrado",tblAvisos[[#This Row],[Fecha reporte]]=""),"",TODAY()-tblAvisos[[#This Row],[Fecha reporte]])</calculatedColumnFormula>
    </tableColumn>
    <tableColumn id="15" xr3:uid="{25785D2C-D0DE-4AB5-9FCC-10985B8B3357}" name="Control datos">
      <calculatedColumnFormula>IF(tblAvisos[[#This Row],[Fecha reporte]]="","Sin fecha",IF(tblAvisos[[#This Row],[Fecha reporte]]&lt;DATE(2020,1,1),"Fecha inválida",IF(tblAvisos[[#This Row],[Fecha reporte]]&gt;TODAY(),"Fecha futura",IF(tblAvisos[[#This Row],[Aviso SAP]]="","Sin aviso SAP",IF(tblAvisos[[#This Row],[Criticidad]]="","Sin criticidad","OK")))))</calculatedColumnFormula>
    </tableColumn>
    <tableColumn id="16" xr3:uid="{BC9C7E02-AE05-436C-A9F7-4966E04F088D}" name="Origen" dataDxfId="14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6DA71A7-DA0F-400D-B799-C3DC56D9798B}" name="tblDias" displayName="tblDias" ref="B10:O497" totalsRowShown="0" headerRowDxfId="178">
  <autoFilter ref="B10:O497" xr:uid="{26DA71A7-DA0F-400D-B799-C3DC56D9798B}"/>
  <tableColumns count="14">
    <tableColumn id="1" xr3:uid="{1CAA7903-FB71-459A-AB73-3928FE803793}" name="Fecha" dataDxfId="177"/>
    <tableColumn id="2" xr3:uid="{325AB45E-7C8F-48E4-9A58-6CC359151336}" name="Día">
      <calculatedColumnFormula>CHOOSE(WEEKDAY(tblDias[[#This Row],[Fecha]],2),"lun","mar","mié","jue","vie","sáb","dom")</calculatedColumnFormula>
    </tableColumn>
    <tableColumn id="3" xr3:uid="{FD58C1F0-3C16-4895-BC8B-A40A5D5DE271}" name="Estado" dataDxfId="176"/>
    <tableColumn id="4" xr3:uid="{BFAD59FE-4EBF-4250-AFBC-CF1CEF3BE4B5}" name="Horas cargadas">
      <calculatedColumnFormula>COUNTIFS(tblConcentrado[Fecha],tblDias[[#This Row],[Fecha]])</calculatedColumnFormula>
    </tableColumn>
    <tableColumn id="5" xr3:uid="{E76EA95D-30D8-4664-B5EB-798E22455039}" name="Horas esperadas">
      <calculatedColumnFormula>CFG_HORAS</calculatedColumnFormula>
    </tableColumn>
    <tableColumn id="6" xr3:uid="{B8EE9D75-F109-4AAE-B466-50460448075A}" name="Completitud">
      <calculatedColumnFormula>IF(tblDias[[#This Row],[Horas esperadas]]=0,0,tblDias[[#This Row],[Horas cargadas]]/tblDias[[#This Row],[Horas esperadas]])</calculatedColumnFormula>
    </tableColumn>
    <tableColumn id="7" xr3:uid="{85696D71-72DB-4B6C-B6F0-1CF0BDE67B56}" name="Semáforo concentrado">
      <calculatedColumnFormula>IF(tblDias[[#This Row],[Fecha]]&gt;TODAY(),"Pendiente",IF(tblDias[[#This Row],[Horas cargadas]]=0,"Sin datos",IF(tblDias[[#This Row],[Horas cargadas]]&lt;tblDias[[#This Row],[Horas esperadas]],"Parcial","Completo")))</calculatedColumnFormula>
    </tableColumn>
    <tableColumn id="8" xr3:uid="{2AEF389E-8502-4EFC-A3B5-4C89AE5F101F}" name="Filas RDO">
      <calculatedColumnFormula>COUNTIFS(tblRDO[Fecha],tblDias[[#This Row],[Fecha]])</calculatedColumnFormula>
    </tableColumn>
    <tableColumn id="9" xr3:uid="{F8F884C8-BD16-4909-9FBF-1F8921089F91}" name="Semáforo RDO">
      <calculatedColumnFormula>IF(tblDias[[#This Row],[Fecha]]&gt;TODAY(),"Pendiente",IF(tblDias[[#This Row],[Filas RDO]]=0,"Sin RDO","Cargado"))</calculatedColumnFormula>
    </tableColumn>
    <tableColumn id="13" xr3:uid="{0A898079-A218-4078-8AE1-1C7A2CE730AC}" name="Filas controles" dataDxfId="175">
      <calculatedColumnFormula>COUNTIFS(tblControles[Fecha],tblDias[[#This Row],[Fecha]],tblControles[Turno],"&lt;&gt;Obs")</calculatedColumnFormula>
    </tableColumn>
    <tableColumn id="14" xr3:uid="{D8420340-5A3B-478C-807D-758E6C3EA3E2}" name="Horas de parada" dataDxfId="174">
      <calculatedColumnFormula>SUMIFS(tblParadas[Horas perdidas],tblParadas[Fecha],tblDias[[#This Row],[Fecha]])</calculatedColumnFormula>
    </tableColumn>
    <tableColumn id="10" xr3:uid="{C6402355-E86B-4A3F-BAF9-25191ED68E32}" name="Cerrado por" dataDxfId="173"/>
    <tableColumn id="11" xr3:uid="{9E471F94-175A-4D74-BB3D-785D54FA6A2D}" name="Fecha cierre" dataDxfId="172"/>
    <tableColumn id="12" xr3:uid="{576DE21A-2F5D-41F5-8275-308A235E5FA5}" name="Nota" dataDxfId="171"/>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F512B9F-8D0E-4357-8F42-88E3285FC4BF}" name="tblAuditoria" displayName="tblAuditoria" ref="B4:K19" totalsRowShown="0">
  <autoFilter ref="B4:K19" xr:uid="{2F512B9F-8D0E-4357-8F42-88E3285FC4BF}"/>
  <tableColumns count="10">
    <tableColumn id="1" xr3:uid="{3CE858A5-E6A3-41CB-9864-BD303B084689}" name="N°">
      <calculatedColumnFormula>ROW()-ROW(tblAuditoria[[#Headers],[N°]])</calculatedColumnFormula>
    </tableColumn>
    <tableColumn id="2" xr3:uid="{3F153778-2AD9-48F2-9840-F190D7BC5DF3}" name="Fecha y hora" dataDxfId="170"/>
    <tableColumn id="3" xr3:uid="{648FE730-E288-4FC8-9C31-EE8061D4AE49}" name="Usuario"/>
    <tableColumn id="4" xr3:uid="{B53D76BF-35E7-4BC5-9B92-D62A2D0E74A6}" name="Tabla"/>
    <tableColumn id="5" xr3:uid="{DABCBA90-0EC9-4D10-83F1-0416683D3904}" name="Clave (fecha)" dataDxfId="169"/>
    <tableColumn id="6" xr3:uid="{8CF4BD6E-A75F-42FF-A2C9-E42E0C2FD252}" name="Acción"/>
    <tableColumn id="7" xr3:uid="{951AAC99-D9F4-4499-AC6F-2B89D9209D81}" name="Campo" dataDxfId="168"/>
    <tableColumn id="8" xr3:uid="{9F972A33-08C6-4D94-8C90-1BE2B5B844B1}" name="Valor anterior" dataDxfId="167"/>
    <tableColumn id="9" xr3:uid="{C570A18A-4EA5-4DF9-AF9C-B6AA03985AA3}" name="Valor nuevo" dataDxfId="166"/>
    <tableColumn id="10" xr3:uid="{83639B32-0BB4-471E-9007-9BE8571B0EC1}" name="Motivo"/>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4FB9822-9CC7-4334-A39A-FB57CA48EC01}" name="tblMetas" displayName="tblMetas" ref="B4:H14" totalsRowShown="0">
  <autoFilter ref="B4:H14" xr:uid="{74FB9822-9CC7-4334-A39A-FB57CA48EC01}"/>
  <tableColumns count="7">
    <tableColumn id="1" xr3:uid="{75B634BD-A55A-4BED-B580-630AA411CE6C}" name="Código"/>
    <tableColumn id="2" xr3:uid="{658E08CB-5465-41F9-89F8-6D6220AEC2FF}" name="Meta"/>
    <tableColumn id="3" xr3:uid="{D4B65219-C7E4-4D94-A09F-A379F6D972F0}" name="Valor" dataDxfId="144"/>
    <tableColumn id="4" xr3:uid="{A3854067-9B98-47AC-A9B1-915DABFDB122}" name="Unidad"/>
    <tableColumn id="5" xr3:uid="{09DB522A-D9BF-4FA4-80A9-8936D221E566}" name="Desde" dataDxfId="143"/>
    <tableColumn id="6" xr3:uid="{A30B84E6-1B7D-4099-BFA0-29BEDA59C2FB}" name="Hasta" dataDxfId="142"/>
    <tableColumn id="7" xr3:uid="{8E725E49-90EC-48A1-926C-A7DAA52DF480}" name="Nota"/>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F4FE99-CBBA-44DA-91DA-BF9AF97E7D9F}" name="tblParametros" displayName="tblParametros" ref="B4:J16" totalsRowShown="0">
  <autoFilter ref="B4:J16" xr:uid="{64F4FE99-CBBA-44DA-91DA-BF9AF97E7D9F}"/>
  <tableColumns count="9">
    <tableColumn id="1" xr3:uid="{9543EAB4-B0F6-47C2-8B4F-66BA4E240ABD}" name="Código"/>
    <tableColumn id="2" xr3:uid="{AC529AEC-B4AB-4B28-A65E-F26C6E364CEA}" name="Parámetro"/>
    <tableColumn id="3" xr3:uid="{CC826964-8DE0-4072-8C96-B98C31267FC5}" name="Unidad"/>
    <tableColumn id="4" xr3:uid="{E13716EB-DFC3-495F-BFB0-BCC40031A3FA}" name="Área"/>
    <tableColumn id="5" xr3:uid="{029A1C05-4FFE-420D-9BD2-699649C4F12F}" name="Mín" dataDxfId="141"/>
    <tableColumn id="6" xr3:uid="{03508F6D-C981-4742-83B6-D34B9EDDEE07}" name="Máx" dataDxfId="140"/>
    <tableColumn id="7" xr3:uid="{37100FA0-2803-49A5-9FF9-592DF34BC670}" name="Decimales" dataDxfId="139"/>
    <tableColumn id="8" xr3:uid="{56A6AD97-EA9A-4140-8C26-A2A8F8CB9D17}" name="Obligatorio" dataDxfId="138"/>
    <tableColumn id="9" xr3:uid="{A9232DFB-014A-4EB2-A0BA-73E7A45CB313}" name="Nota"/>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A40CBAB-0F99-4ACE-AA43-72875CDBA9CE}" name="tblModulos" displayName="tblModulos" ref="B4:H12" totalsRowShown="0">
  <autoFilter ref="B4:H12" xr:uid="{FA40CBAB-0F99-4ACE-AA43-72875CDBA9CE}"/>
  <tableColumns count="7">
    <tableColumn id="1" xr3:uid="{6C86E498-CDC8-419B-8EC1-76D1F76DF9DE}" name="Módulo"/>
    <tableColumn id="2" xr3:uid="{DD646852-97A0-4DAC-9F78-BFCB945CA5ED}" name="Descripción"/>
    <tableColumn id="3" xr3:uid="{D5867D0F-195F-4014-BC93-1D1F33DD1D35}" name="Tipo" dataDxfId="137"/>
    <tableColumn id="4" xr3:uid="{E446BA26-C701-4732-B715-0B6DD7A4802C}" name="Etiqueta 1" dataDxfId="136"/>
    <tableColumn id="5" xr3:uid="{234B4A9D-60F5-48A7-B30F-46153694F64A}" name="Etiqueta 2" dataDxfId="135"/>
    <tableColumn id="6" xr3:uid="{316A9090-348E-4C79-9ECD-8CB0ECC19F4A}" name="Etiqueta 3" dataDxfId="134"/>
    <tableColumn id="7" xr3:uid="{5A16F451-5918-4D2C-8EBB-63A6A404C1D3}" name="Hoja origen (histórica)"/>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0354215-B47B-4DAB-9A00-01146565EADE}" name="tblCatControles" displayName="tblCatControles" ref="B16:I130" totalsRowShown="0">
  <autoFilter ref="B16:I130" xr:uid="{D0354215-B47B-4DAB-9A00-01146565EADE}"/>
  <tableColumns count="8">
    <tableColumn id="1" xr3:uid="{6D9B0058-8EED-4F25-BE57-A2003EDE8071}" name="Módulo"/>
    <tableColumn id="2" xr3:uid="{6B71C24A-E0B6-4642-83D9-A58DE00A0B90}" name="Ítem"/>
    <tableColumn id="3" xr3:uid="{57110DE8-CDD0-4DF0-918B-403B7302D6A7}" name="Ubicación / detalle"/>
    <tableColumn id="4" xr3:uid="{60C338CF-7EB8-4C8C-A0AE-467A9CBBDAEB}" name="Unidad"/>
    <tableColumn id="5" xr3:uid="{E12CEB59-B35E-47A7-B23D-475F33DAA2B1}" name="Mín" dataDxfId="133"/>
    <tableColumn id="6" xr3:uid="{C4DA85B9-2F42-4264-80A7-0CD8BB448524}" name="Máx" dataDxfId="132"/>
    <tableColumn id="7" xr3:uid="{295FACEF-2CB6-4A75-8516-9D8D31524BBA}" name="Referencia" dataDxfId="131"/>
    <tableColumn id="8" xr3:uid="{7E6B692D-AD5E-4E2E-AF2E-6335F91AEAE2}" name="Activo" dataDxfId="130"/>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4922B7F-29A4-4F8A-8B46-024DAACB1AA8}" name="tblPaneles" displayName="tblPaneles" ref="K4:N7" totalsRowShown="0">
  <autoFilter ref="K4:N7" xr:uid="{E4922B7F-29A4-4F8A-8B46-024DAACB1AA8}"/>
  <tableColumns count="4">
    <tableColumn id="1" xr3:uid="{56058903-4522-4F89-9A10-17044A46405A}" name="Módulo"/>
    <tableColumn id="2" xr3:uid="{E128B586-0962-46D6-AFE9-AFE3F153A08E}" name="Columna ítem"/>
    <tableColumn id="3" xr3:uid="{BA6B74E0-3CCF-4304-BAD8-14DD35FB1BE4}" name="Fila inicio"/>
    <tableColumn id="4" xr3:uid="{81F5E78A-BB73-4CC1-8459-57DE439EEE16}" name="Filas"/>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8AE1062-3CFF-4242-A3A2-5F92023D2907}" name="tblHojasMes" displayName="tblHojasMes" ref="K11:R15" totalsRowShown="0">
  <autoFilter ref="K11:R15" xr:uid="{18AE1062-3CFF-4242-A3A2-5F92023D2907}"/>
  <tableColumns count="8">
    <tableColumn id="1" xr3:uid="{7F4D5085-394A-43A9-B3AF-072C1F6583D3}" name="Hoja"/>
    <tableColumn id="2" xr3:uid="{45A8833D-9606-4E80-83A7-6D7C35582DDD}" name="Módulo"/>
    <tableColumn id="3" xr3:uid="{4F5B8D74-1C4B-4E68-82A5-9A8CFEE17B87}" name="Fila inicio"/>
    <tableColumn id="4" xr3:uid="{111E6E8C-95DB-42D1-BBA5-EA5AF91FB881}" name="Fila fin"/>
    <tableColumn id="5" xr3:uid="{6DF2D79F-4380-436E-9839-1467C1AEC392}" name="Fila ítem"/>
    <tableColumn id="6" xr3:uid="{8E746C55-CED5-4F0C-A181-9ED0AE6F3113}" name="Fila turno"/>
    <tableColumn id="7" xr3:uid="{8762B3C5-F488-42D0-AAF3-22F26B5F7FFB}" name="Col. inicio"/>
    <tableColumn id="8" xr3:uid="{5308D9CA-B407-4063-8685-E045CFFC4F66}" name="Col. fin"/>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C1D67C9-68F4-4E35-B30C-F8529D6AA74F}" name="tblConcentrado" displayName="tblConcentrado" ref="B4:AA697" totalsRowShown="0" headerRowDxfId="165">
  <autoFilter ref="B4:AA697" xr:uid="{BC1D67C9-68F4-4E35-B30C-F8529D6AA74F}"/>
  <tableColumns count="26">
    <tableColumn id="1" xr3:uid="{B5857E5B-D5EF-45A0-A0DA-8D2603C744F9}" name="ID" dataDxfId="164">
      <calculatedColumnFormula>(YEAR(tblConcentrado[[#This Row],[Fecha]])*10000+MONTH(tblConcentrado[[#This Row],[Fecha]])*100+DAY(tblConcentrado[[#This Row],[Fecha]]))*100+tblConcentrado[[#This Row],[N° hora]]</calculatedColumnFormula>
    </tableColumn>
    <tableColumn id="2" xr3:uid="{0F3B3D0F-57A2-4B24-9501-3DFE88D0EF7E}" name="Fecha"/>
    <tableColumn id="3" xr3:uid="{8F0B92F8-2772-43B9-B8B9-3C97FC5FBFD1}" name="N° hora"/>
    <tableColumn id="4" xr3:uid="{18EFCF3E-2066-48B1-98B7-5F13C6ABE2E8}" name="Hora"/>
    <tableColumn id="5" xr3:uid="{AFDFC383-6963-41AC-B0C1-E9FCC4C483C4}" name="Mineral (TMS)"/>
    <tableColumn id="6" xr3:uid="{2E46C61C-6044-4D8B-BC05-D1746C755EC6}" name="Concentrado (TMS)"/>
    <tableColumn id="7" xr3:uid="{49115827-ED1E-4ACC-ADAE-CAE6433AF6CA}" name="S (%)"/>
    <tableColumn id="8" xr3:uid="{91796626-76D9-48B9-B1C4-88D7E5ACBF1D}" name="RM 1/2/3 DTT-100 S"/>
    <tableColumn id="9" xr3:uid="{EBB44E3F-BAF5-40A5-8832-A6804A7BF618}" name="RM 1/2/3 DTT-100 S/F"/>
    <tableColumn id="10" xr3:uid="{F219F479-F835-401E-9404-D729E6D874F1}" name="RM 5/6/7/8/9 DTT-100 S"/>
    <tableColumn id="11" xr3:uid="{83506F60-A94F-459B-BFC4-29C0EAA44051}" name="RM 5/6/7/8/9 DTT-100 S/F"/>
    <tableColumn id="12" xr3:uid="{11929DE8-E47C-414B-8B56-9594409B8E78}" name="ESP.Ant Fe"/>
    <tableColumn id="13" xr3:uid="{23A904C7-CA28-426D-8336-0045055BFC5C}" name="ESP.N Fe Sol"/>
    <tableColumn id="14" xr3:uid="{8C4EA9F5-363F-49A8-B897-F1AC19CC4304}" name="ESP.Ant FeO"/>
    <tableColumn id="15" xr3:uid="{5AFED6F8-76A5-49AF-9D2F-1FA79A630890}" name="ESP.N FeO"/>
    <tableColumn id="16" xr3:uid="{41E1F6CC-C6DC-47F9-BB3A-DA95BBDE438B}" name="H2O (%)"/>
    <tableColumn id="17" xr3:uid="{1F763263-5D64-4F23-B20C-5E17E77C2706}" name="Estado del dato"/>
    <tableColumn id="18" xr3:uid="{70EFAA01-B4C0-4D3C-BE6B-3A98FDF1A64D}" name="Obs. Magnética"/>
    <tableColumn id="19" xr3:uid="{367421A2-3132-4831-9463-FC4FDC666450}" name="Obs. Filtros"/>
    <tableColumn id="20" xr3:uid="{B41965C6-A116-41E6-B4AF-5E21D6CFE1F2}" name="Registrado por"/>
    <tableColumn id="21" xr3:uid="{059EC96B-6774-4C3A-941A-0D312CAC7961}" name="Fecha registro"/>
    <tableColumn id="22" xr3:uid="{11BA87BC-C9DE-4C61-B8EE-9CF2F56136A8}" name="Prom. Fe Sol" dataDxfId="163">
      <calculatedColumnFormula>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calculatedColumnFormula>
    </tableColumn>
    <tableColumn id="23" xr3:uid="{EAEB2F65-3EA3-4384-8C48-637055068C34}" name="Prom. FeO" dataDxfId="162">
      <calculatedColumnFormula>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calculatedColumnFormula>
    </tableColumn>
    <tableColumn id="24" xr3:uid="{CD9C2B45-E85E-4C63-BD50-3B49215D5307}" name="% Recup." dataDxfId="161">
      <calculatedColumnFormula>IFERROR(tblConcentrado[[#This Row],[Concentrado (TMS)]]/tblConcentrado[[#This Row],[Mineral (TMS)]],"")</calculatedColumnFormula>
    </tableColumn>
    <tableColumn id="25" xr3:uid="{242FB55D-86C1-4934-832E-2F696B93364C}" name="Ratio" dataDxfId="160">
      <calculatedColumnFormula>IFERROR(1/tblConcentrado[[#This Row],[% Recup.]],0)</calculatedColumnFormula>
    </tableColumn>
    <tableColumn id="26" xr3:uid="{A3E0E8C0-AA1E-4CC3-88D5-C33058CA3286}" name="Duplicado" dataDxfId="159">
      <calculatedColumnFormula>IF(COUNTIFS(tblConcentrado[ID],tblConcentrado[[#This Row],[ID]])&gt;1,"Duplicado","")</calculatedColumnFormula>
    </tableColumn>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9375101-1631-4DE2-A8B8-30D4CB6FFD0A}" name="tblControles" displayName="tblControles" ref="B4:K2962" totalsRowShown="0" headerRowDxfId="158">
  <autoFilter ref="B4:K2962" xr:uid="{F9375101-1631-4DE2-A8B8-30D4CB6FFD0A}"/>
  <tableColumns count="10">
    <tableColumn id="1" xr3:uid="{182851D2-4620-43CF-A8C6-CB88235D53BE}" name="Clave" dataDxfId="157"/>
    <tableColumn id="2" xr3:uid="{9793DE4C-D474-42B0-8372-F76E588BF1EE}" name="Fecha"/>
    <tableColumn id="3" xr3:uid="{76949F67-2C40-431F-87D3-0479BAA069F4}" name="Módulo"/>
    <tableColumn id="4" xr3:uid="{F79FD27F-4D88-44DD-BF98-9E730FE2E14C}" name="Ítem"/>
    <tableColumn id="5" xr3:uid="{4C32E3E4-57F4-4E28-94BD-0FA9B9F1FA1A}" name="Turno"/>
    <tableColumn id="6" xr3:uid="{6D2C7D07-83EB-414A-8202-7C56913F1B65}" name="Valor"/>
    <tableColumn id="7" xr3:uid="{06DC6717-6ADD-4A05-ADB5-914B6E0F76FA}" name="Registrado por"/>
    <tableColumn id="8" xr3:uid="{3A80C01F-83A6-46F2-BAB1-9E02A44A6FB6}" name="Fecha registro"/>
    <tableColumn id="9" xr3:uid="{C3853D74-4AF8-4CE5-A1B1-053A341F7A4D}" name="Origen"/>
    <tableColumn id="10" xr3:uid="{0845F882-0579-4DEF-BFAB-52526A12600C}" name="Duplicado" dataDxfId="156"/>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CAC5D91-9E23-4E85-BF12-5A52174F4D15}" name="tblRDO" displayName="tblRDO" ref="B4:H6331" totalsRowShown="0">
  <autoFilter ref="B4:H6331" xr:uid="{ECAC5D91-9E23-4E85-BF12-5A52174F4D15}"/>
  <tableColumns count="7">
    <tableColumn id="1" xr3:uid="{6C42874E-A529-4E5E-B104-C4351C4DEC15}" name="Fecha" dataDxfId="155"/>
    <tableColumn id="2" xr3:uid="{D5E29748-4F2A-44E9-9C0A-0F73ED4A432B}" name="Hoja RDO"/>
    <tableColumn id="3" xr3:uid="{A3BEDB95-16CA-4343-BD08-C9749932C840}" name="Área"/>
    <tableColumn id="4" xr3:uid="{5541E5EB-10E8-4FEF-BE5B-FDB3717369D5}" name="Parámetro"/>
    <tableColumn id="5" xr3:uid="{DE0111D6-A0CE-4C81-B6CB-8EE9082CC356}" name="Guardia" dataDxfId="154"/>
    <tableColumn id="6" xr3:uid="{D46D89AC-D1C2-40F7-BAA6-F384E610B9F6}" name="Valor" dataDxfId="153"/>
    <tableColumn id="7" xr3:uid="{5FBA4769-A956-43DA-88E8-64898B3B9081}" name="Origen"/>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3DDBCE1-90CF-4BF2-8EFB-82D95F56E821}" name="tblBitacora" displayName="tblBitacora" ref="B4:G1512" totalsRowShown="0">
  <autoFilter ref="B4:G1512" xr:uid="{A3DDBCE1-90CF-4BF2-8EFB-82D95F56E821}"/>
  <tableColumns count="6">
    <tableColumn id="1" xr3:uid="{A2F63111-24E6-488C-96B1-469F202A6A19}" name="Fecha" dataDxfId="152"/>
    <tableColumn id="2" xr3:uid="{612D2298-7A03-433A-BD2A-FA90D557677E}" name="Hoja RDO"/>
    <tableColumn id="3" xr3:uid="{FB6B5626-9085-4655-B7E2-2E6C3BF6D6BC}" name="Guardia"/>
    <tableColumn id="4" xr3:uid="{B6C1EDC1-D80F-4FCB-87EA-7D5847ACD3B1}" name="Área"/>
    <tableColumn id="5" xr3:uid="{A0F99CC3-3D90-4E4F-A27E-C85A397D4A8E}" name="Detalle" dataDxfId="151"/>
    <tableColumn id="6" xr3:uid="{B9166624-AF82-4BDC-924B-66828C8DC3EB}" name="Origen"/>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28931A7-A9F6-47F3-94B1-1A1E8C0587BD}" name="tblEquipos" displayName="tblEquipos" ref="B4:I247" totalsRowShown="0" headerRowDxfId="146">
  <autoFilter ref="B4:I247" xr:uid="{C28931A7-A9F6-47F3-94B1-1A1E8C0587BD}"/>
  <tableColumns count="8">
    <tableColumn id="1" xr3:uid="{33076081-61B7-4171-B8B3-D8BF77F6E0C9}" name="Código equipo" dataDxfId="145"/>
    <tableColumn id="2" xr3:uid="{CC818D41-1CD8-4306-9618-27A10EB0C496}" name="Área planta"/>
    <tableColumn id="3" xr3:uid="{C9AD6A72-95B4-4EF7-A90B-00A3C54B6AF4}" name="Descripción equipo"/>
    <tableColumn id="4" xr3:uid="{C0EA3E80-EB53-4550-A632-81474DC89880}" name="Criticidad equipo"/>
    <tableColumn id="5" xr3:uid="{6FF1B85A-D689-4FA6-BB99-046458023162}" name="N° avisos">
      <calculatedColumnFormula>COUNTIFS(tblAvisos[Equipo],tblEquipos[[#This Row],[Código equipo]])</calculatedColumnFormula>
    </tableColumn>
    <tableColumn id="6" xr3:uid="{B3CCC3DF-E0BD-4EDD-A2CF-41BCAFE746DB}" name="Pendientes">
      <calculatedColumnFormula>COUNTIFS(tblAvisos[Equipo],tblEquipos[[#This Row],[Código equipo]],tblAvisos[Estado trabajo],"&lt;&gt;Cerrado")</calculatedColumnFormula>
    </tableColumn>
    <tableColumn id="7" xr3:uid="{F011CF33-F6AF-4406-8E70-6CE7F188C72B}" name="Parado (abierto)">
      <calculatedColumnFormula>COUNTIFS(tblAvisos[Equipo],tblEquipos[[#This Row],[Código equipo]],tblAvisos[Estado trabajo],"&lt;&gt;Cerrado",tblAvisos[Condición equipo],"Parado")</calculatedColumnFormula>
    </tableColumn>
    <tableColumn id="8" xr3:uid="{4F007BCE-2521-4925-A0EE-3BE45E937ADC}" name="Último aviso">
      <calculatedColumnFormula>IFERROR(1/(1/_xlfn.MAXIFS(tblAvisos[Fecha reporte],tblAvisos[Equipo],tblEquipos[[#This Row],[Código equipo]])),"")</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CD75B48-1AC3-48AD-AC62-E9495B13E666}" name="tblMapaRDO" displayName="tblMapaRDO" ref="B4:E223" totalsRowShown="0">
  <autoFilter ref="B4:E223" xr:uid="{5CD75B48-1AC3-48AD-AC62-E9495B13E666}"/>
  <tableColumns count="4">
    <tableColumn id="1" xr3:uid="{ECA8DA32-A5AC-46A8-84C2-7419A315085A}" name="Área"/>
    <tableColumn id="2" xr3:uid="{0CEC9B61-6511-4C00-9DFC-7F68E29609C7}" name="Parámetro"/>
    <tableColumn id="3" xr3:uid="{38C5D462-1FAD-4AF1-8721-2516E3D122F7}" name="Guardia" dataDxfId="129"/>
    <tableColumn id="4" xr3:uid="{3788A619-D0EA-4CA1-A3F9-398295045F28}" name="Celda" dataDxfId="128"/>
  </tableColumns>
  <tableStyleInfo name="TableStyleLight9"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F5379B6-7017-4881-95A7-5DF7D280D12D}">
  <we:reference id="wa200009404" version="1.0.0.8" store="en-US" storeType="OMEX"/>
  <we:alternateReferences>
    <we:reference id="WA200009404" version="1.0.0.8" store="" storeType="OMEX"/>
  </we:alternateReferences>
  <we:properties>
    <we:property name="claude.fileId" value="&quot;469869a8-ecaf-4bd0-97aa-212092f15baa&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5.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table" Target="../tables/table10.xml"/><Relationship Id="rId4" Type="http://schemas.openxmlformats.org/officeDocument/2006/relationships/table" Target="../tables/table13.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0.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1.xml"/></Relationships>
</file>

<file path=xl/worksheets/_rels/sheet3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2.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3.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4.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A8CF0-8A37-4FFA-A2AF-54E5CCA8FC95}">
  <sheetPr>
    <tabColor rgb="FFC00000"/>
  </sheetPr>
  <dimension ref="A1:H81"/>
  <sheetViews>
    <sheetView showGridLines="0" workbookViewId="0">
      <pane ySplit="5" topLeftCell="A30" activePane="bottomLeft" state="frozen"/>
      <selection pane="bottomLeft" activeCell="C40" sqref="C40"/>
    </sheetView>
  </sheetViews>
  <sheetFormatPr baseColWidth="10" defaultRowHeight="15"/>
  <cols>
    <col min="1" max="1" width="2.85546875" customWidth="1"/>
    <col min="2" max="2" width="5.7109375" customWidth="1"/>
    <col min="3" max="3" width="36.140625" customWidth="1"/>
    <col min="4" max="4" width="81.85546875" customWidth="1"/>
    <col min="5" max="5" width="28.5703125" customWidth="1"/>
    <col min="6" max="6" width="21" customWidth="1"/>
  </cols>
  <sheetData>
    <row r="1" spans="1:8" ht="26.1" customHeight="1">
      <c r="A1" s="1122"/>
      <c r="B1" s="1550" t="s">
        <v>10263</v>
      </c>
      <c r="C1" s="1220"/>
      <c r="D1" s="1220"/>
      <c r="E1" s="1220"/>
      <c r="F1" s="1220"/>
      <c r="G1" s="1122"/>
      <c r="H1" s="1122"/>
    </row>
    <row r="2" spans="1:8">
      <c r="A2" s="1122"/>
      <c r="B2" s="1122"/>
      <c r="C2" s="1122"/>
      <c r="D2" s="1122"/>
      <c r="E2" s="1122"/>
      <c r="F2" s="1122"/>
      <c r="G2" s="1122"/>
      <c r="H2" s="1122"/>
    </row>
    <row r="3" spans="1:8">
      <c r="A3" s="1122"/>
      <c r="B3" s="1122"/>
      <c r="C3" s="1122"/>
      <c r="D3" s="1122"/>
      <c r="E3" s="1122"/>
      <c r="F3" s="1122"/>
      <c r="G3" s="1122"/>
      <c r="H3" s="1122"/>
    </row>
    <row r="4" spans="1:8" ht="15.75">
      <c r="A4" s="1122"/>
      <c r="B4" s="1122"/>
      <c r="C4" s="1047" t="s">
        <v>10264</v>
      </c>
      <c r="D4" s="1551" t="str">
        <f>CFG_MES_TXT&amp;"  ·  "&amp;CFG_DIAS&amp;" días"</f>
        <v>Setiembre 2026  ·  30 días</v>
      </c>
      <c r="E4" s="1167" t="s">
        <v>10265</v>
      </c>
      <c r="F4" s="1122"/>
      <c r="G4" s="1122"/>
      <c r="H4" s="1122"/>
    </row>
    <row r="5" spans="1:8">
      <c r="A5" s="1122"/>
      <c r="B5" s="1122"/>
      <c r="C5" s="1047" t="s">
        <v>10266</v>
      </c>
      <c r="D5" s="1133" t="str">
        <f>COUNTIFS(tblDias[Fecha],"&gt;="&amp;CFG_MES,tblDias[Fecha],"&lt;="&amp;CFG_FIN_MES,tblDias[Estado],"&lt;&gt;Abierto")&amp;" de "&amp;CFG_DIAS</f>
        <v>2 de 30</v>
      </c>
      <c r="E5" s="1122"/>
      <c r="F5" s="1122"/>
      <c r="G5" s="1122"/>
      <c r="H5" s="1122"/>
    </row>
    <row r="6" spans="1:8">
      <c r="A6" s="1122"/>
      <c r="B6" s="1122"/>
      <c r="C6" s="1122"/>
      <c r="D6" s="1122"/>
      <c r="E6" s="1122"/>
      <c r="F6" s="1122"/>
      <c r="G6" s="1122"/>
      <c r="H6" s="1122"/>
    </row>
    <row r="7" spans="1:8">
      <c r="A7" s="1122"/>
      <c r="B7" s="1552" t="s">
        <v>10267</v>
      </c>
      <c r="C7" s="1552"/>
      <c r="D7" s="1552"/>
      <c r="E7" s="1552"/>
      <c r="F7" s="1552"/>
      <c r="G7" s="1122"/>
      <c r="H7" s="1122"/>
    </row>
    <row r="8" spans="1:8">
      <c r="A8" s="1122"/>
      <c r="B8" s="1066" t="s">
        <v>325</v>
      </c>
      <c r="C8" s="1066" t="s">
        <v>10268</v>
      </c>
      <c r="D8" s="1066" t="s">
        <v>10269</v>
      </c>
      <c r="E8" s="1066" t="s">
        <v>9417</v>
      </c>
      <c r="F8" s="1066" t="s">
        <v>10270</v>
      </c>
      <c r="G8" s="1122"/>
      <c r="H8" s="1122"/>
    </row>
    <row r="9" spans="1:8">
      <c r="A9" s="1122"/>
      <c r="B9" s="1048">
        <v>1</v>
      </c>
      <c r="C9" s="1553" t="s">
        <v>10114</v>
      </c>
      <c r="D9" s="1049" t="s">
        <v>10271</v>
      </c>
      <c r="E9" s="1048" t="s">
        <v>10272</v>
      </c>
      <c r="F9" s="1048" t="str">
        <f>IFERROR(INDEX('Estado del Libro'!$G$12:$G$60,MATCH(C9,'Estado del Libro'!$D$12:$D$60,0)),"")</f>
        <v>Listo</v>
      </c>
      <c r="G9" s="1122"/>
      <c r="H9" s="1122"/>
    </row>
    <row r="10" spans="1:8">
      <c r="A10" s="1122"/>
      <c r="B10" s="1048">
        <v>2</v>
      </c>
      <c r="C10" s="1553" t="s">
        <v>9865</v>
      </c>
      <c r="D10" s="1049" t="s">
        <v>10273</v>
      </c>
      <c r="E10" s="1048" t="s">
        <v>10272</v>
      </c>
      <c r="F10" s="1048" t="str">
        <f>IFERROR(INDEX('Estado del Libro'!$G$12:$G$60,MATCH(C10,'Estado del Libro'!$D$12:$D$60,0)),"")</f>
        <v>Listo</v>
      </c>
      <c r="G10" s="1122"/>
      <c r="H10" s="1122"/>
    </row>
    <row r="11" spans="1:8">
      <c r="A11" s="1122"/>
      <c r="B11" s="1048">
        <v>3</v>
      </c>
      <c r="C11" s="1553" t="s">
        <v>9914</v>
      </c>
      <c r="D11" s="1049" t="s">
        <v>10274</v>
      </c>
      <c r="E11" s="1048" t="s">
        <v>10275</v>
      </c>
      <c r="F11" s="1048" t="str">
        <f>IFERROR(INDEX('Estado del Libro'!$G$12:$G$60,MATCH(C11,'Estado del Libro'!$D$12:$D$60,0)),"")</f>
        <v>Listo</v>
      </c>
      <c r="G11" s="1122"/>
      <c r="H11" s="1122"/>
    </row>
    <row r="12" spans="1:8">
      <c r="A12" s="1122"/>
      <c r="B12" s="1048">
        <v>4</v>
      </c>
      <c r="C12" s="1553" t="s">
        <v>9915</v>
      </c>
      <c r="D12" s="1049" t="s">
        <v>10276</v>
      </c>
      <c r="E12" s="1048" t="s">
        <v>10275</v>
      </c>
      <c r="F12" s="1048" t="str">
        <f>IFERROR(INDEX('Estado del Libro'!$G$12:$G$60,MATCH(C12,'Estado del Libro'!$D$12:$D$60,0)),"")</f>
        <v>Listo</v>
      </c>
      <c r="G12" s="1122"/>
      <c r="H12" s="1122"/>
    </row>
    <row r="13" spans="1:8">
      <c r="A13" s="1122"/>
      <c r="B13" s="1048">
        <v>5</v>
      </c>
      <c r="C13" s="1553" t="s">
        <v>9916</v>
      </c>
      <c r="D13" s="1049" t="s">
        <v>10277</v>
      </c>
      <c r="E13" s="1048" t="s">
        <v>10275</v>
      </c>
      <c r="F13" s="1048" t="str">
        <f>IFERROR(INDEX('Estado del Libro'!$G$12:$G$60,MATCH(C13,'Estado del Libro'!$D$12:$D$60,0)),"")</f>
        <v>Listo</v>
      </c>
      <c r="G13" s="1122"/>
      <c r="H13" s="1122"/>
    </row>
    <row r="14" spans="1:8">
      <c r="A14" s="1122"/>
      <c r="B14" s="1048">
        <v>6</v>
      </c>
      <c r="C14" s="1553" t="s">
        <v>10117</v>
      </c>
      <c r="D14" s="1049" t="s">
        <v>10278</v>
      </c>
      <c r="E14" s="1048" t="s">
        <v>10279</v>
      </c>
      <c r="F14" s="1048" t="str">
        <f>IFERROR(INDEX('Estado del Libro'!$G$12:$G$60,MATCH(C14,'Estado del Libro'!$D$12:$D$60,0)),"")</f>
        <v>Listo</v>
      </c>
      <c r="G14" s="1122"/>
      <c r="H14" s="1122"/>
    </row>
    <row r="15" spans="1:8">
      <c r="A15" s="1122"/>
      <c r="B15" s="1122"/>
      <c r="C15" s="1122"/>
      <c r="D15" s="1122"/>
      <c r="E15" s="1122"/>
      <c r="F15" s="1101"/>
      <c r="G15" s="1122"/>
      <c r="H15" s="1122"/>
    </row>
    <row r="16" spans="1:8">
      <c r="A16" s="1122"/>
      <c r="B16" s="1552" t="s">
        <v>10280</v>
      </c>
      <c r="C16" s="1552"/>
      <c r="D16" s="1552"/>
      <c r="E16" s="1552"/>
      <c r="F16" s="1558"/>
      <c r="G16" s="1122"/>
      <c r="H16" s="1122"/>
    </row>
    <row r="17" spans="1:8">
      <c r="A17" s="1122"/>
      <c r="B17" s="1066" t="s">
        <v>325</v>
      </c>
      <c r="C17" s="1066" t="s">
        <v>10268</v>
      </c>
      <c r="D17" s="1066" t="s">
        <v>10269</v>
      </c>
      <c r="E17" s="1066" t="s">
        <v>9417</v>
      </c>
      <c r="F17" s="1066" t="s">
        <v>10270</v>
      </c>
      <c r="G17" s="1122"/>
      <c r="H17" s="1122"/>
    </row>
    <row r="18" spans="1:8">
      <c r="A18" s="1122"/>
      <c r="B18" s="1048">
        <v>1</v>
      </c>
      <c r="C18" s="1553" t="s">
        <v>10281</v>
      </c>
      <c r="D18" s="1049" t="s">
        <v>10282</v>
      </c>
      <c r="E18" s="1048" t="s">
        <v>9342</v>
      </c>
      <c r="F18" s="1048" t="str">
        <f>IFERROR(INDEX('Estado del Libro'!$G$12:$G$60,MATCH(C18,'Estado del Libro'!$D$12:$D$60,0)),"")</f>
        <v>Listo</v>
      </c>
      <c r="G18" s="1122"/>
      <c r="H18" s="1122"/>
    </row>
    <row r="19" spans="1:8">
      <c r="A19" s="1122"/>
      <c r="B19" s="1048">
        <v>2</v>
      </c>
      <c r="C19" s="1553" t="s">
        <v>10027</v>
      </c>
      <c r="D19" s="1049" t="s">
        <v>10124</v>
      </c>
      <c r="E19" s="1048" t="s">
        <v>9342</v>
      </c>
      <c r="F19" s="1048" t="str">
        <f>IFERROR(INDEX('Estado del Libro'!$G$12:$G$60,MATCH(C19,'Estado del Libro'!$D$12:$D$60,0)),"")</f>
        <v>Listo</v>
      </c>
      <c r="G19" s="1122"/>
      <c r="H19" s="1122"/>
    </row>
    <row r="20" spans="1:8">
      <c r="A20" s="1122"/>
      <c r="B20" s="1048">
        <v>3</v>
      </c>
      <c r="C20" s="1553" t="s">
        <v>10030</v>
      </c>
      <c r="D20" s="1049" t="s">
        <v>10126</v>
      </c>
      <c r="E20" s="1048" t="s">
        <v>9342</v>
      </c>
      <c r="F20" s="1048" t="str">
        <f>IFERROR(INDEX('Estado del Libro'!$G$12:$G$60,MATCH(C20,'Estado del Libro'!$D$12:$D$60,0)),"")</f>
        <v>Listo</v>
      </c>
      <c r="G20" s="1122"/>
      <c r="H20" s="1122"/>
    </row>
    <row r="21" spans="1:8">
      <c r="A21" s="1122"/>
      <c r="B21" s="1048">
        <v>4</v>
      </c>
      <c r="C21" s="1553" t="s">
        <v>10128</v>
      </c>
      <c r="D21" s="1049" t="s">
        <v>10283</v>
      </c>
      <c r="E21" s="1048" t="s">
        <v>9342</v>
      </c>
      <c r="F21" s="1048" t="str">
        <f>IFERROR(INDEX('Estado del Libro'!$G$12:$G$60,MATCH(C21,'Estado del Libro'!$D$12:$D$60,0)),"")</f>
        <v>Listo</v>
      </c>
      <c r="G21" s="1122"/>
      <c r="H21" s="1122"/>
    </row>
    <row r="22" spans="1:8" s="1100" customFormat="1">
      <c r="A22" s="1122"/>
      <c r="B22" s="1082">
        <v>5</v>
      </c>
      <c r="C22" s="1182" t="s">
        <v>10131</v>
      </c>
      <c r="D22" s="1559" t="s">
        <v>10303</v>
      </c>
      <c r="E22" s="1554" t="s">
        <v>9342</v>
      </c>
      <c r="F22" s="1082" t="str">
        <f>IFERROR(INDEX('Estado del Libro'!$G$12:$G$60,MATCH(C22,'Estado del Libro'!$D$12:$D$60,0)),"")</f>
        <v>Listo</v>
      </c>
      <c r="G22" s="1122"/>
      <c r="H22" s="1122"/>
    </row>
    <row r="23" spans="1:8">
      <c r="A23" s="1122"/>
      <c r="B23" s="1122"/>
      <c r="C23" s="1122"/>
      <c r="D23" s="1122"/>
      <c r="E23" s="1122"/>
      <c r="F23" s="1101"/>
      <c r="G23" s="1122"/>
      <c r="H23" s="1122"/>
    </row>
    <row r="24" spans="1:8">
      <c r="A24" s="1122"/>
      <c r="B24" s="1552" t="s">
        <v>10284</v>
      </c>
      <c r="C24" s="1552"/>
      <c r="D24" s="1552"/>
      <c r="E24" s="1552"/>
      <c r="F24" s="1558"/>
      <c r="G24" s="1122"/>
      <c r="H24" s="1122"/>
    </row>
    <row r="25" spans="1:8">
      <c r="A25" s="1122"/>
      <c r="B25" s="1066" t="s">
        <v>325</v>
      </c>
      <c r="C25" s="1066" t="s">
        <v>10268</v>
      </c>
      <c r="D25" s="1066" t="s">
        <v>10269</v>
      </c>
      <c r="E25" s="1066" t="s">
        <v>9417</v>
      </c>
      <c r="F25" s="1066" t="s">
        <v>10270</v>
      </c>
      <c r="G25" s="1122"/>
      <c r="H25" s="1122"/>
    </row>
    <row r="26" spans="1:8">
      <c r="A26" s="1122"/>
      <c r="B26" s="1048">
        <v>1</v>
      </c>
      <c r="C26" s="1553" t="s">
        <v>9965</v>
      </c>
      <c r="D26" s="1049" t="s">
        <v>10285</v>
      </c>
      <c r="E26" s="1048" t="s">
        <v>10286</v>
      </c>
      <c r="F26" s="1048" t="str">
        <f>IFERROR(INDEX('Estado del Libro'!$G$12:$G$60,MATCH(C26,'Estado del Libro'!$D$12:$D$60,0)),"")</f>
        <v>Listo</v>
      </c>
      <c r="G26" s="1122"/>
      <c r="H26" s="1122"/>
    </row>
    <row r="27" spans="1:8">
      <c r="A27" s="1122"/>
      <c r="B27" s="1048">
        <v>2</v>
      </c>
      <c r="C27" s="1553" t="s">
        <v>10152</v>
      </c>
      <c r="D27" s="1049" t="s">
        <v>10153</v>
      </c>
      <c r="E27" s="1048" t="s">
        <v>10286</v>
      </c>
      <c r="F27" s="1048" t="str">
        <f>IFERROR(INDEX('Estado del Libro'!$G$12:$G$60,MATCH(C27,'Estado del Libro'!$D$12:$D$60,0)),"")</f>
        <v>Listo</v>
      </c>
      <c r="G27" s="1122"/>
      <c r="H27" s="1122"/>
    </row>
    <row r="28" spans="1:8">
      <c r="A28" s="1122"/>
      <c r="B28" s="1048">
        <v>3</v>
      </c>
      <c r="C28" s="1553" t="s">
        <v>10203</v>
      </c>
      <c r="D28" s="1049" t="s">
        <v>10287</v>
      </c>
      <c r="E28" s="1048" t="s">
        <v>10286</v>
      </c>
      <c r="F28" s="1048" t="str">
        <f>IFERROR(INDEX('Estado del Libro'!$G$12:$G$60,MATCH(C28,'Estado del Libro'!$D$12:$D$60,0)),"")</f>
        <v>Listo</v>
      </c>
      <c r="G28" s="1122"/>
      <c r="H28" s="1122"/>
    </row>
    <row r="29" spans="1:8">
      <c r="A29" s="1122"/>
      <c r="B29" s="1048">
        <v>4</v>
      </c>
      <c r="C29" s="1553" t="s">
        <v>2402</v>
      </c>
      <c r="D29" s="1049" t="s">
        <v>10288</v>
      </c>
      <c r="E29" s="1048" t="s">
        <v>10163</v>
      </c>
      <c r="F29" s="1048" t="str">
        <f>IFERROR(INDEX('Estado del Libro'!$G$12:$G$60,MATCH(C29,'Estado del Libro'!$D$12:$D$60,0)),"")</f>
        <v>Manual</v>
      </c>
      <c r="G29" s="1122"/>
      <c r="H29" s="1122"/>
    </row>
    <row r="30" spans="1:8">
      <c r="A30" s="1122"/>
      <c r="B30" s="1048">
        <v>5</v>
      </c>
      <c r="C30" s="1553" t="s">
        <v>2401</v>
      </c>
      <c r="D30" s="1049" t="s">
        <v>10164</v>
      </c>
      <c r="E30" s="1048" t="s">
        <v>10163</v>
      </c>
      <c r="F30" s="1048" t="str">
        <f>IFERROR(INDEX('Estado del Libro'!$G$12:$G$60,MATCH(C30,'Estado del Libro'!$D$12:$D$60,0)),"")</f>
        <v>Manual</v>
      </c>
      <c r="G30" s="1122"/>
      <c r="H30" s="1122"/>
    </row>
    <row r="31" spans="1:8">
      <c r="A31" s="1122"/>
      <c r="B31" s="1048">
        <v>6</v>
      </c>
      <c r="C31" s="1553" t="s">
        <v>2403</v>
      </c>
      <c r="D31" s="1049" t="s">
        <v>10165</v>
      </c>
      <c r="E31" s="1048" t="s">
        <v>10163</v>
      </c>
      <c r="F31" s="1048" t="str">
        <f>IFERROR(INDEX('Estado del Libro'!$G$12:$G$60,MATCH(C31,'Estado del Libro'!$D$12:$D$60,0)),"")</f>
        <v>Manual</v>
      </c>
      <c r="G31" s="1122"/>
      <c r="H31" s="1122"/>
    </row>
    <row r="32" spans="1:8">
      <c r="A32" s="1122"/>
      <c r="B32" s="1048">
        <v>7</v>
      </c>
      <c r="C32" s="1553" t="s">
        <v>10154</v>
      </c>
      <c r="D32" s="1049" t="s">
        <v>10155</v>
      </c>
      <c r="E32" s="1048" t="s">
        <v>10286</v>
      </c>
      <c r="F32" s="1048" t="str">
        <f>IFERROR(INDEX('Estado del Libro'!$G$12:$G$60,MATCH(C32,'Estado del Libro'!$D$12:$D$60,0)),"")</f>
        <v>Listo</v>
      </c>
      <c r="G32" s="1122"/>
      <c r="H32" s="1122"/>
    </row>
    <row r="33" spans="1:8">
      <c r="A33" s="1122"/>
      <c r="B33" s="1048">
        <v>8</v>
      </c>
      <c r="C33" s="1553" t="s">
        <v>10156</v>
      </c>
      <c r="D33" s="1049" t="s">
        <v>10157</v>
      </c>
      <c r="E33" s="1048" t="s">
        <v>10286</v>
      </c>
      <c r="F33" s="1048" t="str">
        <f>IFERROR(INDEX('Estado del Libro'!$G$12:$G$60,MATCH(C33,'Estado del Libro'!$D$12:$D$60,0)),"")</f>
        <v>Listo</v>
      </c>
      <c r="G33" s="1122"/>
      <c r="H33" s="1122"/>
    </row>
    <row r="34" spans="1:8">
      <c r="A34" s="1122"/>
      <c r="B34" s="1048">
        <v>9</v>
      </c>
      <c r="C34" s="1553" t="s">
        <v>10158</v>
      </c>
      <c r="D34" s="1049" t="s">
        <v>10289</v>
      </c>
      <c r="E34" s="1048" t="s">
        <v>10286</v>
      </c>
      <c r="F34" s="1048" t="str">
        <f>IFERROR(INDEX('Estado del Libro'!$G$12:$G$60,MATCH(C34,'Estado del Libro'!$D$12:$D$60,0)),"")</f>
        <v>Listo</v>
      </c>
      <c r="G34" s="1122"/>
      <c r="H34" s="1122"/>
    </row>
    <row r="35" spans="1:8">
      <c r="A35" s="1122"/>
      <c r="B35" s="1048">
        <v>10</v>
      </c>
      <c r="C35" s="1553" t="s">
        <v>10160</v>
      </c>
      <c r="D35" s="1049" t="s">
        <v>10290</v>
      </c>
      <c r="E35" s="1048" t="s">
        <v>10286</v>
      </c>
      <c r="F35" s="1048" t="str">
        <f>IFERROR(INDEX('Estado del Libro'!$G$12:$G$60,MATCH(C35,'Estado del Libro'!$D$12:$D$60,0)),"")</f>
        <v>Listo</v>
      </c>
      <c r="G35" s="1122"/>
      <c r="H35" s="1122"/>
    </row>
    <row r="36" spans="1:8">
      <c r="A36" s="1122"/>
      <c r="B36" s="1122"/>
      <c r="C36" s="1122"/>
      <c r="D36" s="1122"/>
      <c r="E36" s="1122"/>
      <c r="F36" s="1101"/>
      <c r="G36" s="1122"/>
      <c r="H36" s="1122"/>
    </row>
    <row r="37" spans="1:8">
      <c r="A37" s="1122"/>
      <c r="B37" s="1552" t="s">
        <v>10291</v>
      </c>
      <c r="C37" s="1552"/>
      <c r="D37" s="1552"/>
      <c r="E37" s="1552"/>
      <c r="F37" s="1558"/>
      <c r="G37" s="1122"/>
      <c r="H37" s="1122"/>
    </row>
    <row r="38" spans="1:8">
      <c r="A38" s="1122"/>
      <c r="B38" s="1066" t="s">
        <v>325</v>
      </c>
      <c r="C38" s="1066" t="s">
        <v>10268</v>
      </c>
      <c r="D38" s="1066" t="s">
        <v>10269</v>
      </c>
      <c r="E38" s="1066" t="s">
        <v>9417</v>
      </c>
      <c r="F38" s="1066" t="s">
        <v>10270</v>
      </c>
      <c r="G38" s="1122"/>
      <c r="H38" s="1122"/>
    </row>
    <row r="39" spans="1:8">
      <c r="A39" s="1122"/>
      <c r="B39" s="1048">
        <v>1</v>
      </c>
      <c r="C39" s="1553" t="s">
        <v>9387</v>
      </c>
      <c r="D39" s="1049" t="s">
        <v>10292</v>
      </c>
      <c r="E39" s="1048" t="s">
        <v>2469</v>
      </c>
      <c r="F39" s="1048" t="str">
        <f>IFERROR(INDEX('Estado del Libro'!$G$12:$G$60,MATCH(C39,'Estado del Libro'!$D$12:$D$60,0)),"")</f>
        <v>Listo</v>
      </c>
      <c r="G39" s="1122"/>
      <c r="H39" s="1122"/>
    </row>
    <row r="40" spans="1:8">
      <c r="A40" s="1122"/>
      <c r="B40" s="1048">
        <v>2</v>
      </c>
      <c r="C40" s="1553" t="s">
        <v>9388</v>
      </c>
      <c r="D40" s="1049" t="s">
        <v>10293</v>
      </c>
      <c r="E40" s="1048" t="s">
        <v>2469</v>
      </c>
      <c r="F40" s="1048" t="str">
        <f>IFERROR(INDEX('Estado del Libro'!$G$12:$G$60,MATCH(C40,'Estado del Libro'!$D$12:$D$60,0)),"")</f>
        <v>Listo</v>
      </c>
      <c r="G40" s="1122"/>
      <c r="H40" s="1122"/>
    </row>
    <row r="41" spans="1:8">
      <c r="A41" s="1122"/>
      <c r="B41" s="1048">
        <v>3</v>
      </c>
      <c r="C41" s="1553" t="s">
        <v>9386</v>
      </c>
      <c r="D41" s="1049" t="s">
        <v>10294</v>
      </c>
      <c r="E41" s="1048" t="s">
        <v>10094</v>
      </c>
      <c r="F41" s="1048" t="str">
        <f>IFERROR(INDEX('Estado del Libro'!$G$12:$G$60,MATCH(C41,'Estado del Libro'!$D$12:$D$60,0)),"")</f>
        <v>Listo</v>
      </c>
      <c r="G41" s="1122"/>
      <c r="H41" s="1122"/>
    </row>
    <row r="42" spans="1:8">
      <c r="A42" s="1122"/>
      <c r="B42" s="1048">
        <v>4</v>
      </c>
      <c r="C42" s="1553" t="s">
        <v>10100</v>
      </c>
      <c r="D42" s="1049" t="s">
        <v>10295</v>
      </c>
      <c r="E42" s="1048" t="s">
        <v>10094</v>
      </c>
      <c r="F42" s="1048" t="str">
        <f>IFERROR(INDEX('Estado del Libro'!$G$12:$G$60,MATCH(C42,'Estado del Libro'!$D$12:$D$60,0)),"")</f>
        <v>Listo</v>
      </c>
      <c r="G42" s="1122"/>
      <c r="H42" s="1122"/>
    </row>
    <row r="43" spans="1:8">
      <c r="A43" s="1122"/>
      <c r="B43" s="1048">
        <v>5</v>
      </c>
      <c r="C43" s="1553" t="s">
        <v>10104</v>
      </c>
      <c r="D43" s="1049" t="s">
        <v>10296</v>
      </c>
      <c r="E43" s="1048" t="s">
        <v>10094</v>
      </c>
      <c r="F43" s="1048" t="str">
        <f>IFERROR(INDEX('Estado del Libro'!$G$12:$G$60,MATCH(C43,'Estado del Libro'!$D$12:$D$60,0)),"")</f>
        <v>Por confirmar</v>
      </c>
      <c r="G43" s="1122"/>
      <c r="H43" s="1122"/>
    </row>
    <row r="44" spans="1:8">
      <c r="A44" s="1122"/>
      <c r="B44" s="1048">
        <v>6</v>
      </c>
      <c r="C44" s="1553" t="s">
        <v>10107</v>
      </c>
      <c r="D44" s="1049" t="s">
        <v>10297</v>
      </c>
      <c r="E44" s="1048" t="s">
        <v>10094</v>
      </c>
      <c r="F44" s="1048" t="str">
        <f>IFERROR(INDEX('Estado del Libro'!$G$12:$G$60,MATCH(C44,'Estado del Libro'!$D$12:$D$60,0)),"")</f>
        <v>Listo</v>
      </c>
      <c r="G44" s="1122"/>
      <c r="H44" s="1122"/>
    </row>
    <row r="45" spans="1:8">
      <c r="A45" s="1122"/>
      <c r="B45" s="1048">
        <v>7</v>
      </c>
      <c r="C45" s="1553" t="s">
        <v>10176</v>
      </c>
      <c r="D45" s="1049" t="s">
        <v>10298</v>
      </c>
      <c r="E45" s="1048" t="s">
        <v>10089</v>
      </c>
      <c r="F45" s="1048" t="str">
        <f>IFERROR(INDEX('Estado del Libro'!$G$12:$G$60,MATCH(C45,'Estado del Libro'!$D$12:$D$60,0)),"")</f>
        <v>Listo</v>
      </c>
      <c r="G45" s="1122"/>
      <c r="H45" s="1122"/>
    </row>
    <row r="46" spans="1:8">
      <c r="A46" s="1122"/>
      <c r="B46" s="1048">
        <v>8</v>
      </c>
      <c r="C46" s="1553" t="s">
        <v>10090</v>
      </c>
      <c r="D46" s="1049" t="s">
        <v>10299</v>
      </c>
      <c r="E46" s="1048" t="s">
        <v>10089</v>
      </c>
      <c r="F46" s="1048" t="str">
        <f>IFERROR(INDEX('Estado del Libro'!$G$12:$G$60,MATCH(C46,'Estado del Libro'!$D$12:$D$60,0)),"")</f>
        <v>Listo</v>
      </c>
      <c r="G46" s="1122"/>
      <c r="H46" s="1122"/>
    </row>
    <row r="47" spans="1:8">
      <c r="A47" s="1122"/>
      <c r="B47" s="1122"/>
      <c r="C47" s="1122"/>
      <c r="D47" s="1122"/>
      <c r="E47" s="1122"/>
      <c r="F47" s="1101"/>
      <c r="G47" s="1122"/>
      <c r="H47" s="1122"/>
    </row>
    <row r="48" spans="1:8">
      <c r="A48" s="1122"/>
      <c r="B48" s="1552" t="s">
        <v>10300</v>
      </c>
      <c r="C48" s="1552"/>
      <c r="D48" s="1552"/>
      <c r="E48" s="1552"/>
      <c r="F48" s="1558"/>
      <c r="G48" s="1122"/>
      <c r="H48" s="1122"/>
    </row>
    <row r="49" spans="1:8">
      <c r="A49" s="1122"/>
      <c r="B49" s="1066" t="s">
        <v>325</v>
      </c>
      <c r="C49" s="1066" t="s">
        <v>10268</v>
      </c>
      <c r="D49" s="1066" t="s">
        <v>10269</v>
      </c>
      <c r="E49" s="1066" t="s">
        <v>9417</v>
      </c>
      <c r="F49" s="1066" t="s">
        <v>10270</v>
      </c>
      <c r="G49" s="1122"/>
      <c r="H49" s="1122"/>
    </row>
    <row r="50" spans="1:8">
      <c r="A50" s="1122"/>
      <c r="B50" s="1048">
        <v>1</v>
      </c>
      <c r="C50" s="1553" t="s">
        <v>10166</v>
      </c>
      <c r="D50" s="1049" t="s">
        <v>10301</v>
      </c>
      <c r="E50" s="1048" t="s">
        <v>10302</v>
      </c>
      <c r="F50" s="1048" t="str">
        <f>IFERROR(INDEX('Estado del Libro'!$G$12:$G$60,MATCH(C50,'Estado del Libro'!$D$12:$D$60,0)),"")</f>
        <v>Conservada</v>
      </c>
      <c r="G50" s="1122"/>
      <c r="H50" s="1122"/>
    </row>
    <row r="51" spans="1:8">
      <c r="A51" s="1122"/>
      <c r="B51" s="1048">
        <v>2</v>
      </c>
      <c r="C51" s="1553" t="s">
        <v>10169</v>
      </c>
      <c r="D51" s="1049" t="s">
        <v>10301</v>
      </c>
      <c r="E51" s="1048" t="s">
        <v>10302</v>
      </c>
      <c r="F51" s="1048" t="str">
        <f>IFERROR(INDEX('Estado del Libro'!$G$12:$G$60,MATCH(C51,'Estado del Libro'!$D$12:$D$60,0)),"")</f>
        <v>Conservada</v>
      </c>
      <c r="G51" s="1122"/>
      <c r="H51" s="1122"/>
    </row>
    <row r="52" spans="1:8">
      <c r="A52" s="1122"/>
      <c r="B52" s="1048">
        <v>3</v>
      </c>
      <c r="C52" s="1553" t="s">
        <v>10170</v>
      </c>
      <c r="D52" s="1049" t="s">
        <v>10301</v>
      </c>
      <c r="E52" s="1048" t="s">
        <v>10302</v>
      </c>
      <c r="F52" s="1048" t="str">
        <f>IFERROR(INDEX('Estado del Libro'!$G$12:$G$60,MATCH(C52,'Estado del Libro'!$D$12:$D$60,0)),"")</f>
        <v>Conservada</v>
      </c>
      <c r="G52" s="1122"/>
      <c r="H52" s="1122"/>
    </row>
    <row r="53" spans="1:8">
      <c r="A53" s="1122"/>
      <c r="B53" s="1048">
        <v>4</v>
      </c>
      <c r="C53" s="1553" t="s">
        <v>2404</v>
      </c>
      <c r="D53" s="1049" t="s">
        <v>10301</v>
      </c>
      <c r="E53" s="1048" t="s">
        <v>10302</v>
      </c>
      <c r="F53" s="1048" t="str">
        <f>IFERROR(INDEX('Estado del Libro'!$G$12:$G$60,MATCH(C53,'Estado del Libro'!$D$12:$D$60,0)),"")</f>
        <v>Conservada</v>
      </c>
      <c r="G53" s="1122"/>
      <c r="H53" s="1122"/>
    </row>
    <row r="54" spans="1:8">
      <c r="A54" s="1122"/>
      <c r="B54" s="1048">
        <v>5</v>
      </c>
      <c r="C54" s="1553" t="s">
        <v>10171</v>
      </c>
      <c r="D54" s="1049" t="s">
        <v>10301</v>
      </c>
      <c r="E54" s="1048" t="s">
        <v>10302</v>
      </c>
      <c r="F54" s="1048" t="str">
        <f>IFERROR(INDEX('Estado del Libro'!$G$12:$G$60,MATCH(C54,'Estado del Libro'!$D$12:$D$60,0)),"")</f>
        <v>Conservada</v>
      </c>
      <c r="G54" s="1122"/>
      <c r="H54" s="1122"/>
    </row>
    <row r="55" spans="1:8">
      <c r="A55" s="1122"/>
      <c r="B55" s="1048">
        <v>6</v>
      </c>
      <c r="C55" s="1553" t="s">
        <v>10172</v>
      </c>
      <c r="D55" s="1049" t="s">
        <v>10301</v>
      </c>
      <c r="E55" s="1048" t="s">
        <v>10302</v>
      </c>
      <c r="F55" s="1048" t="str">
        <f>IFERROR(INDEX('Estado del Libro'!$G$12:$G$60,MATCH(C55,'Estado del Libro'!$D$12:$D$60,0)),"")</f>
        <v>Conservada</v>
      </c>
      <c r="G55" s="1122"/>
      <c r="H55" s="1122"/>
    </row>
    <row r="56" spans="1:8">
      <c r="A56" s="1122"/>
      <c r="B56" s="1048">
        <v>7</v>
      </c>
      <c r="C56" s="1553" t="s">
        <v>10173</v>
      </c>
      <c r="D56" s="1049" t="s">
        <v>10301</v>
      </c>
      <c r="E56" s="1048" t="s">
        <v>10302</v>
      </c>
      <c r="F56" s="1048" t="str">
        <f>IFERROR(INDEX('Estado del Libro'!$G$12:$G$60,MATCH(C56,'Estado del Libro'!$D$12:$D$60,0)),"")</f>
        <v>Conservada</v>
      </c>
      <c r="G56" s="1122"/>
      <c r="H56" s="1122"/>
    </row>
    <row r="57" spans="1:8">
      <c r="A57" s="1122"/>
      <c r="B57" s="1122"/>
      <c r="C57" s="1122"/>
      <c r="D57" s="1122"/>
      <c r="E57" s="1122"/>
      <c r="F57" s="1101"/>
      <c r="G57" s="1122"/>
      <c r="H57" s="1122"/>
    </row>
    <row r="58" spans="1:8">
      <c r="A58" s="1122"/>
      <c r="B58" s="1122"/>
      <c r="C58" s="1122"/>
      <c r="D58" s="1122"/>
      <c r="E58" s="1122"/>
      <c r="F58" s="1101"/>
      <c r="G58" s="1122"/>
      <c r="H58" s="1122"/>
    </row>
    <row r="59" spans="1:8">
      <c r="A59" s="1122"/>
      <c r="B59" s="1122"/>
      <c r="C59" s="1122"/>
      <c r="D59" s="1122"/>
      <c r="E59" s="1122"/>
      <c r="F59" s="1101"/>
      <c r="G59" s="1122"/>
      <c r="H59" s="1122"/>
    </row>
    <row r="60" spans="1:8">
      <c r="A60" s="1122"/>
      <c r="B60" s="1122"/>
      <c r="C60" s="1122"/>
      <c r="D60" s="1122"/>
      <c r="E60" s="1122"/>
      <c r="F60" s="1101"/>
      <c r="G60" s="1122"/>
      <c r="H60" s="1122"/>
    </row>
    <row r="61" spans="1:8">
      <c r="A61" s="1122"/>
      <c r="B61" s="1122"/>
      <c r="C61" s="1122"/>
      <c r="D61" s="1122"/>
      <c r="E61" s="1122"/>
      <c r="F61" s="1101"/>
      <c r="G61" s="1122"/>
      <c r="H61" s="1122"/>
    </row>
    <row r="62" spans="1:8">
      <c r="A62" s="1122"/>
      <c r="B62" s="1122"/>
      <c r="C62" s="1122"/>
      <c r="D62" s="1122"/>
      <c r="E62" s="1122"/>
      <c r="F62" s="1101"/>
      <c r="G62" s="1122"/>
      <c r="H62" s="1122"/>
    </row>
    <row r="63" spans="1:8">
      <c r="A63" s="1122"/>
      <c r="B63" s="1122"/>
      <c r="C63" s="1122"/>
      <c r="D63" s="1122"/>
      <c r="E63" s="1122"/>
      <c r="F63" s="1101"/>
      <c r="G63" s="1122"/>
      <c r="H63" s="1122"/>
    </row>
    <row r="64" spans="1:8">
      <c r="A64" s="1122"/>
      <c r="B64" s="1122"/>
      <c r="C64" s="1122"/>
      <c r="D64" s="1122"/>
      <c r="E64" s="1122"/>
      <c r="F64" s="1101"/>
      <c r="G64" s="1122"/>
      <c r="H64" s="1122"/>
    </row>
    <row r="65" spans="1:8">
      <c r="A65" s="1122"/>
      <c r="B65" s="1122"/>
      <c r="C65" s="1122"/>
      <c r="D65" s="1122"/>
      <c r="E65" s="1122"/>
      <c r="F65" s="1101"/>
      <c r="G65" s="1122"/>
      <c r="H65" s="1122"/>
    </row>
    <row r="66" spans="1:8">
      <c r="A66" s="1122"/>
      <c r="B66" s="1122"/>
      <c r="C66" s="1122"/>
      <c r="D66" s="1122"/>
      <c r="E66" s="1122"/>
      <c r="F66" s="1101"/>
      <c r="G66" s="1122"/>
      <c r="H66" s="1122"/>
    </row>
    <row r="67" spans="1:8">
      <c r="A67" s="1122"/>
      <c r="B67" s="1122"/>
      <c r="C67" s="1122"/>
      <c r="D67" s="1122"/>
      <c r="E67" s="1122"/>
      <c r="F67" s="1101"/>
      <c r="G67" s="1122"/>
      <c r="H67" s="1122"/>
    </row>
    <row r="68" spans="1:8">
      <c r="A68" s="1122"/>
      <c r="B68" s="1122"/>
      <c r="C68" s="1122"/>
      <c r="D68" s="1122"/>
      <c r="E68" s="1122"/>
      <c r="F68" s="1101"/>
      <c r="G68" s="1122"/>
      <c r="H68" s="1122"/>
    </row>
    <row r="69" spans="1:8">
      <c r="A69" s="1122"/>
      <c r="B69" s="1122"/>
      <c r="C69" s="1122"/>
      <c r="D69" s="1122"/>
      <c r="E69" s="1122"/>
      <c r="F69" s="1101"/>
      <c r="G69" s="1122"/>
      <c r="H69" s="1122"/>
    </row>
    <row r="70" spans="1:8">
      <c r="A70" s="1122"/>
      <c r="B70" s="1122"/>
      <c r="C70" s="1122"/>
      <c r="D70" s="1122"/>
      <c r="E70" s="1122"/>
      <c r="F70" s="1101"/>
      <c r="G70" s="1122"/>
      <c r="H70" s="1122"/>
    </row>
    <row r="71" spans="1:8">
      <c r="A71" s="1122"/>
      <c r="B71" s="1122"/>
      <c r="C71" s="1122"/>
      <c r="D71" s="1122"/>
      <c r="E71" s="1122"/>
      <c r="F71" s="1122"/>
      <c r="G71" s="1122"/>
      <c r="H71" s="1122"/>
    </row>
    <row r="72" spans="1:8">
      <c r="A72" s="1122"/>
      <c r="B72" s="1122"/>
      <c r="C72" s="1122"/>
      <c r="D72" s="1122"/>
      <c r="E72" s="1122"/>
      <c r="F72" s="1122"/>
      <c r="G72" s="1122"/>
      <c r="H72" s="1122"/>
    </row>
    <row r="73" spans="1:8">
      <c r="A73" s="1122"/>
      <c r="B73" s="1122"/>
      <c r="C73" s="1122"/>
      <c r="D73" s="1122"/>
      <c r="E73" s="1122"/>
      <c r="F73" s="1122"/>
      <c r="G73" s="1122"/>
      <c r="H73" s="1122"/>
    </row>
    <row r="74" spans="1:8">
      <c r="A74" s="1122"/>
      <c r="B74" s="1122"/>
      <c r="C74" s="1122"/>
      <c r="D74" s="1122"/>
      <c r="E74" s="1122"/>
      <c r="F74" s="1122"/>
      <c r="G74" s="1122"/>
      <c r="H74" s="1122"/>
    </row>
    <row r="75" spans="1:8">
      <c r="A75" s="1122"/>
      <c r="B75" s="1122"/>
      <c r="C75" s="1122"/>
      <c r="D75" s="1122"/>
      <c r="E75" s="1122"/>
      <c r="F75" s="1122"/>
      <c r="G75" s="1122"/>
      <c r="H75" s="1122"/>
    </row>
    <row r="76" spans="1:8">
      <c r="A76" s="1122"/>
      <c r="B76" s="1122"/>
      <c r="C76" s="1122"/>
      <c r="D76" s="1122"/>
      <c r="E76" s="1122"/>
      <c r="F76" s="1122"/>
      <c r="G76" s="1122"/>
      <c r="H76" s="1122"/>
    </row>
    <row r="77" spans="1:8">
      <c r="A77" s="1122"/>
      <c r="B77" s="1122"/>
      <c r="C77" s="1122"/>
      <c r="D77" s="1122"/>
      <c r="E77" s="1122"/>
      <c r="F77" s="1122"/>
      <c r="G77" s="1122"/>
      <c r="H77" s="1122"/>
    </row>
    <row r="78" spans="1:8">
      <c r="A78" s="1122"/>
      <c r="B78" s="1122"/>
      <c r="C78" s="1122"/>
      <c r="D78" s="1122"/>
      <c r="E78" s="1122"/>
      <c r="F78" s="1122"/>
      <c r="G78" s="1122"/>
      <c r="H78" s="1122"/>
    </row>
    <row r="79" spans="1:8">
      <c r="A79" s="1122"/>
      <c r="B79" s="1122"/>
      <c r="C79" s="1122"/>
      <c r="D79" s="1122"/>
      <c r="E79" s="1122"/>
      <c r="F79" s="1122"/>
      <c r="G79" s="1122"/>
      <c r="H79" s="1122"/>
    </row>
    <row r="80" spans="1:8">
      <c r="A80" s="1122"/>
      <c r="B80" s="1122"/>
      <c r="C80" s="1122"/>
      <c r="D80" s="1122"/>
      <c r="E80" s="1122"/>
      <c r="F80" s="1122"/>
      <c r="G80" s="1122"/>
      <c r="H80" s="1122"/>
    </row>
    <row r="81" spans="1:8">
      <c r="A81" s="1122"/>
      <c r="B81" s="1122"/>
      <c r="C81" s="1122"/>
      <c r="D81" s="1122"/>
      <c r="E81" s="1122"/>
      <c r="F81" s="1122"/>
      <c r="G81" s="1122"/>
      <c r="H81" s="1122"/>
    </row>
  </sheetData>
  <mergeCells count="6">
    <mergeCell ref="B1:F1"/>
    <mergeCell ref="B7:F7"/>
    <mergeCell ref="B16:F16"/>
    <mergeCell ref="B24:F24"/>
    <mergeCell ref="B37:F37"/>
    <mergeCell ref="B48:F48"/>
  </mergeCells>
  <conditionalFormatting sqref="F8:F70">
    <cfRule type="containsText" dxfId="127" priority="1" operator="containsText" text="Listo">
      <formula>NOT(ISERROR(SEARCH("Listo",F8)))</formula>
    </cfRule>
  </conditionalFormatting>
  <conditionalFormatting sqref="F8:F70">
    <cfRule type="containsText" dxfId="126" priority="2" operator="containsText" text="Por">
      <formula>NOT(ISERROR(SEARCH("Por",F8)))</formula>
    </cfRule>
  </conditionalFormatting>
  <conditionalFormatting sqref="F8:F70">
    <cfRule type="containsText" dxfId="125" priority="3" operator="containsText" text="Manual">
      <formula>NOT(ISERROR(SEARCH("Manual",F8)))</formula>
    </cfRule>
  </conditionalFormatting>
  <conditionalFormatting sqref="F8:F70">
    <cfRule type="containsText" dxfId="124" priority="4" operator="containsText" text="Conservada">
      <formula>NOT(ISERROR(SEARCH("Conservada",F8)))</formula>
    </cfRule>
  </conditionalFormatting>
  <hyperlinks>
    <hyperlink ref="C9" location="'Captura-RDO'!A1" tooltip="Abrir Captura-RDO" display="Captura-RDO" xr:uid="{3FA18DA0-849B-46B5-BB0E-DD692DECB9A7}"/>
    <hyperlink ref="C10" location="'Captura-Planta'!A1" tooltip="Abrir Captura-Planta" display="Captura-Planta" xr:uid="{BB53BA67-155E-406E-8FAE-F6FB104E4331}"/>
    <hyperlink ref="C11" location="'Control Reactivos'!A1" tooltip="Abrir Control Reactivos" display="Control Reactivos" xr:uid="{2EA574FF-8BD4-4192-B530-F2180062A875}"/>
    <hyperlink ref="C12" location="'Toneladas Molinos'!A1" tooltip="Abrir Toneladas Molinos" display="Toneladas Molinos" xr:uid="{B8B2897F-AB3C-47AD-93CF-2309A5BCD60C}"/>
    <hyperlink ref="C13" location="'Agregado Medios'!A1" tooltip="Abrir Agregado Medios" display="Agregado Medios" xr:uid="{F883DB12-1B77-4153-B935-D3192A830935}"/>
    <hyperlink ref="C14" location="'Control Canaletas'!A1" tooltip="Abrir Control Canaletas" display="Control Canaletas" xr:uid="{F83BA526-9105-4516-B3B2-F5425E85BB50}"/>
    <hyperlink ref="C18" location="'Fallas y Paradas'!A1" tooltip="Abrir Fallas y Paradas" display="Fallas y Paradas" xr:uid="{539723F3-6512-4F14-B9A9-B4504FBF087E}"/>
    <hyperlink ref="C19" location="'Reporte Mantenimiento'!A1" tooltip="Abrir Reporte Mantenimiento" display="Reporte Mantenimiento" xr:uid="{6EDD29F9-BCC1-46FB-8140-6EF135C6AB6E}"/>
    <hyperlink ref="C20" location="'Mantto Bombas'!A1" tooltip="Abrir Mantto Bombas" display="Mantto Bombas" xr:uid="{8DF48994-ECD7-4E12-8203-61B67523E703}"/>
    <hyperlink ref="C21" location="'BALANZAS'!A1" tooltip="Abrir BALANZAS" display="BALANZAS" xr:uid="{F5C1EB76-C595-4548-982B-844F25341245}"/>
    <hyperlink ref="C26" location="'Informe Mensual'!A1" tooltip="Abrir Informe Mensual" display="Informe Mensual" xr:uid="{0BAEE557-C42C-431D-8041-CD48CEC22AFF}"/>
    <hyperlink ref="C27" location="'KPI Mes'!A1" tooltip="Abrir KPI Mes" display="KPI Mes" xr:uid="{87DEDAE4-0C44-4B5F-AAAA-EDB0D3766A15}"/>
    <hyperlink ref="C28" location="'Operatividad'!A1" tooltip="Abrir Operatividad" display="Operatividad" xr:uid="{7AE82937-5C39-4FFC-A7AA-8B0ABD67522D}"/>
    <hyperlink ref="C29" location="'KPI'!A1" tooltip="Abrir KPI" display="KPI" xr:uid="{1AFFE407-F968-41DB-8571-5976FD5AE110}"/>
    <hyperlink ref="C30" location="'Cálculo'!A1" tooltip="Abrir Cálculo" display="Cálculo" xr:uid="{C94FD555-A595-4EF0-ACD3-F6AAAF743EA2}"/>
    <hyperlink ref="C31" location="'embarque'!A1" tooltip="Abrir embarque" display="embarque" xr:uid="{D1F0197D-1DD3-42AD-9565-A824E85F6F95}"/>
    <hyperlink ref="C32" location="'Reporte Auto'!A1" tooltip="Abrir Reporte Auto" display="Reporte Auto" xr:uid="{541F44E8-399C-4338-AB4F-66C553136287}"/>
    <hyperlink ref="C33" location="'Índice Diario'!A1" tooltip="Abrir Índice Diario" display="Índice Diario" xr:uid="{A601FA33-CE7C-4ABB-B4B9-762D7E163F56}"/>
    <hyperlink ref="C34" location="'Vista RDO'!A1" tooltip="Abrir Vista RDO" display="Vista RDO" xr:uid="{2E36AF39-30F1-4C04-AE32-850DEA3CFD67}"/>
    <hyperlink ref="C35" location="'Resumen Avisos'!A1" tooltip="Abrir Resumen Avisos" display="Resumen Avisos" xr:uid="{B04A1C09-D7C1-4535-8D04-C3F5AB1AF895}"/>
    <hyperlink ref="C39" location="'Control Días'!A1" tooltip="Abrir Control Días" display="Control Días" xr:uid="{0BFA13F3-643F-4AAB-9BED-9F0AA2C252C6}"/>
    <hyperlink ref="C40" location="'Auditoría'!A1" tooltip="Abrir Auditoría" display="Auditoría" xr:uid="{56B7BF3B-76E2-4B86-AF17-621A72C5128E}"/>
    <hyperlink ref="C41" location="'Config'!A1" tooltip="Abrir Config" display="Config" xr:uid="{CD667346-2F8F-47E7-B033-E28ECCEE076B}"/>
    <hyperlink ref="C42" location="'Metas'!A1" tooltip="Abrir Metas" display="Metas" xr:uid="{9BFD7412-B0B1-4B02-B231-11343737B448}"/>
    <hyperlink ref="C43" location="'Catálogo'!A1" tooltip="Abrir Catálogo" display="Catálogo" xr:uid="{40BCB2BB-3A9F-4996-91DF-582E883D6243}"/>
    <hyperlink ref="C44" location="'Catálogo Controles'!A1" tooltip="Abrir Catálogo Controles" display="Catálogo Controles" xr:uid="{B49BA4F5-DC7E-4E66-82DE-60474C12C419}"/>
    <hyperlink ref="C45" location="'Estado del Libro'!A1" tooltip="Abrir Estado del Libro" display="Estado del Libro" xr:uid="{FA84D1C6-F13D-41AB-BA65-73FF623AC68E}"/>
    <hyperlink ref="C46" location="'Léeme'!A1" tooltip="Abrir Léeme" display="Léeme" xr:uid="{CE6FC9A1-EFA2-4119-8719-D56F285D91F9}"/>
    <hyperlink ref="C50" location="'INSPECCION DE CICLONES'!A1" tooltip="Abrir INSPECCION DE CICLONES" display="INSPECCION DE CICLONES" xr:uid="{D6A8F142-AB82-438E-80AF-906E14F29319}"/>
    <hyperlink ref="C51" location="'SOLPED FORROS RM-BM'!A1" tooltip="Abrir SOLPED FORROS RM-BM" display="SOLPED FORROS RM-BM" xr:uid="{ABF9073E-6A6B-442D-AAD8-993A20F2446B}"/>
    <hyperlink ref="C52" location="'RTM-TRITURACION'!A1" tooltip="Abrir RTM-TRITURACION" display="RTM-TRITURACION" xr:uid="{CC0473A2-0E4E-493C-B7BE-2BCF28C0DA93}"/>
    <hyperlink ref="C53" location="'RTM-MAGNETICA'!A1" tooltip="Abrir RTM-MAGNETICA" display="RTM-MAGNETICA" xr:uid="{77522114-D2FA-4194-8624-35D191E01123}"/>
    <hyperlink ref="C54" location="'RTM-FILTROS'!A1" tooltip="Abrir RTM-FILTROS" display="RTM-FILTROS" xr:uid="{C7D0B039-E885-4F88-AFE1-B07B50E7F970}"/>
    <hyperlink ref="C55" location="'RTM-RELAVES'!A1" tooltip="Abrir RTM-RELAVES" display="RTM-RELAVES" xr:uid="{169E4462-2EDC-4CC0-B541-E73C709FEA90}"/>
    <hyperlink ref="C56" location="'RTM-EMBARQUE'!A1" tooltip="Abrir RTM-EMBARQUE" display="RTM-EMBARQUE" xr:uid="{56B4EAE7-63B1-40E1-9A72-FDCDEA486C7B}"/>
    <hyperlink ref="C22" location="'Avisos OT'!A1" tooltip="Abrir Avisos OT" display="Avisos OT" xr:uid="{F548B2B1-67AB-48C6-BCFE-5AF41652C3D6}"/>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8636F-321D-4423-9D74-BAEA766BBD5E}">
  <sheetPr codeName="Hoja6">
    <tabColor rgb="FFC00000"/>
    <pageSetUpPr fitToPage="1"/>
  </sheetPr>
  <dimension ref="B1:C79"/>
  <sheetViews>
    <sheetView showGridLines="0" workbookViewId="0">
      <selection activeCell="B13" sqref="B13:C16"/>
    </sheetView>
  </sheetViews>
  <sheetFormatPr baseColWidth="10" defaultRowHeight="15"/>
  <cols>
    <col min="1" max="1" width="2.85546875" customWidth="1"/>
    <col min="2" max="2" width="38.140625" customWidth="1"/>
    <col min="3" max="3" width="121.85546875" customWidth="1"/>
  </cols>
  <sheetData>
    <row r="1" spans="2:3" ht="18.75">
      <c r="B1" s="948" t="s">
        <v>9376</v>
      </c>
    </row>
    <row r="2" spans="2:3">
      <c r="B2" s="949" t="s">
        <v>9377</v>
      </c>
    </row>
    <row r="4" spans="2:3" ht="15.75">
      <c r="B4" s="950" t="s">
        <v>9562</v>
      </c>
    </row>
    <row r="5" spans="2:3" ht="45">
      <c r="B5" s="986" t="s">
        <v>9378</v>
      </c>
      <c r="C5" s="984" t="s">
        <v>9960</v>
      </c>
    </row>
    <row r="6" spans="2:3" ht="30">
      <c r="B6" s="986" t="s">
        <v>9379</v>
      </c>
      <c r="C6" s="984" t="s">
        <v>10248</v>
      </c>
    </row>
    <row r="7" spans="2:3" ht="45">
      <c r="B7" s="986" t="s">
        <v>9380</v>
      </c>
      <c r="C7" s="984" t="s">
        <v>9976</v>
      </c>
    </row>
    <row r="8" spans="2:3">
      <c r="B8" s="986" t="s">
        <v>9381</v>
      </c>
      <c r="C8" s="984" t="s">
        <v>9563</v>
      </c>
    </row>
    <row r="9" spans="2:3">
      <c r="B9" s="986" t="s">
        <v>9382</v>
      </c>
      <c r="C9" s="984" t="s">
        <v>9564</v>
      </c>
    </row>
    <row r="10" spans="2:3">
      <c r="B10" s="986" t="s">
        <v>9565</v>
      </c>
      <c r="C10" s="984" t="s">
        <v>9566</v>
      </c>
    </row>
    <row r="12" spans="2:3" ht="15.75">
      <c r="B12" s="985" t="s">
        <v>9383</v>
      </c>
    </row>
    <row r="13" spans="2:3" ht="30">
      <c r="B13" s="986" t="s">
        <v>9378</v>
      </c>
      <c r="C13" s="984" t="s">
        <v>9840</v>
      </c>
    </row>
    <row r="14" spans="2:3">
      <c r="B14" s="986" t="s">
        <v>9379</v>
      </c>
      <c r="C14" s="984" t="s">
        <v>9567</v>
      </c>
    </row>
    <row r="15" spans="2:3" ht="30">
      <c r="B15" s="986" t="s">
        <v>9380</v>
      </c>
      <c r="C15" s="984" t="s">
        <v>9841</v>
      </c>
    </row>
    <row r="16" spans="2:3">
      <c r="B16" s="986" t="s">
        <v>9381</v>
      </c>
      <c r="C16" s="984" t="s">
        <v>9568</v>
      </c>
    </row>
    <row r="18" spans="2:3" ht="15.75">
      <c r="B18" s="985" t="s">
        <v>9569</v>
      </c>
    </row>
    <row r="19" spans="2:3">
      <c r="B19" s="951" t="s">
        <v>9384</v>
      </c>
      <c r="C19" s="951" t="s">
        <v>9385</v>
      </c>
    </row>
    <row r="20" spans="2:3">
      <c r="B20" s="986" t="s">
        <v>9386</v>
      </c>
      <c r="C20" s="984" t="s">
        <v>9570</v>
      </c>
    </row>
    <row r="21" spans="2:3" ht="30">
      <c r="B21" s="986" t="s">
        <v>9865</v>
      </c>
      <c r="C21" s="984" t="s">
        <v>9961</v>
      </c>
    </row>
    <row r="22" spans="2:3" ht="30">
      <c r="B22" s="986" t="s">
        <v>9822</v>
      </c>
      <c r="C22" s="984" t="s">
        <v>9823</v>
      </c>
    </row>
    <row r="23" spans="2:3" ht="30">
      <c r="B23" s="986" t="s">
        <v>9963</v>
      </c>
      <c r="C23" s="984" t="s">
        <v>9962</v>
      </c>
    </row>
    <row r="24" spans="2:3">
      <c r="B24" s="986" t="s">
        <v>9571</v>
      </c>
      <c r="C24" s="984" t="s">
        <v>10216</v>
      </c>
    </row>
    <row r="25" spans="2:3">
      <c r="B25" s="986" t="s">
        <v>9387</v>
      </c>
      <c r="C25" s="984" t="s">
        <v>9572</v>
      </c>
    </row>
    <row r="26" spans="2:3">
      <c r="B26" s="986" t="s">
        <v>9573</v>
      </c>
      <c r="C26" s="984" t="s">
        <v>9574</v>
      </c>
    </row>
    <row r="27" spans="2:3">
      <c r="B27" s="986" t="s">
        <v>9575</v>
      </c>
      <c r="C27" s="984" t="s">
        <v>9576</v>
      </c>
    </row>
    <row r="28" spans="2:3">
      <c r="B28" s="986" t="s">
        <v>9577</v>
      </c>
      <c r="C28" s="984" t="s">
        <v>10217</v>
      </c>
    </row>
    <row r="29" spans="2:3">
      <c r="B29" s="986" t="s">
        <v>9388</v>
      </c>
      <c r="C29" s="984" t="s">
        <v>9578</v>
      </c>
    </row>
    <row r="30" spans="2:3" ht="30">
      <c r="B30" s="986" t="s">
        <v>10250</v>
      </c>
      <c r="C30" s="984" t="s">
        <v>10249</v>
      </c>
    </row>
    <row r="32" spans="2:3" ht="15.75">
      <c r="B32" s="985" t="s">
        <v>9389</v>
      </c>
    </row>
    <row r="33" spans="2:3">
      <c r="B33" s="951" t="s">
        <v>9342</v>
      </c>
      <c r="C33" s="951" t="s">
        <v>9390</v>
      </c>
    </row>
    <row r="34" spans="2:3">
      <c r="B34" s="986" t="s">
        <v>9349</v>
      </c>
      <c r="C34" s="984" t="s">
        <v>9579</v>
      </c>
    </row>
    <row r="35" spans="2:3">
      <c r="B35" s="986" t="s">
        <v>9534</v>
      </c>
      <c r="C35" s="984" t="s">
        <v>9580</v>
      </c>
    </row>
    <row r="36" spans="2:3">
      <c r="B36" s="986" t="s">
        <v>9581</v>
      </c>
      <c r="C36" s="984" t="s">
        <v>9582</v>
      </c>
    </row>
    <row r="37" spans="2:3">
      <c r="B37" s="986" t="s">
        <v>9583</v>
      </c>
      <c r="C37" s="984" t="s">
        <v>9584</v>
      </c>
    </row>
    <row r="38" spans="2:3" ht="45">
      <c r="B38" s="986" t="s">
        <v>9825</v>
      </c>
      <c r="C38" s="984" t="s">
        <v>9824</v>
      </c>
    </row>
    <row r="39" spans="2:3">
      <c r="B39" s="986" t="s">
        <v>9391</v>
      </c>
      <c r="C39" s="984" t="s">
        <v>9585</v>
      </c>
    </row>
    <row r="40" spans="2:3">
      <c r="B40" s="986" t="s">
        <v>9392</v>
      </c>
      <c r="C40" s="984" t="s">
        <v>9586</v>
      </c>
    </row>
    <row r="41" spans="2:3">
      <c r="B41" s="986" t="s">
        <v>9587</v>
      </c>
      <c r="C41" s="984" t="s">
        <v>9588</v>
      </c>
    </row>
    <row r="42" spans="2:3">
      <c r="B42" s="986" t="s">
        <v>9589</v>
      </c>
      <c r="C42" s="984" t="s">
        <v>9590</v>
      </c>
    </row>
    <row r="44" spans="2:3" ht="15.75">
      <c r="B44" s="985" t="s">
        <v>9591</v>
      </c>
    </row>
    <row r="45" spans="2:3" ht="30">
      <c r="B45" s="986" t="s">
        <v>9393</v>
      </c>
      <c r="C45" s="984" t="s">
        <v>10251</v>
      </c>
    </row>
    <row r="46" spans="2:3" ht="30">
      <c r="B46" s="986" t="s">
        <v>9592</v>
      </c>
      <c r="C46" s="984" t="s">
        <v>10174</v>
      </c>
    </row>
    <row r="47" spans="2:3">
      <c r="B47" s="986" t="s">
        <v>9593</v>
      </c>
      <c r="C47" s="984" t="s">
        <v>9594</v>
      </c>
    </row>
    <row r="48" spans="2:3">
      <c r="B48" s="986" t="s">
        <v>9595</v>
      </c>
      <c r="C48" s="984" t="s">
        <v>9596</v>
      </c>
    </row>
    <row r="49" spans="2:3">
      <c r="B49" s="986" t="s">
        <v>9394</v>
      </c>
      <c r="C49" s="984" t="s">
        <v>9597</v>
      </c>
    </row>
    <row r="50" spans="2:3">
      <c r="B50" s="986" t="s">
        <v>9395</v>
      </c>
      <c r="C50" s="984" t="s">
        <v>9396</v>
      </c>
    </row>
    <row r="52" spans="2:3" ht="31.5">
      <c r="B52" s="985" t="s">
        <v>9826</v>
      </c>
    </row>
    <row r="53" spans="2:3">
      <c r="B53" s="951" t="s">
        <v>9827</v>
      </c>
      <c r="C53" s="951" t="s">
        <v>9828</v>
      </c>
    </row>
    <row r="54" spans="2:3" ht="30">
      <c r="B54" s="986" t="s">
        <v>9964</v>
      </c>
      <c r="C54" s="984" t="s">
        <v>10252</v>
      </c>
    </row>
    <row r="55" spans="2:3" ht="30">
      <c r="B55" s="986" t="s">
        <v>9829</v>
      </c>
      <c r="C55" s="984" t="s">
        <v>10253</v>
      </c>
    </row>
    <row r="56" spans="2:3" ht="30">
      <c r="B56" s="1198" t="s">
        <v>10221</v>
      </c>
      <c r="C56" s="1199" t="s">
        <v>10254</v>
      </c>
    </row>
    <row r="57" spans="2:3" ht="30">
      <c r="B57" s="1198" t="s">
        <v>10222</v>
      </c>
      <c r="C57" s="1199" t="s">
        <v>10223</v>
      </c>
    </row>
    <row r="58" spans="2:3" s="1096" customFormat="1" ht="30">
      <c r="B58" s="1198" t="s">
        <v>10224</v>
      </c>
      <c r="C58" s="1199" t="s">
        <v>10225</v>
      </c>
    </row>
    <row r="59" spans="2:3" s="1096" customFormat="1" ht="30">
      <c r="B59" s="1198" t="s">
        <v>10226</v>
      </c>
      <c r="C59" s="1199" t="s">
        <v>10255</v>
      </c>
    </row>
    <row r="60" spans="2:3" s="1096" customFormat="1" ht="30">
      <c r="B60" s="1198" t="s">
        <v>10227</v>
      </c>
      <c r="C60" s="1199" t="s">
        <v>10228</v>
      </c>
    </row>
    <row r="61" spans="2:3" ht="30">
      <c r="B61" s="1198" t="s">
        <v>10229</v>
      </c>
      <c r="C61" s="1199" t="s">
        <v>10230</v>
      </c>
    </row>
    <row r="63" spans="2:3" ht="15.75">
      <c r="B63" s="985" t="s">
        <v>10175</v>
      </c>
    </row>
    <row r="64" spans="2:3">
      <c r="B64" s="951" t="s">
        <v>9384</v>
      </c>
      <c r="C64" s="951" t="s">
        <v>9385</v>
      </c>
    </row>
    <row r="65" spans="2:3">
      <c r="B65" s="986" t="s">
        <v>10176</v>
      </c>
      <c r="C65" s="984" t="s">
        <v>10177</v>
      </c>
    </row>
    <row r="66" spans="2:3" ht="30">
      <c r="B66" s="986" t="s">
        <v>10027</v>
      </c>
      <c r="C66" s="984" t="s">
        <v>10178</v>
      </c>
    </row>
    <row r="67" spans="2:3">
      <c r="B67" s="986" t="s">
        <v>10030</v>
      </c>
      <c r="C67" s="984" t="s">
        <v>10179</v>
      </c>
    </row>
    <row r="68" spans="2:3" ht="30">
      <c r="B68" s="986" t="s">
        <v>10152</v>
      </c>
      <c r="C68" s="984" t="s">
        <v>10180</v>
      </c>
    </row>
    <row r="69" spans="2:3">
      <c r="B69" s="986" t="s">
        <v>10181</v>
      </c>
      <c r="C69" s="984" t="s">
        <v>10182</v>
      </c>
    </row>
    <row r="70" spans="2:3">
      <c r="B70" s="986" t="s">
        <v>9965</v>
      </c>
      <c r="C70" s="984" t="s">
        <v>10183</v>
      </c>
    </row>
    <row r="71" spans="2:3" ht="30">
      <c r="B71" s="986" t="s">
        <v>10203</v>
      </c>
      <c r="C71" s="984" t="s">
        <v>10218</v>
      </c>
    </row>
    <row r="72" spans="2:3" ht="30">
      <c r="B72" s="986" t="s">
        <v>9914</v>
      </c>
      <c r="C72" s="984" t="s">
        <v>10219</v>
      </c>
    </row>
    <row r="74" spans="2:3" ht="15.75">
      <c r="B74" s="985" t="s">
        <v>10237</v>
      </c>
    </row>
    <row r="75" spans="2:3">
      <c r="B75" s="951" t="s">
        <v>10238</v>
      </c>
      <c r="C75" s="951" t="s">
        <v>10239</v>
      </c>
    </row>
    <row r="76" spans="2:3" ht="30">
      <c r="B76" s="986" t="s">
        <v>10240</v>
      </c>
      <c r="C76" s="984" t="s">
        <v>10241</v>
      </c>
    </row>
    <row r="77" spans="2:3">
      <c r="B77" s="986" t="s">
        <v>10242</v>
      </c>
      <c r="C77" s="984" t="s">
        <v>10243</v>
      </c>
    </row>
    <row r="78" spans="2:3">
      <c r="B78" s="986" t="s">
        <v>10244</v>
      </c>
      <c r="C78" s="984" t="s">
        <v>10245</v>
      </c>
    </row>
    <row r="79" spans="2:3" ht="30">
      <c r="B79" s="986" t="s">
        <v>10246</v>
      </c>
      <c r="C79" s="984" t="s">
        <v>10247</v>
      </c>
    </row>
  </sheetData>
  <printOptions horizontalCentered="1"/>
  <pageMargins left="0.5" right="0.5" top="0.61111111111111116" bottom="0.61111111111111116" header="0.3" footer="0.3"/>
  <pageSetup paperSize="0" scale="0" fitToHeight="0" orientation="portrait" horizontalDpi="0" verticalDpi="0" copies="0"/>
  <headerFooter>
    <oddHeader>&amp;Z&amp;R</oddHeader>
    <oddFooter>&amp;CShougang Hierro Perú S.A.A. — Beneficio ZA — Léeme — Página &amp;P de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5CAAC-3B6C-4897-AAE2-287758D76442}">
  <sheetPr>
    <tabColor rgb="FFC00000"/>
    <pageSetUpPr fitToPage="1"/>
  </sheetPr>
  <dimension ref="A1:K110"/>
  <sheetViews>
    <sheetView showGridLines="0" workbookViewId="0">
      <pane ySplit="11" topLeftCell="A33" activePane="bottomLeft" state="frozen"/>
      <selection pane="bottomLeft" activeCell="D40" sqref="D40"/>
    </sheetView>
  </sheetViews>
  <sheetFormatPr baseColWidth="10" defaultRowHeight="15"/>
  <cols>
    <col min="1" max="1" width="2.85546875" customWidth="1"/>
    <col min="2" max="2" width="5.7109375" customWidth="1"/>
    <col min="3" max="3" width="32.42578125" customWidth="1"/>
    <col min="4" max="4" width="34.28515625" customWidth="1"/>
    <col min="5" max="5" width="72.42578125" customWidth="1"/>
    <col min="6" max="6" width="28.5703125" customWidth="1"/>
    <col min="7" max="7" width="19" customWidth="1"/>
    <col min="8" max="8" width="15.28515625" customWidth="1"/>
    <col min="9" max="9" width="76.140625" customWidth="1"/>
    <col min="10" max="10" width="10.42578125" customWidth="1"/>
  </cols>
  <sheetData>
    <row r="1" spans="1:11" ht="22.5" customHeight="1">
      <c r="A1" s="1122"/>
      <c r="B1" s="1219" t="s">
        <v>10304</v>
      </c>
      <c r="C1" s="1220"/>
      <c r="D1" s="1220"/>
      <c r="E1" s="1220"/>
      <c r="F1" s="1220"/>
      <c r="G1" s="1220"/>
      <c r="H1" s="1220"/>
      <c r="I1" s="1220"/>
      <c r="J1" s="1220"/>
      <c r="K1" s="1122"/>
    </row>
    <row r="2" spans="1:11">
      <c r="A2" s="1122"/>
      <c r="B2" s="1122"/>
      <c r="C2" s="1122"/>
      <c r="D2" s="1122"/>
      <c r="E2" s="1122"/>
      <c r="F2" s="1122"/>
      <c r="G2" s="1122"/>
      <c r="H2" s="1122"/>
      <c r="I2" s="1122"/>
      <c r="J2" s="1122"/>
      <c r="K2" s="1122"/>
    </row>
    <row r="3" spans="1:11">
      <c r="A3" s="1122"/>
      <c r="B3" s="1122"/>
      <c r="C3" s="1122"/>
      <c r="D3" s="1122"/>
      <c r="E3" s="1122"/>
      <c r="F3" s="1122"/>
      <c r="G3" s="1122"/>
      <c r="H3" s="1122"/>
      <c r="I3" s="1122"/>
      <c r="J3" s="1122"/>
      <c r="K3" s="1122"/>
    </row>
    <row r="4" spans="1:11">
      <c r="A4" s="1122"/>
      <c r="B4" s="1122"/>
      <c r="C4" s="1122"/>
      <c r="D4" s="1122"/>
      <c r="E4" s="1122"/>
      <c r="F4" s="1122"/>
      <c r="G4" s="1122"/>
      <c r="H4" s="1122"/>
      <c r="I4" s="1122"/>
      <c r="J4" s="1122"/>
      <c r="K4" s="1122"/>
    </row>
    <row r="5" spans="1:11">
      <c r="A5" s="1122"/>
      <c r="B5" s="1122"/>
      <c r="C5" s="1221" t="s">
        <v>10084</v>
      </c>
      <c r="D5" s="1222"/>
      <c r="E5" s="1122"/>
      <c r="F5" s="1221" t="s">
        <v>10341</v>
      </c>
      <c r="G5" s="1222"/>
      <c r="H5" s="1222"/>
      <c r="I5" s="1222"/>
      <c r="J5" s="1122"/>
      <c r="K5" s="1122"/>
    </row>
    <row r="6" spans="1:11" ht="30" customHeight="1">
      <c r="A6" s="1122"/>
      <c r="B6" s="1122"/>
      <c r="C6" s="1181" t="s">
        <v>10337</v>
      </c>
      <c r="D6" s="1557">
        <f>COUNTA(D12:D56)</f>
        <v>45</v>
      </c>
      <c r="E6" s="1122"/>
      <c r="F6" s="1556" t="s">
        <v>10342</v>
      </c>
      <c r="G6" s="1218"/>
      <c r="H6" s="1218"/>
      <c r="I6" s="1218"/>
      <c r="J6" s="1122"/>
      <c r="K6" s="1122"/>
    </row>
    <row r="7" spans="1:11" ht="30" customHeight="1">
      <c r="A7" s="1122"/>
      <c r="B7" s="1122"/>
      <c r="C7" s="1181" t="s">
        <v>10338</v>
      </c>
      <c r="D7" s="1557">
        <f>COUNTIF(H12:H56,"Visible")</f>
        <v>37</v>
      </c>
      <c r="E7" s="1122"/>
      <c r="F7" s="1556" t="s">
        <v>10343</v>
      </c>
      <c r="G7" s="1218"/>
      <c r="H7" s="1218"/>
      <c r="I7" s="1218"/>
      <c r="J7" s="1122"/>
      <c r="K7" s="1122"/>
    </row>
    <row r="8" spans="1:11" ht="30" customHeight="1">
      <c r="A8" s="1122"/>
      <c r="B8" s="1122"/>
      <c r="C8" s="1181" t="s">
        <v>10339</v>
      </c>
      <c r="D8" s="1557">
        <f>COUNTIF(H12:H56,"Oculta")</f>
        <v>8</v>
      </c>
      <c r="E8" s="1122"/>
      <c r="F8" s="1556" t="s">
        <v>10344</v>
      </c>
      <c r="G8" s="1218"/>
      <c r="H8" s="1218"/>
      <c r="I8" s="1218"/>
      <c r="J8" s="1122"/>
      <c r="K8" s="1122"/>
    </row>
    <row r="9" spans="1:11">
      <c r="A9" s="1122"/>
      <c r="B9" s="1122"/>
      <c r="C9" s="1181" t="s">
        <v>10085</v>
      </c>
      <c r="D9" s="1557">
        <f ca="1">SUM(J12:J56)</f>
        <v>0</v>
      </c>
      <c r="E9" s="1122"/>
      <c r="F9" s="1122"/>
      <c r="G9" s="1122"/>
      <c r="H9" s="1122"/>
      <c r="I9" s="1122"/>
      <c r="J9" s="1122"/>
      <c r="K9" s="1122"/>
    </row>
    <row r="10" spans="1:11">
      <c r="A10" s="1122"/>
      <c r="B10" s="1122"/>
      <c r="C10" s="1181" t="s">
        <v>10340</v>
      </c>
      <c r="D10" s="1557">
        <f>COUNTIF(G12:G56,"Por*")</f>
        <v>1</v>
      </c>
      <c r="E10" s="1122"/>
      <c r="F10" s="1122"/>
      <c r="G10" s="1122"/>
      <c r="H10" s="1122"/>
      <c r="I10" s="1122"/>
      <c r="J10" s="1122"/>
      <c r="K10" s="1122"/>
    </row>
    <row r="11" spans="1:11" ht="21.95" customHeight="1">
      <c r="A11" s="1122"/>
      <c r="B11" s="1180" t="s">
        <v>325</v>
      </c>
      <c r="C11" s="1555" t="s">
        <v>10086</v>
      </c>
      <c r="D11" s="1555" t="s">
        <v>9384</v>
      </c>
      <c r="E11" s="1180" t="s">
        <v>9385</v>
      </c>
      <c r="F11" s="1180" t="s">
        <v>10087</v>
      </c>
      <c r="G11" s="1180" t="s">
        <v>384</v>
      </c>
      <c r="H11" s="1180" t="s">
        <v>10305</v>
      </c>
      <c r="I11" s="1180" t="s">
        <v>9538</v>
      </c>
      <c r="J11" s="1180" t="s">
        <v>10088</v>
      </c>
      <c r="K11" s="1122"/>
    </row>
    <row r="12" spans="1:11">
      <c r="A12" s="1122"/>
      <c r="B12" s="1082">
        <v>1</v>
      </c>
      <c r="C12" s="1181" t="s">
        <v>10089</v>
      </c>
      <c r="D12" s="1182" t="s">
        <v>10306</v>
      </c>
      <c r="E12" s="1083" t="s">
        <v>10307</v>
      </c>
      <c r="F12" s="1554" t="s">
        <v>10092</v>
      </c>
      <c r="G12" s="1082" t="s">
        <v>10093</v>
      </c>
      <c r="H12" s="1082" t="s">
        <v>10308</v>
      </c>
      <c r="I12" s="1083"/>
      <c r="J12" s="1082" cm="1">
        <f t="array" ref="J12">SUMPRODUCT(--ISERROR(Menú!$A$1:$F$56))</f>
        <v>0</v>
      </c>
      <c r="K12" s="1122"/>
    </row>
    <row r="13" spans="1:11">
      <c r="A13" s="1122"/>
      <c r="B13" s="1082">
        <v>2</v>
      </c>
      <c r="C13" s="1181" t="s">
        <v>10089</v>
      </c>
      <c r="D13" s="1182" t="s">
        <v>10090</v>
      </c>
      <c r="E13" s="1083" t="s">
        <v>10091</v>
      </c>
      <c r="F13" s="1554" t="s">
        <v>10092</v>
      </c>
      <c r="G13" s="1082" t="s">
        <v>10093</v>
      </c>
      <c r="H13" s="1082" t="s">
        <v>10308</v>
      </c>
      <c r="I13" s="1083"/>
      <c r="J13" s="1082" cm="1">
        <f t="array" ref="J13">SUMPRODUCT(--ISERROR(Léeme!$A$1:$C$79))</f>
        <v>0</v>
      </c>
      <c r="K13" s="1122"/>
    </row>
    <row r="14" spans="1:11">
      <c r="A14" s="1122"/>
      <c r="B14" s="1082">
        <v>3</v>
      </c>
      <c r="C14" s="1181" t="s">
        <v>10089</v>
      </c>
      <c r="D14" s="1182" t="s">
        <v>10176</v>
      </c>
      <c r="E14" s="1083" t="s">
        <v>10309</v>
      </c>
      <c r="F14" s="1554" t="s">
        <v>10092</v>
      </c>
      <c r="G14" s="1082" t="s">
        <v>10093</v>
      </c>
      <c r="H14" s="1082" t="s">
        <v>10308</v>
      </c>
      <c r="I14" s="1083"/>
      <c r="J14" s="1082" t="str">
        <f>"—"</f>
        <v>—</v>
      </c>
      <c r="K14" s="1122"/>
    </row>
    <row r="15" spans="1:11">
      <c r="A15" s="1122"/>
      <c r="B15" s="1082">
        <v>4</v>
      </c>
      <c r="C15" s="1181" t="s">
        <v>10094</v>
      </c>
      <c r="D15" s="1182" t="s">
        <v>9386</v>
      </c>
      <c r="E15" s="1083" t="s">
        <v>10095</v>
      </c>
      <c r="F15" s="1554" t="s">
        <v>10096</v>
      </c>
      <c r="G15" s="1082" t="s">
        <v>10093</v>
      </c>
      <c r="H15" s="1082" t="s">
        <v>10308</v>
      </c>
      <c r="I15" s="1083"/>
      <c r="J15" s="1082" cm="1">
        <f t="array" ref="J15">SUMPRODUCT(--ISERROR(Config!$A$1:$D$24))</f>
        <v>0</v>
      </c>
      <c r="K15" s="1122"/>
    </row>
    <row r="16" spans="1:11">
      <c r="A16" s="1122"/>
      <c r="B16" s="1082">
        <v>5</v>
      </c>
      <c r="C16" s="1181" t="s">
        <v>10113</v>
      </c>
      <c r="D16" s="1182" t="s">
        <v>10114</v>
      </c>
      <c r="E16" s="1083" t="s">
        <v>10115</v>
      </c>
      <c r="F16" s="1554" t="s">
        <v>10236</v>
      </c>
      <c r="G16" s="1082" t="s">
        <v>10093</v>
      </c>
      <c r="H16" s="1082" t="s">
        <v>10308</v>
      </c>
      <c r="I16" s="1083"/>
      <c r="J16" s="1082" cm="1">
        <f t="array" ref="J16">SUMPRODUCT(--ISERROR('Captura-RDO'!$A$1:$L$221))</f>
        <v>0</v>
      </c>
      <c r="K16" s="1122"/>
    </row>
    <row r="17" spans="1:11">
      <c r="A17" s="1122"/>
      <c r="B17" s="1082">
        <v>6</v>
      </c>
      <c r="C17" s="1181" t="s">
        <v>10113</v>
      </c>
      <c r="D17" s="1182" t="s">
        <v>9865</v>
      </c>
      <c r="E17" s="1083" t="s">
        <v>10116</v>
      </c>
      <c r="F17" s="1554" t="s">
        <v>10236</v>
      </c>
      <c r="G17" s="1082" t="s">
        <v>10093</v>
      </c>
      <c r="H17" s="1082" t="s">
        <v>10308</v>
      </c>
      <c r="I17" s="1083"/>
      <c r="J17" s="1082" cm="1">
        <f t="array" ref="J17">SUMPRODUCT(--ISERROR('Captura-Planta'!$A$1:$Z$58))</f>
        <v>0</v>
      </c>
      <c r="K17" s="1122"/>
    </row>
    <row r="18" spans="1:11">
      <c r="A18" s="1122"/>
      <c r="B18" s="1082">
        <v>7</v>
      </c>
      <c r="C18" s="1181" t="s">
        <v>10113</v>
      </c>
      <c r="D18" s="1182" t="s">
        <v>9914</v>
      </c>
      <c r="E18" s="1083" t="s">
        <v>10119</v>
      </c>
      <c r="F18" s="1554" t="s">
        <v>10236</v>
      </c>
      <c r="G18" s="1082" t="s">
        <v>10093</v>
      </c>
      <c r="H18" s="1082" t="s">
        <v>10308</v>
      </c>
      <c r="I18" s="1083" t="s">
        <v>10310</v>
      </c>
      <c r="J18" s="1082" cm="1">
        <f t="array" aca="1" ref="J18" ca="1">SUMPRODUCT(--ISERROR('Control Reactivos'!$A$1:$Z$60))</f>
        <v>0</v>
      </c>
      <c r="K18" s="1122"/>
    </row>
    <row r="19" spans="1:11">
      <c r="A19" s="1122"/>
      <c r="B19" s="1082">
        <v>8</v>
      </c>
      <c r="C19" s="1181" t="s">
        <v>10113</v>
      </c>
      <c r="D19" s="1182" t="s">
        <v>9915</v>
      </c>
      <c r="E19" s="1083" t="s">
        <v>10120</v>
      </c>
      <c r="F19" s="1554" t="s">
        <v>10236</v>
      </c>
      <c r="G19" s="1082" t="s">
        <v>10093</v>
      </c>
      <c r="H19" s="1082" t="s">
        <v>10308</v>
      </c>
      <c r="I19" s="1083"/>
      <c r="J19" s="1082" cm="1">
        <f t="array" aca="1" ref="J19" ca="1">SUMPRODUCT(--ISERROR('Toneladas Molinos'!$A$1:$AO$46))</f>
        <v>0</v>
      </c>
      <c r="K19" s="1122"/>
    </row>
    <row r="20" spans="1:11">
      <c r="A20" s="1122"/>
      <c r="B20" s="1082">
        <v>9</v>
      </c>
      <c r="C20" s="1181" t="s">
        <v>10113</v>
      </c>
      <c r="D20" s="1182" t="s">
        <v>9916</v>
      </c>
      <c r="E20" s="1083" t="s">
        <v>10121</v>
      </c>
      <c r="F20" s="1554" t="s">
        <v>10236</v>
      </c>
      <c r="G20" s="1082" t="s">
        <v>10093</v>
      </c>
      <c r="H20" s="1082" t="s">
        <v>10308</v>
      </c>
      <c r="I20" s="1083" t="s">
        <v>10311</v>
      </c>
      <c r="J20" s="1082" cm="1">
        <f t="array" aca="1" ref="J20" ca="1">SUMPRODUCT(--ISERROR('Agregado Medios'!$A$1:$AV$48))</f>
        <v>0</v>
      </c>
      <c r="K20" s="1122"/>
    </row>
    <row r="21" spans="1:11">
      <c r="A21" s="1122"/>
      <c r="B21" s="1082">
        <v>10</v>
      </c>
      <c r="C21" s="1181" t="s">
        <v>10113</v>
      </c>
      <c r="D21" s="1182" t="s">
        <v>10117</v>
      </c>
      <c r="E21" s="1083" t="s">
        <v>10118</v>
      </c>
      <c r="F21" s="1554" t="s">
        <v>10236</v>
      </c>
      <c r="G21" s="1082" t="s">
        <v>10093</v>
      </c>
      <c r="H21" s="1082" t="s">
        <v>10308</v>
      </c>
      <c r="I21" s="1083" t="s">
        <v>10312</v>
      </c>
      <c r="J21" s="1082" cm="1">
        <f t="array" ref="J21">SUMPRODUCT(--ISERROR('Control Canaletas'!$A$1:$AV$43))</f>
        <v>0</v>
      </c>
      <c r="K21" s="1122"/>
    </row>
    <row r="22" spans="1:11">
      <c r="A22" s="1122"/>
      <c r="B22" s="1082">
        <v>11</v>
      </c>
      <c r="C22" s="1181" t="s">
        <v>10122</v>
      </c>
      <c r="D22" s="1182" t="s">
        <v>10281</v>
      </c>
      <c r="E22" s="1083" t="s">
        <v>10313</v>
      </c>
      <c r="F22" s="1554" t="s">
        <v>10123</v>
      </c>
      <c r="G22" s="1082" t="s">
        <v>10093</v>
      </c>
      <c r="H22" s="1082" t="s">
        <v>10308</v>
      </c>
      <c r="I22" s="1083" t="s">
        <v>10314</v>
      </c>
      <c r="J22" s="1082" cm="1">
        <f t="array" ref="J22">SUMPRODUCT(--ISERROR('Fallas y Paradas'!$A$1:$N$55))</f>
        <v>0</v>
      </c>
      <c r="K22" s="1122"/>
    </row>
    <row r="23" spans="1:11">
      <c r="A23" s="1122"/>
      <c r="B23" s="1082">
        <v>12</v>
      </c>
      <c r="C23" s="1181" t="s">
        <v>10122</v>
      </c>
      <c r="D23" s="1182" t="s">
        <v>10027</v>
      </c>
      <c r="E23" s="1083" t="s">
        <v>10124</v>
      </c>
      <c r="F23" s="1554" t="s">
        <v>10125</v>
      </c>
      <c r="G23" s="1082" t="s">
        <v>10093</v>
      </c>
      <c r="H23" s="1082" t="s">
        <v>10308</v>
      </c>
      <c r="I23" s="1083" t="s">
        <v>10315</v>
      </c>
      <c r="J23" s="1082" cm="1">
        <f t="array" ref="J23">SUMPRODUCT(--ISERROR('Reporte Mantenimiento'!$A$1:$O$52))</f>
        <v>0</v>
      </c>
      <c r="K23" s="1122"/>
    </row>
    <row r="24" spans="1:11">
      <c r="A24" s="1122"/>
      <c r="B24" s="1082">
        <v>13</v>
      </c>
      <c r="C24" s="1181" t="s">
        <v>10122</v>
      </c>
      <c r="D24" s="1182" t="s">
        <v>10030</v>
      </c>
      <c r="E24" s="1083" t="s">
        <v>10126</v>
      </c>
      <c r="F24" s="1554" t="s">
        <v>10127</v>
      </c>
      <c r="G24" s="1082" t="s">
        <v>10093</v>
      </c>
      <c r="H24" s="1082" t="s">
        <v>10308</v>
      </c>
      <c r="I24" s="1083" t="s">
        <v>10315</v>
      </c>
      <c r="J24" s="1082" cm="1">
        <f t="array" ref="J24">SUMPRODUCT(--ISERROR('Mantto Bombas'!$A$1:$I$42))</f>
        <v>0</v>
      </c>
      <c r="K24" s="1122"/>
    </row>
    <row r="25" spans="1:11">
      <c r="A25" s="1122"/>
      <c r="B25" s="1082">
        <v>14</v>
      </c>
      <c r="C25" s="1181" t="s">
        <v>10122</v>
      </c>
      <c r="D25" s="1182" t="s">
        <v>10128</v>
      </c>
      <c r="E25" s="1083" t="s">
        <v>10129</v>
      </c>
      <c r="F25" s="1554" t="s">
        <v>10130</v>
      </c>
      <c r="G25" s="1082" t="s">
        <v>10093</v>
      </c>
      <c r="H25" s="1082" t="s">
        <v>10308</v>
      </c>
      <c r="I25" s="1083"/>
      <c r="J25" s="1082" cm="1">
        <f t="array" ref="J25">SUMPRODUCT(--ISERROR(BALANZAS!$A$1:$O$11))</f>
        <v>0</v>
      </c>
      <c r="K25" s="1122"/>
    </row>
    <row r="26" spans="1:11">
      <c r="A26" s="1122"/>
      <c r="B26" s="1082">
        <v>15</v>
      </c>
      <c r="C26" s="1181" t="s">
        <v>10122</v>
      </c>
      <c r="D26" s="1182" t="s">
        <v>10131</v>
      </c>
      <c r="E26" s="1083" t="s">
        <v>10132</v>
      </c>
      <c r="F26" s="1554" t="s">
        <v>10133</v>
      </c>
      <c r="G26" s="1082" t="s">
        <v>10093</v>
      </c>
      <c r="H26" s="1082" t="s">
        <v>10308</v>
      </c>
      <c r="I26" s="1083" t="s">
        <v>10316</v>
      </c>
      <c r="J26" s="1082" cm="1">
        <f t="array" aca="1" ref="J26" ca="1">SUMPRODUCT(--ISERROR('Avisos OT'!$A$1:$Q$490))</f>
        <v>0</v>
      </c>
      <c r="K26" s="1122"/>
    </row>
    <row r="27" spans="1:11">
      <c r="A27" s="1122"/>
      <c r="B27" s="1082">
        <v>16</v>
      </c>
      <c r="C27" s="1181" t="s">
        <v>10317</v>
      </c>
      <c r="D27" s="1182" t="s">
        <v>2402</v>
      </c>
      <c r="E27" s="1083" t="s">
        <v>10162</v>
      </c>
      <c r="F27" s="1554" t="s">
        <v>10318</v>
      </c>
      <c r="G27" s="1082" t="s">
        <v>10163</v>
      </c>
      <c r="H27" s="1082" t="s">
        <v>10308</v>
      </c>
      <c r="I27" s="1083" t="s">
        <v>10319</v>
      </c>
      <c r="J27" s="1082" cm="1">
        <f t="array" ref="J27">SUMPRODUCT(--ISERROR(KPI!$A$1:$AE$58))</f>
        <v>0</v>
      </c>
      <c r="K27" s="1122"/>
    </row>
    <row r="28" spans="1:11">
      <c r="A28" s="1122"/>
      <c r="B28" s="1082">
        <v>17</v>
      </c>
      <c r="C28" s="1181" t="s">
        <v>10317</v>
      </c>
      <c r="D28" s="1182" t="s">
        <v>2401</v>
      </c>
      <c r="E28" s="1083" t="s">
        <v>10164</v>
      </c>
      <c r="F28" s="1554" t="s">
        <v>10318</v>
      </c>
      <c r="G28" s="1082" t="s">
        <v>10163</v>
      </c>
      <c r="H28" s="1082" t="s">
        <v>10308</v>
      </c>
      <c r="I28" s="1083" t="s">
        <v>10320</v>
      </c>
      <c r="J28" s="1082" cm="1">
        <f t="array" ref="J28">SUMPRODUCT(--ISERROR(Cálculo!$A$1:$M$67))</f>
        <v>0</v>
      </c>
      <c r="K28" s="1122"/>
    </row>
    <row r="29" spans="1:11">
      <c r="A29" s="1122"/>
      <c r="B29" s="1082">
        <v>18</v>
      </c>
      <c r="C29" s="1181" t="s">
        <v>10317</v>
      </c>
      <c r="D29" s="1182" t="s">
        <v>2403</v>
      </c>
      <c r="E29" s="1083" t="s">
        <v>10165</v>
      </c>
      <c r="F29" s="1554" t="s">
        <v>10318</v>
      </c>
      <c r="G29" s="1082" t="s">
        <v>10163</v>
      </c>
      <c r="H29" s="1082" t="s">
        <v>10308</v>
      </c>
      <c r="I29" s="1083" t="s">
        <v>10321</v>
      </c>
      <c r="J29" s="1082" cm="1">
        <f t="array" ref="J29">SUMPRODUCT(--ISERROR(embarque!$A$1:$AZ$32))</f>
        <v>0</v>
      </c>
      <c r="K29" s="1122"/>
    </row>
    <row r="30" spans="1:11">
      <c r="A30" s="1122"/>
      <c r="B30" s="1082">
        <v>19</v>
      </c>
      <c r="C30" s="1181" t="s">
        <v>10317</v>
      </c>
      <c r="D30" s="1182" t="s">
        <v>10152</v>
      </c>
      <c r="E30" s="1083" t="s">
        <v>10153</v>
      </c>
      <c r="F30" s="1554" t="s">
        <v>10099</v>
      </c>
      <c r="G30" s="1082" t="s">
        <v>10093</v>
      </c>
      <c r="H30" s="1082" t="s">
        <v>10308</v>
      </c>
      <c r="I30" s="1083" t="s">
        <v>10322</v>
      </c>
      <c r="J30" s="1082" cm="1">
        <f t="array" ref="J30">SUMPRODUCT(--ISERROR('KPI Mes'!$A$1:$J$30))</f>
        <v>0</v>
      </c>
      <c r="K30" s="1122"/>
    </row>
    <row r="31" spans="1:11">
      <c r="A31" s="1122"/>
      <c r="B31" s="1082">
        <v>20</v>
      </c>
      <c r="C31" s="1181" t="s">
        <v>10317</v>
      </c>
      <c r="D31" s="1182" t="s">
        <v>9965</v>
      </c>
      <c r="E31" s="1083" t="s">
        <v>10150</v>
      </c>
      <c r="F31" s="1554" t="s">
        <v>10099</v>
      </c>
      <c r="G31" s="1082" t="s">
        <v>10093</v>
      </c>
      <c r="H31" s="1082" t="s">
        <v>10308</v>
      </c>
      <c r="I31" s="1083" t="s">
        <v>10151</v>
      </c>
      <c r="J31" s="1082" cm="1">
        <f t="array" aca="1" ref="J31" ca="1">SUMPRODUCT(--ISERROR('Informe Mensual'!$A$1:$E$48))</f>
        <v>0</v>
      </c>
      <c r="K31" s="1122"/>
    </row>
    <row r="32" spans="1:11" ht="30">
      <c r="A32" s="1122"/>
      <c r="B32" s="1082">
        <v>21</v>
      </c>
      <c r="C32" s="1181" t="s">
        <v>10317</v>
      </c>
      <c r="D32" s="1182" t="s">
        <v>10203</v>
      </c>
      <c r="E32" s="1083" t="s">
        <v>10210</v>
      </c>
      <c r="F32" s="1554" t="s">
        <v>10099</v>
      </c>
      <c r="G32" s="1082" t="s">
        <v>10093</v>
      </c>
      <c r="H32" s="1082" t="s">
        <v>10308</v>
      </c>
      <c r="I32" s="1083" t="s">
        <v>10323</v>
      </c>
      <c r="J32" s="1082" cm="1">
        <f t="array" aca="1" ref="J32" ca="1">SUMPRODUCT(--ISERROR(Operatividad!$A$1:$N$65))</f>
        <v>0</v>
      </c>
      <c r="K32" s="1122"/>
    </row>
    <row r="33" spans="1:11">
      <c r="A33" s="1122"/>
      <c r="B33" s="1082">
        <v>22</v>
      </c>
      <c r="C33" s="1181" t="s">
        <v>10317</v>
      </c>
      <c r="D33" s="1182" t="s">
        <v>10154</v>
      </c>
      <c r="E33" s="1083" t="s">
        <v>10155</v>
      </c>
      <c r="F33" s="1554" t="s">
        <v>10099</v>
      </c>
      <c r="G33" s="1082" t="s">
        <v>10093</v>
      </c>
      <c r="H33" s="1082" t="s">
        <v>10308</v>
      </c>
      <c r="I33" s="1083"/>
      <c r="J33" s="1082" cm="1">
        <f t="array" ref="J33">SUMPRODUCT(--ISERROR('Reporte Auto'!$A$1:$AX$114))</f>
        <v>0</v>
      </c>
      <c r="K33" s="1122"/>
    </row>
    <row r="34" spans="1:11">
      <c r="A34" s="1122"/>
      <c r="B34" s="1082">
        <v>23</v>
      </c>
      <c r="C34" s="1181" t="s">
        <v>10317</v>
      </c>
      <c r="D34" s="1182" t="s">
        <v>10156</v>
      </c>
      <c r="E34" s="1083" t="s">
        <v>10157</v>
      </c>
      <c r="F34" s="1554" t="s">
        <v>10099</v>
      </c>
      <c r="G34" s="1082" t="s">
        <v>10093</v>
      </c>
      <c r="H34" s="1082" t="s">
        <v>10308</v>
      </c>
      <c r="I34" s="1083"/>
      <c r="J34" s="1082" cm="1">
        <f t="array" ref="J34">SUMPRODUCT(--ISERROR('Índice Diario'!$A$1:$J$37))</f>
        <v>0</v>
      </c>
      <c r="K34" s="1122"/>
    </row>
    <row r="35" spans="1:11">
      <c r="A35" s="1122"/>
      <c r="B35" s="1082">
        <v>24</v>
      </c>
      <c r="C35" s="1181" t="s">
        <v>10317</v>
      </c>
      <c r="D35" s="1182" t="s">
        <v>10158</v>
      </c>
      <c r="E35" s="1083" t="s">
        <v>10159</v>
      </c>
      <c r="F35" s="1554" t="s">
        <v>10099</v>
      </c>
      <c r="G35" s="1082" t="s">
        <v>10093</v>
      </c>
      <c r="H35" s="1082" t="s">
        <v>10308</v>
      </c>
      <c r="I35" s="1083"/>
      <c r="J35" s="1082" cm="1">
        <f t="array" ref="J35">SUMPRODUCT(--ISERROR('Vista RDO'!$A$1:$I$88))</f>
        <v>0</v>
      </c>
      <c r="K35" s="1122"/>
    </row>
    <row r="36" spans="1:11">
      <c r="A36" s="1122"/>
      <c r="B36" s="1082">
        <v>25</v>
      </c>
      <c r="C36" s="1181" t="s">
        <v>10317</v>
      </c>
      <c r="D36" s="1182" t="s">
        <v>10160</v>
      </c>
      <c r="E36" s="1083" t="s">
        <v>10161</v>
      </c>
      <c r="F36" s="1554" t="s">
        <v>10099</v>
      </c>
      <c r="G36" s="1082" t="s">
        <v>10093</v>
      </c>
      <c r="H36" s="1082" t="s">
        <v>10308</v>
      </c>
      <c r="I36" s="1083"/>
      <c r="J36" s="1082" cm="1">
        <f t="array" aca="1" ref="J36" ca="1">SUMPRODUCT(--ISERROR('Resumen Avisos'!$A$1:$O$21))</f>
        <v>0</v>
      </c>
      <c r="K36" s="1122"/>
    </row>
    <row r="37" spans="1:11">
      <c r="A37" s="1122"/>
      <c r="B37" s="1082">
        <v>26</v>
      </c>
      <c r="C37" s="1181" t="s">
        <v>2469</v>
      </c>
      <c r="D37" s="1182" t="s">
        <v>9387</v>
      </c>
      <c r="E37" s="1083" t="s">
        <v>10134</v>
      </c>
      <c r="F37" s="1554" t="s">
        <v>10135</v>
      </c>
      <c r="G37" s="1082" t="s">
        <v>10093</v>
      </c>
      <c r="H37" s="1082" t="s">
        <v>10308</v>
      </c>
      <c r="I37" s="1083" t="s">
        <v>10324</v>
      </c>
      <c r="J37" s="1082" cm="1">
        <f t="array" aca="1" ref="J37" ca="1">SUMPRODUCT(--ISERROR('Control Días'!$A$1:$O$497))</f>
        <v>0</v>
      </c>
      <c r="K37" s="1122"/>
    </row>
    <row r="38" spans="1:11">
      <c r="A38" s="1122"/>
      <c r="B38" s="1082">
        <v>27</v>
      </c>
      <c r="C38" s="1181" t="s">
        <v>2469</v>
      </c>
      <c r="D38" s="1182" t="s">
        <v>9388</v>
      </c>
      <c r="E38" s="1083" t="s">
        <v>10136</v>
      </c>
      <c r="F38" s="1554" t="s">
        <v>10137</v>
      </c>
      <c r="G38" s="1082" t="s">
        <v>10093</v>
      </c>
      <c r="H38" s="1082" t="s">
        <v>10308</v>
      </c>
      <c r="I38" s="1083"/>
      <c r="J38" s="1082" cm="1">
        <f t="array" ref="J38">SUMPRODUCT(--ISERROR(Auditoría!$A$1:$K$10))</f>
        <v>0</v>
      </c>
      <c r="K38" s="1122"/>
    </row>
    <row r="39" spans="1:11">
      <c r="A39" s="1122"/>
      <c r="B39" s="1082">
        <v>28</v>
      </c>
      <c r="C39" s="1181" t="s">
        <v>10094</v>
      </c>
      <c r="D39" s="1182" t="s">
        <v>10100</v>
      </c>
      <c r="E39" s="1083" t="s">
        <v>10101</v>
      </c>
      <c r="F39" s="1554" t="s">
        <v>10102</v>
      </c>
      <c r="G39" s="1082" t="s">
        <v>10093</v>
      </c>
      <c r="H39" s="1082" t="s">
        <v>10308</v>
      </c>
      <c r="I39" s="1083" t="s">
        <v>10103</v>
      </c>
      <c r="J39" s="1082" cm="1">
        <f t="array" ref="J39">SUMPRODUCT(--ISERROR(Metas!$A$1:$H$14))</f>
        <v>0</v>
      </c>
      <c r="K39" s="1122"/>
    </row>
    <row r="40" spans="1:11">
      <c r="A40" s="1122"/>
      <c r="B40" s="1082">
        <v>29</v>
      </c>
      <c r="C40" s="1181" t="s">
        <v>10094</v>
      </c>
      <c r="D40" s="1182" t="s">
        <v>10104</v>
      </c>
      <c r="E40" s="1083" t="s">
        <v>10105</v>
      </c>
      <c r="F40" s="1554" t="s">
        <v>10102</v>
      </c>
      <c r="G40" s="1082" t="s">
        <v>10106</v>
      </c>
      <c r="H40" s="1082" t="s">
        <v>10308</v>
      </c>
      <c r="I40" s="1083" t="s">
        <v>10325</v>
      </c>
      <c r="J40" s="1082" cm="1">
        <f t="array" ref="J40">SUMPRODUCT(--ISERROR(Catálogo!$A$1:$J$16))</f>
        <v>0</v>
      </c>
      <c r="K40" s="1122"/>
    </row>
    <row r="41" spans="1:11">
      <c r="A41" s="1122"/>
      <c r="B41" s="1082">
        <v>30</v>
      </c>
      <c r="C41" s="1181" t="s">
        <v>10094</v>
      </c>
      <c r="D41" s="1182" t="s">
        <v>10107</v>
      </c>
      <c r="E41" s="1083" t="s">
        <v>10108</v>
      </c>
      <c r="F41" s="1554" t="s">
        <v>10102</v>
      </c>
      <c r="G41" s="1082" t="s">
        <v>10093</v>
      </c>
      <c r="H41" s="1082" t="s">
        <v>10308</v>
      </c>
      <c r="I41" s="1083"/>
      <c r="J41" s="1082" cm="1">
        <f t="array" ref="J41">SUMPRODUCT(--ISERROR('Catálogo Controles'!$A$1:$R$130))</f>
        <v>0</v>
      </c>
      <c r="K41" s="1122"/>
    </row>
    <row r="42" spans="1:11">
      <c r="A42" s="1122"/>
      <c r="B42" s="1082">
        <v>31</v>
      </c>
      <c r="C42" s="1181" t="s">
        <v>10326</v>
      </c>
      <c r="D42" s="1182" t="s">
        <v>10166</v>
      </c>
      <c r="E42" s="1083" t="s">
        <v>10167</v>
      </c>
      <c r="F42" s="1554" t="s">
        <v>10163</v>
      </c>
      <c r="G42" s="1082" t="s">
        <v>10168</v>
      </c>
      <c r="H42" s="1082" t="s">
        <v>10308</v>
      </c>
      <c r="I42" s="1083"/>
      <c r="J42" s="1082" cm="1">
        <f t="array" ref="J42">SUMPRODUCT(--ISERROR('INSPECCION DE CICLONES'!$A$1:$Z$158))</f>
        <v>0</v>
      </c>
      <c r="K42" s="1122"/>
    </row>
    <row r="43" spans="1:11">
      <c r="A43" s="1122"/>
      <c r="B43" s="1082">
        <v>32</v>
      </c>
      <c r="C43" s="1181" t="s">
        <v>10326</v>
      </c>
      <c r="D43" s="1182" t="s">
        <v>10169</v>
      </c>
      <c r="E43" s="1083" t="s">
        <v>10167</v>
      </c>
      <c r="F43" s="1554" t="s">
        <v>10163</v>
      </c>
      <c r="G43" s="1082" t="s">
        <v>10168</v>
      </c>
      <c r="H43" s="1082" t="s">
        <v>10308</v>
      </c>
      <c r="I43" s="1083"/>
      <c r="J43" s="1082" cm="1">
        <f t="array" ref="J43">SUMPRODUCT(--ISERROR('SOLPED FORROS RM-BM'!$A$1:$P$76))</f>
        <v>0</v>
      </c>
      <c r="K43" s="1122"/>
    </row>
    <row r="44" spans="1:11">
      <c r="A44" s="1122"/>
      <c r="B44" s="1082">
        <v>33</v>
      </c>
      <c r="C44" s="1181" t="s">
        <v>10326</v>
      </c>
      <c r="D44" s="1182" t="s">
        <v>10170</v>
      </c>
      <c r="E44" s="1083" t="s">
        <v>10167</v>
      </c>
      <c r="F44" s="1554" t="s">
        <v>10163</v>
      </c>
      <c r="G44" s="1082" t="s">
        <v>10168</v>
      </c>
      <c r="H44" s="1082" t="s">
        <v>10308</v>
      </c>
      <c r="I44" s="1083"/>
      <c r="J44" s="1082" cm="1">
        <f t="array" ref="J44">SUMPRODUCT(--ISERROR('RTM-TRITURACION'!$A$1:$K$82))</f>
        <v>0</v>
      </c>
      <c r="K44" s="1122"/>
    </row>
    <row r="45" spans="1:11">
      <c r="A45" s="1122"/>
      <c r="B45" s="1082">
        <v>34</v>
      </c>
      <c r="C45" s="1181" t="s">
        <v>10326</v>
      </c>
      <c r="D45" s="1182" t="s">
        <v>2404</v>
      </c>
      <c r="E45" s="1083" t="s">
        <v>10167</v>
      </c>
      <c r="F45" s="1554" t="s">
        <v>10163</v>
      </c>
      <c r="G45" s="1082" t="s">
        <v>10168</v>
      </c>
      <c r="H45" s="1082" t="s">
        <v>10308</v>
      </c>
      <c r="I45" s="1083"/>
      <c r="J45" s="1082" cm="1">
        <f t="array" ref="J45">SUMPRODUCT(--ISERROR('RTM-MAGNETICA'!$A$1:$K$287))</f>
        <v>0</v>
      </c>
      <c r="K45" s="1122"/>
    </row>
    <row r="46" spans="1:11">
      <c r="A46" s="1122"/>
      <c r="B46" s="1082">
        <v>35</v>
      </c>
      <c r="C46" s="1181" t="s">
        <v>10326</v>
      </c>
      <c r="D46" s="1182" t="s">
        <v>10171</v>
      </c>
      <c r="E46" s="1083" t="s">
        <v>10167</v>
      </c>
      <c r="F46" s="1554" t="s">
        <v>10163</v>
      </c>
      <c r="G46" s="1082" t="s">
        <v>10168</v>
      </c>
      <c r="H46" s="1082" t="s">
        <v>10308</v>
      </c>
      <c r="I46" s="1083"/>
      <c r="J46" s="1082" cm="1">
        <f t="array" ref="J46">SUMPRODUCT(--ISERROR('RTM-FILTROS'!$A$1:$K$30))</f>
        <v>0</v>
      </c>
      <c r="K46" s="1122"/>
    </row>
    <row r="47" spans="1:11">
      <c r="A47" s="1122"/>
      <c r="B47" s="1082">
        <v>36</v>
      </c>
      <c r="C47" s="1181" t="s">
        <v>10326</v>
      </c>
      <c r="D47" s="1182" t="s">
        <v>10172</v>
      </c>
      <c r="E47" s="1083" t="s">
        <v>10167</v>
      </c>
      <c r="F47" s="1554" t="s">
        <v>10163</v>
      </c>
      <c r="G47" s="1082" t="s">
        <v>10168</v>
      </c>
      <c r="H47" s="1082" t="s">
        <v>10308</v>
      </c>
      <c r="I47" s="1083"/>
      <c r="J47" s="1082" cm="1">
        <f t="array" ref="J47">SUMPRODUCT(--ISERROR('RTM-RELAVES'!$A$1:$K$40))</f>
        <v>0</v>
      </c>
      <c r="K47" s="1122"/>
    </row>
    <row r="48" spans="1:11">
      <c r="A48" s="1122"/>
      <c r="B48" s="1082">
        <v>37</v>
      </c>
      <c r="C48" s="1181" t="s">
        <v>10326</v>
      </c>
      <c r="D48" s="1182" t="s">
        <v>10173</v>
      </c>
      <c r="E48" s="1083" t="s">
        <v>10167</v>
      </c>
      <c r="F48" s="1554" t="s">
        <v>10163</v>
      </c>
      <c r="G48" s="1082" t="s">
        <v>10168</v>
      </c>
      <c r="H48" s="1082" t="s">
        <v>10308</v>
      </c>
      <c r="I48" s="1083"/>
      <c r="J48" s="1082" cm="1">
        <f t="array" ref="J48">SUMPRODUCT(--ISERROR('RTM-EMBARQUE'!$A$1:$K$83))</f>
        <v>0</v>
      </c>
      <c r="K48" s="1122"/>
    </row>
    <row r="49" spans="1:11">
      <c r="A49" s="1122"/>
      <c r="B49" s="1082">
        <v>38</v>
      </c>
      <c r="C49" s="1181" t="s">
        <v>10138</v>
      </c>
      <c r="D49" s="1181" t="s">
        <v>10139</v>
      </c>
      <c r="E49" s="1083" t="s">
        <v>10140</v>
      </c>
      <c r="F49" s="1554" t="s">
        <v>10137</v>
      </c>
      <c r="G49" s="1082" t="s">
        <v>10093</v>
      </c>
      <c r="H49" s="1082" t="s">
        <v>10327</v>
      </c>
      <c r="I49" s="1083" t="s">
        <v>10328</v>
      </c>
      <c r="J49" s="1082" cm="1">
        <f t="array" ref="J49">SUMPRODUCT(--ISERROR('Datos Concentrado'!$A$1:$AA$526))</f>
        <v>0</v>
      </c>
      <c r="K49" s="1122"/>
    </row>
    <row r="50" spans="1:11" ht="30">
      <c r="A50" s="1122"/>
      <c r="B50" s="1082">
        <v>39</v>
      </c>
      <c r="C50" s="1181" t="s">
        <v>10138</v>
      </c>
      <c r="D50" s="1181" t="s">
        <v>10141</v>
      </c>
      <c r="E50" s="1083" t="s">
        <v>10142</v>
      </c>
      <c r="F50" s="1554" t="s">
        <v>10137</v>
      </c>
      <c r="G50" s="1082" t="s">
        <v>10093</v>
      </c>
      <c r="H50" s="1082" t="s">
        <v>10327</v>
      </c>
      <c r="I50" s="1083" t="s">
        <v>10329</v>
      </c>
      <c r="J50" s="1082" cm="1">
        <f t="array" ref="J50">SUMPRODUCT(--ISERROR('Datos Controles'!$A$1:$K$2205))</f>
        <v>0</v>
      </c>
      <c r="K50" s="1122"/>
    </row>
    <row r="51" spans="1:11">
      <c r="A51" s="1122"/>
      <c r="B51" s="1082">
        <v>40</v>
      </c>
      <c r="C51" s="1181" t="s">
        <v>10138</v>
      </c>
      <c r="D51" s="1181" t="s">
        <v>10143</v>
      </c>
      <c r="E51" s="1083" t="s">
        <v>10144</v>
      </c>
      <c r="F51" s="1554" t="s">
        <v>10137</v>
      </c>
      <c r="G51" s="1082" t="s">
        <v>10093</v>
      </c>
      <c r="H51" s="1082" t="s">
        <v>10327</v>
      </c>
      <c r="I51" s="1083" t="s">
        <v>10330</v>
      </c>
      <c r="J51" s="1082" cm="1">
        <f t="array" ref="J51">SUMPRODUCT(--ISERROR('Registro RDO'!$A$1:$H$3000))</f>
        <v>0</v>
      </c>
      <c r="K51" s="1122"/>
    </row>
    <row r="52" spans="1:11">
      <c r="A52" s="1122"/>
      <c r="B52" s="1082">
        <v>41</v>
      </c>
      <c r="C52" s="1181" t="s">
        <v>10138</v>
      </c>
      <c r="D52" s="1181" t="s">
        <v>10145</v>
      </c>
      <c r="E52" s="1083" t="s">
        <v>10146</v>
      </c>
      <c r="F52" s="1554" t="s">
        <v>10137</v>
      </c>
      <c r="G52" s="1082" t="s">
        <v>10093</v>
      </c>
      <c r="H52" s="1082" t="s">
        <v>10327</v>
      </c>
      <c r="I52" s="1083" t="s">
        <v>10331</v>
      </c>
      <c r="J52" s="1082" cm="1">
        <f t="array" ref="J52">SUMPRODUCT(--ISERROR('Bitácora RDO'!$A$1:$G$1154))</f>
        <v>0</v>
      </c>
      <c r="K52" s="1122"/>
    </row>
    <row r="53" spans="1:11">
      <c r="A53" s="1122"/>
      <c r="B53" s="1082">
        <v>42</v>
      </c>
      <c r="C53" s="1181" t="s">
        <v>10138</v>
      </c>
      <c r="D53" s="1181" t="s">
        <v>10147</v>
      </c>
      <c r="E53" s="1083" t="s">
        <v>10148</v>
      </c>
      <c r="F53" s="1554" t="s">
        <v>10149</v>
      </c>
      <c r="G53" s="1082" t="s">
        <v>10093</v>
      </c>
      <c r="H53" s="1082" t="s">
        <v>10327</v>
      </c>
      <c r="I53" s="1083" t="s">
        <v>10328</v>
      </c>
      <c r="J53" s="1082" cm="1">
        <f t="array" ref="J53">SUMPRODUCT(--ISERROR('Maestro Equipos'!$A$1:$I$247))</f>
        <v>0</v>
      </c>
      <c r="K53" s="1122"/>
    </row>
    <row r="54" spans="1:11">
      <c r="A54" s="1122"/>
      <c r="B54" s="1082">
        <v>43</v>
      </c>
      <c r="C54" s="1181" t="s">
        <v>10332</v>
      </c>
      <c r="D54" s="1181" t="s">
        <v>10109</v>
      </c>
      <c r="E54" s="1083" t="s">
        <v>10110</v>
      </c>
      <c r="F54" s="1554" t="s">
        <v>10333</v>
      </c>
      <c r="G54" s="1082" t="s">
        <v>10093</v>
      </c>
      <c r="H54" s="1082" t="s">
        <v>10327</v>
      </c>
      <c r="I54" s="1083" t="s">
        <v>10334</v>
      </c>
      <c r="J54" s="1082" cm="1">
        <f t="array" ref="J54">SUMPRODUCT(--ISERROR('Mapa RDO'!$A$1:$E$223))</f>
        <v>0</v>
      </c>
      <c r="K54" s="1122"/>
    </row>
    <row r="55" spans="1:11" ht="30">
      <c r="A55" s="1122"/>
      <c r="B55" s="1082">
        <v>44</v>
      </c>
      <c r="C55" s="1181" t="s">
        <v>10332</v>
      </c>
      <c r="D55" s="1181" t="s">
        <v>10111</v>
      </c>
      <c r="E55" s="1083" t="s">
        <v>10112</v>
      </c>
      <c r="F55" s="1554" t="s">
        <v>10099</v>
      </c>
      <c r="G55" s="1082" t="s">
        <v>10093</v>
      </c>
      <c r="H55" s="1082" t="s">
        <v>10327</v>
      </c>
      <c r="I55" s="1083" t="s">
        <v>10335</v>
      </c>
      <c r="J55" s="1082" cm="1">
        <f t="array" ref="J55">SUMPRODUCT(--ISERROR(Listas!$A$1:$V$36))</f>
        <v>0</v>
      </c>
      <c r="K55" s="1122"/>
    </row>
    <row r="56" spans="1:11" ht="30">
      <c r="A56" s="1122"/>
      <c r="B56" s="1082">
        <v>45</v>
      </c>
      <c r="C56" s="1181" t="s">
        <v>10332</v>
      </c>
      <c r="D56" s="1181" t="s">
        <v>10097</v>
      </c>
      <c r="E56" s="1083" t="s">
        <v>10098</v>
      </c>
      <c r="F56" s="1554" t="s">
        <v>10099</v>
      </c>
      <c r="G56" s="1082" t="s">
        <v>10093</v>
      </c>
      <c r="H56" s="1082" t="s">
        <v>10327</v>
      </c>
      <c r="I56" s="1083" t="s">
        <v>10336</v>
      </c>
      <c r="J56" s="1082" cm="1">
        <f t="array" ref="J56">SUMPRODUCT(--ISERROR(Parámetros!$A$1:$H$60))</f>
        <v>0</v>
      </c>
      <c r="K56" s="1122"/>
    </row>
    <row r="57" spans="1:11">
      <c r="A57" s="1122"/>
      <c r="B57" s="1122"/>
      <c r="C57" s="1122"/>
      <c r="D57" s="1122"/>
      <c r="E57" s="1122"/>
      <c r="F57" s="1122"/>
      <c r="G57" s="1122"/>
      <c r="H57" s="1122"/>
      <c r="I57" s="1122"/>
      <c r="J57" s="1122"/>
      <c r="K57" s="1122"/>
    </row>
    <row r="58" spans="1:11">
      <c r="A58" s="1122"/>
      <c r="B58" s="1122"/>
      <c r="C58" s="1122"/>
      <c r="D58" s="1122"/>
      <c r="E58" s="1122"/>
      <c r="F58" s="1122"/>
      <c r="G58" s="1122"/>
      <c r="H58" s="1122"/>
      <c r="I58" s="1122"/>
      <c r="J58" s="1122"/>
      <c r="K58" s="1122"/>
    </row>
    <row r="59" spans="1:11">
      <c r="A59" s="1122"/>
      <c r="B59" s="1122"/>
      <c r="C59" s="1122"/>
      <c r="D59" s="1122"/>
      <c r="E59" s="1122"/>
      <c r="F59" s="1122"/>
      <c r="G59" s="1122"/>
      <c r="H59" s="1122"/>
      <c r="I59" s="1122"/>
      <c r="J59" s="1122"/>
      <c r="K59" s="1122"/>
    </row>
    <row r="60" spans="1:11">
      <c r="A60" s="1122"/>
      <c r="B60" s="1122"/>
      <c r="C60" s="1122"/>
      <c r="D60" s="1122"/>
      <c r="E60" s="1122"/>
      <c r="F60" s="1122"/>
      <c r="G60" s="1122"/>
      <c r="H60" s="1122"/>
      <c r="I60" s="1122"/>
      <c r="J60" s="1122"/>
      <c r="K60" s="1122"/>
    </row>
    <row r="61" spans="1:11">
      <c r="A61" s="1122"/>
      <c r="B61" s="1122"/>
      <c r="C61" s="1122"/>
      <c r="D61" s="1122"/>
      <c r="E61" s="1122"/>
      <c r="F61" s="1122"/>
      <c r="G61" s="1122"/>
      <c r="H61" s="1122"/>
      <c r="I61" s="1122"/>
      <c r="J61" s="1122"/>
      <c r="K61" s="1122"/>
    </row>
    <row r="62" spans="1:11">
      <c r="A62" s="1122"/>
      <c r="B62" s="1122"/>
      <c r="C62" s="1122"/>
      <c r="D62" s="1122"/>
      <c r="E62" s="1122"/>
      <c r="F62" s="1122"/>
      <c r="G62" s="1122"/>
      <c r="H62" s="1122"/>
      <c r="I62" s="1122"/>
      <c r="J62" s="1122"/>
      <c r="K62" s="1122"/>
    </row>
    <row r="63" spans="1:11">
      <c r="A63" s="1122"/>
      <c r="B63" s="1122"/>
      <c r="C63" s="1122"/>
      <c r="D63" s="1122"/>
      <c r="E63" s="1122"/>
      <c r="F63" s="1122"/>
      <c r="G63" s="1122"/>
      <c r="H63" s="1122"/>
      <c r="I63" s="1122"/>
      <c r="J63" s="1122"/>
      <c r="K63" s="1122"/>
    </row>
    <row r="64" spans="1:11">
      <c r="A64" s="1122"/>
      <c r="B64" s="1122"/>
      <c r="C64" s="1122"/>
      <c r="D64" s="1122"/>
      <c r="E64" s="1122"/>
      <c r="F64" s="1122"/>
      <c r="G64" s="1122"/>
      <c r="H64" s="1122"/>
      <c r="I64" s="1122"/>
      <c r="J64" s="1122"/>
      <c r="K64" s="1122"/>
    </row>
    <row r="65" spans="1:11">
      <c r="A65" s="1122"/>
      <c r="B65" s="1122"/>
      <c r="C65" s="1122"/>
      <c r="D65" s="1122"/>
      <c r="E65" s="1122"/>
      <c r="F65" s="1122"/>
      <c r="G65" s="1122"/>
      <c r="H65" s="1122"/>
      <c r="I65" s="1122"/>
      <c r="J65" s="1122"/>
      <c r="K65" s="1122"/>
    </row>
    <row r="66" spans="1:11">
      <c r="A66" s="1122"/>
      <c r="B66" s="1122"/>
      <c r="C66" s="1122"/>
      <c r="D66" s="1122"/>
      <c r="E66" s="1122"/>
      <c r="F66" s="1122"/>
      <c r="G66" s="1122"/>
      <c r="H66" s="1122"/>
      <c r="I66" s="1122"/>
      <c r="J66" s="1122"/>
      <c r="K66" s="1122"/>
    </row>
    <row r="67" spans="1:11">
      <c r="A67" s="1122"/>
      <c r="B67" s="1122"/>
      <c r="C67" s="1122"/>
      <c r="D67" s="1122"/>
      <c r="E67" s="1122"/>
      <c r="F67" s="1122"/>
      <c r="G67" s="1122"/>
      <c r="H67" s="1122"/>
      <c r="I67" s="1122"/>
      <c r="J67" s="1122"/>
      <c r="K67" s="1122"/>
    </row>
    <row r="68" spans="1:11">
      <c r="A68" s="1122"/>
      <c r="B68" s="1122"/>
      <c r="C68" s="1122"/>
      <c r="D68" s="1122"/>
      <c r="E68" s="1122"/>
      <c r="F68" s="1122"/>
      <c r="G68" s="1122"/>
      <c r="H68" s="1122"/>
      <c r="I68" s="1122"/>
      <c r="J68" s="1122"/>
      <c r="K68" s="1122"/>
    </row>
    <row r="69" spans="1:11">
      <c r="A69" s="1122"/>
      <c r="B69" s="1122"/>
      <c r="C69" s="1122"/>
      <c r="D69" s="1122"/>
      <c r="E69" s="1122"/>
      <c r="F69" s="1122"/>
      <c r="G69" s="1122"/>
      <c r="H69" s="1122"/>
      <c r="I69" s="1122"/>
      <c r="J69" s="1122"/>
      <c r="K69" s="1122"/>
    </row>
    <row r="70" spans="1:11">
      <c r="A70" s="1122"/>
      <c r="B70" s="1122"/>
      <c r="C70" s="1122"/>
      <c r="D70" s="1122"/>
      <c r="E70" s="1122"/>
      <c r="F70" s="1122"/>
      <c r="G70" s="1122"/>
      <c r="H70" s="1122"/>
      <c r="I70" s="1122"/>
      <c r="J70" s="1122"/>
      <c r="K70" s="1122"/>
    </row>
    <row r="71" spans="1:11">
      <c r="A71" s="1122"/>
      <c r="B71" s="1122"/>
      <c r="C71" s="1122"/>
      <c r="D71" s="1122"/>
      <c r="E71" s="1122"/>
      <c r="F71" s="1122"/>
      <c r="G71" s="1122"/>
      <c r="H71" s="1122"/>
      <c r="I71" s="1122"/>
      <c r="J71" s="1122"/>
      <c r="K71" s="1122"/>
    </row>
    <row r="72" spans="1:11">
      <c r="A72" s="1122"/>
      <c r="B72" s="1122"/>
      <c r="C72" s="1122"/>
      <c r="D72" s="1122"/>
      <c r="E72" s="1122"/>
      <c r="F72" s="1122"/>
      <c r="G72" s="1122"/>
      <c r="H72" s="1122"/>
      <c r="I72" s="1122"/>
      <c r="J72" s="1122"/>
      <c r="K72" s="1122"/>
    </row>
    <row r="73" spans="1:11">
      <c r="A73" s="1122"/>
      <c r="B73" s="1122"/>
      <c r="C73" s="1122"/>
      <c r="D73" s="1122"/>
      <c r="E73" s="1122"/>
      <c r="F73" s="1122"/>
      <c r="G73" s="1122"/>
      <c r="H73" s="1122"/>
      <c r="I73" s="1122"/>
      <c r="J73" s="1122"/>
      <c r="K73" s="1122"/>
    </row>
    <row r="74" spans="1:11">
      <c r="A74" s="1122"/>
      <c r="B74" s="1122"/>
      <c r="C74" s="1122"/>
      <c r="D74" s="1122"/>
      <c r="E74" s="1122"/>
      <c r="F74" s="1122"/>
      <c r="G74" s="1122"/>
      <c r="H74" s="1122"/>
      <c r="I74" s="1122"/>
      <c r="J74" s="1122"/>
      <c r="K74" s="1122"/>
    </row>
    <row r="75" spans="1:11">
      <c r="A75" s="1122"/>
      <c r="B75" s="1122"/>
      <c r="C75" s="1122"/>
      <c r="D75" s="1122"/>
      <c r="E75" s="1122"/>
      <c r="F75" s="1122"/>
      <c r="G75" s="1122"/>
      <c r="H75" s="1122"/>
      <c r="I75" s="1122"/>
      <c r="J75" s="1122"/>
      <c r="K75" s="1122"/>
    </row>
    <row r="76" spans="1:11">
      <c r="A76" s="1122"/>
      <c r="B76" s="1122"/>
      <c r="C76" s="1122"/>
      <c r="D76" s="1122"/>
      <c r="E76" s="1122"/>
      <c r="F76" s="1122"/>
      <c r="G76" s="1122"/>
      <c r="H76" s="1122"/>
      <c r="I76" s="1122"/>
      <c r="J76" s="1122"/>
      <c r="K76" s="1122"/>
    </row>
    <row r="77" spans="1:11">
      <c r="A77" s="1122"/>
      <c r="B77" s="1122"/>
      <c r="C77" s="1122"/>
      <c r="D77" s="1122"/>
      <c r="E77" s="1122"/>
      <c r="F77" s="1122"/>
      <c r="G77" s="1122"/>
      <c r="H77" s="1122"/>
      <c r="I77" s="1122"/>
      <c r="J77" s="1122"/>
      <c r="K77" s="1122"/>
    </row>
    <row r="78" spans="1:11">
      <c r="A78" s="1122"/>
      <c r="B78" s="1122"/>
      <c r="C78" s="1122"/>
      <c r="D78" s="1122"/>
      <c r="E78" s="1122"/>
      <c r="F78" s="1122"/>
      <c r="G78" s="1122"/>
      <c r="H78" s="1122"/>
      <c r="I78" s="1122"/>
      <c r="J78" s="1122"/>
      <c r="K78" s="1122"/>
    </row>
    <row r="79" spans="1:11">
      <c r="A79" s="1122"/>
      <c r="B79" s="1122"/>
      <c r="C79" s="1122"/>
      <c r="D79" s="1122"/>
      <c r="E79" s="1122"/>
      <c r="F79" s="1122"/>
      <c r="G79" s="1122"/>
      <c r="H79" s="1122"/>
      <c r="I79" s="1122"/>
      <c r="J79" s="1122"/>
      <c r="K79" s="1122"/>
    </row>
    <row r="80" spans="1:11">
      <c r="A80" s="1122"/>
      <c r="B80" s="1122"/>
      <c r="C80" s="1122"/>
      <c r="D80" s="1122"/>
      <c r="E80" s="1122"/>
      <c r="F80" s="1122"/>
      <c r="G80" s="1122"/>
      <c r="H80" s="1122"/>
      <c r="I80" s="1122"/>
      <c r="J80" s="1122"/>
      <c r="K80" s="1122"/>
    </row>
    <row r="81" spans="1:11">
      <c r="A81" s="1122"/>
      <c r="B81" s="1122"/>
      <c r="C81" s="1122"/>
      <c r="D81" s="1122"/>
      <c r="E81" s="1122"/>
      <c r="F81" s="1122"/>
      <c r="G81" s="1122"/>
      <c r="H81" s="1122"/>
      <c r="I81" s="1122"/>
      <c r="J81" s="1122"/>
      <c r="K81" s="1122"/>
    </row>
    <row r="82" spans="1:11">
      <c r="A82" s="1122"/>
      <c r="B82" s="1122"/>
      <c r="C82" s="1122"/>
      <c r="D82" s="1122"/>
      <c r="E82" s="1122"/>
      <c r="F82" s="1122"/>
      <c r="G82" s="1122"/>
      <c r="H82" s="1122"/>
      <c r="I82" s="1122"/>
      <c r="J82" s="1122"/>
      <c r="K82" s="1122"/>
    </row>
    <row r="83" spans="1:11">
      <c r="A83" s="1122"/>
      <c r="B83" s="1122"/>
      <c r="C83" s="1122"/>
      <c r="D83" s="1122"/>
      <c r="E83" s="1122"/>
      <c r="F83" s="1122"/>
      <c r="G83" s="1122"/>
      <c r="H83" s="1122"/>
      <c r="I83" s="1122"/>
      <c r="J83" s="1122"/>
      <c r="K83" s="1122"/>
    </row>
    <row r="84" spans="1:11">
      <c r="A84" s="1122"/>
      <c r="B84" s="1122"/>
      <c r="C84" s="1122"/>
      <c r="D84" s="1122"/>
      <c r="E84" s="1122"/>
      <c r="F84" s="1122"/>
      <c r="G84" s="1122"/>
      <c r="H84" s="1122"/>
      <c r="I84" s="1122"/>
      <c r="J84" s="1122"/>
      <c r="K84" s="1122"/>
    </row>
    <row r="85" spans="1:11">
      <c r="A85" s="1122"/>
      <c r="B85" s="1122"/>
      <c r="C85" s="1122"/>
      <c r="D85" s="1122"/>
      <c r="E85" s="1122"/>
      <c r="F85" s="1122"/>
      <c r="G85" s="1122"/>
      <c r="H85" s="1122"/>
      <c r="I85" s="1122"/>
      <c r="J85" s="1122"/>
      <c r="K85" s="1122"/>
    </row>
    <row r="86" spans="1:11">
      <c r="A86" s="1122"/>
      <c r="B86" s="1122"/>
      <c r="C86" s="1122"/>
      <c r="D86" s="1122"/>
      <c r="E86" s="1122"/>
      <c r="F86" s="1122"/>
      <c r="G86" s="1122"/>
      <c r="H86" s="1122"/>
      <c r="I86" s="1122"/>
      <c r="J86" s="1122"/>
      <c r="K86" s="1122"/>
    </row>
    <row r="87" spans="1:11">
      <c r="A87" s="1122"/>
      <c r="B87" s="1122"/>
      <c r="C87" s="1122"/>
      <c r="D87" s="1122"/>
      <c r="E87" s="1122"/>
      <c r="F87" s="1122"/>
      <c r="G87" s="1122"/>
      <c r="H87" s="1122"/>
      <c r="I87" s="1122"/>
      <c r="J87" s="1122"/>
      <c r="K87" s="1122"/>
    </row>
    <row r="88" spans="1:11">
      <c r="A88" s="1122"/>
      <c r="B88" s="1122"/>
      <c r="C88" s="1122"/>
      <c r="D88" s="1122"/>
      <c r="E88" s="1122"/>
      <c r="F88" s="1122"/>
      <c r="G88" s="1122"/>
      <c r="H88" s="1122"/>
      <c r="I88" s="1122"/>
      <c r="J88" s="1122"/>
      <c r="K88" s="1122"/>
    </row>
    <row r="89" spans="1:11">
      <c r="A89" s="1122"/>
      <c r="B89" s="1122"/>
      <c r="C89" s="1122"/>
      <c r="D89" s="1122"/>
      <c r="E89" s="1122"/>
      <c r="F89" s="1122"/>
      <c r="G89" s="1122"/>
      <c r="H89" s="1122"/>
      <c r="I89" s="1122"/>
      <c r="J89" s="1122"/>
      <c r="K89" s="1122"/>
    </row>
    <row r="90" spans="1:11">
      <c r="A90" s="1122"/>
      <c r="B90" s="1122"/>
      <c r="C90" s="1122"/>
      <c r="D90" s="1122"/>
      <c r="E90" s="1122"/>
      <c r="F90" s="1122"/>
      <c r="G90" s="1122"/>
      <c r="H90" s="1122"/>
      <c r="I90" s="1122"/>
      <c r="J90" s="1122"/>
      <c r="K90" s="1122"/>
    </row>
    <row r="91" spans="1:11">
      <c r="A91" s="1122"/>
      <c r="B91" s="1122"/>
      <c r="C91" s="1122"/>
      <c r="D91" s="1122"/>
      <c r="E91" s="1122"/>
      <c r="F91" s="1122"/>
      <c r="G91" s="1122"/>
      <c r="H91" s="1122"/>
      <c r="I91" s="1122"/>
      <c r="J91" s="1122"/>
      <c r="K91" s="1122"/>
    </row>
    <row r="92" spans="1:11">
      <c r="A92" s="1122"/>
      <c r="B92" s="1122"/>
      <c r="C92" s="1122"/>
      <c r="D92" s="1122"/>
      <c r="E92" s="1122"/>
      <c r="F92" s="1122"/>
      <c r="G92" s="1122"/>
      <c r="H92" s="1122"/>
      <c r="I92" s="1122"/>
      <c r="J92" s="1122"/>
      <c r="K92" s="1122"/>
    </row>
    <row r="93" spans="1:11">
      <c r="A93" s="1122"/>
      <c r="B93" s="1122"/>
      <c r="C93" s="1122"/>
      <c r="D93" s="1122"/>
      <c r="E93" s="1122"/>
      <c r="F93" s="1122"/>
      <c r="G93" s="1122"/>
      <c r="H93" s="1122"/>
      <c r="I93" s="1122"/>
      <c r="J93" s="1122"/>
      <c r="K93" s="1122"/>
    </row>
    <row r="94" spans="1:11">
      <c r="A94" s="1122"/>
      <c r="B94" s="1122"/>
      <c r="C94" s="1122"/>
      <c r="D94" s="1122"/>
      <c r="E94" s="1122"/>
      <c r="F94" s="1122"/>
      <c r="G94" s="1122"/>
      <c r="H94" s="1122"/>
      <c r="I94" s="1122"/>
      <c r="J94" s="1122"/>
      <c r="K94" s="1122"/>
    </row>
    <row r="95" spans="1:11">
      <c r="A95" s="1122"/>
      <c r="B95" s="1122"/>
      <c r="C95" s="1122"/>
      <c r="D95" s="1122"/>
      <c r="E95" s="1122"/>
      <c r="F95" s="1122"/>
      <c r="G95" s="1122"/>
      <c r="H95" s="1122"/>
      <c r="I95" s="1122"/>
      <c r="J95" s="1122"/>
      <c r="K95" s="1122"/>
    </row>
    <row r="96" spans="1:11">
      <c r="A96" s="1122"/>
      <c r="B96" s="1122"/>
      <c r="C96" s="1122"/>
      <c r="D96" s="1122"/>
      <c r="E96" s="1122"/>
      <c r="F96" s="1122"/>
      <c r="G96" s="1122"/>
      <c r="H96" s="1122"/>
      <c r="I96" s="1122"/>
      <c r="J96" s="1122"/>
      <c r="K96" s="1122"/>
    </row>
    <row r="97" spans="1:11">
      <c r="A97" s="1122"/>
      <c r="B97" s="1122"/>
      <c r="C97" s="1122"/>
      <c r="D97" s="1122"/>
      <c r="E97" s="1122"/>
      <c r="F97" s="1122"/>
      <c r="G97" s="1122"/>
      <c r="H97" s="1122"/>
      <c r="I97" s="1122"/>
      <c r="J97" s="1122"/>
      <c r="K97" s="1122"/>
    </row>
    <row r="98" spans="1:11">
      <c r="A98" s="1122"/>
      <c r="B98" s="1122"/>
      <c r="C98" s="1122"/>
      <c r="D98" s="1122"/>
      <c r="E98" s="1122"/>
      <c r="F98" s="1122"/>
      <c r="G98" s="1122"/>
      <c r="H98" s="1122"/>
      <c r="I98" s="1122"/>
      <c r="J98" s="1122"/>
      <c r="K98" s="1122"/>
    </row>
    <row r="99" spans="1:11">
      <c r="A99" s="1122"/>
      <c r="B99" s="1122"/>
      <c r="C99" s="1122"/>
      <c r="D99" s="1122"/>
      <c r="E99" s="1122"/>
      <c r="F99" s="1122"/>
      <c r="G99" s="1122"/>
      <c r="H99" s="1122"/>
      <c r="I99" s="1122"/>
      <c r="J99" s="1122"/>
      <c r="K99" s="1122"/>
    </row>
    <row r="100" spans="1:11">
      <c r="A100" s="1122"/>
      <c r="B100" s="1122"/>
      <c r="C100" s="1122"/>
      <c r="D100" s="1122"/>
      <c r="E100" s="1122"/>
      <c r="F100" s="1122"/>
      <c r="G100" s="1122"/>
      <c r="H100" s="1122"/>
      <c r="I100" s="1122"/>
      <c r="J100" s="1122"/>
      <c r="K100" s="1122"/>
    </row>
    <row r="101" spans="1:11">
      <c r="A101" s="1122"/>
      <c r="B101" s="1122"/>
      <c r="C101" s="1122"/>
      <c r="D101" s="1122"/>
      <c r="E101" s="1122"/>
      <c r="F101" s="1122"/>
      <c r="G101" s="1122"/>
      <c r="H101" s="1122"/>
      <c r="I101" s="1122"/>
      <c r="J101" s="1122"/>
      <c r="K101" s="1122"/>
    </row>
    <row r="102" spans="1:11">
      <c r="A102" s="1122"/>
      <c r="B102" s="1122"/>
      <c r="C102" s="1122"/>
      <c r="D102" s="1122"/>
      <c r="E102" s="1122"/>
      <c r="F102" s="1122"/>
      <c r="G102" s="1122"/>
      <c r="H102" s="1122"/>
      <c r="I102" s="1122"/>
      <c r="J102" s="1122"/>
      <c r="K102" s="1122"/>
    </row>
    <row r="103" spans="1:11">
      <c r="A103" s="1122"/>
      <c r="B103" s="1122"/>
      <c r="C103" s="1122"/>
      <c r="D103" s="1122"/>
      <c r="E103" s="1122"/>
      <c r="F103" s="1122"/>
      <c r="G103" s="1122"/>
      <c r="H103" s="1122"/>
      <c r="I103" s="1122"/>
      <c r="J103" s="1122"/>
      <c r="K103" s="1122"/>
    </row>
    <row r="104" spans="1:11">
      <c r="A104" s="1122"/>
      <c r="B104" s="1122"/>
      <c r="C104" s="1122"/>
      <c r="D104" s="1122"/>
      <c r="E104" s="1122"/>
      <c r="F104" s="1122"/>
      <c r="G104" s="1122"/>
      <c r="H104" s="1122"/>
      <c r="I104" s="1122"/>
      <c r="J104" s="1122"/>
      <c r="K104" s="1122"/>
    </row>
    <row r="105" spans="1:11">
      <c r="A105" s="1122"/>
      <c r="B105" s="1122"/>
      <c r="C105" s="1122"/>
      <c r="D105" s="1122"/>
      <c r="E105" s="1122"/>
      <c r="F105" s="1122"/>
      <c r="G105" s="1122"/>
      <c r="H105" s="1122"/>
      <c r="I105" s="1122"/>
      <c r="J105" s="1122"/>
      <c r="K105" s="1122"/>
    </row>
    <row r="106" spans="1:11">
      <c r="A106" s="1122"/>
      <c r="B106" s="1122"/>
      <c r="C106" s="1122"/>
      <c r="D106" s="1122"/>
      <c r="E106" s="1122"/>
      <c r="F106" s="1122"/>
      <c r="G106" s="1122"/>
      <c r="H106" s="1122"/>
      <c r="I106" s="1122"/>
      <c r="J106" s="1122"/>
      <c r="K106" s="1122"/>
    </row>
    <row r="107" spans="1:11">
      <c r="A107" s="1122"/>
      <c r="B107" s="1122"/>
      <c r="C107" s="1122"/>
      <c r="D107" s="1122"/>
      <c r="E107" s="1122"/>
      <c r="F107" s="1122"/>
      <c r="G107" s="1122"/>
      <c r="H107" s="1122"/>
      <c r="I107" s="1122"/>
      <c r="J107" s="1122"/>
      <c r="K107" s="1122"/>
    </row>
    <row r="108" spans="1:11">
      <c r="A108" s="1122"/>
      <c r="B108" s="1122"/>
      <c r="C108" s="1122"/>
      <c r="D108" s="1122"/>
      <c r="E108" s="1122"/>
      <c r="F108" s="1122"/>
      <c r="G108" s="1122"/>
      <c r="H108" s="1122"/>
      <c r="I108" s="1122"/>
      <c r="J108" s="1122"/>
      <c r="K108" s="1122"/>
    </row>
    <row r="109" spans="1:11">
      <c r="A109" s="1122"/>
      <c r="B109" s="1122"/>
      <c r="C109" s="1122"/>
      <c r="D109" s="1122"/>
      <c r="E109" s="1122"/>
      <c r="F109" s="1122"/>
      <c r="G109" s="1122"/>
      <c r="H109" s="1122"/>
      <c r="I109" s="1122"/>
      <c r="J109" s="1122"/>
      <c r="K109" s="1122"/>
    </row>
    <row r="110" spans="1:11">
      <c r="A110" s="1122"/>
      <c r="B110" s="1122"/>
      <c r="C110" s="1122"/>
      <c r="D110" s="1122"/>
      <c r="E110" s="1122"/>
      <c r="F110" s="1122"/>
      <c r="G110" s="1122"/>
      <c r="H110" s="1122"/>
      <c r="I110" s="1122"/>
      <c r="J110" s="1122"/>
      <c r="K110" s="1122"/>
    </row>
  </sheetData>
  <mergeCells count="6">
    <mergeCell ref="B1:J1"/>
    <mergeCell ref="C5:D5"/>
    <mergeCell ref="F5:I5"/>
    <mergeCell ref="F6:I6"/>
    <mergeCell ref="F7:I7"/>
    <mergeCell ref="F8:I8"/>
  </mergeCells>
  <conditionalFormatting sqref="G12:G56">
    <cfRule type="containsText" dxfId="123" priority="1" operator="containsText" text="Listo">
      <formula>NOT(ISERROR(SEARCH("Listo",G12)))</formula>
    </cfRule>
  </conditionalFormatting>
  <conditionalFormatting sqref="G12:G56">
    <cfRule type="containsText" dxfId="122" priority="2" operator="containsText" text="Por">
      <formula>NOT(ISERROR(SEARCH("Por",G12)))</formula>
    </cfRule>
  </conditionalFormatting>
  <conditionalFormatting sqref="G12:G56">
    <cfRule type="containsText" dxfId="121" priority="3" operator="containsText" text="Manual">
      <formula>NOT(ISERROR(SEARCH("Manual",G12)))</formula>
    </cfRule>
  </conditionalFormatting>
  <conditionalFormatting sqref="G12:G56">
    <cfRule type="containsText" dxfId="120" priority="4" operator="containsText" text="Conservada">
      <formula>NOT(ISERROR(SEARCH("Conservada",G12)))</formula>
    </cfRule>
  </conditionalFormatting>
  <conditionalFormatting sqref="H12:H56">
    <cfRule type="containsText" dxfId="119" priority="5" operator="containsText" text="Oculta">
      <formula>NOT(ISERROR(SEARCH("Oculta",H12)))</formula>
    </cfRule>
  </conditionalFormatting>
  <conditionalFormatting sqref="J12:J56">
    <cfRule type="expression" dxfId="118" priority="6">
      <formula>AND(ISNUMBER(J12),J12&gt;0)</formula>
    </cfRule>
  </conditionalFormatting>
  <hyperlinks>
    <hyperlink ref="D12" location="'Menú'!A1" tooltip="Ir a la hoja" display="Menú" xr:uid="{435024D4-9594-4D75-B263-DB68C239253C}"/>
    <hyperlink ref="D13" location="'Léeme'!A1" tooltip="Ir a la hoja" display="Léeme" xr:uid="{C9A544F4-414E-48FD-9F71-99AD7FCC80FA}"/>
    <hyperlink ref="D14" location="'Estado del Libro'!A1" tooltip="Ir a la hoja" display="Estado del Libro" xr:uid="{73655A36-8210-4E06-81CF-90CD07302EB8}"/>
    <hyperlink ref="D15" location="'Config'!A1" tooltip="Ir a la hoja" display="Config" xr:uid="{4AD5B9FE-B7E4-45D0-B355-E12BD868756C}"/>
    <hyperlink ref="D16" location="'Captura-RDO'!A1" tooltip="Ir a la hoja" display="Captura-RDO" xr:uid="{AE1F9408-E4E2-437A-8743-7412B68CC7B4}"/>
    <hyperlink ref="D17" location="'Captura-Planta'!A1" tooltip="Ir a la hoja" display="Captura-Planta" xr:uid="{4CD6A7EB-E278-4AE7-95F9-5A74E2DBE165}"/>
    <hyperlink ref="D18" location="'Control Reactivos'!A1" tooltip="Ir a la hoja" display="Control Reactivos" xr:uid="{C40F58B3-EB4E-474C-8741-93CC99412720}"/>
    <hyperlink ref="D19" location="'Toneladas Molinos'!A1" tooltip="Ir a la hoja" display="Toneladas Molinos" xr:uid="{09E3949E-604C-4F94-BD38-CA8759B9606F}"/>
    <hyperlink ref="D20" location="'Agregado Medios'!A1" tooltip="Ir a la hoja" display="Agregado Medios" xr:uid="{B4E0EF65-D764-4837-BB60-09BF85319C23}"/>
    <hyperlink ref="D21" location="'Control Canaletas'!A1" tooltip="Ir a la hoja" display="Control Canaletas" xr:uid="{BDEDD0D1-5C06-406F-8737-5699692B39A9}"/>
    <hyperlink ref="D22" location="'Fallas y Paradas'!A1" tooltip="Ir a la hoja" display="Fallas y Paradas" xr:uid="{A58CFC28-EDA8-4077-A5D8-8C77FCA4AB42}"/>
    <hyperlink ref="D23" location="'Reporte Mantenimiento'!A1" tooltip="Ir a la hoja" display="Reporte Mantenimiento" xr:uid="{ECC3BA34-5BC0-4A4D-AAE7-CF09D0018267}"/>
    <hyperlink ref="D24" location="'Mantto Bombas'!A1" tooltip="Ir a la hoja" display="Mantto Bombas" xr:uid="{54B2D17D-C669-4EE0-9DBA-08BF71BA8EC3}"/>
    <hyperlink ref="D25" location="'BALANZAS'!A1" tooltip="Ir a la hoja" display="BALANZAS" xr:uid="{052E488E-ECCE-48BF-9FB4-071DCF7E11FC}"/>
    <hyperlink ref="D26" location="'Avisos OT'!A1" tooltip="Ir a la hoja" display="Avisos OT" xr:uid="{D0C3F6B8-43D3-45E2-9820-4B825C2ADB3C}"/>
    <hyperlink ref="D27" location="'KPI'!A1" tooltip="Ir a la hoja" display="KPI" xr:uid="{FFD4EA5C-DE1F-43C6-A6C2-09D573AE03A6}"/>
    <hyperlink ref="D28" location="'Cálculo'!A1" tooltip="Ir a la hoja" display="Cálculo" xr:uid="{DB9E270E-9CE3-4851-9F1C-CDF551841C05}"/>
    <hyperlink ref="D29" location="'embarque'!A1" tooltip="Ir a la hoja" display="embarque" xr:uid="{563C42AA-820F-484A-9A1B-C5A3EC10EA79}"/>
    <hyperlink ref="D30" location="'KPI Mes'!A1" tooltip="Ir a la hoja" display="KPI Mes" xr:uid="{37E701C8-D5F5-4D7C-891B-974963B3EB0E}"/>
    <hyperlink ref="D31" location="'Informe Mensual'!A1" tooltip="Ir a la hoja" display="Informe Mensual" xr:uid="{3B9A53F4-B362-4EF9-A382-8FEEAEF01D44}"/>
    <hyperlink ref="D32" location="'Operatividad'!A1" tooltip="Ir a la hoja" display="Operatividad" xr:uid="{27CB440A-4588-4ED3-851C-C763C5F172A6}"/>
    <hyperlink ref="D33" location="'Reporte Auto'!A1" tooltip="Ir a la hoja" display="Reporte Auto" xr:uid="{0D1B920D-DB2F-41CB-A921-B4A86E23D56E}"/>
    <hyperlink ref="D34" location="'Índice Diario'!A1" tooltip="Ir a la hoja" display="Índice Diario" xr:uid="{1042C9C8-86A7-41D3-AA81-844D571A0A0B}"/>
    <hyperlink ref="D35" location="'Vista RDO'!A1" tooltip="Ir a la hoja" display="Vista RDO" xr:uid="{ECD12294-EF6C-4A93-AF17-BAD8E7AABC42}"/>
    <hyperlink ref="D36" location="'Resumen Avisos'!A1" tooltip="Ir a la hoja" display="Resumen Avisos" xr:uid="{8102E894-EAE5-4C51-B394-8BA26B29BB3A}"/>
    <hyperlink ref="D37" location="'Control Días'!A1" tooltip="Ir a la hoja" display="Control Días" xr:uid="{1A4CFA8D-E501-41F0-81FC-C3D950ECEE38}"/>
    <hyperlink ref="D38" location="'Auditoría'!A1" tooltip="Ir a la hoja" display="Auditoría" xr:uid="{7AFE8AB2-B245-411C-901E-26F1C94B8802}"/>
    <hyperlink ref="D39" location="'Metas'!A1" tooltip="Ir a la hoja" display="Metas" xr:uid="{E20CB1D2-BEBF-45B6-8FF0-1E11B1D857B0}"/>
    <hyperlink ref="D40" location="'Catálogo'!A1" tooltip="Ir a la hoja" display="Catálogo" xr:uid="{D5B3AA00-959B-4C27-A8BC-CFEAC2C2B71A}"/>
    <hyperlink ref="D41" location="'Catálogo Controles'!A1" tooltip="Ir a la hoja" display="Catálogo Controles" xr:uid="{E8C19C4F-D561-453B-B978-900FD084B7DA}"/>
    <hyperlink ref="D42" location="'INSPECCION DE CICLONES'!A1" tooltip="Ir a la hoja" display="INSPECCION DE CICLONES" xr:uid="{7DE252B0-E50A-433E-A2B6-B2885FC68EF6}"/>
    <hyperlink ref="D43" location="'SOLPED FORROS RM-BM'!A1" tooltip="Ir a la hoja" display="SOLPED FORROS RM-BM" xr:uid="{0CD7B6EB-2F3E-4BDB-800E-8E8ECC17A49A}"/>
    <hyperlink ref="D44" location="'RTM-TRITURACION'!A1" tooltip="Ir a la hoja" display="RTM-TRITURACION" xr:uid="{1B97C719-08EF-44D4-A7DD-0DDB99025B1A}"/>
    <hyperlink ref="D45" location="'RTM-MAGNETICA'!A1" tooltip="Ir a la hoja" display="RTM-MAGNETICA" xr:uid="{7848E715-6694-40A3-8404-A548F648EB7C}"/>
    <hyperlink ref="D46" location="'RTM-FILTROS'!A1" tooltip="Ir a la hoja" display="RTM-FILTROS" xr:uid="{396AF541-CDD3-4316-9550-48FBD3FE6990}"/>
    <hyperlink ref="D47" location="'RTM-RELAVES'!A1" tooltip="Ir a la hoja" display="RTM-RELAVES" xr:uid="{514F8A93-D039-4CE9-B128-B76F5FD473D8}"/>
    <hyperlink ref="D48" location="'RTM-EMBARQUE'!A1" tooltip="Ir a la hoja" display="RTM-EMBARQUE" xr:uid="{76988201-C6B5-4056-A700-D2F99E6212A2}"/>
  </hyperlinks>
  <pageMargins left="0.7" right="0.7" top="0.75" bottom="0.75" header="0.3" footer="0.3"/>
  <pageSetup paperSize="9" scale="44" fitToHeight="0" orientation="landscape" r:id="rId1"/>
  <headerFooter>
    <oddFooter>&amp;CShougang Hierro Perú S.A.A. — Beneficio ZA — Estado del Libro — Página &amp;P de &amp;F</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F35CF-6657-40D6-8300-DBAB2706D71D}">
  <sheetPr codeName="Hoja9">
    <tabColor rgb="FF7F7F7F"/>
    <pageSetUpPr fitToPage="1"/>
  </sheetPr>
  <dimension ref="B1:D24"/>
  <sheetViews>
    <sheetView showGridLines="0" tabSelected="1" workbookViewId="0">
      <selection activeCell="C38" sqref="C38"/>
    </sheetView>
  </sheetViews>
  <sheetFormatPr baseColWidth="10" defaultRowHeight="15"/>
  <cols>
    <col min="1" max="1" width="2.85546875" customWidth="1"/>
    <col min="2" max="2" width="49.5703125" customWidth="1"/>
    <col min="3" max="3" width="24.7109375" customWidth="1"/>
    <col min="4" max="4" width="81.85546875" customWidth="1"/>
  </cols>
  <sheetData>
    <row r="1" spans="2:4" ht="18.75">
      <c r="B1" s="948" t="s">
        <v>9239</v>
      </c>
    </row>
    <row r="2" spans="2:4">
      <c r="B2" s="949" t="s">
        <v>9240</v>
      </c>
    </row>
    <row r="4" spans="2:4" s="935" customFormat="1" ht="15.75">
      <c r="B4" s="950" t="s">
        <v>9831</v>
      </c>
      <c r="C4"/>
      <c r="D4"/>
    </row>
    <row r="5" spans="2:4" s="935" customFormat="1" ht="15.75">
      <c r="B5" s="980" t="s">
        <v>74</v>
      </c>
      <c r="C5" s="1030" t="s">
        <v>58</v>
      </c>
      <c r="D5" s="949" t="s">
        <v>9834</v>
      </c>
    </row>
    <row r="6" spans="2:4" s="935" customFormat="1" ht="15.75">
      <c r="B6" s="980" t="s">
        <v>9832</v>
      </c>
      <c r="C6" s="1030">
        <v>2026</v>
      </c>
      <c r="D6" s="949" t="s">
        <v>9835</v>
      </c>
    </row>
    <row r="7" spans="2:4" s="935" customFormat="1">
      <c r="B7" s="980" t="s">
        <v>9833</v>
      </c>
      <c r="C7" s="1031" t="str" cm="1">
        <f t="array" ref="C7">INDEX(MESES,MONTH(C11))&amp;" "&amp;YEAR(C11)&amp;" · "&amp;C13&amp;" días"</f>
        <v>Setiembre 2026 · 30 días</v>
      </c>
      <c r="D7" s="949" t="s">
        <v>9836</v>
      </c>
    </row>
    <row r="8" spans="2:4" s="935" customFormat="1">
      <c r="B8"/>
      <c r="C8"/>
      <c r="D8"/>
    </row>
    <row r="9" spans="2:4" ht="15.75">
      <c r="B9" s="950" t="s">
        <v>9241</v>
      </c>
    </row>
    <row r="10" spans="2:4">
      <c r="B10" s="951" t="s">
        <v>2407</v>
      </c>
      <c r="C10" s="951" t="s">
        <v>2408</v>
      </c>
      <c r="D10" s="951" t="s">
        <v>2435</v>
      </c>
    </row>
    <row r="11" spans="2:4">
      <c r="B11" t="s">
        <v>9837</v>
      </c>
      <c r="C11" s="1032">
        <f>DATE($C$6,MATCH($C$5,MESES,0),1)</f>
        <v>46266</v>
      </c>
      <c r="D11" s="949" t="s">
        <v>9838</v>
      </c>
    </row>
    <row r="12" spans="2:4">
      <c r="B12" t="s">
        <v>9242</v>
      </c>
      <c r="C12" s="212" t="str" cm="1">
        <f t="array" ref="C12">INDEX(MESES,MONTH(C11))&amp;" "&amp;YEAR(C11)</f>
        <v>Setiembre 2026</v>
      </c>
      <c r="D12" s="949" t="s">
        <v>9248</v>
      </c>
    </row>
    <row r="13" spans="2:4">
      <c r="B13" t="s">
        <v>2447</v>
      </c>
      <c r="C13" s="212">
        <f>DAY(EOMONTH(C11,0))</f>
        <v>30</v>
      </c>
      <c r="D13" s="949" t="s">
        <v>9249</v>
      </c>
    </row>
    <row r="14" spans="2:4">
      <c r="B14" t="s">
        <v>9243</v>
      </c>
      <c r="C14" s="956">
        <f>EOMONTH(C11,0)</f>
        <v>46295</v>
      </c>
      <c r="D14" s="949" t="s">
        <v>9248</v>
      </c>
    </row>
    <row r="15" spans="2:4">
      <c r="B15" t="s">
        <v>9244</v>
      </c>
      <c r="C15" s="957">
        <v>0.375</v>
      </c>
      <c r="D15" s="949" t="s">
        <v>9250</v>
      </c>
    </row>
    <row r="16" spans="2:4">
      <c r="B16" t="s">
        <v>9245</v>
      </c>
      <c r="C16" s="958">
        <v>24</v>
      </c>
      <c r="D16" s="949" t="s">
        <v>9251</v>
      </c>
    </row>
    <row r="17" spans="2:4">
      <c r="B17" t="s">
        <v>9246</v>
      </c>
      <c r="C17" s="958"/>
      <c r="D17" s="949" t="s">
        <v>9252</v>
      </c>
    </row>
    <row r="18" spans="2:4">
      <c r="B18" t="s">
        <v>9247</v>
      </c>
      <c r="C18" s="958">
        <v>1</v>
      </c>
      <c r="D18" s="949" t="s">
        <v>9253</v>
      </c>
    </row>
    <row r="20" spans="2:4" ht="15.75">
      <c r="B20" s="950" t="s">
        <v>9397</v>
      </c>
    </row>
    <row r="21" spans="2:4">
      <c r="B21" s="962" t="s">
        <v>2407</v>
      </c>
      <c r="C21" s="987" t="s">
        <v>2408</v>
      </c>
      <c r="D21" s="963" t="s">
        <v>2435</v>
      </c>
    </row>
    <row r="22" spans="2:4">
      <c r="B22" t="s">
        <v>9398</v>
      </c>
      <c r="C22" s="958" t="s">
        <v>1375</v>
      </c>
      <c r="D22" s="949" t="s">
        <v>9399</v>
      </c>
    </row>
    <row r="23" spans="2:4">
      <c r="B23" t="s">
        <v>9400</v>
      </c>
      <c r="C23" s="958" t="s">
        <v>1385</v>
      </c>
      <c r="D23" s="949" t="s">
        <v>9401</v>
      </c>
    </row>
    <row r="24" spans="2:4">
      <c r="B24" t="s">
        <v>9402</v>
      </c>
      <c r="C24" s="958" t="s">
        <v>528</v>
      </c>
      <c r="D24" s="949" t="s">
        <v>9403</v>
      </c>
    </row>
  </sheetData>
  <dataValidations count="2">
    <dataValidation type="list" allowBlank="1" showInputMessage="1" showErrorMessage="1" errorTitle="Mes no válido" error="Elija un mes de la lista." sqref="C5" xr:uid="{E3871337-0DD8-4D75-BB32-87F7C82AEFE7}">
      <formula1>MESES</formula1>
    </dataValidation>
    <dataValidation type="list" allowBlank="1" showInputMessage="1" showErrorMessage="1" errorTitle="Año no válido" error="Elija un año de la lista (se puede ampliar en Listas!S5:S14)." sqref="C6" xr:uid="{7304C515-47C4-45A4-A76A-9E95F465634F}">
      <formula1>L_ANIOS</formula1>
    </dataValidation>
  </dataValidations>
  <printOptions horizontalCentered="1"/>
  <pageMargins left="0.5" right="0.5" top="0.61111111111111116" bottom="0.61111111111111116" header="0.3" footer="0.3"/>
  <pageSetup paperSize="0" scale="0" fitToHeight="0" orientation="portrait" horizontalDpi="0" verticalDpi="0" copies="0"/>
  <headerFooter>
    <oddHeader>&amp;Z&amp;R</oddHeader>
    <oddFooter>&amp;CShougang Hierro Perú S.A.A. — Beneficio ZA — Config — Página &amp;P de &amp;F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7E428-554A-497B-9F3C-F58CC59B67E5}">
  <sheetPr codeName="Hoja206">
    <tabColor rgb="FF548235"/>
    <pageSetUpPr fitToPage="1"/>
  </sheetPr>
  <dimension ref="B1:L1084"/>
  <sheetViews>
    <sheetView showGridLines="0" topLeftCell="B22" zoomScale="70" zoomScaleNormal="70" workbookViewId="0">
      <selection activeCell="F4" sqref="F4"/>
    </sheetView>
  </sheetViews>
  <sheetFormatPr baseColWidth="10" defaultColWidth="14.42578125" defaultRowHeight="15" customHeight="1"/>
  <cols>
    <col min="1" max="1" width="11.42578125" style="935" customWidth="1"/>
    <col min="2" max="2" width="30.85546875" style="935" customWidth="1"/>
    <col min="3" max="5" width="30.7109375" style="935" customWidth="1"/>
    <col min="6" max="6" width="35.28515625" style="935" bestFit="1" customWidth="1"/>
    <col min="7" max="9" width="30.7109375" style="935" customWidth="1"/>
    <col min="10" max="10" width="14.42578125" style="935"/>
    <col min="11" max="11" width="28.5703125" style="935" customWidth="1"/>
    <col min="12" max="12" width="17.140625" style="935" customWidth="1"/>
    <col min="13" max="16384" width="14.42578125" style="935"/>
  </cols>
  <sheetData>
    <row r="1" spans="2:12" ht="22.5" customHeight="1">
      <c r="B1" s="1223" t="s">
        <v>1372</v>
      </c>
      <c r="C1" s="1223"/>
      <c r="D1" s="1223"/>
      <c r="E1" s="1223"/>
      <c r="F1" s="1223"/>
      <c r="G1" s="1223"/>
      <c r="H1" s="1223"/>
      <c r="I1" s="1223"/>
    </row>
    <row r="2" spans="2:12" ht="14.25" customHeight="1">
      <c r="D2" s="1" t="s">
        <v>1373</v>
      </c>
      <c r="E2" s="1008">
        <v>46283</v>
      </c>
      <c r="F2" s="293"/>
    </row>
    <row r="3" spans="2:12" ht="14.25" customHeight="1">
      <c r="C3" s="77"/>
      <c r="D3" s="1"/>
      <c r="E3" s="2"/>
      <c r="F3" s="293"/>
    </row>
    <row r="4" spans="2:12" ht="14.25" customHeight="1">
      <c r="C4" s="77"/>
      <c r="D4" s="1"/>
      <c r="E4" s="2"/>
      <c r="F4" s="331"/>
    </row>
    <row r="5" spans="2:12" ht="14.25" customHeight="1">
      <c r="E5" s="935" t="s">
        <v>453</v>
      </c>
      <c r="F5" s="332"/>
    </row>
    <row r="6" spans="2:12" ht="14.25" customHeight="1">
      <c r="B6" s="3" t="s">
        <v>1374</v>
      </c>
      <c r="C6" s="4" t="s">
        <v>526</v>
      </c>
      <c r="D6" s="4" t="s">
        <v>527</v>
      </c>
      <c r="E6" s="4" t="s">
        <v>528</v>
      </c>
      <c r="F6" s="332"/>
      <c r="G6" s="4" t="s">
        <v>526</v>
      </c>
      <c r="H6" s="4" t="s">
        <v>527</v>
      </c>
      <c r="I6" s="4" t="s">
        <v>528</v>
      </c>
    </row>
    <row r="7" spans="2:12" ht="14.25" customHeight="1">
      <c r="B7" s="1224" t="s">
        <v>1375</v>
      </c>
      <c r="C7" s="1224"/>
      <c r="D7" s="1224"/>
      <c r="E7" s="1224"/>
      <c r="F7" s="1224" t="s">
        <v>1376</v>
      </c>
      <c r="G7" s="1224"/>
      <c r="H7" s="1224"/>
      <c r="I7" s="1224"/>
    </row>
    <row r="8" spans="2:12" ht="14.25" customHeight="1">
      <c r="B8" s="80" t="s">
        <v>1377</v>
      </c>
      <c r="C8" s="114" t="s">
        <v>2030</v>
      </c>
      <c r="D8" s="114" t="s">
        <v>1378</v>
      </c>
      <c r="E8" s="114" t="s">
        <v>1378</v>
      </c>
      <c r="F8" s="12" t="s">
        <v>1379</v>
      </c>
      <c r="G8" s="7"/>
      <c r="H8" s="8"/>
      <c r="I8" s="8"/>
    </row>
    <row r="9" spans="2:12" ht="14.25" customHeight="1">
      <c r="B9" s="5" t="s">
        <v>1380</v>
      </c>
      <c r="C9" s="110"/>
      <c r="D9" s="110">
        <v>9</v>
      </c>
      <c r="E9" s="110" t="s">
        <v>2031</v>
      </c>
      <c r="F9" s="12" t="s">
        <v>1383</v>
      </c>
      <c r="G9" s="76">
        <v>0</v>
      </c>
      <c r="H9" s="76">
        <v>0</v>
      </c>
      <c r="I9" s="76">
        <v>0</v>
      </c>
      <c r="K9" s="1011" t="s">
        <v>9821</v>
      </c>
    </row>
    <row r="10" spans="2:12" ht="14.25" customHeight="1">
      <c r="B10" s="9" t="s">
        <v>54</v>
      </c>
      <c r="C10" s="115"/>
      <c r="D10" s="115"/>
      <c r="E10" s="115"/>
      <c r="F10" s="12" t="s">
        <v>1384</v>
      </c>
      <c r="G10" s="757">
        <v>0.4</v>
      </c>
      <c r="H10" s="757">
        <v>0.42</v>
      </c>
      <c r="I10" s="757">
        <v>0.4</v>
      </c>
      <c r="K10" s="1009" t="s">
        <v>9254</v>
      </c>
      <c r="L10" s="1010" t="str">
        <f>IFERROR(INDEX(tblDias[Estado],MATCH(E2,tblDias[Fecha],0)),"Sin registro")</f>
        <v>Abierto</v>
      </c>
    </row>
    <row r="11" spans="2:12" ht="14.25" customHeight="1">
      <c r="B11" s="1225" t="s">
        <v>1385</v>
      </c>
      <c r="C11" s="1226">
        <v>1150</v>
      </c>
      <c r="D11" s="1226">
        <v>1811</v>
      </c>
      <c r="E11" s="1226">
        <v>5191</v>
      </c>
      <c r="F11" s="5" t="s">
        <v>1386</v>
      </c>
      <c r="G11" s="757">
        <v>0.5</v>
      </c>
      <c r="H11" s="757">
        <v>0.4</v>
      </c>
      <c r="I11" s="757">
        <v>0.38</v>
      </c>
      <c r="K11" s="1009" t="s">
        <v>9818</v>
      </c>
      <c r="L11" s="1010">
        <f>IF(ISNUMBER(E2),COUNTIFS(tblRDO[Fecha],E2),0)</f>
        <v>219</v>
      </c>
    </row>
    <row r="12" spans="2:12" ht="14.25" customHeight="1">
      <c r="B12" s="1225"/>
      <c r="C12" s="1226"/>
      <c r="D12" s="1226"/>
      <c r="E12" s="1226"/>
      <c r="F12" s="5" t="s">
        <v>1387</v>
      </c>
      <c r="G12" s="228">
        <v>8.6</v>
      </c>
      <c r="H12" s="228">
        <v>8.1</v>
      </c>
      <c r="I12" s="228"/>
      <c r="K12" s="1009" t="s">
        <v>9819</v>
      </c>
      <c r="L12" s="1010">
        <f>IF(ISNUMBER(E2),COUNTIFS(tblBitacora[Fecha],E2),0)</f>
        <v>52</v>
      </c>
    </row>
    <row r="13" spans="2:12" ht="14.25" customHeight="1">
      <c r="B13" s="5" t="s">
        <v>1388</v>
      </c>
      <c r="C13" s="7"/>
      <c r="D13" s="7"/>
      <c r="E13" s="7"/>
      <c r="F13" s="5" t="s">
        <v>1389</v>
      </c>
      <c r="G13" s="228">
        <v>62.9</v>
      </c>
      <c r="H13" s="228">
        <v>66.5</v>
      </c>
      <c r="I13" s="228"/>
      <c r="K13" s="1009" t="s">
        <v>9820</v>
      </c>
      <c r="L13" s="1010" t="str" cm="1">
        <f t="array" ref="L13">IF(ISNUMBER(E2),IFERROR(INDEX(tblAuditoria[Usuario],MATCH(1,INDEX((tblAuditoria[Tabla]="tblRDO")*(tblAuditoria[Clave (fecha)]=TEXT(DAY(E2),"00")&amp;"/"&amp;TEXT(MONTH(E2),"00")&amp;"/"&amp;YEAR(E2)),0),0)),""),"")</f>
        <v/>
      </c>
    </row>
    <row r="14" spans="2:12" ht="14.25" customHeight="1">
      <c r="B14" s="6">
        <v>1</v>
      </c>
      <c r="C14" s="6">
        <v>4</v>
      </c>
      <c r="D14" s="6">
        <v>1</v>
      </c>
      <c r="E14" s="6">
        <v>4</v>
      </c>
      <c r="F14" s="5" t="s">
        <v>1390</v>
      </c>
      <c r="G14" s="111">
        <v>1.7700000000000001E-3</v>
      </c>
      <c r="H14" s="111">
        <v>1.5100000000000001E-3</v>
      </c>
      <c r="I14" s="111"/>
    </row>
    <row r="15" spans="2:12" ht="14.25" customHeight="1">
      <c r="B15" s="6">
        <v>2</v>
      </c>
      <c r="C15" s="6">
        <v>4</v>
      </c>
      <c r="D15" s="6">
        <v>1</v>
      </c>
      <c r="E15" s="6">
        <v>5</v>
      </c>
      <c r="F15" s="1227"/>
      <c r="G15" s="1227"/>
      <c r="H15" s="1227"/>
      <c r="I15" s="11">
        <f>+G16+H16+I16</f>
        <v>5752</v>
      </c>
    </row>
    <row r="16" spans="2:12" ht="14.25" customHeight="1">
      <c r="B16" s="6">
        <v>3</v>
      </c>
      <c r="C16" s="6">
        <v>2</v>
      </c>
      <c r="D16" s="6">
        <v>1</v>
      </c>
      <c r="E16" s="6">
        <v>1</v>
      </c>
      <c r="F16" s="3" t="s">
        <v>1392</v>
      </c>
      <c r="G16" s="13">
        <v>5752</v>
      </c>
      <c r="H16" s="13"/>
      <c r="I16" s="10"/>
    </row>
    <row r="17" spans="2:9" ht="14.25" customHeight="1">
      <c r="B17" s="6">
        <v>4</v>
      </c>
      <c r="C17" s="6">
        <v>4</v>
      </c>
      <c r="D17" s="6">
        <v>1</v>
      </c>
      <c r="E17" s="6">
        <v>4</v>
      </c>
      <c r="F17" s="1224"/>
      <c r="G17" s="1224"/>
      <c r="H17" s="1224"/>
      <c r="I17" s="1224"/>
    </row>
    <row r="18" spans="2:9" ht="14.25" customHeight="1">
      <c r="B18" s="6">
        <v>5</v>
      </c>
      <c r="C18" s="6">
        <v>4</v>
      </c>
      <c r="D18" s="6">
        <v>1</v>
      </c>
      <c r="E18" s="6">
        <v>4</v>
      </c>
      <c r="F18" s="5" t="s">
        <v>1394</v>
      </c>
      <c r="G18" s="1015" t="s">
        <v>2032</v>
      </c>
      <c r="H18" s="1015" t="s">
        <v>2033</v>
      </c>
      <c r="I18" s="1016" t="s">
        <v>2034</v>
      </c>
    </row>
    <row r="19" spans="2:9" ht="14.25" customHeight="1">
      <c r="B19" s="6">
        <v>6</v>
      </c>
      <c r="C19" s="6">
        <v>3</v>
      </c>
      <c r="D19" s="6">
        <v>1</v>
      </c>
      <c r="E19" s="6">
        <v>5</v>
      </c>
      <c r="F19" s="5" t="s">
        <v>1398</v>
      </c>
      <c r="G19" s="228">
        <v>11</v>
      </c>
      <c r="H19" s="228">
        <v>11</v>
      </c>
      <c r="I19" s="228">
        <v>11</v>
      </c>
    </row>
    <row r="20" spans="2:9" ht="14.25" customHeight="1">
      <c r="B20" s="6">
        <v>7</v>
      </c>
      <c r="C20" s="6">
        <v>1</v>
      </c>
      <c r="D20" s="6">
        <v>1</v>
      </c>
      <c r="E20" s="6">
        <v>1</v>
      </c>
      <c r="F20" s="5" t="s">
        <v>1399</v>
      </c>
      <c r="G20" s="228">
        <v>12</v>
      </c>
      <c r="H20" s="228">
        <v>12</v>
      </c>
      <c r="I20" s="228">
        <v>12</v>
      </c>
    </row>
    <row r="21" spans="2:9" ht="14.25" customHeight="1">
      <c r="B21" s="6">
        <v>8</v>
      </c>
      <c r="C21" s="6">
        <v>2</v>
      </c>
      <c r="D21" s="6">
        <v>2</v>
      </c>
      <c r="E21" s="6">
        <v>4</v>
      </c>
      <c r="F21" s="5" t="s">
        <v>1400</v>
      </c>
      <c r="G21" s="228">
        <v>16</v>
      </c>
      <c r="H21" s="228">
        <v>16</v>
      </c>
      <c r="I21" s="228">
        <v>16</v>
      </c>
    </row>
    <row r="22" spans="2:9" ht="14.25" customHeight="1">
      <c r="B22" s="6">
        <v>9</v>
      </c>
      <c r="C22" s="6">
        <v>3</v>
      </c>
      <c r="D22" s="6">
        <v>1</v>
      </c>
      <c r="E22" s="6">
        <v>5</v>
      </c>
      <c r="F22" s="5" t="s">
        <v>1401</v>
      </c>
      <c r="G22" s="228">
        <v>7.82</v>
      </c>
      <c r="H22" s="228">
        <v>6.9</v>
      </c>
      <c r="I22" s="228">
        <v>6.72</v>
      </c>
    </row>
    <row r="23" spans="2:9" ht="20.25" customHeight="1">
      <c r="B23" s="1225" t="s">
        <v>336</v>
      </c>
      <c r="C23" s="1228" t="s">
        <v>1583</v>
      </c>
      <c r="D23" s="1228" t="s">
        <v>1583</v>
      </c>
      <c r="E23" s="1228" t="s">
        <v>1583</v>
      </c>
      <c r="F23" s="12" t="s">
        <v>1403</v>
      </c>
      <c r="G23" s="228">
        <v>672</v>
      </c>
      <c r="H23" s="228">
        <v>720</v>
      </c>
      <c r="I23" s="228">
        <v>655</v>
      </c>
    </row>
    <row r="24" spans="2:9" ht="14.25" customHeight="1">
      <c r="B24" s="1225"/>
      <c r="C24" s="1228"/>
      <c r="D24" s="1228"/>
      <c r="E24" s="1228"/>
      <c r="F24" s="5" t="s">
        <v>1404</v>
      </c>
      <c r="G24" s="228">
        <v>4.9000000000000004</v>
      </c>
      <c r="H24" s="228">
        <v>4.4400000000000004</v>
      </c>
      <c r="I24" s="228">
        <v>3.8</v>
      </c>
    </row>
    <row r="25" spans="2:9" ht="27.75" customHeight="1">
      <c r="B25" s="6" t="s">
        <v>1405</v>
      </c>
      <c r="C25" s="941" t="s">
        <v>1406</v>
      </c>
      <c r="D25" s="941" t="s">
        <v>1406</v>
      </c>
      <c r="E25" s="941" t="s">
        <v>1406</v>
      </c>
      <c r="F25" s="5" t="s">
        <v>1407</v>
      </c>
      <c r="G25" s="228">
        <v>360</v>
      </c>
      <c r="H25" s="228">
        <v>360</v>
      </c>
      <c r="I25" s="228">
        <v>380</v>
      </c>
    </row>
    <row r="26" spans="2:9" ht="14.25" customHeight="1">
      <c r="B26" s="6"/>
      <c r="C26" s="272"/>
      <c r="D26" s="941"/>
      <c r="E26" s="6"/>
      <c r="F26" s="5" t="s">
        <v>1408</v>
      </c>
      <c r="G26" s="758">
        <v>980</v>
      </c>
      <c r="H26" s="758">
        <v>990</v>
      </c>
      <c r="I26" s="758">
        <v>937</v>
      </c>
    </row>
    <row r="27" spans="2:9" ht="14.25" customHeight="1">
      <c r="B27" s="940" t="s">
        <v>1409</v>
      </c>
      <c r="C27" s="940"/>
      <c r="D27" s="166"/>
      <c r="E27" s="127"/>
      <c r="F27" s="115" t="s">
        <v>1410</v>
      </c>
      <c r="G27" s="115"/>
      <c r="H27" s="6"/>
      <c r="I27" s="6"/>
    </row>
    <row r="28" spans="2:9" ht="14.25" customHeight="1">
      <c r="B28" s="14" t="s">
        <v>1411</v>
      </c>
      <c r="C28" s="127"/>
      <c r="D28" s="127"/>
      <c r="E28" s="127"/>
      <c r="F28" s="3" t="s">
        <v>1412</v>
      </c>
      <c r="G28" s="5"/>
    </row>
    <row r="29" spans="2:9" ht="14.25" customHeight="1">
      <c r="B29" s="14" t="s">
        <v>1413</v>
      </c>
      <c r="C29" s="1013" t="s">
        <v>1743</v>
      </c>
      <c r="D29" s="1013" t="s">
        <v>2035</v>
      </c>
      <c r="E29" s="1013" t="s">
        <v>2035</v>
      </c>
      <c r="F29" s="3" t="s">
        <v>1417</v>
      </c>
      <c r="G29" s="6" t="s">
        <v>1418</v>
      </c>
      <c r="H29" s="6" t="s">
        <v>1418</v>
      </c>
      <c r="I29" s="6" t="s">
        <v>1418</v>
      </c>
    </row>
    <row r="30" spans="2:9" ht="14.25" customHeight="1">
      <c r="B30" s="14" t="s">
        <v>1420</v>
      </c>
      <c r="C30" s="1014" t="s">
        <v>1876</v>
      </c>
      <c r="D30" s="1014" t="s">
        <v>2036</v>
      </c>
      <c r="E30" s="1014" t="s">
        <v>2036</v>
      </c>
      <c r="F30" s="3" t="s">
        <v>1423</v>
      </c>
      <c r="G30" s="6">
        <v>117</v>
      </c>
      <c r="H30" s="6">
        <v>110</v>
      </c>
      <c r="I30" s="6">
        <v>110</v>
      </c>
    </row>
    <row r="31" spans="2:9" ht="14.25" customHeight="1">
      <c r="B31" s="14" t="s">
        <v>1424</v>
      </c>
      <c r="C31" s="5"/>
      <c r="D31" s="78"/>
      <c r="E31" s="78"/>
      <c r="F31" s="3" t="s">
        <v>1425</v>
      </c>
      <c r="G31" s="6">
        <v>2595</v>
      </c>
      <c r="H31" s="6">
        <v>2840</v>
      </c>
      <c r="I31" s="6">
        <v>2886</v>
      </c>
    </row>
    <row r="32" spans="2:9" ht="14.25" customHeight="1">
      <c r="B32" s="14"/>
      <c r="C32" s="5"/>
      <c r="D32" s="5"/>
      <c r="E32" s="5"/>
      <c r="F32" s="3" t="s">
        <v>1426</v>
      </c>
      <c r="G32" s="1012" t="s">
        <v>1427</v>
      </c>
      <c r="H32" s="1012" t="s">
        <v>1427</v>
      </c>
      <c r="I32" s="1012" t="s">
        <v>1427</v>
      </c>
    </row>
    <row r="33" spans="2:9" ht="14.25" customHeight="1">
      <c r="B33" s="14"/>
      <c r="C33" s="5"/>
      <c r="D33" s="5"/>
      <c r="E33" s="5"/>
      <c r="F33" s="9" t="s">
        <v>1428</v>
      </c>
      <c r="G33" s="6">
        <v>1.7</v>
      </c>
      <c r="H33" s="6">
        <v>3.3</v>
      </c>
      <c r="I33" s="6">
        <v>3.1</v>
      </c>
    </row>
    <row r="34" spans="2:9" ht="14.25" customHeight="1">
      <c r="B34" s="14"/>
      <c r="C34" s="5"/>
      <c r="D34" s="5"/>
      <c r="E34" s="5"/>
      <c r="F34" s="3" t="s">
        <v>1429</v>
      </c>
      <c r="G34" s="5"/>
      <c r="H34" s="5"/>
      <c r="I34" s="5"/>
    </row>
    <row r="35" spans="2:9" ht="14.25" customHeight="1">
      <c r="B35" s="14"/>
      <c r="C35" s="5"/>
      <c r="D35" s="5"/>
      <c r="E35" s="5"/>
      <c r="F35" s="3" t="s">
        <v>1417</v>
      </c>
      <c r="G35" s="6" t="s">
        <v>1627</v>
      </c>
      <c r="H35" s="6" t="s">
        <v>1430</v>
      </c>
      <c r="I35" s="6" t="s">
        <v>1430</v>
      </c>
    </row>
    <row r="36" spans="2:9" ht="14.25" customHeight="1">
      <c r="B36" s="14"/>
      <c r="C36" s="5"/>
      <c r="D36" s="5"/>
      <c r="E36" s="5"/>
      <c r="F36" s="3" t="s">
        <v>1423</v>
      </c>
      <c r="G36" s="6">
        <v>114</v>
      </c>
      <c r="H36" s="6">
        <v>97</v>
      </c>
      <c r="I36" s="6">
        <v>99</v>
      </c>
    </row>
    <row r="37" spans="2:9" ht="14.25" customHeight="1">
      <c r="B37" s="14" t="s">
        <v>1431</v>
      </c>
      <c r="C37" s="5"/>
      <c r="D37" s="5"/>
      <c r="E37" s="5"/>
      <c r="F37" s="3" t="s">
        <v>1425</v>
      </c>
      <c r="G37" s="6">
        <v>2710</v>
      </c>
      <c r="H37" s="6">
        <v>2715</v>
      </c>
      <c r="I37" s="6">
        <v>2785</v>
      </c>
    </row>
    <row r="38" spans="2:9" ht="14.25" customHeight="1">
      <c r="B38" s="5"/>
      <c r="C38" s="5"/>
      <c r="D38" s="5"/>
      <c r="E38" s="5"/>
      <c r="F38" s="3" t="s">
        <v>1426</v>
      </c>
      <c r="G38" s="1012" t="s">
        <v>1663</v>
      </c>
      <c r="H38" s="1012" t="s">
        <v>1432</v>
      </c>
      <c r="I38" s="1012" t="s">
        <v>1820</v>
      </c>
    </row>
    <row r="39" spans="2:9" ht="14.25" customHeight="1">
      <c r="B39" s="5"/>
      <c r="C39" s="141"/>
      <c r="D39" s="141"/>
      <c r="E39" s="141"/>
      <c r="F39" s="3" t="s">
        <v>1433</v>
      </c>
      <c r="G39" s="5"/>
      <c r="H39" s="5"/>
      <c r="I39" s="5"/>
    </row>
    <row r="40" spans="2:9" ht="14.25" customHeight="1">
      <c r="B40" s="940" t="s">
        <v>1434</v>
      </c>
      <c r="C40" s="4"/>
      <c r="D40" s="4"/>
      <c r="E40" s="4"/>
      <c r="F40" s="326" t="s">
        <v>1417</v>
      </c>
      <c r="G40" s="6" t="s">
        <v>1435</v>
      </c>
      <c r="H40" s="6" t="s">
        <v>1435</v>
      </c>
      <c r="I40" s="6" t="s">
        <v>1435</v>
      </c>
    </row>
    <row r="41" spans="2:9" ht="14.25" customHeight="1">
      <c r="B41" s="80" t="s">
        <v>42</v>
      </c>
      <c r="C41" s="847" t="s">
        <v>1862</v>
      </c>
      <c r="D41" s="847" t="s">
        <v>1975</v>
      </c>
      <c r="E41" s="847" t="s">
        <v>2037</v>
      </c>
      <c r="F41" s="326" t="s">
        <v>1417</v>
      </c>
      <c r="G41" s="6" t="s">
        <v>1419</v>
      </c>
      <c r="H41" s="6" t="s">
        <v>1419</v>
      </c>
      <c r="I41" s="6" t="s">
        <v>1419</v>
      </c>
    </row>
    <row r="42" spans="2:9" ht="14.25" customHeight="1">
      <c r="B42" s="80" t="s">
        <v>1439</v>
      </c>
      <c r="C42" s="815" t="s">
        <v>1440</v>
      </c>
      <c r="D42" s="815" t="s">
        <v>9412</v>
      </c>
      <c r="E42" s="815" t="s">
        <v>9412</v>
      </c>
      <c r="F42" s="326" t="s">
        <v>1423</v>
      </c>
      <c r="G42" s="6">
        <v>47</v>
      </c>
      <c r="H42" s="6">
        <v>37</v>
      </c>
      <c r="I42" s="6">
        <v>36</v>
      </c>
    </row>
    <row r="43" spans="2:9" ht="14.25" customHeight="1">
      <c r="B43" s="80" t="s">
        <v>43</v>
      </c>
      <c r="C43" s="1018" t="s">
        <v>1863</v>
      </c>
      <c r="D43" s="1018" t="s">
        <v>9414</v>
      </c>
      <c r="E43" s="1018" t="s">
        <v>2038</v>
      </c>
      <c r="F43" s="326" t="s">
        <v>1423</v>
      </c>
      <c r="G43" s="6">
        <v>94</v>
      </c>
      <c r="H43" s="6">
        <v>105</v>
      </c>
      <c r="I43" s="6">
        <v>107</v>
      </c>
    </row>
    <row r="44" spans="2:9">
      <c r="B44" s="37" t="s">
        <v>1441</v>
      </c>
      <c r="C44" s="1019"/>
      <c r="D44" s="1019" t="s">
        <v>9416</v>
      </c>
      <c r="E44" s="1019"/>
      <c r="F44" s="326" t="s">
        <v>1442</v>
      </c>
      <c r="G44" s="6" t="s">
        <v>1443</v>
      </c>
      <c r="H44" s="6" t="s">
        <v>1443</v>
      </c>
      <c r="I44" s="6" t="s">
        <v>1443</v>
      </c>
    </row>
    <row r="45" spans="2:9" ht="14.25" customHeight="1">
      <c r="B45" s="327" t="s">
        <v>1444</v>
      </c>
      <c r="C45" s="1020"/>
      <c r="D45" s="1020"/>
      <c r="E45" s="1018"/>
      <c r="F45" s="115" t="s">
        <v>1445</v>
      </c>
      <c r="G45" s="5"/>
      <c r="H45" s="5"/>
      <c r="I45" s="5"/>
    </row>
    <row r="46" spans="2:9" ht="14.25" customHeight="1">
      <c r="B46" s="80" t="s">
        <v>1446</v>
      </c>
      <c r="C46" s="395">
        <v>22500</v>
      </c>
      <c r="D46" s="395">
        <v>166798</v>
      </c>
      <c r="E46" s="395" t="s">
        <v>2039</v>
      </c>
      <c r="F46" s="326" t="s">
        <v>1447</v>
      </c>
      <c r="G46" s="53" t="s">
        <v>1586</v>
      </c>
      <c r="H46" s="53" t="s">
        <v>1586</v>
      </c>
      <c r="I46" s="53" t="s">
        <v>1586</v>
      </c>
    </row>
    <row r="47" spans="2:9" ht="14.25" customHeight="1">
      <c r="B47" s="80" t="s">
        <v>42</v>
      </c>
      <c r="C47" s="805"/>
      <c r="D47" s="809"/>
      <c r="E47" s="809"/>
      <c r="F47" s="330" t="s">
        <v>1423</v>
      </c>
      <c r="G47" s="329"/>
      <c r="H47" s="329"/>
      <c r="I47" s="329"/>
    </row>
    <row r="48" spans="2:9" ht="14.25" customHeight="1">
      <c r="B48" s="80" t="s">
        <v>1439</v>
      </c>
      <c r="C48" s="6"/>
      <c r="D48" s="98"/>
      <c r="E48" s="98"/>
      <c r="F48" s="330" t="s">
        <v>1425</v>
      </c>
      <c r="G48" s="329"/>
      <c r="H48" s="329"/>
      <c r="I48" s="329"/>
    </row>
    <row r="49" spans="2:10" ht="14.25" customHeight="1">
      <c r="B49" s="80" t="s">
        <v>43</v>
      </c>
      <c r="C49" s="1021"/>
      <c r="D49" s="1018"/>
      <c r="E49" s="1018"/>
      <c r="F49" s="326" t="s">
        <v>1448</v>
      </c>
      <c r="G49" s="328">
        <v>28</v>
      </c>
      <c r="H49" s="328">
        <v>27</v>
      </c>
      <c r="I49" s="328">
        <v>27</v>
      </c>
    </row>
    <row r="50" spans="2:10" ht="14.25" customHeight="1">
      <c r="B50" s="80" t="s">
        <v>1441</v>
      </c>
      <c r="C50" s="1022"/>
      <c r="D50" s="1014"/>
      <c r="E50" s="1023"/>
      <c r="F50" s="326" t="s">
        <v>1449</v>
      </c>
      <c r="G50" s="6"/>
      <c r="H50" s="6">
        <v>27</v>
      </c>
      <c r="I50" s="6"/>
    </row>
    <row r="51" spans="2:10" ht="14.25" customHeight="1">
      <c r="B51" s="327" t="s">
        <v>1444</v>
      </c>
      <c r="C51" s="1024"/>
      <c r="D51" s="1014"/>
      <c r="E51" s="1025"/>
      <c r="F51" s="326" t="s">
        <v>1450</v>
      </c>
      <c r="G51" s="6">
        <v>18</v>
      </c>
      <c r="H51" s="6">
        <v>17</v>
      </c>
      <c r="I51" s="6">
        <v>16</v>
      </c>
    </row>
    <row r="52" spans="2:10" ht="14.25" customHeight="1">
      <c r="B52" s="5" t="s">
        <v>1446</v>
      </c>
      <c r="C52" s="848"/>
      <c r="D52" s="849"/>
      <c r="E52" s="850"/>
      <c r="F52" s="775" t="s">
        <v>1451</v>
      </c>
      <c r="G52" s="1017" t="s">
        <v>1878</v>
      </c>
      <c r="H52" s="1017" t="s">
        <v>2040</v>
      </c>
      <c r="I52" s="1017">
        <v>5</v>
      </c>
    </row>
    <row r="53" spans="2:10" ht="14.25" customHeight="1">
      <c r="B53" s="109" t="s">
        <v>1452</v>
      </c>
      <c r="C53" s="772"/>
      <c r="D53" s="773"/>
      <c r="E53" s="773"/>
      <c r="F53" s="773"/>
      <c r="G53" s="773"/>
      <c r="H53" s="773"/>
      <c r="I53" s="774"/>
    </row>
    <row r="54" spans="2:10" ht="15" customHeight="1">
      <c r="B54" s="1229" t="s">
        <v>1375</v>
      </c>
      <c r="C54" s="1231" t="s">
        <v>2041</v>
      </c>
      <c r="D54" s="1232"/>
      <c r="E54" s="1232"/>
      <c r="F54" s="1232"/>
      <c r="G54" s="1232"/>
      <c r="H54" s="1232"/>
      <c r="I54" s="1233"/>
    </row>
    <row r="55" spans="2:10" ht="22.5" customHeight="1">
      <c r="B55" s="1229"/>
      <c r="C55" s="1234"/>
      <c r="D55" s="1235"/>
      <c r="E55" s="1235"/>
      <c r="F55" s="1235"/>
      <c r="G55" s="1235"/>
      <c r="H55" s="1235"/>
      <c r="I55" s="1236"/>
    </row>
    <row r="56" spans="2:10" ht="22.5" customHeight="1">
      <c r="B56" s="1229"/>
      <c r="C56" s="1234"/>
      <c r="D56" s="1235"/>
      <c r="E56" s="1235"/>
      <c r="F56" s="1235"/>
      <c r="G56" s="1235"/>
      <c r="H56" s="1235"/>
      <c r="I56" s="1236"/>
    </row>
    <row r="57" spans="2:10" ht="22.5" customHeight="1">
      <c r="B57" s="1229"/>
      <c r="C57" s="1234"/>
      <c r="D57" s="1235"/>
      <c r="E57" s="1235"/>
      <c r="F57" s="1235"/>
      <c r="G57" s="1235"/>
      <c r="H57" s="1235"/>
      <c r="I57" s="1236"/>
    </row>
    <row r="58" spans="2:10" ht="87.75" customHeight="1">
      <c r="B58" s="1229"/>
      <c r="C58" s="1234"/>
      <c r="D58" s="1235"/>
      <c r="E58" s="1235"/>
      <c r="F58" s="1235"/>
      <c r="G58" s="1235"/>
      <c r="H58" s="1235"/>
      <c r="I58" s="1236"/>
    </row>
    <row r="59" spans="2:10" ht="54.75" customHeight="1">
      <c r="B59" s="1229"/>
      <c r="C59" s="1234"/>
      <c r="D59" s="1235"/>
      <c r="E59" s="1235"/>
      <c r="F59" s="1235"/>
      <c r="G59" s="1235"/>
      <c r="H59" s="1235"/>
      <c r="I59" s="1236"/>
    </row>
    <row r="60" spans="2:10" ht="76.5" customHeight="1">
      <c r="B60" s="1230"/>
      <c r="J60" s="1026"/>
    </row>
    <row r="61" spans="2:10" ht="25.5" customHeight="1">
      <c r="B61" s="1230" t="s">
        <v>1454</v>
      </c>
      <c r="C61" s="1239" t="s">
        <v>1879</v>
      </c>
      <c r="D61" s="1240"/>
      <c r="E61" s="1240"/>
      <c r="F61" s="1240"/>
      <c r="G61" s="1240"/>
      <c r="H61" s="1240"/>
      <c r="I61" s="1240"/>
      <c r="J61" s="1026"/>
    </row>
    <row r="62" spans="2:10" ht="25.5" customHeight="1">
      <c r="B62" s="1237"/>
      <c r="C62" s="1241"/>
      <c r="D62" s="1242"/>
      <c r="E62" s="1242"/>
      <c r="F62" s="1242"/>
      <c r="G62" s="1242"/>
      <c r="H62" s="1242"/>
      <c r="I62" s="1243"/>
    </row>
    <row r="63" spans="2:10" ht="62.25" customHeight="1">
      <c r="B63" s="1237"/>
      <c r="C63" s="1241"/>
      <c r="D63" s="1242"/>
      <c r="E63" s="1242"/>
      <c r="F63" s="1242"/>
      <c r="G63" s="1242"/>
      <c r="H63" s="1242"/>
      <c r="I63" s="1243"/>
    </row>
    <row r="64" spans="2:10" ht="25.5" customHeight="1">
      <c r="B64" s="1237"/>
      <c r="C64" s="1241"/>
      <c r="D64" s="1242"/>
      <c r="E64" s="1242"/>
      <c r="F64" s="1242"/>
      <c r="G64" s="1242"/>
      <c r="H64" s="1242"/>
      <c r="I64" s="1243"/>
    </row>
    <row r="65" spans="2:9" ht="25.5" customHeight="1">
      <c r="B65" s="1237"/>
      <c r="C65" s="1241"/>
      <c r="D65" s="1242"/>
      <c r="E65" s="1242"/>
      <c r="F65" s="1242"/>
      <c r="G65" s="1242"/>
      <c r="H65" s="1242"/>
      <c r="I65" s="1243"/>
    </row>
    <row r="66" spans="2:9" ht="25.5" customHeight="1">
      <c r="B66" s="1238"/>
      <c r="C66" s="1244"/>
      <c r="D66" s="1245"/>
      <c r="E66" s="1245"/>
      <c r="F66" s="1245"/>
      <c r="G66" s="1245"/>
      <c r="H66" s="1245"/>
      <c r="I66" s="1246"/>
    </row>
    <row r="67" spans="2:9" ht="19.5" customHeight="1">
      <c r="B67" s="1247" t="s">
        <v>1458</v>
      </c>
      <c r="C67" s="1249" t="s">
        <v>1666</v>
      </c>
      <c r="D67" s="1250"/>
      <c r="E67" s="1250"/>
      <c r="F67" s="1250"/>
      <c r="G67" s="1250"/>
      <c r="H67" s="1250"/>
      <c r="I67" s="1251"/>
    </row>
    <row r="68" spans="2:9" ht="19.5" customHeight="1">
      <c r="B68" s="1247"/>
      <c r="C68" s="1252"/>
      <c r="D68" s="1253"/>
      <c r="E68" s="1253"/>
      <c r="F68" s="1253"/>
      <c r="G68" s="1253"/>
      <c r="H68" s="1253"/>
      <c r="I68" s="1254"/>
    </row>
    <row r="69" spans="2:9" ht="19.5" customHeight="1">
      <c r="B69" s="1247"/>
      <c r="C69" s="1252"/>
      <c r="D69" s="1253"/>
      <c r="E69" s="1253"/>
      <c r="F69" s="1253"/>
      <c r="G69" s="1253"/>
      <c r="H69" s="1253"/>
      <c r="I69" s="1254"/>
    </row>
    <row r="70" spans="2:9" ht="19.5" customHeight="1">
      <c r="B70" s="1247"/>
      <c r="C70" s="1252"/>
      <c r="D70" s="1253"/>
      <c r="E70" s="1253"/>
      <c r="F70" s="1253"/>
      <c r="G70" s="1253"/>
      <c r="H70" s="1253"/>
      <c r="I70" s="1254"/>
    </row>
    <row r="71" spans="2:9" ht="19.5" customHeight="1">
      <c r="B71" s="1247"/>
      <c r="C71" s="1252"/>
      <c r="D71" s="1253"/>
      <c r="E71" s="1253"/>
      <c r="F71" s="1253"/>
      <c r="G71" s="1253"/>
      <c r="H71" s="1253"/>
      <c r="I71" s="1254"/>
    </row>
    <row r="72" spans="2:9" ht="19.5" customHeight="1">
      <c r="B72" s="1247"/>
      <c r="C72" s="1252"/>
      <c r="D72" s="1253"/>
      <c r="E72" s="1253"/>
      <c r="F72" s="1253"/>
      <c r="G72" s="1253"/>
      <c r="H72" s="1253"/>
      <c r="I72" s="1254"/>
    </row>
    <row r="73" spans="2:9" ht="39" customHeight="1">
      <c r="B73" s="1248"/>
      <c r="C73" s="1255"/>
      <c r="D73" s="1256"/>
      <c r="E73" s="1256"/>
      <c r="F73" s="1256"/>
      <c r="G73" s="1256"/>
      <c r="H73" s="1256"/>
      <c r="I73" s="1257"/>
    </row>
    <row r="74" spans="2:9" ht="23.25" customHeight="1">
      <c r="B74" s="1237" t="s">
        <v>1462</v>
      </c>
      <c r="C74" s="780" t="s">
        <v>1667</v>
      </c>
      <c r="D74" s="781"/>
      <c r="E74" s="781"/>
      <c r="F74" s="781"/>
      <c r="G74" s="936"/>
      <c r="H74" s="936"/>
      <c r="I74" s="943"/>
    </row>
    <row r="75" spans="2:9" ht="18" customHeight="1">
      <c r="B75" s="1237"/>
      <c r="C75" s="398"/>
      <c r="D75" s="936"/>
      <c r="E75" s="936"/>
      <c r="F75" s="936"/>
      <c r="G75" s="936"/>
      <c r="H75" s="936"/>
      <c r="I75" s="943"/>
    </row>
    <row r="76" spans="2:9" ht="18" customHeight="1">
      <c r="B76" s="1238"/>
      <c r="C76" s="97"/>
      <c r="D76" s="785"/>
      <c r="E76" s="785"/>
      <c r="F76" s="785"/>
      <c r="G76" s="785"/>
      <c r="H76" s="785"/>
      <c r="I76" s="786"/>
    </row>
    <row r="77" spans="2:9" ht="15" customHeight="1">
      <c r="B77" s="1264" t="s">
        <v>1376</v>
      </c>
      <c r="C77" s="1266" t="s">
        <v>2042</v>
      </c>
      <c r="D77" s="1267"/>
      <c r="E77" s="1267"/>
      <c r="F77" s="1267"/>
      <c r="G77" s="1267"/>
      <c r="H77" s="1267"/>
      <c r="I77" s="1268"/>
    </row>
    <row r="78" spans="2:9" ht="39.75" customHeight="1">
      <c r="B78" s="1265"/>
      <c r="C78" s="1269"/>
      <c r="D78" s="1270"/>
      <c r="E78" s="1270"/>
      <c r="F78" s="1270"/>
      <c r="G78" s="1270"/>
      <c r="H78" s="1270"/>
      <c r="I78" s="1271"/>
    </row>
    <row r="79" spans="2:9" ht="40.5" customHeight="1">
      <c r="B79" s="1265"/>
      <c r="C79" s="1269"/>
      <c r="D79" s="1270"/>
      <c r="E79" s="1270"/>
      <c r="F79" s="1270"/>
      <c r="G79" s="1270"/>
      <c r="H79" s="1270"/>
      <c r="I79" s="1271"/>
    </row>
    <row r="80" spans="2:9" ht="45.75" customHeight="1">
      <c r="B80" s="1265"/>
      <c r="C80" s="1269"/>
      <c r="D80" s="1270"/>
      <c r="E80" s="1270"/>
      <c r="F80" s="1270"/>
      <c r="G80" s="1270"/>
      <c r="H80" s="1270"/>
      <c r="I80" s="1271"/>
    </row>
    <row r="81" spans="2:9" ht="18.75" customHeight="1">
      <c r="B81" s="1265"/>
      <c r="C81" s="1269"/>
      <c r="D81" s="1270"/>
      <c r="E81" s="1270"/>
      <c r="F81" s="1270"/>
      <c r="G81" s="1270"/>
      <c r="H81" s="1270"/>
      <c r="I81" s="1271"/>
    </row>
    <row r="82" spans="2:9" ht="18.75" customHeight="1">
      <c r="B82" s="1265"/>
      <c r="C82" s="1272"/>
      <c r="D82" s="1273"/>
      <c r="E82" s="1273"/>
      <c r="F82" s="1273"/>
      <c r="G82" s="1273"/>
      <c r="H82" s="1273"/>
      <c r="I82" s="1274"/>
    </row>
    <row r="83" spans="2:9" ht="18.75" customHeight="1">
      <c r="B83" s="1237"/>
      <c r="C83" s="779"/>
      <c r="D83" s="396"/>
      <c r="E83" s="396"/>
      <c r="F83" s="396"/>
      <c r="G83" s="396"/>
      <c r="H83" s="396"/>
      <c r="I83" s="397"/>
    </row>
    <row r="84" spans="2:9" ht="21" customHeight="1">
      <c r="B84" s="1264" t="s">
        <v>1393</v>
      </c>
      <c r="C84" s="1266" t="s">
        <v>2043</v>
      </c>
      <c r="D84" s="1267"/>
      <c r="E84" s="1267"/>
      <c r="F84" s="1267"/>
      <c r="G84" s="1267"/>
      <c r="H84" s="1267"/>
      <c r="I84" s="1268"/>
    </row>
    <row r="85" spans="2:9" ht="21" customHeight="1">
      <c r="B85" s="1265"/>
      <c r="C85" s="1269"/>
      <c r="D85" s="1270"/>
      <c r="E85" s="1270"/>
      <c r="F85" s="1270"/>
      <c r="G85" s="1270"/>
      <c r="H85" s="1270"/>
      <c r="I85" s="1271"/>
    </row>
    <row r="86" spans="2:9" ht="21" customHeight="1">
      <c r="B86" s="1265"/>
      <c r="C86" s="1269"/>
      <c r="D86" s="1270"/>
      <c r="E86" s="1270"/>
      <c r="F86" s="1270"/>
      <c r="G86" s="1270"/>
      <c r="H86" s="1270"/>
      <c r="I86" s="1271"/>
    </row>
    <row r="87" spans="2:9" ht="21" customHeight="1">
      <c r="B87" s="1265"/>
      <c r="C87" s="1269"/>
      <c r="D87" s="1270"/>
      <c r="E87" s="1270"/>
      <c r="F87" s="1270"/>
      <c r="G87" s="1270"/>
      <c r="H87" s="1270"/>
      <c r="I87" s="1271"/>
    </row>
    <row r="88" spans="2:9" ht="21" customHeight="1">
      <c r="B88" s="1265"/>
      <c r="C88" s="1269"/>
      <c r="D88" s="1270"/>
      <c r="E88" s="1270"/>
      <c r="F88" s="1270"/>
      <c r="G88" s="1270"/>
      <c r="H88" s="1270"/>
      <c r="I88" s="1271"/>
    </row>
    <row r="89" spans="2:9" ht="24" customHeight="1">
      <c r="B89" s="1265"/>
      <c r="C89" s="1269"/>
      <c r="D89" s="1270"/>
      <c r="E89" s="1270"/>
      <c r="F89" s="1270"/>
      <c r="G89" s="1270"/>
      <c r="H89" s="1270"/>
      <c r="I89" s="1271"/>
    </row>
    <row r="90" spans="2:9" ht="21" customHeight="1">
      <c r="B90" s="1275"/>
      <c r="C90" s="1272"/>
      <c r="D90" s="1273"/>
      <c r="E90" s="1273"/>
      <c r="F90" s="1273"/>
      <c r="G90" s="1273"/>
      <c r="H90" s="1273"/>
      <c r="I90" s="1274"/>
    </row>
    <row r="91" spans="2:9" ht="18" customHeight="1">
      <c r="B91" s="939" t="s">
        <v>1465</v>
      </c>
      <c r="C91" s="1276" t="s">
        <v>2044</v>
      </c>
      <c r="D91" s="1276"/>
      <c r="E91" s="1276"/>
      <c r="F91" s="1276"/>
      <c r="G91" s="1276"/>
      <c r="H91" s="1276"/>
      <c r="I91" s="1277"/>
    </row>
    <row r="92" spans="2:9" ht="19.5" customHeight="1">
      <c r="B92" s="1230" t="s">
        <v>1410</v>
      </c>
      <c r="C92" s="1266"/>
      <c r="D92" s="1267"/>
      <c r="E92" s="1267"/>
      <c r="F92" s="1267"/>
      <c r="G92" s="1267"/>
      <c r="H92" s="1267"/>
      <c r="I92" s="1268"/>
    </row>
    <row r="93" spans="2:9" ht="19.5" customHeight="1">
      <c r="B93" s="1237"/>
      <c r="C93" s="1269"/>
      <c r="D93" s="1270"/>
      <c r="E93" s="1270"/>
      <c r="F93" s="1270"/>
      <c r="G93" s="1270"/>
      <c r="H93" s="1270"/>
      <c r="I93" s="1271"/>
    </row>
    <row r="94" spans="2:9" ht="95.25" customHeight="1">
      <c r="B94" s="1237"/>
      <c r="C94" s="1269"/>
      <c r="D94" s="1270"/>
      <c r="E94" s="1270"/>
      <c r="F94" s="1270"/>
      <c r="G94" s="1270"/>
      <c r="H94" s="1270"/>
      <c r="I94" s="1271"/>
    </row>
    <row r="95" spans="2:9" ht="55.5" customHeight="1">
      <c r="B95" s="1237"/>
      <c r="C95" s="1269"/>
      <c r="D95" s="1270"/>
      <c r="E95" s="1270"/>
      <c r="F95" s="1270"/>
      <c r="G95" s="1270"/>
      <c r="H95" s="1270"/>
      <c r="I95" s="1271"/>
    </row>
    <row r="96" spans="2:9" ht="25.5" customHeight="1">
      <c r="B96" s="1237"/>
      <c r="C96" s="1269"/>
      <c r="D96" s="1270"/>
      <c r="E96" s="1270"/>
      <c r="F96" s="1270"/>
      <c r="G96" s="1270"/>
      <c r="H96" s="1270"/>
      <c r="I96" s="1271"/>
    </row>
    <row r="97" spans="2:9" ht="12" customHeight="1">
      <c r="B97" s="1238"/>
      <c r="C97" s="1272"/>
      <c r="D97" s="1273"/>
      <c r="E97" s="1273"/>
      <c r="F97" s="1273"/>
      <c r="G97" s="1273"/>
      <c r="H97" s="1273"/>
      <c r="I97" s="1274"/>
    </row>
    <row r="98" spans="2:9" ht="21.75" customHeight="1">
      <c r="B98" s="1237" t="s">
        <v>1434</v>
      </c>
      <c r="C98" s="1266" t="s">
        <v>1810</v>
      </c>
      <c r="D98" s="1267"/>
      <c r="E98" s="1267"/>
      <c r="F98" s="1267"/>
      <c r="G98" s="1267"/>
      <c r="H98" s="1267"/>
      <c r="I98" s="1268"/>
    </row>
    <row r="99" spans="2:9" ht="21.75" customHeight="1">
      <c r="B99" s="1237"/>
      <c r="C99" s="1269"/>
      <c r="D99" s="1270"/>
      <c r="E99" s="1270"/>
      <c r="F99" s="1270"/>
      <c r="G99" s="1270"/>
      <c r="H99" s="1270"/>
      <c r="I99" s="1271"/>
    </row>
    <row r="100" spans="2:9" ht="21.75" customHeight="1">
      <c r="B100" s="1237"/>
      <c r="C100" s="1269"/>
      <c r="D100" s="1270"/>
      <c r="E100" s="1270"/>
      <c r="F100" s="1270"/>
      <c r="G100" s="1270"/>
      <c r="H100" s="1270"/>
      <c r="I100" s="1271"/>
    </row>
    <row r="101" spans="2:9" ht="21.75" customHeight="1">
      <c r="B101" s="1237"/>
      <c r="C101" s="1269"/>
      <c r="D101" s="1270"/>
      <c r="E101" s="1270"/>
      <c r="F101" s="1270"/>
      <c r="G101" s="1270"/>
      <c r="H101" s="1270"/>
      <c r="I101" s="1271"/>
    </row>
    <row r="102" spans="2:9" ht="21.75" customHeight="1">
      <c r="B102" s="1237"/>
      <c r="C102" s="1269"/>
      <c r="D102" s="1270"/>
      <c r="E102" s="1270"/>
      <c r="F102" s="1270"/>
      <c r="G102" s="1270"/>
      <c r="H102" s="1270"/>
      <c r="I102" s="1271"/>
    </row>
    <row r="103" spans="2:9" ht="21.75" customHeight="1">
      <c r="B103" s="1237"/>
      <c r="C103" s="1269"/>
      <c r="D103" s="1270"/>
      <c r="E103" s="1270"/>
      <c r="F103" s="1270"/>
      <c r="G103" s="1270"/>
      <c r="H103" s="1270"/>
      <c r="I103" s="1271"/>
    </row>
    <row r="104" spans="2:9" ht="21.75" customHeight="1">
      <c r="B104" s="1237"/>
      <c r="C104" s="1269"/>
      <c r="D104" s="1270"/>
      <c r="E104" s="1270"/>
      <c r="F104" s="1270"/>
      <c r="G104" s="1270"/>
      <c r="H104" s="1270"/>
      <c r="I104" s="1271"/>
    </row>
    <row r="105" spans="2:9" ht="198" customHeight="1">
      <c r="B105" s="1237"/>
      <c r="C105" s="1269"/>
      <c r="D105" s="1270"/>
      <c r="E105" s="1270"/>
      <c r="F105" s="1270"/>
      <c r="G105" s="1270"/>
      <c r="H105" s="1270"/>
      <c r="I105" s="1271"/>
    </row>
    <row r="106" spans="2:9" ht="210.75" customHeight="1">
      <c r="B106" s="1238"/>
      <c r="C106" s="1272"/>
      <c r="D106" s="1273"/>
      <c r="E106" s="1273"/>
      <c r="F106" s="1273"/>
      <c r="G106" s="1273"/>
      <c r="H106" s="1273"/>
      <c r="I106" s="1274"/>
    </row>
    <row r="107" spans="2:9" ht="22.5" customHeight="1">
      <c r="B107" s="1278" t="s">
        <v>1469</v>
      </c>
      <c r="C107" s="1279"/>
      <c r="D107" s="1279"/>
      <c r="E107" s="1279"/>
      <c r="F107" s="1279"/>
      <c r="G107" s="1279"/>
      <c r="H107" s="1279"/>
      <c r="I107" s="1280"/>
    </row>
    <row r="108" spans="2:9" ht="14.25" customHeight="1">
      <c r="B108" s="1237" t="s">
        <v>1375</v>
      </c>
      <c r="C108" s="1258" t="s">
        <v>2045</v>
      </c>
      <c r="D108" s="1259"/>
      <c r="E108" s="1259"/>
      <c r="F108" s="1259"/>
      <c r="G108" s="1259"/>
      <c r="H108" s="1259"/>
      <c r="I108" s="816"/>
    </row>
    <row r="109" spans="2:9" ht="14.25" customHeight="1">
      <c r="B109" s="1237"/>
      <c r="C109" s="1260"/>
      <c r="D109" s="1261"/>
      <c r="E109" s="1261"/>
      <c r="F109" s="1261"/>
      <c r="G109" s="1261"/>
      <c r="H109" s="1261"/>
      <c r="I109" s="817"/>
    </row>
    <row r="110" spans="2:9" ht="125.25" customHeight="1">
      <c r="B110" s="1237"/>
      <c r="C110" s="1260"/>
      <c r="D110" s="1261"/>
      <c r="E110" s="1261"/>
      <c r="F110" s="1261"/>
      <c r="G110" s="1261"/>
      <c r="H110" s="1261"/>
      <c r="I110" s="817"/>
    </row>
    <row r="111" spans="2:9" ht="14.25" customHeight="1">
      <c r="B111" s="1237"/>
      <c r="C111" s="1260"/>
      <c r="D111" s="1261"/>
      <c r="E111" s="1261"/>
      <c r="F111" s="1261"/>
      <c r="G111" s="1261"/>
      <c r="H111" s="1261"/>
      <c r="I111" s="817"/>
    </row>
    <row r="112" spans="2:9" ht="14.25" customHeight="1">
      <c r="B112" s="1238"/>
      <c r="C112" s="1262"/>
      <c r="D112" s="1263"/>
      <c r="E112" s="1263"/>
      <c r="F112" s="1263"/>
      <c r="G112" s="1263"/>
      <c r="H112" s="1263"/>
      <c r="I112" s="818"/>
    </row>
    <row r="113" spans="2:9" ht="14.25" customHeight="1">
      <c r="B113" s="1237" t="s">
        <v>1454</v>
      </c>
      <c r="C113" s="1258" t="s">
        <v>2046</v>
      </c>
      <c r="D113" s="1259"/>
      <c r="E113" s="1259"/>
      <c r="F113" s="1259"/>
      <c r="G113" s="1259"/>
      <c r="H113" s="1259"/>
      <c r="I113" s="819"/>
    </row>
    <row r="114" spans="2:9" ht="42.75" customHeight="1">
      <c r="B114" s="1237"/>
      <c r="C114" s="1260"/>
      <c r="D114" s="1261"/>
      <c r="E114" s="1261"/>
      <c r="F114" s="1261"/>
      <c r="G114" s="1261"/>
      <c r="H114" s="1261"/>
      <c r="I114" s="820"/>
    </row>
    <row r="115" spans="2:9" ht="14.25" customHeight="1">
      <c r="B115" s="1237"/>
      <c r="C115" s="1260"/>
      <c r="D115" s="1261"/>
      <c r="E115" s="1261"/>
      <c r="F115" s="1261"/>
      <c r="G115" s="1261"/>
      <c r="H115" s="1261"/>
      <c r="I115" s="820"/>
    </row>
    <row r="116" spans="2:9" ht="70.5" customHeight="1">
      <c r="B116" s="1237"/>
      <c r="C116" s="1260"/>
      <c r="D116" s="1261"/>
      <c r="E116" s="1261"/>
      <c r="F116" s="1261"/>
      <c r="G116" s="1261"/>
      <c r="H116" s="1261"/>
      <c r="I116" s="820"/>
    </row>
    <row r="117" spans="2:9" ht="14.25" customHeight="1">
      <c r="B117" s="1237"/>
      <c r="C117" s="1260"/>
      <c r="D117" s="1261"/>
      <c r="E117" s="1261"/>
      <c r="F117" s="1261"/>
      <c r="G117" s="1261"/>
      <c r="H117" s="1261"/>
      <c r="I117" s="820"/>
    </row>
    <row r="118" spans="2:9" ht="14.25" customHeight="1">
      <c r="B118" s="1237"/>
      <c r="C118" s="1260"/>
      <c r="D118" s="1261"/>
      <c r="E118" s="1261"/>
      <c r="F118" s="1261"/>
      <c r="G118" s="1261"/>
      <c r="H118" s="1261"/>
      <c r="I118" s="820"/>
    </row>
    <row r="119" spans="2:9" ht="14.25" customHeight="1">
      <c r="B119" s="1238"/>
      <c r="C119" s="1262"/>
      <c r="D119" s="1263"/>
      <c r="E119" s="1263"/>
      <c r="F119" s="1263"/>
      <c r="G119" s="1263"/>
      <c r="H119" s="1263"/>
      <c r="I119" s="821"/>
    </row>
    <row r="120" spans="2:9" ht="14.25" customHeight="1">
      <c r="B120" s="1247" t="s">
        <v>1472</v>
      </c>
      <c r="C120" s="1281" t="s">
        <v>2047</v>
      </c>
      <c r="D120" s="1259"/>
      <c r="E120" s="1259"/>
      <c r="F120" s="1259"/>
      <c r="G120" s="1259"/>
      <c r="H120" s="1259"/>
      <c r="I120" s="784"/>
    </row>
    <row r="121" spans="2:9" ht="14.25" customHeight="1">
      <c r="B121" s="1247"/>
      <c r="C121" s="1260"/>
      <c r="D121" s="1261"/>
      <c r="E121" s="1261"/>
      <c r="F121" s="1261"/>
      <c r="G121" s="1261"/>
      <c r="H121" s="1261"/>
      <c r="I121" s="784"/>
    </row>
    <row r="122" spans="2:9" ht="14.25" customHeight="1">
      <c r="B122" s="1247"/>
      <c r="C122" s="1260"/>
      <c r="D122" s="1261"/>
      <c r="E122" s="1261"/>
      <c r="F122" s="1261"/>
      <c r="G122" s="1261"/>
      <c r="H122" s="1261"/>
      <c r="I122" s="784"/>
    </row>
    <row r="123" spans="2:9" ht="14.25" customHeight="1">
      <c r="B123" s="1247"/>
      <c r="C123" s="1260"/>
      <c r="D123" s="1261"/>
      <c r="E123" s="1261"/>
      <c r="F123" s="1261"/>
      <c r="G123" s="1261"/>
      <c r="H123" s="1261"/>
      <c r="I123" s="784"/>
    </row>
    <row r="124" spans="2:9" ht="14.25" customHeight="1">
      <c r="B124" s="1247"/>
      <c r="C124" s="1260"/>
      <c r="D124" s="1261"/>
      <c r="E124" s="1261"/>
      <c r="F124" s="1261"/>
      <c r="G124" s="1261"/>
      <c r="H124" s="1261"/>
      <c r="I124" s="937"/>
    </row>
    <row r="125" spans="2:9" ht="14.25" customHeight="1">
      <c r="B125" s="1247"/>
      <c r="C125" s="1262"/>
      <c r="D125" s="1263"/>
      <c r="E125" s="1263"/>
      <c r="F125" s="1263"/>
      <c r="G125" s="1263"/>
      <c r="H125" s="1263"/>
      <c r="I125" s="938"/>
    </row>
    <row r="126" spans="2:9" ht="14.25" customHeight="1">
      <c r="B126" s="1230" t="s">
        <v>1474</v>
      </c>
      <c r="C126" s="1281" t="s">
        <v>1475</v>
      </c>
      <c r="D126" s="1282"/>
      <c r="E126" s="1282"/>
      <c r="F126" s="1282"/>
      <c r="G126" s="1282"/>
      <c r="H126" s="1282"/>
      <c r="I126" s="1283"/>
    </row>
    <row r="127" spans="2:9" ht="20.25" customHeight="1">
      <c r="B127" s="1237"/>
      <c r="C127" s="1284"/>
      <c r="D127" s="1285"/>
      <c r="E127" s="1285"/>
      <c r="F127" s="1285"/>
      <c r="G127" s="1285"/>
      <c r="H127" s="1285"/>
      <c r="I127" s="1286"/>
    </row>
    <row r="128" spans="2:9" ht="14.25" customHeight="1">
      <c r="B128" s="1238"/>
      <c r="C128" s="1287"/>
      <c r="D128" s="1288"/>
      <c r="E128" s="1288"/>
      <c r="F128" s="1288"/>
      <c r="G128" s="1288"/>
      <c r="H128" s="1288"/>
      <c r="I128" s="1289"/>
    </row>
    <row r="129" spans="2:9" ht="14.25" customHeight="1">
      <c r="B129" s="939"/>
      <c r="C129" s="1258" t="s">
        <v>2048</v>
      </c>
      <c r="D129" s="1259"/>
      <c r="E129" s="1259"/>
      <c r="F129" s="1259"/>
      <c r="G129" s="1259"/>
      <c r="H129" s="1259"/>
      <c r="I129" s="1290"/>
    </row>
    <row r="130" spans="2:9" ht="14.25" customHeight="1">
      <c r="B130" s="939"/>
      <c r="C130" s="1260"/>
      <c r="D130" s="1261"/>
      <c r="E130" s="1261"/>
      <c r="F130" s="1261"/>
      <c r="G130" s="1261"/>
      <c r="H130" s="1261"/>
      <c r="I130" s="1291"/>
    </row>
    <row r="131" spans="2:9" ht="49.5" customHeight="1">
      <c r="B131" s="939"/>
      <c r="C131" s="1260"/>
      <c r="D131" s="1261"/>
      <c r="E131" s="1261"/>
      <c r="F131" s="1261"/>
      <c r="G131" s="1261"/>
      <c r="H131" s="1261"/>
      <c r="I131" s="1291"/>
    </row>
    <row r="132" spans="2:9" ht="14.25" customHeight="1">
      <c r="B132" s="939"/>
      <c r="C132" s="1260"/>
      <c r="D132" s="1261"/>
      <c r="E132" s="1261"/>
      <c r="F132" s="1261"/>
      <c r="G132" s="1261"/>
      <c r="H132" s="1261"/>
      <c r="I132" s="1291"/>
    </row>
    <row r="133" spans="2:9" ht="14.25" customHeight="1">
      <c r="B133" s="1237" t="s">
        <v>1376</v>
      </c>
      <c r="C133" s="1260"/>
      <c r="D133" s="1261"/>
      <c r="E133" s="1261"/>
      <c r="F133" s="1261"/>
      <c r="G133" s="1261"/>
      <c r="H133" s="1261"/>
      <c r="I133" s="1291"/>
    </row>
    <row r="134" spans="2:9" ht="14.25" customHeight="1">
      <c r="B134" s="1237"/>
      <c r="C134" s="1260"/>
      <c r="D134" s="1261"/>
      <c r="E134" s="1261"/>
      <c r="F134" s="1261"/>
      <c r="G134" s="1261"/>
      <c r="H134" s="1261"/>
      <c r="I134" s="1291"/>
    </row>
    <row r="135" spans="2:9" ht="14.25" customHeight="1">
      <c r="B135" s="1238"/>
      <c r="C135" s="1262"/>
      <c r="D135" s="1263"/>
      <c r="E135" s="1263"/>
      <c r="F135" s="1263"/>
      <c r="G135" s="1263"/>
      <c r="H135" s="1263"/>
      <c r="I135" s="1292"/>
    </row>
    <row r="136" spans="2:9" ht="14.25" customHeight="1">
      <c r="B136" s="1237" t="s">
        <v>1393</v>
      </c>
      <c r="C136" s="1258" t="s">
        <v>2049</v>
      </c>
      <c r="D136" s="1259"/>
      <c r="E136" s="1259"/>
      <c r="F136" s="1259"/>
      <c r="G136" s="1259"/>
      <c r="H136" s="1259"/>
      <c r="I136" s="1290"/>
    </row>
    <row r="137" spans="2:9" ht="14.25" customHeight="1">
      <c r="B137" s="1237"/>
      <c r="C137" s="1260"/>
      <c r="D137" s="1261"/>
      <c r="E137" s="1261"/>
      <c r="F137" s="1261"/>
      <c r="G137" s="1261"/>
      <c r="H137" s="1261"/>
      <c r="I137" s="1291"/>
    </row>
    <row r="138" spans="2:9" ht="14.25" customHeight="1">
      <c r="B138" s="1237"/>
      <c r="C138" s="1260"/>
      <c r="D138" s="1261"/>
      <c r="E138" s="1261"/>
      <c r="F138" s="1261"/>
      <c r="G138" s="1261"/>
      <c r="H138" s="1261"/>
      <c r="I138" s="1291"/>
    </row>
    <row r="139" spans="2:9" ht="14.25" customHeight="1">
      <c r="B139" s="1237"/>
      <c r="C139" s="1260"/>
      <c r="D139" s="1261"/>
      <c r="E139" s="1261"/>
      <c r="F139" s="1261"/>
      <c r="G139" s="1261"/>
      <c r="H139" s="1261"/>
      <c r="I139" s="1291"/>
    </row>
    <row r="140" spans="2:9" ht="14.25" customHeight="1">
      <c r="B140" s="1237"/>
      <c r="C140" s="1260"/>
      <c r="D140" s="1261"/>
      <c r="E140" s="1261"/>
      <c r="F140" s="1261"/>
      <c r="G140" s="1261"/>
      <c r="H140" s="1261"/>
      <c r="I140" s="1291"/>
    </row>
    <row r="141" spans="2:9" ht="14.25" customHeight="1">
      <c r="B141" s="1237"/>
      <c r="C141" s="1260"/>
      <c r="D141" s="1261"/>
      <c r="E141" s="1261"/>
      <c r="F141" s="1261"/>
      <c r="G141" s="1261"/>
      <c r="H141" s="1261"/>
      <c r="I141" s="1291"/>
    </row>
    <row r="142" spans="2:9" ht="14.25" customHeight="1">
      <c r="B142" s="1237"/>
      <c r="C142" s="1260"/>
      <c r="D142" s="1261"/>
      <c r="E142" s="1261"/>
      <c r="F142" s="1261"/>
      <c r="G142" s="1261"/>
      <c r="H142" s="1261"/>
      <c r="I142" s="1291"/>
    </row>
    <row r="143" spans="2:9" ht="14.25" customHeight="1">
      <c r="B143" s="1237"/>
      <c r="C143" s="1260"/>
      <c r="D143" s="1261"/>
      <c r="E143" s="1261"/>
      <c r="F143" s="1261"/>
      <c r="G143" s="1261"/>
      <c r="H143" s="1261"/>
      <c r="I143" s="1291"/>
    </row>
    <row r="144" spans="2:9" ht="14.25" customHeight="1">
      <c r="B144" s="1237"/>
      <c r="C144" s="1260"/>
      <c r="D144" s="1261"/>
      <c r="E144" s="1261"/>
      <c r="F144" s="1261"/>
      <c r="G144" s="1261"/>
      <c r="H144" s="1261"/>
      <c r="I144" s="1291"/>
    </row>
    <row r="145" spans="2:9" ht="14.25" customHeight="1">
      <c r="B145" s="1238"/>
      <c r="C145" s="1262"/>
      <c r="D145" s="1263"/>
      <c r="E145" s="1263"/>
      <c r="F145" s="1263"/>
      <c r="G145" s="1263"/>
      <c r="H145" s="1263"/>
      <c r="I145" s="1292"/>
    </row>
    <row r="146" spans="2:9" ht="14.25" customHeight="1">
      <c r="B146" s="1237" t="s">
        <v>1410</v>
      </c>
      <c r="C146" s="1258" t="s">
        <v>2050</v>
      </c>
      <c r="D146" s="1259"/>
      <c r="E146" s="1259"/>
      <c r="F146" s="1259"/>
      <c r="G146" s="1259"/>
      <c r="H146" s="1259"/>
      <c r="I146" s="1290"/>
    </row>
    <row r="147" spans="2:9" ht="192.75" customHeight="1">
      <c r="B147" s="1237"/>
      <c r="C147" s="1260"/>
      <c r="D147" s="1261"/>
      <c r="E147" s="1261"/>
      <c r="F147" s="1261"/>
      <c r="G147" s="1261"/>
      <c r="H147" s="1261"/>
      <c r="I147" s="1291"/>
    </row>
    <row r="148" spans="2:9" ht="14.25" customHeight="1">
      <c r="B148" s="1237"/>
      <c r="C148" s="1260"/>
      <c r="D148" s="1261"/>
      <c r="E148" s="1261"/>
      <c r="F148" s="1261"/>
      <c r="G148" s="1261"/>
      <c r="H148" s="1261"/>
      <c r="I148" s="1291"/>
    </row>
    <row r="149" spans="2:9" ht="14.25" customHeight="1">
      <c r="B149" s="1237"/>
      <c r="C149" s="1260"/>
      <c r="D149" s="1261"/>
      <c r="E149" s="1261"/>
      <c r="F149" s="1261"/>
      <c r="G149" s="1261"/>
      <c r="H149" s="1261"/>
      <c r="I149" s="1291"/>
    </row>
    <row r="150" spans="2:9" ht="14.25" customHeight="1">
      <c r="B150" s="1237"/>
      <c r="C150" s="1260"/>
      <c r="D150" s="1261"/>
      <c r="E150" s="1261"/>
      <c r="F150" s="1261"/>
      <c r="G150" s="1261"/>
      <c r="H150" s="1261"/>
      <c r="I150" s="1291"/>
    </row>
    <row r="151" spans="2:9" ht="14.25" customHeight="1">
      <c r="B151" s="1237"/>
      <c r="C151" s="1260"/>
      <c r="D151" s="1261"/>
      <c r="E151" s="1261"/>
      <c r="F151" s="1261"/>
      <c r="G151" s="1261"/>
      <c r="H151" s="1261"/>
      <c r="I151" s="1291"/>
    </row>
    <row r="152" spans="2:9" ht="14.25" customHeight="1">
      <c r="B152" s="1237"/>
      <c r="C152" s="1260"/>
      <c r="D152" s="1261"/>
      <c r="E152" s="1261"/>
      <c r="F152" s="1261"/>
      <c r="G152" s="1261"/>
      <c r="H152" s="1261"/>
      <c r="I152" s="1291"/>
    </row>
    <row r="153" spans="2:9" ht="14.25" customHeight="1">
      <c r="B153" s="1238"/>
      <c r="C153" s="1262"/>
      <c r="D153" s="1263"/>
      <c r="E153" s="1263"/>
      <c r="F153" s="1263"/>
      <c r="G153" s="1263"/>
      <c r="H153" s="1263"/>
      <c r="I153" s="1292"/>
    </row>
    <row r="154" spans="2:9" ht="268.5" customHeight="1">
      <c r="B154" s="1237" t="s">
        <v>1434</v>
      </c>
      <c r="C154" s="1293" t="s">
        <v>2051</v>
      </c>
      <c r="D154" s="1294"/>
      <c r="E154" s="1294"/>
      <c r="F154" s="1294"/>
      <c r="G154" s="1294"/>
      <c r="H154" s="1294"/>
      <c r="I154" s="1295"/>
    </row>
    <row r="155" spans="2:9" ht="130.5" customHeight="1">
      <c r="B155" s="1237"/>
      <c r="C155" s="1296"/>
      <c r="D155" s="1297"/>
      <c r="E155" s="1297"/>
      <c r="F155" s="1297"/>
      <c r="G155" s="1297"/>
      <c r="H155" s="1297"/>
      <c r="I155" s="1298"/>
    </row>
    <row r="156" spans="2:9" ht="153" customHeight="1">
      <c r="B156" s="1237"/>
      <c r="C156" s="1296"/>
      <c r="D156" s="1297"/>
      <c r="E156" s="1297"/>
      <c r="F156" s="1297"/>
      <c r="G156" s="1297"/>
      <c r="H156" s="1297"/>
      <c r="I156" s="1298"/>
    </row>
    <row r="157" spans="2:9" ht="315" customHeight="1">
      <c r="B157" s="1237"/>
      <c r="C157" s="1296"/>
      <c r="D157" s="1297"/>
      <c r="E157" s="1297"/>
      <c r="F157" s="1297"/>
      <c r="G157" s="1297"/>
      <c r="H157" s="1297"/>
      <c r="I157" s="1298"/>
    </row>
    <row r="158" spans="2:9" ht="14.25" customHeight="1">
      <c r="B158" s="1237"/>
      <c r="C158" s="1296"/>
      <c r="D158" s="1297"/>
      <c r="E158" s="1297"/>
      <c r="F158" s="1297"/>
      <c r="G158" s="1297"/>
      <c r="H158" s="1297"/>
      <c r="I158" s="1298"/>
    </row>
    <row r="159" spans="2:9" ht="14.25" customHeight="1">
      <c r="B159" s="1237"/>
      <c r="C159" s="1296"/>
      <c r="D159" s="1297"/>
      <c r="E159" s="1297"/>
      <c r="F159" s="1297"/>
      <c r="G159" s="1297"/>
      <c r="H159" s="1297"/>
      <c r="I159" s="1298"/>
    </row>
    <row r="160" spans="2:9" ht="14.25" customHeight="1">
      <c r="B160" s="1237"/>
      <c r="C160" s="1296"/>
      <c r="D160" s="1297"/>
      <c r="E160" s="1297"/>
      <c r="F160" s="1297"/>
      <c r="G160" s="1297"/>
      <c r="H160" s="1297"/>
      <c r="I160" s="1298"/>
    </row>
    <row r="161" spans="2:9" ht="14.25" customHeight="1">
      <c r="B161" s="1237"/>
      <c r="C161" s="1296"/>
      <c r="D161" s="1297"/>
      <c r="E161" s="1297"/>
      <c r="F161" s="1297"/>
      <c r="G161" s="1297"/>
      <c r="H161" s="1297"/>
      <c r="I161" s="1298"/>
    </row>
    <row r="162" spans="2:9" ht="14.25" customHeight="1">
      <c r="B162" s="1237"/>
      <c r="C162" s="1296"/>
      <c r="D162" s="1297"/>
      <c r="E162" s="1297"/>
      <c r="F162" s="1297"/>
      <c r="G162" s="1297"/>
      <c r="H162" s="1297"/>
      <c r="I162" s="1298"/>
    </row>
    <row r="163" spans="2:9" s="944" customFormat="1" ht="16.5" customHeight="1">
      <c r="B163" s="1238"/>
      <c r="C163" s="1299"/>
      <c r="D163" s="1300"/>
      <c r="E163" s="1300"/>
      <c r="F163" s="1300"/>
      <c r="G163" s="1300"/>
      <c r="H163" s="1300"/>
      <c r="I163" s="1301"/>
    </row>
    <row r="164" spans="2:9" ht="19.5" customHeight="1">
      <c r="B164" s="294" t="s">
        <v>1480</v>
      </c>
      <c r="C164" s="269"/>
      <c r="D164" s="269"/>
      <c r="E164" s="269"/>
      <c r="F164" s="269"/>
      <c r="G164" s="270"/>
      <c r="H164" s="270"/>
      <c r="I164" s="271"/>
    </row>
    <row r="165" spans="2:9" ht="22.5" customHeight="1">
      <c r="B165" s="1230" t="s">
        <v>1375</v>
      </c>
      <c r="C165" s="822" t="s">
        <v>2052</v>
      </c>
      <c r="D165" s="810"/>
      <c r="E165" s="810"/>
      <c r="F165" s="810"/>
      <c r="G165" s="810"/>
      <c r="H165" s="810"/>
      <c r="I165" s="816"/>
    </row>
    <row r="166" spans="2:9" ht="22.5" customHeight="1">
      <c r="B166" s="1237"/>
      <c r="C166" s="792" t="s">
        <v>2053</v>
      </c>
      <c r="D166" s="782"/>
      <c r="E166" s="782"/>
      <c r="F166" s="782"/>
      <c r="G166" s="782"/>
      <c r="H166" s="782"/>
      <c r="I166" s="817"/>
    </row>
    <row r="167" spans="2:9" ht="22.5" customHeight="1">
      <c r="B167" s="1237"/>
      <c r="C167" s="792" t="s">
        <v>2054</v>
      </c>
      <c r="D167" s="782"/>
      <c r="E167" s="782"/>
      <c r="F167" s="782"/>
      <c r="G167" s="782"/>
      <c r="H167" s="782"/>
      <c r="I167" s="817"/>
    </row>
    <row r="168" spans="2:9" ht="22.5" customHeight="1">
      <c r="B168" s="1237"/>
      <c r="C168" s="792"/>
      <c r="D168" s="782"/>
      <c r="E168" s="782"/>
      <c r="F168" s="782"/>
      <c r="G168" s="782"/>
      <c r="H168" s="782"/>
      <c r="I168" s="817"/>
    </row>
    <row r="169" spans="2:9" ht="22.5" customHeight="1">
      <c r="B169" s="1237"/>
      <c r="C169" s="792"/>
      <c r="D169" s="782"/>
      <c r="E169" s="782"/>
      <c r="F169" s="782"/>
      <c r="G169" s="782"/>
      <c r="H169" s="782"/>
      <c r="I169" s="817"/>
    </row>
    <row r="170" spans="2:9" ht="22.5" customHeight="1">
      <c r="B170" s="1238"/>
      <c r="C170" s="783"/>
      <c r="D170" s="783"/>
      <c r="E170" s="783"/>
      <c r="F170" s="783"/>
      <c r="G170" s="783"/>
      <c r="H170" s="783"/>
      <c r="I170" s="818"/>
    </row>
    <row r="171" spans="2:9" ht="22.5" customHeight="1">
      <c r="B171" s="1230" t="s">
        <v>1454</v>
      </c>
      <c r="C171" s="792" t="s">
        <v>2055</v>
      </c>
      <c r="D171" s="789"/>
      <c r="E171" s="789"/>
      <c r="F171" s="789"/>
      <c r="G171" s="789"/>
      <c r="H171" s="789"/>
      <c r="I171" s="823"/>
    </row>
    <row r="172" spans="2:9" ht="22.5" customHeight="1">
      <c r="B172" s="1237"/>
      <c r="C172" s="792" t="s">
        <v>2056</v>
      </c>
      <c r="D172" s="790"/>
      <c r="E172" s="790"/>
      <c r="F172" s="790"/>
      <c r="G172" s="790"/>
      <c r="H172" s="790"/>
      <c r="I172" s="824"/>
    </row>
    <row r="173" spans="2:9" ht="22.5" customHeight="1">
      <c r="B173" s="1237"/>
      <c r="C173" s="792" t="s">
        <v>2057</v>
      </c>
      <c r="D173" s="790"/>
      <c r="E173" s="790"/>
      <c r="F173" s="790"/>
      <c r="G173" s="790"/>
      <c r="H173" s="790"/>
      <c r="I173" s="824"/>
    </row>
    <row r="174" spans="2:9" ht="22.5" customHeight="1">
      <c r="B174" s="1237"/>
      <c r="C174" s="782"/>
      <c r="D174" s="790"/>
      <c r="E174" s="790"/>
      <c r="F174" s="790"/>
      <c r="G174" s="790"/>
      <c r="H174" s="790"/>
      <c r="I174" s="824"/>
    </row>
    <row r="175" spans="2:9" ht="22.5" customHeight="1">
      <c r="B175" s="1238"/>
      <c r="C175" s="782"/>
      <c r="D175" s="791"/>
      <c r="E175" s="791"/>
      <c r="F175" s="791"/>
      <c r="G175" s="791"/>
      <c r="H175" s="791"/>
      <c r="I175" s="825"/>
    </row>
    <row r="176" spans="2:9" ht="22.5" customHeight="1">
      <c r="B176" s="1302" t="s">
        <v>1458</v>
      </c>
      <c r="C176" s="1042" t="s">
        <v>2058</v>
      </c>
      <c r="D176" s="826"/>
      <c r="E176" s="826"/>
      <c r="F176" s="826"/>
      <c r="G176" s="826"/>
      <c r="H176" s="826"/>
      <c r="I176" s="781"/>
    </row>
    <row r="177" spans="2:9" ht="22.5" customHeight="1">
      <c r="B177" s="1247"/>
      <c r="C177" s="792" t="s">
        <v>2059</v>
      </c>
      <c r="D177" s="827"/>
      <c r="E177" s="827"/>
      <c r="F177" s="827"/>
      <c r="G177" s="827"/>
      <c r="H177" s="827"/>
      <c r="I177" s="97"/>
    </row>
    <row r="178" spans="2:9" ht="22.5" customHeight="1">
      <c r="B178" s="1247"/>
      <c r="C178" s="792"/>
      <c r="D178" s="827"/>
      <c r="E178" s="827"/>
      <c r="F178" s="827"/>
      <c r="G178" s="827"/>
      <c r="H178" s="827"/>
      <c r="I178" s="97"/>
    </row>
    <row r="179" spans="2:9" ht="22.5" customHeight="1">
      <c r="B179" s="1247"/>
      <c r="C179" s="782"/>
      <c r="D179" s="827"/>
      <c r="E179" s="827"/>
      <c r="F179" s="827"/>
      <c r="G179" s="827"/>
      <c r="H179" s="827"/>
      <c r="I179" s="97"/>
    </row>
    <row r="180" spans="2:9" ht="22.5" customHeight="1">
      <c r="B180" s="1248"/>
      <c r="C180" s="828"/>
      <c r="D180" s="829"/>
      <c r="E180" s="829"/>
      <c r="F180" s="829"/>
      <c r="G180" s="829"/>
      <c r="H180" s="829"/>
      <c r="I180" s="398"/>
    </row>
    <row r="181" spans="2:9" ht="22.5" customHeight="1">
      <c r="B181" s="1303" t="s">
        <v>1474</v>
      </c>
      <c r="C181" s="822"/>
      <c r="D181" s="830"/>
      <c r="E181" s="830"/>
      <c r="F181" s="830"/>
      <c r="G181" s="830"/>
      <c r="H181" s="830"/>
      <c r="I181" s="831"/>
    </row>
    <row r="182" spans="2:9" ht="22.5" customHeight="1">
      <c r="B182" s="1303"/>
      <c r="C182" s="832"/>
      <c r="D182" s="833"/>
      <c r="E182" s="833"/>
      <c r="F182" s="833"/>
      <c r="G182" s="833"/>
      <c r="H182" s="833"/>
      <c r="I182" s="834"/>
    </row>
    <row r="183" spans="2:9" ht="22.5" customHeight="1">
      <c r="B183" s="1304"/>
      <c r="C183" s="832"/>
      <c r="D183" s="833"/>
      <c r="E183" s="833"/>
      <c r="F183" s="833"/>
      <c r="G183" s="833"/>
      <c r="H183" s="833"/>
      <c r="I183" s="834"/>
    </row>
    <row r="184" spans="2:9" ht="22.5" customHeight="1">
      <c r="B184" s="1305"/>
      <c r="C184" s="835"/>
      <c r="D184" s="836"/>
      <c r="E184" s="836"/>
      <c r="F184" s="836"/>
      <c r="G184" s="836"/>
      <c r="H184" s="836"/>
      <c r="I184" s="837"/>
    </row>
    <row r="185" spans="2:9" ht="22.5" customHeight="1">
      <c r="B185" s="1230" t="s">
        <v>1376</v>
      </c>
      <c r="C185" s="782" t="s">
        <v>2012</v>
      </c>
      <c r="D185" s="810"/>
      <c r="E185" s="810"/>
      <c r="F185" s="810"/>
      <c r="G185" s="810"/>
      <c r="H185" s="810"/>
      <c r="I185" s="816"/>
    </row>
    <row r="186" spans="2:9" ht="22.5" customHeight="1">
      <c r="B186" s="1237"/>
      <c r="C186" s="782" t="s">
        <v>2060</v>
      </c>
      <c r="D186" s="782"/>
      <c r="E186" s="782"/>
      <c r="F186" s="782"/>
      <c r="G186" s="782"/>
      <c r="H186" s="782"/>
      <c r="I186" s="817"/>
    </row>
    <row r="187" spans="2:9" ht="22.5" customHeight="1">
      <c r="B187" s="1237"/>
      <c r="C187" s="792" t="s">
        <v>2061</v>
      </c>
      <c r="D187" s="782"/>
      <c r="E187" s="782"/>
      <c r="F187" s="782"/>
      <c r="G187" s="782"/>
      <c r="H187" s="782"/>
      <c r="I187" s="817"/>
    </row>
    <row r="188" spans="2:9" ht="22.5" customHeight="1">
      <c r="B188" s="1237"/>
      <c r="C188" s="792" t="s">
        <v>2016</v>
      </c>
      <c r="D188" s="782"/>
      <c r="E188" s="782"/>
      <c r="F188" s="782"/>
      <c r="G188" s="782"/>
      <c r="H188" s="782"/>
      <c r="I188" s="817"/>
    </row>
    <row r="189" spans="2:9" ht="22.5" customHeight="1">
      <c r="B189" s="1237"/>
      <c r="C189" s="792"/>
      <c r="D189" s="782"/>
      <c r="E189" s="782"/>
      <c r="F189" s="782"/>
      <c r="G189" s="782"/>
      <c r="H189" s="782"/>
      <c r="I189" s="817"/>
    </row>
    <row r="190" spans="2:9" ht="22.5" customHeight="1">
      <c r="B190" s="1237"/>
      <c r="C190" s="792"/>
      <c r="D190" s="782"/>
      <c r="E190" s="782"/>
      <c r="F190" s="782"/>
      <c r="G190" s="782"/>
      <c r="H190" s="782"/>
      <c r="I190" s="817"/>
    </row>
    <row r="191" spans="2:9" ht="22.5" customHeight="1">
      <c r="B191" s="1237"/>
      <c r="C191" s="811"/>
      <c r="D191" s="782"/>
      <c r="E191" s="782"/>
      <c r="F191" s="782"/>
      <c r="G191" s="782"/>
      <c r="H191" s="782"/>
      <c r="I191" s="817"/>
    </row>
    <row r="192" spans="2:9" ht="22.5" customHeight="1">
      <c r="B192" s="1238"/>
      <c r="C192" s="812"/>
      <c r="D192" s="783"/>
      <c r="E192" s="783"/>
      <c r="F192" s="783"/>
      <c r="G192" s="783"/>
      <c r="H192" s="783"/>
      <c r="I192" s="818"/>
    </row>
    <row r="193" spans="2:9" ht="22.5" customHeight="1">
      <c r="B193" s="1229" t="s">
        <v>1410</v>
      </c>
      <c r="C193" s="782" t="s">
        <v>1433</v>
      </c>
      <c r="D193" s="838"/>
      <c r="E193" s="838"/>
      <c r="F193" s="838"/>
      <c r="G193" s="838"/>
      <c r="H193" s="838"/>
      <c r="I193" s="839"/>
    </row>
    <row r="194" spans="2:9" ht="22.5" customHeight="1">
      <c r="B194" s="1229"/>
      <c r="C194" s="782" t="s">
        <v>2062</v>
      </c>
      <c r="D194" s="808"/>
      <c r="E194" s="808"/>
      <c r="F194" s="808"/>
      <c r="G194" s="808"/>
      <c r="H194" s="808"/>
      <c r="I194" s="840"/>
    </row>
    <row r="195" spans="2:9" ht="22.5" customHeight="1">
      <c r="B195" s="1229"/>
      <c r="C195" s="782" t="s">
        <v>2063</v>
      </c>
      <c r="D195" s="808"/>
      <c r="E195" s="808"/>
      <c r="F195" s="808"/>
      <c r="G195" s="808"/>
      <c r="H195" s="808"/>
      <c r="I195" s="840"/>
    </row>
    <row r="196" spans="2:9" ht="22.5" customHeight="1">
      <c r="B196" s="1229"/>
      <c r="C196" s="782" t="s">
        <v>1942</v>
      </c>
      <c r="D196" s="808"/>
      <c r="E196" s="808"/>
      <c r="F196" s="808"/>
      <c r="G196" s="808"/>
      <c r="H196" s="808"/>
      <c r="I196" s="840"/>
    </row>
    <row r="197" spans="2:9" ht="22.5" customHeight="1">
      <c r="B197" s="1229"/>
      <c r="C197" s="782" t="s">
        <v>2019</v>
      </c>
      <c r="D197" s="808"/>
      <c r="E197" s="808"/>
      <c r="F197" s="808"/>
      <c r="G197" s="808"/>
      <c r="H197" s="808"/>
      <c r="I197" s="840"/>
    </row>
    <row r="198" spans="2:9" ht="22.5" customHeight="1">
      <c r="B198" s="1229"/>
      <c r="C198" s="782" t="s">
        <v>2064</v>
      </c>
      <c r="D198" s="808"/>
      <c r="E198" s="808"/>
      <c r="F198" s="808"/>
      <c r="G198" s="808"/>
      <c r="H198" s="808"/>
      <c r="I198" s="840"/>
    </row>
    <row r="199" spans="2:9" ht="22.5" customHeight="1">
      <c r="B199" s="1229"/>
      <c r="C199" s="782" t="s">
        <v>2065</v>
      </c>
      <c r="D199" s="808"/>
      <c r="E199" s="808"/>
      <c r="F199" s="808"/>
      <c r="G199" s="808"/>
      <c r="H199" s="808"/>
      <c r="I199" s="840"/>
    </row>
    <row r="200" spans="2:9" ht="22.5" customHeight="1">
      <c r="B200" s="1229"/>
      <c r="C200" s="782" t="s">
        <v>1946</v>
      </c>
      <c r="D200" s="808"/>
      <c r="E200" s="808"/>
      <c r="F200" s="808"/>
      <c r="G200" s="808"/>
      <c r="H200" s="808"/>
      <c r="I200" s="840"/>
    </row>
    <row r="201" spans="2:9" ht="22.5" customHeight="1">
      <c r="B201" s="1229"/>
      <c r="C201" s="783"/>
      <c r="D201" s="841"/>
      <c r="E201" s="841"/>
      <c r="F201" s="841"/>
      <c r="G201" s="841"/>
      <c r="H201" s="841"/>
      <c r="I201" s="842"/>
    </row>
    <row r="202" spans="2:9" ht="22.5" customHeight="1">
      <c r="B202" s="1237" t="s">
        <v>1393</v>
      </c>
      <c r="C202" s="782" t="s">
        <v>2066</v>
      </c>
      <c r="D202" s="782"/>
      <c r="E202" s="782"/>
      <c r="F202" s="782"/>
      <c r="G202" s="782"/>
      <c r="H202" s="782"/>
      <c r="I202" s="817"/>
    </row>
    <row r="203" spans="2:9" ht="22.5" customHeight="1">
      <c r="B203" s="1237"/>
      <c r="C203" s="782" t="s">
        <v>1523</v>
      </c>
      <c r="D203" s="782"/>
      <c r="E203" s="782"/>
      <c r="F203" s="782"/>
      <c r="G203" s="782"/>
      <c r="H203" s="782"/>
      <c r="I203" s="817"/>
    </row>
    <row r="204" spans="2:9" ht="22.5" customHeight="1">
      <c r="B204" s="1237"/>
      <c r="C204" s="782" t="s">
        <v>1524</v>
      </c>
      <c r="D204" s="782"/>
      <c r="E204" s="782"/>
      <c r="F204" s="782"/>
      <c r="G204" s="782"/>
      <c r="H204" s="782"/>
      <c r="I204" s="817"/>
    </row>
    <row r="205" spans="2:9" ht="22.5" customHeight="1">
      <c r="B205" s="1237"/>
      <c r="C205" s="782" t="s">
        <v>1652</v>
      </c>
      <c r="D205" s="782"/>
      <c r="E205" s="782"/>
      <c r="F205" s="782"/>
      <c r="G205" s="782"/>
      <c r="H205" s="782"/>
      <c r="I205" s="817"/>
    </row>
    <row r="206" spans="2:9" ht="22.5" customHeight="1">
      <c r="B206" s="1237"/>
      <c r="C206" s="782" t="s">
        <v>2067</v>
      </c>
      <c r="D206" s="782"/>
      <c r="E206" s="782"/>
      <c r="F206" s="782"/>
      <c r="G206" s="782"/>
      <c r="H206" s="782"/>
      <c r="I206" s="817"/>
    </row>
    <row r="207" spans="2:9" ht="22.5" customHeight="1">
      <c r="B207" s="1237"/>
      <c r="C207" s="782" t="s">
        <v>2068</v>
      </c>
      <c r="D207" s="782"/>
      <c r="E207" s="782"/>
      <c r="F207" s="782"/>
      <c r="G207" s="782"/>
      <c r="H207" s="782"/>
      <c r="I207" s="817"/>
    </row>
    <row r="208" spans="2:9" ht="22.5" customHeight="1">
      <c r="B208" s="1237"/>
      <c r="C208" s="782" t="s">
        <v>1620</v>
      </c>
      <c r="D208" s="782"/>
      <c r="E208" s="782"/>
      <c r="F208" s="782"/>
      <c r="G208" s="782"/>
      <c r="H208" s="782"/>
      <c r="I208" s="817"/>
    </row>
    <row r="209" spans="2:9" ht="22.5" customHeight="1">
      <c r="B209" s="1237"/>
      <c r="C209" s="782" t="s">
        <v>2069</v>
      </c>
      <c r="D209" s="782"/>
      <c r="E209" s="782"/>
      <c r="F209" s="782"/>
      <c r="G209" s="782"/>
      <c r="H209" s="782"/>
      <c r="I209" s="817"/>
    </row>
    <row r="210" spans="2:9" ht="22.5" customHeight="1">
      <c r="B210" s="1237"/>
      <c r="C210" s="782" t="s">
        <v>2070</v>
      </c>
      <c r="D210" s="782"/>
      <c r="E210" s="782"/>
      <c r="F210" s="782"/>
      <c r="G210" s="782"/>
      <c r="H210" s="782"/>
      <c r="I210" s="817"/>
    </row>
    <row r="211" spans="2:9" ht="22.5" customHeight="1">
      <c r="B211" s="1238"/>
      <c r="C211" s="807"/>
      <c r="D211" s="783"/>
      <c r="E211" s="783"/>
      <c r="F211" s="783"/>
      <c r="G211" s="783"/>
      <c r="H211" s="783"/>
      <c r="I211" s="818"/>
    </row>
    <row r="212" spans="2:9" ht="22.5" customHeight="1">
      <c r="B212" s="1237" t="s">
        <v>1434</v>
      </c>
      <c r="C212" s="782" t="s">
        <v>2037</v>
      </c>
      <c r="D212" s="843"/>
      <c r="E212" s="843"/>
      <c r="F212" s="843"/>
      <c r="G212" s="843"/>
      <c r="H212" s="843"/>
      <c r="I212" s="79"/>
    </row>
    <row r="213" spans="2:9" ht="22.5" customHeight="1">
      <c r="B213" s="1237"/>
      <c r="C213" s="399" t="s">
        <v>2038</v>
      </c>
      <c r="I213" s="844"/>
    </row>
    <row r="214" spans="2:9" ht="22.5" customHeight="1">
      <c r="B214" s="1237"/>
      <c r="C214" s="399" t="s">
        <v>2071</v>
      </c>
      <c r="I214" s="844"/>
    </row>
    <row r="215" spans="2:9" ht="22.5" customHeight="1">
      <c r="B215" s="1237"/>
      <c r="C215" s="399" t="s">
        <v>2039</v>
      </c>
      <c r="I215" s="844"/>
    </row>
    <row r="216" spans="2:9" ht="22.5" customHeight="1">
      <c r="B216" s="1237"/>
      <c r="C216" s="399" t="s">
        <v>2072</v>
      </c>
      <c r="I216" s="844"/>
    </row>
    <row r="217" spans="2:9" ht="22.5" customHeight="1">
      <c r="B217" s="1237"/>
      <c r="C217" s="782" t="s">
        <v>2073</v>
      </c>
      <c r="I217" s="844"/>
    </row>
    <row r="218" spans="2:9" ht="22.5" customHeight="1">
      <c r="B218" s="1237"/>
      <c r="C218" s="782" t="s">
        <v>2074</v>
      </c>
      <c r="I218" s="844"/>
    </row>
    <row r="219" spans="2:9" ht="22.5" customHeight="1">
      <c r="B219" s="1237"/>
      <c r="C219" s="782"/>
      <c r="I219" s="844"/>
    </row>
    <row r="220" spans="2:9" ht="22.5" customHeight="1">
      <c r="B220" s="1237"/>
      <c r="C220" s="399"/>
      <c r="I220" s="844"/>
    </row>
    <row r="221" spans="2:9" ht="22.5" customHeight="1">
      <c r="B221" s="1238"/>
      <c r="C221" s="806"/>
      <c r="D221" s="845"/>
      <c r="E221" s="845"/>
      <c r="F221" s="845"/>
      <c r="G221" s="845"/>
      <c r="H221" s="845"/>
      <c r="I221" s="846"/>
    </row>
    <row r="222" spans="2:9" ht="18" customHeight="1"/>
    <row r="223" spans="2:9" ht="18" customHeight="1"/>
    <row r="224" spans="2:9" ht="18" customHeight="1"/>
    <row r="225" ht="18" customHeight="1"/>
    <row r="226" ht="18" customHeight="1"/>
    <row r="227" ht="18" customHeight="1"/>
    <row r="228" ht="18" customHeight="1"/>
    <row r="229" ht="18" customHeight="1"/>
    <row r="230" ht="18" customHeight="1"/>
    <row r="231" ht="18" customHeight="1"/>
    <row r="232" ht="18" customHeight="1"/>
    <row r="233" ht="18" customHeight="1"/>
    <row r="234" ht="18" customHeight="1"/>
    <row r="235" ht="18" customHeight="1"/>
    <row r="236" ht="18" customHeight="1"/>
    <row r="237" ht="18" customHeight="1"/>
    <row r="238" ht="18" customHeight="1"/>
    <row r="239" ht="18" customHeight="1"/>
    <row r="240" ht="18" customHeight="1"/>
    <row r="241" ht="18" customHeight="1"/>
    <row r="242" ht="18" customHeight="1"/>
    <row r="243" ht="18" customHeight="1"/>
    <row r="244" ht="18" customHeight="1"/>
    <row r="245" ht="18" customHeight="1"/>
    <row r="246" ht="18" customHeight="1"/>
    <row r="247" ht="18" customHeight="1"/>
    <row r="248" ht="18" customHeight="1"/>
    <row r="249" ht="18" customHeight="1"/>
    <row r="250" ht="18" customHeight="1"/>
    <row r="251" ht="18" customHeight="1"/>
    <row r="252" ht="18"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row r="1001" ht="14.25" customHeight="1"/>
    <row r="1002" ht="14.25" customHeight="1"/>
    <row r="1003" ht="14.25" customHeight="1"/>
    <row r="1004" ht="14.25" customHeight="1"/>
    <row r="1005" ht="14.25" customHeight="1"/>
    <row r="1006" ht="14.25" customHeight="1"/>
    <row r="1007" ht="14.25" customHeight="1"/>
    <row r="1008" ht="14.25" customHeight="1"/>
    <row r="1009" ht="14.25" customHeight="1"/>
    <row r="1010" ht="14.25" customHeight="1"/>
    <row r="1011" ht="14.25" customHeight="1"/>
    <row r="1012" ht="14.25" customHeight="1"/>
    <row r="1013" ht="14.25" customHeight="1"/>
    <row r="1014" ht="14.25" customHeight="1"/>
    <row r="1015" ht="14.25" customHeight="1"/>
    <row r="1016" ht="14.25" customHeight="1"/>
    <row r="1017" ht="14.25" customHeight="1"/>
    <row r="1018" ht="14.25" customHeight="1"/>
    <row r="1019" ht="14.25" customHeight="1"/>
    <row r="1020" ht="14.25" customHeight="1"/>
    <row r="1021" ht="14.25" customHeight="1"/>
    <row r="1022" ht="14.25" customHeight="1"/>
    <row r="1023" ht="14.25" customHeight="1"/>
    <row r="1024" ht="14.25" customHeight="1"/>
    <row r="1025" ht="14.25" customHeight="1"/>
    <row r="1026" ht="14.25" customHeight="1"/>
    <row r="1027" ht="14.25" customHeight="1"/>
    <row r="1028" ht="14.25" customHeight="1"/>
    <row r="1029" ht="14.25" customHeight="1"/>
    <row r="1030" ht="14.25" customHeight="1"/>
    <row r="1031" ht="14.25" customHeight="1"/>
    <row r="1032" ht="14.25" customHeight="1"/>
    <row r="1033" ht="14.25" customHeight="1"/>
    <row r="1034" ht="14.25" customHeight="1"/>
    <row r="1035" ht="14.25" customHeight="1"/>
    <row r="1036" ht="14.25" customHeight="1"/>
    <row r="1037" ht="14.25" customHeight="1"/>
    <row r="1038" ht="14.25" customHeight="1"/>
    <row r="1039" ht="14.25" customHeight="1"/>
    <row r="1040" ht="14.25" customHeight="1"/>
    <row r="1041" ht="14.25" customHeight="1"/>
    <row r="1042" ht="14.25" customHeight="1"/>
    <row r="1043" ht="14.25" customHeight="1"/>
    <row r="1044" ht="14.25" customHeight="1"/>
    <row r="1045" ht="14.25" customHeight="1"/>
    <row r="1046" ht="14.25" customHeight="1"/>
    <row r="1047" ht="14.25" customHeight="1"/>
    <row r="1048" ht="14.25" customHeight="1"/>
    <row r="1049" ht="14.25" customHeight="1"/>
    <row r="1050" ht="14.25" customHeight="1"/>
    <row r="1051" ht="14.25" customHeight="1"/>
    <row r="1052" ht="14.25" customHeight="1"/>
    <row r="1053" ht="14.25" customHeight="1"/>
    <row r="1054" ht="14.25" customHeight="1"/>
    <row r="1055" ht="14.25" customHeight="1"/>
    <row r="1056" ht="14.25" customHeight="1"/>
    <row r="1057" ht="14.25" customHeight="1"/>
    <row r="1058" ht="14.25" customHeight="1"/>
    <row r="1059" ht="14.25" customHeight="1"/>
    <row r="1060" ht="14.25" customHeight="1"/>
    <row r="1061" ht="14.25" customHeight="1"/>
    <row r="1062" ht="14.25" customHeight="1"/>
    <row r="1063" ht="14.25" customHeight="1"/>
    <row r="1064" ht="14.25" customHeight="1"/>
    <row r="1065" ht="14.25" customHeight="1"/>
    <row r="1066" ht="14.25" customHeight="1"/>
    <row r="1067" ht="14.25" customHeight="1"/>
    <row r="1068" ht="14.25" customHeight="1"/>
    <row r="1069" ht="14.25" customHeight="1"/>
    <row r="1070" ht="14.25" customHeight="1"/>
    <row r="1071" ht="14.25" customHeight="1"/>
    <row r="1072" ht="14.25" customHeight="1"/>
    <row r="1073" ht="14.25" customHeight="1"/>
    <row r="1074" ht="14.25" customHeight="1"/>
    <row r="1075" ht="14.25" customHeight="1"/>
    <row r="1076" ht="14.25" customHeight="1"/>
    <row r="1077" ht="14.25" customHeight="1"/>
    <row r="1078" ht="14.25" customHeight="1"/>
    <row r="1079" ht="14.25" customHeight="1"/>
    <row r="1080" ht="14.25" customHeight="1"/>
    <row r="1081" ht="14.25" customHeight="1"/>
    <row r="1082" ht="14.25" customHeight="1"/>
    <row r="1083" ht="14.25" customHeight="1"/>
    <row r="1084" ht="14.25" customHeight="1"/>
  </sheetData>
  <mergeCells count="54">
    <mergeCell ref="B185:B192"/>
    <mergeCell ref="B193:B201"/>
    <mergeCell ref="B202:B211"/>
    <mergeCell ref="B212:B221"/>
    <mergeCell ref="B154:B163"/>
    <mergeCell ref="C154:I163"/>
    <mergeCell ref="B165:B170"/>
    <mergeCell ref="B171:B175"/>
    <mergeCell ref="B176:B180"/>
    <mergeCell ref="B181:B184"/>
    <mergeCell ref="C129:I135"/>
    <mergeCell ref="B133:B135"/>
    <mergeCell ref="B136:B145"/>
    <mergeCell ref="C136:I145"/>
    <mergeCell ref="B146:B153"/>
    <mergeCell ref="C146:I153"/>
    <mergeCell ref="B113:B119"/>
    <mergeCell ref="C113:H119"/>
    <mergeCell ref="B120:B125"/>
    <mergeCell ref="C120:H125"/>
    <mergeCell ref="B126:B128"/>
    <mergeCell ref="C126:I128"/>
    <mergeCell ref="B108:B112"/>
    <mergeCell ref="C108:H112"/>
    <mergeCell ref="B74:B76"/>
    <mergeCell ref="B77:B83"/>
    <mergeCell ref="C77:I82"/>
    <mergeCell ref="B84:B90"/>
    <mergeCell ref="C84:I90"/>
    <mergeCell ref="C91:I91"/>
    <mergeCell ref="B92:B97"/>
    <mergeCell ref="C92:I97"/>
    <mergeCell ref="B98:B106"/>
    <mergeCell ref="C98:I106"/>
    <mergeCell ref="B107:I107"/>
    <mergeCell ref="B54:B60"/>
    <mergeCell ref="C54:I59"/>
    <mergeCell ref="B61:B66"/>
    <mergeCell ref="C61:I66"/>
    <mergeCell ref="B67:B73"/>
    <mergeCell ref="C67:I73"/>
    <mergeCell ref="F15:H15"/>
    <mergeCell ref="F17:I17"/>
    <mergeCell ref="B23:B24"/>
    <mergeCell ref="C23:C24"/>
    <mergeCell ref="D23:D24"/>
    <mergeCell ref="E23:E24"/>
    <mergeCell ref="B1:I1"/>
    <mergeCell ref="B7:E7"/>
    <mergeCell ref="F7:I7"/>
    <mergeCell ref="B11:B12"/>
    <mergeCell ref="C11:C12"/>
    <mergeCell ref="D11:D12"/>
    <mergeCell ref="E11:E12"/>
  </mergeCells>
  <conditionalFormatting sqref="E2">
    <cfRule type="expression" dxfId="117" priority="1">
      <formula>AND(ISNUMBER(E2),OR(MONTH(E2)&lt;&gt;MONTH(CFG_MES),YEAR(E2)&lt;&gt;YEAR(CFG_MES)))</formula>
    </cfRule>
  </conditionalFormatting>
  <printOptions horizontalCentered="1"/>
  <pageMargins left="0.5" right="0.5" top="0.61111111111111116" bottom="0.61111111111111116" header="0" footer="0"/>
  <pageSetup paperSize="9" scale="13" fitToHeight="0" orientation="landscape" r:id="rId1"/>
  <headerFooter>
    <oddHeader>&amp;Z&amp;R</oddHeader>
    <oddFooter>&amp;CShougang Hierro Perú S.A.A. — Beneficio ZA — Captura-RDO — Página &amp;P de &amp;F</oddFooter>
  </headerFooter>
  <drawing r:id="rId2"/>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Fecha fuera del mes en control" error="Esa fecha no pertenece al mes definido en Config (C5:C6). ¿Usarla de todos modos?" promptTitle="Fecha del mes en control" prompt="Elija una fecha de la lista (mes y año definidos en Config C5:C6)." xr:uid="{33390127-FA1A-45F0-B76D-9C2A3F8CBE62}">
          <x14:formula1>
            <xm:f>OFFSET(Listas!$I$5,0,0,Config!$C$13,1)</xm:f>
          </x14:formula1>
          <xm:sqref>E2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043C1-9F9E-4366-AB4B-008E6BDD3104}">
  <sheetPr codeName="Hoja10">
    <tabColor rgb="FF548235"/>
    <pageSetUpPr fitToPage="1"/>
  </sheetPr>
  <dimension ref="A1:Z70"/>
  <sheetViews>
    <sheetView showGridLines="0" zoomScale="70" zoomScaleNormal="70" workbookViewId="0">
      <pane ySplit="5" topLeftCell="A6" activePane="bottomLeft" state="frozen"/>
      <selection pane="bottomLeft" activeCell="C4" sqref="C4:D4"/>
    </sheetView>
  </sheetViews>
  <sheetFormatPr baseColWidth="10" defaultRowHeight="15"/>
  <cols>
    <col min="1" max="1" width="2.85546875" customWidth="1"/>
    <col min="2" max="2" width="28.5703125" customWidth="1"/>
    <col min="3" max="3" width="16.7109375" customWidth="1"/>
    <col min="4" max="7" width="12.140625" customWidth="1"/>
    <col min="8" max="8" width="40" customWidth="1"/>
    <col min="9" max="9" width="28.5703125" customWidth="1"/>
    <col min="10" max="10" width="16.7109375" customWidth="1"/>
    <col min="11" max="14" width="12.140625" customWidth="1"/>
    <col min="15" max="15" width="40" customWidth="1"/>
    <col min="16" max="16" width="28.5703125" customWidth="1"/>
    <col min="17" max="17" width="16.7109375" customWidth="1"/>
    <col min="18" max="21" width="12.140625" customWidth="1"/>
    <col min="22" max="22" width="40" customWidth="1"/>
    <col min="23" max="23" width="2.85546875" customWidth="1"/>
    <col min="24" max="24" width="28.5703125" customWidth="1"/>
    <col min="25" max="25" width="13.28515625" customWidth="1"/>
    <col min="26" max="26" width="15.28515625" customWidth="1"/>
  </cols>
  <sheetData>
    <row r="1" spans="1:26" ht="22.5" customHeight="1">
      <c r="A1" s="1033"/>
      <c r="B1" s="1219" t="s">
        <v>9866</v>
      </c>
      <c r="C1" s="1220"/>
      <c r="D1" s="1220"/>
      <c r="E1" s="1220"/>
      <c r="F1" s="1220"/>
      <c r="G1" s="1220"/>
      <c r="H1" s="1220"/>
      <c r="I1" s="1220"/>
      <c r="J1" s="1220"/>
      <c r="K1" s="1220"/>
      <c r="L1" s="1220"/>
      <c r="M1" s="1220"/>
      <c r="N1" s="1220"/>
      <c r="O1" s="1220"/>
      <c r="P1" s="1220"/>
      <c r="Q1" s="1220"/>
      <c r="R1" s="1220"/>
      <c r="S1" s="1220"/>
      <c r="T1" s="1220"/>
      <c r="U1" s="1220"/>
      <c r="V1" s="1220"/>
      <c r="W1" s="1033"/>
      <c r="X1" s="1033"/>
      <c r="Y1" s="1033"/>
      <c r="Z1" s="1033"/>
    </row>
    <row r="2" spans="1:26">
      <c r="A2" s="1033"/>
      <c r="B2" s="1033"/>
      <c r="C2" s="1033"/>
      <c r="D2" s="1033"/>
      <c r="E2" s="1033"/>
      <c r="F2" s="1033"/>
      <c r="G2" s="1033"/>
      <c r="H2" s="1033"/>
      <c r="I2" s="1033"/>
      <c r="J2" s="1033"/>
      <c r="K2" s="1033"/>
      <c r="L2" s="1033"/>
      <c r="M2" s="1033"/>
      <c r="N2" s="1033"/>
      <c r="O2" s="1033"/>
      <c r="P2" s="1033"/>
      <c r="Q2" s="1033"/>
      <c r="R2" s="1033"/>
      <c r="S2" s="1033"/>
      <c r="T2" s="1033"/>
      <c r="U2" s="1033"/>
      <c r="V2" s="1033"/>
      <c r="W2" s="1033"/>
      <c r="X2" s="1033"/>
      <c r="Y2" s="1033"/>
      <c r="Z2" s="1033"/>
    </row>
    <row r="3" spans="1:26" ht="30" customHeight="1">
      <c r="A3" s="1033"/>
      <c r="B3" s="1033"/>
      <c r="C3" s="1033"/>
      <c r="D3" s="1033"/>
      <c r="E3" s="1033"/>
      <c r="F3" s="1033"/>
      <c r="G3" s="1033"/>
      <c r="H3" s="1033"/>
      <c r="I3" s="1033"/>
      <c r="J3" s="1033"/>
      <c r="K3" s="1033"/>
      <c r="L3" s="1033"/>
      <c r="M3" s="1033"/>
      <c r="N3" s="1033"/>
      <c r="O3" s="1033"/>
      <c r="P3" s="1033"/>
      <c r="Q3" s="1033"/>
      <c r="R3" s="1033"/>
      <c r="S3" s="1033"/>
      <c r="T3" s="1033"/>
      <c r="U3" s="1033"/>
      <c r="V3" s="1033"/>
      <c r="W3" s="1033"/>
      <c r="X3" s="1033"/>
      <c r="Y3" s="1033"/>
      <c r="Z3" s="1033"/>
    </row>
    <row r="4" spans="1:26" ht="15.75">
      <c r="A4" s="1033"/>
      <c r="B4" s="1047" t="s">
        <v>1373</v>
      </c>
      <c r="C4" s="1307">
        <v>46294</v>
      </c>
      <c r="D4" s="1308"/>
      <c r="E4" s="1027" t="str">
        <f>IF(ISNUMBER(C4),TEXT(C4,"dddd"),"")</f>
        <v>martes</v>
      </c>
      <c r="F4" s="1033"/>
      <c r="G4" s="1033"/>
      <c r="H4" s="1033"/>
      <c r="I4" s="1047" t="s">
        <v>9868</v>
      </c>
      <c r="J4" s="1033" t="str">
        <f>IFERROR(INDEX(tblDias[Estado],MATCH(C4,tblDias[Fecha],0)),"Sin registro")</f>
        <v>Abierto</v>
      </c>
      <c r="K4" s="1033"/>
      <c r="L4" s="1033"/>
      <c r="M4" s="1033"/>
      <c r="N4" s="1033"/>
      <c r="O4" s="1033"/>
      <c r="P4" s="1033"/>
      <c r="Q4" s="1033"/>
      <c r="R4" s="1033"/>
      <c r="S4" s="1033"/>
      <c r="T4" s="1033"/>
      <c r="U4" s="1033"/>
      <c r="V4" s="1033"/>
      <c r="W4" s="1033"/>
      <c r="X4" s="1221" t="s">
        <v>9856</v>
      </c>
      <c r="Y4" s="1221"/>
      <c r="Z4" s="1221"/>
    </row>
    <row r="5" spans="1:26">
      <c r="A5" s="1033"/>
      <c r="B5" s="1047" t="s">
        <v>9867</v>
      </c>
      <c r="C5" s="1220" t="str">
        <f>IF(CFG_USUARIO="","(usuario de Windows)",CFG_USUARIO)</f>
        <v>(usuario de Windows)</v>
      </c>
      <c r="D5" s="1220"/>
      <c r="E5" s="1033"/>
      <c r="F5" s="1033"/>
      <c r="G5" s="1033"/>
      <c r="H5" s="1033"/>
      <c r="I5" s="1047" t="s">
        <v>9869</v>
      </c>
      <c r="J5" s="1033" t="str">
        <f>CFG_MES_TXT</f>
        <v>Setiembre 2026</v>
      </c>
      <c r="K5" s="1033"/>
      <c r="L5" s="1033"/>
      <c r="M5" s="1033"/>
      <c r="N5" s="1033"/>
      <c r="O5" s="1033"/>
      <c r="P5" s="1033"/>
      <c r="Q5" s="1033"/>
      <c r="R5" s="1033"/>
      <c r="S5" s="1033"/>
      <c r="T5" s="1033"/>
      <c r="U5" s="1033"/>
      <c r="V5" s="1033"/>
      <c r="W5" s="1033"/>
      <c r="X5" s="1063" t="s">
        <v>9857</v>
      </c>
      <c r="Y5" s="1063" t="s">
        <v>9858</v>
      </c>
      <c r="Z5" s="1063" t="s">
        <v>9859</v>
      </c>
    </row>
    <row r="6" spans="1:26">
      <c r="A6" s="1033"/>
      <c r="B6" s="1033"/>
      <c r="C6" s="1033"/>
      <c r="D6" s="1033"/>
      <c r="E6" s="1033"/>
      <c r="F6" s="1033"/>
      <c r="G6" s="1033"/>
      <c r="H6" s="1033"/>
      <c r="I6" s="1033"/>
      <c r="J6" s="1033"/>
      <c r="K6" s="1033"/>
      <c r="L6" s="1033"/>
      <c r="M6" s="1033"/>
      <c r="N6" s="1033"/>
      <c r="O6" s="1033"/>
      <c r="P6" s="1033"/>
      <c r="Q6" s="1033"/>
      <c r="R6" s="1033"/>
      <c r="S6" s="1033"/>
      <c r="T6" s="1033"/>
      <c r="U6" s="1033"/>
      <c r="V6" s="1033"/>
      <c r="W6" s="1033"/>
      <c r="X6" s="1049" t="s">
        <v>9430</v>
      </c>
      <c r="Y6" s="1048" t="str" cm="1">
        <f t="array" ref="Y6">SUMPRODUCT(($B$9:$B$19&lt;&gt;"")*($D$9:$F$19&lt;&gt;""))&amp;" / "&amp;COUNTIFS(tblCatControles[Módulo],X6,tblCatControles[Activo],"Sí")*COUNTIF($D$8:$F$8,"?*")</f>
        <v>11 / 33</v>
      </c>
      <c r="Z6" s="1048">
        <f>IF(ISNUMBER($C$4),COUNTIFS(tblControles[Fecha],$C$4,tblControles[Módulo],X6,tblControles[Turno],"&lt;&gt;Obs"),0)</f>
        <v>11</v>
      </c>
    </row>
    <row r="7" spans="1:26">
      <c r="A7" s="1033"/>
      <c r="B7" s="1309" t="s">
        <v>9430</v>
      </c>
      <c r="C7" s="1221"/>
      <c r="D7" s="1221"/>
      <c r="E7" s="1221"/>
      <c r="F7" s="1221"/>
      <c r="G7" s="1221"/>
      <c r="H7" s="1310"/>
      <c r="I7" s="1312" t="s">
        <v>9433</v>
      </c>
      <c r="J7" s="1221"/>
      <c r="K7" s="1221"/>
      <c r="L7" s="1221"/>
      <c r="M7" s="1221"/>
      <c r="N7" s="1221"/>
      <c r="O7" s="1310"/>
      <c r="P7" s="1313" t="s">
        <v>9441</v>
      </c>
      <c r="Q7" s="1221"/>
      <c r="R7" s="1221"/>
      <c r="S7" s="1221"/>
      <c r="T7" s="1221"/>
      <c r="U7" s="1221"/>
      <c r="V7" s="1221"/>
      <c r="W7" s="1033"/>
      <c r="X7" s="1049" t="s">
        <v>9433</v>
      </c>
      <c r="Y7" s="1048" t="str" cm="1">
        <f t="array" ref="Y7">SUMPRODUCT(($I$9:$I$25&lt;&gt;"")*($K$9:$M$25&lt;&gt;""))&amp;" / "&amp;COUNTIFS(tblCatControles[Módulo],X7,tblCatControles[Activo],"Sí")*COUNTIF($K$8:$M$8,"?*")</f>
        <v>15 / 45</v>
      </c>
      <c r="Z7" s="1048">
        <f>IF(ISNUMBER($C$4),COUNTIFS(tblControles[Fecha],$C$4,tblControles[Módulo],X7,tblControles[Turno],"&lt;&gt;Obs"),0)</f>
        <v>15</v>
      </c>
    </row>
    <row r="8" spans="1:26">
      <c r="A8" s="1033"/>
      <c r="B8" s="1060" t="s">
        <v>9460</v>
      </c>
      <c r="C8" s="1060" t="s">
        <v>9874</v>
      </c>
      <c r="D8" s="1060" t="str">
        <f>IFERROR(INDEX(tblModulos[Etiqueta 1],MATCH($B$7,tblModulos[Módulo],0))&amp;"","")</f>
        <v>1 TURNO</v>
      </c>
      <c r="E8" s="1060" t="str">
        <f>IFERROR(INDEX(tblModulos[Etiqueta 2],MATCH($B$7,tblModulos[Módulo],0))&amp;"","")</f>
        <v>2 TURNO</v>
      </c>
      <c r="F8" s="1060" t="str">
        <f>IFERROR(INDEX(tblModulos[Etiqueta 3],MATCH($B$7,tblModulos[Módulo],0))&amp;"","")</f>
        <v>3 TURNO</v>
      </c>
      <c r="G8" s="1060" t="s">
        <v>9369</v>
      </c>
      <c r="H8" s="1059" t="s">
        <v>9538</v>
      </c>
      <c r="I8" s="1060" t="s">
        <v>9460</v>
      </c>
      <c r="J8" s="1060" t="s">
        <v>9874</v>
      </c>
      <c r="K8" s="1060" t="str">
        <f>IFERROR(INDEX(tblModulos[Etiqueta 1],MATCH($I$7,tblModulos[Módulo],0))&amp;"","")</f>
        <v>1er Turno</v>
      </c>
      <c r="L8" s="1060" t="str">
        <f>IFERROR(INDEX(tblModulos[Etiqueta 2],MATCH($I$7,tblModulos[Módulo],0))&amp;"","")</f>
        <v>2do Turno</v>
      </c>
      <c r="M8" s="1060" t="str">
        <f>IFERROR(INDEX(tblModulos[Etiqueta 3],MATCH($I$7,tblModulos[Módulo],0))&amp;"","")</f>
        <v>3er Turno</v>
      </c>
      <c r="N8" s="1060" t="s">
        <v>9369</v>
      </c>
      <c r="O8" s="1059" t="s">
        <v>9538</v>
      </c>
      <c r="P8" s="1060" t="s">
        <v>9460</v>
      </c>
      <c r="Q8" s="1060" t="s">
        <v>9874</v>
      </c>
      <c r="R8" s="1060" t="str">
        <f>IFERROR(INDEX(tblModulos[Etiqueta 1],MATCH($P$7,tblModulos[Módulo],0))&amp;"","")</f>
        <v>1° Turno</v>
      </c>
      <c r="S8" s="1060" t="str">
        <f>IFERROR(INDEX(tblModulos[Etiqueta 2],MATCH($P$7,tblModulos[Módulo],0))&amp;"","")</f>
        <v>2° Turno</v>
      </c>
      <c r="T8" s="1060" t="str">
        <f>IFERROR(INDEX(tblModulos[Etiqueta 3],MATCH($P$7,tblModulos[Módulo],0))&amp;"","")</f>
        <v>3° Turno</v>
      </c>
      <c r="U8" s="1060" t="s">
        <v>9369</v>
      </c>
      <c r="V8" s="1060" t="s">
        <v>9538</v>
      </c>
      <c r="W8" s="1033"/>
      <c r="X8" s="1049" t="s">
        <v>9441</v>
      </c>
      <c r="Y8" s="1048" t="str" cm="1">
        <f t="array" ref="Y8">SUMPRODUCT(($P$9:$P$24&lt;&gt;"")*($R$9:$T$24&lt;&gt;""))&amp;" / "&amp;COUNTIFS(tblCatControles[Módulo],X8,tblCatControles[Activo],"Sí")*COUNTIF($R$8:$T$8,"?*")</f>
        <v>0 / 48</v>
      </c>
      <c r="Z8" s="1048">
        <f>IF(ISNUMBER($C$4),COUNTIFS(tblControles[Fecha],$C$4,tblControles[Módulo],X8,tblControles[Turno],"&lt;&gt;Obs"),0)</f>
        <v>0</v>
      </c>
    </row>
    <row r="9" spans="1:26">
      <c r="A9" s="1033"/>
      <c r="B9" s="1061" t="str" cm="1">
        <f t="array" ref="B9">IFERROR(INDEX(tblCatControles[Ítem],_xlfn.AGGREGATE(15,6,(ROW(tblCatControles[Módulo])-ROW(tblCatControles[[#Headers],[Módulo]]))/((tblCatControles[Módulo]=$B$7)*(tblCatControles[Activo]="Sí")),1)),"")</f>
        <v>Filtro # 1</v>
      </c>
      <c r="C9" s="1061" t="str" cm="1">
        <f t="array" ref="C9">IFERROR(INDEX(tblCatControles[Ubicación / detalle],_xlfn.AGGREGATE(15,6,(ROW(tblCatControles[Módulo])-ROW(tblCatControles[[#Headers],[Módulo]]))/((tblCatControles[Módulo]=$B$7)*(tblCatControles[Activo]="Sí")),1))&amp;"","")</f>
        <v/>
      </c>
      <c r="D9" s="1048"/>
      <c r="E9" s="1048"/>
      <c r="F9" s="1048" t="s">
        <v>3227</v>
      </c>
      <c r="G9" s="1062" t="str" cm="1">
        <f t="array" ref="G9">IF(COUNTA(D9:F9,H9)=0,"",IF(SUMPRODUCT(--(D9:F9&lt;&gt;""),--(D9:F9&lt;&gt;"OK"),--(D9:F9&lt;&gt;"X"),--(D9:F9&lt;&gt;"NA"))&gt;0,"Inválido","OK"))</f>
        <v>OK</v>
      </c>
      <c r="H9" s="1050"/>
      <c r="I9" s="1055" t="s">
        <v>9871</v>
      </c>
      <c r="J9" s="1055"/>
      <c r="K9" s="1066"/>
      <c r="L9" s="1066"/>
      <c r="M9" s="1066"/>
      <c r="N9" s="1067"/>
      <c r="O9" s="1065"/>
      <c r="P9" s="1061" t="str" cm="1">
        <f t="array" ref="P9">IFERROR(INDEX(tblCatControles[Ítem],_xlfn.AGGREGATE(15,6,(ROW(tblCatControles[Módulo])-ROW(tblCatControles[[#Headers],[Módulo]]))/((tblCatControles[Módulo]=$P$7)*(tblCatControles[Activo]="Sí")),1)),"")</f>
        <v>210-097</v>
      </c>
      <c r="Q9" s="1061" t="str" cm="1">
        <f t="array" ref="Q9">IFERROR(INDEX(tblCatControles[Ubicación / detalle],_xlfn.AGGREGATE(15,6,(ROW(tblCatControles[Módulo])-ROW(tblCatControles[[#Headers],[Módulo]]))/((tblCatControles[Módulo]=$P$7)*(tblCatControles[Activo]="Sí")),1))&amp;"","")</f>
        <v/>
      </c>
      <c r="R9" s="1048"/>
      <c r="S9" s="1048"/>
      <c r="T9" s="1048"/>
      <c r="U9" s="1062" t="str" cm="1">
        <f t="array" ref="U9">IF(COUNTA(R9:T9,V9)=0,"",IF(SUMPRODUCT(--(R9:T9&lt;&gt;""),--(R9:T9&lt;&gt;"OK"),--(R9:T9&lt;&gt;"X"),--(R9:T9&lt;&gt;"NA"))&gt;0,"Inválido","OK"))</f>
        <v/>
      </c>
      <c r="V9" s="1049"/>
      <c r="W9" s="1033"/>
      <c r="X9" s="1049" t="s">
        <v>9855</v>
      </c>
      <c r="Y9" s="1048" t="str">
        <f>COUNTIF($P$34:$P$57,"?*")&amp;" / "&amp;CFG_HORAS&amp;" h"</f>
        <v>24 / 24 h</v>
      </c>
      <c r="Z9" s="1048">
        <f>IF(ISNUMBER($C$4),COUNTIFS(tblConcentrado[Fecha],$C$4),0)</f>
        <v>24</v>
      </c>
    </row>
    <row r="10" spans="1:26">
      <c r="A10" s="1033"/>
      <c r="B10" s="1061" t="str" cm="1">
        <f t="array" ref="B10">IFERROR(INDEX(tblCatControles[Ítem],_xlfn.AGGREGATE(15,6,(ROW(tblCatControles[Módulo])-ROW(tblCatControles[[#Headers],[Módulo]]))/((tblCatControles[Módulo]=$B$7)*(tblCatControles[Activo]="Sí")),2)),"")</f>
        <v>Filtro # 2</v>
      </c>
      <c r="C10" s="1061" t="str" cm="1">
        <f t="array" ref="C10">IFERROR(INDEX(tblCatControles[Ubicación / detalle],_xlfn.AGGREGATE(15,6,(ROW(tblCatControles[Módulo])-ROW(tblCatControles[[#Headers],[Módulo]]))/((tblCatControles[Módulo]=$B$7)*(tblCatControles[Activo]="Sí")),2))&amp;"","")</f>
        <v/>
      </c>
      <c r="D10" s="1048"/>
      <c r="E10" s="1048"/>
      <c r="F10" s="1048" t="s">
        <v>3227</v>
      </c>
      <c r="G10" s="1062" t="str" cm="1">
        <f t="array" ref="G10">IF(COUNTA(D10:F10,H10)=0,"",IF(SUMPRODUCT(--(D10:F10&lt;&gt;""),--(D10:F10&lt;&gt;"OK"),--(D10:F10&lt;&gt;"X"),--(D10:F10&lt;&gt;"NA"))&gt;0,"Inválido","OK"))</f>
        <v>OK</v>
      </c>
      <c r="H10" s="1050"/>
      <c r="I10" s="1061" t="str" cm="1">
        <f t="array" ref="I10">IFERROR(INDEX(tblCatControles[Ítem],_xlfn.AGGREGATE(15,6,(ROW(tblCatControles[Módulo])-ROW(tblCatControles[[#Headers],[Módulo]]))/((tblCatControles[Módulo]=$I$7)*(tblCatControles[Activo]="Sí")),1)),"")</f>
        <v>TK-MG-S. ROTULO</v>
      </c>
      <c r="J10" s="1061" t="str" cm="1">
        <f t="array" ref="J10">IFERROR(INDEX(tblCatControles[Ubicación / detalle],_xlfn.AGGREGATE(15,6,(ROW(tblCatControles[Módulo])-ROW(tblCatControles[[#Headers],[Módulo]]))/((tblCatControles[Módulo]=$I$7)*(tblCatControles[Activo]="Sí")),1))&amp;"","")</f>
        <v>Linea 1</v>
      </c>
      <c r="K10" s="1048"/>
      <c r="L10" s="1048"/>
      <c r="M10" s="1048" t="s">
        <v>3227</v>
      </c>
      <c r="N10" s="1062" t="str" cm="1">
        <f t="array" ref="N10">IF(COUNTA(K10:M10,O10)=0,"",IF(SUMPRODUCT(--(K10:M10&lt;&gt;""),--(K10:M10&lt;&gt;"OK"),--(K10:M10&lt;&gt;"X"),--(K10:M10&lt;&gt;"NA"))&gt;0,"Inválido","OK"))</f>
        <v>OK</v>
      </c>
      <c r="O10" s="1050"/>
      <c r="P10" s="1061" t="str" cm="1">
        <f t="array" ref="P10">IFERROR(INDEX(tblCatControles[Ítem],_xlfn.AGGREGATE(15,6,(ROW(tblCatControles[Módulo])-ROW(tblCatControles[[#Headers],[Módulo]]))/((tblCatControles[Módulo]=$P$7)*(tblCatControles[Activo]="Sí")),2)),"")</f>
        <v>210-098</v>
      </c>
      <c r="Q10" s="1061" t="str" cm="1">
        <f t="array" ref="Q10">IFERROR(INDEX(tblCatControles[Ubicación / detalle],_xlfn.AGGREGATE(15,6,(ROW(tblCatControles[Módulo])-ROW(tblCatControles[[#Headers],[Módulo]]))/((tblCatControles[Módulo]=$P$7)*(tblCatControles[Activo]="Sí")),2))&amp;"","")</f>
        <v/>
      </c>
      <c r="R10" s="1048"/>
      <c r="S10" s="1048"/>
      <c r="T10" s="1048"/>
      <c r="U10" s="1062" t="str" cm="1">
        <f t="array" ref="U10">IF(COUNTA(R10:T10,V10)=0,"",IF(SUMPRODUCT(--(R10:T10&lt;&gt;""),--(R10:T10&lt;&gt;"OK"),--(R10:T10&lt;&gt;"X"),--(R10:T10&lt;&gt;"NA"))&gt;0,"Inválido","OK"))</f>
        <v/>
      </c>
      <c r="V10" s="1049"/>
      <c r="W10" s="1033"/>
      <c r="X10" s="1044" t="s">
        <v>9860</v>
      </c>
      <c r="Y10" s="1033"/>
      <c r="Z10" s="1033"/>
    </row>
    <row r="11" spans="1:26">
      <c r="A11" s="1033"/>
      <c r="B11" s="1061" t="str" cm="1">
        <f t="array" ref="B11">IFERROR(INDEX(tblCatControles[Ítem],_xlfn.AGGREGATE(15,6,(ROW(tblCatControles[Módulo])-ROW(tblCatControles[[#Headers],[Módulo]]))/((tblCatControles[Módulo]=$B$7)*(tblCatControles[Activo]="Sí")),3)),"")</f>
        <v>Filtro # 3</v>
      </c>
      <c r="C11" s="1061" t="str" cm="1">
        <f t="array" ref="C11">IFERROR(INDEX(tblCatControles[Ubicación / detalle],_xlfn.AGGREGATE(15,6,(ROW(tblCatControles[Módulo])-ROW(tblCatControles[[#Headers],[Módulo]]))/((tblCatControles[Módulo]=$B$7)*(tblCatControles[Activo]="Sí")),3))&amp;"","")</f>
        <v/>
      </c>
      <c r="D11" s="1048"/>
      <c r="E11" s="1048"/>
      <c r="F11" s="1048" t="s">
        <v>3227</v>
      </c>
      <c r="G11" s="1062" t="str" cm="1">
        <f t="array" ref="G11">IF(COUNTA(D11:F11,H11)=0,"",IF(SUMPRODUCT(--(D11:F11&lt;&gt;""),--(D11:F11&lt;&gt;"OK"),--(D11:F11&lt;&gt;"X"),--(D11:F11&lt;&gt;"NA"))&gt;0,"Inválido","OK"))</f>
        <v>OK</v>
      </c>
      <c r="H11" s="1050"/>
      <c r="I11" s="1061" t="str" cm="1">
        <f t="array" ref="I11">IFERROR(INDEX(tblCatControles[Ítem],_xlfn.AGGREGATE(15,6,(ROW(tblCatControles[Módulo])-ROW(tblCatControles[[#Headers],[Módulo]]))/((tblCatControles[Módulo]=$I$7)*(tblCatControles[Activo]="Sí")),2)),"")</f>
        <v>TK-MG-001</v>
      </c>
      <c r="J11" s="1061" t="str" cm="1">
        <f t="array" ref="J11">IFERROR(INDEX(tblCatControles[Ubicación / detalle],_xlfn.AGGREGATE(15,6,(ROW(tblCatControles[Módulo])-ROW(tblCatControles[[#Headers],[Módulo]]))/((tblCatControles[Módulo]=$I$7)*(tblCatControles[Activo]="Sí")),2))&amp;"","")</f>
        <v>Linea 5</v>
      </c>
      <c r="K11" s="1048"/>
      <c r="L11" s="1048"/>
      <c r="M11" s="1048" t="s">
        <v>3227</v>
      </c>
      <c r="N11" s="1062" t="str" cm="1">
        <f t="array" ref="N11">IF(COUNTA(K11:M11,O11)=0,"",IF(SUMPRODUCT(--(K11:M11&lt;&gt;""),--(K11:M11&lt;&gt;"OK"),--(K11:M11&lt;&gt;"X"),--(K11:M11&lt;&gt;"NA"))&gt;0,"Inválido","OK"))</f>
        <v>OK</v>
      </c>
      <c r="O11" s="1050"/>
      <c r="P11" s="1061" t="str" cm="1">
        <f t="array" ref="P11">IFERROR(INDEX(tblCatControles[Ítem],_xlfn.AGGREGATE(15,6,(ROW(tblCatControles[Módulo])-ROW(tblCatControles[[#Headers],[Módulo]]))/((tblCatControles[Módulo]=$P$7)*(tblCatControles[Activo]="Sí")),3)),"")</f>
        <v>210-099</v>
      </c>
      <c r="Q11" s="1061" t="str" cm="1">
        <f t="array" ref="Q11">IFERROR(INDEX(tblCatControles[Ubicación / detalle],_xlfn.AGGREGATE(15,6,(ROW(tblCatControles[Módulo])-ROW(tblCatControles[[#Headers],[Módulo]]))/((tblCatControles[Módulo]=$P$7)*(tblCatControles[Activo]="Sí")),3))&amp;"","")</f>
        <v/>
      </c>
      <c r="R11" s="1048"/>
      <c r="S11" s="1048"/>
      <c r="T11" s="1048"/>
      <c r="U11" s="1062" t="str" cm="1">
        <f t="array" ref="U11">IF(COUNTA(R11:T11,V11)=0,"",IF(SUMPRODUCT(--(R11:T11&lt;&gt;""),--(R11:T11&lt;&gt;"OK"),--(R11:T11&lt;&gt;"X"),--(R11:T11&lt;&gt;"NA"))&gt;0,"Inválido","OK"))</f>
        <v/>
      </c>
      <c r="V11" s="1049"/>
      <c r="W11" s="1033"/>
      <c r="X11" s="1033"/>
      <c r="Y11" s="1033"/>
      <c r="Z11" s="1033"/>
    </row>
    <row r="12" spans="1:26">
      <c r="A12" s="1033"/>
      <c r="B12" s="1061" t="str" cm="1">
        <f t="array" ref="B12">IFERROR(INDEX(tblCatControles[Ítem],_xlfn.AGGREGATE(15,6,(ROW(tblCatControles[Módulo])-ROW(tblCatControles[[#Headers],[Módulo]]))/((tblCatControles[Módulo]=$B$7)*(tblCatControles[Activo]="Sí")),4)),"")</f>
        <v>Filtro # 4</v>
      </c>
      <c r="C12" s="1061" t="str" cm="1">
        <f t="array" ref="C12">IFERROR(INDEX(tblCatControles[Ubicación / detalle],_xlfn.AGGREGATE(15,6,(ROW(tblCatControles[Módulo])-ROW(tblCatControles[[#Headers],[Módulo]]))/((tblCatControles[Módulo]=$B$7)*(tblCatControles[Activo]="Sí")),4))&amp;"","")</f>
        <v/>
      </c>
      <c r="D12" s="1048"/>
      <c r="E12" s="1048"/>
      <c r="F12" s="1048" t="s">
        <v>345</v>
      </c>
      <c r="G12" s="1062" t="str" cm="1">
        <f t="array" ref="G12">IF(COUNTA(D12:F12,H12)=0,"",IF(SUMPRODUCT(--(D12:F12&lt;&gt;""),--(D12:F12&lt;&gt;"OK"),--(D12:F12&lt;&gt;"X"),--(D12:F12&lt;&gt;"NA"))&gt;0,"Inválido","OK"))</f>
        <v>OK</v>
      </c>
      <c r="H12" s="1050"/>
      <c r="I12" s="1061" t="str" cm="1">
        <f t="array" ref="I12">IFERROR(INDEX(tblCatControles[Ítem],_xlfn.AGGREGATE(15,6,(ROW(tblCatControles[Módulo])-ROW(tblCatControles[[#Headers],[Módulo]]))/((tblCatControles[Módulo]=$I$7)*(tblCatControles[Activo]="Sí")),3)),"")</f>
        <v>TK-MG-002</v>
      </c>
      <c r="J12" s="1061" t="str" cm="1">
        <f t="array" ref="J12">IFERROR(INDEX(tblCatControles[Ubicación / detalle],_xlfn.AGGREGATE(15,6,(ROW(tblCatControles[Módulo])-ROW(tblCatControles[[#Headers],[Módulo]]))/((tblCatControles[Módulo]=$I$7)*(tblCatControles[Activo]="Sí")),3))&amp;"","")</f>
        <v>Linea 8</v>
      </c>
      <c r="K12" s="1048"/>
      <c r="L12" s="1048"/>
      <c r="M12" s="1048" t="s">
        <v>3227</v>
      </c>
      <c r="N12" s="1062" t="str" cm="1">
        <f t="array" ref="N12">IF(COUNTA(K12:M12,O12)=0,"",IF(SUMPRODUCT(--(K12:M12&lt;&gt;""),--(K12:M12&lt;&gt;"OK"),--(K12:M12&lt;&gt;"X"),--(K12:M12&lt;&gt;"NA"))&gt;0,"Inválido","OK"))</f>
        <v>OK</v>
      </c>
      <c r="O12" s="1050"/>
      <c r="P12" s="1061" t="str" cm="1">
        <f t="array" ref="P12">IFERROR(INDEX(tblCatControles[Ítem],_xlfn.AGGREGATE(15,6,(ROW(tblCatControles[Módulo])-ROW(tblCatControles[[#Headers],[Módulo]]))/((tblCatControles[Módulo]=$P$7)*(tblCatControles[Activo]="Sí")),4)),"")</f>
        <v>210-100</v>
      </c>
      <c r="Q12" s="1061" t="str" cm="1">
        <f t="array" ref="Q12">IFERROR(INDEX(tblCatControles[Ubicación / detalle],_xlfn.AGGREGATE(15,6,(ROW(tblCatControles[Módulo])-ROW(tblCatControles[[#Headers],[Módulo]]))/((tblCatControles[Módulo]=$P$7)*(tblCatControles[Activo]="Sí")),4))&amp;"","")</f>
        <v/>
      </c>
      <c r="R12" s="1048"/>
      <c r="S12" s="1048"/>
      <c r="T12" s="1048"/>
      <c r="U12" s="1062" t="str" cm="1">
        <f t="array" ref="U12">IF(COUNTA(R12:T12,V12)=0,"",IF(SUMPRODUCT(--(R12:T12&lt;&gt;""),--(R12:T12&lt;&gt;"OK"),--(R12:T12&lt;&gt;"X"),--(R12:T12&lt;&gt;"NA"))&gt;0,"Inválido","OK"))</f>
        <v/>
      </c>
      <c r="V12" s="1049"/>
      <c r="W12" s="1033"/>
      <c r="X12" s="1033"/>
      <c r="Y12" s="1033"/>
      <c r="Z12" s="1033"/>
    </row>
    <row r="13" spans="1:26">
      <c r="A13" s="1033"/>
      <c r="B13" s="1061" t="str" cm="1">
        <f t="array" ref="B13">IFERROR(INDEX(tblCatControles[Ítem],_xlfn.AGGREGATE(15,6,(ROW(tblCatControles[Módulo])-ROW(tblCatControles[[#Headers],[Módulo]]))/((tblCatControles[Módulo]=$B$7)*(tblCatControles[Activo]="Sí")),5)),"")</f>
        <v>Filtro # 5</v>
      </c>
      <c r="C13" s="1061" t="str" cm="1">
        <f t="array" ref="C13">IFERROR(INDEX(tblCatControles[Ubicación / detalle],_xlfn.AGGREGATE(15,6,(ROW(tblCatControles[Módulo])-ROW(tblCatControles[[#Headers],[Módulo]]))/((tblCatControles[Módulo]=$B$7)*(tblCatControles[Activo]="Sí")),5))&amp;"","")</f>
        <v/>
      </c>
      <c r="D13" s="1048"/>
      <c r="E13" s="1048"/>
      <c r="F13" s="1048" t="s">
        <v>3227</v>
      </c>
      <c r="G13" s="1062" t="str" cm="1">
        <f t="array" ref="G13">IF(COUNTA(D13:F13,H13)=0,"",IF(SUMPRODUCT(--(D13:F13&lt;&gt;""),--(D13:F13&lt;&gt;"OK"),--(D13:F13&lt;&gt;"X"),--(D13:F13&lt;&gt;"NA"))&gt;0,"Inválido","OK"))</f>
        <v>OK</v>
      </c>
      <c r="H13" s="1050"/>
      <c r="I13" s="1061" t="str" cm="1">
        <f t="array" ref="I13">IFERROR(INDEX(tblCatControles[Ítem],_xlfn.AGGREGATE(15,6,(ROW(tblCatControles[Módulo])-ROW(tblCatControles[[#Headers],[Módulo]]))/((tblCatControles[Módulo]=$I$7)*(tblCatControles[Activo]="Sí")),4)),"")</f>
        <v>TK-MG-003</v>
      </c>
      <c r="J13" s="1061" t="str" cm="1">
        <f t="array" ref="J13">IFERROR(INDEX(tblCatControles[Ubicación / detalle],_xlfn.AGGREGATE(15,6,(ROW(tblCatControles[Módulo])-ROW(tblCatControles[[#Headers],[Módulo]]))/((tblCatControles[Módulo]=$I$7)*(tblCatControles[Activo]="Sí")),4))&amp;"","")</f>
        <v>Linea 10</v>
      </c>
      <c r="K13" s="1048"/>
      <c r="L13" s="1048"/>
      <c r="M13" s="1048" t="s">
        <v>3227</v>
      </c>
      <c r="N13" s="1062" t="str" cm="1">
        <f t="array" ref="N13">IF(COUNTA(K13:M13,O13)=0,"",IF(SUMPRODUCT(--(K13:M13&lt;&gt;""),--(K13:M13&lt;&gt;"OK"),--(K13:M13&lt;&gt;"X"),--(K13:M13&lt;&gt;"NA"))&gt;0,"Inválido","OK"))</f>
        <v>OK</v>
      </c>
      <c r="O13" s="1050"/>
      <c r="P13" s="1061" t="str" cm="1">
        <f t="array" ref="P13">IFERROR(INDEX(tblCatControles[Ítem],_xlfn.AGGREGATE(15,6,(ROW(tblCatControles[Módulo])-ROW(tblCatControles[[#Headers],[Módulo]]))/((tblCatControles[Módulo]=$P$7)*(tblCatControles[Activo]="Sí")),5)),"")</f>
        <v>210-114</v>
      </c>
      <c r="Q13" s="1061" t="str" cm="1">
        <f t="array" ref="Q13">IFERROR(INDEX(tblCatControles[Ubicación / detalle],_xlfn.AGGREGATE(15,6,(ROW(tblCatControles[Módulo])-ROW(tblCatControles[[#Headers],[Módulo]]))/((tblCatControles[Módulo]=$P$7)*(tblCatControles[Activo]="Sí")),5))&amp;"","")</f>
        <v/>
      </c>
      <c r="R13" s="1048"/>
      <c r="S13" s="1048"/>
      <c r="T13" s="1048"/>
      <c r="U13" s="1062" t="str" cm="1">
        <f t="array" ref="U13">IF(COUNTA(R13:T13,V13)=0,"",IF(SUMPRODUCT(--(R13:T13&lt;&gt;""),--(R13:T13&lt;&gt;"OK"),--(R13:T13&lt;&gt;"X"),--(R13:T13&lt;&gt;"NA"))&gt;0,"Inválido","OK"))</f>
        <v/>
      </c>
      <c r="V13" s="1049"/>
      <c r="W13" s="1033"/>
      <c r="X13" s="1033"/>
      <c r="Y13" s="1033"/>
      <c r="Z13" s="1033"/>
    </row>
    <row r="14" spans="1:26">
      <c r="A14" s="1033"/>
      <c r="B14" s="1061" t="str" cm="1">
        <f t="array" ref="B14">IFERROR(INDEX(tblCatControles[Ítem],_xlfn.AGGREGATE(15,6,(ROW(tblCatControles[Módulo])-ROW(tblCatControles[[#Headers],[Módulo]]))/((tblCatControles[Módulo]=$B$7)*(tblCatControles[Activo]="Sí")),6)),"")</f>
        <v>Filtro Linea # 5</v>
      </c>
      <c r="C14" s="1061" t="str" cm="1">
        <f t="array" ref="C14">IFERROR(INDEX(tblCatControles[Ubicación / detalle],_xlfn.AGGREGATE(15,6,(ROW(tblCatControles[Módulo])-ROW(tblCatControles[[#Headers],[Módulo]]))/((tblCatControles[Módulo]=$B$7)*(tblCatControles[Activo]="Sí")),6))&amp;"","")</f>
        <v/>
      </c>
      <c r="D14" s="1048"/>
      <c r="E14" s="1048"/>
      <c r="F14" s="1048" t="s">
        <v>3227</v>
      </c>
      <c r="G14" s="1062" t="str" cm="1">
        <f t="array" ref="G14">IF(COUNTA(D14:F14,H14)=0,"",IF(SUMPRODUCT(--(D14:F14&lt;&gt;""),--(D14:F14&lt;&gt;"OK"),--(D14:F14&lt;&gt;"X"),--(D14:F14&lt;&gt;"NA"))&gt;0,"Inválido","OK"))</f>
        <v>OK</v>
      </c>
      <c r="H14" s="1050"/>
      <c r="I14" s="1061" t="str" cm="1">
        <f t="array" ref="I14">IFERROR(INDEX(tblCatControles[Ítem],_xlfn.AGGREGATE(15,6,(ROW(tblCatControles[Módulo])-ROW(tblCatControles[[#Headers],[Módulo]]))/((tblCatControles[Módulo]=$I$7)*(tblCatControles[Activo]="Sí")),5)),"")</f>
        <v>TK-MG-005</v>
      </c>
      <c r="J14" s="1061" t="str" cm="1">
        <f t="array" ref="J14">IFERROR(INDEX(tblCatControles[Ubicación / detalle],_xlfn.AGGREGATE(15,6,(ROW(tblCatControles[Módulo])-ROW(tblCatControles[[#Headers],[Módulo]]))/((tblCatControles[Módulo]=$I$7)*(tblCatControles[Activo]="Sí")),5))&amp;"","")</f>
        <v>Linea 7</v>
      </c>
      <c r="K14" s="1048"/>
      <c r="L14" s="1048"/>
      <c r="M14" s="1048" t="s">
        <v>345</v>
      </c>
      <c r="N14" s="1062" t="str" cm="1">
        <f t="array" ref="N14">IF(COUNTA(K14:M14,O14)=0,"",IF(SUMPRODUCT(--(K14:M14&lt;&gt;""),--(K14:M14&lt;&gt;"OK"),--(K14:M14&lt;&gt;"X"),--(K14:M14&lt;&gt;"NA"))&gt;0,"Inválido","OK"))</f>
        <v>OK</v>
      </c>
      <c r="O14" s="1050"/>
      <c r="P14" s="1061" t="str" cm="1">
        <f t="array" ref="P14">IFERROR(INDEX(tblCatControles[Ítem],_xlfn.AGGREGATE(15,6,(ROW(tblCatControles[Módulo])-ROW(tblCatControles[[#Headers],[Módulo]]))/((tblCatControles[Módulo]=$P$7)*(tblCatControles[Activo]="Sí")),6)),"")</f>
        <v>210-115</v>
      </c>
      <c r="Q14" s="1061" t="str" cm="1">
        <f t="array" ref="Q14">IFERROR(INDEX(tblCatControles[Ubicación / detalle],_xlfn.AGGREGATE(15,6,(ROW(tblCatControles[Módulo])-ROW(tblCatControles[[#Headers],[Módulo]]))/((tblCatControles[Módulo]=$P$7)*(tblCatControles[Activo]="Sí")),6))&amp;"","")</f>
        <v/>
      </c>
      <c r="R14" s="1048"/>
      <c r="S14" s="1048"/>
      <c r="T14" s="1048"/>
      <c r="U14" s="1062" t="str" cm="1">
        <f t="array" ref="U14">IF(COUNTA(R14:T14,V14)=0,"",IF(SUMPRODUCT(--(R14:T14&lt;&gt;""),--(R14:T14&lt;&gt;"OK"),--(R14:T14&lt;&gt;"X"),--(R14:T14&lt;&gt;"NA"))&gt;0,"Inválido","OK"))</f>
        <v/>
      </c>
      <c r="V14" s="1049"/>
      <c r="W14" s="1033"/>
      <c r="X14" s="1033"/>
      <c r="Y14" s="1033"/>
      <c r="Z14" s="1033"/>
    </row>
    <row r="15" spans="1:26">
      <c r="A15" s="1033"/>
      <c r="B15" s="1061" t="str" cm="1">
        <f t="array" ref="B15">IFERROR(INDEX(tblCatControles[Ítem],_xlfn.AGGREGATE(15,6,(ROW(tblCatControles[Módulo])-ROW(tblCatControles[[#Headers],[Módulo]]))/((tblCatControles[Módulo]=$B$7)*(tblCatControles[Activo]="Sí")),7)),"")</f>
        <v>Filtro Linea # 6</v>
      </c>
      <c r="C15" s="1061" t="str" cm="1">
        <f t="array" ref="C15">IFERROR(INDEX(tblCatControles[Ubicación / detalle],_xlfn.AGGREGATE(15,6,(ROW(tblCatControles[Módulo])-ROW(tblCatControles[[#Headers],[Módulo]]))/((tblCatControles[Módulo]=$B$7)*(tblCatControles[Activo]="Sí")),7))&amp;"","")</f>
        <v/>
      </c>
      <c r="D15" s="1048"/>
      <c r="E15" s="1048"/>
      <c r="F15" s="1048" t="s">
        <v>3227</v>
      </c>
      <c r="G15" s="1062" t="str" cm="1">
        <f t="array" ref="G15">IF(COUNTA(D15:F15,H15)=0,"",IF(SUMPRODUCT(--(D15:F15&lt;&gt;""),--(D15:F15&lt;&gt;"OK"),--(D15:F15&lt;&gt;"X"),--(D15:F15&lt;&gt;"NA"))&gt;0,"Inválido","OK"))</f>
        <v>OK</v>
      </c>
      <c r="H15" s="1050"/>
      <c r="I15" s="1061" t="str" cm="1">
        <f t="array" ref="I15">IFERROR(INDEX(tblCatControles[Ítem],_xlfn.AGGREGATE(15,6,(ROW(tblCatControles[Módulo])-ROW(tblCatControles[[#Headers],[Módulo]]))/((tblCatControles[Módulo]=$I$7)*(tblCatControles[Activo]="Sí")),6)),"")</f>
        <v>TK-MG-006</v>
      </c>
      <c r="J15" s="1061" t="str" cm="1">
        <f t="array" ref="J15">IFERROR(INDEX(tblCatControles[Ubicación / detalle],_xlfn.AGGREGATE(15,6,(ROW(tblCatControles[Módulo])-ROW(tblCatControles[[#Headers],[Módulo]]))/((tblCatControles[Módulo]=$I$7)*(tblCatControles[Activo]="Sí")),6))&amp;"","")</f>
        <v>Linea 8</v>
      </c>
      <c r="K15" s="1048"/>
      <c r="L15" s="1048"/>
      <c r="M15" s="1048" t="s">
        <v>3227</v>
      </c>
      <c r="N15" s="1062" t="str" cm="1">
        <f t="array" ref="N15">IF(COUNTA(K15:M15,O15)=0,"",IF(SUMPRODUCT(--(K15:M15&lt;&gt;""),--(K15:M15&lt;&gt;"OK"),--(K15:M15&lt;&gt;"X"),--(K15:M15&lt;&gt;"NA"))&gt;0,"Inválido","OK"))</f>
        <v>OK</v>
      </c>
      <c r="O15" s="1050"/>
      <c r="P15" s="1061" t="str" cm="1">
        <f t="array" ref="P15">IFERROR(INDEX(tblCatControles[Ítem],_xlfn.AGGREGATE(15,6,(ROW(tblCatControles[Módulo])-ROW(tblCatControles[[#Headers],[Módulo]]))/((tblCatControles[Módulo]=$P$7)*(tblCatControles[Activo]="Sí")),7)),"")</f>
        <v>210-101</v>
      </c>
      <c r="Q15" s="1061" t="str" cm="1">
        <f t="array" ref="Q15">IFERROR(INDEX(tblCatControles[Ubicación / detalle],_xlfn.AGGREGATE(15,6,(ROW(tblCatControles[Módulo])-ROW(tblCatControles[[#Headers],[Módulo]]))/((tblCatControles[Módulo]=$P$7)*(tblCatControles[Activo]="Sí")),7))&amp;"","")</f>
        <v/>
      </c>
      <c r="R15" s="1048"/>
      <c r="S15" s="1048"/>
      <c r="T15" s="1048"/>
      <c r="U15" s="1062" t="str" cm="1">
        <f t="array" ref="U15">IF(COUNTA(R15:T15,V15)=0,"",IF(SUMPRODUCT(--(R15:T15&lt;&gt;""),--(R15:T15&lt;&gt;"OK"),--(R15:T15&lt;&gt;"X"),--(R15:T15&lt;&gt;"NA"))&gt;0,"Inválido","OK"))</f>
        <v/>
      </c>
      <c r="V15" s="1049"/>
      <c r="W15" s="1033"/>
      <c r="X15" s="1033"/>
      <c r="Y15" s="1033"/>
      <c r="Z15" s="1033"/>
    </row>
    <row r="16" spans="1:26">
      <c r="A16" s="1033"/>
      <c r="B16" s="1061" t="str" cm="1">
        <f t="array" ref="B16">IFERROR(INDEX(tblCatControles[Ítem],_xlfn.AGGREGATE(15,6,(ROW(tblCatControles[Módulo])-ROW(tblCatControles[[#Headers],[Módulo]]))/((tblCatControles[Módulo]=$B$7)*(tblCatControles[Activo]="Sí")),8)),"")</f>
        <v>Filtro Linea # 7</v>
      </c>
      <c r="C16" s="1061" t="str" cm="1">
        <f t="array" ref="C16">IFERROR(INDEX(tblCatControles[Ubicación / detalle],_xlfn.AGGREGATE(15,6,(ROW(tblCatControles[Módulo])-ROW(tblCatControles[[#Headers],[Módulo]]))/((tblCatControles[Módulo]=$B$7)*(tblCatControles[Activo]="Sí")),8))&amp;"","")</f>
        <v/>
      </c>
      <c r="D16" s="1048"/>
      <c r="E16" s="1048"/>
      <c r="F16" s="1048" t="s">
        <v>3227</v>
      </c>
      <c r="G16" s="1062" t="str" cm="1">
        <f t="array" ref="G16">IF(COUNTA(D16:F16,H16)=0,"",IF(SUMPRODUCT(--(D16:F16&lt;&gt;""),--(D16:F16&lt;&gt;"OK"),--(D16:F16&lt;&gt;"X"),--(D16:F16&lt;&gt;"NA"))&gt;0,"Inválido","OK"))</f>
        <v>OK</v>
      </c>
      <c r="H16" s="1050"/>
      <c r="I16" s="1055" t="s">
        <v>9872</v>
      </c>
      <c r="J16" s="1055"/>
      <c r="K16" s="1066"/>
      <c r="L16" s="1066"/>
      <c r="M16" s="1066"/>
      <c r="N16" s="1067"/>
      <c r="O16" s="1065"/>
      <c r="P16" s="1061" t="str" cm="1">
        <f t="array" ref="P16">IFERROR(INDEX(tblCatControles[Ítem],_xlfn.AGGREGATE(15,6,(ROW(tblCatControles[Módulo])-ROW(tblCatControles[[#Headers],[Módulo]]))/((tblCatControles[Módulo]=$P$7)*(tblCatControles[Activo]="Sí")),8)),"")</f>
        <v>210-102</v>
      </c>
      <c r="Q16" s="1061" t="str" cm="1">
        <f t="array" ref="Q16">IFERROR(INDEX(tblCatControles[Ubicación / detalle],_xlfn.AGGREGATE(15,6,(ROW(tblCatControles[Módulo])-ROW(tblCatControles[[#Headers],[Módulo]]))/((tblCatControles[Módulo]=$P$7)*(tblCatControles[Activo]="Sí")),8))&amp;"","")</f>
        <v/>
      </c>
      <c r="R16" s="1048"/>
      <c r="S16" s="1048"/>
      <c r="T16" s="1048"/>
      <c r="U16" s="1062" t="str" cm="1">
        <f t="array" ref="U16">IF(COUNTA(R16:T16,V16)=0,"",IF(SUMPRODUCT(--(R16:T16&lt;&gt;""),--(R16:T16&lt;&gt;"OK"),--(R16:T16&lt;&gt;"X"),--(R16:T16&lt;&gt;"NA"))&gt;0,"Inválido","OK"))</f>
        <v/>
      </c>
      <c r="V16" s="1049"/>
      <c r="W16" s="1033"/>
      <c r="X16" s="1033"/>
      <c r="Y16" s="1033"/>
      <c r="Z16" s="1033"/>
    </row>
    <row r="17" spans="1:26">
      <c r="A17" s="1033"/>
      <c r="B17" s="1061" t="str" cm="1">
        <f t="array" ref="B17">IFERROR(INDEX(tblCatControles[Ítem],_xlfn.AGGREGATE(15,6,(ROW(tblCatControles[Módulo])-ROW(tblCatControles[[#Headers],[Módulo]]))/((tblCatControles[Módulo]=$B$7)*(tblCatControles[Activo]="Sí")),9)),"")</f>
        <v>Filtro Linea # 8</v>
      </c>
      <c r="C17" s="1061" t="str" cm="1">
        <f t="array" ref="C17">IFERROR(INDEX(tblCatControles[Ubicación / detalle],_xlfn.AGGREGATE(15,6,(ROW(tblCatControles[Módulo])-ROW(tblCatControles[[#Headers],[Módulo]]))/((tblCatControles[Módulo]=$B$7)*(tblCatControles[Activo]="Sí")),9))&amp;"","")</f>
        <v/>
      </c>
      <c r="D17" s="1048"/>
      <c r="E17" s="1048"/>
      <c r="F17" s="1048" t="s">
        <v>345</v>
      </c>
      <c r="G17" s="1062" t="str" cm="1">
        <f t="array" ref="G17">IF(COUNTA(D17:F17,H17)=0,"",IF(SUMPRODUCT(--(D17:F17&lt;&gt;""),--(D17:F17&lt;&gt;"OK"),--(D17:F17&lt;&gt;"X"),--(D17:F17&lt;&gt;"NA"))&gt;0,"Inválido","OK"))</f>
        <v>OK</v>
      </c>
      <c r="H17" s="1050"/>
      <c r="I17" s="1061" t="str" cm="1">
        <f t="array" ref="I17">IFERROR(INDEX(tblCatControles[Ítem],_xlfn.AGGREGATE(15,6,(ROW(tblCatControles[Módulo])-ROW(tblCatControles[[#Headers],[Módulo]]))/((tblCatControles[Módulo]=$I$7)*(tblCatControles[Activo]="Sí")),7)),"")</f>
        <v>TK-MG-007</v>
      </c>
      <c r="J17" s="1061" t="str" cm="1">
        <f t="array" ref="J17">IFERROR(INDEX(tblCatControles[Ubicación / detalle],_xlfn.AGGREGATE(15,6,(ROW(tblCatControles[Módulo])-ROW(tblCatControles[[#Headers],[Módulo]]))/((tblCatControles[Módulo]=$I$7)*(tblCatControles[Activo]="Sí")),7))&amp;"","")</f>
        <v>MB-1</v>
      </c>
      <c r="K17" s="1048"/>
      <c r="L17" s="1048"/>
      <c r="M17" s="1048" t="s">
        <v>3227</v>
      </c>
      <c r="N17" s="1062" t="str" cm="1">
        <f t="array" ref="N17">IF(COUNTA(K17:M17,O17)=0,"",IF(SUMPRODUCT(--(K17:M17&lt;&gt;""),--(K17:M17&lt;&gt;"OK"),--(K17:M17&lt;&gt;"X"),--(K17:M17&lt;&gt;"NA"))&gt;0,"Inválido","OK"))</f>
        <v>OK</v>
      </c>
      <c r="O17" s="1050"/>
      <c r="P17" s="1061" t="str" cm="1">
        <f t="array" ref="P17">IFERROR(INDEX(tblCatControles[Ítem],_xlfn.AGGREGATE(15,6,(ROW(tblCatControles[Módulo])-ROW(tblCatControles[[#Headers],[Módulo]]))/((tblCatControles[Módulo]=$P$7)*(tblCatControles[Activo]="Sí")),9)),"")</f>
        <v>210-103</v>
      </c>
      <c r="Q17" s="1061" t="str" cm="1">
        <f t="array" ref="Q17">IFERROR(INDEX(tblCatControles[Ubicación / detalle],_xlfn.AGGREGATE(15,6,(ROW(tblCatControles[Módulo])-ROW(tblCatControles[[#Headers],[Módulo]]))/((tblCatControles[Módulo]=$P$7)*(tblCatControles[Activo]="Sí")),9))&amp;"","")</f>
        <v/>
      </c>
      <c r="R17" s="1048"/>
      <c r="S17" s="1048"/>
      <c r="T17" s="1048"/>
      <c r="U17" s="1062" t="str" cm="1">
        <f t="array" ref="U17">IF(COUNTA(R17:T17,V17)=0,"",IF(SUMPRODUCT(--(R17:T17&lt;&gt;""),--(R17:T17&lt;&gt;"OK"),--(R17:T17&lt;&gt;"X"),--(R17:T17&lt;&gt;"NA"))&gt;0,"Inválido","OK"))</f>
        <v/>
      </c>
      <c r="V17" s="1049"/>
      <c r="W17" s="1033"/>
      <c r="X17" s="1033"/>
      <c r="Y17" s="1033"/>
      <c r="Z17" s="1033"/>
    </row>
    <row r="18" spans="1:26">
      <c r="A18" s="1033"/>
      <c r="B18" s="1061" t="str" cm="1">
        <f t="array" ref="B18">IFERROR(INDEX(tblCatControles[Ítem],_xlfn.AGGREGATE(15,6,(ROW(tblCatControles[Módulo])-ROW(tblCatControles[[#Headers],[Módulo]]))/((tblCatControles[Módulo]=$B$7)*(tblCatControles[Activo]="Sí")),10)),"")</f>
        <v>Filtro Linea # 9 (01)</v>
      </c>
      <c r="C18" s="1061" t="str" cm="1">
        <f t="array" ref="C18">IFERROR(INDEX(tblCatControles[Ubicación / detalle],_xlfn.AGGREGATE(15,6,(ROW(tblCatControles[Módulo])-ROW(tblCatControles[[#Headers],[Módulo]]))/((tblCatControles[Módulo]=$B$7)*(tblCatControles[Activo]="Sí")),10))&amp;"","")</f>
        <v/>
      </c>
      <c r="D18" s="1048"/>
      <c r="E18" s="1048"/>
      <c r="F18" s="1048" t="s">
        <v>3227</v>
      </c>
      <c r="G18" s="1062" t="str" cm="1">
        <f t="array" ref="G18">IF(COUNTA(D18:F18,H18)=0,"",IF(SUMPRODUCT(--(D18:F18&lt;&gt;""),--(D18:F18&lt;&gt;"OK"),--(D18:F18&lt;&gt;"X"),--(D18:F18&lt;&gt;"NA"))&gt;0,"Inválido","OK"))</f>
        <v>OK</v>
      </c>
      <c r="H18" s="1050"/>
      <c r="I18" s="1061" t="str" cm="1">
        <f t="array" ref="I18">IFERROR(INDEX(tblCatControles[Ítem],_xlfn.AGGREGATE(15,6,(ROW(tblCatControles[Módulo])-ROW(tblCatControles[[#Headers],[Módulo]]))/((tblCatControles[Módulo]=$I$7)*(tblCatControles[Activo]="Sí")),8)),"")</f>
        <v>TK-MG-004</v>
      </c>
      <c r="J18" s="1061" t="str" cm="1">
        <f t="array" ref="J18">IFERROR(INDEX(tblCatControles[Ubicación / detalle],_xlfn.AGGREGATE(15,6,(ROW(tblCatControles[Módulo])-ROW(tblCatControles[[#Headers],[Módulo]]))/((tblCatControles[Módulo]=$I$7)*(tblCatControles[Activo]="Sí")),8))&amp;"","")</f>
        <v>MB-4</v>
      </c>
      <c r="K18" s="1048"/>
      <c r="L18" s="1048"/>
      <c r="M18" s="1048" t="s">
        <v>3227</v>
      </c>
      <c r="N18" s="1062" t="str" cm="1">
        <f t="array" ref="N18">IF(COUNTA(K18:M18,O18)=0,"",IF(SUMPRODUCT(--(K18:M18&lt;&gt;""),--(K18:M18&lt;&gt;"OK"),--(K18:M18&lt;&gt;"X"),--(K18:M18&lt;&gt;"NA"))&gt;0,"Inválido","OK"))</f>
        <v>OK</v>
      </c>
      <c r="O18" s="1050"/>
      <c r="P18" s="1061" t="str" cm="1">
        <f t="array" ref="P18">IFERROR(INDEX(tblCatControles[Ítem],_xlfn.AGGREGATE(15,6,(ROW(tblCatControles[Módulo])-ROW(tblCatControles[[#Headers],[Módulo]]))/((tblCatControles[Módulo]=$P$7)*(tblCatControles[Activo]="Sí")),10)),"")</f>
        <v>210-104</v>
      </c>
      <c r="Q18" s="1061" t="str" cm="1">
        <f t="array" ref="Q18">IFERROR(INDEX(tblCatControles[Ubicación / detalle],_xlfn.AGGREGATE(15,6,(ROW(tblCatControles[Módulo])-ROW(tblCatControles[[#Headers],[Módulo]]))/((tblCatControles[Módulo]=$P$7)*(tblCatControles[Activo]="Sí")),10))&amp;"","")</f>
        <v/>
      </c>
      <c r="R18" s="1048"/>
      <c r="S18" s="1048"/>
      <c r="T18" s="1048"/>
      <c r="U18" s="1062" t="str" cm="1">
        <f t="array" ref="U18">IF(COUNTA(R18:T18,V18)=0,"",IF(SUMPRODUCT(--(R18:T18&lt;&gt;""),--(R18:T18&lt;&gt;"OK"),--(R18:T18&lt;&gt;"X"),--(R18:T18&lt;&gt;"NA"))&gt;0,"Inválido","OK"))</f>
        <v/>
      </c>
      <c r="V18" s="1049"/>
      <c r="W18" s="1033"/>
      <c r="X18" s="1033"/>
      <c r="Y18" s="1033"/>
      <c r="Z18" s="1033"/>
    </row>
    <row r="19" spans="1:26">
      <c r="A19" s="1033"/>
      <c r="B19" s="1061" t="str" cm="1">
        <f t="array" ref="B19">IFERROR(INDEX(tblCatControles[Ítem],_xlfn.AGGREGATE(15,6,(ROW(tblCatControles[Módulo])-ROW(tblCatControles[[#Headers],[Módulo]]))/((tblCatControles[Módulo]=$B$7)*(tblCatControles[Activo]="Sí")),11)),"")</f>
        <v>Filtro Linea # 9 (02)</v>
      </c>
      <c r="C19" s="1061" t="str" cm="1">
        <f t="array" ref="C19">IFERROR(INDEX(tblCatControles[Ubicación / detalle],_xlfn.AGGREGATE(15,6,(ROW(tblCatControles[Módulo])-ROW(tblCatControles[[#Headers],[Módulo]]))/((tblCatControles[Módulo]=$B$7)*(tblCatControles[Activo]="Sí")),11))&amp;"","")</f>
        <v/>
      </c>
      <c r="D19" s="1048"/>
      <c r="E19" s="1048"/>
      <c r="F19" s="1048" t="s">
        <v>345</v>
      </c>
      <c r="G19" s="1062" t="str" cm="1">
        <f t="array" ref="G19">IF(COUNTA(D19:F19,H19)=0,"",IF(SUMPRODUCT(--(D19:F19&lt;&gt;""),--(D19:F19&lt;&gt;"OK"),--(D19:F19&lt;&gt;"X"),--(D19:F19&lt;&gt;"NA"))&gt;0,"Inválido","OK"))</f>
        <v>OK</v>
      </c>
      <c r="H19" s="1050"/>
      <c r="I19" s="1061" t="str" cm="1">
        <f t="array" ref="I19">IFERROR(INDEX(tblCatControles[Ítem],_xlfn.AGGREGATE(15,6,(ROW(tblCatControles[Módulo])-ROW(tblCatControles[[#Headers],[Módulo]]))/((tblCatControles[Módulo]=$I$7)*(tblCatControles[Activo]="Sí")),9)),"")</f>
        <v>TK-MG-008</v>
      </c>
      <c r="J19" s="1061" t="str" cm="1">
        <f t="array" ref="J19">IFERROR(INDEX(tblCatControles[Ubicación / detalle],_xlfn.AGGREGATE(15,6,(ROW(tblCatControles[Módulo])-ROW(tblCatControles[[#Headers],[Módulo]]))/((tblCatControles[Módulo]=$I$7)*(tblCatControles[Activo]="Sí")),9))&amp;"","")</f>
        <v>MB-5</v>
      </c>
      <c r="K19" s="1048"/>
      <c r="L19" s="1048"/>
      <c r="M19" s="1048" t="s">
        <v>3227</v>
      </c>
      <c r="N19" s="1062" t="str" cm="1">
        <f t="array" ref="N19">IF(COUNTA(K19:M19,O19)=0,"",IF(SUMPRODUCT(--(K19:M19&lt;&gt;""),--(K19:M19&lt;&gt;"OK"),--(K19:M19&lt;&gt;"X"),--(K19:M19&lt;&gt;"NA"))&gt;0,"Inválido","OK"))</f>
        <v>OK</v>
      </c>
      <c r="O19" s="1050"/>
      <c r="P19" s="1061" t="str" cm="1">
        <f t="array" ref="P19">IFERROR(INDEX(tblCatControles[Ítem],_xlfn.AGGREGATE(15,6,(ROW(tblCatControles[Módulo])-ROW(tblCatControles[[#Headers],[Módulo]]))/((tblCatControles[Módulo]=$P$7)*(tblCatControles[Activo]="Sí")),11)),"")</f>
        <v>210-105</v>
      </c>
      <c r="Q19" s="1061" t="str" cm="1">
        <f t="array" ref="Q19">IFERROR(INDEX(tblCatControles[Ubicación / detalle],_xlfn.AGGREGATE(15,6,(ROW(tblCatControles[Módulo])-ROW(tblCatControles[[#Headers],[Módulo]]))/((tblCatControles[Módulo]=$P$7)*(tblCatControles[Activo]="Sí")),11))&amp;"","")</f>
        <v/>
      </c>
      <c r="R19" s="1048"/>
      <c r="S19" s="1048"/>
      <c r="T19" s="1048"/>
      <c r="U19" s="1062" t="str" cm="1">
        <f t="array" ref="U19">IF(COUNTA(R19:T19,V19)=0,"",IF(SUMPRODUCT(--(R19:T19&lt;&gt;""),--(R19:T19&lt;&gt;"OK"),--(R19:T19&lt;&gt;"X"),--(R19:T19&lt;&gt;"NA"))&gt;0,"Inválido","OK"))</f>
        <v/>
      </c>
      <c r="V19" s="1049"/>
      <c r="W19" s="1033"/>
      <c r="X19" s="1033"/>
      <c r="Y19" s="1033"/>
      <c r="Z19" s="1033"/>
    </row>
    <row r="20" spans="1:26">
      <c r="A20" s="1033"/>
      <c r="B20" s="1221" t="s">
        <v>333</v>
      </c>
      <c r="C20" s="1221"/>
      <c r="D20" s="1221"/>
      <c r="E20" s="1221"/>
      <c r="F20" s="1221"/>
      <c r="G20" s="1311"/>
      <c r="H20" s="1310"/>
      <c r="I20" s="1061" t="str" cm="1">
        <f t="array" ref="I20">IFERROR(INDEX(tblCatControles[Ítem],_xlfn.AGGREGATE(15,6,(ROW(tblCatControles[Módulo])-ROW(tblCatControles[[#Headers],[Módulo]]))/((tblCatControles[Módulo]=$I$7)*(tblCatControles[Activo]="Sí")),10)),"")</f>
        <v>TK-MG-009</v>
      </c>
      <c r="J20" s="1061" t="str" cm="1">
        <f t="array" ref="J20">IFERROR(INDEX(tblCatControles[Ubicación / detalle],_xlfn.AGGREGATE(15,6,(ROW(tblCatControles[Módulo])-ROW(tblCatControles[[#Headers],[Módulo]]))/((tblCatControles[Módulo]=$I$7)*(tblCatControles[Activo]="Sí")),10))&amp;"","")</f>
        <v>MB-6</v>
      </c>
      <c r="K20" s="1048"/>
      <c r="L20" s="1048"/>
      <c r="M20" s="1048" t="s">
        <v>3227</v>
      </c>
      <c r="N20" s="1062" t="str" cm="1">
        <f t="array" ref="N20">IF(COUNTA(K20:M20,O20)=0,"",IF(SUMPRODUCT(--(K20:M20&lt;&gt;""),--(K20:M20&lt;&gt;"OK"),--(K20:M20&lt;&gt;"X"),--(K20:M20&lt;&gt;"NA"))&gt;0,"Inválido","OK"))</f>
        <v>OK</v>
      </c>
      <c r="O20" s="1050"/>
      <c r="P20" s="1061" t="str" cm="1">
        <f t="array" ref="P20">IFERROR(INDEX(tblCatControles[Ítem],_xlfn.AGGREGATE(15,6,(ROW(tblCatControles[Módulo])-ROW(tblCatControles[[#Headers],[Módulo]]))/((tblCatControles[Módulo]=$P$7)*(tblCatControles[Activo]="Sí")),12)),"")</f>
        <v>210-106</v>
      </c>
      <c r="Q20" s="1061" t="str" cm="1">
        <f t="array" ref="Q20">IFERROR(INDEX(tblCatControles[Ubicación / detalle],_xlfn.AGGREGATE(15,6,(ROW(tblCatControles[Módulo])-ROW(tblCatControles[[#Headers],[Módulo]]))/((tblCatControles[Módulo]=$P$7)*(tblCatControles[Activo]="Sí")),12))&amp;"","")</f>
        <v/>
      </c>
      <c r="R20" s="1048"/>
      <c r="S20" s="1048"/>
      <c r="T20" s="1048"/>
      <c r="U20" s="1062" t="str" cm="1">
        <f t="array" ref="U20">IF(COUNTA(R20:T20,V20)=0,"",IF(SUMPRODUCT(--(R20:T20&lt;&gt;""),--(R20:T20&lt;&gt;"OK"),--(R20:T20&lt;&gt;"X"),--(R20:T20&lt;&gt;"NA"))&gt;0,"Inválido","OK"))</f>
        <v/>
      </c>
      <c r="V20" s="1049"/>
      <c r="W20" s="1033"/>
      <c r="X20" s="1033"/>
      <c r="Y20" s="1033"/>
      <c r="Z20" s="1033"/>
    </row>
    <row r="21" spans="1:26">
      <c r="A21" s="1033"/>
      <c r="B21" s="1063" t="s">
        <v>9875</v>
      </c>
      <c r="C21" s="1049"/>
      <c r="D21" s="1062" t="str">
        <f>IF(COUNTA(D$9:D$19)=0,"",COUNTIF(D$9:D$19,"OK"))</f>
        <v/>
      </c>
      <c r="E21" s="1062" t="str">
        <f>IF(COUNTA(E$9:E$19)=0,"",COUNTIF(E$9:E$19,"OK"))</f>
        <v/>
      </c>
      <c r="F21" s="1062">
        <f>IF(COUNTA(F$9:F$19)=0,"",COUNTIF(F$9:F$19,"OK"))</f>
        <v>8</v>
      </c>
      <c r="G21" s="1062"/>
      <c r="H21" s="1050"/>
      <c r="I21" s="1061" t="str" cm="1">
        <f t="array" ref="I21">IFERROR(INDEX(tblCatControles[Ítem],_xlfn.AGGREGATE(15,6,(ROW(tblCatControles[Módulo])-ROW(tblCatControles[[#Headers],[Módulo]]))/((tblCatControles[Módulo]=$I$7)*(tblCatControles[Activo]="Sí")),11)),"")</f>
        <v>TK-MG-010</v>
      </c>
      <c r="J21" s="1061" t="str" cm="1">
        <f t="array" ref="J21">IFERROR(INDEX(tblCatControles[Ubicación / detalle],_xlfn.AGGREGATE(15,6,(ROW(tblCatControles[Módulo])-ROW(tblCatControles[[#Headers],[Módulo]]))/((tblCatControles[Módulo]=$I$7)*(tblCatControles[Activo]="Sí")),11))&amp;"","")</f>
        <v>MB-7</v>
      </c>
      <c r="K21" s="1048"/>
      <c r="L21" s="1048"/>
      <c r="M21" s="1048" t="s">
        <v>3227</v>
      </c>
      <c r="N21" s="1062" t="str" cm="1">
        <f t="array" ref="N21">IF(COUNTA(K21:M21,O21)=0,"",IF(SUMPRODUCT(--(K21:M21&lt;&gt;""),--(K21:M21&lt;&gt;"OK"),--(K21:M21&lt;&gt;"X"),--(K21:M21&lt;&gt;"NA"))&gt;0,"Inválido","OK"))</f>
        <v>OK</v>
      </c>
      <c r="O21" s="1050"/>
      <c r="P21" s="1061" t="str" cm="1">
        <f t="array" ref="P21">IFERROR(INDEX(tblCatControles[Ítem],_xlfn.AGGREGATE(15,6,(ROW(tblCatControles[Módulo])-ROW(tblCatControles[[#Headers],[Módulo]]))/((tblCatControles[Módulo]=$P$7)*(tblCatControles[Activo]="Sí")),13)),"")</f>
        <v>210-107</v>
      </c>
      <c r="Q21" s="1061" t="str" cm="1">
        <f t="array" ref="Q21">IFERROR(INDEX(tblCatControles[Ubicación / detalle],_xlfn.AGGREGATE(15,6,(ROW(tblCatControles[Módulo])-ROW(tblCatControles[[#Headers],[Módulo]]))/((tblCatControles[Módulo]=$P$7)*(tblCatControles[Activo]="Sí")),13))&amp;"","")</f>
        <v/>
      </c>
      <c r="R21" s="1048"/>
      <c r="S21" s="1048"/>
      <c r="T21" s="1048"/>
      <c r="U21" s="1062" t="str" cm="1">
        <f t="array" ref="U21">IF(COUNTA(R21:T21,V21)=0,"",IF(SUMPRODUCT(--(R21:T21&lt;&gt;""),--(R21:T21&lt;&gt;"OK"),--(R21:T21&lt;&gt;"X"),--(R21:T21&lt;&gt;"NA"))&gt;0,"Inválido","OK"))</f>
        <v/>
      </c>
      <c r="V21" s="1049"/>
      <c r="W21" s="1033"/>
      <c r="X21" s="1033"/>
      <c r="Y21" s="1033"/>
      <c r="Z21" s="1033"/>
    </row>
    <row r="22" spans="1:26">
      <c r="A22" s="1033"/>
      <c r="B22" s="1063" t="s">
        <v>9876</v>
      </c>
      <c r="C22" s="1049"/>
      <c r="D22" s="1062" t="str">
        <f>IF(COUNTA(D$9:D$19)=0,"",COUNTIF(D$9:D$19,"X"))</f>
        <v/>
      </c>
      <c r="E22" s="1062" t="str">
        <f>IF(COUNTA(E$9:E$19)=0,"",COUNTIF(E$9:E$19,"X"))</f>
        <v/>
      </c>
      <c r="F22" s="1062">
        <f>IF(COUNTA(F$9:F$19)=0,"",COUNTIF(F$9:F$19,"X"))</f>
        <v>3</v>
      </c>
      <c r="G22" s="1062"/>
      <c r="H22" s="1050"/>
      <c r="I22" s="1061" t="str" cm="1">
        <f t="array" ref="I22">IFERROR(INDEX(tblCatControles[Ítem],_xlfn.AGGREGATE(15,6,(ROW(tblCatControles[Módulo])-ROW(tblCatControles[[#Headers],[Módulo]]))/((tblCatControles[Módulo]=$I$7)*(tblCatControles[Activo]="Sí")),12)),"")</f>
        <v>TK-MG-011</v>
      </c>
      <c r="J22" s="1061" t="str" cm="1">
        <f t="array" ref="J22">IFERROR(INDEX(tblCatControles[Ubicación / detalle],_xlfn.AGGREGATE(15,6,(ROW(tblCatControles[Módulo])-ROW(tblCatControles[[#Headers],[Módulo]]))/((tblCatControles[Módulo]=$I$7)*(tblCatControles[Activo]="Sí")),12))&amp;"","")</f>
        <v>MB-8</v>
      </c>
      <c r="K22" s="1048"/>
      <c r="L22" s="1048"/>
      <c r="M22" s="1048" t="s">
        <v>3227</v>
      </c>
      <c r="N22" s="1062" t="str" cm="1">
        <f t="array" ref="N22">IF(COUNTA(K22:M22,O22)=0,"",IF(SUMPRODUCT(--(K22:M22&lt;&gt;""),--(K22:M22&lt;&gt;"OK"),--(K22:M22&lt;&gt;"X"),--(K22:M22&lt;&gt;"NA"))&gt;0,"Inválido","OK"))</f>
        <v>OK</v>
      </c>
      <c r="O22" s="1050"/>
      <c r="P22" s="1061" t="str" cm="1">
        <f t="array" ref="P22">IFERROR(INDEX(tblCatControles[Ítem],_xlfn.AGGREGATE(15,6,(ROW(tblCatControles[Módulo])-ROW(tblCatControles[[#Headers],[Módulo]]))/((tblCatControles[Módulo]=$P$7)*(tblCatControles[Activo]="Sí")),14)),"")</f>
        <v>210-108</v>
      </c>
      <c r="Q22" s="1061" t="str" cm="1">
        <f t="array" ref="Q22">IFERROR(INDEX(tblCatControles[Ubicación / detalle],_xlfn.AGGREGATE(15,6,(ROW(tblCatControles[Módulo])-ROW(tblCatControles[[#Headers],[Módulo]]))/((tblCatControles[Módulo]=$P$7)*(tblCatControles[Activo]="Sí")),14))&amp;"","")</f>
        <v/>
      </c>
      <c r="R22" s="1048"/>
      <c r="S22" s="1048"/>
      <c r="T22" s="1048"/>
      <c r="U22" s="1062" t="str" cm="1">
        <f t="array" ref="U22">IF(COUNTA(R22:T22,V22)=0,"",IF(SUMPRODUCT(--(R22:T22&lt;&gt;""),--(R22:T22&lt;&gt;"OK"),--(R22:T22&lt;&gt;"X"),--(R22:T22&lt;&gt;"NA"))&gt;0,"Inválido","OK"))</f>
        <v/>
      </c>
      <c r="V22" s="1049"/>
      <c r="W22" s="1033"/>
      <c r="X22" s="1033"/>
      <c r="Y22" s="1033"/>
      <c r="Z22" s="1033"/>
    </row>
    <row r="23" spans="1:26">
      <c r="A23" s="1033"/>
      <c r="B23" s="1063" t="s">
        <v>334</v>
      </c>
      <c r="C23" s="1049"/>
      <c r="D23" s="1064" t="str">
        <f>IF(D21="","",IFERROR(D21/(D21+D22),""))</f>
        <v/>
      </c>
      <c r="E23" s="1064" t="str">
        <f>IF(E21="","",IFERROR(E21/(E21+E22),""))</f>
        <v/>
      </c>
      <c r="F23" s="1064">
        <f>IF(F21="","",IFERROR(F21/(F21+F22),""))</f>
        <v>0.72727272727272729</v>
      </c>
      <c r="G23" s="1062"/>
      <c r="H23" s="1050"/>
      <c r="I23" s="1061" t="str" cm="1">
        <f t="array" ref="I23">IFERROR(INDEX(tblCatControles[Ítem],_xlfn.AGGREGATE(15,6,(ROW(tblCatControles[Módulo])-ROW(tblCatControles[[#Headers],[Módulo]]))/((tblCatControles[Módulo]=$I$7)*(tblCatControles[Activo]="Sí")),13)),"")</f>
        <v>TK-MG-012</v>
      </c>
      <c r="J23" s="1061" t="str" cm="1">
        <f t="array" ref="J23">IFERROR(INDEX(tblCatControles[Ubicación / detalle],_xlfn.AGGREGATE(15,6,(ROW(tblCatControles[Módulo])-ROW(tblCatControles[[#Headers],[Módulo]]))/((tblCatControles[Módulo]=$I$7)*(tblCatControles[Activo]="Sí")),13))&amp;"","")</f>
        <v>MB-9</v>
      </c>
      <c r="K23" s="1048"/>
      <c r="L23" s="1048"/>
      <c r="M23" s="1048" t="s">
        <v>3227</v>
      </c>
      <c r="N23" s="1062" t="str" cm="1">
        <f t="array" ref="N23">IF(COUNTA(K23:M23,O23)=0,"",IF(SUMPRODUCT(--(K23:M23&lt;&gt;""),--(K23:M23&lt;&gt;"OK"),--(K23:M23&lt;&gt;"X"),--(K23:M23&lt;&gt;"NA"))&gt;0,"Inválido","OK"))</f>
        <v>OK</v>
      </c>
      <c r="O23" s="1050"/>
      <c r="P23" s="1061" t="str" cm="1">
        <f t="array" ref="P23">IFERROR(INDEX(tblCatControles[Ítem],_xlfn.AGGREGATE(15,6,(ROW(tblCatControles[Módulo])-ROW(tblCatControles[[#Headers],[Módulo]]))/((tblCatControles[Módulo]=$P$7)*(tblCatControles[Activo]="Sí")),15)),"")</f>
        <v>210-268</v>
      </c>
      <c r="Q23" s="1061" t="str" cm="1">
        <f t="array" ref="Q23">IFERROR(INDEX(tblCatControles[Ubicación / detalle],_xlfn.AGGREGATE(15,6,(ROW(tblCatControles[Módulo])-ROW(tblCatControles[[#Headers],[Módulo]]))/((tblCatControles[Módulo]=$P$7)*(tblCatControles[Activo]="Sí")),15))&amp;"","")</f>
        <v/>
      </c>
      <c r="R23" s="1048"/>
      <c r="S23" s="1048"/>
      <c r="T23" s="1048"/>
      <c r="U23" s="1062" t="str" cm="1">
        <f t="array" ref="U23">IF(COUNTA(R23:T23,V23)=0,"",IF(SUMPRODUCT(--(R23:T23&lt;&gt;""),--(R23:T23&lt;&gt;"OK"),--(R23:T23&lt;&gt;"X"),--(R23:T23&lt;&gt;"NA"))&gt;0,"Inválido","OK"))</f>
        <v/>
      </c>
      <c r="V23" s="1049"/>
      <c r="W23" s="1033"/>
      <c r="X23" s="1033"/>
      <c r="Y23" s="1033"/>
      <c r="Z23" s="1033"/>
    </row>
    <row r="24" spans="1:26">
      <c r="A24" s="1033"/>
      <c r="B24" s="1063" t="s">
        <v>9877</v>
      </c>
      <c r="C24" s="1049"/>
      <c r="D24" s="1048"/>
      <c r="E24" s="1048"/>
      <c r="F24" s="1048"/>
      <c r="G24" s="1062"/>
      <c r="H24" s="1050"/>
      <c r="I24" s="1061" t="str" cm="1">
        <f t="array" ref="I24">IFERROR(INDEX(tblCatControles[Ítem],_xlfn.AGGREGATE(15,6,(ROW(tblCatControles[Módulo])-ROW(tblCatControles[[#Headers],[Módulo]]))/((tblCatControles[Módulo]=$I$7)*(tblCatControles[Activo]="Sí")),14)),"")</f>
        <v>TK-MG-013</v>
      </c>
      <c r="J24" s="1061" t="str" cm="1">
        <f t="array" ref="J24">IFERROR(INDEX(tblCatControles[Ubicación / detalle],_xlfn.AGGREGATE(15,6,(ROW(tblCatControles[Módulo])-ROW(tblCatControles[[#Headers],[Módulo]]))/((tblCatControles[Módulo]=$I$7)*(tblCatControles[Activo]="Sí")),14))&amp;"","")</f>
        <v>RM-9</v>
      </c>
      <c r="K24" s="1048"/>
      <c r="L24" s="1048"/>
      <c r="M24" s="1048" t="s">
        <v>3227</v>
      </c>
      <c r="N24" s="1062" t="str" cm="1">
        <f t="array" ref="N24">IF(COUNTA(K24:M24,O24)=0,"",IF(SUMPRODUCT(--(K24:M24&lt;&gt;""),--(K24:M24&lt;&gt;"OK"),--(K24:M24&lt;&gt;"X"),--(K24:M24&lt;&gt;"NA"))&gt;0,"Inválido","OK"))</f>
        <v>OK</v>
      </c>
      <c r="O24" s="1050"/>
      <c r="P24" s="1061" t="str" cm="1">
        <f t="array" ref="P24">IFERROR(INDEX(tblCatControles[Ítem],_xlfn.AGGREGATE(15,6,(ROW(tblCatControles[Módulo])-ROW(tblCatControles[[#Headers],[Módulo]]))/((tblCatControles[Módulo]=$P$7)*(tblCatControles[Activo]="Sí")),16)),"")</f>
        <v>210-269</v>
      </c>
      <c r="Q24" s="1061" t="str" cm="1">
        <f t="array" ref="Q24">IFERROR(INDEX(tblCatControles[Ubicación / detalle],_xlfn.AGGREGATE(15,6,(ROW(tblCatControles[Módulo])-ROW(tblCatControles[[#Headers],[Módulo]]))/((tblCatControles[Módulo]=$P$7)*(tblCatControles[Activo]="Sí")),16))&amp;"","")</f>
        <v/>
      </c>
      <c r="R24" s="1048"/>
      <c r="S24" s="1048"/>
      <c r="T24" s="1048"/>
      <c r="U24" s="1062" t="str" cm="1">
        <f t="array" ref="U24">IF(COUNTA(R24:T24,V24)=0,"",IF(SUMPRODUCT(--(R24:T24&lt;&gt;""),--(R24:T24&lt;&gt;"OK"),--(R24:T24&lt;&gt;"X"),--(R24:T24&lt;&gt;"NA"))&gt;0,"Inválido","OK"))</f>
        <v/>
      </c>
      <c r="V24" s="1049"/>
      <c r="W24" s="1033"/>
      <c r="X24" s="1033"/>
      <c r="Y24" s="1033"/>
      <c r="Z24" s="1033"/>
    </row>
    <row r="25" spans="1:26">
      <c r="A25" s="1033"/>
      <c r="B25" s="1063" t="s">
        <v>9878</v>
      </c>
      <c r="C25" s="1049"/>
      <c r="D25" s="1048"/>
      <c r="E25" s="1048"/>
      <c r="F25" s="1048"/>
      <c r="G25" s="1062"/>
      <c r="H25" s="1050"/>
      <c r="I25" s="1061" t="str" cm="1">
        <f t="array" ref="I25">IFERROR(INDEX(tblCatControles[Ítem],_xlfn.AGGREGATE(15,6,(ROW(tblCatControles[Módulo])-ROW(tblCatControles[[#Headers],[Módulo]]))/((tblCatControles[Módulo]=$I$7)*(tblCatControles[Activo]="Sí")),15)),"")</f>
        <v>TK-MG-014</v>
      </c>
      <c r="J25" s="1061" t="str" cm="1">
        <f t="array" ref="J25">IFERROR(INDEX(tblCatControles[Ubicación / detalle],_xlfn.AGGREGATE(15,6,(ROW(tblCatControles[Módulo])-ROW(tblCatControles[[#Headers],[Módulo]]))/((tblCatControles[Módulo]=$I$7)*(tblCatControles[Activo]="Sí")),15))&amp;"","")</f>
        <v>MB-10</v>
      </c>
      <c r="K25" s="1048"/>
      <c r="L25" s="1048"/>
      <c r="M25" s="1048" t="s">
        <v>3227</v>
      </c>
      <c r="N25" s="1062" t="str" cm="1">
        <f t="array" ref="N25">IF(COUNTA(K25:M25,O25)=0,"",IF(SUMPRODUCT(--(K25:M25&lt;&gt;""),--(K25:M25&lt;&gt;"OK"),--(K25:M25&lt;&gt;"X"),--(K25:M25&lt;&gt;"NA"))&gt;0,"Inválido","OK"))</f>
        <v>OK</v>
      </c>
      <c r="O25" s="1050"/>
      <c r="P25" s="1049"/>
      <c r="Q25" s="1049"/>
      <c r="R25" s="1048"/>
      <c r="S25" s="1048"/>
      <c r="T25" s="1048"/>
      <c r="U25" s="1062"/>
      <c r="V25" s="1049"/>
      <c r="W25" s="1033"/>
      <c r="X25" s="1033"/>
      <c r="Y25" s="1033"/>
      <c r="Z25" s="1033"/>
    </row>
    <row r="26" spans="1:26">
      <c r="A26" s="1033"/>
      <c r="B26" s="1063" t="s">
        <v>335</v>
      </c>
      <c r="C26" s="1049"/>
      <c r="D26" s="1048"/>
      <c r="E26" s="1048"/>
      <c r="F26" s="1048"/>
      <c r="G26" s="1062"/>
      <c r="H26" s="1050"/>
      <c r="I26" s="1049"/>
      <c r="J26" s="1049"/>
      <c r="K26" s="1048"/>
      <c r="L26" s="1048"/>
      <c r="M26" s="1048"/>
      <c r="N26" s="1062"/>
      <c r="O26" s="1050"/>
      <c r="P26" s="1049"/>
      <c r="Q26" s="1049"/>
      <c r="R26" s="1048"/>
      <c r="S26" s="1048"/>
      <c r="T26" s="1048"/>
      <c r="U26" s="1062"/>
      <c r="V26" s="1049"/>
      <c r="W26" s="1033"/>
      <c r="X26" s="1033"/>
      <c r="Y26" s="1033"/>
      <c r="Z26" s="1033"/>
    </row>
    <row r="27" spans="1:26">
      <c r="A27" s="1033"/>
      <c r="B27" s="1049"/>
      <c r="C27" s="1049"/>
      <c r="D27" s="1048"/>
      <c r="E27" s="1048"/>
      <c r="F27" s="1048"/>
      <c r="G27" s="1062"/>
      <c r="H27" s="1050"/>
      <c r="I27" s="1049"/>
      <c r="J27" s="1049"/>
      <c r="K27" s="1048"/>
      <c r="L27" s="1048"/>
      <c r="M27" s="1048"/>
      <c r="N27" s="1062"/>
      <c r="O27" s="1050"/>
      <c r="P27" s="1049"/>
      <c r="Q27" s="1049"/>
      <c r="R27" s="1048"/>
      <c r="S27" s="1048"/>
      <c r="T27" s="1048"/>
      <c r="U27" s="1062"/>
      <c r="V27" s="1049"/>
      <c r="W27" s="1033"/>
      <c r="X27" s="1033"/>
      <c r="Y27" s="1033"/>
      <c r="Z27" s="1033"/>
    </row>
    <row r="28" spans="1:26">
      <c r="A28" s="1033"/>
      <c r="B28" s="1033"/>
      <c r="C28" s="1033"/>
      <c r="D28" s="1033"/>
      <c r="E28" s="1033"/>
      <c r="F28" s="1033"/>
      <c r="G28" s="1033"/>
      <c r="H28" s="1033"/>
      <c r="I28" s="1033"/>
      <c r="J28" s="1033"/>
      <c r="K28" s="1033"/>
      <c r="L28" s="1033"/>
      <c r="M28" s="1033"/>
      <c r="N28" s="1033"/>
      <c r="O28" s="1033"/>
      <c r="P28" s="1033"/>
      <c r="Q28" s="1033"/>
      <c r="R28" s="1033"/>
      <c r="S28" s="1033"/>
      <c r="T28" s="1033"/>
      <c r="U28" s="1033"/>
      <c r="V28" s="1033"/>
      <c r="W28" s="1033"/>
      <c r="X28" s="1033"/>
      <c r="Y28" s="1033"/>
      <c r="Z28" s="1033"/>
    </row>
    <row r="29" spans="1:26">
      <c r="A29" s="1033"/>
      <c r="B29" s="1033"/>
      <c r="C29" s="1033"/>
      <c r="D29" s="1033"/>
      <c r="E29" s="1033"/>
      <c r="F29" s="1033"/>
      <c r="G29" s="1033"/>
      <c r="H29" s="1033"/>
      <c r="I29" s="1033"/>
      <c r="J29" s="1033"/>
      <c r="K29" s="1033"/>
      <c r="L29" s="1033"/>
      <c r="M29" s="1033"/>
      <c r="N29" s="1033"/>
      <c r="O29" s="1033"/>
      <c r="P29" s="1033"/>
      <c r="Q29" s="1033"/>
      <c r="R29" s="1033"/>
      <c r="S29" s="1033"/>
      <c r="T29" s="1033"/>
      <c r="U29" s="1033"/>
      <c r="V29" s="1033"/>
      <c r="W29" s="1033"/>
      <c r="X29" s="1033"/>
      <c r="Y29" s="1033"/>
      <c r="Z29" s="1033"/>
    </row>
    <row r="30" spans="1:26">
      <c r="A30" s="1033"/>
      <c r="B30" s="1306" t="s">
        <v>9855</v>
      </c>
      <c r="C30" s="1221"/>
      <c r="D30" s="1221"/>
      <c r="E30" s="1221"/>
      <c r="F30" s="1221"/>
      <c r="G30" s="1221"/>
      <c r="H30" s="1221"/>
      <c r="I30" s="1221"/>
      <c r="J30" s="1221"/>
      <c r="K30" s="1221"/>
      <c r="L30" s="1221"/>
      <c r="M30" s="1221"/>
      <c r="N30" s="1221"/>
      <c r="O30" s="1221"/>
      <c r="P30" s="1221"/>
      <c r="Q30" s="1221"/>
      <c r="R30" s="1221"/>
      <c r="S30" s="1221"/>
      <c r="T30" s="1221"/>
      <c r="U30" s="1033"/>
      <c r="V30" s="1033"/>
      <c r="W30" s="1033"/>
      <c r="X30" s="1033"/>
      <c r="Y30" s="1033"/>
      <c r="Z30" s="1033"/>
    </row>
    <row r="31" spans="1:26">
      <c r="A31" s="1033"/>
      <c r="B31" s="1043" t="s">
        <v>9370</v>
      </c>
      <c r="C31" s="1044">
        <f>INDEX(tblParametros[Mín],MATCH(C$33,tblParametros[Parámetro],0))</f>
        <v>0</v>
      </c>
      <c r="D31" s="1044">
        <f>INDEX(tblParametros[Mín],MATCH(D$33,tblParametros[Parámetro],0))</f>
        <v>0</v>
      </c>
      <c r="E31" s="1044">
        <f>INDEX(tblParametros[Mín],MATCH(E$33,tblParametros[Parámetro],0))</f>
        <v>0</v>
      </c>
      <c r="F31" s="1044">
        <f>INDEX(tblParametros[Mín],MATCH(F$33,tblParametros[Parámetro],0))</f>
        <v>0</v>
      </c>
      <c r="G31" s="1044">
        <f>INDEX(tblParametros[Mín],MATCH(G$33,tblParametros[Parámetro],0))</f>
        <v>0</v>
      </c>
      <c r="H31" s="1044">
        <f>INDEX(tblParametros[Mín],MATCH(H$33,tblParametros[Parámetro],0))</f>
        <v>0</v>
      </c>
      <c r="I31" s="1044">
        <f>INDEX(tblParametros[Mín],MATCH(I$33,tblParametros[Parámetro],0))</f>
        <v>0</v>
      </c>
      <c r="J31" s="1044">
        <f>INDEX(tblParametros[Mín],MATCH(J$33,tblParametros[Parámetro],0))</f>
        <v>0</v>
      </c>
      <c r="K31" s="1044">
        <f>INDEX(tblParametros[Mín],MATCH(K$33,tblParametros[Parámetro],0))</f>
        <v>0</v>
      </c>
      <c r="L31" s="1044">
        <f>INDEX(tblParametros[Mín],MATCH(L$33,tblParametros[Parámetro],0))</f>
        <v>0</v>
      </c>
      <c r="M31" s="1044">
        <f>INDEX(tblParametros[Mín],MATCH(M$33,tblParametros[Parámetro],0))</f>
        <v>0</v>
      </c>
      <c r="N31" s="1044">
        <f>INDEX(tblParametros[Mín],MATCH(N$33,tblParametros[Parámetro],0))</f>
        <v>0</v>
      </c>
      <c r="O31" s="1033"/>
      <c r="P31" s="1033"/>
      <c r="Q31" s="1033"/>
      <c r="R31" s="1033"/>
      <c r="S31" s="1033"/>
      <c r="T31" s="1033"/>
      <c r="U31" s="1033"/>
      <c r="V31" s="1033"/>
      <c r="W31" s="1033"/>
      <c r="X31" s="1033"/>
      <c r="Y31" s="1033"/>
      <c r="Z31" s="1033"/>
    </row>
    <row r="32" spans="1:26">
      <c r="A32" s="1033"/>
      <c r="B32" s="1043" t="s">
        <v>9371</v>
      </c>
      <c r="C32" s="1044">
        <f>INDEX(tblParametros[Máx],MATCH(C$33,tblParametros[Parámetro],0))</f>
        <v>2000</v>
      </c>
      <c r="D32" s="1044">
        <f>INDEX(tblParametros[Máx],MATCH(D$33,tblParametros[Parámetro],0))</f>
        <v>1700</v>
      </c>
      <c r="E32" s="1044">
        <f>INDEX(tblParametros[Máx],MATCH(E$33,tblParametros[Parámetro],0))</f>
        <v>1</v>
      </c>
      <c r="F32" s="1044">
        <f>INDEX(tblParametros[Máx],MATCH(F$33,tblParametros[Parámetro],0))</f>
        <v>3</v>
      </c>
      <c r="G32" s="1044">
        <f>INDEX(tblParametros[Máx],MATCH(G$33,tblParametros[Parámetro],0))</f>
        <v>3</v>
      </c>
      <c r="H32" s="1044">
        <f>INDEX(tblParametros[Máx],MATCH(H$33,tblParametros[Parámetro],0))</f>
        <v>3</v>
      </c>
      <c r="I32" s="1044">
        <f>INDEX(tblParametros[Máx],MATCH(I$33,tblParametros[Parámetro],0))</f>
        <v>3</v>
      </c>
      <c r="J32" s="1044">
        <f>INDEX(tblParametros[Máx],MATCH(J$33,tblParametros[Parámetro],0))</f>
        <v>60</v>
      </c>
      <c r="K32" s="1044">
        <f>INDEX(tblParametros[Máx],MATCH(K$33,tblParametros[Parámetro],0))</f>
        <v>60</v>
      </c>
      <c r="L32" s="1044">
        <f>INDEX(tblParametros[Máx],MATCH(L$33,tblParametros[Parámetro],0))</f>
        <v>15</v>
      </c>
      <c r="M32" s="1044">
        <f>INDEX(tblParametros[Máx],MATCH(M$33,tblParametros[Parámetro],0))</f>
        <v>20</v>
      </c>
      <c r="N32" s="1044">
        <f>INDEX(tblParametros[Máx],MATCH(N$33,tblParametros[Parámetro],0))</f>
        <v>20</v>
      </c>
      <c r="O32" s="1033"/>
      <c r="P32" s="1033"/>
      <c r="Q32" s="1033"/>
      <c r="R32" s="1033"/>
      <c r="S32" s="1033"/>
      <c r="T32" s="1033"/>
      <c r="U32" s="1033"/>
      <c r="V32" s="1033"/>
      <c r="W32" s="1033"/>
      <c r="X32" s="1033"/>
      <c r="Y32" s="1033"/>
      <c r="Z32" s="1033"/>
    </row>
    <row r="33" spans="1:26" ht="45" customHeight="1">
      <c r="A33" s="1033"/>
      <c r="B33" s="1060" t="s">
        <v>9324</v>
      </c>
      <c r="C33" s="1060" t="s">
        <v>9292</v>
      </c>
      <c r="D33" s="1060" t="s">
        <v>33</v>
      </c>
      <c r="E33" s="1060" t="s">
        <v>38</v>
      </c>
      <c r="F33" s="1060" t="s">
        <v>9300</v>
      </c>
      <c r="G33" s="1060" t="s">
        <v>9303</v>
      </c>
      <c r="H33" s="1060" t="s">
        <v>9306</v>
      </c>
      <c r="I33" s="1060" t="s">
        <v>9309</v>
      </c>
      <c r="J33" s="1060" t="s">
        <v>11</v>
      </c>
      <c r="K33" s="1060" t="s">
        <v>12</v>
      </c>
      <c r="L33" s="1060" t="s">
        <v>13</v>
      </c>
      <c r="M33" s="1060" t="s">
        <v>14</v>
      </c>
      <c r="N33" s="1060" t="s">
        <v>9318</v>
      </c>
      <c r="O33" s="1060" t="s">
        <v>9255</v>
      </c>
      <c r="P33" s="1060" t="s">
        <v>9369</v>
      </c>
      <c r="Q33" s="1068"/>
      <c r="R33" s="1068"/>
      <c r="S33" s="1060" t="s">
        <v>9325</v>
      </c>
      <c r="T33" s="1060" t="s">
        <v>9326</v>
      </c>
      <c r="U33" s="1033"/>
      <c r="V33" s="1033"/>
      <c r="W33" s="1033"/>
      <c r="X33" s="1033"/>
      <c r="Y33" s="1033"/>
      <c r="Z33" s="1033"/>
    </row>
    <row r="34" spans="1:26">
      <c r="A34" s="1033"/>
      <c r="B34" s="1062" t="str">
        <f>TEXT(1,"00")&amp;"  ·  "&amp;TEXT(MOD(CFG_HORA_INI+0/24,1),"hh:mm")</f>
        <v>01  ·  09:00</v>
      </c>
      <c r="C34" s="1051">
        <v>1564</v>
      </c>
      <c r="D34" s="1051">
        <v>991</v>
      </c>
      <c r="E34" s="1052">
        <v>0.22800000000000001</v>
      </c>
      <c r="F34" s="1052">
        <v>0.63100000000000001</v>
      </c>
      <c r="G34" s="1052">
        <v>0.36</v>
      </c>
      <c r="H34" s="1052">
        <v>0.63100000000000001</v>
      </c>
      <c r="I34" s="1052">
        <v>0.36</v>
      </c>
      <c r="J34" s="1053">
        <v>24.8</v>
      </c>
      <c r="K34" s="1053">
        <v>12.6</v>
      </c>
      <c r="L34" s="1053">
        <v>2.2999999999999998</v>
      </c>
      <c r="M34" s="1053">
        <v>1.5</v>
      </c>
      <c r="N34" s="1053">
        <v>8.3000000000000007</v>
      </c>
      <c r="O34" s="1048" t="s">
        <v>9258</v>
      </c>
      <c r="P34" s="1062" t="str" cm="1">
        <f t="array" ref="P34">IF(COUNTA(C34:O34,S34:T34)=0,"",IF(SUMPRODUCT(--(C34:N34&lt;&gt;""),--((NOT(ISNUMBER(C34:N34)))+(C34:N34&lt;C$31:N$31)+(C34:N34&gt;C$32:N$32)&gt;0))&gt;0,"Inválido","OK"))</f>
        <v>OK</v>
      </c>
      <c r="Q34" s="1054"/>
      <c r="R34" s="1054"/>
      <c r="S34" s="1049"/>
      <c r="T34" s="1049"/>
      <c r="U34" s="1033"/>
      <c r="V34" s="1033"/>
      <c r="W34" s="1033"/>
      <c r="X34" s="1033"/>
      <c r="Y34" s="1033"/>
      <c r="Z34" s="1033"/>
    </row>
    <row r="35" spans="1:26">
      <c r="A35" s="1033"/>
      <c r="B35" s="1062" t="str">
        <f>TEXT(2,"00")&amp;"  ·  "&amp;TEXT(MOD(CFG_HORA_INI+1/24,1),"hh:mm")</f>
        <v>02  ·  10:00</v>
      </c>
      <c r="C35" s="1051">
        <v>1505</v>
      </c>
      <c r="D35" s="1051">
        <v>975</v>
      </c>
      <c r="E35" s="1052"/>
      <c r="F35" s="1052"/>
      <c r="G35" s="1052"/>
      <c r="H35" s="1052"/>
      <c r="I35" s="1052"/>
      <c r="J35" s="1053"/>
      <c r="K35" s="1053"/>
      <c r="L35" s="1053"/>
      <c r="M35" s="1053"/>
      <c r="N35" s="1053"/>
      <c r="O35" s="1048" t="s">
        <v>9258</v>
      </c>
      <c r="P35" s="1062" t="str" cm="1">
        <f t="array" ref="P35">IF(COUNTA(C35:O35,S35:T35)=0,"",IF(SUMPRODUCT(--(C35:N35&lt;&gt;""),--((NOT(ISNUMBER(C35:N35)))+(C35:N35&lt;C$31:N$31)+(C35:N35&gt;C$32:N$32)&gt;0))&gt;0,"Inválido","OK"))</f>
        <v>OK</v>
      </c>
      <c r="Q35" s="1054"/>
      <c r="R35" s="1054"/>
      <c r="S35" s="1049"/>
      <c r="T35" s="1049" t="s">
        <v>10414</v>
      </c>
      <c r="U35" s="1033"/>
      <c r="V35" s="1033"/>
      <c r="W35" s="1033"/>
      <c r="X35" s="1033"/>
      <c r="Y35" s="1033"/>
      <c r="Z35" s="1033"/>
    </row>
    <row r="36" spans="1:26">
      <c r="A36" s="1033"/>
      <c r="B36" s="1062" t="str">
        <f>TEXT(3,"00")&amp;"  ·  "&amp;TEXT(MOD(CFG_HORA_INI+2/24,1),"hh:mm")</f>
        <v>03  ·  11:00</v>
      </c>
      <c r="C36" s="1051">
        <v>1364</v>
      </c>
      <c r="D36" s="1051">
        <v>763</v>
      </c>
      <c r="E36" s="1052">
        <v>0.20100000000000001</v>
      </c>
      <c r="F36" s="1052">
        <v>0.63400000000000001</v>
      </c>
      <c r="G36" s="1052">
        <v>0.38</v>
      </c>
      <c r="H36" s="1052">
        <v>0.63400000000000001</v>
      </c>
      <c r="I36" s="1052">
        <v>0.38</v>
      </c>
      <c r="J36" s="1053">
        <v>21</v>
      </c>
      <c r="K36" s="1053">
        <v>13.6</v>
      </c>
      <c r="L36" s="1053">
        <v>1.9</v>
      </c>
      <c r="M36" s="1053">
        <v>1.9</v>
      </c>
      <c r="N36" s="1053">
        <v>8.1999999999999993</v>
      </c>
      <c r="O36" s="1048" t="s">
        <v>9258</v>
      </c>
      <c r="P36" s="1062" t="str" cm="1">
        <f t="array" ref="P36">IF(COUNTA(C36:O36,S36:T36)=0,"",IF(SUMPRODUCT(--(C36:N36&lt;&gt;""),--((NOT(ISNUMBER(C36:N36)))+(C36:N36&lt;C$31:N$31)+(C36:N36&gt;C$32:N$32)&gt;0))&gt;0,"Inválido","OK"))</f>
        <v>OK</v>
      </c>
      <c r="Q36" s="1054"/>
      <c r="R36" s="1054"/>
      <c r="S36" s="1049"/>
      <c r="T36" s="1049" t="s">
        <v>10415</v>
      </c>
      <c r="U36" s="1033"/>
      <c r="V36" s="1033"/>
      <c r="W36" s="1033"/>
      <c r="X36" s="1033"/>
      <c r="Y36" s="1033"/>
      <c r="Z36" s="1033"/>
    </row>
    <row r="37" spans="1:26">
      <c r="A37" s="1033"/>
      <c r="B37" s="1062" t="str">
        <f>TEXT(4,"00")&amp;"  ·  "&amp;TEXT(MOD(CFG_HORA_INI+3/24,1),"hh:mm")</f>
        <v>04  ·  12:00</v>
      </c>
      <c r="C37" s="1051">
        <v>1317</v>
      </c>
      <c r="D37" s="1051">
        <v>458</v>
      </c>
      <c r="E37" s="1052"/>
      <c r="F37" s="1052"/>
      <c r="G37" s="1052"/>
      <c r="H37" s="1052"/>
      <c r="I37" s="1052"/>
      <c r="J37" s="1053"/>
      <c r="K37" s="1053"/>
      <c r="L37" s="1053"/>
      <c r="M37" s="1053"/>
      <c r="N37" s="1053"/>
      <c r="O37" s="1048" t="s">
        <v>9258</v>
      </c>
      <c r="P37" s="1062" t="str" cm="1">
        <f t="array" ref="P37">IF(COUNTA(C37:O37,S37:T37)=0,"",IF(SUMPRODUCT(--(C37:N37&lt;&gt;""),--((NOT(ISNUMBER(C37:N37)))+(C37:N37&lt;C$31:N$31)+(C37:N37&gt;C$32:N$32)&gt;0))&gt;0,"Inválido","OK"))</f>
        <v>OK</v>
      </c>
      <c r="Q37" s="1054"/>
      <c r="R37" s="1054"/>
      <c r="S37" s="1049"/>
      <c r="T37" s="1049"/>
      <c r="U37" s="1033"/>
      <c r="V37" s="1033"/>
      <c r="W37" s="1033"/>
      <c r="X37" s="1033"/>
      <c r="Y37" s="1033"/>
      <c r="Z37" s="1033"/>
    </row>
    <row r="38" spans="1:26">
      <c r="A38" s="1033"/>
      <c r="B38" s="1062" t="str">
        <f>TEXT(5,"00")&amp;"  ·  "&amp;TEXT(MOD(CFG_HORA_INI+4/24,1),"hh:mm")</f>
        <v>05  ·  13:00</v>
      </c>
      <c r="C38" s="1051">
        <v>1292</v>
      </c>
      <c r="D38" s="1051">
        <v>787</v>
      </c>
      <c r="E38" s="1052">
        <v>0.222</v>
      </c>
      <c r="F38" s="1052">
        <v>0.71299999999999997</v>
      </c>
      <c r="G38" s="1052">
        <v>0.4</v>
      </c>
      <c r="H38" s="1052">
        <v>0.71299999999999997</v>
      </c>
      <c r="I38" s="1052">
        <v>0.4</v>
      </c>
      <c r="J38" s="1053">
        <v>26</v>
      </c>
      <c r="K38" s="1053">
        <v>13.3</v>
      </c>
      <c r="L38" s="1053">
        <v>2.4</v>
      </c>
      <c r="M38" s="1053">
        <v>2</v>
      </c>
      <c r="N38" s="1053">
        <v>8</v>
      </c>
      <c r="O38" s="1048" t="s">
        <v>9258</v>
      </c>
      <c r="P38" s="1062" t="str" cm="1">
        <f t="array" ref="P38">IF(COUNTA(C38:O38,S38:T38)=0,"",IF(SUMPRODUCT(--(C38:N38&lt;&gt;""),--((NOT(ISNUMBER(C38:N38)))+(C38:N38&lt;C$31:N$31)+(C38:N38&gt;C$32:N$32)&gt;0))&gt;0,"Inválido","OK"))</f>
        <v>OK</v>
      </c>
      <c r="Q38" s="1054"/>
      <c r="R38" s="1054"/>
      <c r="S38" s="1049"/>
      <c r="T38" s="1049"/>
      <c r="U38" s="1033"/>
      <c r="V38" s="1033"/>
      <c r="W38" s="1033"/>
      <c r="X38" s="1033"/>
      <c r="Y38" s="1033"/>
      <c r="Z38" s="1033"/>
    </row>
    <row r="39" spans="1:26">
      <c r="A39" s="1033"/>
      <c r="B39" s="1062" t="str">
        <f>TEXT(6,"00")&amp;"  ·  "&amp;TEXT(MOD(CFG_HORA_INI+5/24,1),"hh:mm")</f>
        <v>06  ·  14:00</v>
      </c>
      <c r="C39" s="1051">
        <v>1226</v>
      </c>
      <c r="D39" s="1051">
        <v>840</v>
      </c>
      <c r="E39" s="1052"/>
      <c r="F39" s="1052"/>
      <c r="G39" s="1052"/>
      <c r="H39" s="1052"/>
      <c r="I39" s="1052"/>
      <c r="J39" s="1053"/>
      <c r="K39" s="1053"/>
      <c r="L39" s="1053"/>
      <c r="M39" s="1053"/>
      <c r="N39" s="1053"/>
      <c r="O39" s="1048" t="s">
        <v>9258</v>
      </c>
      <c r="P39" s="1062" t="str" cm="1">
        <f t="array" ref="P39">IF(COUNTA(C39:O39,S39:T39)=0,"",IF(SUMPRODUCT(--(C39:N39&lt;&gt;""),--((NOT(ISNUMBER(C39:N39)))+(C39:N39&lt;C$31:N$31)+(C39:N39&gt;C$32:N$32)&gt;0))&gt;0,"Inválido","OK"))</f>
        <v>OK</v>
      </c>
      <c r="Q39" s="1054"/>
      <c r="R39" s="1054"/>
      <c r="S39" s="1049"/>
      <c r="T39" s="1049"/>
      <c r="U39" s="1033"/>
      <c r="V39" s="1033"/>
      <c r="W39" s="1033"/>
      <c r="X39" s="1033"/>
      <c r="Y39" s="1033"/>
      <c r="Z39" s="1033"/>
    </row>
    <row r="40" spans="1:26">
      <c r="A40" s="1033"/>
      <c r="B40" s="1062" t="str">
        <f>TEXT(7,"00")&amp;"  ·  "&amp;TEXT(MOD(CFG_HORA_INI+6/24,1),"hh:mm")</f>
        <v>07  ·  15:00</v>
      </c>
      <c r="C40" s="1051">
        <v>1327</v>
      </c>
      <c r="D40" s="1051">
        <v>1078</v>
      </c>
      <c r="E40" s="1052">
        <v>0.17499999999999999</v>
      </c>
      <c r="F40" s="1052">
        <v>0.66500000000000004</v>
      </c>
      <c r="G40" s="1052">
        <v>0.4</v>
      </c>
      <c r="H40" s="1052">
        <v>0.66500000000000004</v>
      </c>
      <c r="I40" s="1052">
        <v>0.4</v>
      </c>
      <c r="J40" s="1053">
        <v>26.5</v>
      </c>
      <c r="K40" s="1053">
        <v>14.9</v>
      </c>
      <c r="L40" s="1053">
        <v>1.9</v>
      </c>
      <c r="M40" s="1053">
        <v>1.9</v>
      </c>
      <c r="N40" s="1053">
        <v>8</v>
      </c>
      <c r="O40" s="1048" t="s">
        <v>9258</v>
      </c>
      <c r="P40" s="1062" t="str" cm="1">
        <f t="array" ref="P40">IF(COUNTA(C40:O40,S40:T40)=0,"",IF(SUMPRODUCT(--(C40:N40&lt;&gt;""),--((NOT(ISNUMBER(C40:N40)))+(C40:N40&lt;C$31:N$31)+(C40:N40&gt;C$32:N$32)&gt;0))&gt;0,"Inválido","OK"))</f>
        <v>OK</v>
      </c>
      <c r="Q40" s="1054"/>
      <c r="R40" s="1054"/>
      <c r="S40" s="1049"/>
      <c r="T40" s="1049"/>
      <c r="U40" s="1033"/>
      <c r="V40" s="1033"/>
      <c r="W40" s="1033"/>
      <c r="X40" s="1033"/>
      <c r="Y40" s="1033"/>
      <c r="Z40" s="1033"/>
    </row>
    <row r="41" spans="1:26">
      <c r="A41" s="1033"/>
      <c r="B41" s="1062" t="str">
        <f>TEXT(8,"00")&amp;"  ·  "&amp;TEXT(MOD(CFG_HORA_INI+7/24,1),"hh:mm")</f>
        <v>08  ·  16:00</v>
      </c>
      <c r="C41" s="1051">
        <v>1380</v>
      </c>
      <c r="D41" s="1051">
        <v>988</v>
      </c>
      <c r="E41" s="1052"/>
      <c r="F41" s="1052"/>
      <c r="G41" s="1052"/>
      <c r="H41" s="1052"/>
      <c r="I41" s="1052"/>
      <c r="J41" s="1053"/>
      <c r="K41" s="1053"/>
      <c r="L41" s="1053"/>
      <c r="M41" s="1053"/>
      <c r="N41" s="1053"/>
      <c r="O41" s="1048" t="s">
        <v>9258</v>
      </c>
      <c r="P41" s="1062" t="str" cm="1">
        <f t="array" ref="P41">IF(COUNTA(C41:O41,S41:T41)=0,"",IF(SUMPRODUCT(--(C41:N41&lt;&gt;""),--((NOT(ISNUMBER(C41:N41)))+(C41:N41&lt;C$31:N$31)+(C41:N41&gt;C$32:N$32)&gt;0))&gt;0,"Inválido","OK"))</f>
        <v>OK</v>
      </c>
      <c r="Q41" s="1054"/>
      <c r="R41" s="1054"/>
      <c r="S41" s="1049"/>
      <c r="T41" s="1049"/>
      <c r="U41" s="1033"/>
      <c r="V41" s="1033"/>
      <c r="W41" s="1033"/>
      <c r="X41" s="1033"/>
      <c r="Y41" s="1033"/>
      <c r="Z41" s="1033"/>
    </row>
    <row r="42" spans="1:26">
      <c r="A42" s="1033"/>
      <c r="B42" s="1062" t="str">
        <f>TEXT(9,"00")&amp;"  ·  "&amp;TEXT(MOD(CFG_HORA_INI+8/24,1),"hh:mm")</f>
        <v>09  ·  17:00</v>
      </c>
      <c r="C42" s="1051">
        <v>1353</v>
      </c>
      <c r="D42" s="1051">
        <v>1151</v>
      </c>
      <c r="E42" s="1052">
        <v>0.19</v>
      </c>
      <c r="F42" s="1052">
        <v>0.59699999999999998</v>
      </c>
      <c r="G42" s="1052">
        <v>0.36</v>
      </c>
      <c r="H42" s="1052">
        <v>0.59699999999999998</v>
      </c>
      <c r="I42" s="1052">
        <v>0.36</v>
      </c>
      <c r="J42" s="1053">
        <v>24.2</v>
      </c>
      <c r="K42" s="1053">
        <v>13.7</v>
      </c>
      <c r="L42" s="1053">
        <v>2.2000000000000002</v>
      </c>
      <c r="M42" s="1053">
        <v>2</v>
      </c>
      <c r="N42" s="1053">
        <v>8.4</v>
      </c>
      <c r="O42" s="1048" t="s">
        <v>9258</v>
      </c>
      <c r="P42" s="1062" t="str" cm="1">
        <f t="array" ref="P42">IF(COUNTA(C42:O42,S42:T42)=0,"",IF(SUMPRODUCT(--(C42:N42&lt;&gt;""),--((NOT(ISNUMBER(C42:N42)))+(C42:N42&lt;C$31:N$31)+(C42:N42&gt;C$32:N$32)&gt;0))&gt;0,"Inválido","OK"))</f>
        <v>OK</v>
      </c>
      <c r="Q42" s="1054"/>
      <c r="R42" s="1054"/>
      <c r="S42" s="1049"/>
      <c r="T42" s="1049"/>
      <c r="U42" s="1033"/>
      <c r="V42" s="1033"/>
      <c r="W42" s="1033"/>
      <c r="X42" s="1033"/>
      <c r="Y42" s="1033"/>
      <c r="Z42" s="1033"/>
    </row>
    <row r="43" spans="1:26">
      <c r="A43" s="1033"/>
      <c r="B43" s="1062" t="str">
        <f>TEXT(10,"00")&amp;"  ·  "&amp;TEXT(MOD(CFG_HORA_INI+9/24,1),"hh:mm")</f>
        <v>10  ·  18:00</v>
      </c>
      <c r="C43" s="1051">
        <v>1397</v>
      </c>
      <c r="D43" s="1051">
        <v>1194</v>
      </c>
      <c r="E43" s="1052"/>
      <c r="F43" s="1052"/>
      <c r="G43" s="1052"/>
      <c r="H43" s="1052"/>
      <c r="I43" s="1052"/>
      <c r="J43" s="1053"/>
      <c r="K43" s="1053"/>
      <c r="L43" s="1053"/>
      <c r="M43" s="1053"/>
      <c r="N43" s="1053"/>
      <c r="O43" s="1048" t="s">
        <v>9258</v>
      </c>
      <c r="P43" s="1062" t="str" cm="1">
        <f t="array" ref="P43">IF(COUNTA(C43:O43,S43:T43)=0,"",IF(SUMPRODUCT(--(C43:N43&lt;&gt;""),--((NOT(ISNUMBER(C43:N43)))+(C43:N43&lt;C$31:N$31)+(C43:N43&gt;C$32:N$32)&gt;0))&gt;0,"Inválido","OK"))</f>
        <v>OK</v>
      </c>
      <c r="Q43" s="1054"/>
      <c r="R43" s="1054"/>
      <c r="S43" s="1049"/>
      <c r="T43" s="1049"/>
      <c r="U43" s="1033"/>
      <c r="V43" s="1033"/>
      <c r="W43" s="1033"/>
      <c r="X43" s="1033"/>
      <c r="Y43" s="1033"/>
      <c r="Z43" s="1033"/>
    </row>
    <row r="44" spans="1:26">
      <c r="A44" s="1033"/>
      <c r="B44" s="1062" t="str">
        <f>TEXT(11,"00")&amp;"  ·  "&amp;TEXT(MOD(CFG_HORA_INI+10/24,1),"hh:mm")</f>
        <v>11  ·  19:00</v>
      </c>
      <c r="C44" s="1051">
        <v>1412</v>
      </c>
      <c r="D44" s="1051">
        <v>1001</v>
      </c>
      <c r="E44" s="1052">
        <v>0.17899999999999999</v>
      </c>
      <c r="F44" s="1052">
        <v>0.62</v>
      </c>
      <c r="G44" s="1052">
        <v>0.4</v>
      </c>
      <c r="H44" s="1052">
        <v>0.62</v>
      </c>
      <c r="I44" s="1052">
        <v>0.4</v>
      </c>
      <c r="J44" s="1053">
        <v>25</v>
      </c>
      <c r="K44" s="1053">
        <v>14.3</v>
      </c>
      <c r="L44" s="1053">
        <v>2.6</v>
      </c>
      <c r="M44" s="1053">
        <v>1.9</v>
      </c>
      <c r="N44" s="1053">
        <v>8.8000000000000007</v>
      </c>
      <c r="O44" s="1048" t="s">
        <v>9258</v>
      </c>
      <c r="P44" s="1062" t="str" cm="1">
        <f t="array" ref="P44">IF(COUNTA(C44:O44,S44:T44)=0,"",IF(SUMPRODUCT(--(C44:N44&lt;&gt;""),--((NOT(ISNUMBER(C44:N44)))+(C44:N44&lt;C$31:N$31)+(C44:N44&gt;C$32:N$32)&gt;0))&gt;0,"Inválido","OK"))</f>
        <v>OK</v>
      </c>
      <c r="Q44" s="1054"/>
      <c r="R44" s="1054"/>
      <c r="S44" s="1049"/>
      <c r="T44" s="1049" t="s">
        <v>10416</v>
      </c>
      <c r="U44" s="1033"/>
      <c r="V44" s="1033"/>
      <c r="W44" s="1033"/>
      <c r="X44" s="1033"/>
      <c r="Y44" s="1033"/>
      <c r="Z44" s="1033"/>
    </row>
    <row r="45" spans="1:26">
      <c r="A45" s="1033"/>
      <c r="B45" s="1062" t="str">
        <f>TEXT(12,"00")&amp;"  ·  "&amp;TEXT(MOD(CFG_HORA_INI+11/24,1),"hh:mm")</f>
        <v>12  ·  20:00</v>
      </c>
      <c r="C45" s="1051">
        <v>1399</v>
      </c>
      <c r="D45" s="1051">
        <v>464</v>
      </c>
      <c r="E45" s="1052"/>
      <c r="F45" s="1052"/>
      <c r="G45" s="1052"/>
      <c r="H45" s="1052"/>
      <c r="I45" s="1052"/>
      <c r="J45" s="1053"/>
      <c r="K45" s="1053"/>
      <c r="L45" s="1053"/>
      <c r="M45" s="1053"/>
      <c r="N45" s="1053"/>
      <c r="O45" s="1048" t="s">
        <v>9258</v>
      </c>
      <c r="P45" s="1062" t="str" cm="1">
        <f t="array" ref="P45">IF(COUNTA(C45:O45,S45:T45)=0,"",IF(SUMPRODUCT(--(C45:N45&lt;&gt;""),--((NOT(ISNUMBER(C45:N45)))+(C45:N45&lt;C$31:N$31)+(C45:N45&gt;C$32:N$32)&gt;0))&gt;0,"Inválido","OK"))</f>
        <v>OK</v>
      </c>
      <c r="Q45" s="1054"/>
      <c r="R45" s="1054"/>
      <c r="S45" s="1049"/>
      <c r="T45" s="1049"/>
      <c r="U45" s="1033"/>
      <c r="V45" s="1033"/>
      <c r="W45" s="1033"/>
      <c r="X45" s="1033"/>
      <c r="Y45" s="1033"/>
      <c r="Z45" s="1033"/>
    </row>
    <row r="46" spans="1:26">
      <c r="A46" s="1033"/>
      <c r="B46" s="1062" t="str">
        <f>TEXT(13,"00")&amp;"  ·  "&amp;TEXT(MOD(CFG_HORA_INI+12/24,1),"hh:mm")</f>
        <v>13  ·  21:00</v>
      </c>
      <c r="C46" s="1051">
        <v>1390</v>
      </c>
      <c r="D46" s="1051">
        <v>1065</v>
      </c>
      <c r="E46" s="1052">
        <v>0.16700000000000001</v>
      </c>
      <c r="F46" s="1052">
        <v>0.56499999999999995</v>
      </c>
      <c r="G46" s="1052">
        <v>0.37</v>
      </c>
      <c r="H46" s="1052">
        <v>0.56499999999999995</v>
      </c>
      <c r="I46" s="1052">
        <v>0.37</v>
      </c>
      <c r="J46" s="1053">
        <v>23</v>
      </c>
      <c r="K46" s="1053">
        <v>15.5</v>
      </c>
      <c r="L46" s="1053">
        <v>2.7</v>
      </c>
      <c r="M46" s="1053">
        <v>2.6</v>
      </c>
      <c r="N46" s="1053">
        <v>8.6</v>
      </c>
      <c r="O46" s="1048" t="s">
        <v>9258</v>
      </c>
      <c r="P46" s="1062" t="str" cm="1">
        <f t="array" ref="P46">IF(COUNTA(C46:O46,S46:T46)=0,"",IF(SUMPRODUCT(--(C46:N46&lt;&gt;""),--((NOT(ISNUMBER(C46:N46)))+(C46:N46&lt;C$31:N$31)+(C46:N46&gt;C$32:N$32)&gt;0))&gt;0,"Inválido","OK"))</f>
        <v>OK</v>
      </c>
      <c r="Q46" s="1054"/>
      <c r="R46" s="1054"/>
      <c r="S46" s="1049"/>
      <c r="T46" s="1049"/>
      <c r="U46" s="1033"/>
      <c r="V46" s="1033"/>
      <c r="W46" s="1033"/>
      <c r="X46" s="1033"/>
      <c r="Y46" s="1033"/>
      <c r="Z46" s="1033"/>
    </row>
    <row r="47" spans="1:26">
      <c r="A47" s="1033"/>
      <c r="B47" s="1062" t="str">
        <f>TEXT(14,"00")&amp;"  ·  "&amp;TEXT(MOD(CFG_HORA_INI+13/24,1),"hh:mm")</f>
        <v>14  ·  22:00</v>
      </c>
      <c r="C47" s="1051">
        <v>1227</v>
      </c>
      <c r="D47" s="1051">
        <v>1069</v>
      </c>
      <c r="E47" s="1052"/>
      <c r="F47" s="1052"/>
      <c r="G47" s="1052"/>
      <c r="H47" s="1052"/>
      <c r="I47" s="1052"/>
      <c r="J47" s="1053"/>
      <c r="K47" s="1053"/>
      <c r="L47" s="1053"/>
      <c r="M47" s="1053"/>
      <c r="N47" s="1053"/>
      <c r="O47" s="1048" t="s">
        <v>9258</v>
      </c>
      <c r="P47" s="1062" t="str" cm="1">
        <f t="array" ref="P47">IF(COUNTA(C47:O47,S47:T47)=0,"",IF(SUMPRODUCT(--(C47:N47&lt;&gt;""),--((NOT(ISNUMBER(C47:N47)))+(C47:N47&lt;C$31:N$31)+(C47:N47&gt;C$32:N$32)&gt;0))&gt;0,"Inválido","OK"))</f>
        <v>OK</v>
      </c>
      <c r="Q47" s="1054"/>
      <c r="R47" s="1054"/>
      <c r="S47" s="1049"/>
      <c r="T47" s="1049"/>
      <c r="U47" s="1033"/>
      <c r="V47" s="1033"/>
      <c r="W47" s="1033"/>
      <c r="X47" s="1033"/>
      <c r="Y47" s="1033"/>
      <c r="Z47" s="1033"/>
    </row>
    <row r="48" spans="1:26">
      <c r="A48" s="1033"/>
      <c r="B48" s="1062" t="str">
        <f>TEXT(15,"00")&amp;"  ·  "&amp;TEXT(MOD(CFG_HORA_INI+14/24,1),"hh:mm")</f>
        <v>15  ·  23:00</v>
      </c>
      <c r="C48" s="1051">
        <v>1389</v>
      </c>
      <c r="D48" s="1051">
        <v>980</v>
      </c>
      <c r="E48" s="1052">
        <v>0.17699999999999999</v>
      </c>
      <c r="F48" s="1052">
        <v>0.59399999999999997</v>
      </c>
      <c r="G48" s="1052">
        <v>0.38</v>
      </c>
      <c r="H48" s="1052">
        <v>0.59399999999999997</v>
      </c>
      <c r="I48" s="1052">
        <v>0.38</v>
      </c>
      <c r="J48" s="1053">
        <v>23.6</v>
      </c>
      <c r="K48" s="1053">
        <v>14.4</v>
      </c>
      <c r="L48" s="1053">
        <v>2.4</v>
      </c>
      <c r="M48" s="1053">
        <v>2.2000000000000002</v>
      </c>
      <c r="N48" s="1053">
        <v>8.1999999999999993</v>
      </c>
      <c r="O48" s="1048" t="s">
        <v>9258</v>
      </c>
      <c r="P48" s="1062" t="str" cm="1">
        <f t="array" ref="P48">IF(COUNTA(C48:O48,S48:T48)=0,"",IF(SUMPRODUCT(--(C48:N48&lt;&gt;""),--((NOT(ISNUMBER(C48:N48)))+(C48:N48&lt;C$31:N$31)+(C48:N48&gt;C$32:N$32)&gt;0))&gt;0,"Inválido","OK"))</f>
        <v>OK</v>
      </c>
      <c r="Q48" s="1054"/>
      <c r="R48" s="1054"/>
      <c r="S48" s="1049" t="s">
        <v>10417</v>
      </c>
      <c r="T48" s="1049"/>
      <c r="U48" s="1033"/>
      <c r="V48" s="1033"/>
      <c r="W48" s="1033"/>
      <c r="X48" s="1033"/>
      <c r="Y48" s="1033"/>
      <c r="Z48" s="1033"/>
    </row>
    <row r="49" spans="1:26">
      <c r="A49" s="1033"/>
      <c r="B49" s="1062" t="str">
        <f>TEXT(16,"00")&amp;"  ·  "&amp;TEXT(MOD(CFG_HORA_INI+15/24,1),"hh:mm")</f>
        <v>16  ·  00:00</v>
      </c>
      <c r="C49" s="1051">
        <v>1312</v>
      </c>
      <c r="D49" s="1051">
        <v>756</v>
      </c>
      <c r="E49" s="1052"/>
      <c r="F49" s="1052"/>
      <c r="G49" s="1052"/>
      <c r="H49" s="1052"/>
      <c r="I49" s="1052"/>
      <c r="J49" s="1053"/>
      <c r="K49" s="1053"/>
      <c r="L49" s="1053"/>
      <c r="M49" s="1053"/>
      <c r="N49" s="1053"/>
      <c r="O49" s="1048" t="s">
        <v>9258</v>
      </c>
      <c r="P49" s="1062" t="str" cm="1">
        <f t="array" ref="P49">IF(COUNTA(C49:O49,S49:T49)=0,"",IF(SUMPRODUCT(--(C49:N49&lt;&gt;""),--((NOT(ISNUMBER(C49:N49)))+(C49:N49&lt;C$31:N$31)+(C49:N49&gt;C$32:N$32)&gt;0))&gt;0,"Inválido","OK"))</f>
        <v>OK</v>
      </c>
      <c r="Q49" s="1054"/>
      <c r="R49" s="1054"/>
      <c r="S49" s="1049"/>
      <c r="T49" s="1049"/>
      <c r="U49" s="1033"/>
      <c r="V49" s="1033"/>
      <c r="W49" s="1033"/>
      <c r="X49" s="1033"/>
      <c r="Y49" s="1033"/>
      <c r="Z49" s="1033"/>
    </row>
    <row r="50" spans="1:26">
      <c r="A50" s="1033"/>
      <c r="B50" s="1062" t="str">
        <f>TEXT(17,"00")&amp;"  ·  "&amp;TEXT(MOD(CFG_HORA_INI+16/24,1),"hh:mm")</f>
        <v>17  ·  01:00</v>
      </c>
      <c r="C50" s="1051">
        <v>1376</v>
      </c>
      <c r="D50" s="1051">
        <v>891</v>
      </c>
      <c r="E50" s="1052">
        <v>0.16</v>
      </c>
      <c r="F50" s="1052">
        <v>0.59699999999999998</v>
      </c>
      <c r="G50" s="1052">
        <v>0.35</v>
      </c>
      <c r="H50" s="1052">
        <v>0.59699999999999998</v>
      </c>
      <c r="I50" s="1052">
        <v>0.35</v>
      </c>
      <c r="J50" s="1053">
        <v>22.6</v>
      </c>
      <c r="K50" s="1053">
        <v>14.9</v>
      </c>
      <c r="L50" s="1053">
        <v>2.8</v>
      </c>
      <c r="M50" s="1053">
        <v>2.4</v>
      </c>
      <c r="N50" s="1053">
        <v>8.3000000000000007</v>
      </c>
      <c r="O50" s="1048" t="s">
        <v>9258</v>
      </c>
      <c r="P50" s="1062" t="str" cm="1">
        <f t="array" ref="P50">IF(COUNTA(C50:O50,S50:T50)=0,"",IF(SUMPRODUCT(--(C50:N50&lt;&gt;""),--((NOT(ISNUMBER(C50:N50)))+(C50:N50&lt;C$31:N$31)+(C50:N50&gt;C$32:N$32)&gt;0))&gt;0,"Inválido","OK"))</f>
        <v>OK</v>
      </c>
      <c r="Q50" s="1054"/>
      <c r="R50" s="1054"/>
      <c r="S50" s="1049" t="s">
        <v>10418</v>
      </c>
      <c r="T50" s="1049"/>
      <c r="U50" s="1033"/>
      <c r="V50" s="1033"/>
      <c r="W50" s="1033"/>
      <c r="X50" s="1033"/>
      <c r="Y50" s="1033"/>
      <c r="Z50" s="1033"/>
    </row>
    <row r="51" spans="1:26">
      <c r="A51" s="1033"/>
      <c r="B51" s="1062" t="str">
        <f>TEXT(18,"00")&amp;"  ·  "&amp;TEXT(MOD(CFG_HORA_INI+17/24,1),"hh:mm")</f>
        <v>18  ·  02:00</v>
      </c>
      <c r="C51" s="1051">
        <v>1391</v>
      </c>
      <c r="D51" s="1051">
        <v>792</v>
      </c>
      <c r="E51" s="1052"/>
      <c r="F51" s="1052"/>
      <c r="G51" s="1052"/>
      <c r="H51" s="1052"/>
      <c r="I51" s="1052"/>
      <c r="J51" s="1053"/>
      <c r="K51" s="1053"/>
      <c r="L51" s="1053"/>
      <c r="M51" s="1053"/>
      <c r="N51" s="1053"/>
      <c r="O51" s="1048" t="s">
        <v>9258</v>
      </c>
      <c r="P51" s="1062" t="str" cm="1">
        <f t="array" ref="P51">IF(COUNTA(C51:O51,S51:T51)=0,"",IF(SUMPRODUCT(--(C51:N51&lt;&gt;""),--((NOT(ISNUMBER(C51:N51)))+(C51:N51&lt;C$31:N$31)+(C51:N51&gt;C$32:N$32)&gt;0))&gt;0,"Inválido","OK"))</f>
        <v>OK</v>
      </c>
      <c r="Q51" s="1054"/>
      <c r="R51" s="1054"/>
      <c r="S51" s="1049" t="s">
        <v>10419</v>
      </c>
      <c r="T51" s="1049"/>
      <c r="U51" s="1033"/>
      <c r="V51" s="1033"/>
      <c r="W51" s="1033"/>
      <c r="X51" s="1033"/>
      <c r="Y51" s="1033"/>
      <c r="Z51" s="1033"/>
    </row>
    <row r="52" spans="1:26">
      <c r="A52" s="1033"/>
      <c r="B52" s="1062" t="str">
        <f>TEXT(19,"00")&amp;"  ·  "&amp;TEXT(MOD(CFG_HORA_INI+18/24,1),"hh:mm")</f>
        <v>19  ·  03:00</v>
      </c>
      <c r="C52" s="1051">
        <v>1409</v>
      </c>
      <c r="D52" s="1051">
        <v>868</v>
      </c>
      <c r="E52" s="1052">
        <v>0.189</v>
      </c>
      <c r="F52" s="1052">
        <v>0.627</v>
      </c>
      <c r="G52" s="1052">
        <v>0.38</v>
      </c>
      <c r="H52" s="1052">
        <v>0.627</v>
      </c>
      <c r="I52" s="1052">
        <v>0.38</v>
      </c>
      <c r="J52" s="1053">
        <v>21.3</v>
      </c>
      <c r="K52" s="1053">
        <v>14.3</v>
      </c>
      <c r="L52" s="1053">
        <v>2.7</v>
      </c>
      <c r="M52" s="1053">
        <v>2.2000000000000002</v>
      </c>
      <c r="N52" s="1053">
        <v>8.1999999999999993</v>
      </c>
      <c r="O52" s="1048" t="s">
        <v>9258</v>
      </c>
      <c r="P52" s="1062" t="str" cm="1">
        <f t="array" ref="P52">IF(COUNTA(C52:O52,S52:T52)=0,"",IF(SUMPRODUCT(--(C52:N52&lt;&gt;""),--((NOT(ISNUMBER(C52:N52)))+(C52:N52&lt;C$31:N$31)+(C52:N52&gt;C$32:N$32)&gt;0))&gt;0,"Inválido","OK"))</f>
        <v>OK</v>
      </c>
      <c r="Q52" s="1054"/>
      <c r="R52" s="1054"/>
      <c r="S52" s="1049" t="s">
        <v>10420</v>
      </c>
      <c r="T52" s="1049"/>
      <c r="U52" s="1033"/>
      <c r="V52" s="1033"/>
      <c r="W52" s="1033"/>
      <c r="X52" s="1033"/>
      <c r="Y52" s="1033"/>
      <c r="Z52" s="1033"/>
    </row>
    <row r="53" spans="1:26">
      <c r="A53" s="1033"/>
      <c r="B53" s="1062" t="str">
        <f>TEXT(20,"00")&amp;"  ·  "&amp;TEXT(MOD(CFG_HORA_INI+19/24,1),"hh:mm")</f>
        <v>20  ·  04:00</v>
      </c>
      <c r="C53" s="1051">
        <v>1452</v>
      </c>
      <c r="D53" s="1051">
        <v>807</v>
      </c>
      <c r="E53" s="1052"/>
      <c r="F53" s="1052"/>
      <c r="G53" s="1052"/>
      <c r="H53" s="1052"/>
      <c r="I53" s="1052"/>
      <c r="J53" s="1053"/>
      <c r="K53" s="1053"/>
      <c r="L53" s="1053"/>
      <c r="M53" s="1053"/>
      <c r="N53" s="1053"/>
      <c r="O53" s="1048" t="s">
        <v>9258</v>
      </c>
      <c r="P53" s="1062" t="str" cm="1">
        <f t="array" ref="P53">IF(COUNTA(C53:O53,S53:T53)=0,"",IF(SUMPRODUCT(--(C53:N53&lt;&gt;""),--((NOT(ISNUMBER(C53:N53)))+(C53:N53&lt;C$31:N$31)+(C53:N53&gt;C$32:N$32)&gt;0))&gt;0,"Inválido","OK"))</f>
        <v>OK</v>
      </c>
      <c r="Q53" s="1054"/>
      <c r="R53" s="1054"/>
      <c r="S53" s="1049" t="s">
        <v>10421</v>
      </c>
      <c r="T53" s="1049"/>
      <c r="U53" s="1033"/>
      <c r="V53" s="1033"/>
      <c r="W53" s="1033"/>
      <c r="X53" s="1033"/>
      <c r="Y53" s="1033"/>
      <c r="Z53" s="1033"/>
    </row>
    <row r="54" spans="1:26">
      <c r="A54" s="1033"/>
      <c r="B54" s="1062" t="str">
        <f>TEXT(21,"00")&amp;"  ·  "&amp;TEXT(MOD(CFG_HORA_INI+20/24,1),"hh:mm")</f>
        <v>21  ·  05:00</v>
      </c>
      <c r="C54" s="1051">
        <v>1465</v>
      </c>
      <c r="D54" s="1051">
        <v>910</v>
      </c>
      <c r="E54" s="1052">
        <v>0.19</v>
      </c>
      <c r="F54" s="1052">
        <v>0.6</v>
      </c>
      <c r="G54" s="1052">
        <v>0.37</v>
      </c>
      <c r="H54" s="1052">
        <v>0.6</v>
      </c>
      <c r="I54" s="1052">
        <v>0.37</v>
      </c>
      <c r="J54" s="1053">
        <v>22.6</v>
      </c>
      <c r="K54" s="1053">
        <v>15.4</v>
      </c>
      <c r="L54" s="1053">
        <v>2.5</v>
      </c>
      <c r="M54" s="1053">
        <v>2.1</v>
      </c>
      <c r="N54" s="1053">
        <v>8.5</v>
      </c>
      <c r="O54" s="1048" t="s">
        <v>9258</v>
      </c>
      <c r="P54" s="1062" t="str" cm="1">
        <f t="array" ref="P54">IF(COUNTA(C54:O54,S54:T54)=0,"",IF(SUMPRODUCT(--(C54:N54&lt;&gt;""),--((NOT(ISNUMBER(C54:N54)))+(C54:N54&lt;C$31:N$31)+(C54:N54&gt;C$32:N$32)&gt;0))&gt;0,"Inválido","OK"))</f>
        <v>OK</v>
      </c>
      <c r="Q54" s="1054"/>
      <c r="R54" s="1054"/>
      <c r="S54" s="1049" t="s">
        <v>10422</v>
      </c>
      <c r="T54" s="1049"/>
      <c r="U54" s="1033"/>
      <c r="V54" s="1033"/>
      <c r="W54" s="1033"/>
      <c r="X54" s="1033"/>
      <c r="Y54" s="1033"/>
      <c r="Z54" s="1033"/>
    </row>
    <row r="55" spans="1:26">
      <c r="A55" s="1033"/>
      <c r="B55" s="1062" t="str">
        <f>TEXT(22,"00")&amp;"  ·  "&amp;TEXT(MOD(CFG_HORA_INI+21/24,1),"hh:mm")</f>
        <v>22  ·  06:00</v>
      </c>
      <c r="C55" s="1051">
        <v>1455</v>
      </c>
      <c r="D55" s="1051">
        <v>963</v>
      </c>
      <c r="E55" s="1052"/>
      <c r="F55" s="1052"/>
      <c r="G55" s="1052"/>
      <c r="H55" s="1052"/>
      <c r="I55" s="1052"/>
      <c r="J55" s="1053"/>
      <c r="K55" s="1053"/>
      <c r="L55" s="1053"/>
      <c r="M55" s="1053"/>
      <c r="N55" s="1053"/>
      <c r="O55" s="1048" t="s">
        <v>9258</v>
      </c>
      <c r="P55" s="1062" t="str" cm="1">
        <f t="array" ref="P55">IF(COUNTA(C55:O55,S55:T55)=0,"",IF(SUMPRODUCT(--(C55:N55&lt;&gt;""),--((NOT(ISNUMBER(C55:N55)))+(C55:N55&lt;C$31:N$31)+(C55:N55&gt;C$32:N$32)&gt;0))&gt;0,"Inválido","OK"))</f>
        <v>OK</v>
      </c>
      <c r="Q55" s="1054"/>
      <c r="R55" s="1054"/>
      <c r="S55" s="1049" t="s">
        <v>10423</v>
      </c>
      <c r="T55" s="1049"/>
      <c r="U55" s="1033"/>
      <c r="V55" s="1033"/>
      <c r="W55" s="1033"/>
      <c r="X55" s="1033"/>
      <c r="Y55" s="1033"/>
      <c r="Z55" s="1033"/>
    </row>
    <row r="56" spans="1:26">
      <c r="A56" s="1033"/>
      <c r="B56" s="1062" t="str">
        <f>TEXT(23,"00")&amp;"  ·  "&amp;TEXT(MOD(CFG_HORA_INI+22/24,1),"hh:mm")</f>
        <v>23  ·  07:00</v>
      </c>
      <c r="C56" s="1051">
        <v>1481</v>
      </c>
      <c r="D56" s="1051">
        <v>847</v>
      </c>
      <c r="E56" s="1052">
        <v>0.21099999999999999</v>
      </c>
      <c r="F56" s="1052">
        <v>0.54300000000000004</v>
      </c>
      <c r="G56" s="1052"/>
      <c r="H56" s="1052">
        <v>0.54300000000000004</v>
      </c>
      <c r="I56" s="1052"/>
      <c r="J56" s="1053"/>
      <c r="K56" s="1053"/>
      <c r="L56" s="1053">
        <v>2.8</v>
      </c>
      <c r="M56" s="1053">
        <v>1.9</v>
      </c>
      <c r="N56" s="1053">
        <v>8.1999999999999993</v>
      </c>
      <c r="O56" s="1048" t="s">
        <v>9258</v>
      </c>
      <c r="P56" s="1062" t="str" cm="1">
        <f t="array" ref="P56">IF(COUNTA(C56:O56,S56:T56)=0,"",IF(SUMPRODUCT(--(C56:N56&lt;&gt;""),--((NOT(ISNUMBER(C56:N56)))+(C56:N56&lt;C$31:N$31)+(C56:N56&gt;C$32:N$32)&gt;0))&gt;0,"Inválido","OK"))</f>
        <v>OK</v>
      </c>
      <c r="Q56" s="1054"/>
      <c r="R56" s="1054"/>
      <c r="S56" s="1049" t="s">
        <v>10424</v>
      </c>
      <c r="T56" s="1049"/>
      <c r="U56" s="1033"/>
      <c r="V56" s="1033"/>
      <c r="W56" s="1033"/>
      <c r="X56" s="1033"/>
      <c r="Y56" s="1033"/>
      <c r="Z56" s="1033"/>
    </row>
    <row r="57" spans="1:26">
      <c r="A57" s="1033"/>
      <c r="B57" s="1062" t="str">
        <f>TEXT(24,"00")&amp;"  ·  "&amp;TEXT(MOD(CFG_HORA_INI+23/24,1),"hh:mm")</f>
        <v>24  ·  08:00</v>
      </c>
      <c r="C57" s="1051">
        <v>1464</v>
      </c>
      <c r="D57" s="1051">
        <v>961</v>
      </c>
      <c r="E57" s="1052"/>
      <c r="F57" s="1052"/>
      <c r="G57" s="1052"/>
      <c r="H57" s="1052"/>
      <c r="I57" s="1052"/>
      <c r="J57" s="1053"/>
      <c r="K57" s="1053"/>
      <c r="L57" s="1053"/>
      <c r="M57" s="1053"/>
      <c r="N57" s="1053"/>
      <c r="O57" s="1048" t="s">
        <v>9258</v>
      </c>
      <c r="P57" s="1062" t="str" cm="1">
        <f t="array" ref="P57">IF(COUNTA(C57:O57,S57:T57)=0,"",IF(SUMPRODUCT(--(C57:N57&lt;&gt;""),--((NOT(ISNUMBER(C57:N57)))+(C57:N57&lt;C$31:N$31)+(C57:N57&gt;C$32:N$32)&gt;0))&gt;0,"Inválido","OK"))</f>
        <v>OK</v>
      </c>
      <c r="Q57" s="1054"/>
      <c r="R57" s="1054"/>
      <c r="S57" s="1049"/>
      <c r="T57" s="1049"/>
      <c r="U57" s="1033"/>
      <c r="V57" s="1033"/>
      <c r="W57" s="1033"/>
      <c r="X57" s="1033"/>
      <c r="Y57" s="1033"/>
      <c r="Z57" s="1033"/>
    </row>
    <row r="58" spans="1:26">
      <c r="A58" s="1033"/>
      <c r="B58" s="1055" t="s">
        <v>9372</v>
      </c>
      <c r="C58" s="1056">
        <f>IF(SUM(C34:C57)=0,"",SUM(C34:C57))</f>
        <v>33347</v>
      </c>
      <c r="D58" s="1056">
        <f>IF(SUM(D34:D57)=0,"",SUM(D34:D57))</f>
        <v>21599</v>
      </c>
      <c r="E58" s="1057">
        <f t="shared" ref="E58:N58" si="0">IF(COUNT(E34:E57)=0,"",AVERAGE(E34:E57))</f>
        <v>0.19075</v>
      </c>
      <c r="F58" s="1057">
        <f t="shared" si="0"/>
        <v>0.61550000000000005</v>
      </c>
      <c r="G58" s="1057">
        <f t="shared" si="0"/>
        <v>0.3772727272727272</v>
      </c>
      <c r="H58" s="1057">
        <f t="shared" si="0"/>
        <v>0.61550000000000005</v>
      </c>
      <c r="I58" s="1057">
        <f t="shared" si="0"/>
        <v>0.3772727272727272</v>
      </c>
      <c r="J58" s="1058">
        <f t="shared" si="0"/>
        <v>23.690909090909091</v>
      </c>
      <c r="K58" s="1058">
        <f t="shared" si="0"/>
        <v>14.263636363636364</v>
      </c>
      <c r="L58" s="1058">
        <f t="shared" si="0"/>
        <v>2.4333333333333331</v>
      </c>
      <c r="M58" s="1058">
        <f t="shared" si="0"/>
        <v>2.0499999999999998</v>
      </c>
      <c r="N58" s="1058">
        <f t="shared" si="0"/>
        <v>8.3083333333333336</v>
      </c>
      <c r="O58" s="1055"/>
      <c r="P58" s="1055" t="str">
        <f>IF(COUNTIF(P34:P57,"OK")+COUNTIF(P34:P57,"Inválido")=0,"",COUNTIF(P34:P57,"OK")+COUNTIF(P34:P57,"Inválido")&amp;" h")</f>
        <v>24 h</v>
      </c>
      <c r="Q58" s="1055"/>
      <c r="R58" s="1055"/>
      <c r="S58" s="1055"/>
      <c r="T58" s="1055"/>
      <c r="U58" s="1033"/>
      <c r="V58" s="1033"/>
      <c r="W58" s="1033"/>
      <c r="X58" s="1033"/>
      <c r="Y58" s="1033"/>
      <c r="Z58" s="1033"/>
    </row>
    <row r="59" spans="1:26">
      <c r="A59" s="1033"/>
      <c r="B59" s="1033"/>
      <c r="C59" s="1033"/>
      <c r="D59" s="1033"/>
      <c r="E59" s="1033"/>
      <c r="F59" s="1033"/>
      <c r="G59" s="1033"/>
      <c r="H59" s="1033"/>
      <c r="I59" s="1033"/>
      <c r="J59" s="1033"/>
      <c r="K59" s="1033"/>
      <c r="L59" s="1033"/>
      <c r="M59" s="1033"/>
      <c r="N59" s="1033"/>
      <c r="O59" s="1033"/>
      <c r="P59" s="1033"/>
      <c r="Q59" s="1033"/>
      <c r="R59" s="1033"/>
      <c r="S59" s="1033"/>
      <c r="T59" s="1033"/>
      <c r="U59" s="1033"/>
      <c r="V59" s="1033"/>
      <c r="W59" s="1033"/>
      <c r="X59" s="1033"/>
      <c r="Y59" s="1033"/>
      <c r="Z59" s="1033"/>
    </row>
    <row r="60" spans="1:26">
      <c r="A60" s="1033"/>
      <c r="B60" s="1033"/>
      <c r="C60" s="1033"/>
      <c r="D60" s="1033"/>
      <c r="E60" s="1033"/>
      <c r="F60" s="1033"/>
      <c r="G60" s="1033"/>
      <c r="H60" s="1033"/>
      <c r="I60" s="1033"/>
      <c r="J60" s="1033"/>
      <c r="K60" s="1033"/>
      <c r="L60" s="1033"/>
      <c r="M60" s="1033"/>
      <c r="N60" s="1033"/>
      <c r="O60" s="1033"/>
      <c r="P60" s="1033"/>
      <c r="Q60" s="1033"/>
      <c r="R60" s="1033"/>
      <c r="S60" s="1033"/>
      <c r="T60" s="1033"/>
      <c r="U60" s="1033"/>
      <c r="V60" s="1033"/>
      <c r="W60" s="1033"/>
      <c r="X60" s="1033"/>
      <c r="Y60" s="1033"/>
      <c r="Z60" s="1033"/>
    </row>
    <row r="61" spans="1:26">
      <c r="A61" s="1033"/>
      <c r="B61" s="1033"/>
      <c r="C61" s="1033"/>
      <c r="D61" s="1033"/>
      <c r="E61" s="1033"/>
      <c r="F61" s="1033"/>
      <c r="G61" s="1033"/>
      <c r="H61" s="1033"/>
      <c r="I61" s="1033"/>
      <c r="J61" s="1033"/>
      <c r="K61" s="1033"/>
      <c r="L61" s="1033"/>
      <c r="M61" s="1033"/>
      <c r="N61" s="1033"/>
      <c r="O61" s="1033"/>
      <c r="P61" s="1033"/>
      <c r="Q61" s="1033"/>
      <c r="R61" s="1033"/>
      <c r="S61" s="1033"/>
      <c r="T61" s="1033"/>
      <c r="U61" s="1033"/>
      <c r="V61" s="1033"/>
      <c r="W61" s="1033"/>
      <c r="X61" s="1033"/>
      <c r="Y61" s="1033"/>
      <c r="Z61" s="1033"/>
    </row>
    <row r="62" spans="1:26">
      <c r="A62" s="1033"/>
      <c r="B62" s="1033"/>
      <c r="C62" s="1033"/>
      <c r="D62" s="1033"/>
      <c r="E62" s="1033"/>
      <c r="F62" s="1033"/>
      <c r="G62" s="1033"/>
      <c r="H62" s="1033"/>
      <c r="I62" s="1033"/>
      <c r="J62" s="1033"/>
      <c r="K62" s="1033"/>
      <c r="L62" s="1033"/>
      <c r="M62" s="1033"/>
      <c r="N62" s="1033"/>
      <c r="O62" s="1033"/>
      <c r="P62" s="1033"/>
      <c r="Q62" s="1033"/>
      <c r="R62" s="1033"/>
      <c r="S62" s="1033"/>
      <c r="T62" s="1033"/>
      <c r="U62" s="1033"/>
      <c r="V62" s="1033"/>
      <c r="W62" s="1033"/>
      <c r="X62" s="1033"/>
      <c r="Y62" s="1033"/>
      <c r="Z62" s="1033"/>
    </row>
    <row r="63" spans="1:26">
      <c r="A63" s="1033"/>
      <c r="B63" s="1033"/>
      <c r="C63" s="1033"/>
      <c r="D63" s="1033"/>
      <c r="E63" s="1033"/>
      <c r="F63" s="1033"/>
      <c r="G63" s="1033"/>
      <c r="H63" s="1033"/>
      <c r="I63" s="1033"/>
      <c r="J63" s="1033"/>
      <c r="K63" s="1033"/>
      <c r="L63" s="1033"/>
      <c r="M63" s="1033"/>
      <c r="N63" s="1033"/>
      <c r="O63" s="1033"/>
      <c r="P63" s="1033"/>
      <c r="Q63" s="1033"/>
      <c r="R63" s="1033"/>
      <c r="S63" s="1033"/>
      <c r="T63" s="1033"/>
      <c r="U63" s="1033"/>
      <c r="V63" s="1033"/>
      <c r="W63" s="1033"/>
      <c r="X63" s="1033"/>
      <c r="Y63" s="1033"/>
      <c r="Z63" s="1033"/>
    </row>
    <row r="64" spans="1:26">
      <c r="A64" s="1033"/>
      <c r="B64" s="1033"/>
      <c r="C64" s="1033"/>
      <c r="D64" s="1033"/>
      <c r="E64" s="1033"/>
      <c r="F64" s="1033"/>
      <c r="G64" s="1033"/>
      <c r="H64" s="1033"/>
      <c r="I64" s="1033"/>
      <c r="J64" s="1033"/>
      <c r="K64" s="1033"/>
      <c r="L64" s="1033"/>
      <c r="M64" s="1033"/>
      <c r="N64" s="1033"/>
      <c r="O64" s="1033"/>
      <c r="P64" s="1033"/>
      <c r="Q64" s="1033"/>
      <c r="R64" s="1033"/>
      <c r="S64" s="1033"/>
      <c r="T64" s="1033"/>
      <c r="U64" s="1033"/>
      <c r="V64" s="1033"/>
      <c r="W64" s="1033"/>
      <c r="X64" s="1033"/>
      <c r="Y64" s="1033"/>
      <c r="Z64" s="1033"/>
    </row>
    <row r="65" spans="1:26">
      <c r="A65" s="1033"/>
      <c r="B65" s="1033"/>
      <c r="C65" s="1033"/>
      <c r="D65" s="1033"/>
      <c r="E65" s="1033"/>
      <c r="F65" s="1033"/>
      <c r="G65" s="1033"/>
      <c r="H65" s="1033"/>
      <c r="I65" s="1033"/>
      <c r="J65" s="1033"/>
      <c r="K65" s="1033"/>
      <c r="L65" s="1033"/>
      <c r="M65" s="1033"/>
      <c r="N65" s="1033"/>
      <c r="O65" s="1033"/>
      <c r="P65" s="1033"/>
      <c r="Q65" s="1033"/>
      <c r="R65" s="1033"/>
      <c r="S65" s="1033"/>
      <c r="T65" s="1033"/>
      <c r="U65" s="1033"/>
      <c r="V65" s="1033"/>
      <c r="W65" s="1033"/>
      <c r="X65" s="1033"/>
      <c r="Y65" s="1033"/>
      <c r="Z65" s="1033"/>
    </row>
    <row r="66" spans="1:26">
      <c r="A66" s="1033"/>
      <c r="B66" s="1033"/>
      <c r="C66" s="1033"/>
      <c r="D66" s="1033"/>
      <c r="E66" s="1033"/>
      <c r="F66" s="1033"/>
      <c r="G66" s="1033"/>
      <c r="H66" s="1033"/>
      <c r="I66" s="1033"/>
      <c r="J66" s="1033"/>
      <c r="K66" s="1033"/>
      <c r="L66" s="1033"/>
      <c r="M66" s="1033"/>
      <c r="N66" s="1033"/>
      <c r="O66" s="1033"/>
      <c r="P66" s="1033"/>
      <c r="Q66" s="1033"/>
      <c r="R66" s="1033"/>
      <c r="S66" s="1033"/>
      <c r="T66" s="1033"/>
      <c r="U66" s="1033"/>
      <c r="V66" s="1033"/>
      <c r="W66" s="1033"/>
      <c r="X66" s="1033"/>
      <c r="Y66" s="1033"/>
      <c r="Z66" s="1033"/>
    </row>
    <row r="67" spans="1:26">
      <c r="A67" s="1033"/>
      <c r="B67" s="1033"/>
      <c r="C67" s="1033"/>
      <c r="D67" s="1033"/>
      <c r="E67" s="1033"/>
      <c r="F67" s="1033"/>
      <c r="G67" s="1033"/>
      <c r="H67" s="1033"/>
      <c r="I67" s="1033"/>
      <c r="J67" s="1033"/>
      <c r="K67" s="1033"/>
      <c r="L67" s="1033"/>
      <c r="M67" s="1033"/>
      <c r="N67" s="1033"/>
      <c r="O67" s="1033"/>
      <c r="P67" s="1033"/>
      <c r="Q67" s="1033"/>
      <c r="R67" s="1033"/>
      <c r="S67" s="1033"/>
      <c r="T67" s="1033"/>
      <c r="U67" s="1033"/>
      <c r="V67" s="1033"/>
      <c r="W67" s="1033"/>
      <c r="X67" s="1033"/>
      <c r="Y67" s="1033"/>
      <c r="Z67" s="1033"/>
    </row>
    <row r="68" spans="1:26">
      <c r="A68" s="1033"/>
      <c r="B68" s="1033"/>
      <c r="C68" s="1033"/>
      <c r="D68" s="1033"/>
      <c r="E68" s="1033"/>
      <c r="F68" s="1033"/>
      <c r="G68" s="1033"/>
      <c r="H68" s="1033"/>
      <c r="I68" s="1033"/>
      <c r="J68" s="1033"/>
      <c r="K68" s="1033"/>
      <c r="L68" s="1033"/>
      <c r="M68" s="1033"/>
      <c r="N68" s="1033"/>
      <c r="O68" s="1033"/>
      <c r="P68" s="1033"/>
      <c r="Q68" s="1033"/>
      <c r="R68" s="1033"/>
      <c r="S68" s="1033"/>
      <c r="T68" s="1033"/>
      <c r="U68" s="1033"/>
      <c r="V68" s="1033"/>
      <c r="W68" s="1033"/>
      <c r="X68" s="1033"/>
      <c r="Y68" s="1033"/>
      <c r="Z68" s="1033"/>
    </row>
    <row r="69" spans="1:26">
      <c r="A69" s="1033"/>
      <c r="B69" s="1033"/>
      <c r="C69" s="1033"/>
      <c r="D69" s="1033"/>
      <c r="E69" s="1033"/>
      <c r="F69" s="1033"/>
      <c r="G69" s="1033"/>
      <c r="H69" s="1033"/>
      <c r="I69" s="1033"/>
      <c r="J69" s="1033"/>
      <c r="K69" s="1033"/>
      <c r="L69" s="1033"/>
      <c r="M69" s="1033"/>
      <c r="N69" s="1033"/>
      <c r="O69" s="1033"/>
      <c r="P69" s="1033"/>
      <c r="Q69" s="1033"/>
      <c r="R69" s="1033"/>
      <c r="S69" s="1033"/>
      <c r="T69" s="1033"/>
      <c r="U69" s="1033"/>
      <c r="V69" s="1033"/>
      <c r="W69" s="1033"/>
      <c r="X69" s="1033"/>
      <c r="Y69" s="1033"/>
      <c r="Z69" s="1033"/>
    </row>
    <row r="70" spans="1:26">
      <c r="A70" s="1033"/>
      <c r="B70" s="1033"/>
      <c r="C70" s="1033"/>
      <c r="D70" s="1033"/>
      <c r="E70" s="1033"/>
      <c r="F70" s="1033"/>
      <c r="G70" s="1033"/>
      <c r="H70" s="1033"/>
      <c r="I70" s="1033"/>
      <c r="J70" s="1033"/>
      <c r="K70" s="1033"/>
      <c r="L70" s="1033"/>
      <c r="M70" s="1033"/>
      <c r="N70" s="1033"/>
      <c r="O70" s="1033"/>
      <c r="P70" s="1033"/>
      <c r="Q70" s="1033"/>
      <c r="R70" s="1033"/>
      <c r="S70" s="1033"/>
      <c r="T70" s="1033"/>
      <c r="U70" s="1033"/>
      <c r="V70" s="1033"/>
      <c r="W70" s="1033"/>
      <c r="X70" s="1033"/>
      <c r="Y70" s="1033"/>
      <c r="Z70" s="1033"/>
    </row>
  </sheetData>
  <mergeCells count="9">
    <mergeCell ref="B30:T30"/>
    <mergeCell ref="X4:Z4"/>
    <mergeCell ref="B1:V1"/>
    <mergeCell ref="C4:D4"/>
    <mergeCell ref="C5:D5"/>
    <mergeCell ref="B7:H7"/>
    <mergeCell ref="B20:H20"/>
    <mergeCell ref="I7:O7"/>
    <mergeCell ref="P7:V7"/>
  </mergeCells>
  <conditionalFormatting sqref="C4">
    <cfRule type="expression" dxfId="116" priority="1">
      <formula>AND(ISNUMBER($C$4),OR(MONTH($C$4)&lt;&gt;MONTH(CFG_MES),YEAR($C$4)&lt;&gt;YEAR(CFG_MES)))</formula>
    </cfRule>
  </conditionalFormatting>
  <conditionalFormatting sqref="D9:F19">
    <cfRule type="cellIs" dxfId="115" priority="2" operator="equal">
      <formula>"OK"</formula>
    </cfRule>
  </conditionalFormatting>
  <conditionalFormatting sqref="D9:F19">
    <cfRule type="cellIs" dxfId="114" priority="3" operator="equal">
      <formula>"NA"</formula>
    </cfRule>
  </conditionalFormatting>
  <conditionalFormatting sqref="D9:F19">
    <cfRule type="cellIs" dxfId="113" priority="4" operator="equal">
      <formula>"X"</formula>
    </cfRule>
  </conditionalFormatting>
  <conditionalFormatting sqref="G9:G27">
    <cfRule type="containsText" dxfId="112" priority="5" operator="containsText" text="Inv">
      <formula>NOT(ISERROR(SEARCH("Inv",G9)))</formula>
    </cfRule>
  </conditionalFormatting>
  <conditionalFormatting sqref="G9:G27">
    <cfRule type="containsText" dxfId="111" priority="6" operator="containsText" text="OK">
      <formula>NOT(ISERROR(SEARCH("OK",G9)))</formula>
    </cfRule>
  </conditionalFormatting>
  <conditionalFormatting sqref="K9:M27">
    <cfRule type="cellIs" dxfId="110" priority="7" operator="equal">
      <formula>"OK"</formula>
    </cfRule>
  </conditionalFormatting>
  <conditionalFormatting sqref="K9:M27">
    <cfRule type="cellIs" dxfId="109" priority="8" operator="equal">
      <formula>"NA"</formula>
    </cfRule>
  </conditionalFormatting>
  <conditionalFormatting sqref="K9:M27">
    <cfRule type="cellIs" dxfId="108" priority="9" operator="equal">
      <formula>"X"</formula>
    </cfRule>
  </conditionalFormatting>
  <conditionalFormatting sqref="N9:N27">
    <cfRule type="containsText" dxfId="107" priority="10" operator="containsText" text="Inv">
      <formula>NOT(ISERROR(SEARCH("Inv",N9)))</formula>
    </cfRule>
  </conditionalFormatting>
  <conditionalFormatting sqref="N9:N27">
    <cfRule type="containsText" dxfId="106" priority="11" operator="containsText" text="OK">
      <formula>NOT(ISERROR(SEARCH("OK",N9)))</formula>
    </cfRule>
  </conditionalFormatting>
  <conditionalFormatting sqref="R9:T27">
    <cfRule type="cellIs" dxfId="105" priority="12" operator="equal">
      <formula>"OK"</formula>
    </cfRule>
  </conditionalFormatting>
  <conditionalFormatting sqref="R9:T27">
    <cfRule type="cellIs" dxfId="104" priority="13" operator="equal">
      <formula>"NA"</formula>
    </cfRule>
  </conditionalFormatting>
  <conditionalFormatting sqref="R9:T27">
    <cfRule type="cellIs" dxfId="103" priority="14" operator="equal">
      <formula>"X"</formula>
    </cfRule>
  </conditionalFormatting>
  <conditionalFormatting sqref="U9:U27">
    <cfRule type="containsText" dxfId="102" priority="15" operator="containsText" text="Inv">
      <formula>NOT(ISERROR(SEARCH("Inv",U9)))</formula>
    </cfRule>
  </conditionalFormatting>
  <conditionalFormatting sqref="U9:U27">
    <cfRule type="containsText" dxfId="101" priority="16" operator="containsText" text="OK">
      <formula>NOT(ISERROR(SEARCH("OK",U9)))</formula>
    </cfRule>
  </conditionalFormatting>
  <conditionalFormatting sqref="P34:P57">
    <cfRule type="containsText" dxfId="100" priority="17" operator="containsText" text="Inv">
      <formula>NOT(ISERROR(SEARCH("Inv",P34)))</formula>
    </cfRule>
  </conditionalFormatting>
  <conditionalFormatting sqref="P34:P57">
    <cfRule type="containsText" dxfId="99" priority="18" operator="containsText" text="OK">
      <formula>NOT(ISERROR(SEARCH("OK",P34)))</formula>
    </cfRule>
  </conditionalFormatting>
  <conditionalFormatting sqref="Z6:Z9">
    <cfRule type="cellIs" dxfId="98" priority="19" operator="greaterThan">
      <formula>0</formula>
    </cfRule>
  </conditionalFormatting>
  <dataValidations count="4">
    <dataValidation type="list" allowBlank="1" showInputMessage="1" showErrorMessage="1" errorTitle="Valor no válido" error="Use OK, X o NA." sqref="R9:T27 K9:M27 D9:F19" xr:uid="{4F731D56-37BF-4A21-BE54-1BFD8D8C58CF}">
      <formula1>"OK,X,NA"</formula1>
    </dataValidation>
    <dataValidation type="decimal" allowBlank="1" showInputMessage="1" showErrorMessage="1" errorTitle="Valor fuera de rango" error="Fuera del rango válido (filas Mín/Máx, definido en Catálogo)." sqref="C34:N57" xr:uid="{BBE2CD3F-E578-4D05-BC13-0BDB3EDCEED1}">
      <formula1>C$31</formula1>
      <formula2>C$32</formula2>
    </dataValidation>
    <dataValidation type="list" allowBlank="1" showInputMessage="1" showErrorMessage="1" sqref="O34:O57" xr:uid="{D162BD5B-1256-440C-97CB-8687C5DC9FDC}">
      <formula1>L_ESTADO_DATO</formula1>
    </dataValidation>
    <dataValidation type="custom" allowBlank="1" showInputMessage="1" showErrorMessage="1" sqref="Q34:R57" xr:uid="{DDD9D1EC-7662-48BF-B1BD-036709F24FD8}">
      <formula1>FALSE</formula1>
    </dataValidation>
  </dataValidations>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Captura-Planta — Página &amp;P de &amp;F</oddFooter>
  </headerFooter>
  <drawing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Fecha fuera del mes en control" error="Esa fecha no pertenece al mes definido en Config (C5:C6). ¿Usarla de todos modos?" promptTitle="Fecha de jornada" prompt="Elija una fecha de la lista (mes y año definidos en Config C5:C6)." xr:uid="{A22E0481-26BD-4111-B7B4-F64F23AE7D9C}">
          <x14:formula1>
            <xm:f>OFFSET(Listas!$I$5,0,0,CFG_DIAS,1)</xm:f>
          </x14:formula1>
          <xm:sqref>C4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C9DB4-8A11-4C83-9B50-8C5C83A471D5}">
  <sheetPr codeName="Hoja12">
    <tabColor rgb="FF548235"/>
    <pageSetUpPr fitToPage="1"/>
  </sheetPr>
  <dimension ref="A1:AF60"/>
  <sheetViews>
    <sheetView showGridLines="0" zoomScale="70" zoomScaleNormal="70" workbookViewId="0">
      <pane xSplit="3" ySplit="9" topLeftCell="D13" activePane="bottomRight" state="frozen"/>
      <selection pane="topRight" activeCell="D1" sqref="D1"/>
      <selection pane="bottomLeft" activeCell="A10" sqref="A10"/>
      <selection pane="bottomRight" activeCell="D3" sqref="D3:F3"/>
    </sheetView>
  </sheetViews>
  <sheetFormatPr baseColWidth="10" defaultRowHeight="15"/>
  <cols>
    <col min="1" max="1" width="2.85546875" customWidth="1"/>
    <col min="2" max="2" width="23.85546875" customWidth="1"/>
    <col min="3" max="3" width="7.5703125" customWidth="1"/>
    <col min="4" max="10" width="12.5703125" customWidth="1"/>
    <col min="11" max="11" width="13.85546875" customWidth="1"/>
    <col min="12" max="12" width="3.85546875" customWidth="1"/>
    <col min="13" max="16" width="16" customWidth="1"/>
  </cols>
  <sheetData>
    <row r="1" spans="1:32" ht="22.5" customHeight="1">
      <c r="A1" s="1033"/>
      <c r="B1" s="1219" t="s">
        <v>9880</v>
      </c>
      <c r="C1" s="1220"/>
      <c r="D1" s="1220"/>
      <c r="E1" s="1220"/>
      <c r="F1" s="1220"/>
      <c r="G1" s="1220"/>
      <c r="H1" s="1220"/>
      <c r="I1" s="1220"/>
      <c r="J1" s="1220"/>
      <c r="K1" s="1220"/>
    </row>
    <row r="2" spans="1:32">
      <c r="A2" s="1033"/>
      <c r="B2" s="1033"/>
      <c r="C2" s="1033"/>
      <c r="D2" s="1033"/>
      <c r="E2" s="1033"/>
      <c r="F2" s="1033"/>
      <c r="G2" s="1033"/>
      <c r="H2" s="1033"/>
      <c r="I2" s="1033"/>
      <c r="J2" s="1033"/>
      <c r="K2" s="1033"/>
    </row>
    <row r="3" spans="1:32" ht="15.75">
      <c r="A3" s="1033"/>
      <c r="B3" s="1045"/>
      <c r="C3" s="1047" t="s">
        <v>323</v>
      </c>
      <c r="D3" s="1308" t="str">
        <f>CFG_MES_TXT</f>
        <v>Setiembre 2026</v>
      </c>
      <c r="E3" s="1308"/>
      <c r="F3" s="1308"/>
      <c r="G3" s="1033"/>
      <c r="H3" s="1033"/>
      <c r="I3" s="1033"/>
      <c r="J3" s="1033"/>
      <c r="K3" s="1033"/>
    </row>
    <row r="4" spans="1:32">
      <c r="A4" s="1033"/>
      <c r="B4" s="1045" t="s">
        <v>9881</v>
      </c>
      <c r="C4" s="1033"/>
      <c r="D4" s="1220" t="str">
        <f ca="1">COUNTIF(K10:K40,"✔")&amp;" de "&amp;MAX(0,MIN(CFG_DIAS,TODAY()-CFG_MES+1))&amp;" transcurridos"</f>
        <v>29 de 30 transcurridos</v>
      </c>
      <c r="E4" s="1220"/>
      <c r="F4" s="1220"/>
      <c r="G4" s="1220"/>
      <c r="H4" s="1033"/>
      <c r="I4" s="1033"/>
      <c r="J4" s="1033"/>
      <c r="K4" s="1033"/>
    </row>
    <row r="5" spans="1:32">
      <c r="A5" s="1033"/>
      <c r="B5" s="1045" t="s">
        <v>9882</v>
      </c>
      <c r="C5" s="1033"/>
      <c r="D5" s="1220" t="s">
        <v>9444</v>
      </c>
      <c r="E5" s="1220"/>
      <c r="F5" s="1220"/>
      <c r="G5" s="1033"/>
      <c r="H5" s="1033"/>
      <c r="I5" s="981" t="s">
        <v>10231</v>
      </c>
      <c r="J5" s="1033"/>
      <c r="K5" s="1033"/>
      <c r="M5" s="1310" t="s">
        <v>10206</v>
      </c>
      <c r="N5" s="1318"/>
      <c r="O5" s="1318"/>
      <c r="P5" s="1319"/>
    </row>
    <row r="6" spans="1:32">
      <c r="A6" s="1033"/>
      <c r="B6" s="1043" t="s">
        <v>9370</v>
      </c>
      <c r="C6" s="1044"/>
      <c r="D6" s="1069">
        <f>SUMIFS(tblCatControles[Mín],tblCatControles[Módulo],$D$5,tblCatControles[Ítem],D$8)</f>
        <v>0</v>
      </c>
      <c r="E6" s="1069">
        <f>SUMIFS(tblCatControles[Mín],tblCatControles[Módulo],$D$5,tblCatControles[Ítem],E$8)</f>
        <v>0</v>
      </c>
      <c r="F6" s="1069"/>
      <c r="G6" s="1069">
        <f>SUMIFS(tblCatControles[Mín],tblCatControles[Módulo],$D$5,tblCatControles[Ítem],G$8)</f>
        <v>0</v>
      </c>
      <c r="H6" s="1069">
        <f>SUMIFS(tblCatControles[Mín],tblCatControles[Módulo],$D$5,tblCatControles[Ítem],H$8)</f>
        <v>0</v>
      </c>
      <c r="I6" s="1069"/>
      <c r="J6" s="1069">
        <f>SUMIFS(tblCatControles[Mín],tblCatControles[Módulo],$D$5,tblCatControles[Ítem],J$8)</f>
        <v>0</v>
      </c>
      <c r="K6" s="1069"/>
      <c r="M6" s="1043" t="s">
        <v>10207</v>
      </c>
      <c r="N6" s="1188">
        <f>'KPI Mes'!E17</f>
        <v>2.0760000000000001</v>
      </c>
      <c r="O6" s="1189">
        <f>'KPI Mes'!E15</f>
        <v>0.27800000000000002</v>
      </c>
      <c r="P6" s="1189">
        <f>'KPI Mes'!E16</f>
        <v>9.0499999999999997E-2</v>
      </c>
    </row>
    <row r="7" spans="1:32">
      <c r="A7" s="1033"/>
      <c r="B7" s="1043" t="s">
        <v>9371</v>
      </c>
      <c r="C7" s="1044"/>
      <c r="D7" s="1069">
        <f>SUMIFS(tblCatControles[Máx],tblCatControles[Módulo],$D$5,tblCatControles[Ítem],D$8)</f>
        <v>40000</v>
      </c>
      <c r="E7" s="1069">
        <f>SUMIFS(tblCatControles[Máx],tblCatControles[Módulo],$D$5,tblCatControles[Ítem],E$8)</f>
        <v>40000</v>
      </c>
      <c r="F7" s="1069"/>
      <c r="G7" s="1069">
        <f>SUMIFS(tblCatControles[Máx],tblCatControles[Módulo],$D$5,tblCatControles[Ítem],G$8)</f>
        <v>10000</v>
      </c>
      <c r="H7" s="1069">
        <f>SUMIFS(tblCatControles[Máx],tblCatControles[Módulo],$D$5,tblCatControles[Ítem],H$8)</f>
        <v>10000</v>
      </c>
      <c r="I7" s="1069"/>
      <c r="J7" s="1069">
        <f>SUMIFS(tblCatControles[Máx],tblCatControles[Módulo],$D$5,tblCatControles[Ítem],J$8)</f>
        <v>10000</v>
      </c>
      <c r="K7" s="1069"/>
      <c r="AA7" s="1044" t="s">
        <v>10235</v>
      </c>
    </row>
    <row r="8" spans="1:32" ht="45" customHeight="1">
      <c r="A8" s="1033"/>
      <c r="B8" s="1072" t="s">
        <v>322</v>
      </c>
      <c r="C8" s="1072"/>
      <c r="D8" s="1072" t="s">
        <v>9508</v>
      </c>
      <c r="E8" s="1072" t="s">
        <v>9508</v>
      </c>
      <c r="F8" s="1072" t="s">
        <v>9883</v>
      </c>
      <c r="G8" s="1072" t="s">
        <v>9511</v>
      </c>
      <c r="H8" s="1072" t="s">
        <v>9511</v>
      </c>
      <c r="I8" s="1072" t="s">
        <v>9884</v>
      </c>
      <c r="J8" s="1072" t="s">
        <v>9513</v>
      </c>
      <c r="K8" s="1072" t="s">
        <v>9885</v>
      </c>
      <c r="M8" s="1190" t="s">
        <v>10208</v>
      </c>
      <c r="N8" s="1190" t="s">
        <v>9508</v>
      </c>
      <c r="O8" s="1190" t="s">
        <v>9511</v>
      </c>
      <c r="P8" s="1190" t="s">
        <v>9513</v>
      </c>
    </row>
    <row r="9" spans="1:32" ht="32.1" customHeight="1">
      <c r="A9" s="1033"/>
      <c r="B9" s="1073"/>
      <c r="C9" s="1073" t="s">
        <v>31</v>
      </c>
      <c r="D9" s="1073" t="s">
        <v>9446</v>
      </c>
      <c r="E9" s="1073" t="s">
        <v>9447</v>
      </c>
      <c r="F9" s="1073" t="s">
        <v>55</v>
      </c>
      <c r="G9" s="1073" t="s">
        <v>9446</v>
      </c>
      <c r="H9" s="1073" t="s">
        <v>9447</v>
      </c>
      <c r="I9" s="1073" t="s">
        <v>55</v>
      </c>
      <c r="J9" s="1073" t="s">
        <v>9870</v>
      </c>
      <c r="K9" s="1073"/>
      <c r="M9" s="1190"/>
      <c r="N9" s="1190" t="s">
        <v>9946</v>
      </c>
      <c r="O9" s="1190" t="s">
        <v>9946</v>
      </c>
      <c r="P9" s="1190" t="s">
        <v>9946</v>
      </c>
      <c r="AA9" s="1107" t="s">
        <v>3</v>
      </c>
      <c r="AB9" s="1107" t="s">
        <v>9508</v>
      </c>
      <c r="AC9" s="1107"/>
      <c r="AD9" s="1107" t="s">
        <v>3</v>
      </c>
      <c r="AE9" s="1107" t="s">
        <v>9511</v>
      </c>
      <c r="AF9" s="1107" t="s">
        <v>9513</v>
      </c>
    </row>
    <row r="10" spans="1:32">
      <c r="A10" s="1033"/>
      <c r="B10" s="1074">
        <f>IF(ROWS(B$10:B10)&lt;=CFG_DIAS,CFG_MES+ROWS(B$10:B10)-1,"")</f>
        <v>46266</v>
      </c>
      <c r="C10" s="1062" t="str">
        <f t="shared" ref="C10:C40" si="0">IF(B10="","",TEXT(B10,"ddd"))</f>
        <v>ma</v>
      </c>
      <c r="D10" s="1051">
        <v>20000</v>
      </c>
      <c r="E10" s="1051">
        <v>16000</v>
      </c>
      <c r="F10" s="1075">
        <f t="shared" ref="F10:F40" si="1">IF(COUNT(D10:E10)=0,"",SUM(D10:E10))</f>
        <v>36000</v>
      </c>
      <c r="G10" s="1051">
        <v>3800</v>
      </c>
      <c r="H10" s="1051">
        <v>3850</v>
      </c>
      <c r="I10" s="1075">
        <f t="shared" ref="I10:I40" si="2">IF(COUNT(G10:H10)=0,"",SUM(G10:H10))</f>
        <v>7650</v>
      </c>
      <c r="J10" s="1051">
        <v>3000</v>
      </c>
      <c r="K10" s="1062" t="str" cm="1">
        <f t="array" ref="K10">IF(B10="","",IF(SUMPRODUCT(--(D10:J10&lt;&gt;""),--(D$9:J$9&lt;&gt;"Total"))&gt;0,"✔",""))</f>
        <v>✔</v>
      </c>
      <c r="M10" s="1191">
        <f>IF(B10="","",IF(SUMIFS(tblConcentrado[Concentrado (TMS)],tblConcentrado[Fecha],B10)=0,"",SUMIFS(tblConcentrado[Concentrado (TMS)],tblConcentrado[Fecha],B10)))</f>
        <v>24244</v>
      </c>
      <c r="N10" s="1192">
        <f t="shared" ref="N10:N40" si="3">IF(OR(M10="",F10=""),"",F10/M10)</f>
        <v>1.4849034812737172</v>
      </c>
      <c r="O10" s="1193">
        <f t="shared" ref="O10:O40" si="4">IF(OR(M10="",I10=""),"",I10/M10)</f>
        <v>0.31554198977066489</v>
      </c>
      <c r="P10" s="1193">
        <f t="shared" ref="P10:P40" si="5">IF(OR(M10="",J10=""),"",J10/M10)</f>
        <v>0.12374195677280976</v>
      </c>
      <c r="AA10" s="1215">
        <f t="shared" ref="AA10:AA40" si="6">IF(B10="",NA(),B10)</f>
        <v>46266</v>
      </c>
      <c r="AB10" s="1216">
        <f t="shared" ref="AB10:AB40" si="7">IF(N10="",NA(),N10)</f>
        <v>1.4849034812737172</v>
      </c>
      <c r="AC10" s="1107"/>
      <c r="AD10" s="1215">
        <f t="shared" ref="AD10:AD40" si="8">IF(B10="",NA(),B10)</f>
        <v>46266</v>
      </c>
      <c r="AE10" s="1217">
        <f t="shared" ref="AE10:AE40" si="9">IF(O10="",NA(),O10)</f>
        <v>0.31554198977066489</v>
      </c>
      <c r="AF10" s="1217">
        <f t="shared" ref="AF10:AF40" si="10">IF(P10="",NA(),P10)</f>
        <v>0.12374195677280976</v>
      </c>
    </row>
    <row r="11" spans="1:32">
      <c r="A11" s="1033"/>
      <c r="B11" s="1074">
        <f>IF(ROWS(B$10:B11)&lt;=CFG_DIAS,CFG_MES+ROWS(B$10:B11)-1,"")</f>
        <v>46267</v>
      </c>
      <c r="C11" s="1062" t="str">
        <f t="shared" si="0"/>
        <v>mi</v>
      </c>
      <c r="D11" s="1051">
        <v>14000</v>
      </c>
      <c r="E11" s="1051">
        <v>18000</v>
      </c>
      <c r="F11" s="1075">
        <f t="shared" si="1"/>
        <v>32000</v>
      </c>
      <c r="G11" s="1051">
        <v>3850</v>
      </c>
      <c r="H11" s="1051">
        <v>3850</v>
      </c>
      <c r="I11" s="1075">
        <f t="shared" si="2"/>
        <v>7700</v>
      </c>
      <c r="J11" s="1051">
        <v>3500</v>
      </c>
      <c r="K11" s="1062" t="str" cm="1">
        <f t="array" ref="K11">IF(B11="","",IF(SUMPRODUCT(--(D11:J11&lt;&gt;""),--(D$9:J$9&lt;&gt;"Total"))&gt;0,"✔",""))</f>
        <v>✔</v>
      </c>
      <c r="M11" s="1191">
        <f>IF(B11="","",IF(SUMIFS(tblConcentrado[Concentrado (TMS)],tblConcentrado[Fecha],B11)=0,"",SUMIFS(tblConcentrado[Concentrado (TMS)],tblConcentrado[Fecha],B11)))</f>
        <v>24812</v>
      </c>
      <c r="N11" s="1192">
        <f t="shared" si="3"/>
        <v>1.2896985329679187</v>
      </c>
      <c r="O11" s="1193">
        <f t="shared" si="4"/>
        <v>0.31033370949540545</v>
      </c>
      <c r="P11" s="1193">
        <f t="shared" si="5"/>
        <v>0.14106077704336611</v>
      </c>
      <c r="AA11" s="1215">
        <f t="shared" si="6"/>
        <v>46267</v>
      </c>
      <c r="AB11" s="1216">
        <f t="shared" si="7"/>
        <v>1.2896985329679187</v>
      </c>
      <c r="AC11" s="1107"/>
      <c r="AD11" s="1215">
        <f t="shared" si="8"/>
        <v>46267</v>
      </c>
      <c r="AE11" s="1217">
        <f t="shared" si="9"/>
        <v>0.31033370949540545</v>
      </c>
      <c r="AF11" s="1217">
        <f t="shared" si="10"/>
        <v>0.14106077704336611</v>
      </c>
    </row>
    <row r="12" spans="1:32">
      <c r="A12" s="1033"/>
      <c r="B12" s="1074">
        <f>IF(ROWS(B$10:B12)&lt;=CFG_DIAS,CFG_MES+ROWS(B$10:B12)-1,"")</f>
        <v>46268</v>
      </c>
      <c r="C12" s="1062" t="str">
        <f t="shared" si="0"/>
        <v>ju</v>
      </c>
      <c r="D12" s="1051">
        <v>18000</v>
      </c>
      <c r="E12" s="1051">
        <v>18000</v>
      </c>
      <c r="F12" s="1075">
        <f t="shared" si="1"/>
        <v>36000</v>
      </c>
      <c r="G12" s="1051">
        <v>3425</v>
      </c>
      <c r="H12" s="1051">
        <v>4250</v>
      </c>
      <c r="I12" s="1075">
        <f t="shared" si="2"/>
        <v>7675</v>
      </c>
      <c r="J12" s="1051">
        <v>3000</v>
      </c>
      <c r="K12" s="1062" t="str" cm="1">
        <f t="array" ref="K12">IF(B12="","",IF(SUMPRODUCT(--(D12:J12&lt;&gt;""),--(D$9:J$9&lt;&gt;"Total"))&gt;0,"✔",""))</f>
        <v>✔</v>
      </c>
      <c r="M12" s="1191">
        <f>IF(B12="","",IF(SUMIFS(tblConcentrado[Concentrado (TMS)],tblConcentrado[Fecha],B12)=0,"",SUMIFS(tblConcentrado[Concentrado (TMS)],tblConcentrado[Fecha],B12)))</f>
        <v>21781</v>
      </c>
      <c r="N12" s="1192">
        <f t="shared" si="3"/>
        <v>1.6528166750837887</v>
      </c>
      <c r="O12" s="1193">
        <f t="shared" si="4"/>
        <v>0.35237133281300215</v>
      </c>
      <c r="P12" s="1193">
        <f t="shared" si="5"/>
        <v>0.13773472292364905</v>
      </c>
      <c r="AA12" s="1215">
        <f t="shared" si="6"/>
        <v>46268</v>
      </c>
      <c r="AB12" s="1216">
        <f t="shared" si="7"/>
        <v>1.6528166750837887</v>
      </c>
      <c r="AC12" s="1107"/>
      <c r="AD12" s="1215">
        <f t="shared" si="8"/>
        <v>46268</v>
      </c>
      <c r="AE12" s="1217">
        <f t="shared" si="9"/>
        <v>0.35237133281300215</v>
      </c>
      <c r="AF12" s="1217">
        <f t="shared" si="10"/>
        <v>0.13773472292364905</v>
      </c>
    </row>
    <row r="13" spans="1:32">
      <c r="A13" s="1033"/>
      <c r="B13" s="1074">
        <f>IF(ROWS(B$10:B13)&lt;=CFG_DIAS,CFG_MES+ROWS(B$10:B13)-1,"")</f>
        <v>46269</v>
      </c>
      <c r="C13" s="1062" t="str">
        <f t="shared" si="0"/>
        <v>vi</v>
      </c>
      <c r="D13" s="1051">
        <v>20000</v>
      </c>
      <c r="E13" s="1051">
        <v>18000</v>
      </c>
      <c r="F13" s="1075">
        <f t="shared" si="1"/>
        <v>38000</v>
      </c>
      <c r="G13" s="1051">
        <v>3950</v>
      </c>
      <c r="H13" s="1051">
        <v>3150</v>
      </c>
      <c r="I13" s="1075">
        <f t="shared" si="2"/>
        <v>7100</v>
      </c>
      <c r="J13" s="1051">
        <v>2500</v>
      </c>
      <c r="K13" s="1062" t="str" cm="1">
        <f t="array" ref="K13">IF(B13="","",IF(SUMPRODUCT(--(D13:J13&lt;&gt;""),--(D$9:J$9&lt;&gt;"Total"))&gt;0,"✔",""))</f>
        <v>✔</v>
      </c>
      <c r="M13" s="1191">
        <f>IF(B13="","",IF(SUMIFS(tblConcentrado[Concentrado (TMS)],tblConcentrado[Fecha],B13)=0,"",SUMIFS(tblConcentrado[Concentrado (TMS)],tblConcentrado[Fecha],B13)))</f>
        <v>21731</v>
      </c>
      <c r="N13" s="1192">
        <f t="shared" si="3"/>
        <v>1.7486539965947265</v>
      </c>
      <c r="O13" s="1193">
        <f t="shared" si="4"/>
        <v>0.32672219410059361</v>
      </c>
      <c r="P13" s="1193">
        <f t="shared" si="5"/>
        <v>0.11504302609175832</v>
      </c>
      <c r="AA13" s="1215">
        <f t="shared" si="6"/>
        <v>46269</v>
      </c>
      <c r="AB13" s="1216">
        <f t="shared" si="7"/>
        <v>1.7486539965947265</v>
      </c>
      <c r="AC13" s="1107"/>
      <c r="AD13" s="1215">
        <f t="shared" si="8"/>
        <v>46269</v>
      </c>
      <c r="AE13" s="1217">
        <f t="shared" si="9"/>
        <v>0.32672219410059361</v>
      </c>
      <c r="AF13" s="1217">
        <f t="shared" si="10"/>
        <v>0.11504302609175832</v>
      </c>
    </row>
    <row r="14" spans="1:32">
      <c r="A14" s="1033"/>
      <c r="B14" s="1074">
        <f>IF(ROWS(B$10:B14)&lt;=CFG_DIAS,CFG_MES+ROWS(B$10:B14)-1,"")</f>
        <v>46270</v>
      </c>
      <c r="C14" s="1062" t="str">
        <f t="shared" si="0"/>
        <v>sá</v>
      </c>
      <c r="D14" s="1051">
        <v>14000</v>
      </c>
      <c r="E14" s="1051">
        <v>14000</v>
      </c>
      <c r="F14" s="1075">
        <f t="shared" si="1"/>
        <v>28000</v>
      </c>
      <c r="G14" s="1051">
        <v>3950</v>
      </c>
      <c r="H14" s="1051">
        <v>3400</v>
      </c>
      <c r="I14" s="1075">
        <f t="shared" si="2"/>
        <v>7350</v>
      </c>
      <c r="J14" s="1051">
        <v>2500</v>
      </c>
      <c r="K14" s="1062" t="str" cm="1">
        <f t="array" ref="K14">IF(B14="","",IF(SUMPRODUCT(--(D14:J14&lt;&gt;""),--(D$9:J$9&lt;&gt;"Total"))&gt;0,"✔",""))</f>
        <v>✔</v>
      </c>
      <c r="M14" s="1191">
        <f>IF(B14="","",IF(SUMIFS(tblConcentrado[Concentrado (TMS)],tblConcentrado[Fecha],B14)=0,"",SUMIFS(tblConcentrado[Concentrado (TMS)],tblConcentrado[Fecha],B14)))</f>
        <v>22464</v>
      </c>
      <c r="N14" s="1192">
        <f t="shared" si="3"/>
        <v>1.2464387464387465</v>
      </c>
      <c r="O14" s="1193">
        <f t="shared" si="4"/>
        <v>0.32719017094017094</v>
      </c>
      <c r="P14" s="1193">
        <f t="shared" si="5"/>
        <v>0.11128917378917379</v>
      </c>
      <c r="AA14" s="1215">
        <f t="shared" si="6"/>
        <v>46270</v>
      </c>
      <c r="AB14" s="1216">
        <f t="shared" si="7"/>
        <v>1.2464387464387465</v>
      </c>
      <c r="AC14" s="1107"/>
      <c r="AD14" s="1215">
        <f t="shared" si="8"/>
        <v>46270</v>
      </c>
      <c r="AE14" s="1217">
        <f t="shared" si="9"/>
        <v>0.32719017094017094</v>
      </c>
      <c r="AF14" s="1217">
        <f t="shared" si="10"/>
        <v>0.11128917378917379</v>
      </c>
    </row>
    <row r="15" spans="1:32">
      <c r="A15" s="1033"/>
      <c r="B15" s="1074">
        <f>IF(ROWS(B$10:B15)&lt;=CFG_DIAS,CFG_MES+ROWS(B$10:B15)-1,"")</f>
        <v>46271</v>
      </c>
      <c r="C15" s="1062" t="str">
        <f t="shared" si="0"/>
        <v>do</v>
      </c>
      <c r="D15" s="1051">
        <v>14000</v>
      </c>
      <c r="E15" s="1051">
        <v>18000</v>
      </c>
      <c r="F15" s="1075">
        <f t="shared" si="1"/>
        <v>32000</v>
      </c>
      <c r="G15" s="1051">
        <v>3900</v>
      </c>
      <c r="H15" s="1051">
        <v>3200</v>
      </c>
      <c r="I15" s="1075">
        <f t="shared" si="2"/>
        <v>7100</v>
      </c>
      <c r="J15" s="1051">
        <v>2500</v>
      </c>
      <c r="K15" s="1062" t="str" cm="1">
        <f t="array" ref="K15">IF(B15="","",IF(SUMPRODUCT(--(D15:J15&lt;&gt;""),--(D$9:J$9&lt;&gt;"Total"))&gt;0,"✔",""))</f>
        <v>✔</v>
      </c>
      <c r="M15" s="1191">
        <f>IF(B15="","",IF(SUMIFS(tblConcentrado[Concentrado (TMS)],tblConcentrado[Fecha],B15)=0,"",SUMIFS(tblConcentrado[Concentrado (TMS)],tblConcentrado[Fecha],B15)))</f>
        <v>21613</v>
      </c>
      <c r="N15" s="1192">
        <f t="shared" si="3"/>
        <v>1.4805903854161846</v>
      </c>
      <c r="O15" s="1193">
        <f t="shared" si="4"/>
        <v>0.32850599176421597</v>
      </c>
      <c r="P15" s="1193">
        <f t="shared" si="5"/>
        <v>0.11567112386063944</v>
      </c>
      <c r="AA15" s="1215">
        <f t="shared" si="6"/>
        <v>46271</v>
      </c>
      <c r="AB15" s="1216">
        <f t="shared" si="7"/>
        <v>1.4805903854161846</v>
      </c>
      <c r="AC15" s="1107"/>
      <c r="AD15" s="1215">
        <f t="shared" si="8"/>
        <v>46271</v>
      </c>
      <c r="AE15" s="1217">
        <f t="shared" si="9"/>
        <v>0.32850599176421597</v>
      </c>
      <c r="AF15" s="1217">
        <f t="shared" si="10"/>
        <v>0.11567112386063944</v>
      </c>
    </row>
    <row r="16" spans="1:32">
      <c r="A16" s="1033"/>
      <c r="B16" s="1074">
        <f>IF(ROWS(B$10:B16)&lt;=CFG_DIAS,CFG_MES+ROWS(B$10:B16)-1,"")</f>
        <v>46272</v>
      </c>
      <c r="C16" s="1062" t="str">
        <f t="shared" si="0"/>
        <v>lu</v>
      </c>
      <c r="D16" s="1051">
        <v>14000</v>
      </c>
      <c r="E16" s="1051">
        <v>18000</v>
      </c>
      <c r="F16" s="1075">
        <f t="shared" si="1"/>
        <v>32000</v>
      </c>
      <c r="G16" s="1051">
        <v>2550</v>
      </c>
      <c r="H16" s="1051">
        <v>3850</v>
      </c>
      <c r="I16" s="1075">
        <f t="shared" si="2"/>
        <v>6400</v>
      </c>
      <c r="J16" s="1051">
        <v>2000</v>
      </c>
      <c r="K16" s="1062" t="str" cm="1">
        <f t="array" ref="K16">IF(B16="","",IF(SUMPRODUCT(--(D16:J16&lt;&gt;""),--(D$9:J$9&lt;&gt;"Total"))&gt;0,"✔",""))</f>
        <v>✔</v>
      </c>
      <c r="M16" s="1191">
        <f>IF(B16="","",IF(SUMIFS(tblConcentrado[Concentrado (TMS)],tblConcentrado[Fecha],B16)=0,"",SUMIFS(tblConcentrado[Concentrado (TMS)],tblConcentrado[Fecha],B16)))</f>
        <v>20725</v>
      </c>
      <c r="N16" s="1192">
        <f t="shared" si="3"/>
        <v>1.5440289505428226</v>
      </c>
      <c r="O16" s="1193">
        <f t="shared" si="4"/>
        <v>0.30880579010856452</v>
      </c>
      <c r="P16" s="1193">
        <f t="shared" si="5"/>
        <v>9.6501809408926414E-2</v>
      </c>
      <c r="AA16" s="1215">
        <f t="shared" si="6"/>
        <v>46272</v>
      </c>
      <c r="AB16" s="1216">
        <f t="shared" si="7"/>
        <v>1.5440289505428226</v>
      </c>
      <c r="AC16" s="1107"/>
      <c r="AD16" s="1215">
        <f t="shared" si="8"/>
        <v>46272</v>
      </c>
      <c r="AE16" s="1217">
        <f t="shared" si="9"/>
        <v>0.30880579010856452</v>
      </c>
      <c r="AF16" s="1217">
        <f t="shared" si="10"/>
        <v>9.6501809408926414E-2</v>
      </c>
    </row>
    <row r="17" spans="1:32">
      <c r="A17" s="1033"/>
      <c r="B17" s="1074">
        <f>IF(ROWS(B$10:B17)&lt;=CFG_DIAS,CFG_MES+ROWS(B$10:B17)-1,"")</f>
        <v>46273</v>
      </c>
      <c r="C17" s="1062" t="str">
        <f t="shared" si="0"/>
        <v>ma</v>
      </c>
      <c r="D17" s="1051">
        <v>16000</v>
      </c>
      <c r="E17" s="1051">
        <v>18000</v>
      </c>
      <c r="F17" s="1075">
        <f t="shared" si="1"/>
        <v>34000</v>
      </c>
      <c r="G17" s="1051">
        <v>3400</v>
      </c>
      <c r="H17" s="1051">
        <v>4050</v>
      </c>
      <c r="I17" s="1075">
        <f t="shared" si="2"/>
        <v>7450</v>
      </c>
      <c r="J17" s="1051">
        <v>2500</v>
      </c>
      <c r="K17" s="1062" t="str" cm="1">
        <f t="array" ref="K17">IF(B17="","",IF(SUMPRODUCT(--(D17:J17&lt;&gt;""),--(D$9:J$9&lt;&gt;"Total"))&gt;0,"✔",""))</f>
        <v>✔</v>
      </c>
      <c r="M17" s="1191">
        <f>IF(B17="","",IF(SUMIFS(tblConcentrado[Concentrado (TMS)],tblConcentrado[Fecha],B17)=0,"",SUMIFS(tblConcentrado[Concentrado (TMS)],tblConcentrado[Fecha],B17)))</f>
        <v>23722</v>
      </c>
      <c r="N17" s="1192">
        <f t="shared" si="3"/>
        <v>1.433268695725487</v>
      </c>
      <c r="O17" s="1193">
        <f t="shared" si="4"/>
        <v>0.31405446421043759</v>
      </c>
      <c r="P17" s="1193">
        <f t="shared" si="5"/>
        <v>0.10538740409746226</v>
      </c>
      <c r="AA17" s="1215">
        <f t="shared" si="6"/>
        <v>46273</v>
      </c>
      <c r="AB17" s="1216">
        <f t="shared" si="7"/>
        <v>1.433268695725487</v>
      </c>
      <c r="AC17" s="1107"/>
      <c r="AD17" s="1215">
        <f t="shared" si="8"/>
        <v>46273</v>
      </c>
      <c r="AE17" s="1217">
        <f t="shared" si="9"/>
        <v>0.31405446421043759</v>
      </c>
      <c r="AF17" s="1217">
        <f t="shared" si="10"/>
        <v>0.10538740409746226</v>
      </c>
    </row>
    <row r="18" spans="1:32">
      <c r="A18" s="1033"/>
      <c r="B18" s="1074">
        <f>IF(ROWS(B$10:B18)&lt;=CFG_DIAS,CFG_MES+ROWS(B$10:B18)-1,"")</f>
        <v>46274</v>
      </c>
      <c r="C18" s="1062" t="str">
        <f t="shared" si="0"/>
        <v>mi</v>
      </c>
      <c r="D18" s="1051">
        <v>16000</v>
      </c>
      <c r="E18" s="1051">
        <v>20000</v>
      </c>
      <c r="F18" s="1075">
        <f t="shared" si="1"/>
        <v>36000</v>
      </c>
      <c r="G18" s="1051">
        <v>4950</v>
      </c>
      <c r="H18" s="1051">
        <v>4400</v>
      </c>
      <c r="I18" s="1075">
        <f t="shared" si="2"/>
        <v>9350</v>
      </c>
      <c r="J18" s="1051">
        <v>2500</v>
      </c>
      <c r="K18" s="1062" t="str" cm="1">
        <f t="array" ref="K18">IF(B18="","",IF(SUMPRODUCT(--(D18:J18&lt;&gt;""),--(D$9:J$9&lt;&gt;"Total"))&gt;0,"✔",""))</f>
        <v>✔</v>
      </c>
      <c r="M18" s="1191">
        <f>IF(B18="","",IF(SUMIFS(tblConcentrado[Concentrado (TMS)],tblConcentrado[Fecha],B18)=0,"",SUMIFS(tblConcentrado[Concentrado (TMS)],tblConcentrado[Fecha],B18)))</f>
        <v>25049</v>
      </c>
      <c r="N18" s="1192">
        <f t="shared" si="3"/>
        <v>1.437183121082678</v>
      </c>
      <c r="O18" s="1193">
        <f t="shared" si="4"/>
        <v>0.37326839394786221</v>
      </c>
      <c r="P18" s="1193">
        <f t="shared" si="5"/>
        <v>9.9804383408519298E-2</v>
      </c>
      <c r="AA18" s="1215">
        <f t="shared" si="6"/>
        <v>46274</v>
      </c>
      <c r="AB18" s="1216">
        <f t="shared" si="7"/>
        <v>1.437183121082678</v>
      </c>
      <c r="AC18" s="1107"/>
      <c r="AD18" s="1215">
        <f t="shared" si="8"/>
        <v>46274</v>
      </c>
      <c r="AE18" s="1217">
        <f t="shared" si="9"/>
        <v>0.37326839394786221</v>
      </c>
      <c r="AF18" s="1217">
        <f t="shared" si="10"/>
        <v>9.9804383408519298E-2</v>
      </c>
    </row>
    <row r="19" spans="1:32">
      <c r="A19" s="1033"/>
      <c r="B19" s="1074">
        <f>IF(ROWS(B$10:B19)&lt;=CFG_DIAS,CFG_MES+ROWS(B$10:B19)-1,"")</f>
        <v>46275</v>
      </c>
      <c r="C19" s="1062" t="str">
        <f t="shared" si="0"/>
        <v>ju</v>
      </c>
      <c r="D19" s="1051">
        <v>18000</v>
      </c>
      <c r="E19" s="1051">
        <v>18000</v>
      </c>
      <c r="F19" s="1075">
        <f t="shared" si="1"/>
        <v>36000</v>
      </c>
      <c r="G19" s="1051">
        <v>3150</v>
      </c>
      <c r="H19" s="1051">
        <v>3150</v>
      </c>
      <c r="I19" s="1075">
        <f t="shared" si="2"/>
        <v>6300</v>
      </c>
      <c r="J19" s="1051">
        <v>2500</v>
      </c>
      <c r="K19" s="1062" t="str" cm="1">
        <f t="array" ref="K19">IF(B19="","",IF(SUMPRODUCT(--(D19:J19&lt;&gt;""),--(D$9:J$9&lt;&gt;"Total"))&gt;0,"✔",""))</f>
        <v>✔</v>
      </c>
      <c r="M19" s="1191">
        <f>IF(B19="","",IF(SUMIFS(tblConcentrado[Concentrado (TMS)],tblConcentrado[Fecha],B19)=0,"",SUMIFS(tblConcentrado[Concentrado (TMS)],tblConcentrado[Fecha],B19)))</f>
        <v>23389</v>
      </c>
      <c r="N19" s="1192">
        <f t="shared" si="3"/>
        <v>1.5391850870067125</v>
      </c>
      <c r="O19" s="1193">
        <f t="shared" si="4"/>
        <v>0.26935739022617472</v>
      </c>
      <c r="P19" s="1193">
        <f t="shared" si="5"/>
        <v>0.10688785326435504</v>
      </c>
      <c r="AA19" s="1215">
        <f t="shared" si="6"/>
        <v>46275</v>
      </c>
      <c r="AB19" s="1216">
        <f t="shared" si="7"/>
        <v>1.5391850870067125</v>
      </c>
      <c r="AC19" s="1107"/>
      <c r="AD19" s="1215">
        <f t="shared" si="8"/>
        <v>46275</v>
      </c>
      <c r="AE19" s="1217">
        <f t="shared" si="9"/>
        <v>0.26935739022617472</v>
      </c>
      <c r="AF19" s="1217">
        <f t="shared" si="10"/>
        <v>0.10688785326435504</v>
      </c>
    </row>
    <row r="20" spans="1:32">
      <c r="A20" s="1033"/>
      <c r="B20" s="1074">
        <f>IF(ROWS(B$10:B20)&lt;=CFG_DIAS,CFG_MES+ROWS(B$10:B20)-1,"")</f>
        <v>46276</v>
      </c>
      <c r="C20" s="1062" t="str">
        <f t="shared" si="0"/>
        <v>vi</v>
      </c>
      <c r="D20" s="1051">
        <v>18000</v>
      </c>
      <c r="E20" s="1051">
        <v>18000</v>
      </c>
      <c r="F20" s="1075">
        <f t="shared" si="1"/>
        <v>36000</v>
      </c>
      <c r="G20" s="1051">
        <v>3500</v>
      </c>
      <c r="H20" s="1051">
        <v>3150</v>
      </c>
      <c r="I20" s="1075">
        <f t="shared" si="2"/>
        <v>6650</v>
      </c>
      <c r="J20" s="1051">
        <v>2000</v>
      </c>
      <c r="K20" s="1062" t="str" cm="1">
        <f t="array" ref="K20">IF(B20="","",IF(SUMPRODUCT(--(D20:J20&lt;&gt;""),--(D$9:J$9&lt;&gt;"Total"))&gt;0,"✔",""))</f>
        <v>✔</v>
      </c>
      <c r="M20" s="1191">
        <f>IF(B20="","",IF(SUMIFS(tblConcentrado[Concentrado (TMS)],tblConcentrado[Fecha],B20)=0,"",SUMIFS(tblConcentrado[Concentrado (TMS)],tblConcentrado[Fecha],B20)))</f>
        <v>25103</v>
      </c>
      <c r="N20" s="1192">
        <f t="shared" si="3"/>
        <v>1.4340915428434848</v>
      </c>
      <c r="O20" s="1193">
        <f t="shared" si="4"/>
        <v>0.26490857666414375</v>
      </c>
      <c r="P20" s="1193">
        <f t="shared" si="5"/>
        <v>7.9671752380193597E-2</v>
      </c>
      <c r="AA20" s="1215">
        <f t="shared" si="6"/>
        <v>46276</v>
      </c>
      <c r="AB20" s="1216">
        <f t="shared" si="7"/>
        <v>1.4340915428434848</v>
      </c>
      <c r="AC20" s="1107"/>
      <c r="AD20" s="1215">
        <f t="shared" si="8"/>
        <v>46276</v>
      </c>
      <c r="AE20" s="1217">
        <f t="shared" si="9"/>
        <v>0.26490857666414375</v>
      </c>
      <c r="AF20" s="1217">
        <f t="shared" si="10"/>
        <v>7.9671752380193597E-2</v>
      </c>
    </row>
    <row r="21" spans="1:32">
      <c r="A21" s="1033"/>
      <c r="B21" s="1074">
        <f>IF(ROWS(B$10:B21)&lt;=CFG_DIAS,CFG_MES+ROWS(B$10:B21)-1,"")</f>
        <v>46277</v>
      </c>
      <c r="C21" s="1062" t="str">
        <f t="shared" si="0"/>
        <v>sá</v>
      </c>
      <c r="D21" s="1051">
        <v>0</v>
      </c>
      <c r="E21" s="1051">
        <v>18000</v>
      </c>
      <c r="F21" s="1075">
        <f t="shared" si="1"/>
        <v>18000</v>
      </c>
      <c r="G21" s="1051">
        <v>350</v>
      </c>
      <c r="H21" s="1051">
        <v>3150</v>
      </c>
      <c r="I21" s="1075">
        <f t="shared" si="2"/>
        <v>3500</v>
      </c>
      <c r="J21" s="1051">
        <v>1500</v>
      </c>
      <c r="K21" s="1062" t="str" cm="1">
        <f t="array" ref="K21">IF(B21="","",IF(SUMPRODUCT(--(D21:J21&lt;&gt;""),--(D$9:J$9&lt;&gt;"Total"))&gt;0,"✔",""))</f>
        <v>✔</v>
      </c>
      <c r="M21" s="1191">
        <f>IF(B21="","",IF(SUMIFS(tblConcentrado[Concentrado (TMS)],tblConcentrado[Fecha],B21)=0,"",SUMIFS(tblConcentrado[Concentrado (TMS)],tblConcentrado[Fecha],B21)))</f>
        <v>10697</v>
      </c>
      <c r="N21" s="1192">
        <f t="shared" si="3"/>
        <v>1.6827147798448163</v>
      </c>
      <c r="O21" s="1193">
        <f t="shared" si="4"/>
        <v>0.32719454052538094</v>
      </c>
      <c r="P21" s="1193">
        <f t="shared" si="5"/>
        <v>0.14022623165373468</v>
      </c>
      <c r="AA21" s="1215">
        <f t="shared" si="6"/>
        <v>46277</v>
      </c>
      <c r="AB21" s="1216">
        <f t="shared" si="7"/>
        <v>1.6827147798448163</v>
      </c>
      <c r="AC21" s="1107"/>
      <c r="AD21" s="1215">
        <f t="shared" si="8"/>
        <v>46277</v>
      </c>
      <c r="AE21" s="1217">
        <f t="shared" si="9"/>
        <v>0.32719454052538094</v>
      </c>
      <c r="AF21" s="1217">
        <f t="shared" si="10"/>
        <v>0.14022623165373468</v>
      </c>
    </row>
    <row r="22" spans="1:32">
      <c r="A22" s="1033"/>
      <c r="B22" s="1074">
        <f>IF(ROWS(B$10:B22)&lt;=CFG_DIAS,CFG_MES+ROWS(B$10:B22)-1,"")</f>
        <v>46278</v>
      </c>
      <c r="C22" s="1062" t="str">
        <f t="shared" si="0"/>
        <v>do</v>
      </c>
      <c r="D22" s="1051">
        <v>16000</v>
      </c>
      <c r="E22" s="1051">
        <v>20000</v>
      </c>
      <c r="F22" s="1075">
        <f t="shared" si="1"/>
        <v>36000</v>
      </c>
      <c r="G22" s="1051">
        <v>5000</v>
      </c>
      <c r="H22" s="1051">
        <v>4450</v>
      </c>
      <c r="I22" s="1075">
        <f t="shared" si="2"/>
        <v>9450</v>
      </c>
      <c r="J22" s="1051">
        <v>3500</v>
      </c>
      <c r="K22" s="1062" t="str" cm="1">
        <f t="array" ref="K22">IF(B22="","",IF(SUMPRODUCT(--(D22:J22&lt;&gt;""),--(D$9:J$9&lt;&gt;"Total"))&gt;0,"✔",""))</f>
        <v>✔</v>
      </c>
      <c r="M22" s="1191">
        <f>IF(B22="","",IF(SUMIFS(tblConcentrado[Concentrado (TMS)],tblConcentrado[Fecha],B22)=0,"",SUMIFS(tblConcentrado[Concentrado (TMS)],tblConcentrado[Fecha],B22)))</f>
        <v>23745</v>
      </c>
      <c r="N22" s="1192">
        <f t="shared" si="3"/>
        <v>1.5161086544535691</v>
      </c>
      <c r="O22" s="1193">
        <f t="shared" si="4"/>
        <v>0.3979785217940619</v>
      </c>
      <c r="P22" s="1193">
        <f t="shared" si="5"/>
        <v>0.14739945251631922</v>
      </c>
      <c r="AA22" s="1215">
        <f t="shared" si="6"/>
        <v>46278</v>
      </c>
      <c r="AB22" s="1216">
        <f t="shared" si="7"/>
        <v>1.5161086544535691</v>
      </c>
      <c r="AC22" s="1107"/>
      <c r="AD22" s="1215">
        <f t="shared" si="8"/>
        <v>46278</v>
      </c>
      <c r="AE22" s="1217">
        <f t="shared" si="9"/>
        <v>0.3979785217940619</v>
      </c>
      <c r="AF22" s="1217">
        <f t="shared" si="10"/>
        <v>0.14739945251631922</v>
      </c>
    </row>
    <row r="23" spans="1:32">
      <c r="A23" s="1033"/>
      <c r="B23" s="1074">
        <f>IF(ROWS(B$10:B23)&lt;=CFG_DIAS,CFG_MES+ROWS(B$10:B23)-1,"")</f>
        <v>46279</v>
      </c>
      <c r="C23" s="1062" t="str">
        <f t="shared" si="0"/>
        <v>lu</v>
      </c>
      <c r="D23" s="1051">
        <v>16000</v>
      </c>
      <c r="E23" s="1051">
        <v>18000</v>
      </c>
      <c r="F23" s="1075">
        <f t="shared" si="1"/>
        <v>34000</v>
      </c>
      <c r="G23" s="1051">
        <v>5100</v>
      </c>
      <c r="H23" s="1051">
        <v>3900</v>
      </c>
      <c r="I23" s="1075">
        <f t="shared" si="2"/>
        <v>9000</v>
      </c>
      <c r="J23" s="1051">
        <v>3500</v>
      </c>
      <c r="K23" s="1062" t="str" cm="1">
        <f t="array" ref="K23">IF(B23="","",IF(SUMPRODUCT(--(D23:J23&lt;&gt;""),--(D$9:J$9&lt;&gt;"Total"))&gt;0,"✔",""))</f>
        <v>✔</v>
      </c>
      <c r="M23" s="1191">
        <f>IF(B23="","",IF(SUMIFS(tblConcentrado[Concentrado (TMS)],tblConcentrado[Fecha],B23)=0,"",SUMIFS(tblConcentrado[Concentrado (TMS)],tblConcentrado[Fecha],B23)))</f>
        <v>23072</v>
      </c>
      <c r="N23" s="1192">
        <f t="shared" si="3"/>
        <v>1.4736477115117892</v>
      </c>
      <c r="O23" s="1193">
        <f t="shared" si="4"/>
        <v>0.39008321775312066</v>
      </c>
      <c r="P23" s="1193">
        <f t="shared" si="5"/>
        <v>0.15169902912621358</v>
      </c>
      <c r="AA23" s="1215">
        <f t="shared" si="6"/>
        <v>46279</v>
      </c>
      <c r="AB23" s="1216">
        <f t="shared" si="7"/>
        <v>1.4736477115117892</v>
      </c>
      <c r="AC23" s="1107"/>
      <c r="AD23" s="1215">
        <f t="shared" si="8"/>
        <v>46279</v>
      </c>
      <c r="AE23" s="1217">
        <f t="shared" si="9"/>
        <v>0.39008321775312066</v>
      </c>
      <c r="AF23" s="1217">
        <f t="shared" si="10"/>
        <v>0.15169902912621358</v>
      </c>
    </row>
    <row r="24" spans="1:32">
      <c r="A24" s="1033"/>
      <c r="B24" s="1074">
        <f>IF(ROWS(B$10:B24)&lt;=CFG_DIAS,CFG_MES+ROWS(B$10:B24)-1,"")</f>
        <v>46280</v>
      </c>
      <c r="C24" s="1062" t="str">
        <f t="shared" si="0"/>
        <v>ma</v>
      </c>
      <c r="D24" s="1051">
        <v>22000</v>
      </c>
      <c r="E24" s="1051">
        <v>20000</v>
      </c>
      <c r="F24" s="1075">
        <f t="shared" si="1"/>
        <v>42000</v>
      </c>
      <c r="G24" s="1051">
        <v>4000</v>
      </c>
      <c r="H24" s="1051">
        <v>3900</v>
      </c>
      <c r="I24" s="1075">
        <f t="shared" si="2"/>
        <v>7900</v>
      </c>
      <c r="J24" s="1051">
        <v>3500</v>
      </c>
      <c r="K24" s="1062" t="str" cm="1">
        <f t="array" ref="K24">IF(B24="","",IF(SUMPRODUCT(--(D24:J24&lt;&gt;""),--(D$9:J$9&lt;&gt;"Total"))&gt;0,"✔",""))</f>
        <v>✔</v>
      </c>
      <c r="M24" s="1191">
        <f>IF(B24="","",IF(SUMIFS(tblConcentrado[Concentrado (TMS)],tblConcentrado[Fecha],B24)=0,"",SUMIFS(tblConcentrado[Concentrado (TMS)],tblConcentrado[Fecha],B24)))</f>
        <v>19458</v>
      </c>
      <c r="N24" s="1192">
        <f t="shared" si="3"/>
        <v>2.1584952204748689</v>
      </c>
      <c r="O24" s="1193">
        <f t="shared" si="4"/>
        <v>0.40600267242265392</v>
      </c>
      <c r="P24" s="1193">
        <f t="shared" si="5"/>
        <v>0.17987460170623909</v>
      </c>
      <c r="AA24" s="1215">
        <f t="shared" si="6"/>
        <v>46280</v>
      </c>
      <c r="AB24" s="1216">
        <f t="shared" si="7"/>
        <v>2.1584952204748689</v>
      </c>
      <c r="AC24" s="1107"/>
      <c r="AD24" s="1215">
        <f t="shared" si="8"/>
        <v>46280</v>
      </c>
      <c r="AE24" s="1217">
        <f t="shared" si="9"/>
        <v>0.40600267242265392</v>
      </c>
      <c r="AF24" s="1217">
        <f t="shared" si="10"/>
        <v>0.17987460170623909</v>
      </c>
    </row>
    <row r="25" spans="1:32">
      <c r="A25" s="1033"/>
      <c r="B25" s="1074">
        <f>IF(ROWS(B$10:B25)&lt;=CFG_DIAS,CFG_MES+ROWS(B$10:B25)-1,"")</f>
        <v>46281</v>
      </c>
      <c r="C25" s="1062" t="str">
        <f t="shared" si="0"/>
        <v>mi</v>
      </c>
      <c r="D25" s="1051">
        <v>20000</v>
      </c>
      <c r="E25" s="1051">
        <v>20000</v>
      </c>
      <c r="F25" s="1075">
        <f t="shared" si="1"/>
        <v>40000</v>
      </c>
      <c r="G25" s="1051">
        <v>3700</v>
      </c>
      <c r="H25" s="1051">
        <v>3700</v>
      </c>
      <c r="I25" s="1075">
        <f t="shared" si="2"/>
        <v>7400</v>
      </c>
      <c r="J25" s="1051">
        <v>3500</v>
      </c>
      <c r="K25" s="1062" t="str" cm="1">
        <f t="array" ref="K25">IF(B25="","",IF(SUMPRODUCT(--(D25:J25&lt;&gt;""),--(D$9:J$9&lt;&gt;"Total"))&gt;0,"✔",""))</f>
        <v>✔</v>
      </c>
      <c r="M25" s="1191">
        <f>IF(B25="","",IF(SUMIFS(tblConcentrado[Concentrado (TMS)],tblConcentrado[Fecha],B25)=0,"",SUMIFS(tblConcentrado[Concentrado (TMS)],tblConcentrado[Fecha],B25)))</f>
        <v>20590</v>
      </c>
      <c r="N25" s="1192">
        <f t="shared" si="3"/>
        <v>1.9426906265177271</v>
      </c>
      <c r="O25" s="1193">
        <f t="shared" si="4"/>
        <v>0.35939776590577949</v>
      </c>
      <c r="P25" s="1193">
        <f t="shared" si="5"/>
        <v>0.16998542982030113</v>
      </c>
      <c r="AA25" s="1215">
        <f t="shared" si="6"/>
        <v>46281</v>
      </c>
      <c r="AB25" s="1216">
        <f t="shared" si="7"/>
        <v>1.9426906265177271</v>
      </c>
      <c r="AC25" s="1107"/>
      <c r="AD25" s="1215">
        <f t="shared" si="8"/>
        <v>46281</v>
      </c>
      <c r="AE25" s="1217">
        <f t="shared" si="9"/>
        <v>0.35939776590577949</v>
      </c>
      <c r="AF25" s="1217">
        <f t="shared" si="10"/>
        <v>0.16998542982030113</v>
      </c>
    </row>
    <row r="26" spans="1:32">
      <c r="A26" s="1033"/>
      <c r="B26" s="1074">
        <f>IF(ROWS(B$10:B26)&lt;=CFG_DIAS,CFG_MES+ROWS(B$10:B26)-1,"")</f>
        <v>46282</v>
      </c>
      <c r="C26" s="1062" t="str">
        <f t="shared" si="0"/>
        <v>ju</v>
      </c>
      <c r="D26" s="1051">
        <v>18000</v>
      </c>
      <c r="E26" s="1051">
        <v>18000</v>
      </c>
      <c r="F26" s="1075">
        <f t="shared" si="1"/>
        <v>36000</v>
      </c>
      <c r="G26" s="1051">
        <v>3500</v>
      </c>
      <c r="H26" s="1051">
        <v>3800</v>
      </c>
      <c r="I26" s="1075">
        <f t="shared" si="2"/>
        <v>7300</v>
      </c>
      <c r="J26" s="1051">
        <v>3000</v>
      </c>
      <c r="K26" s="1062" t="str" cm="1">
        <f t="array" ref="K26">IF(B26="","",IF(SUMPRODUCT(--(D26:J26&lt;&gt;""),--(D$9:J$9&lt;&gt;"Total"))&gt;0,"✔",""))</f>
        <v>✔</v>
      </c>
      <c r="M26" s="1191">
        <f>IF(B26="","",IF(SUMIFS(tblConcentrado[Concentrado (TMS)],tblConcentrado[Fecha],B26)=0,"",SUMIFS(tblConcentrado[Concentrado (TMS)],tblConcentrado[Fecha],B26)))</f>
        <v>18572</v>
      </c>
      <c r="N26" s="1192">
        <f t="shared" si="3"/>
        <v>1.9384018953262976</v>
      </c>
      <c r="O26" s="1193">
        <f t="shared" si="4"/>
        <v>0.39306482877449922</v>
      </c>
      <c r="P26" s="1193">
        <f t="shared" si="5"/>
        <v>0.16153349127719147</v>
      </c>
      <c r="AA26" s="1215">
        <f t="shared" si="6"/>
        <v>46282</v>
      </c>
      <c r="AB26" s="1216">
        <f t="shared" si="7"/>
        <v>1.9384018953262976</v>
      </c>
      <c r="AC26" s="1107"/>
      <c r="AD26" s="1215">
        <f t="shared" si="8"/>
        <v>46282</v>
      </c>
      <c r="AE26" s="1217">
        <f t="shared" si="9"/>
        <v>0.39306482877449922</v>
      </c>
      <c r="AF26" s="1217">
        <f t="shared" si="10"/>
        <v>0.16153349127719147</v>
      </c>
    </row>
    <row r="27" spans="1:32">
      <c r="A27" s="1033"/>
      <c r="B27" s="1074">
        <f>IF(ROWS(B$10:B27)&lt;=CFG_DIAS,CFG_MES+ROWS(B$10:B27)-1,"")</f>
        <v>46283</v>
      </c>
      <c r="C27" s="1062" t="str">
        <f t="shared" si="0"/>
        <v>vi</v>
      </c>
      <c r="D27" s="1051">
        <v>16000</v>
      </c>
      <c r="E27" s="1051">
        <v>18000</v>
      </c>
      <c r="F27" s="1075">
        <f t="shared" si="1"/>
        <v>34000</v>
      </c>
      <c r="G27" s="1051">
        <v>3700</v>
      </c>
      <c r="H27" s="1051">
        <v>3150</v>
      </c>
      <c r="I27" s="1075">
        <f t="shared" si="2"/>
        <v>6850</v>
      </c>
      <c r="J27" s="1051">
        <v>3500</v>
      </c>
      <c r="K27" s="1062" t="str" cm="1">
        <f t="array" ref="K27">IF(B27="","",IF(SUMPRODUCT(--(D27:J27&lt;&gt;""),--(D$9:J$9&lt;&gt;"Total"))&gt;0,"✔",""))</f>
        <v>✔</v>
      </c>
      <c r="M27" s="1191">
        <f>IF(B27="","",IF(SUMIFS(tblConcentrado[Concentrado (TMS)],tblConcentrado[Fecha],B27)=0,"",SUMIFS(tblConcentrado[Concentrado (TMS)],tblConcentrado[Fecha],B27)))</f>
        <v>19354</v>
      </c>
      <c r="N27" s="1192">
        <f t="shared" si="3"/>
        <v>1.7567427921876615</v>
      </c>
      <c r="O27" s="1193">
        <f t="shared" si="4"/>
        <v>0.3539320037201612</v>
      </c>
      <c r="P27" s="1193">
        <f t="shared" si="5"/>
        <v>0.18084116978402398</v>
      </c>
      <c r="AA27" s="1215">
        <f t="shared" si="6"/>
        <v>46283</v>
      </c>
      <c r="AB27" s="1216">
        <f t="shared" si="7"/>
        <v>1.7567427921876615</v>
      </c>
      <c r="AC27" s="1107"/>
      <c r="AD27" s="1215">
        <f t="shared" si="8"/>
        <v>46283</v>
      </c>
      <c r="AE27" s="1217">
        <f t="shared" si="9"/>
        <v>0.3539320037201612</v>
      </c>
      <c r="AF27" s="1217">
        <f t="shared" si="10"/>
        <v>0.18084116978402398</v>
      </c>
    </row>
    <row r="28" spans="1:32">
      <c r="A28" s="1033"/>
      <c r="B28" s="1074">
        <f>IF(ROWS(B$10:B28)&lt;=CFG_DIAS,CFG_MES+ROWS(B$10:B28)-1,"")</f>
        <v>46284</v>
      </c>
      <c r="C28" s="1062" t="str">
        <f t="shared" si="0"/>
        <v>sá</v>
      </c>
      <c r="D28" s="1051">
        <v>16000</v>
      </c>
      <c r="E28" s="1051">
        <v>20000</v>
      </c>
      <c r="F28" s="1075">
        <f t="shared" si="1"/>
        <v>36000</v>
      </c>
      <c r="G28" s="1051">
        <v>3250</v>
      </c>
      <c r="H28" s="1051">
        <v>3600</v>
      </c>
      <c r="I28" s="1075">
        <f t="shared" si="2"/>
        <v>6850</v>
      </c>
      <c r="J28" s="1051">
        <v>3000</v>
      </c>
      <c r="K28" s="1062" t="str" cm="1">
        <f t="array" ref="K28">IF(B28="","",IF(SUMPRODUCT(--(D28:J28&lt;&gt;""),--(D$9:J$9&lt;&gt;"Total"))&gt;0,"✔",""))</f>
        <v>✔</v>
      </c>
      <c r="M28" s="1191">
        <f>IF(B28="","",IF(SUMIFS(tblConcentrado[Concentrado (TMS)],tblConcentrado[Fecha],B28)=0,"",SUMIFS(tblConcentrado[Concentrado (TMS)],tblConcentrado[Fecha],B28)))</f>
        <v>19938</v>
      </c>
      <c r="N28" s="1192">
        <f t="shared" si="3"/>
        <v>1.8055973517905508</v>
      </c>
      <c r="O28" s="1193">
        <f t="shared" si="4"/>
        <v>0.34356505166014645</v>
      </c>
      <c r="P28" s="1193">
        <f t="shared" si="5"/>
        <v>0.15046644598254588</v>
      </c>
      <c r="AA28" s="1215">
        <f t="shared" si="6"/>
        <v>46284</v>
      </c>
      <c r="AB28" s="1216">
        <f t="shared" si="7"/>
        <v>1.8055973517905508</v>
      </c>
      <c r="AC28" s="1107"/>
      <c r="AD28" s="1215">
        <f t="shared" si="8"/>
        <v>46284</v>
      </c>
      <c r="AE28" s="1217">
        <f t="shared" si="9"/>
        <v>0.34356505166014645</v>
      </c>
      <c r="AF28" s="1217">
        <f t="shared" si="10"/>
        <v>0.15046644598254588</v>
      </c>
    </row>
    <row r="29" spans="1:32">
      <c r="A29" s="1033"/>
      <c r="B29" s="1074">
        <f>IF(ROWS(B$10:B29)&lt;=CFG_DIAS,CFG_MES+ROWS(B$10:B29)-1,"")</f>
        <v>46285</v>
      </c>
      <c r="C29" s="1062" t="str">
        <f t="shared" si="0"/>
        <v>do</v>
      </c>
      <c r="D29" s="1051">
        <v>16000</v>
      </c>
      <c r="E29" s="1051">
        <v>18000</v>
      </c>
      <c r="F29" s="1075">
        <f t="shared" si="1"/>
        <v>34000</v>
      </c>
      <c r="G29" s="1051">
        <v>3950</v>
      </c>
      <c r="H29" s="1051">
        <v>4350</v>
      </c>
      <c r="I29" s="1075">
        <f t="shared" si="2"/>
        <v>8300</v>
      </c>
      <c r="J29" s="1051">
        <v>3000</v>
      </c>
      <c r="K29" s="1062" t="str" cm="1">
        <f t="array" ref="K29">IF(B29="","",IF(SUMPRODUCT(--(D29:J29&lt;&gt;""),--(D$9:J$9&lt;&gt;"Total"))&gt;0,"✔",""))</f>
        <v>✔</v>
      </c>
      <c r="M29" s="1191">
        <f>IF(B29="","",IF(SUMIFS(tblConcentrado[Concentrado (TMS)],tblConcentrado[Fecha],B29)=0,"",SUMIFS(tblConcentrado[Concentrado (TMS)],tblConcentrado[Fecha],B29)))</f>
        <v>19913</v>
      </c>
      <c r="N29" s="1192">
        <f t="shared" si="3"/>
        <v>1.7074273087932506</v>
      </c>
      <c r="O29" s="1193">
        <f t="shared" si="4"/>
        <v>0.41681313714658763</v>
      </c>
      <c r="P29" s="1193">
        <f t="shared" si="5"/>
        <v>0.15065535077587505</v>
      </c>
      <c r="AA29" s="1215">
        <f t="shared" si="6"/>
        <v>46285</v>
      </c>
      <c r="AB29" s="1216">
        <f t="shared" si="7"/>
        <v>1.7074273087932506</v>
      </c>
      <c r="AC29" s="1107"/>
      <c r="AD29" s="1215">
        <f t="shared" si="8"/>
        <v>46285</v>
      </c>
      <c r="AE29" s="1217">
        <f t="shared" si="9"/>
        <v>0.41681313714658763</v>
      </c>
      <c r="AF29" s="1217">
        <f t="shared" si="10"/>
        <v>0.15065535077587505</v>
      </c>
    </row>
    <row r="30" spans="1:32">
      <c r="A30" s="1033"/>
      <c r="B30" s="1074">
        <f>IF(ROWS(B$10:B30)&lt;=CFG_DIAS,CFG_MES+ROWS(B$10:B30)-1,"")</f>
        <v>46286</v>
      </c>
      <c r="C30" s="1062" t="str">
        <f t="shared" si="0"/>
        <v>lu</v>
      </c>
      <c r="D30" s="1051">
        <v>24000</v>
      </c>
      <c r="E30" s="1051">
        <v>18000</v>
      </c>
      <c r="F30" s="1075">
        <f t="shared" si="1"/>
        <v>42000</v>
      </c>
      <c r="G30" s="1051">
        <v>4400</v>
      </c>
      <c r="H30" s="1051">
        <v>3150</v>
      </c>
      <c r="I30" s="1075">
        <f t="shared" si="2"/>
        <v>7550</v>
      </c>
      <c r="J30" s="1051">
        <v>2500</v>
      </c>
      <c r="K30" s="1062" t="str" cm="1">
        <f t="array" ref="K30">IF(B30="","",IF(SUMPRODUCT(--(D30:J30&lt;&gt;""),--(D$9:J$9&lt;&gt;"Total"))&gt;0,"✔",""))</f>
        <v>✔</v>
      </c>
      <c r="M30" s="1191">
        <f>IF(B30="","",IF(SUMIFS(tblConcentrado[Concentrado (TMS)],tblConcentrado[Fecha],B30)=0,"",SUMIFS(tblConcentrado[Concentrado (TMS)],tblConcentrado[Fecha],B30)))</f>
        <v>18487</v>
      </c>
      <c r="N30" s="1192">
        <f t="shared" si="3"/>
        <v>2.2718667171525939</v>
      </c>
      <c r="O30" s="1193">
        <f t="shared" si="4"/>
        <v>0.4083950884405258</v>
      </c>
      <c r="P30" s="1193">
        <f t="shared" si="5"/>
        <v>0.13523016173527344</v>
      </c>
      <c r="AA30" s="1215">
        <f t="shared" si="6"/>
        <v>46286</v>
      </c>
      <c r="AB30" s="1216">
        <f t="shared" si="7"/>
        <v>2.2718667171525939</v>
      </c>
      <c r="AC30" s="1107"/>
      <c r="AD30" s="1215">
        <f t="shared" si="8"/>
        <v>46286</v>
      </c>
      <c r="AE30" s="1217">
        <f t="shared" si="9"/>
        <v>0.4083950884405258</v>
      </c>
      <c r="AF30" s="1217">
        <f t="shared" si="10"/>
        <v>0.13523016173527344</v>
      </c>
    </row>
    <row r="31" spans="1:32">
      <c r="A31" s="1033"/>
      <c r="B31" s="1074">
        <f>IF(ROWS(B$10:B31)&lt;=CFG_DIAS,CFG_MES+ROWS(B$10:B31)-1,"")</f>
        <v>46287</v>
      </c>
      <c r="C31" s="1062" t="str">
        <f t="shared" si="0"/>
        <v>ma</v>
      </c>
      <c r="D31" s="1051">
        <v>22000</v>
      </c>
      <c r="E31" s="1051">
        <v>18000</v>
      </c>
      <c r="F31" s="1075">
        <f t="shared" si="1"/>
        <v>40000</v>
      </c>
      <c r="G31" s="1051">
        <v>3150</v>
      </c>
      <c r="H31" s="1051">
        <v>3150</v>
      </c>
      <c r="I31" s="1075">
        <f t="shared" si="2"/>
        <v>6300</v>
      </c>
      <c r="J31" s="1051">
        <v>2000</v>
      </c>
      <c r="K31" s="1062" t="str" cm="1">
        <f t="array" ref="K31">IF(B31="","",IF(SUMPRODUCT(--(D31:J31&lt;&gt;""),--(D$9:J$9&lt;&gt;"Total"))&gt;0,"✔",""))</f>
        <v>✔</v>
      </c>
      <c r="M31" s="1191">
        <f>IF(B31="","",IF(SUMIFS(tblConcentrado[Concentrado (TMS)],tblConcentrado[Fecha],B31)=0,"",SUMIFS(tblConcentrado[Concentrado (TMS)],tblConcentrado[Fecha],B31)))</f>
        <v>21107</v>
      </c>
      <c r="N31" s="1192">
        <f t="shared" si="3"/>
        <v>1.8951058890415502</v>
      </c>
      <c r="O31" s="1193">
        <f t="shared" si="4"/>
        <v>0.29847917752404418</v>
      </c>
      <c r="P31" s="1193">
        <f t="shared" si="5"/>
        <v>9.4755294452077504E-2</v>
      </c>
      <c r="AA31" s="1215">
        <f t="shared" si="6"/>
        <v>46287</v>
      </c>
      <c r="AB31" s="1216">
        <f t="shared" si="7"/>
        <v>1.8951058890415502</v>
      </c>
      <c r="AC31" s="1107"/>
      <c r="AD31" s="1215">
        <f t="shared" si="8"/>
        <v>46287</v>
      </c>
      <c r="AE31" s="1217">
        <f t="shared" si="9"/>
        <v>0.29847917752404418</v>
      </c>
      <c r="AF31" s="1217">
        <f t="shared" si="10"/>
        <v>9.4755294452077504E-2</v>
      </c>
    </row>
    <row r="32" spans="1:32">
      <c r="A32" s="1033"/>
      <c r="B32" s="1074">
        <f>IF(ROWS(B$10:B32)&lt;=CFG_DIAS,CFG_MES+ROWS(B$10:B32)-1,"")</f>
        <v>46288</v>
      </c>
      <c r="C32" s="1062" t="str">
        <f t="shared" si="0"/>
        <v>mi</v>
      </c>
      <c r="D32" s="1051">
        <v>20000</v>
      </c>
      <c r="E32" s="1051">
        <v>22000</v>
      </c>
      <c r="F32" s="1075">
        <f t="shared" si="1"/>
        <v>42000</v>
      </c>
      <c r="G32" s="1051">
        <v>3250</v>
      </c>
      <c r="H32" s="1051">
        <v>3450</v>
      </c>
      <c r="I32" s="1075">
        <f t="shared" si="2"/>
        <v>6700</v>
      </c>
      <c r="J32" s="1051">
        <v>2000</v>
      </c>
      <c r="K32" s="1062" t="str" cm="1">
        <f t="array" ref="K32">IF(B32="","",IF(SUMPRODUCT(--(D32:J32&lt;&gt;""),--(D$9:J$9&lt;&gt;"Total"))&gt;0,"✔",""))</f>
        <v>✔</v>
      </c>
      <c r="M32" s="1191">
        <f>IF(B32="","",IF(SUMIFS(tblConcentrado[Concentrado (TMS)],tblConcentrado[Fecha],B32)=0,"",SUMIFS(tblConcentrado[Concentrado (TMS)],tblConcentrado[Fecha],B32)))</f>
        <v>22302</v>
      </c>
      <c r="N32" s="1192">
        <f t="shared" si="3"/>
        <v>1.8832391713747645</v>
      </c>
      <c r="O32" s="1193">
        <f t="shared" si="4"/>
        <v>0.30042148686216485</v>
      </c>
      <c r="P32" s="1193">
        <f t="shared" si="5"/>
        <v>8.9678055779750701E-2</v>
      </c>
      <c r="AA32" s="1215">
        <f t="shared" si="6"/>
        <v>46288</v>
      </c>
      <c r="AB32" s="1216">
        <f t="shared" si="7"/>
        <v>1.8832391713747645</v>
      </c>
      <c r="AC32" s="1107"/>
      <c r="AD32" s="1215">
        <f t="shared" si="8"/>
        <v>46288</v>
      </c>
      <c r="AE32" s="1217">
        <f t="shared" si="9"/>
        <v>0.30042148686216485</v>
      </c>
      <c r="AF32" s="1217">
        <f t="shared" si="10"/>
        <v>8.9678055779750701E-2</v>
      </c>
    </row>
    <row r="33" spans="1:32">
      <c r="A33" s="1033"/>
      <c r="B33" s="1074">
        <f>IF(ROWS(B$10:B33)&lt;=CFG_DIAS,CFG_MES+ROWS(B$10:B33)-1,"")</f>
        <v>46289</v>
      </c>
      <c r="C33" s="1062" t="str">
        <f t="shared" si="0"/>
        <v>ju</v>
      </c>
      <c r="D33" s="1051">
        <v>30000</v>
      </c>
      <c r="E33" s="1051">
        <v>24000</v>
      </c>
      <c r="F33" s="1075">
        <f t="shared" si="1"/>
        <v>54000</v>
      </c>
      <c r="G33" s="1051">
        <v>4150</v>
      </c>
      <c r="H33" s="1051">
        <v>4800</v>
      </c>
      <c r="I33" s="1075">
        <f t="shared" si="2"/>
        <v>8950</v>
      </c>
      <c r="J33" s="1051">
        <v>2000</v>
      </c>
      <c r="K33" s="1062" t="str" cm="1">
        <f t="array" ref="K33">IF(B33="","",IF(SUMPRODUCT(--(D33:J33&lt;&gt;""),--(D$9:J$9&lt;&gt;"Total"))&gt;0,"✔",""))</f>
        <v>✔</v>
      </c>
      <c r="M33" s="1191">
        <f>IF(B33="","",IF(SUMIFS(tblConcentrado[Concentrado (TMS)],tblConcentrado[Fecha],B33)=0,"",SUMIFS(tblConcentrado[Concentrado (TMS)],tblConcentrado[Fecha],B33)))</f>
        <v>22132</v>
      </c>
      <c r="N33" s="1192">
        <f t="shared" si="3"/>
        <v>2.4399060184348453</v>
      </c>
      <c r="O33" s="1193">
        <f t="shared" si="4"/>
        <v>0.4043918308331827</v>
      </c>
      <c r="P33" s="1193">
        <f t="shared" si="5"/>
        <v>9.0366889571660947E-2</v>
      </c>
      <c r="AA33" s="1215">
        <f t="shared" si="6"/>
        <v>46289</v>
      </c>
      <c r="AB33" s="1216">
        <f t="shared" si="7"/>
        <v>2.4399060184348453</v>
      </c>
      <c r="AC33" s="1107"/>
      <c r="AD33" s="1215">
        <f t="shared" si="8"/>
        <v>46289</v>
      </c>
      <c r="AE33" s="1217">
        <f t="shared" si="9"/>
        <v>0.4043918308331827</v>
      </c>
      <c r="AF33" s="1217">
        <f t="shared" si="10"/>
        <v>9.0366889571660947E-2</v>
      </c>
    </row>
    <row r="34" spans="1:32">
      <c r="A34" s="1033"/>
      <c r="B34" s="1074">
        <f>IF(ROWS(B$10:B34)&lt;=CFG_DIAS,CFG_MES+ROWS(B$10:B34)-1,"")</f>
        <v>46290</v>
      </c>
      <c r="C34" s="1062" t="str">
        <f t="shared" si="0"/>
        <v>vi</v>
      </c>
      <c r="D34" s="1051">
        <v>26000</v>
      </c>
      <c r="E34" s="1051">
        <v>26000</v>
      </c>
      <c r="F34" s="1075">
        <f t="shared" si="1"/>
        <v>52000</v>
      </c>
      <c r="G34" s="1051">
        <v>4000</v>
      </c>
      <c r="H34" s="1051">
        <v>4400</v>
      </c>
      <c r="I34" s="1075">
        <f t="shared" si="2"/>
        <v>8400</v>
      </c>
      <c r="J34" s="1051">
        <v>2000</v>
      </c>
      <c r="K34" s="1062" t="str" cm="1">
        <f t="array" ref="K34">IF(B34="","",IF(SUMPRODUCT(--(D34:J34&lt;&gt;""),--(D$9:J$9&lt;&gt;"Total"))&gt;0,"✔",""))</f>
        <v>✔</v>
      </c>
      <c r="M34" s="1191">
        <f>IF(B34="","",IF(SUMIFS(tblConcentrado[Concentrado (TMS)],tblConcentrado[Fecha],B34)=0,"",SUMIFS(tblConcentrado[Concentrado (TMS)],tblConcentrado[Fecha],B34)))</f>
        <v>22000</v>
      </c>
      <c r="N34" s="1192">
        <f t="shared" si="3"/>
        <v>2.3636363636363638</v>
      </c>
      <c r="O34" s="1193">
        <f t="shared" si="4"/>
        <v>0.38181818181818183</v>
      </c>
      <c r="P34" s="1193">
        <f t="shared" si="5"/>
        <v>9.0909090909090912E-2</v>
      </c>
      <c r="AA34" s="1215">
        <f t="shared" si="6"/>
        <v>46290</v>
      </c>
      <c r="AB34" s="1216">
        <f t="shared" si="7"/>
        <v>2.3636363636363638</v>
      </c>
      <c r="AC34" s="1107"/>
      <c r="AD34" s="1215">
        <f t="shared" si="8"/>
        <v>46290</v>
      </c>
      <c r="AE34" s="1217">
        <f t="shared" si="9"/>
        <v>0.38181818181818183</v>
      </c>
      <c r="AF34" s="1217">
        <f t="shared" si="10"/>
        <v>9.0909090909090912E-2</v>
      </c>
    </row>
    <row r="35" spans="1:32">
      <c r="A35" s="1033"/>
      <c r="B35" s="1074">
        <f>IF(ROWS(B$10:B35)&lt;=CFG_DIAS,CFG_MES+ROWS(B$10:B35)-1,"")</f>
        <v>46291</v>
      </c>
      <c r="C35" s="1062" t="str">
        <f t="shared" si="0"/>
        <v>sá</v>
      </c>
      <c r="D35" s="1051">
        <v>20000</v>
      </c>
      <c r="E35" s="1051">
        <v>16000</v>
      </c>
      <c r="F35" s="1075">
        <f t="shared" si="1"/>
        <v>36000</v>
      </c>
      <c r="G35" s="1051">
        <v>3850</v>
      </c>
      <c r="H35" s="1051">
        <v>3150</v>
      </c>
      <c r="I35" s="1075">
        <f t="shared" si="2"/>
        <v>7000</v>
      </c>
      <c r="J35" s="1051">
        <v>2500</v>
      </c>
      <c r="K35" s="1062" t="str" cm="1">
        <f t="array" ref="K35">IF(B35="","",IF(SUMPRODUCT(--(D35:J35&lt;&gt;""),--(D$9:J$9&lt;&gt;"Total"))&gt;0,"✔",""))</f>
        <v>✔</v>
      </c>
      <c r="M35" s="1191">
        <f>IF(B35="","",IF(SUMIFS(tblConcentrado[Concentrado (TMS)],tblConcentrado[Fecha],B35)=0,"",SUMIFS(tblConcentrado[Concentrado (TMS)],tblConcentrado[Fecha],B35)))</f>
        <v>19272</v>
      </c>
      <c r="N35" s="1192">
        <f t="shared" si="3"/>
        <v>1.8679950186799501</v>
      </c>
      <c r="O35" s="1193">
        <f t="shared" si="4"/>
        <v>0.36322125363221253</v>
      </c>
      <c r="P35" s="1193">
        <f t="shared" si="5"/>
        <v>0.12972187629721876</v>
      </c>
      <c r="AA35" s="1215">
        <f t="shared" si="6"/>
        <v>46291</v>
      </c>
      <c r="AB35" s="1216">
        <f t="shared" si="7"/>
        <v>1.8679950186799501</v>
      </c>
      <c r="AC35" s="1107"/>
      <c r="AD35" s="1215">
        <f t="shared" si="8"/>
        <v>46291</v>
      </c>
      <c r="AE35" s="1217">
        <f t="shared" si="9"/>
        <v>0.36322125363221253</v>
      </c>
      <c r="AF35" s="1217">
        <f t="shared" si="10"/>
        <v>0.12972187629721876</v>
      </c>
    </row>
    <row r="36" spans="1:32">
      <c r="A36" s="1033"/>
      <c r="B36" s="1074">
        <f>IF(ROWS(B$10:B36)&lt;=CFG_DIAS,CFG_MES+ROWS(B$10:B36)-1,"")</f>
        <v>46292</v>
      </c>
      <c r="C36" s="1062" t="str">
        <f t="shared" si="0"/>
        <v>do</v>
      </c>
      <c r="D36" s="1051">
        <v>24000</v>
      </c>
      <c r="E36" s="1051">
        <v>20000</v>
      </c>
      <c r="F36" s="1075">
        <f t="shared" si="1"/>
        <v>44000</v>
      </c>
      <c r="G36" s="1051">
        <v>3450</v>
      </c>
      <c r="H36" s="1051">
        <v>3600</v>
      </c>
      <c r="I36" s="1075">
        <f t="shared" si="2"/>
        <v>7050</v>
      </c>
      <c r="J36" s="1051">
        <v>2500</v>
      </c>
      <c r="K36" s="1062" t="str" cm="1">
        <f t="array" ref="K36">IF(B36="","",IF(SUMPRODUCT(--(D36:J36&lt;&gt;""),--(D$9:J$9&lt;&gt;"Total"))&gt;0,"✔",""))</f>
        <v>✔</v>
      </c>
      <c r="M36" s="1191">
        <f>IF(B36="","",IF(SUMIFS(tblConcentrado[Concentrado (TMS)],tblConcentrado[Fecha],B36)=0,"",SUMIFS(tblConcentrado[Concentrado (TMS)],tblConcentrado[Fecha],B36)))</f>
        <v>22555</v>
      </c>
      <c r="N36" s="1192">
        <f t="shared" si="3"/>
        <v>1.9507869651961871</v>
      </c>
      <c r="O36" s="1193">
        <f t="shared" si="4"/>
        <v>0.31256927510529814</v>
      </c>
      <c r="P36" s="1193">
        <f t="shared" si="5"/>
        <v>0.11084016847705609</v>
      </c>
      <c r="AA36" s="1215">
        <f t="shared" si="6"/>
        <v>46292</v>
      </c>
      <c r="AB36" s="1216">
        <f t="shared" si="7"/>
        <v>1.9507869651961871</v>
      </c>
      <c r="AC36" s="1107"/>
      <c r="AD36" s="1215">
        <f t="shared" si="8"/>
        <v>46292</v>
      </c>
      <c r="AE36" s="1217">
        <f t="shared" si="9"/>
        <v>0.31256927510529814</v>
      </c>
      <c r="AF36" s="1217">
        <f t="shared" si="10"/>
        <v>0.11084016847705609</v>
      </c>
    </row>
    <row r="37" spans="1:32">
      <c r="A37" s="1033"/>
      <c r="B37" s="1074">
        <f>IF(ROWS(B$10:B37)&lt;=CFG_DIAS,CFG_MES+ROWS(B$10:B37)-1,"")</f>
        <v>46293</v>
      </c>
      <c r="C37" s="1062" t="str">
        <f t="shared" si="0"/>
        <v>lu</v>
      </c>
      <c r="D37" s="1051">
        <v>24000</v>
      </c>
      <c r="E37" s="1051">
        <v>20000</v>
      </c>
      <c r="F37" s="1075">
        <f t="shared" si="1"/>
        <v>44000</v>
      </c>
      <c r="G37" s="1051">
        <v>3250</v>
      </c>
      <c r="H37" s="1051">
        <v>3800</v>
      </c>
      <c r="I37" s="1075">
        <f t="shared" si="2"/>
        <v>7050</v>
      </c>
      <c r="J37" s="1051">
        <v>3000</v>
      </c>
      <c r="K37" s="1062" t="str" cm="1">
        <f t="array" ref="K37">IF(B37="","",IF(SUMPRODUCT(--(D37:J37&lt;&gt;""),--(D$9:J$9&lt;&gt;"Total"))&gt;0,"✔",""))</f>
        <v>✔</v>
      </c>
      <c r="M37" s="1191">
        <f>IF(B37="","",IF(SUMIFS(tblConcentrado[Concentrado (TMS)],tblConcentrado[Fecha],B37)=0,"",SUMIFS(tblConcentrado[Concentrado (TMS)],tblConcentrado[Fecha],B37)))</f>
        <v>23176</v>
      </c>
      <c r="N37" s="1192">
        <f t="shared" si="3"/>
        <v>1.8985157059026578</v>
      </c>
      <c r="O37" s="1193">
        <f t="shared" si="4"/>
        <v>0.30419399378667589</v>
      </c>
      <c r="P37" s="1193">
        <f t="shared" si="5"/>
        <v>0.12944425267518123</v>
      </c>
      <c r="AA37" s="1215">
        <f t="shared" si="6"/>
        <v>46293</v>
      </c>
      <c r="AB37" s="1216">
        <f t="shared" si="7"/>
        <v>1.8985157059026578</v>
      </c>
      <c r="AC37" s="1107"/>
      <c r="AD37" s="1215">
        <f t="shared" si="8"/>
        <v>46293</v>
      </c>
      <c r="AE37" s="1217">
        <f t="shared" si="9"/>
        <v>0.30419399378667589</v>
      </c>
      <c r="AF37" s="1217">
        <f t="shared" si="10"/>
        <v>0.12944425267518123</v>
      </c>
    </row>
    <row r="38" spans="1:32">
      <c r="A38" s="1033"/>
      <c r="B38" s="1074">
        <f>IF(ROWS(B$10:B38)&lt;=CFG_DIAS,CFG_MES+ROWS(B$10:B38)-1,"")</f>
        <v>46294</v>
      </c>
      <c r="C38" s="1062" t="str">
        <f t="shared" si="0"/>
        <v>ma</v>
      </c>
      <c r="D38" s="1051">
        <v>20000</v>
      </c>
      <c r="E38" s="1051">
        <v>16000</v>
      </c>
      <c r="F38" s="1075">
        <f t="shared" si="1"/>
        <v>36000</v>
      </c>
      <c r="G38" s="1051">
        <v>3600</v>
      </c>
      <c r="H38" s="1051">
        <v>3350</v>
      </c>
      <c r="I38" s="1075">
        <f t="shared" si="2"/>
        <v>6950</v>
      </c>
      <c r="J38" s="1051">
        <v>3000</v>
      </c>
      <c r="K38" s="1062" t="str" cm="1">
        <f t="array" ref="K38">IF(B38="","",IF(SUMPRODUCT(--(D38:J38&lt;&gt;""),--(D$9:J$9&lt;&gt;"Total"))&gt;0,"✔",""))</f>
        <v>✔</v>
      </c>
      <c r="M38" s="1191">
        <f>IF(B38="","",IF(SUMIFS(tblConcentrado[Concentrado (TMS)],tblConcentrado[Fecha],B38)=0,"",SUMIFS(tblConcentrado[Concentrado (TMS)],tblConcentrado[Fecha],B38)))</f>
        <v>21599</v>
      </c>
      <c r="N38" s="1192">
        <f>IF(OR(M38="",F38=""),"",F38/M38)</f>
        <v>1.6667438307329043</v>
      </c>
      <c r="O38" s="1193">
        <f t="shared" si="4"/>
        <v>0.32177415621093569</v>
      </c>
      <c r="P38" s="1193">
        <f t="shared" si="5"/>
        <v>0.13889531922774204</v>
      </c>
      <c r="AA38" s="1215">
        <f t="shared" si="6"/>
        <v>46294</v>
      </c>
      <c r="AB38" s="1216">
        <f t="shared" si="7"/>
        <v>1.6667438307329043</v>
      </c>
      <c r="AC38" s="1107"/>
      <c r="AD38" s="1215">
        <f t="shared" si="8"/>
        <v>46294</v>
      </c>
      <c r="AE38" s="1217">
        <f t="shared" si="9"/>
        <v>0.32177415621093569</v>
      </c>
      <c r="AF38" s="1217">
        <f t="shared" si="10"/>
        <v>0.13889531922774204</v>
      </c>
    </row>
    <row r="39" spans="1:32">
      <c r="A39" s="1033"/>
      <c r="B39" s="1074">
        <f>IF(ROWS(B$10:B39)&lt;=CFG_DIAS,CFG_MES+ROWS(B$10:B39)-1,"")</f>
        <v>46295</v>
      </c>
      <c r="C39" s="1062" t="str">
        <f t="shared" si="0"/>
        <v>mi</v>
      </c>
      <c r="D39" s="1051"/>
      <c r="E39" s="1051"/>
      <c r="F39" s="1075" t="str">
        <f t="shared" si="1"/>
        <v/>
      </c>
      <c r="G39" s="1051"/>
      <c r="H39" s="1051"/>
      <c r="I39" s="1075" t="str">
        <f t="shared" si="2"/>
        <v/>
      </c>
      <c r="J39" s="1051"/>
      <c r="K39" s="1062" t="str" cm="1">
        <f t="array" ref="K39">IF(B39="","",IF(SUMPRODUCT(--(D39:J39&lt;&gt;""),--(D$9:J$9&lt;&gt;"Total"))&gt;0,"✔",""))</f>
        <v/>
      </c>
      <c r="M39" s="1191">
        <f>IF(B39="","",IF(SUMIFS(tblConcentrado[Concentrado (TMS)],tblConcentrado[Fecha],B39)=0,"",SUMIFS(tblConcentrado[Concentrado (TMS)],tblConcentrado[Fecha],B39)))</f>
        <v>6587</v>
      </c>
      <c r="N39" s="1192" t="str">
        <f t="shared" si="3"/>
        <v/>
      </c>
      <c r="O39" s="1193" t="str">
        <f t="shared" si="4"/>
        <v/>
      </c>
      <c r="P39" s="1193" t="str">
        <f t="shared" si="5"/>
        <v/>
      </c>
      <c r="AA39" s="1215">
        <f t="shared" si="6"/>
        <v>46295</v>
      </c>
      <c r="AB39" s="1216" t="e">
        <f t="shared" si="7"/>
        <v>#N/A</v>
      </c>
      <c r="AC39" s="1107"/>
      <c r="AD39" s="1215">
        <f t="shared" si="8"/>
        <v>46295</v>
      </c>
      <c r="AE39" s="1217" t="e">
        <f t="shared" si="9"/>
        <v>#N/A</v>
      </c>
      <c r="AF39" s="1217" t="e">
        <f t="shared" si="10"/>
        <v>#N/A</v>
      </c>
    </row>
    <row r="40" spans="1:32">
      <c r="A40" s="1033"/>
      <c r="B40" s="1074" t="str">
        <f>IF(ROWS(B$10:B40)&lt;=CFG_DIAS,CFG_MES+ROWS(B$10:B40)-1,"")</f>
        <v/>
      </c>
      <c r="C40" s="1062" t="str">
        <f t="shared" si="0"/>
        <v/>
      </c>
      <c r="D40" s="1051"/>
      <c r="E40" s="1051"/>
      <c r="F40" s="1075" t="str">
        <f t="shared" si="1"/>
        <v/>
      </c>
      <c r="G40" s="1051"/>
      <c r="H40" s="1051"/>
      <c r="I40" s="1075" t="str">
        <f t="shared" si="2"/>
        <v/>
      </c>
      <c r="J40" s="1051"/>
      <c r="K40" s="1062" t="str" cm="1">
        <f t="array" ref="K40">IF(B40="","",IF(SUMPRODUCT(--(D40:J40&lt;&gt;""),--(D$9:J$9&lt;&gt;"Total"))&gt;0,"✔",""))</f>
        <v/>
      </c>
      <c r="M40" s="1191" t="str">
        <f>IF(B40="","",IF(SUMIFS(tblConcentrado[Concentrado (TMS)],tblConcentrado[Fecha],B40)=0,"",SUMIFS(tblConcentrado[Concentrado (TMS)],tblConcentrado[Fecha],B40)))</f>
        <v/>
      </c>
      <c r="N40" s="1192" t="str">
        <f t="shared" si="3"/>
        <v/>
      </c>
      <c r="O40" s="1193" t="str">
        <f t="shared" si="4"/>
        <v/>
      </c>
      <c r="P40" s="1193" t="str">
        <f t="shared" si="5"/>
        <v/>
      </c>
      <c r="AA40" s="1215" t="e">
        <f t="shared" si="6"/>
        <v>#N/A</v>
      </c>
      <c r="AB40" s="1216" t="e">
        <f t="shared" si="7"/>
        <v>#N/A</v>
      </c>
      <c r="AC40" s="1107"/>
      <c r="AD40" s="1215" t="e">
        <f t="shared" si="8"/>
        <v>#N/A</v>
      </c>
      <c r="AE40" s="1217" t="e">
        <f t="shared" si="9"/>
        <v>#N/A</v>
      </c>
      <c r="AF40" s="1217" t="e">
        <f t="shared" si="10"/>
        <v>#N/A</v>
      </c>
    </row>
    <row r="41" spans="1:32">
      <c r="A41" s="1033"/>
      <c r="B41" s="1033"/>
      <c r="C41" s="1033"/>
      <c r="D41" s="1033"/>
      <c r="E41" s="1033"/>
      <c r="F41" s="1033"/>
      <c r="G41" s="1033"/>
      <c r="H41" s="1033"/>
      <c r="I41" s="1033"/>
      <c r="J41" s="1033"/>
      <c r="K41" s="1033"/>
      <c r="M41" s="1316" t="s">
        <v>9984</v>
      </c>
      <c r="N41" s="1317"/>
      <c r="O41" s="1317"/>
      <c r="P41" s="1317"/>
    </row>
    <row r="42" spans="1:32">
      <c r="A42" s="1033"/>
      <c r="B42" s="1315" t="s">
        <v>9886</v>
      </c>
      <c r="C42" s="1315"/>
      <c r="D42" s="1070">
        <f t="shared" ref="D42:J42" si="11">IF(COUNT(D10:D40)=0,"",SUM(D10:D40))</f>
        <v>532000</v>
      </c>
      <c r="E42" s="1070">
        <f t="shared" si="11"/>
        <v>544000</v>
      </c>
      <c r="F42" s="1070">
        <f t="shared" si="11"/>
        <v>1076000</v>
      </c>
      <c r="G42" s="1070">
        <f t="shared" si="11"/>
        <v>106075</v>
      </c>
      <c r="H42" s="1070">
        <f t="shared" si="11"/>
        <v>107150</v>
      </c>
      <c r="I42" s="1070">
        <f t="shared" si="11"/>
        <v>213225</v>
      </c>
      <c r="J42" s="1070">
        <f t="shared" si="11"/>
        <v>78000</v>
      </c>
      <c r="K42" s="1070"/>
      <c r="M42" s="1095" t="s">
        <v>74</v>
      </c>
      <c r="N42" s="1194">
        <f>IFERROR(F42/$D$48,"")</f>
        <v>1.7101379712614175</v>
      </c>
      <c r="O42" s="1195">
        <f>IFERROR(I42/$D$48,"")</f>
        <v>0.33888863282733805</v>
      </c>
      <c r="P42" s="1195">
        <f>IFERROR(J42/$D$48,"")</f>
        <v>0.12396910944088342</v>
      </c>
    </row>
    <row r="43" spans="1:32">
      <c r="A43" s="1033"/>
      <c r="B43" s="1315" t="s">
        <v>9887</v>
      </c>
      <c r="C43" s="1315"/>
      <c r="D43" s="1070">
        <f t="shared" ref="D43:J43" si="12">IF(COUNT(D10:D40)=0,"",AVERAGE(D10:D40))</f>
        <v>18344.827586206895</v>
      </c>
      <c r="E43" s="1070">
        <f t="shared" si="12"/>
        <v>18758.620689655174</v>
      </c>
      <c r="F43" s="1070">
        <f t="shared" si="12"/>
        <v>37103.448275862072</v>
      </c>
      <c r="G43" s="1070">
        <f t="shared" si="12"/>
        <v>3657.7586206896553</v>
      </c>
      <c r="H43" s="1070">
        <f t="shared" si="12"/>
        <v>3694.8275862068967</v>
      </c>
      <c r="I43" s="1070">
        <f t="shared" si="12"/>
        <v>7352.5862068965516</v>
      </c>
      <c r="J43" s="1070">
        <f t="shared" si="12"/>
        <v>2689.655172413793</v>
      </c>
      <c r="K43" s="1070"/>
      <c r="M43" s="1095" t="s">
        <v>9265</v>
      </c>
      <c r="N43" s="1194">
        <f>N6</f>
        <v>2.0760000000000001</v>
      </c>
      <c r="O43" s="1195">
        <f>O6</f>
        <v>0.27800000000000002</v>
      </c>
      <c r="P43" s="1195">
        <f>P6</f>
        <v>9.0499999999999997E-2</v>
      </c>
    </row>
    <row r="44" spans="1:32">
      <c r="A44" s="1033"/>
      <c r="B44" s="1315" t="s">
        <v>9888</v>
      </c>
      <c r="C44" s="1315"/>
      <c r="D44" s="1070">
        <f t="shared" ref="D44:J44" si="13">IF(COUNT(D10:D40)=0,"",MAX(D10:D40))</f>
        <v>30000</v>
      </c>
      <c r="E44" s="1070">
        <f t="shared" si="13"/>
        <v>26000</v>
      </c>
      <c r="F44" s="1070">
        <f t="shared" si="13"/>
        <v>54000</v>
      </c>
      <c r="G44" s="1070">
        <f t="shared" si="13"/>
        <v>5100</v>
      </c>
      <c r="H44" s="1070">
        <f t="shared" si="13"/>
        <v>4800</v>
      </c>
      <c r="I44" s="1070">
        <f t="shared" si="13"/>
        <v>9450</v>
      </c>
      <c r="J44" s="1070">
        <f t="shared" si="13"/>
        <v>3500</v>
      </c>
      <c r="K44" s="1070"/>
      <c r="M44" s="1095" t="s">
        <v>10209</v>
      </c>
      <c r="N44" s="1196">
        <f>IF(N42="","",N42/N43-1)</f>
        <v>-0.17623411788949062</v>
      </c>
      <c r="O44" s="1196">
        <f>IF(O42="","",O42/O43-1)</f>
        <v>0.21902385909114397</v>
      </c>
      <c r="P44" s="1196">
        <f>IF(P42="","",P42/P43-1)</f>
        <v>0.36982441371141905</v>
      </c>
    </row>
    <row r="45" spans="1:32">
      <c r="A45" s="1033"/>
      <c r="B45" s="1315" t="s">
        <v>9889</v>
      </c>
      <c r="C45" s="1315"/>
      <c r="D45" s="1076">
        <f t="shared" ref="D45:J45" si="14">COUNT(D10:D40)</f>
        <v>29</v>
      </c>
      <c r="E45" s="1076">
        <f t="shared" si="14"/>
        <v>29</v>
      </c>
      <c r="F45" s="1076">
        <f t="shared" si="14"/>
        <v>29</v>
      </c>
      <c r="G45" s="1076">
        <f t="shared" si="14"/>
        <v>29</v>
      </c>
      <c r="H45" s="1076">
        <f t="shared" si="14"/>
        <v>29</v>
      </c>
      <c r="I45" s="1076">
        <f t="shared" si="14"/>
        <v>29</v>
      </c>
      <c r="J45" s="1076">
        <f t="shared" si="14"/>
        <v>29</v>
      </c>
      <c r="K45" s="1076"/>
    </row>
    <row r="46" spans="1:32">
      <c r="A46" s="1033"/>
      <c r="B46" s="1315" t="s">
        <v>9890</v>
      </c>
      <c r="C46" s="1315"/>
      <c r="D46" s="1070">
        <f t="shared" ref="D46:J46" si="15">IF(D43="","",D43*CFG_DIAS)</f>
        <v>550344.82758620684</v>
      </c>
      <c r="E46" s="1070">
        <f t="shared" si="15"/>
        <v>562758.62068965519</v>
      </c>
      <c r="F46" s="1070">
        <f t="shared" si="15"/>
        <v>1113103.4482758623</v>
      </c>
      <c r="G46" s="1070">
        <f t="shared" si="15"/>
        <v>109732.75862068967</v>
      </c>
      <c r="H46" s="1070">
        <f t="shared" si="15"/>
        <v>110844.8275862069</v>
      </c>
      <c r="I46" s="1070">
        <f t="shared" si="15"/>
        <v>220577.58620689655</v>
      </c>
      <c r="J46" s="1070">
        <f t="shared" si="15"/>
        <v>80689.655172413797</v>
      </c>
      <c r="K46" s="1070"/>
    </row>
    <row r="47" spans="1:32">
      <c r="A47" s="1033"/>
      <c r="B47" s="1033"/>
      <c r="C47" s="1033"/>
      <c r="D47" s="1033"/>
      <c r="E47" s="1033"/>
      <c r="F47" s="1033"/>
      <c r="G47" s="1033"/>
      <c r="H47" s="1033"/>
      <c r="I47" s="1033"/>
      <c r="J47" s="1033"/>
      <c r="K47" s="1033"/>
    </row>
    <row r="48" spans="1:32">
      <c r="A48" s="1033"/>
      <c r="B48" s="1315" t="s">
        <v>9891</v>
      </c>
      <c r="C48" s="1315"/>
      <c r="D48" s="1070">
        <f>SUMIFS(tblConcentrado[Concentrado (TMS)],tblConcentrado[Fecha],"&gt;="&amp;CFG_MES,tblConcentrado[Fecha],"&lt;="&amp;CFG_FIN_MES)</f>
        <v>629189</v>
      </c>
      <c r="E48" s="1066"/>
      <c r="F48" s="1066"/>
      <c r="G48" s="1066"/>
      <c r="H48" s="1066"/>
      <c r="I48" s="1066"/>
      <c r="J48" s="1066"/>
      <c r="K48" s="1066"/>
    </row>
    <row r="49" spans="1:11">
      <c r="A49" s="1033"/>
      <c r="B49" s="1315" t="s">
        <v>9892</v>
      </c>
      <c r="C49" s="1315"/>
      <c r="D49" s="1066"/>
      <c r="E49" s="1066"/>
      <c r="F49" s="1071">
        <f>IF(OR(F42="",$D$48=0),"",F42/$D$48)</f>
        <v>1.7101379712614175</v>
      </c>
      <c r="G49" s="1066"/>
      <c r="H49" s="1066"/>
      <c r="I49" s="1071">
        <f>IF(OR(I42="",$D$48=0),"",I42/$D$48)</f>
        <v>0.33888863282733805</v>
      </c>
      <c r="J49" s="1071">
        <f>IF(OR(J42="",$D$48=0),"",J42/$D$48)</f>
        <v>0.12396910944088342</v>
      </c>
      <c r="K49" s="1066"/>
    </row>
    <row r="50" spans="1:11">
      <c r="A50" s="1033"/>
      <c r="B50" s="1033"/>
      <c r="C50" s="1033"/>
      <c r="D50" s="1033"/>
      <c r="E50" s="1033"/>
      <c r="F50" s="1033"/>
      <c r="G50" s="1033"/>
      <c r="H50" s="1033"/>
      <c r="I50" s="1033"/>
      <c r="J50" s="1033"/>
      <c r="K50" s="1033"/>
    </row>
    <row r="51" spans="1:11">
      <c r="A51" s="1033"/>
      <c r="B51" s="1033"/>
      <c r="C51" s="1033"/>
      <c r="D51" s="1033"/>
      <c r="E51" s="1033"/>
      <c r="F51" s="1033"/>
      <c r="G51" s="1033"/>
      <c r="H51" s="1033"/>
      <c r="I51" s="1033"/>
      <c r="J51" s="1033"/>
      <c r="K51" s="1033"/>
    </row>
    <row r="52" spans="1:11">
      <c r="A52" s="1033"/>
      <c r="B52" s="1033"/>
      <c r="C52" s="1033"/>
      <c r="D52" s="1033"/>
      <c r="E52" s="1033"/>
      <c r="F52" s="1033"/>
      <c r="G52" s="1033"/>
      <c r="H52" s="1033"/>
      <c r="I52" s="1033"/>
      <c r="J52" s="1033"/>
      <c r="K52" s="1033"/>
    </row>
    <row r="53" spans="1:11">
      <c r="A53" s="1033"/>
      <c r="B53" s="1033"/>
      <c r="C53" s="1033"/>
      <c r="D53" s="1033"/>
      <c r="E53" s="1033"/>
      <c r="F53" s="1033"/>
      <c r="G53" s="1033"/>
      <c r="H53" s="1033"/>
      <c r="I53" s="1033"/>
      <c r="J53" s="1033"/>
      <c r="K53" s="1033"/>
    </row>
    <row r="54" spans="1:11">
      <c r="A54" s="1033"/>
      <c r="B54" s="1033"/>
      <c r="C54" s="1033"/>
      <c r="D54" s="1033"/>
      <c r="E54" s="1033"/>
      <c r="F54" s="1033"/>
      <c r="G54" s="1033"/>
      <c r="H54" s="1033"/>
      <c r="I54" s="1033"/>
      <c r="J54" s="1033"/>
      <c r="K54" s="1033"/>
    </row>
    <row r="55" spans="1:11">
      <c r="A55" s="1033"/>
      <c r="B55" s="1033"/>
      <c r="C55" s="1033"/>
      <c r="D55" s="1033"/>
      <c r="E55" s="1033"/>
      <c r="F55" s="1033"/>
      <c r="G55" s="1033"/>
      <c r="H55" s="1033"/>
      <c r="I55" s="1033"/>
      <c r="J55" s="1033"/>
      <c r="K55" s="1033"/>
    </row>
    <row r="56" spans="1:11">
      <c r="A56" s="1033"/>
      <c r="B56" s="1033"/>
      <c r="C56" s="1033"/>
      <c r="D56" s="1033"/>
      <c r="E56" s="1033"/>
      <c r="F56" s="1033"/>
      <c r="G56" s="1033"/>
      <c r="H56" s="1033"/>
      <c r="I56" s="1033"/>
      <c r="J56" s="1033"/>
      <c r="K56" s="1033"/>
    </row>
    <row r="57" spans="1:11">
      <c r="A57" s="1033"/>
      <c r="B57" s="1033"/>
      <c r="C57" s="1033"/>
      <c r="D57" s="1033"/>
      <c r="E57" s="1033"/>
      <c r="F57" s="1033"/>
      <c r="G57" s="1033"/>
      <c r="H57" s="1033"/>
      <c r="I57" s="1033"/>
      <c r="J57" s="1033"/>
      <c r="K57" s="1033"/>
    </row>
    <row r="58" spans="1:11">
      <c r="A58" s="1033"/>
      <c r="B58" s="1033"/>
      <c r="C58" s="1033"/>
      <c r="D58" s="1033"/>
      <c r="E58" s="1033"/>
      <c r="F58" s="1033"/>
      <c r="G58" s="1033"/>
      <c r="H58" s="1033"/>
      <c r="I58" s="1033"/>
      <c r="J58" s="1033"/>
      <c r="K58" s="1033"/>
    </row>
    <row r="59" spans="1:11">
      <c r="A59" s="1033"/>
      <c r="B59" s="1033"/>
      <c r="C59" s="1033"/>
      <c r="D59" s="1033"/>
      <c r="E59" s="1033"/>
      <c r="F59" s="1033"/>
      <c r="G59" s="1033"/>
      <c r="H59" s="1033"/>
      <c r="I59" s="1033"/>
      <c r="J59" s="1033"/>
      <c r="K59" s="1033"/>
    </row>
    <row r="60" spans="1:11">
      <c r="A60" s="1033"/>
      <c r="B60" s="1033"/>
      <c r="C60" s="1033"/>
      <c r="D60" s="1033"/>
      <c r="E60" s="1033"/>
      <c r="F60" s="1033"/>
      <c r="G60" s="1033"/>
      <c r="H60" s="1033"/>
      <c r="I60" s="1033"/>
      <c r="J60" s="1033"/>
      <c r="K60" s="1033"/>
    </row>
  </sheetData>
  <mergeCells count="13">
    <mergeCell ref="B44:C44"/>
    <mergeCell ref="B45:C45"/>
    <mergeCell ref="B46:C46"/>
    <mergeCell ref="B48:C48"/>
    <mergeCell ref="B49:C49"/>
    <mergeCell ref="M41:P41"/>
    <mergeCell ref="M5:P5"/>
    <mergeCell ref="B43:C43"/>
    <mergeCell ref="B1:K1"/>
    <mergeCell ref="D3:F3"/>
    <mergeCell ref="D4:G4"/>
    <mergeCell ref="D5:F5"/>
    <mergeCell ref="B42:C42"/>
  </mergeCells>
  <conditionalFormatting sqref="N10:N40">
    <cfRule type="expression" dxfId="97" priority="1">
      <formula>AND(ISNUMBER(N10),N10&gt;N$6)</formula>
    </cfRule>
  </conditionalFormatting>
  <conditionalFormatting sqref="N10:N40">
    <cfRule type="expression" dxfId="96" priority="2">
      <formula>AND(ISNUMBER(N10),N10&lt;=N$6)</formula>
    </cfRule>
  </conditionalFormatting>
  <conditionalFormatting sqref="O10:O40">
    <cfRule type="expression" dxfId="95" priority="3">
      <formula>AND(ISNUMBER(O10),O10&gt;O$6)</formula>
    </cfRule>
  </conditionalFormatting>
  <conditionalFormatting sqref="O10:O40">
    <cfRule type="expression" dxfId="94" priority="4">
      <formula>AND(ISNUMBER(O10),O10&lt;=O$6)</formula>
    </cfRule>
  </conditionalFormatting>
  <conditionalFormatting sqref="P10:P40">
    <cfRule type="expression" dxfId="93" priority="5">
      <formula>AND(ISNUMBER(P10),P10&gt;P$6)</formula>
    </cfRule>
  </conditionalFormatting>
  <conditionalFormatting sqref="P10:P40">
    <cfRule type="expression" dxfId="92" priority="6">
      <formula>AND(ISNUMBER(P10),P10&lt;=P$6)</formula>
    </cfRule>
  </conditionalFormatting>
  <conditionalFormatting sqref="AA10:AF40">
    <cfRule type="expression" dxfId="91" priority="7">
      <formula>ISNA(AA10)</formula>
    </cfRule>
  </conditionalFormatting>
  <dataValidations count="1">
    <dataValidation type="custom" allowBlank="1" showInputMessage="1" showErrorMessage="1" errorTitle="Valor no válido" error="Escriba un número dentro del rango Mín/Máx de la columna (Catálogo Controles), en un día del mes." sqref="J10:J40 G10:H40 D10:E40" xr:uid="{A19E858A-BFB8-4B2F-B6D1-87DE7E79AC3D}">
      <formula1>AND($B10&lt;&gt;"",ISNUMBER(D10),D10&gt;=D$6,D10&lt;=D$7)</formula1>
    </dataValidation>
  </dataValidations>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Control Reactivos — Página &amp;P de &amp;F</oddFoot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2F86A-FCF8-47AE-8CDB-7E82AE67BBBB}">
  <sheetPr codeName="Hoja13">
    <tabColor rgb="FF548235"/>
    <pageSetUpPr fitToPage="1"/>
  </sheetPr>
  <dimension ref="A1:AO60"/>
  <sheetViews>
    <sheetView showGridLines="0" workbookViewId="0">
      <pane xSplit="3" ySplit="9" topLeftCell="D16" activePane="bottomRight" state="frozen"/>
      <selection pane="topRight" activeCell="D1" sqref="D1"/>
      <selection pane="bottomLeft" activeCell="A10" sqref="A10"/>
      <selection pane="bottomRight" activeCell="H41" sqref="H41"/>
    </sheetView>
  </sheetViews>
  <sheetFormatPr baseColWidth="10" defaultRowHeight="15"/>
  <cols>
    <col min="1" max="1" width="2.85546875" customWidth="1"/>
    <col min="2" max="2" width="23.85546875" customWidth="1"/>
    <col min="3" max="3" width="7.5703125" customWidth="1"/>
    <col min="4" max="41" width="12.5703125" customWidth="1"/>
  </cols>
  <sheetData>
    <row r="1" spans="1:41" ht="22.5" customHeight="1">
      <c r="A1" s="1033"/>
      <c r="B1" s="1219" t="s">
        <v>9893</v>
      </c>
      <c r="C1" s="1220"/>
      <c r="D1" s="1220"/>
      <c r="E1" s="1220"/>
      <c r="F1" s="1220"/>
      <c r="G1" s="1220"/>
      <c r="H1" s="1220"/>
      <c r="I1" s="1220"/>
      <c r="J1" s="1220"/>
      <c r="K1" s="1220"/>
      <c r="L1" s="1220"/>
      <c r="M1" s="1220"/>
      <c r="N1" s="1220"/>
      <c r="O1" s="1220"/>
      <c r="P1" s="1220"/>
      <c r="Q1" s="1220"/>
      <c r="R1" s="1220"/>
      <c r="S1" s="1220"/>
      <c r="T1" s="1220"/>
      <c r="U1" s="1220"/>
      <c r="V1" s="1220"/>
      <c r="W1" s="1220"/>
      <c r="X1" s="1220"/>
      <c r="Y1" s="1220"/>
      <c r="Z1" s="1220"/>
      <c r="AA1" s="1220"/>
      <c r="AB1" s="1220"/>
      <c r="AC1" s="1220"/>
      <c r="AD1" s="1220"/>
      <c r="AE1" s="1220"/>
      <c r="AF1" s="1220"/>
      <c r="AG1" s="1220"/>
      <c r="AH1" s="1220"/>
      <c r="AI1" s="1220"/>
      <c r="AJ1" s="1220"/>
      <c r="AK1" s="1220"/>
      <c r="AL1" s="1220"/>
      <c r="AM1" s="1220"/>
      <c r="AN1" s="1220"/>
      <c r="AO1" s="1220"/>
    </row>
    <row r="2" spans="1:41">
      <c r="A2" s="1033"/>
      <c r="B2" s="1033"/>
      <c r="C2" s="1033"/>
      <c r="D2" s="1033"/>
      <c r="E2" s="1033"/>
      <c r="F2" s="1033"/>
      <c r="G2" s="1033"/>
      <c r="H2" s="1033"/>
      <c r="I2" s="1033"/>
      <c r="J2" s="1033"/>
      <c r="K2" s="1033"/>
      <c r="L2" s="1033"/>
      <c r="M2" s="1033"/>
      <c r="N2" s="1033"/>
      <c r="O2" s="1033"/>
      <c r="P2" s="1033"/>
      <c r="Q2" s="1033"/>
      <c r="R2" s="1033"/>
      <c r="S2" s="1033"/>
      <c r="T2" s="1033"/>
      <c r="U2" s="1033"/>
      <c r="V2" s="1033"/>
      <c r="W2" s="1033"/>
      <c r="X2" s="1033"/>
      <c r="Y2" s="1033"/>
      <c r="Z2" s="1033"/>
      <c r="AA2" s="1033"/>
      <c r="AB2" s="1033"/>
      <c r="AC2" s="1033"/>
      <c r="AD2" s="1033"/>
      <c r="AE2" s="1033"/>
      <c r="AF2" s="1033"/>
      <c r="AG2" s="1033"/>
      <c r="AH2" s="1033"/>
      <c r="AI2" s="1033"/>
      <c r="AJ2" s="1033"/>
      <c r="AK2" s="1033"/>
      <c r="AL2" s="1033"/>
      <c r="AM2" s="1033"/>
      <c r="AN2" s="1033"/>
      <c r="AO2" s="1033"/>
    </row>
    <row r="3" spans="1:41" ht="15.75">
      <c r="A3" s="1033"/>
      <c r="B3" s="1045"/>
      <c r="C3" s="1047" t="s">
        <v>323</v>
      </c>
      <c r="D3" s="1308" t="str">
        <f>CFG_MES_TXT</f>
        <v>Setiembre 2026</v>
      </c>
      <c r="E3" s="1308"/>
      <c r="F3" s="1308"/>
      <c r="G3" s="1033"/>
      <c r="H3" s="1033"/>
      <c r="I3" s="1033"/>
      <c r="J3" s="1033"/>
      <c r="K3" s="1033"/>
      <c r="L3" s="1033"/>
      <c r="M3" s="1033"/>
      <c r="N3" s="1033"/>
      <c r="O3" s="1033"/>
      <c r="P3" s="1033"/>
      <c r="Q3" s="1033"/>
      <c r="R3" s="1033"/>
      <c r="S3" s="1033"/>
      <c r="T3" s="1033"/>
      <c r="U3" s="1033"/>
      <c r="V3" s="1033"/>
      <c r="W3" s="1033"/>
      <c r="X3" s="1033"/>
      <c r="Y3" s="1033"/>
      <c r="Z3" s="1033"/>
      <c r="AA3" s="1033"/>
      <c r="AB3" s="1033"/>
      <c r="AC3" s="1033"/>
      <c r="AD3" s="1033"/>
      <c r="AE3" s="1033"/>
      <c r="AF3" s="1033"/>
      <c r="AG3" s="1033"/>
      <c r="AH3" s="1033"/>
      <c r="AI3" s="1033"/>
      <c r="AJ3" s="1033"/>
      <c r="AK3" s="1033"/>
      <c r="AL3" s="1033"/>
      <c r="AM3" s="1033"/>
      <c r="AN3" s="1033"/>
      <c r="AO3" s="1033"/>
    </row>
    <row r="4" spans="1:41">
      <c r="A4" s="1033"/>
      <c r="B4" s="1045" t="s">
        <v>9881</v>
      </c>
      <c r="C4" s="1033"/>
      <c r="D4" s="1220" t="str">
        <f ca="1">COUNTIF(AO10:AO40,"✔")&amp;" de "&amp;MAX(0,MIN(CFG_DIAS,TODAY()-CFG_MES+1))&amp;" transcurridos"</f>
        <v>29 de 30 transcurridos</v>
      </c>
      <c r="E4" s="1220"/>
      <c r="F4" s="1220"/>
      <c r="G4" s="1220"/>
      <c r="H4" s="1033"/>
      <c r="I4" s="1033"/>
      <c r="J4" s="1033"/>
      <c r="K4" s="1033"/>
      <c r="L4" s="1033"/>
      <c r="M4" s="1033"/>
      <c r="N4" s="1033"/>
      <c r="O4" s="1033"/>
      <c r="P4" s="1033"/>
      <c r="Q4" s="1033"/>
      <c r="R4" s="1033"/>
      <c r="S4" s="1033"/>
      <c r="T4" s="1033"/>
      <c r="U4" s="1033"/>
      <c r="V4" s="1033"/>
      <c r="W4" s="1033"/>
      <c r="X4" s="1033"/>
      <c r="Y4" s="1033"/>
      <c r="Z4" s="1033"/>
      <c r="AA4" s="1033"/>
      <c r="AB4" s="1033"/>
      <c r="AC4" s="1033"/>
      <c r="AD4" s="1033"/>
      <c r="AE4" s="1033"/>
      <c r="AF4" s="1033"/>
      <c r="AG4" s="1033"/>
      <c r="AH4" s="1033"/>
      <c r="AI4" s="1033"/>
      <c r="AJ4" s="1033"/>
      <c r="AK4" s="1033"/>
      <c r="AL4" s="1033"/>
      <c r="AM4" s="1033"/>
      <c r="AN4" s="1033"/>
      <c r="AO4" s="1033"/>
    </row>
    <row r="5" spans="1:41">
      <c r="A5" s="1033"/>
      <c r="B5" s="1045" t="s">
        <v>9882</v>
      </c>
      <c r="C5" s="1033"/>
      <c r="D5" s="1220" t="s">
        <v>9449</v>
      </c>
      <c r="E5" s="1220"/>
      <c r="F5" s="1220"/>
      <c r="G5" s="1033"/>
      <c r="H5" s="1033"/>
      <c r="I5" s="981" t="s">
        <v>9917</v>
      </c>
      <c r="J5" s="1033"/>
      <c r="K5" s="1033"/>
      <c r="L5" s="1033"/>
      <c r="M5" s="1033"/>
      <c r="N5" s="1033"/>
      <c r="O5" s="1033"/>
      <c r="P5" s="1033"/>
      <c r="Q5" s="1033"/>
      <c r="R5" s="1033"/>
      <c r="S5" s="1033"/>
      <c r="T5" s="1033"/>
      <c r="U5" s="1033"/>
      <c r="V5" s="1033"/>
      <c r="W5" s="1033"/>
      <c r="X5" s="1033"/>
      <c r="Y5" s="1033"/>
      <c r="Z5" s="1033"/>
      <c r="AA5" s="1033"/>
      <c r="AB5" s="1033"/>
      <c r="AC5" s="1033"/>
      <c r="AD5" s="1033"/>
      <c r="AE5" s="1033"/>
      <c r="AF5" s="1033"/>
      <c r="AG5" s="1033"/>
      <c r="AH5" s="1033"/>
      <c r="AI5" s="1033"/>
      <c r="AJ5" s="1033"/>
      <c r="AK5" s="1033"/>
      <c r="AL5" s="1033"/>
      <c r="AM5" s="1033"/>
      <c r="AN5" s="1033"/>
      <c r="AO5" s="1033"/>
    </row>
    <row r="6" spans="1:41">
      <c r="A6" s="1033"/>
      <c r="B6" s="1043" t="s">
        <v>9370</v>
      </c>
      <c r="C6" s="1044"/>
      <c r="D6" s="1069">
        <f>SUMIFS(tblCatControles[Mín],tblCatControles[Módulo],$D$5,tblCatControles[Ítem],D$8)</f>
        <v>0</v>
      </c>
      <c r="E6" s="1069">
        <f>SUMIFS(tblCatControles[Mín],tblCatControles[Módulo],$D$5,tblCatControles[Ítem],E$8)</f>
        <v>0</v>
      </c>
      <c r="F6" s="1069">
        <f>SUMIFS(tblCatControles[Mín],tblCatControles[Módulo],$D$5,tblCatControles[Ítem],F$8)</f>
        <v>0</v>
      </c>
      <c r="G6" s="1069"/>
      <c r="H6" s="1069">
        <f>SUMIFS(tblCatControles[Mín],tblCatControles[Módulo],$D$5,tblCatControles[Ítem],H$8)</f>
        <v>0</v>
      </c>
      <c r="I6" s="1069">
        <f>SUMIFS(tblCatControles[Mín],tblCatControles[Módulo],$D$5,tblCatControles[Ítem],I$8)</f>
        <v>0</v>
      </c>
      <c r="J6" s="1069">
        <f>SUMIFS(tblCatControles[Mín],tblCatControles[Módulo],$D$5,tblCatControles[Ítem],J$8)</f>
        <v>0</v>
      </c>
      <c r="K6" s="1069"/>
      <c r="L6" s="1069">
        <f>SUMIFS(tblCatControles[Mín],tblCatControles[Módulo],$D$5,tblCatControles[Ítem],L$8)</f>
        <v>0</v>
      </c>
      <c r="M6" s="1069">
        <f>SUMIFS(tblCatControles[Mín],tblCatControles[Módulo],$D$5,tblCatControles[Ítem],M$8)</f>
        <v>0</v>
      </c>
      <c r="N6" s="1069">
        <f>SUMIFS(tblCatControles[Mín],tblCatControles[Módulo],$D$5,tblCatControles[Ítem],N$8)</f>
        <v>0</v>
      </c>
      <c r="O6" s="1069"/>
      <c r="P6" s="1069">
        <f>SUMIFS(tblCatControles[Mín],tblCatControles[Módulo],$D$5,tblCatControles[Ítem],P$8)</f>
        <v>0</v>
      </c>
      <c r="Q6" s="1069">
        <f>SUMIFS(tblCatControles[Mín],tblCatControles[Módulo],$D$5,tblCatControles[Ítem],Q$8)</f>
        <v>0</v>
      </c>
      <c r="R6" s="1069">
        <f>SUMIFS(tblCatControles[Mín],tblCatControles[Módulo],$D$5,tblCatControles[Ítem],R$8)</f>
        <v>0</v>
      </c>
      <c r="S6" s="1069"/>
      <c r="T6" s="1069">
        <f>SUMIFS(tblCatControles[Mín],tblCatControles[Módulo],$D$5,tblCatControles[Ítem],T$8)</f>
        <v>0</v>
      </c>
      <c r="U6" s="1069">
        <f>SUMIFS(tblCatControles[Mín],tblCatControles[Módulo],$D$5,tblCatControles[Ítem],U$8)</f>
        <v>0</v>
      </c>
      <c r="V6" s="1069">
        <f>SUMIFS(tblCatControles[Mín],tblCatControles[Módulo],$D$5,tblCatControles[Ítem],V$8)</f>
        <v>0</v>
      </c>
      <c r="W6" s="1069"/>
      <c r="X6" s="1069">
        <f>SUMIFS(tblCatControles[Mín],tblCatControles[Módulo],$D$5,tblCatControles[Ítem],X$8)</f>
        <v>0</v>
      </c>
      <c r="Y6" s="1069">
        <f>SUMIFS(tblCatControles[Mín],tblCatControles[Módulo],$D$5,tblCatControles[Ítem],Y$8)</f>
        <v>0</v>
      </c>
      <c r="Z6" s="1069">
        <f>SUMIFS(tblCatControles[Mín],tblCatControles[Módulo],$D$5,tblCatControles[Ítem],Z$8)</f>
        <v>0</v>
      </c>
      <c r="AA6" s="1069"/>
      <c r="AB6" s="1069">
        <f>SUMIFS(tblCatControles[Mín],tblCatControles[Módulo],$D$5,tblCatControles[Ítem],AB$8)</f>
        <v>0</v>
      </c>
      <c r="AC6" s="1069">
        <f>SUMIFS(tblCatControles[Mín],tblCatControles[Módulo],$D$5,tblCatControles[Ítem],AC$8)</f>
        <v>0</v>
      </c>
      <c r="AD6" s="1069">
        <f>SUMIFS(tblCatControles[Mín],tblCatControles[Módulo],$D$5,tblCatControles[Ítem],AD$8)</f>
        <v>0</v>
      </c>
      <c r="AE6" s="1069"/>
      <c r="AF6" s="1069">
        <f>SUMIFS(tblCatControles[Mín],tblCatControles[Módulo],$D$5,tblCatControles[Ítem],AF$8)</f>
        <v>0</v>
      </c>
      <c r="AG6" s="1069">
        <f>SUMIFS(tblCatControles[Mín],tblCatControles[Módulo],$D$5,tblCatControles[Ítem],AG$8)</f>
        <v>0</v>
      </c>
      <c r="AH6" s="1069">
        <f>SUMIFS(tblCatControles[Mín],tblCatControles[Módulo],$D$5,tblCatControles[Ítem],AH$8)</f>
        <v>0</v>
      </c>
      <c r="AI6" s="1069"/>
      <c r="AJ6" s="1069">
        <f>SUMIFS(tblCatControles[Mín],tblCatControles[Módulo],$D$5,tblCatControles[Ítem],AJ$8)</f>
        <v>0</v>
      </c>
      <c r="AK6" s="1069">
        <f>SUMIFS(tblCatControles[Mín],tblCatControles[Módulo],$D$5,tblCatControles[Ítem],AK$8)</f>
        <v>0</v>
      </c>
      <c r="AL6" s="1069">
        <f>SUMIFS(tblCatControles[Mín],tblCatControles[Módulo],$D$5,tblCatControles[Ítem],AL$8)</f>
        <v>0</v>
      </c>
      <c r="AM6" s="1069"/>
      <c r="AN6" s="1069"/>
      <c r="AO6" s="1069"/>
    </row>
    <row r="7" spans="1:41">
      <c r="A7" s="1033"/>
      <c r="B7" s="1043" t="s">
        <v>9371</v>
      </c>
      <c r="C7" s="1044"/>
      <c r="D7" s="1069">
        <f>SUMIFS(tblCatControles[Máx],tblCatControles[Módulo],$D$5,tblCatControles[Ítem],D$8)</f>
        <v>3000</v>
      </c>
      <c r="E7" s="1069">
        <f>SUMIFS(tblCatControles[Máx],tblCatControles[Módulo],$D$5,tblCatControles[Ítem],E$8)</f>
        <v>3000</v>
      </c>
      <c r="F7" s="1069">
        <f>SUMIFS(tblCatControles[Máx],tblCatControles[Módulo],$D$5,tblCatControles[Ítem],F$8)</f>
        <v>3000</v>
      </c>
      <c r="G7" s="1069"/>
      <c r="H7" s="1069">
        <f>SUMIFS(tblCatControles[Máx],tblCatControles[Módulo],$D$5,tblCatControles[Ítem],H$8)</f>
        <v>3000</v>
      </c>
      <c r="I7" s="1069">
        <f>SUMIFS(tblCatControles[Máx],tblCatControles[Módulo],$D$5,tblCatControles[Ítem],I$8)</f>
        <v>3000</v>
      </c>
      <c r="J7" s="1069">
        <f>SUMIFS(tblCatControles[Máx],tblCatControles[Módulo],$D$5,tblCatControles[Ítem],J$8)</f>
        <v>3000</v>
      </c>
      <c r="K7" s="1069"/>
      <c r="L7" s="1069">
        <f>SUMIFS(tblCatControles[Máx],tblCatControles[Módulo],$D$5,tblCatControles[Ítem],L$8)</f>
        <v>3000</v>
      </c>
      <c r="M7" s="1069">
        <f>SUMIFS(tblCatControles[Máx],tblCatControles[Módulo],$D$5,tblCatControles[Ítem],M$8)</f>
        <v>3000</v>
      </c>
      <c r="N7" s="1069">
        <f>SUMIFS(tblCatControles[Máx],tblCatControles[Módulo],$D$5,tblCatControles[Ítem],N$8)</f>
        <v>3000</v>
      </c>
      <c r="O7" s="1069"/>
      <c r="P7" s="1069">
        <f>SUMIFS(tblCatControles[Máx],tblCatControles[Módulo],$D$5,tblCatControles[Ítem],P$8)</f>
        <v>3000</v>
      </c>
      <c r="Q7" s="1069">
        <f>SUMIFS(tblCatControles[Máx],tblCatControles[Módulo],$D$5,tblCatControles[Ítem],Q$8)</f>
        <v>3000</v>
      </c>
      <c r="R7" s="1069">
        <f>SUMIFS(tblCatControles[Máx],tblCatControles[Módulo],$D$5,tblCatControles[Ítem],R$8)</f>
        <v>3000</v>
      </c>
      <c r="S7" s="1069"/>
      <c r="T7" s="1069">
        <f>SUMIFS(tblCatControles[Máx],tblCatControles[Módulo],$D$5,tblCatControles[Ítem],T$8)</f>
        <v>3000</v>
      </c>
      <c r="U7" s="1069">
        <f>SUMIFS(tblCatControles[Máx],tblCatControles[Módulo],$D$5,tblCatControles[Ítem],U$8)</f>
        <v>3000</v>
      </c>
      <c r="V7" s="1069">
        <f>SUMIFS(tblCatControles[Máx],tblCatControles[Módulo],$D$5,tblCatControles[Ítem],V$8)</f>
        <v>3000</v>
      </c>
      <c r="W7" s="1069"/>
      <c r="X7" s="1069">
        <f>SUMIFS(tblCatControles[Máx],tblCatControles[Módulo],$D$5,tblCatControles[Ítem],X$8)</f>
        <v>3000</v>
      </c>
      <c r="Y7" s="1069">
        <f>SUMIFS(tblCatControles[Máx],tblCatControles[Módulo],$D$5,tblCatControles[Ítem],Y$8)</f>
        <v>3000</v>
      </c>
      <c r="Z7" s="1069">
        <f>SUMIFS(tblCatControles[Máx],tblCatControles[Módulo],$D$5,tblCatControles[Ítem],Z$8)</f>
        <v>3000</v>
      </c>
      <c r="AA7" s="1069"/>
      <c r="AB7" s="1069">
        <f>SUMIFS(tblCatControles[Máx],tblCatControles[Módulo],$D$5,tblCatControles[Ítem],AB$8)</f>
        <v>3000</v>
      </c>
      <c r="AC7" s="1069">
        <f>SUMIFS(tblCatControles[Máx],tblCatControles[Módulo],$D$5,tblCatControles[Ítem],AC$8)</f>
        <v>3000</v>
      </c>
      <c r="AD7" s="1069">
        <f>SUMIFS(tblCatControles[Máx],tblCatControles[Módulo],$D$5,tblCatControles[Ítem],AD$8)</f>
        <v>3000</v>
      </c>
      <c r="AE7" s="1069"/>
      <c r="AF7" s="1069">
        <f>SUMIFS(tblCatControles[Máx],tblCatControles[Módulo],$D$5,tblCatControles[Ítem],AF$8)</f>
        <v>3000</v>
      </c>
      <c r="AG7" s="1069">
        <f>SUMIFS(tblCatControles[Máx],tblCatControles[Módulo],$D$5,tblCatControles[Ítem],AG$8)</f>
        <v>3000</v>
      </c>
      <c r="AH7" s="1069">
        <f>SUMIFS(tblCatControles[Máx],tblCatControles[Módulo],$D$5,tblCatControles[Ítem],AH$8)</f>
        <v>3000</v>
      </c>
      <c r="AI7" s="1069"/>
      <c r="AJ7" s="1069">
        <f>SUMIFS(tblCatControles[Máx],tblCatControles[Módulo],$D$5,tblCatControles[Ítem],AJ$8)</f>
        <v>3000</v>
      </c>
      <c r="AK7" s="1069">
        <f>SUMIFS(tblCatControles[Máx],tblCatControles[Módulo],$D$5,tblCatControles[Ítem],AK$8)</f>
        <v>3000</v>
      </c>
      <c r="AL7" s="1069">
        <f>SUMIFS(tblCatControles[Máx],tblCatControles[Módulo],$D$5,tblCatControles[Ítem],AL$8)</f>
        <v>3000</v>
      </c>
      <c r="AM7" s="1069"/>
      <c r="AN7" s="1069"/>
      <c r="AO7" s="1069"/>
    </row>
    <row r="8" spans="1:41" ht="45" customHeight="1">
      <c r="A8" s="1033"/>
      <c r="B8" s="1072" t="s">
        <v>322</v>
      </c>
      <c r="C8" s="1072"/>
      <c r="D8" s="1072" t="s">
        <v>387</v>
      </c>
      <c r="E8" s="1072" t="s">
        <v>387</v>
      </c>
      <c r="F8" s="1072" t="s">
        <v>387</v>
      </c>
      <c r="G8" s="1072" t="s">
        <v>9894</v>
      </c>
      <c r="H8" s="1072" t="s">
        <v>388</v>
      </c>
      <c r="I8" s="1072" t="s">
        <v>388</v>
      </c>
      <c r="J8" s="1072" t="s">
        <v>388</v>
      </c>
      <c r="K8" s="1072" t="s">
        <v>9895</v>
      </c>
      <c r="L8" s="1072" t="s">
        <v>389</v>
      </c>
      <c r="M8" s="1072" t="s">
        <v>389</v>
      </c>
      <c r="N8" s="1072" t="s">
        <v>389</v>
      </c>
      <c r="O8" s="1072" t="s">
        <v>9896</v>
      </c>
      <c r="P8" s="1072" t="s">
        <v>390</v>
      </c>
      <c r="Q8" s="1072" t="s">
        <v>390</v>
      </c>
      <c r="R8" s="1072" t="s">
        <v>390</v>
      </c>
      <c r="S8" s="1072" t="s">
        <v>9897</v>
      </c>
      <c r="T8" s="1072" t="s">
        <v>391</v>
      </c>
      <c r="U8" s="1072" t="s">
        <v>391</v>
      </c>
      <c r="V8" s="1072" t="s">
        <v>391</v>
      </c>
      <c r="W8" s="1072" t="s">
        <v>9898</v>
      </c>
      <c r="X8" s="1072" t="s">
        <v>392</v>
      </c>
      <c r="Y8" s="1072" t="s">
        <v>392</v>
      </c>
      <c r="Z8" s="1072" t="s">
        <v>392</v>
      </c>
      <c r="AA8" s="1072" t="s">
        <v>9899</v>
      </c>
      <c r="AB8" s="1072" t="s">
        <v>393</v>
      </c>
      <c r="AC8" s="1072" t="s">
        <v>393</v>
      </c>
      <c r="AD8" s="1072" t="s">
        <v>393</v>
      </c>
      <c r="AE8" s="1072" t="s">
        <v>9900</v>
      </c>
      <c r="AF8" s="1072" t="s">
        <v>394</v>
      </c>
      <c r="AG8" s="1072" t="s">
        <v>394</v>
      </c>
      <c r="AH8" s="1072" t="s">
        <v>394</v>
      </c>
      <c r="AI8" s="1072" t="s">
        <v>9901</v>
      </c>
      <c r="AJ8" s="1072" t="s">
        <v>395</v>
      </c>
      <c r="AK8" s="1072" t="s">
        <v>395</v>
      </c>
      <c r="AL8" s="1072" t="s">
        <v>395</v>
      </c>
      <c r="AM8" s="1072" t="s">
        <v>9902</v>
      </c>
      <c r="AN8" s="1072" t="s">
        <v>9903</v>
      </c>
      <c r="AO8" s="1072" t="s">
        <v>9885</v>
      </c>
    </row>
    <row r="9" spans="1:41" ht="32.1" customHeight="1">
      <c r="A9" s="1033"/>
      <c r="B9" s="1073"/>
      <c r="C9" s="1073" t="s">
        <v>31</v>
      </c>
      <c r="D9" s="1073" t="s">
        <v>396</v>
      </c>
      <c r="E9" s="1073" t="s">
        <v>397</v>
      </c>
      <c r="F9" s="1073" t="s">
        <v>398</v>
      </c>
      <c r="G9" s="1073" t="s">
        <v>55</v>
      </c>
      <c r="H9" s="1073" t="s">
        <v>396</v>
      </c>
      <c r="I9" s="1073" t="s">
        <v>397</v>
      </c>
      <c r="J9" s="1073" t="s">
        <v>398</v>
      </c>
      <c r="K9" s="1073" t="s">
        <v>55</v>
      </c>
      <c r="L9" s="1073" t="s">
        <v>396</v>
      </c>
      <c r="M9" s="1073" t="s">
        <v>397</v>
      </c>
      <c r="N9" s="1073" t="s">
        <v>398</v>
      </c>
      <c r="O9" s="1073" t="s">
        <v>55</v>
      </c>
      <c r="P9" s="1073" t="s">
        <v>396</v>
      </c>
      <c r="Q9" s="1073" t="s">
        <v>397</v>
      </c>
      <c r="R9" s="1073" t="s">
        <v>398</v>
      </c>
      <c r="S9" s="1073" t="s">
        <v>55</v>
      </c>
      <c r="T9" s="1073" t="s">
        <v>396</v>
      </c>
      <c r="U9" s="1073" t="s">
        <v>397</v>
      </c>
      <c r="V9" s="1073" t="s">
        <v>398</v>
      </c>
      <c r="W9" s="1073" t="s">
        <v>55</v>
      </c>
      <c r="X9" s="1073" t="s">
        <v>396</v>
      </c>
      <c r="Y9" s="1073" t="s">
        <v>397</v>
      </c>
      <c r="Z9" s="1073" t="s">
        <v>398</v>
      </c>
      <c r="AA9" s="1073" t="s">
        <v>55</v>
      </c>
      <c r="AB9" s="1073" t="s">
        <v>396</v>
      </c>
      <c r="AC9" s="1073" t="s">
        <v>397</v>
      </c>
      <c r="AD9" s="1073" t="s">
        <v>398</v>
      </c>
      <c r="AE9" s="1073" t="s">
        <v>55</v>
      </c>
      <c r="AF9" s="1073" t="s">
        <v>396</v>
      </c>
      <c r="AG9" s="1073" t="s">
        <v>397</v>
      </c>
      <c r="AH9" s="1073" t="s">
        <v>398</v>
      </c>
      <c r="AI9" s="1073" t="s">
        <v>55</v>
      </c>
      <c r="AJ9" s="1073" t="s">
        <v>396</v>
      </c>
      <c r="AK9" s="1073" t="s">
        <v>397</v>
      </c>
      <c r="AL9" s="1073" t="s">
        <v>398</v>
      </c>
      <c r="AM9" s="1073" t="s">
        <v>55</v>
      </c>
      <c r="AN9" s="1073" t="s">
        <v>55</v>
      </c>
      <c r="AO9" s="1073"/>
    </row>
    <row r="10" spans="1:41">
      <c r="A10" s="1033"/>
      <c r="B10" s="1074">
        <f>IF(ROWS(B$10:B10)&lt;=CFG_DIAS,CFG_MES+ROWS(B$10:B10)-1,"")</f>
        <v>46266</v>
      </c>
      <c r="C10" s="1062" t="str">
        <f t="shared" ref="C10:C40" si="0">IF(B10="","",TEXT(B10,"ddd"))</f>
        <v>ma</v>
      </c>
      <c r="D10" s="1051">
        <v>495</v>
      </c>
      <c r="E10" s="1051">
        <v>156</v>
      </c>
      <c r="F10" s="1051">
        <v>1554</v>
      </c>
      <c r="G10" s="1075">
        <f t="shared" ref="G10:G40" si="1">IF(COUNT(D10:F10)=0,"",SUM(D10:F10))</f>
        <v>2205</v>
      </c>
      <c r="H10" s="1051">
        <v>1230</v>
      </c>
      <c r="I10" s="1051">
        <v>1170</v>
      </c>
      <c r="J10" s="1051">
        <v>0</v>
      </c>
      <c r="K10" s="1075">
        <f t="shared" ref="K10:K40" si="2">IF(COUNT(H10:J10)=0,"",SUM(H10:J10))</f>
        <v>2400</v>
      </c>
      <c r="L10" s="1051">
        <v>1620</v>
      </c>
      <c r="M10" s="1051">
        <v>1370</v>
      </c>
      <c r="N10" s="1051">
        <v>1540</v>
      </c>
      <c r="O10" s="1075">
        <f t="shared" ref="O10:O40" si="3">IF(COUNT(L10:N10)=0,"",SUM(L10:N10))</f>
        <v>4530</v>
      </c>
      <c r="P10" s="1051">
        <v>1306</v>
      </c>
      <c r="Q10" s="1051">
        <v>1051</v>
      </c>
      <c r="R10" s="1051">
        <v>1186</v>
      </c>
      <c r="S10" s="1075">
        <f t="shared" ref="S10:S40" si="4">IF(COUNT(P10:R10)=0,"",SUM(P10:R10))</f>
        <v>3543</v>
      </c>
      <c r="T10" s="1051">
        <v>1566</v>
      </c>
      <c r="U10" s="1051">
        <v>1581</v>
      </c>
      <c r="V10" s="1051">
        <v>1568</v>
      </c>
      <c r="W10" s="1075">
        <f t="shared" ref="W10:W40" si="5">IF(COUNT(T10:V10)=0,"",SUM(T10:V10))</f>
        <v>4715</v>
      </c>
      <c r="X10" s="1051">
        <v>1582</v>
      </c>
      <c r="Y10" s="1051">
        <v>1648</v>
      </c>
      <c r="Z10" s="1051">
        <v>1482</v>
      </c>
      <c r="AA10" s="1075">
        <f t="shared" ref="AA10:AA40" si="6">IF(COUNT(X10:Z10)=0,"",SUM(X10:Z10))</f>
        <v>4712</v>
      </c>
      <c r="AB10" s="1051">
        <v>1532</v>
      </c>
      <c r="AC10" s="1051">
        <v>1618</v>
      </c>
      <c r="AD10" s="1051">
        <v>1573</v>
      </c>
      <c r="AE10" s="1075">
        <f t="shared" ref="AE10:AE40" si="7">IF(COUNT(AB10:AD10)=0,"",SUM(AB10:AD10))</f>
        <v>4723</v>
      </c>
      <c r="AF10" s="1051">
        <v>1573</v>
      </c>
      <c r="AG10" s="1051">
        <v>1719</v>
      </c>
      <c r="AH10" s="1051">
        <v>1519</v>
      </c>
      <c r="AI10" s="1075">
        <f t="shared" ref="AI10:AI40" si="8">IF(COUNT(AF10:AH10)=0,"",SUM(AF10:AH10))</f>
        <v>4811</v>
      </c>
      <c r="AJ10" s="1051">
        <v>2010</v>
      </c>
      <c r="AK10" s="1051">
        <v>1680</v>
      </c>
      <c r="AL10" s="1051">
        <v>1883</v>
      </c>
      <c r="AM10" s="1075">
        <f t="shared" ref="AM10:AM40" si="9">IF(COUNT(AJ10:AL10)=0,"",SUM(AJ10:AL10))</f>
        <v>5573</v>
      </c>
      <c r="AN10" s="1075">
        <f t="shared" ref="AN10:AN40" si="10">IF(COUNT(G10,K10,O10,S10,W10,AA10,AE10,AI10,AM10)=0,"",SUM(G10,K10,O10,S10,W10,AA10,AE10,AI10,AM10))</f>
        <v>37212</v>
      </c>
      <c r="AO10" s="1062" t="str" cm="1">
        <f t="array" ref="AO10">IF(B10="","",IF(SUMPRODUCT(--(D10:AN10&lt;&gt;""),--(D$9:AN$9&lt;&gt;"Total"))&gt;0,"✔",""))</f>
        <v>✔</v>
      </c>
    </row>
    <row r="11" spans="1:41">
      <c r="A11" s="1033"/>
      <c r="B11" s="1074">
        <f>IF(ROWS(B$10:B11)&lt;=CFG_DIAS,CFG_MES+ROWS(B$10:B11)-1,"")</f>
        <v>46267</v>
      </c>
      <c r="C11" s="1062" t="str">
        <f t="shared" si="0"/>
        <v>mi</v>
      </c>
      <c r="D11" s="1051">
        <v>1671</v>
      </c>
      <c r="E11" s="1051">
        <v>1469</v>
      </c>
      <c r="F11" s="1051">
        <v>1412</v>
      </c>
      <c r="G11" s="1075">
        <f t="shared" si="1"/>
        <v>4552</v>
      </c>
      <c r="H11" s="1051">
        <v>154</v>
      </c>
      <c r="I11" s="1051">
        <v>0</v>
      </c>
      <c r="J11" s="1051">
        <v>0</v>
      </c>
      <c r="K11" s="1075">
        <f t="shared" si="2"/>
        <v>154</v>
      </c>
      <c r="L11" s="1051">
        <v>1519</v>
      </c>
      <c r="M11" s="1051">
        <v>1436</v>
      </c>
      <c r="N11" s="1051">
        <v>1445</v>
      </c>
      <c r="O11" s="1075">
        <f t="shared" si="3"/>
        <v>4400</v>
      </c>
      <c r="P11" s="1051">
        <v>1304</v>
      </c>
      <c r="Q11" s="1051">
        <v>1212</v>
      </c>
      <c r="R11" s="1051">
        <v>1227</v>
      </c>
      <c r="S11" s="1075">
        <f t="shared" si="4"/>
        <v>3743</v>
      </c>
      <c r="T11" s="1051">
        <v>1676</v>
      </c>
      <c r="U11" s="1051">
        <v>1721</v>
      </c>
      <c r="V11" s="1051">
        <v>1658</v>
      </c>
      <c r="W11" s="1075">
        <f t="shared" si="5"/>
        <v>5055</v>
      </c>
      <c r="X11" s="1051">
        <v>1674</v>
      </c>
      <c r="Y11" s="1051">
        <v>1705</v>
      </c>
      <c r="Z11" s="1051">
        <v>1595</v>
      </c>
      <c r="AA11" s="1075">
        <f t="shared" si="6"/>
        <v>4974</v>
      </c>
      <c r="AB11" s="1051">
        <v>1529</v>
      </c>
      <c r="AC11" s="1051">
        <v>1698</v>
      </c>
      <c r="AD11" s="1051">
        <v>1656</v>
      </c>
      <c r="AE11" s="1075">
        <f t="shared" si="7"/>
        <v>4883</v>
      </c>
      <c r="AF11" s="1051">
        <v>1596</v>
      </c>
      <c r="AG11" s="1051">
        <v>1700</v>
      </c>
      <c r="AH11" s="1051">
        <v>1535</v>
      </c>
      <c r="AI11" s="1075">
        <f t="shared" si="8"/>
        <v>4831</v>
      </c>
      <c r="AJ11" s="1051">
        <v>1839</v>
      </c>
      <c r="AK11" s="1051">
        <v>1723</v>
      </c>
      <c r="AL11" s="1051">
        <v>1870</v>
      </c>
      <c r="AM11" s="1075">
        <f t="shared" si="9"/>
        <v>5432</v>
      </c>
      <c r="AN11" s="1075">
        <f t="shared" si="10"/>
        <v>38024</v>
      </c>
      <c r="AO11" s="1062" t="str" cm="1">
        <f t="array" ref="AO11">IF(B11="","",IF(SUMPRODUCT(--(D11:AN11&lt;&gt;""),--(D$9:AN$9&lt;&gt;"Total"))&gt;0,"✔",""))</f>
        <v>✔</v>
      </c>
    </row>
    <row r="12" spans="1:41">
      <c r="A12" s="1033"/>
      <c r="B12" s="1074">
        <f>IF(ROWS(B$10:B12)&lt;=CFG_DIAS,CFG_MES+ROWS(B$10:B12)-1,"")</f>
        <v>46268</v>
      </c>
      <c r="C12" s="1062" t="str">
        <f t="shared" si="0"/>
        <v>ju</v>
      </c>
      <c r="D12" s="1051">
        <v>1376</v>
      </c>
      <c r="E12" s="1051">
        <v>1530</v>
      </c>
      <c r="F12" s="1051">
        <v>1772</v>
      </c>
      <c r="G12" s="1075">
        <f t="shared" si="1"/>
        <v>4678</v>
      </c>
      <c r="H12" s="1051">
        <v>0</v>
      </c>
      <c r="I12" s="1051">
        <v>0</v>
      </c>
      <c r="J12" s="1051">
        <v>0</v>
      </c>
      <c r="K12" s="1075">
        <f t="shared" si="2"/>
        <v>0</v>
      </c>
      <c r="L12" s="1051">
        <v>1670</v>
      </c>
      <c r="M12" s="1051">
        <v>1510</v>
      </c>
      <c r="N12" s="1051">
        <v>1620</v>
      </c>
      <c r="O12" s="1075">
        <f t="shared" si="3"/>
        <v>4800</v>
      </c>
      <c r="P12" s="1051">
        <v>1335</v>
      </c>
      <c r="Q12" s="1051">
        <v>1166</v>
      </c>
      <c r="R12" s="1051">
        <v>1215</v>
      </c>
      <c r="S12" s="1075">
        <f t="shared" si="4"/>
        <v>3716</v>
      </c>
      <c r="T12" s="1051">
        <v>529</v>
      </c>
      <c r="U12" s="1051">
        <v>0</v>
      </c>
      <c r="V12" s="1051">
        <v>0</v>
      </c>
      <c r="W12" s="1075">
        <f t="shared" si="5"/>
        <v>529</v>
      </c>
      <c r="X12" s="1051">
        <v>1660</v>
      </c>
      <c r="Y12" s="1051">
        <v>1745</v>
      </c>
      <c r="Z12" s="1051">
        <v>1703</v>
      </c>
      <c r="AA12" s="1075">
        <f t="shared" si="6"/>
        <v>5108</v>
      </c>
      <c r="AB12" s="1051">
        <v>1373</v>
      </c>
      <c r="AC12" s="1051">
        <v>1776</v>
      </c>
      <c r="AD12" s="1051">
        <v>1726</v>
      </c>
      <c r="AE12" s="1075">
        <f t="shared" si="7"/>
        <v>4875</v>
      </c>
      <c r="AF12" s="1051">
        <v>1442</v>
      </c>
      <c r="AG12" s="1051">
        <v>1621</v>
      </c>
      <c r="AH12" s="1051">
        <v>1496</v>
      </c>
      <c r="AI12" s="1075">
        <f t="shared" si="8"/>
        <v>4559</v>
      </c>
      <c r="AJ12" s="1051">
        <v>1802</v>
      </c>
      <c r="AK12" s="1051">
        <v>728</v>
      </c>
      <c r="AL12" s="1051">
        <v>1813</v>
      </c>
      <c r="AM12" s="1075">
        <f t="shared" si="9"/>
        <v>4343</v>
      </c>
      <c r="AN12" s="1075">
        <f t="shared" si="10"/>
        <v>32608</v>
      </c>
      <c r="AO12" s="1062" t="str" cm="1">
        <f t="array" ref="AO12">IF(B12="","",IF(SUMPRODUCT(--(D12:AN12&lt;&gt;""),--(D$9:AN$9&lt;&gt;"Total"))&gt;0,"✔",""))</f>
        <v>✔</v>
      </c>
    </row>
    <row r="13" spans="1:41">
      <c r="A13" s="1033"/>
      <c r="B13" s="1074">
        <f>IF(ROWS(B$10:B13)&lt;=CFG_DIAS,CFG_MES+ROWS(B$10:B13)-1,"")</f>
        <v>46269</v>
      </c>
      <c r="C13" s="1062" t="str">
        <f t="shared" si="0"/>
        <v>vi</v>
      </c>
      <c r="D13" s="1051">
        <v>1696</v>
      </c>
      <c r="E13" s="1051">
        <v>1722</v>
      </c>
      <c r="F13" s="1051">
        <v>1794</v>
      </c>
      <c r="G13" s="1075">
        <f t="shared" si="1"/>
        <v>5212</v>
      </c>
      <c r="H13" s="1051">
        <v>0</v>
      </c>
      <c r="I13" s="1051">
        <v>1390</v>
      </c>
      <c r="J13" s="1051">
        <v>1786</v>
      </c>
      <c r="K13" s="1075">
        <f t="shared" si="2"/>
        <v>3176</v>
      </c>
      <c r="L13" s="1051">
        <v>1580</v>
      </c>
      <c r="M13" s="1051">
        <v>1408</v>
      </c>
      <c r="N13" s="1051">
        <v>1292</v>
      </c>
      <c r="O13" s="1075">
        <f t="shared" si="3"/>
        <v>4280</v>
      </c>
      <c r="P13" s="1051">
        <v>1215</v>
      </c>
      <c r="Q13" s="1051">
        <v>182</v>
      </c>
      <c r="R13" s="1051">
        <v>0</v>
      </c>
      <c r="S13" s="1075">
        <f t="shared" si="4"/>
        <v>1397</v>
      </c>
      <c r="T13" s="1051">
        <v>0</v>
      </c>
      <c r="U13" s="1051">
        <v>388</v>
      </c>
      <c r="V13" s="1051">
        <v>0</v>
      </c>
      <c r="W13" s="1075">
        <f t="shared" si="5"/>
        <v>388</v>
      </c>
      <c r="X13" s="1051">
        <v>1775</v>
      </c>
      <c r="Y13" s="1051">
        <v>1659</v>
      </c>
      <c r="Z13" s="1051">
        <v>1630</v>
      </c>
      <c r="AA13" s="1075">
        <f t="shared" si="6"/>
        <v>5064</v>
      </c>
      <c r="AB13" s="1051">
        <v>1726</v>
      </c>
      <c r="AC13" s="1051">
        <v>1151</v>
      </c>
      <c r="AD13" s="1051">
        <v>1641</v>
      </c>
      <c r="AE13" s="1075">
        <f t="shared" si="7"/>
        <v>4518</v>
      </c>
      <c r="AF13" s="1051">
        <v>1534</v>
      </c>
      <c r="AG13" s="1051">
        <v>1515</v>
      </c>
      <c r="AH13" s="1051">
        <v>1560</v>
      </c>
      <c r="AI13" s="1075">
        <f t="shared" si="8"/>
        <v>4609</v>
      </c>
      <c r="AJ13" s="1051">
        <v>1346</v>
      </c>
      <c r="AK13" s="1051">
        <v>1571</v>
      </c>
      <c r="AL13" s="1051">
        <v>1909</v>
      </c>
      <c r="AM13" s="1075">
        <f t="shared" si="9"/>
        <v>4826</v>
      </c>
      <c r="AN13" s="1075">
        <f t="shared" si="10"/>
        <v>33470</v>
      </c>
      <c r="AO13" s="1062" t="str" cm="1">
        <f t="array" ref="AO13">IF(B13="","",IF(SUMPRODUCT(--(D13:AN13&lt;&gt;""),--(D$9:AN$9&lt;&gt;"Total"))&gt;0,"✔",""))</f>
        <v>✔</v>
      </c>
    </row>
    <row r="14" spans="1:41">
      <c r="A14" s="1033"/>
      <c r="B14" s="1074">
        <f>IF(ROWS(B$10:B14)&lt;=CFG_DIAS,CFG_MES+ROWS(B$10:B14)-1,"")</f>
        <v>46270</v>
      </c>
      <c r="C14" s="1062" t="str">
        <f t="shared" si="0"/>
        <v>sá</v>
      </c>
      <c r="D14" s="1051">
        <v>1861</v>
      </c>
      <c r="E14" s="1051">
        <v>1635</v>
      </c>
      <c r="F14" s="1051">
        <v>1765</v>
      </c>
      <c r="G14" s="1075">
        <f t="shared" si="1"/>
        <v>5261</v>
      </c>
      <c r="H14" s="1051">
        <v>1750</v>
      </c>
      <c r="I14" s="1051">
        <v>1570</v>
      </c>
      <c r="J14" s="1051">
        <v>1750</v>
      </c>
      <c r="K14" s="1075">
        <f t="shared" si="2"/>
        <v>5070</v>
      </c>
      <c r="L14" s="1051">
        <v>1450</v>
      </c>
      <c r="M14" s="1051">
        <v>1130</v>
      </c>
      <c r="N14" s="1051">
        <v>1300</v>
      </c>
      <c r="O14" s="1075">
        <f t="shared" si="3"/>
        <v>3880</v>
      </c>
      <c r="P14" s="1051">
        <v>0</v>
      </c>
      <c r="Q14" s="1051">
        <v>0</v>
      </c>
      <c r="R14" s="1051">
        <v>0</v>
      </c>
      <c r="S14" s="1075">
        <f t="shared" si="4"/>
        <v>0</v>
      </c>
      <c r="T14" s="1051">
        <v>0</v>
      </c>
      <c r="U14" s="1051">
        <v>0</v>
      </c>
      <c r="V14" s="1051">
        <v>0</v>
      </c>
      <c r="W14" s="1075">
        <f t="shared" si="5"/>
        <v>0</v>
      </c>
      <c r="X14" s="1051">
        <v>1672</v>
      </c>
      <c r="Y14" s="1051">
        <v>1620</v>
      </c>
      <c r="Z14" s="1051">
        <v>1701</v>
      </c>
      <c r="AA14" s="1075">
        <f t="shared" si="6"/>
        <v>4993</v>
      </c>
      <c r="AB14" s="1051">
        <v>1651</v>
      </c>
      <c r="AC14" s="1051">
        <v>1683</v>
      </c>
      <c r="AD14" s="1051">
        <v>1628</v>
      </c>
      <c r="AE14" s="1075">
        <f t="shared" si="7"/>
        <v>4962</v>
      </c>
      <c r="AF14" s="1051">
        <v>1519</v>
      </c>
      <c r="AG14" s="1051">
        <v>1552</v>
      </c>
      <c r="AH14" s="1051">
        <v>1647</v>
      </c>
      <c r="AI14" s="1075">
        <f t="shared" si="8"/>
        <v>4718</v>
      </c>
      <c r="AJ14" s="1051">
        <v>1836</v>
      </c>
      <c r="AK14" s="1051">
        <v>1679</v>
      </c>
      <c r="AL14" s="1051">
        <v>1890</v>
      </c>
      <c r="AM14" s="1075">
        <f t="shared" si="9"/>
        <v>5405</v>
      </c>
      <c r="AN14" s="1075">
        <f t="shared" si="10"/>
        <v>34289</v>
      </c>
      <c r="AO14" s="1062" t="str" cm="1">
        <f t="array" ref="AO14">IF(B14="","",IF(SUMPRODUCT(--(D14:AN14&lt;&gt;""),--(D$9:AN$9&lt;&gt;"Total"))&gt;0,"✔",""))</f>
        <v>✔</v>
      </c>
    </row>
    <row r="15" spans="1:41">
      <c r="A15" s="1033"/>
      <c r="B15" s="1074">
        <f>IF(ROWS(B$10:B15)&lt;=CFG_DIAS,CFG_MES+ROWS(B$10:B15)-1,"")</f>
        <v>46271</v>
      </c>
      <c r="C15" s="1062" t="str">
        <f t="shared" si="0"/>
        <v>do</v>
      </c>
      <c r="D15" s="1051">
        <v>1759</v>
      </c>
      <c r="E15" s="1051">
        <v>1514</v>
      </c>
      <c r="F15" s="1051">
        <v>1722</v>
      </c>
      <c r="G15" s="1075">
        <f t="shared" si="1"/>
        <v>4995</v>
      </c>
      <c r="H15" s="1051">
        <v>1689</v>
      </c>
      <c r="I15" s="1051">
        <v>1470</v>
      </c>
      <c r="J15" s="1051">
        <v>1617</v>
      </c>
      <c r="K15" s="1075">
        <f t="shared" si="2"/>
        <v>4776</v>
      </c>
      <c r="L15" s="1051">
        <v>1046</v>
      </c>
      <c r="M15" s="1051">
        <v>1188</v>
      </c>
      <c r="N15" s="1051">
        <v>1327</v>
      </c>
      <c r="O15" s="1075">
        <f t="shared" si="3"/>
        <v>3561</v>
      </c>
      <c r="P15" s="1051">
        <v>0</v>
      </c>
      <c r="Q15" s="1051">
        <v>0</v>
      </c>
      <c r="R15" s="1051">
        <v>0</v>
      </c>
      <c r="S15" s="1075">
        <f t="shared" si="4"/>
        <v>0</v>
      </c>
      <c r="T15" s="1051">
        <v>0</v>
      </c>
      <c r="U15" s="1051">
        <v>0</v>
      </c>
      <c r="V15" s="1051">
        <v>0</v>
      </c>
      <c r="W15" s="1075">
        <f t="shared" si="5"/>
        <v>0</v>
      </c>
      <c r="X15" s="1051">
        <v>1789</v>
      </c>
      <c r="Y15" s="1051">
        <v>1563</v>
      </c>
      <c r="Z15" s="1051">
        <v>1600</v>
      </c>
      <c r="AA15" s="1075">
        <f t="shared" si="6"/>
        <v>4952</v>
      </c>
      <c r="AB15" s="1051">
        <v>1758</v>
      </c>
      <c r="AC15" s="1051">
        <v>1652</v>
      </c>
      <c r="AD15" s="1051">
        <v>1508</v>
      </c>
      <c r="AE15" s="1075">
        <f t="shared" si="7"/>
        <v>4918</v>
      </c>
      <c r="AF15" s="1051">
        <v>1586</v>
      </c>
      <c r="AG15" s="1051">
        <v>1497</v>
      </c>
      <c r="AH15" s="1051">
        <v>1525</v>
      </c>
      <c r="AI15" s="1075">
        <f t="shared" si="8"/>
        <v>4608</v>
      </c>
      <c r="AJ15" s="1051">
        <v>1843</v>
      </c>
      <c r="AK15" s="1051">
        <v>1752</v>
      </c>
      <c r="AL15" s="1051">
        <v>1823</v>
      </c>
      <c r="AM15" s="1075">
        <f t="shared" si="9"/>
        <v>5418</v>
      </c>
      <c r="AN15" s="1075">
        <f t="shared" si="10"/>
        <v>33228</v>
      </c>
      <c r="AO15" s="1062" t="str" cm="1">
        <f t="array" ref="AO15">IF(B15="","",IF(SUMPRODUCT(--(D15:AN15&lt;&gt;""),--(D$9:AN$9&lt;&gt;"Total"))&gt;0,"✔",""))</f>
        <v>✔</v>
      </c>
    </row>
    <row r="16" spans="1:41">
      <c r="A16" s="1033"/>
      <c r="B16" s="1074">
        <f>IF(ROWS(B$10:B16)&lt;=CFG_DIAS,CFG_MES+ROWS(B$10:B16)-1,"")</f>
        <v>46272</v>
      </c>
      <c r="C16" s="1062" t="str">
        <f t="shared" si="0"/>
        <v>lu</v>
      </c>
      <c r="D16" s="1051">
        <v>1782</v>
      </c>
      <c r="E16" s="1051">
        <v>1317</v>
      </c>
      <c r="F16" s="1051">
        <v>1551</v>
      </c>
      <c r="G16" s="1075">
        <f t="shared" si="1"/>
        <v>4650</v>
      </c>
      <c r="H16" s="1051">
        <v>1917</v>
      </c>
      <c r="I16" s="1051">
        <v>1283</v>
      </c>
      <c r="J16" s="1051">
        <v>1444</v>
      </c>
      <c r="K16" s="1075">
        <f t="shared" si="2"/>
        <v>4644</v>
      </c>
      <c r="L16" s="1051">
        <v>1393</v>
      </c>
      <c r="M16" s="1051">
        <v>1210</v>
      </c>
      <c r="N16" s="1051">
        <v>826</v>
      </c>
      <c r="O16" s="1075">
        <f t="shared" si="3"/>
        <v>3429</v>
      </c>
      <c r="P16" s="1051">
        <v>0</v>
      </c>
      <c r="Q16" s="1051">
        <v>0</v>
      </c>
      <c r="R16" s="1051">
        <v>0</v>
      </c>
      <c r="S16" s="1075">
        <f t="shared" si="4"/>
        <v>0</v>
      </c>
      <c r="T16" s="1051">
        <v>420</v>
      </c>
      <c r="U16" s="1051">
        <v>0</v>
      </c>
      <c r="V16" s="1051">
        <v>0</v>
      </c>
      <c r="W16" s="1075">
        <f t="shared" si="5"/>
        <v>420</v>
      </c>
      <c r="X16" s="1051">
        <v>1668</v>
      </c>
      <c r="Y16" s="1051">
        <v>1471</v>
      </c>
      <c r="Z16" s="1051">
        <v>1519</v>
      </c>
      <c r="AA16" s="1075">
        <f t="shared" si="6"/>
        <v>4658</v>
      </c>
      <c r="AB16" s="1051">
        <v>1636</v>
      </c>
      <c r="AC16" s="1051">
        <v>1413</v>
      </c>
      <c r="AD16" s="1051">
        <v>1577</v>
      </c>
      <c r="AE16" s="1075">
        <f t="shared" si="7"/>
        <v>4626</v>
      </c>
      <c r="AF16" s="1051">
        <v>1043</v>
      </c>
      <c r="AG16" s="1051">
        <v>1442</v>
      </c>
      <c r="AH16" s="1051">
        <v>1597</v>
      </c>
      <c r="AI16" s="1075">
        <f t="shared" si="8"/>
        <v>4082</v>
      </c>
      <c r="AJ16" s="1051">
        <v>1765</v>
      </c>
      <c r="AK16" s="1051">
        <v>1673</v>
      </c>
      <c r="AL16" s="1051">
        <v>1897</v>
      </c>
      <c r="AM16" s="1075">
        <f t="shared" si="9"/>
        <v>5335</v>
      </c>
      <c r="AN16" s="1075">
        <f t="shared" si="10"/>
        <v>31844</v>
      </c>
      <c r="AO16" s="1062" t="str" cm="1">
        <f t="array" ref="AO16">IF(B16="","",IF(SUMPRODUCT(--(D16:AN16&lt;&gt;""),--(D$9:AN$9&lt;&gt;"Total"))&gt;0,"✔",""))</f>
        <v>✔</v>
      </c>
    </row>
    <row r="17" spans="1:41">
      <c r="A17" s="1033"/>
      <c r="B17" s="1074">
        <f>IF(ROWS(B$10:B17)&lt;=CFG_DIAS,CFG_MES+ROWS(B$10:B17)-1,"")</f>
        <v>46273</v>
      </c>
      <c r="C17" s="1062" t="str">
        <f t="shared" si="0"/>
        <v>ma</v>
      </c>
      <c r="D17" s="1051">
        <v>1730</v>
      </c>
      <c r="E17" s="1051">
        <v>1612</v>
      </c>
      <c r="F17" s="1051">
        <v>1736</v>
      </c>
      <c r="G17" s="1075">
        <f t="shared" si="1"/>
        <v>5078</v>
      </c>
      <c r="H17" s="1051">
        <v>1695</v>
      </c>
      <c r="I17" s="1051">
        <v>1465</v>
      </c>
      <c r="J17" s="1051">
        <v>1580</v>
      </c>
      <c r="K17" s="1075">
        <f t="shared" si="2"/>
        <v>4740</v>
      </c>
      <c r="L17" s="1051">
        <v>1240</v>
      </c>
      <c r="M17" s="1051">
        <v>1130</v>
      </c>
      <c r="N17" s="1051">
        <v>1200</v>
      </c>
      <c r="O17" s="1075">
        <f t="shared" si="3"/>
        <v>3570</v>
      </c>
      <c r="P17" s="1051">
        <v>0</v>
      </c>
      <c r="Q17" s="1051">
        <v>0</v>
      </c>
      <c r="R17" s="1051">
        <v>0</v>
      </c>
      <c r="S17" s="1075">
        <f t="shared" si="4"/>
        <v>0</v>
      </c>
      <c r="T17" s="1051">
        <v>0</v>
      </c>
      <c r="U17" s="1051">
        <v>655</v>
      </c>
      <c r="V17" s="1051">
        <v>1445</v>
      </c>
      <c r="W17" s="1075">
        <f t="shared" si="5"/>
        <v>2100</v>
      </c>
      <c r="X17" s="1051">
        <v>1558</v>
      </c>
      <c r="Y17" s="1051">
        <v>1472</v>
      </c>
      <c r="Z17" s="1051">
        <v>1435</v>
      </c>
      <c r="AA17" s="1075">
        <f t="shared" si="6"/>
        <v>4465</v>
      </c>
      <c r="AB17" s="1051">
        <v>1652</v>
      </c>
      <c r="AC17" s="1051">
        <v>1732</v>
      </c>
      <c r="AD17" s="1051">
        <v>1676</v>
      </c>
      <c r="AE17" s="1075">
        <f t="shared" si="7"/>
        <v>5060</v>
      </c>
      <c r="AF17" s="1051">
        <v>1643</v>
      </c>
      <c r="AG17" s="1051">
        <v>1659</v>
      </c>
      <c r="AH17" s="1051">
        <v>1587</v>
      </c>
      <c r="AI17" s="1075">
        <f t="shared" si="8"/>
        <v>4889</v>
      </c>
      <c r="AJ17" s="1051">
        <v>1900</v>
      </c>
      <c r="AK17" s="1051">
        <v>1639</v>
      </c>
      <c r="AL17" s="1051">
        <v>1756</v>
      </c>
      <c r="AM17" s="1075">
        <f t="shared" si="9"/>
        <v>5295</v>
      </c>
      <c r="AN17" s="1075">
        <f t="shared" si="10"/>
        <v>35197</v>
      </c>
      <c r="AO17" s="1062" t="str" cm="1">
        <f t="array" ref="AO17">IF(B17="","",IF(SUMPRODUCT(--(D17:AN17&lt;&gt;""),--(D$9:AN$9&lt;&gt;"Total"))&gt;0,"✔",""))</f>
        <v>✔</v>
      </c>
    </row>
    <row r="18" spans="1:41">
      <c r="A18" s="1033"/>
      <c r="B18" s="1074">
        <f>IF(ROWS(B$10:B18)&lt;=CFG_DIAS,CFG_MES+ROWS(B$10:B18)-1,"")</f>
        <v>46274</v>
      </c>
      <c r="C18" s="1062" t="str">
        <f t="shared" si="0"/>
        <v>mi</v>
      </c>
      <c r="D18" s="1051">
        <v>1477</v>
      </c>
      <c r="E18" s="1051">
        <v>1645</v>
      </c>
      <c r="F18" s="1051">
        <v>1625</v>
      </c>
      <c r="G18" s="1075">
        <f t="shared" si="1"/>
        <v>4747</v>
      </c>
      <c r="H18" s="1051">
        <v>1575</v>
      </c>
      <c r="I18" s="1051">
        <v>1420</v>
      </c>
      <c r="J18" s="1051">
        <v>1425</v>
      </c>
      <c r="K18" s="1075">
        <f t="shared" si="2"/>
        <v>4420</v>
      </c>
      <c r="L18" s="1051">
        <v>1395</v>
      </c>
      <c r="M18" s="1051">
        <v>1328</v>
      </c>
      <c r="N18" s="1051">
        <v>1477</v>
      </c>
      <c r="O18" s="1075">
        <f t="shared" si="3"/>
        <v>4200</v>
      </c>
      <c r="P18" s="1051">
        <v>259</v>
      </c>
      <c r="Q18" s="1051">
        <v>0</v>
      </c>
      <c r="R18" s="1051">
        <v>0</v>
      </c>
      <c r="S18" s="1075">
        <f t="shared" si="4"/>
        <v>259</v>
      </c>
      <c r="T18" s="1051">
        <v>1281</v>
      </c>
      <c r="U18" s="1051">
        <v>1047</v>
      </c>
      <c r="V18" s="1051">
        <v>1539</v>
      </c>
      <c r="W18" s="1075">
        <f t="shared" si="5"/>
        <v>3867</v>
      </c>
      <c r="X18" s="1051">
        <v>1263</v>
      </c>
      <c r="Y18" s="1051">
        <v>1413</v>
      </c>
      <c r="Z18" s="1051">
        <v>1445</v>
      </c>
      <c r="AA18" s="1075">
        <f t="shared" si="6"/>
        <v>4121</v>
      </c>
      <c r="AB18" s="1051">
        <v>1556</v>
      </c>
      <c r="AC18" s="1051">
        <v>1596</v>
      </c>
      <c r="AD18" s="1051">
        <v>1692</v>
      </c>
      <c r="AE18" s="1075">
        <f t="shared" si="7"/>
        <v>4844</v>
      </c>
      <c r="AF18" s="1051">
        <v>1562</v>
      </c>
      <c r="AG18" s="1051">
        <v>1730</v>
      </c>
      <c r="AH18" s="1051">
        <v>1692</v>
      </c>
      <c r="AI18" s="1075">
        <f t="shared" si="8"/>
        <v>4984</v>
      </c>
      <c r="AJ18" s="1051">
        <v>1566</v>
      </c>
      <c r="AK18" s="1051">
        <v>1601</v>
      </c>
      <c r="AL18" s="1051">
        <v>1810</v>
      </c>
      <c r="AM18" s="1075">
        <f t="shared" si="9"/>
        <v>4977</v>
      </c>
      <c r="AN18" s="1075">
        <f t="shared" si="10"/>
        <v>36419</v>
      </c>
      <c r="AO18" s="1062" t="str" cm="1">
        <f t="array" ref="AO18">IF(B18="","",IF(SUMPRODUCT(--(D18:AN18&lt;&gt;""),--(D$9:AN$9&lt;&gt;"Total"))&gt;0,"✔",""))</f>
        <v>✔</v>
      </c>
    </row>
    <row r="19" spans="1:41">
      <c r="A19" s="1033"/>
      <c r="B19" s="1074">
        <f>IF(ROWS(B$10:B19)&lt;=CFG_DIAS,CFG_MES+ROWS(B$10:B19)-1,"")</f>
        <v>46275</v>
      </c>
      <c r="C19" s="1062" t="str">
        <f t="shared" si="0"/>
        <v>ju</v>
      </c>
      <c r="D19" s="1051">
        <v>1775</v>
      </c>
      <c r="E19" s="1051">
        <v>1612</v>
      </c>
      <c r="F19" s="1051">
        <v>1585</v>
      </c>
      <c r="G19" s="1075">
        <f t="shared" si="1"/>
        <v>4972</v>
      </c>
      <c r="H19" s="1051">
        <v>1645</v>
      </c>
      <c r="I19" s="1051">
        <v>1546</v>
      </c>
      <c r="J19" s="1051">
        <v>1519</v>
      </c>
      <c r="K19" s="1075">
        <f t="shared" si="2"/>
        <v>4710</v>
      </c>
      <c r="L19" s="1051">
        <v>1680</v>
      </c>
      <c r="M19" s="1051">
        <v>1589</v>
      </c>
      <c r="N19" s="1051">
        <v>1561</v>
      </c>
      <c r="O19" s="1075">
        <f t="shared" si="3"/>
        <v>4830</v>
      </c>
      <c r="P19" s="1051">
        <v>498</v>
      </c>
      <c r="Q19" s="1051">
        <v>1395</v>
      </c>
      <c r="R19" s="1051">
        <v>215</v>
      </c>
      <c r="S19" s="1075">
        <f t="shared" si="4"/>
        <v>2108</v>
      </c>
      <c r="T19" s="1051">
        <v>1582</v>
      </c>
      <c r="U19" s="1051">
        <v>1579</v>
      </c>
      <c r="V19" s="1051">
        <v>1546</v>
      </c>
      <c r="W19" s="1075">
        <f t="shared" si="5"/>
        <v>4707</v>
      </c>
      <c r="X19" s="1051">
        <v>1423</v>
      </c>
      <c r="Y19" s="1051">
        <v>1425</v>
      </c>
      <c r="Z19" s="1051">
        <v>1538</v>
      </c>
      <c r="AA19" s="1075">
        <f t="shared" si="6"/>
        <v>4386</v>
      </c>
      <c r="AB19" s="1051">
        <v>1662</v>
      </c>
      <c r="AC19" s="1051">
        <v>1660</v>
      </c>
      <c r="AD19" s="1051">
        <v>1621</v>
      </c>
      <c r="AE19" s="1075">
        <f t="shared" si="7"/>
        <v>4943</v>
      </c>
      <c r="AF19" s="1051">
        <v>555</v>
      </c>
      <c r="AG19" s="1051">
        <v>0</v>
      </c>
      <c r="AH19" s="1051">
        <v>1341</v>
      </c>
      <c r="AI19" s="1075">
        <f t="shared" si="8"/>
        <v>1896</v>
      </c>
      <c r="AJ19" s="1051">
        <v>0</v>
      </c>
      <c r="AK19" s="1051">
        <v>0</v>
      </c>
      <c r="AL19" s="1051">
        <v>1541</v>
      </c>
      <c r="AM19" s="1075">
        <f t="shared" si="9"/>
        <v>1541</v>
      </c>
      <c r="AN19" s="1075">
        <f t="shared" si="10"/>
        <v>34093</v>
      </c>
      <c r="AO19" s="1062" t="str" cm="1">
        <f t="array" ref="AO19">IF(B19="","",IF(SUMPRODUCT(--(D19:AN19&lt;&gt;""),--(D$9:AN$9&lt;&gt;"Total"))&gt;0,"✔",""))</f>
        <v>✔</v>
      </c>
    </row>
    <row r="20" spans="1:41">
      <c r="A20" s="1033"/>
      <c r="B20" s="1074">
        <f>IF(ROWS(B$10:B20)&lt;=CFG_DIAS,CFG_MES+ROWS(B$10:B20)-1,"")</f>
        <v>46276</v>
      </c>
      <c r="C20" s="1062" t="str">
        <f t="shared" si="0"/>
        <v>vi</v>
      </c>
      <c r="D20" s="1051">
        <v>1813</v>
      </c>
      <c r="E20" s="1051">
        <v>1671</v>
      </c>
      <c r="F20" s="1051">
        <v>1429</v>
      </c>
      <c r="G20" s="1075">
        <f t="shared" si="1"/>
        <v>4913</v>
      </c>
      <c r="H20" s="1051">
        <v>1656</v>
      </c>
      <c r="I20" s="1051">
        <v>1427</v>
      </c>
      <c r="J20" s="1051">
        <v>1397</v>
      </c>
      <c r="K20" s="1075">
        <f t="shared" si="2"/>
        <v>4480</v>
      </c>
      <c r="L20" s="1051">
        <v>1695</v>
      </c>
      <c r="M20" s="1051">
        <v>1553</v>
      </c>
      <c r="N20" s="1051">
        <v>1352</v>
      </c>
      <c r="O20" s="1075">
        <f t="shared" si="3"/>
        <v>4600</v>
      </c>
      <c r="P20" s="1051">
        <v>457</v>
      </c>
      <c r="Q20" s="1051">
        <v>0</v>
      </c>
      <c r="R20" s="1051">
        <v>0</v>
      </c>
      <c r="S20" s="1075">
        <f t="shared" si="4"/>
        <v>457</v>
      </c>
      <c r="T20" s="1051">
        <v>1501</v>
      </c>
      <c r="U20" s="1051">
        <v>1566</v>
      </c>
      <c r="V20" s="1051">
        <v>1279</v>
      </c>
      <c r="W20" s="1075">
        <f t="shared" si="5"/>
        <v>4346</v>
      </c>
      <c r="X20" s="1051">
        <v>1548</v>
      </c>
      <c r="Y20" s="1051">
        <v>1558</v>
      </c>
      <c r="Z20" s="1051">
        <v>1232</v>
      </c>
      <c r="AA20" s="1075">
        <f t="shared" si="6"/>
        <v>4338</v>
      </c>
      <c r="AB20" s="1051">
        <v>1415</v>
      </c>
      <c r="AC20" s="1051">
        <v>1748</v>
      </c>
      <c r="AD20" s="1051">
        <v>1270</v>
      </c>
      <c r="AE20" s="1075">
        <f t="shared" si="7"/>
        <v>4433</v>
      </c>
      <c r="AF20" s="1051">
        <v>1226</v>
      </c>
      <c r="AG20" s="1051">
        <v>1600</v>
      </c>
      <c r="AH20" s="1051">
        <v>1274</v>
      </c>
      <c r="AI20" s="1075">
        <f t="shared" si="8"/>
        <v>4100</v>
      </c>
      <c r="AJ20" s="1051">
        <v>1468</v>
      </c>
      <c r="AK20" s="1051">
        <v>2017</v>
      </c>
      <c r="AL20" s="1051">
        <v>1514</v>
      </c>
      <c r="AM20" s="1075">
        <f t="shared" si="9"/>
        <v>4999</v>
      </c>
      <c r="AN20" s="1075">
        <f t="shared" si="10"/>
        <v>36666</v>
      </c>
      <c r="AO20" s="1062" t="str" cm="1">
        <f t="array" ref="AO20">IF(B20="","",IF(SUMPRODUCT(--(D20:AN20&lt;&gt;""),--(D$9:AN$9&lt;&gt;"Total"))&gt;0,"✔",""))</f>
        <v>✔</v>
      </c>
    </row>
    <row r="21" spans="1:41">
      <c r="A21" s="1033"/>
      <c r="B21" s="1074">
        <f>IF(ROWS(B$10:B21)&lt;=CFG_DIAS,CFG_MES+ROWS(B$10:B21)-1,"")</f>
        <v>46277</v>
      </c>
      <c r="C21" s="1062" t="str">
        <f t="shared" si="0"/>
        <v>sá</v>
      </c>
      <c r="D21" s="1051">
        <v>0</v>
      </c>
      <c r="E21" s="1051">
        <v>675</v>
      </c>
      <c r="F21" s="1051">
        <v>1502</v>
      </c>
      <c r="G21" s="1075">
        <f t="shared" si="1"/>
        <v>2177</v>
      </c>
      <c r="H21" s="1051">
        <v>0</v>
      </c>
      <c r="I21" s="1051">
        <v>590</v>
      </c>
      <c r="J21" s="1051">
        <v>1260</v>
      </c>
      <c r="K21" s="1075">
        <f t="shared" si="2"/>
        <v>1850</v>
      </c>
      <c r="L21" s="1051">
        <v>0</v>
      </c>
      <c r="M21" s="1051">
        <v>520</v>
      </c>
      <c r="N21" s="1051">
        <v>1170</v>
      </c>
      <c r="O21" s="1075">
        <f t="shared" si="3"/>
        <v>1690</v>
      </c>
      <c r="P21" s="1051">
        <v>0</v>
      </c>
      <c r="Q21" s="1051">
        <v>0</v>
      </c>
      <c r="R21" s="1051">
        <v>0</v>
      </c>
      <c r="S21" s="1075">
        <f t="shared" si="4"/>
        <v>0</v>
      </c>
      <c r="T21" s="1051">
        <v>0</v>
      </c>
      <c r="U21" s="1051">
        <v>840</v>
      </c>
      <c r="V21" s="1051">
        <v>1540</v>
      </c>
      <c r="W21" s="1075">
        <f t="shared" si="5"/>
        <v>2380</v>
      </c>
      <c r="X21" s="1051">
        <v>0</v>
      </c>
      <c r="Y21" s="1051">
        <v>863</v>
      </c>
      <c r="Z21" s="1051">
        <v>1487</v>
      </c>
      <c r="AA21" s="1075">
        <f t="shared" si="6"/>
        <v>2350</v>
      </c>
      <c r="AB21" s="1051">
        <v>0</v>
      </c>
      <c r="AC21" s="1051">
        <v>896</v>
      </c>
      <c r="AD21" s="1051">
        <v>1583</v>
      </c>
      <c r="AE21" s="1075">
        <f t="shared" si="7"/>
        <v>2479</v>
      </c>
      <c r="AF21" s="1051">
        <v>0</v>
      </c>
      <c r="AG21" s="1051">
        <v>891</v>
      </c>
      <c r="AH21" s="1051">
        <v>1539</v>
      </c>
      <c r="AI21" s="1075">
        <f t="shared" si="8"/>
        <v>2430</v>
      </c>
      <c r="AJ21" s="1051">
        <v>0</v>
      </c>
      <c r="AK21" s="1051">
        <v>829</v>
      </c>
      <c r="AL21" s="1051">
        <v>1904</v>
      </c>
      <c r="AM21" s="1075">
        <f t="shared" si="9"/>
        <v>2733</v>
      </c>
      <c r="AN21" s="1075">
        <f t="shared" si="10"/>
        <v>18089</v>
      </c>
      <c r="AO21" s="1062" t="str" cm="1">
        <f t="array" ref="AO21">IF(B21="","",IF(SUMPRODUCT(--(D21:AN21&lt;&gt;""),--(D$9:AN$9&lt;&gt;"Total"))&gt;0,"✔",""))</f>
        <v>✔</v>
      </c>
    </row>
    <row r="22" spans="1:41">
      <c r="A22" s="1033"/>
      <c r="B22" s="1074">
        <f>IF(ROWS(B$10:B22)&lt;=CFG_DIAS,CFG_MES+ROWS(B$10:B22)-1,"")</f>
        <v>46278</v>
      </c>
      <c r="C22" s="1062" t="str">
        <f t="shared" si="0"/>
        <v>do</v>
      </c>
      <c r="D22" s="1051">
        <v>1460</v>
      </c>
      <c r="E22" s="1051">
        <v>1674</v>
      </c>
      <c r="F22" s="1051">
        <v>1164</v>
      </c>
      <c r="G22" s="1075">
        <f t="shared" si="1"/>
        <v>4298</v>
      </c>
      <c r="H22" s="1051">
        <v>1550</v>
      </c>
      <c r="I22" s="1051">
        <v>1583</v>
      </c>
      <c r="J22" s="1051">
        <v>1497</v>
      </c>
      <c r="K22" s="1075">
        <f t="shared" si="2"/>
        <v>4630</v>
      </c>
      <c r="L22" s="1051">
        <v>1460</v>
      </c>
      <c r="M22" s="1051">
        <v>690</v>
      </c>
      <c r="N22" s="1051">
        <v>310</v>
      </c>
      <c r="O22" s="1075">
        <f t="shared" si="3"/>
        <v>2460</v>
      </c>
      <c r="P22" s="1051">
        <v>0</v>
      </c>
      <c r="Q22" s="1051">
        <v>0</v>
      </c>
      <c r="R22" s="1051">
        <v>1178</v>
      </c>
      <c r="S22" s="1075">
        <f t="shared" si="4"/>
        <v>1178</v>
      </c>
      <c r="T22" s="1051">
        <v>1588</v>
      </c>
      <c r="U22" s="1051">
        <v>1530</v>
      </c>
      <c r="V22" s="1051">
        <v>1592</v>
      </c>
      <c r="W22" s="1075">
        <f t="shared" si="5"/>
        <v>4710</v>
      </c>
      <c r="X22" s="1051">
        <v>1470</v>
      </c>
      <c r="Y22" s="1051">
        <v>1399</v>
      </c>
      <c r="Z22" s="1051">
        <v>1561</v>
      </c>
      <c r="AA22" s="1075">
        <f t="shared" si="6"/>
        <v>4430</v>
      </c>
      <c r="AB22" s="1051">
        <v>1542</v>
      </c>
      <c r="AC22" s="1051">
        <v>1447</v>
      </c>
      <c r="AD22" s="1051">
        <v>1422</v>
      </c>
      <c r="AE22" s="1075">
        <f t="shared" si="7"/>
        <v>4411</v>
      </c>
      <c r="AF22" s="1051">
        <v>1502</v>
      </c>
      <c r="AG22" s="1051">
        <v>1496</v>
      </c>
      <c r="AH22" s="1051">
        <v>1562</v>
      </c>
      <c r="AI22" s="1075">
        <f t="shared" si="8"/>
        <v>4560</v>
      </c>
      <c r="AJ22" s="1051">
        <v>1885</v>
      </c>
      <c r="AK22" s="1051">
        <v>1569</v>
      </c>
      <c r="AL22" s="1051">
        <v>1949</v>
      </c>
      <c r="AM22" s="1075">
        <f t="shared" si="9"/>
        <v>5403</v>
      </c>
      <c r="AN22" s="1075">
        <f t="shared" si="10"/>
        <v>36080</v>
      </c>
      <c r="AO22" s="1062" t="str" cm="1">
        <f t="array" ref="AO22">IF(B22="","",IF(SUMPRODUCT(--(D22:AN22&lt;&gt;""),--(D$9:AN$9&lt;&gt;"Total"))&gt;0,"✔",""))</f>
        <v>✔</v>
      </c>
    </row>
    <row r="23" spans="1:41">
      <c r="A23" s="1033"/>
      <c r="B23" s="1074">
        <f>IF(ROWS(B$10:B23)&lt;=CFG_DIAS,CFG_MES+ROWS(B$10:B23)-1,"")</f>
        <v>46279</v>
      </c>
      <c r="C23" s="1062" t="str">
        <f t="shared" si="0"/>
        <v>lu</v>
      </c>
      <c r="D23" s="1051">
        <v>0</v>
      </c>
      <c r="E23" s="1051">
        <v>348</v>
      </c>
      <c r="F23" s="1051">
        <v>1619</v>
      </c>
      <c r="G23" s="1075">
        <f t="shared" si="1"/>
        <v>1967</v>
      </c>
      <c r="H23" s="1051">
        <v>1480</v>
      </c>
      <c r="I23" s="1051">
        <v>930</v>
      </c>
      <c r="J23" s="1051">
        <v>0</v>
      </c>
      <c r="K23" s="1075">
        <f t="shared" si="2"/>
        <v>2410</v>
      </c>
      <c r="L23" s="1051">
        <v>1320</v>
      </c>
      <c r="M23" s="1051">
        <v>1338</v>
      </c>
      <c r="N23" s="1051">
        <v>1572</v>
      </c>
      <c r="O23" s="1075">
        <f t="shared" si="3"/>
        <v>4230</v>
      </c>
      <c r="P23" s="1051">
        <v>1205</v>
      </c>
      <c r="Q23" s="1051">
        <v>1281</v>
      </c>
      <c r="R23" s="1051">
        <v>1170</v>
      </c>
      <c r="S23" s="1075">
        <f t="shared" si="4"/>
        <v>3656</v>
      </c>
      <c r="T23" s="1051">
        <v>1542</v>
      </c>
      <c r="U23" s="1051">
        <v>1370</v>
      </c>
      <c r="V23" s="1051">
        <v>1459</v>
      </c>
      <c r="W23" s="1075">
        <f t="shared" si="5"/>
        <v>4371</v>
      </c>
      <c r="X23" s="1051">
        <v>1475</v>
      </c>
      <c r="Y23" s="1051">
        <v>1369</v>
      </c>
      <c r="Z23" s="1051">
        <v>1434</v>
      </c>
      <c r="AA23" s="1075">
        <f t="shared" si="6"/>
        <v>4278</v>
      </c>
      <c r="AB23" s="1051">
        <v>1560</v>
      </c>
      <c r="AC23" s="1051">
        <v>1390</v>
      </c>
      <c r="AD23" s="1051">
        <v>1433</v>
      </c>
      <c r="AE23" s="1075">
        <f t="shared" si="7"/>
        <v>4383</v>
      </c>
      <c r="AF23" s="1051">
        <v>1406</v>
      </c>
      <c r="AG23" s="1051">
        <v>1378</v>
      </c>
      <c r="AH23" s="1051">
        <v>1443</v>
      </c>
      <c r="AI23" s="1075">
        <f t="shared" si="8"/>
        <v>4227</v>
      </c>
      <c r="AJ23" s="1051">
        <v>1732</v>
      </c>
      <c r="AK23" s="1051">
        <v>1861</v>
      </c>
      <c r="AL23" s="1051">
        <v>1837</v>
      </c>
      <c r="AM23" s="1075">
        <f t="shared" si="9"/>
        <v>5430</v>
      </c>
      <c r="AN23" s="1075">
        <f t="shared" si="10"/>
        <v>34952</v>
      </c>
      <c r="AO23" s="1062" t="str" cm="1">
        <f t="array" ref="AO23">IF(B23="","",IF(SUMPRODUCT(--(D23:AN23&lt;&gt;""),--(D$9:AN$9&lt;&gt;"Total"))&gt;0,"✔",""))</f>
        <v>✔</v>
      </c>
    </row>
    <row r="24" spans="1:41">
      <c r="A24" s="1033"/>
      <c r="B24" s="1074">
        <f>IF(ROWS(B$10:B24)&lt;=CFG_DIAS,CFG_MES+ROWS(B$10:B24)-1,"")</f>
        <v>46280</v>
      </c>
      <c r="C24" s="1062" t="str">
        <f t="shared" si="0"/>
        <v>ma</v>
      </c>
      <c r="D24" s="1051">
        <v>1620</v>
      </c>
      <c r="E24" s="1051">
        <v>1657</v>
      </c>
      <c r="F24" s="1051">
        <v>1600</v>
      </c>
      <c r="G24" s="1075">
        <f t="shared" si="1"/>
        <v>4877</v>
      </c>
      <c r="H24" s="1051">
        <v>993</v>
      </c>
      <c r="I24" s="1051">
        <v>1516</v>
      </c>
      <c r="J24" s="1051">
        <v>1650</v>
      </c>
      <c r="K24" s="1075">
        <f t="shared" si="2"/>
        <v>4159</v>
      </c>
      <c r="L24" s="1051">
        <v>0</v>
      </c>
      <c r="M24" s="1051">
        <v>0</v>
      </c>
      <c r="N24" s="1051">
        <v>0</v>
      </c>
      <c r="O24" s="1075">
        <f t="shared" si="3"/>
        <v>0</v>
      </c>
      <c r="P24" s="1051">
        <v>209</v>
      </c>
      <c r="Q24" s="1051">
        <v>0</v>
      </c>
      <c r="R24" s="1051">
        <v>0</v>
      </c>
      <c r="S24" s="1075">
        <f t="shared" si="4"/>
        <v>209</v>
      </c>
      <c r="T24" s="1051">
        <v>1583</v>
      </c>
      <c r="U24" s="1051">
        <v>1603</v>
      </c>
      <c r="V24" s="1051">
        <v>1409</v>
      </c>
      <c r="W24" s="1075">
        <f t="shared" si="5"/>
        <v>4595</v>
      </c>
      <c r="X24" s="1051">
        <v>1490</v>
      </c>
      <c r="Y24" s="1051">
        <v>1453</v>
      </c>
      <c r="Z24" s="1051">
        <v>1343</v>
      </c>
      <c r="AA24" s="1075">
        <f t="shared" si="6"/>
        <v>4286</v>
      </c>
      <c r="AB24" s="1051">
        <v>1548</v>
      </c>
      <c r="AC24" s="1051">
        <v>1650</v>
      </c>
      <c r="AD24" s="1051">
        <v>1385</v>
      </c>
      <c r="AE24" s="1075">
        <f t="shared" si="7"/>
        <v>4583</v>
      </c>
      <c r="AF24" s="1051">
        <v>1138</v>
      </c>
      <c r="AG24" s="1051">
        <v>535</v>
      </c>
      <c r="AH24" s="1051">
        <v>700</v>
      </c>
      <c r="AI24" s="1075">
        <f t="shared" si="8"/>
        <v>2373</v>
      </c>
      <c r="AJ24" s="1051">
        <v>1594</v>
      </c>
      <c r="AK24" s="1051">
        <v>1870</v>
      </c>
      <c r="AL24" s="1051">
        <v>1738</v>
      </c>
      <c r="AM24" s="1075">
        <f t="shared" si="9"/>
        <v>5202</v>
      </c>
      <c r="AN24" s="1075">
        <f t="shared" si="10"/>
        <v>30284</v>
      </c>
      <c r="AO24" s="1062" t="str" cm="1">
        <f t="array" ref="AO24">IF(B24="","",IF(SUMPRODUCT(--(D24:AN24&lt;&gt;""),--(D$9:AN$9&lt;&gt;"Total"))&gt;0,"✔",""))</f>
        <v>✔</v>
      </c>
    </row>
    <row r="25" spans="1:41">
      <c r="A25" s="1033"/>
      <c r="B25" s="1074">
        <f>IF(ROWS(B$10:B25)&lt;=CFG_DIAS,CFG_MES+ROWS(B$10:B25)-1,"")</f>
        <v>46281</v>
      </c>
      <c r="C25" s="1062" t="str">
        <f t="shared" si="0"/>
        <v>mi</v>
      </c>
      <c r="D25" s="1051">
        <v>1795</v>
      </c>
      <c r="E25" s="1051">
        <v>1405</v>
      </c>
      <c r="F25" s="1051">
        <v>1729</v>
      </c>
      <c r="G25" s="1075">
        <f t="shared" si="1"/>
        <v>4929</v>
      </c>
      <c r="H25" s="1051">
        <v>1801</v>
      </c>
      <c r="I25" s="1051">
        <v>1391</v>
      </c>
      <c r="J25" s="1051">
        <v>1604</v>
      </c>
      <c r="K25" s="1075">
        <f t="shared" si="2"/>
        <v>4796</v>
      </c>
      <c r="L25" s="1051">
        <v>0</v>
      </c>
      <c r="M25" s="1051">
        <v>0</v>
      </c>
      <c r="N25" s="1051">
        <v>0</v>
      </c>
      <c r="O25" s="1075">
        <f t="shared" si="3"/>
        <v>0</v>
      </c>
      <c r="P25" s="1051">
        <v>0</v>
      </c>
      <c r="Q25" s="1051">
        <v>0</v>
      </c>
      <c r="R25" s="1051">
        <v>0</v>
      </c>
      <c r="S25" s="1075">
        <f t="shared" si="4"/>
        <v>0</v>
      </c>
      <c r="T25" s="1051">
        <v>1541</v>
      </c>
      <c r="U25" s="1051">
        <v>1493</v>
      </c>
      <c r="V25" s="1051">
        <v>1523</v>
      </c>
      <c r="W25" s="1075">
        <f t="shared" si="5"/>
        <v>4557</v>
      </c>
      <c r="X25" s="1051">
        <v>1448</v>
      </c>
      <c r="Y25" s="1051">
        <v>1479</v>
      </c>
      <c r="Z25" s="1051">
        <v>1471</v>
      </c>
      <c r="AA25" s="1075">
        <f t="shared" si="6"/>
        <v>4398</v>
      </c>
      <c r="AB25" s="1051">
        <v>1560</v>
      </c>
      <c r="AC25" s="1051">
        <v>1446</v>
      </c>
      <c r="AD25" s="1051">
        <v>948</v>
      </c>
      <c r="AE25" s="1075">
        <f t="shared" si="7"/>
        <v>3954</v>
      </c>
      <c r="AF25" s="1051">
        <v>1503</v>
      </c>
      <c r="AG25" s="1051">
        <v>1486</v>
      </c>
      <c r="AH25" s="1051">
        <v>1459</v>
      </c>
      <c r="AI25" s="1075">
        <f t="shared" si="8"/>
        <v>4448</v>
      </c>
      <c r="AJ25" s="1051">
        <v>1623</v>
      </c>
      <c r="AK25" s="1051">
        <v>1712</v>
      </c>
      <c r="AL25" s="1051">
        <v>1785</v>
      </c>
      <c r="AM25" s="1075">
        <f t="shared" si="9"/>
        <v>5120</v>
      </c>
      <c r="AN25" s="1075">
        <f t="shared" si="10"/>
        <v>32202</v>
      </c>
      <c r="AO25" s="1062" t="str" cm="1">
        <f t="array" ref="AO25">IF(B25="","",IF(SUMPRODUCT(--(D25:AN25&lt;&gt;""),--(D$9:AN$9&lt;&gt;"Total"))&gt;0,"✔",""))</f>
        <v>✔</v>
      </c>
    </row>
    <row r="26" spans="1:41">
      <c r="A26" s="1033"/>
      <c r="B26" s="1074">
        <f>IF(ROWS(B$10:B26)&lt;=CFG_DIAS,CFG_MES+ROWS(B$10:B26)-1,"")</f>
        <v>46282</v>
      </c>
      <c r="C26" s="1062" t="str">
        <f t="shared" si="0"/>
        <v>ju</v>
      </c>
      <c r="D26" s="1051">
        <v>1602</v>
      </c>
      <c r="E26" s="1051">
        <v>1743</v>
      </c>
      <c r="F26" s="1051">
        <v>1629</v>
      </c>
      <c r="G26" s="1075">
        <f t="shared" si="1"/>
        <v>4974</v>
      </c>
      <c r="H26" s="1051">
        <v>1595</v>
      </c>
      <c r="I26" s="1051">
        <v>1687</v>
      </c>
      <c r="J26" s="1051">
        <v>1513</v>
      </c>
      <c r="K26" s="1075">
        <f t="shared" si="2"/>
        <v>4795</v>
      </c>
      <c r="L26" s="1051">
        <v>0</v>
      </c>
      <c r="M26" s="1051">
        <v>0</v>
      </c>
      <c r="N26" s="1051">
        <v>410</v>
      </c>
      <c r="O26" s="1075">
        <f t="shared" si="3"/>
        <v>410</v>
      </c>
      <c r="P26" s="1051">
        <v>0</v>
      </c>
      <c r="Q26" s="1051">
        <v>0</v>
      </c>
      <c r="R26" s="1051">
        <v>99</v>
      </c>
      <c r="S26" s="1075">
        <f t="shared" si="4"/>
        <v>99</v>
      </c>
      <c r="T26" s="1051">
        <v>1510</v>
      </c>
      <c r="U26" s="1051">
        <v>1523</v>
      </c>
      <c r="V26" s="1051">
        <v>1500</v>
      </c>
      <c r="W26" s="1075">
        <f t="shared" si="5"/>
        <v>4533</v>
      </c>
      <c r="X26" s="1051">
        <v>1525</v>
      </c>
      <c r="Y26" s="1051">
        <v>1538</v>
      </c>
      <c r="Z26" s="1051">
        <v>1457</v>
      </c>
      <c r="AA26" s="1075">
        <f t="shared" si="6"/>
        <v>4520</v>
      </c>
      <c r="AB26" s="1051">
        <v>0</v>
      </c>
      <c r="AC26" s="1051">
        <v>0</v>
      </c>
      <c r="AD26" s="1051">
        <v>0</v>
      </c>
      <c r="AE26" s="1075">
        <f t="shared" si="7"/>
        <v>0</v>
      </c>
      <c r="AF26" s="1051">
        <v>1504</v>
      </c>
      <c r="AG26" s="1051">
        <v>1514</v>
      </c>
      <c r="AH26" s="1051">
        <v>1480</v>
      </c>
      <c r="AI26" s="1075">
        <f t="shared" si="8"/>
        <v>4498</v>
      </c>
      <c r="AJ26" s="1051">
        <v>1568</v>
      </c>
      <c r="AK26" s="1051">
        <v>1836</v>
      </c>
      <c r="AL26" s="1051">
        <v>1797</v>
      </c>
      <c r="AM26" s="1075">
        <f t="shared" si="9"/>
        <v>5201</v>
      </c>
      <c r="AN26" s="1075">
        <f t="shared" si="10"/>
        <v>29030</v>
      </c>
      <c r="AO26" s="1062" t="str" cm="1">
        <f t="array" ref="AO26">IF(B26="","",IF(SUMPRODUCT(--(D26:AN26&lt;&gt;""),--(D$9:AN$9&lt;&gt;"Total"))&gt;0,"✔",""))</f>
        <v>✔</v>
      </c>
    </row>
    <row r="27" spans="1:41">
      <c r="A27" s="1033"/>
      <c r="B27" s="1074">
        <f>IF(ROWS(B$10:B27)&lt;=CFG_DIAS,CFG_MES+ROWS(B$10:B27)-1,"")</f>
        <v>46283</v>
      </c>
      <c r="C27" s="1062" t="str">
        <f t="shared" si="0"/>
        <v>vi</v>
      </c>
      <c r="D27" s="1051">
        <v>1539</v>
      </c>
      <c r="E27" s="1051">
        <v>1567</v>
      </c>
      <c r="F27" s="1051">
        <v>1717</v>
      </c>
      <c r="G27" s="1075">
        <f t="shared" si="1"/>
        <v>4823</v>
      </c>
      <c r="H27" s="1051">
        <v>1642</v>
      </c>
      <c r="I27" s="1051">
        <v>1623</v>
      </c>
      <c r="J27" s="1051">
        <v>1685</v>
      </c>
      <c r="K27" s="1075">
        <f t="shared" si="2"/>
        <v>4950</v>
      </c>
      <c r="L27" s="1051">
        <v>0</v>
      </c>
      <c r="M27" s="1051">
        <v>0</v>
      </c>
      <c r="N27" s="1051">
        <v>0</v>
      </c>
      <c r="O27" s="1075">
        <f t="shared" si="3"/>
        <v>0</v>
      </c>
      <c r="P27" s="1051">
        <v>965</v>
      </c>
      <c r="Q27" s="1051">
        <v>331</v>
      </c>
      <c r="R27" s="1051">
        <v>1290</v>
      </c>
      <c r="S27" s="1075">
        <f t="shared" si="4"/>
        <v>2586</v>
      </c>
      <c r="T27" s="1051">
        <v>1599</v>
      </c>
      <c r="U27" s="1051">
        <v>1532</v>
      </c>
      <c r="V27" s="1051">
        <v>1689</v>
      </c>
      <c r="W27" s="1075">
        <f t="shared" si="5"/>
        <v>4820</v>
      </c>
      <c r="X27" s="1051">
        <v>1060</v>
      </c>
      <c r="Y27" s="1051">
        <v>1457</v>
      </c>
      <c r="Z27" s="1051">
        <v>1644</v>
      </c>
      <c r="AA27" s="1075">
        <f t="shared" si="6"/>
        <v>4161</v>
      </c>
      <c r="AB27" s="1051">
        <v>0</v>
      </c>
      <c r="AC27" s="1051">
        <v>0</v>
      </c>
      <c r="AD27" s="1051">
        <v>0</v>
      </c>
      <c r="AE27" s="1075">
        <f t="shared" si="7"/>
        <v>0</v>
      </c>
      <c r="AF27" s="1051">
        <v>1687</v>
      </c>
      <c r="AG27" s="1051">
        <v>1498</v>
      </c>
      <c r="AH27" s="1051">
        <v>1654</v>
      </c>
      <c r="AI27" s="1075">
        <f t="shared" si="8"/>
        <v>4839</v>
      </c>
      <c r="AJ27" s="1051">
        <v>1589</v>
      </c>
      <c r="AK27" s="1051">
        <v>1775</v>
      </c>
      <c r="AL27" s="1051">
        <v>1836</v>
      </c>
      <c r="AM27" s="1075">
        <f t="shared" si="9"/>
        <v>5200</v>
      </c>
      <c r="AN27" s="1075">
        <f t="shared" si="10"/>
        <v>31379</v>
      </c>
      <c r="AO27" s="1062" t="str" cm="1">
        <f t="array" ref="AO27">IF(B27="","",IF(SUMPRODUCT(--(D27:AN27&lt;&gt;""),--(D$9:AN$9&lt;&gt;"Total"))&gt;0,"✔",""))</f>
        <v>✔</v>
      </c>
    </row>
    <row r="28" spans="1:41">
      <c r="A28" s="1033"/>
      <c r="B28" s="1074">
        <f>IF(ROWS(B$10:B28)&lt;=CFG_DIAS,CFG_MES+ROWS(B$10:B28)-1,"")</f>
        <v>46284</v>
      </c>
      <c r="C28" s="1062" t="str">
        <f t="shared" si="0"/>
        <v>sá</v>
      </c>
      <c r="D28" s="1051">
        <v>1598</v>
      </c>
      <c r="E28" s="1051">
        <v>1607</v>
      </c>
      <c r="F28" s="1051">
        <v>1720</v>
      </c>
      <c r="G28" s="1075">
        <f t="shared" si="1"/>
        <v>4925</v>
      </c>
      <c r="H28" s="1051">
        <v>592</v>
      </c>
      <c r="I28" s="1051">
        <v>1240</v>
      </c>
      <c r="J28" s="1051">
        <v>1408</v>
      </c>
      <c r="K28" s="1075">
        <f t="shared" si="2"/>
        <v>3240</v>
      </c>
      <c r="L28" s="1051">
        <v>645</v>
      </c>
      <c r="M28" s="1051">
        <v>0</v>
      </c>
      <c r="N28" s="1051">
        <v>0</v>
      </c>
      <c r="O28" s="1075">
        <f t="shared" si="3"/>
        <v>645</v>
      </c>
      <c r="P28" s="1051">
        <v>509</v>
      </c>
      <c r="Q28" s="1051">
        <v>938</v>
      </c>
      <c r="R28" s="1051">
        <v>1243</v>
      </c>
      <c r="S28" s="1075">
        <f t="shared" si="4"/>
        <v>2690</v>
      </c>
      <c r="T28" s="1051">
        <v>1613</v>
      </c>
      <c r="U28" s="1051">
        <v>1853</v>
      </c>
      <c r="V28" s="1051">
        <v>1437</v>
      </c>
      <c r="W28" s="1075">
        <f t="shared" si="5"/>
        <v>4903</v>
      </c>
      <c r="X28" s="1051">
        <v>1525</v>
      </c>
      <c r="Y28" s="1051">
        <v>1764</v>
      </c>
      <c r="Z28" s="1051">
        <v>1426</v>
      </c>
      <c r="AA28" s="1075">
        <f t="shared" si="6"/>
        <v>4715</v>
      </c>
      <c r="AB28" s="1051">
        <v>0</v>
      </c>
      <c r="AC28" s="1051">
        <v>0</v>
      </c>
      <c r="AD28" s="1051">
        <v>0</v>
      </c>
      <c r="AE28" s="1075">
        <f t="shared" si="7"/>
        <v>0</v>
      </c>
      <c r="AF28" s="1051">
        <v>1616</v>
      </c>
      <c r="AG28" s="1051">
        <v>1804</v>
      </c>
      <c r="AH28" s="1051">
        <v>1441</v>
      </c>
      <c r="AI28" s="1075">
        <f t="shared" si="8"/>
        <v>4861</v>
      </c>
      <c r="AJ28" s="1051">
        <v>1574</v>
      </c>
      <c r="AK28" s="1051">
        <v>1831</v>
      </c>
      <c r="AL28" s="1051">
        <v>1657</v>
      </c>
      <c r="AM28" s="1075">
        <f t="shared" si="9"/>
        <v>5062</v>
      </c>
      <c r="AN28" s="1075">
        <f t="shared" si="10"/>
        <v>31041</v>
      </c>
      <c r="AO28" s="1062" t="str" cm="1">
        <f t="array" ref="AO28">IF(B28="","",IF(SUMPRODUCT(--(D28:AN28&lt;&gt;""),--(D$9:AN$9&lt;&gt;"Total"))&gt;0,"✔",""))</f>
        <v>✔</v>
      </c>
    </row>
    <row r="29" spans="1:41">
      <c r="A29" s="1033"/>
      <c r="B29" s="1074">
        <f>IF(ROWS(B$10:B29)&lt;=CFG_DIAS,CFG_MES+ROWS(B$10:B29)-1,"")</f>
        <v>46285</v>
      </c>
      <c r="C29" s="1062" t="str">
        <f t="shared" si="0"/>
        <v>do</v>
      </c>
      <c r="D29" s="1051">
        <v>1573</v>
      </c>
      <c r="E29" s="1051">
        <v>1635</v>
      </c>
      <c r="F29" s="1051">
        <v>1577</v>
      </c>
      <c r="G29" s="1075">
        <f t="shared" si="1"/>
        <v>4785</v>
      </c>
      <c r="H29" s="1051">
        <v>840</v>
      </c>
      <c r="I29" s="1051">
        <v>0</v>
      </c>
      <c r="J29" s="1051">
        <v>0</v>
      </c>
      <c r="K29" s="1075">
        <f t="shared" si="2"/>
        <v>840</v>
      </c>
      <c r="L29" s="1051">
        <v>305</v>
      </c>
      <c r="M29" s="1051">
        <v>1204</v>
      </c>
      <c r="N29" s="1051">
        <v>1235</v>
      </c>
      <c r="O29" s="1075">
        <f t="shared" si="3"/>
        <v>2744</v>
      </c>
      <c r="P29" s="1051">
        <v>1215</v>
      </c>
      <c r="Q29" s="1051">
        <v>998</v>
      </c>
      <c r="R29" s="1051">
        <v>1185</v>
      </c>
      <c r="S29" s="1075">
        <f t="shared" si="4"/>
        <v>3398</v>
      </c>
      <c r="T29" s="1051">
        <v>1636</v>
      </c>
      <c r="U29" s="1051">
        <v>1525</v>
      </c>
      <c r="V29" s="1051">
        <v>1523</v>
      </c>
      <c r="W29" s="1075">
        <f t="shared" si="5"/>
        <v>4684</v>
      </c>
      <c r="X29" s="1051">
        <v>1593</v>
      </c>
      <c r="Y29" s="1051">
        <v>1509</v>
      </c>
      <c r="Z29" s="1051">
        <v>1462</v>
      </c>
      <c r="AA29" s="1075">
        <f t="shared" si="6"/>
        <v>4564</v>
      </c>
      <c r="AB29" s="1051">
        <v>793</v>
      </c>
      <c r="AC29" s="1051">
        <v>1497</v>
      </c>
      <c r="AD29" s="1051">
        <v>924</v>
      </c>
      <c r="AE29" s="1075">
        <f t="shared" si="7"/>
        <v>3214</v>
      </c>
      <c r="AF29" s="1051">
        <v>1758</v>
      </c>
      <c r="AG29" s="1051">
        <v>1746</v>
      </c>
      <c r="AH29" s="1051">
        <v>1586</v>
      </c>
      <c r="AI29" s="1075">
        <f t="shared" si="8"/>
        <v>5090</v>
      </c>
      <c r="AJ29" s="1051">
        <v>769</v>
      </c>
      <c r="AK29" s="1051">
        <v>0</v>
      </c>
      <c r="AL29" s="1051">
        <v>1269</v>
      </c>
      <c r="AM29" s="1075">
        <f t="shared" si="9"/>
        <v>2038</v>
      </c>
      <c r="AN29" s="1075">
        <f t="shared" si="10"/>
        <v>31357</v>
      </c>
      <c r="AO29" s="1062" t="str" cm="1">
        <f t="array" ref="AO29">IF(B29="","",IF(SUMPRODUCT(--(D29:AN29&lt;&gt;""),--(D$9:AN$9&lt;&gt;"Total"))&gt;0,"✔",""))</f>
        <v>✔</v>
      </c>
    </row>
    <row r="30" spans="1:41">
      <c r="A30" s="1033"/>
      <c r="B30" s="1074">
        <f>IF(ROWS(B$10:B30)&lt;=CFG_DIAS,CFG_MES+ROWS(B$10:B30)-1,"")</f>
        <v>46286</v>
      </c>
      <c r="C30" s="1062" t="str">
        <f t="shared" si="0"/>
        <v>lu</v>
      </c>
      <c r="D30" s="1051">
        <v>1643</v>
      </c>
      <c r="E30" s="1051">
        <v>1331</v>
      </c>
      <c r="F30" s="1051">
        <v>1648</v>
      </c>
      <c r="G30" s="1075">
        <f t="shared" si="1"/>
        <v>4622</v>
      </c>
      <c r="H30" s="1051">
        <v>0</v>
      </c>
      <c r="I30" s="1051">
        <v>0</v>
      </c>
      <c r="J30" s="1051">
        <v>0</v>
      </c>
      <c r="K30" s="1075">
        <f t="shared" si="2"/>
        <v>0</v>
      </c>
      <c r="L30" s="1051">
        <v>1279</v>
      </c>
      <c r="M30" s="1051">
        <v>1182</v>
      </c>
      <c r="N30" s="1051">
        <v>1280</v>
      </c>
      <c r="O30" s="1075">
        <f t="shared" si="3"/>
        <v>3741</v>
      </c>
      <c r="P30" s="1051">
        <v>1235</v>
      </c>
      <c r="Q30" s="1051">
        <v>1193</v>
      </c>
      <c r="R30" s="1051">
        <v>1191</v>
      </c>
      <c r="S30" s="1075">
        <f t="shared" si="4"/>
        <v>3619</v>
      </c>
      <c r="T30" s="1051">
        <v>1602</v>
      </c>
      <c r="U30" s="1051">
        <v>1555</v>
      </c>
      <c r="V30" s="1051">
        <v>1545</v>
      </c>
      <c r="W30" s="1075">
        <f t="shared" si="5"/>
        <v>4702</v>
      </c>
      <c r="X30" s="1051">
        <v>1501</v>
      </c>
      <c r="Y30" s="1051">
        <v>1482</v>
      </c>
      <c r="Z30" s="1051">
        <v>1553</v>
      </c>
      <c r="AA30" s="1075">
        <f t="shared" si="6"/>
        <v>4536</v>
      </c>
      <c r="AB30" s="1051">
        <v>0</v>
      </c>
      <c r="AC30" s="1051">
        <v>0</v>
      </c>
      <c r="AD30" s="1051">
        <v>0</v>
      </c>
      <c r="AE30" s="1075">
        <f t="shared" si="7"/>
        <v>0</v>
      </c>
      <c r="AF30" s="1051">
        <v>1603</v>
      </c>
      <c r="AG30" s="1051">
        <v>1536</v>
      </c>
      <c r="AH30" s="1051">
        <v>1547</v>
      </c>
      <c r="AI30" s="1075">
        <f t="shared" si="8"/>
        <v>4686</v>
      </c>
      <c r="AJ30" s="1051">
        <v>1208</v>
      </c>
      <c r="AK30" s="1051">
        <v>968</v>
      </c>
      <c r="AL30" s="1051">
        <v>1530</v>
      </c>
      <c r="AM30" s="1075">
        <f t="shared" si="9"/>
        <v>3706</v>
      </c>
      <c r="AN30" s="1075">
        <f t="shared" si="10"/>
        <v>29612</v>
      </c>
      <c r="AO30" s="1062" t="str" cm="1">
        <f t="array" ref="AO30">IF(B30="","",IF(SUMPRODUCT(--(D30:AN30&lt;&gt;""),--(D$9:AN$9&lt;&gt;"Total"))&gt;0,"✔",""))</f>
        <v>✔</v>
      </c>
    </row>
    <row r="31" spans="1:41">
      <c r="A31" s="1033"/>
      <c r="B31" s="1074">
        <f>IF(ROWS(B$10:B31)&lt;=CFG_DIAS,CFG_MES+ROWS(B$10:B31)-1,"")</f>
        <v>46287</v>
      </c>
      <c r="C31" s="1062" t="str">
        <f t="shared" si="0"/>
        <v>ma</v>
      </c>
      <c r="D31" s="1051">
        <v>1513</v>
      </c>
      <c r="E31" s="1051">
        <v>1369</v>
      </c>
      <c r="F31" s="1051">
        <v>1608</v>
      </c>
      <c r="G31" s="1075">
        <f t="shared" si="1"/>
        <v>4490</v>
      </c>
      <c r="H31" s="1051">
        <v>144</v>
      </c>
      <c r="I31" s="1051">
        <v>260</v>
      </c>
      <c r="J31" s="1051">
        <v>0</v>
      </c>
      <c r="K31" s="1075">
        <f t="shared" si="2"/>
        <v>404</v>
      </c>
      <c r="L31" s="1051">
        <v>1340</v>
      </c>
      <c r="M31" s="1051">
        <v>1320</v>
      </c>
      <c r="N31" s="1051">
        <v>1260</v>
      </c>
      <c r="O31" s="1075">
        <f t="shared" si="3"/>
        <v>3920</v>
      </c>
      <c r="P31" s="1051">
        <v>1239</v>
      </c>
      <c r="Q31" s="1051">
        <v>1266</v>
      </c>
      <c r="R31" s="1051">
        <v>1270</v>
      </c>
      <c r="S31" s="1075">
        <f t="shared" si="4"/>
        <v>3775</v>
      </c>
      <c r="T31" s="1051">
        <v>1521</v>
      </c>
      <c r="U31" s="1051">
        <v>554</v>
      </c>
      <c r="V31" s="1051">
        <v>1521</v>
      </c>
      <c r="W31" s="1075">
        <f t="shared" si="5"/>
        <v>3596</v>
      </c>
      <c r="X31" s="1051">
        <v>1594</v>
      </c>
      <c r="Y31" s="1051">
        <v>1585</v>
      </c>
      <c r="Z31" s="1051">
        <v>1500</v>
      </c>
      <c r="AA31" s="1075">
        <f t="shared" si="6"/>
        <v>4679</v>
      </c>
      <c r="AB31" s="1051">
        <v>681</v>
      </c>
      <c r="AC31" s="1051">
        <v>434</v>
      </c>
      <c r="AD31" s="1051">
        <v>0</v>
      </c>
      <c r="AE31" s="1075">
        <f t="shared" si="7"/>
        <v>1115</v>
      </c>
      <c r="AF31" s="1051">
        <v>1601</v>
      </c>
      <c r="AG31" s="1051">
        <v>1600</v>
      </c>
      <c r="AH31" s="1051">
        <v>1522</v>
      </c>
      <c r="AI31" s="1075">
        <f t="shared" si="8"/>
        <v>4723</v>
      </c>
      <c r="AJ31" s="1051">
        <v>1590</v>
      </c>
      <c r="AK31" s="1051">
        <v>1733</v>
      </c>
      <c r="AL31" s="1051">
        <v>1800</v>
      </c>
      <c r="AM31" s="1075">
        <f t="shared" si="9"/>
        <v>5123</v>
      </c>
      <c r="AN31" s="1075">
        <f t="shared" si="10"/>
        <v>31825</v>
      </c>
      <c r="AO31" s="1062" t="str" cm="1">
        <f t="array" ref="AO31">IF(B31="","",IF(SUMPRODUCT(--(D31:AN31&lt;&gt;""),--(D$9:AN$9&lt;&gt;"Total"))&gt;0,"✔",""))</f>
        <v>✔</v>
      </c>
    </row>
    <row r="32" spans="1:41">
      <c r="A32" s="1033"/>
      <c r="B32" s="1074">
        <f>IF(ROWS(B$10:B32)&lt;=CFG_DIAS,CFG_MES+ROWS(B$10:B32)-1,"")</f>
        <v>46288</v>
      </c>
      <c r="C32" s="1062" t="str">
        <f t="shared" si="0"/>
        <v>mi</v>
      </c>
      <c r="D32" s="1051">
        <v>1679</v>
      </c>
      <c r="E32" s="1051">
        <v>1626</v>
      </c>
      <c r="F32" s="1051">
        <v>1477</v>
      </c>
      <c r="G32" s="1075">
        <f t="shared" si="1"/>
        <v>4782</v>
      </c>
      <c r="H32" s="1051">
        <v>860</v>
      </c>
      <c r="I32" s="1051">
        <v>1268</v>
      </c>
      <c r="J32" s="1051">
        <v>1225</v>
      </c>
      <c r="K32" s="1075">
        <f t="shared" si="2"/>
        <v>3353</v>
      </c>
      <c r="L32" s="1051">
        <v>840</v>
      </c>
      <c r="M32" s="1051">
        <v>1235</v>
      </c>
      <c r="N32" s="1051">
        <v>1161</v>
      </c>
      <c r="O32" s="1075">
        <f t="shared" si="3"/>
        <v>3236</v>
      </c>
      <c r="P32" s="1051">
        <v>338</v>
      </c>
      <c r="Q32" s="1051">
        <v>0</v>
      </c>
      <c r="R32" s="1051">
        <v>0</v>
      </c>
      <c r="S32" s="1075">
        <f t="shared" si="4"/>
        <v>338</v>
      </c>
      <c r="T32" s="1051">
        <v>1512</v>
      </c>
      <c r="U32" s="1051">
        <v>1443</v>
      </c>
      <c r="V32" s="1051">
        <v>1586</v>
      </c>
      <c r="W32" s="1075">
        <f t="shared" si="5"/>
        <v>4541</v>
      </c>
      <c r="X32" s="1051">
        <v>1547</v>
      </c>
      <c r="Y32" s="1051">
        <v>1356</v>
      </c>
      <c r="Z32" s="1051">
        <v>1625</v>
      </c>
      <c r="AA32" s="1075">
        <f t="shared" si="6"/>
        <v>4528</v>
      </c>
      <c r="AB32" s="1051">
        <v>1218</v>
      </c>
      <c r="AC32" s="1051">
        <v>1433</v>
      </c>
      <c r="AD32" s="1051">
        <v>1500</v>
      </c>
      <c r="AE32" s="1075">
        <f t="shared" si="7"/>
        <v>4151</v>
      </c>
      <c r="AF32" s="1051">
        <v>1593</v>
      </c>
      <c r="AG32" s="1051">
        <v>1482</v>
      </c>
      <c r="AH32" s="1051">
        <v>1600</v>
      </c>
      <c r="AI32" s="1075">
        <f t="shared" si="8"/>
        <v>4675</v>
      </c>
      <c r="AJ32" s="1051">
        <v>1614</v>
      </c>
      <c r="AK32" s="1051">
        <v>1890</v>
      </c>
      <c r="AL32" s="1051">
        <v>1756</v>
      </c>
      <c r="AM32" s="1075">
        <f t="shared" si="9"/>
        <v>5260</v>
      </c>
      <c r="AN32" s="1075">
        <f t="shared" si="10"/>
        <v>34864</v>
      </c>
      <c r="AO32" s="1062" t="str" cm="1">
        <f t="array" ref="AO32">IF(B32="","",IF(SUMPRODUCT(--(D32:AN32&lt;&gt;""),--(D$9:AN$9&lt;&gt;"Total"))&gt;0,"✔",""))</f>
        <v>✔</v>
      </c>
    </row>
    <row r="33" spans="1:41">
      <c r="A33" s="1033"/>
      <c r="B33" s="1074">
        <f>IF(ROWS(B$10:B33)&lt;=CFG_DIAS,CFG_MES+ROWS(B$10:B33)-1,"")</f>
        <v>46289</v>
      </c>
      <c r="C33" s="1062" t="str">
        <f t="shared" si="0"/>
        <v>ju</v>
      </c>
      <c r="D33" s="1051">
        <v>1401</v>
      </c>
      <c r="E33" s="1051">
        <v>1491</v>
      </c>
      <c r="F33" s="1051">
        <v>1504</v>
      </c>
      <c r="G33" s="1075">
        <f t="shared" si="1"/>
        <v>4396</v>
      </c>
      <c r="H33" s="1051">
        <v>1207</v>
      </c>
      <c r="I33" s="1051">
        <v>1352</v>
      </c>
      <c r="J33" s="1051">
        <v>1238</v>
      </c>
      <c r="K33" s="1075">
        <f t="shared" si="2"/>
        <v>3797</v>
      </c>
      <c r="L33" s="1051">
        <v>1214</v>
      </c>
      <c r="M33" s="1051">
        <v>1197</v>
      </c>
      <c r="N33" s="1051">
        <v>1233</v>
      </c>
      <c r="O33" s="1075">
        <f t="shared" si="3"/>
        <v>3644</v>
      </c>
      <c r="P33" s="1051">
        <v>0</v>
      </c>
      <c r="Q33" s="1051">
        <v>0</v>
      </c>
      <c r="R33" s="1051">
        <v>0</v>
      </c>
      <c r="S33" s="1075">
        <f t="shared" si="4"/>
        <v>0</v>
      </c>
      <c r="T33" s="1051">
        <v>1549</v>
      </c>
      <c r="U33" s="1051">
        <v>1559</v>
      </c>
      <c r="V33" s="1051">
        <v>1403</v>
      </c>
      <c r="W33" s="1075">
        <f t="shared" si="5"/>
        <v>4511</v>
      </c>
      <c r="X33" s="1051">
        <v>1495</v>
      </c>
      <c r="Y33" s="1051">
        <v>1480</v>
      </c>
      <c r="Z33" s="1051">
        <v>1530</v>
      </c>
      <c r="AA33" s="1075">
        <f t="shared" si="6"/>
        <v>4505</v>
      </c>
      <c r="AB33" s="1051">
        <v>1620</v>
      </c>
      <c r="AC33" s="1051">
        <v>1600</v>
      </c>
      <c r="AD33" s="1051">
        <v>1382</v>
      </c>
      <c r="AE33" s="1075">
        <f t="shared" si="7"/>
        <v>4602</v>
      </c>
      <c r="AF33" s="1051">
        <v>1520</v>
      </c>
      <c r="AG33" s="1051">
        <v>1500</v>
      </c>
      <c r="AH33" s="1051">
        <v>1501</v>
      </c>
      <c r="AI33" s="1075">
        <f t="shared" si="8"/>
        <v>4521</v>
      </c>
      <c r="AJ33" s="1051">
        <v>1684</v>
      </c>
      <c r="AK33" s="1051">
        <v>1778</v>
      </c>
      <c r="AL33" s="1051">
        <v>1748</v>
      </c>
      <c r="AM33" s="1075">
        <f t="shared" si="9"/>
        <v>5210</v>
      </c>
      <c r="AN33" s="1075">
        <f t="shared" si="10"/>
        <v>35186</v>
      </c>
      <c r="AO33" s="1062" t="str" cm="1">
        <f t="array" ref="AO33">IF(B33="","",IF(SUMPRODUCT(--(D33:AN33&lt;&gt;""),--(D$9:AN$9&lt;&gt;"Total"))&gt;0,"✔",""))</f>
        <v>✔</v>
      </c>
    </row>
    <row r="34" spans="1:41">
      <c r="A34" s="1033"/>
      <c r="B34" s="1074">
        <f>IF(ROWS(B$10:B34)&lt;=CFG_DIAS,CFG_MES+ROWS(B$10:B34)-1,"")</f>
        <v>46290</v>
      </c>
      <c r="C34" s="1062" t="str">
        <f t="shared" si="0"/>
        <v>vi</v>
      </c>
      <c r="D34" s="1051">
        <v>1485</v>
      </c>
      <c r="E34" s="1051">
        <v>1529</v>
      </c>
      <c r="F34" s="1051">
        <v>1408</v>
      </c>
      <c r="G34" s="1075">
        <f t="shared" si="1"/>
        <v>4422</v>
      </c>
      <c r="H34" s="1051">
        <v>1207</v>
      </c>
      <c r="I34" s="1051">
        <v>1259</v>
      </c>
      <c r="J34" s="1051">
        <v>1184</v>
      </c>
      <c r="K34" s="1075">
        <f t="shared" si="2"/>
        <v>3650</v>
      </c>
      <c r="L34" s="1051">
        <v>1181</v>
      </c>
      <c r="M34" s="1051">
        <v>1227</v>
      </c>
      <c r="N34" s="1051">
        <v>1231</v>
      </c>
      <c r="O34" s="1075">
        <f t="shared" si="3"/>
        <v>3639</v>
      </c>
      <c r="P34" s="1051">
        <v>0</v>
      </c>
      <c r="Q34" s="1051">
        <v>0</v>
      </c>
      <c r="R34" s="1051">
        <v>0</v>
      </c>
      <c r="S34" s="1075">
        <f t="shared" si="4"/>
        <v>0</v>
      </c>
      <c r="T34" s="1051">
        <v>1473</v>
      </c>
      <c r="U34" s="1051">
        <v>1390</v>
      </c>
      <c r="V34" s="1051">
        <v>1551</v>
      </c>
      <c r="W34" s="1075">
        <f t="shared" si="5"/>
        <v>4414</v>
      </c>
      <c r="X34" s="1051">
        <v>1412</v>
      </c>
      <c r="Y34" s="1051">
        <v>1378</v>
      </c>
      <c r="Z34" s="1051">
        <v>1556</v>
      </c>
      <c r="AA34" s="1075">
        <f t="shared" si="6"/>
        <v>4346</v>
      </c>
      <c r="AB34" s="1051">
        <v>1326</v>
      </c>
      <c r="AC34" s="1051">
        <v>1631</v>
      </c>
      <c r="AD34" s="1051">
        <v>1681</v>
      </c>
      <c r="AE34" s="1075">
        <f t="shared" si="7"/>
        <v>4638</v>
      </c>
      <c r="AF34" s="1051">
        <v>1541</v>
      </c>
      <c r="AG34" s="1051">
        <v>1344</v>
      </c>
      <c r="AH34" s="1051">
        <v>1636</v>
      </c>
      <c r="AI34" s="1075">
        <f t="shared" si="8"/>
        <v>4521</v>
      </c>
      <c r="AJ34" s="1051">
        <v>1634</v>
      </c>
      <c r="AK34" s="1051">
        <v>1832</v>
      </c>
      <c r="AL34" s="1051">
        <v>1627</v>
      </c>
      <c r="AM34" s="1075">
        <f t="shared" si="9"/>
        <v>5093</v>
      </c>
      <c r="AN34" s="1075">
        <f t="shared" si="10"/>
        <v>34723</v>
      </c>
      <c r="AO34" s="1062" t="str" cm="1">
        <f t="array" ref="AO34">IF(B34="","",IF(SUMPRODUCT(--(D34:AN34&lt;&gt;""),--(D$9:AN$9&lt;&gt;"Total"))&gt;0,"✔",""))</f>
        <v>✔</v>
      </c>
    </row>
    <row r="35" spans="1:41">
      <c r="A35" s="1033"/>
      <c r="B35" s="1074">
        <f>IF(ROWS(B$10:B35)&lt;=CFG_DIAS,CFG_MES+ROWS(B$10:B35)-1,"")</f>
        <v>46291</v>
      </c>
      <c r="C35" s="1062" t="str">
        <f t="shared" si="0"/>
        <v>sá</v>
      </c>
      <c r="D35" s="1051">
        <v>1482</v>
      </c>
      <c r="E35" s="1051">
        <v>1434</v>
      </c>
      <c r="F35" s="1051">
        <v>1607</v>
      </c>
      <c r="G35" s="1075">
        <f t="shared" si="1"/>
        <v>4523</v>
      </c>
      <c r="H35" s="1051">
        <v>1335</v>
      </c>
      <c r="I35" s="1051">
        <v>516</v>
      </c>
      <c r="J35" s="1051">
        <v>0</v>
      </c>
      <c r="K35" s="1075">
        <f t="shared" si="2"/>
        <v>1851</v>
      </c>
      <c r="L35" s="1051">
        <v>1291</v>
      </c>
      <c r="M35" s="1051">
        <v>1105</v>
      </c>
      <c r="N35" s="1051">
        <v>1265</v>
      </c>
      <c r="O35" s="1075">
        <f t="shared" si="3"/>
        <v>3661</v>
      </c>
      <c r="P35" s="1051">
        <v>0</v>
      </c>
      <c r="Q35" s="1051">
        <v>464</v>
      </c>
      <c r="R35" s="1051">
        <v>1236</v>
      </c>
      <c r="S35" s="1075">
        <f t="shared" si="4"/>
        <v>1700</v>
      </c>
      <c r="T35" s="1051">
        <v>1464</v>
      </c>
      <c r="U35" s="1051">
        <v>1551</v>
      </c>
      <c r="V35" s="1051">
        <v>1615</v>
      </c>
      <c r="W35" s="1075">
        <f t="shared" si="5"/>
        <v>4630</v>
      </c>
      <c r="X35" s="1051">
        <v>1433</v>
      </c>
      <c r="Y35" s="1051">
        <v>1508</v>
      </c>
      <c r="Z35" s="1051">
        <v>1627</v>
      </c>
      <c r="AA35" s="1075">
        <f t="shared" si="6"/>
        <v>4568</v>
      </c>
      <c r="AB35" s="1051">
        <v>1559</v>
      </c>
      <c r="AC35" s="1051">
        <v>1597</v>
      </c>
      <c r="AD35" s="1051">
        <v>1711</v>
      </c>
      <c r="AE35" s="1075">
        <f t="shared" si="7"/>
        <v>4867</v>
      </c>
      <c r="AF35" s="1051">
        <v>1461</v>
      </c>
      <c r="AG35" s="1051">
        <v>1583</v>
      </c>
      <c r="AH35" s="1051">
        <v>1712</v>
      </c>
      <c r="AI35" s="1075">
        <f t="shared" si="8"/>
        <v>4756</v>
      </c>
      <c r="AJ35" s="1051">
        <v>0</v>
      </c>
      <c r="AK35" s="1051">
        <v>0</v>
      </c>
      <c r="AL35" s="1051">
        <v>1384</v>
      </c>
      <c r="AM35" s="1075">
        <f t="shared" si="9"/>
        <v>1384</v>
      </c>
      <c r="AN35" s="1075">
        <f t="shared" si="10"/>
        <v>31940</v>
      </c>
      <c r="AO35" s="1062" t="str" cm="1">
        <f t="array" ref="AO35">IF(B35="","",IF(SUMPRODUCT(--(D35:AN35&lt;&gt;""),--(D$9:AN$9&lt;&gt;"Total"))&gt;0,"✔",""))</f>
        <v>✔</v>
      </c>
    </row>
    <row r="36" spans="1:41">
      <c r="A36" s="1033"/>
      <c r="B36" s="1074">
        <f>IF(ROWS(B$10:B36)&lt;=CFG_DIAS,CFG_MES+ROWS(B$10:B36)-1,"")</f>
        <v>46292</v>
      </c>
      <c r="C36" s="1062" t="str">
        <f t="shared" si="0"/>
        <v>do</v>
      </c>
      <c r="D36" s="1051">
        <v>1426</v>
      </c>
      <c r="E36" s="1051">
        <v>1590</v>
      </c>
      <c r="F36" s="1051">
        <v>1573</v>
      </c>
      <c r="G36" s="1075">
        <f t="shared" si="1"/>
        <v>4589</v>
      </c>
      <c r="H36" s="1051">
        <v>0</v>
      </c>
      <c r="I36" s="1051">
        <v>0</v>
      </c>
      <c r="J36" s="1051">
        <v>809</v>
      </c>
      <c r="K36" s="1075">
        <f t="shared" si="2"/>
        <v>809</v>
      </c>
      <c r="L36" s="1051">
        <v>1230</v>
      </c>
      <c r="M36" s="1051">
        <v>1272</v>
      </c>
      <c r="N36" s="1051">
        <v>1518</v>
      </c>
      <c r="O36" s="1075">
        <f t="shared" si="3"/>
        <v>4020</v>
      </c>
      <c r="P36" s="1051">
        <v>1202</v>
      </c>
      <c r="Q36" s="1051">
        <v>1156</v>
      </c>
      <c r="R36" s="1051">
        <v>417</v>
      </c>
      <c r="S36" s="1075">
        <f t="shared" si="4"/>
        <v>2775</v>
      </c>
      <c r="T36" s="1051">
        <v>1554</v>
      </c>
      <c r="U36" s="1051">
        <v>1367</v>
      </c>
      <c r="V36" s="1051">
        <v>1589</v>
      </c>
      <c r="W36" s="1075">
        <f t="shared" si="5"/>
        <v>4510</v>
      </c>
      <c r="X36" s="1051">
        <v>1641</v>
      </c>
      <c r="Y36" s="1051">
        <v>1594</v>
      </c>
      <c r="Z36" s="1051">
        <v>1567</v>
      </c>
      <c r="AA36" s="1075">
        <f t="shared" si="6"/>
        <v>4802</v>
      </c>
      <c r="AB36" s="1051">
        <v>1601</v>
      </c>
      <c r="AC36" s="1051">
        <v>1542</v>
      </c>
      <c r="AD36" s="1051">
        <v>1684</v>
      </c>
      <c r="AE36" s="1075">
        <f t="shared" si="7"/>
        <v>4827</v>
      </c>
      <c r="AF36" s="1051">
        <v>1697</v>
      </c>
      <c r="AG36" s="1051">
        <v>1680</v>
      </c>
      <c r="AH36" s="1051">
        <v>1706</v>
      </c>
      <c r="AI36" s="1075">
        <f t="shared" si="8"/>
        <v>5083</v>
      </c>
      <c r="AJ36" s="1051">
        <v>1190</v>
      </c>
      <c r="AK36" s="1051">
        <v>1825</v>
      </c>
      <c r="AL36" s="1051">
        <v>1608</v>
      </c>
      <c r="AM36" s="1075">
        <f t="shared" si="9"/>
        <v>4623</v>
      </c>
      <c r="AN36" s="1075">
        <f t="shared" si="10"/>
        <v>36038</v>
      </c>
      <c r="AO36" s="1062" t="str" cm="1">
        <f t="array" ref="AO36">IF(B36="","",IF(SUMPRODUCT(--(D36:AN36&lt;&gt;""),--(D$9:AN$9&lt;&gt;"Total"))&gt;0,"✔",""))</f>
        <v>✔</v>
      </c>
    </row>
    <row r="37" spans="1:41">
      <c r="A37" s="1033"/>
      <c r="B37" s="1074">
        <f>IF(ROWS(B$10:B37)&lt;=CFG_DIAS,CFG_MES+ROWS(B$10:B37)-1,"")</f>
        <v>46293</v>
      </c>
      <c r="C37" s="1062" t="str">
        <f t="shared" si="0"/>
        <v>lu</v>
      </c>
      <c r="D37" s="1051">
        <v>1702</v>
      </c>
      <c r="E37" s="1051">
        <v>1599</v>
      </c>
      <c r="F37" s="1051">
        <v>1590</v>
      </c>
      <c r="G37" s="1075">
        <f t="shared" si="1"/>
        <v>4891</v>
      </c>
      <c r="H37" s="1051">
        <v>0</v>
      </c>
      <c r="I37" s="1051">
        <v>0</v>
      </c>
      <c r="J37" s="1051">
        <v>0</v>
      </c>
      <c r="K37" s="1075">
        <f t="shared" si="2"/>
        <v>0</v>
      </c>
      <c r="L37" s="1051">
        <v>1142</v>
      </c>
      <c r="M37" s="1051">
        <v>1218</v>
      </c>
      <c r="N37" s="1051">
        <v>1185</v>
      </c>
      <c r="O37" s="1075">
        <f t="shared" si="3"/>
        <v>3545</v>
      </c>
      <c r="P37" s="1051">
        <v>1215</v>
      </c>
      <c r="Q37" s="1051">
        <v>1270</v>
      </c>
      <c r="R37" s="1051">
        <v>961</v>
      </c>
      <c r="S37" s="1075">
        <f t="shared" si="4"/>
        <v>3446</v>
      </c>
      <c r="T37" s="1051">
        <v>1651</v>
      </c>
      <c r="U37" s="1051">
        <v>1534</v>
      </c>
      <c r="V37" s="1051">
        <v>1420</v>
      </c>
      <c r="W37" s="1075">
        <f t="shared" si="5"/>
        <v>4605</v>
      </c>
      <c r="X37" s="1051">
        <v>1648</v>
      </c>
      <c r="Y37" s="1051">
        <v>1542</v>
      </c>
      <c r="Z37" s="1051">
        <v>1569</v>
      </c>
      <c r="AA37" s="1075">
        <f t="shared" si="6"/>
        <v>4759</v>
      </c>
      <c r="AB37" s="1051">
        <v>1634</v>
      </c>
      <c r="AC37" s="1051">
        <v>1632</v>
      </c>
      <c r="AD37" s="1051">
        <v>1539</v>
      </c>
      <c r="AE37" s="1075">
        <f t="shared" si="7"/>
        <v>4805</v>
      </c>
      <c r="AF37" s="1051">
        <v>1650</v>
      </c>
      <c r="AG37" s="1051">
        <v>1549</v>
      </c>
      <c r="AH37" s="1051">
        <v>1654</v>
      </c>
      <c r="AI37" s="1075">
        <f t="shared" si="8"/>
        <v>4853</v>
      </c>
      <c r="AJ37" s="1051">
        <v>1821</v>
      </c>
      <c r="AK37" s="1051">
        <v>1655</v>
      </c>
      <c r="AL37" s="1051">
        <v>1827</v>
      </c>
      <c r="AM37" s="1075">
        <f t="shared" si="9"/>
        <v>5303</v>
      </c>
      <c r="AN37" s="1075">
        <f t="shared" si="10"/>
        <v>36207</v>
      </c>
      <c r="AO37" s="1062" t="str" cm="1">
        <f t="array" ref="AO37">IF(B37="","",IF(SUMPRODUCT(--(D37:AN37&lt;&gt;""),--(D$9:AN$9&lt;&gt;"Total"))&gt;0,"✔",""))</f>
        <v>✔</v>
      </c>
    </row>
    <row r="38" spans="1:41">
      <c r="A38" s="1033"/>
      <c r="B38" s="1074">
        <f>IF(ROWS(B$10:B38)&lt;=CFG_DIAS,CFG_MES+ROWS(B$10:B38)-1,"")</f>
        <v>46294</v>
      </c>
      <c r="C38" s="1062" t="str">
        <f t="shared" si="0"/>
        <v>ma</v>
      </c>
      <c r="D38" s="1051">
        <v>1500</v>
      </c>
      <c r="E38" s="1051">
        <v>1460</v>
      </c>
      <c r="F38" s="1051">
        <v>1418</v>
      </c>
      <c r="G38" s="1075">
        <f t="shared" si="1"/>
        <v>4378</v>
      </c>
      <c r="H38" s="1051">
        <v>0</v>
      </c>
      <c r="I38" s="1051">
        <v>0</v>
      </c>
      <c r="J38" s="1051">
        <v>1060</v>
      </c>
      <c r="K38" s="1075">
        <f t="shared" si="2"/>
        <v>1060</v>
      </c>
      <c r="L38" s="1051">
        <v>1055</v>
      </c>
      <c r="M38" s="1051">
        <v>1220</v>
      </c>
      <c r="N38" s="1051">
        <v>1313</v>
      </c>
      <c r="O38" s="1075">
        <f t="shared" si="3"/>
        <v>3588</v>
      </c>
      <c r="P38" s="1051">
        <v>539</v>
      </c>
      <c r="Q38" s="1051">
        <v>1190</v>
      </c>
      <c r="R38" s="1051">
        <v>1226</v>
      </c>
      <c r="S38" s="1075">
        <f t="shared" si="4"/>
        <v>2955</v>
      </c>
      <c r="T38" s="1051">
        <v>1568</v>
      </c>
      <c r="U38" s="1051">
        <v>1308</v>
      </c>
      <c r="V38" s="1051">
        <v>1536</v>
      </c>
      <c r="W38" s="1075">
        <f t="shared" si="5"/>
        <v>4412</v>
      </c>
      <c r="X38" s="1051">
        <v>1578</v>
      </c>
      <c r="Y38" s="1051">
        <v>1333</v>
      </c>
      <c r="Z38" s="1051">
        <v>1495</v>
      </c>
      <c r="AA38" s="1075">
        <f t="shared" si="6"/>
        <v>4406</v>
      </c>
      <c r="AB38" s="1051">
        <v>1613</v>
      </c>
      <c r="AC38" s="1051">
        <v>1280</v>
      </c>
      <c r="AD38" s="1051">
        <v>290</v>
      </c>
      <c r="AE38" s="1075">
        <f t="shared" si="7"/>
        <v>3183</v>
      </c>
      <c r="AF38" s="1051">
        <v>1606</v>
      </c>
      <c r="AG38" s="1051">
        <v>1316</v>
      </c>
      <c r="AH38" s="1051">
        <v>1477</v>
      </c>
      <c r="AI38" s="1075">
        <f t="shared" si="8"/>
        <v>4399</v>
      </c>
      <c r="AJ38" s="1051">
        <v>1671</v>
      </c>
      <c r="AK38" s="1051">
        <v>1627</v>
      </c>
      <c r="AL38" s="1051">
        <v>1583</v>
      </c>
      <c r="AM38" s="1075">
        <f t="shared" si="9"/>
        <v>4881</v>
      </c>
      <c r="AN38" s="1075">
        <f t="shared" si="10"/>
        <v>33262</v>
      </c>
      <c r="AO38" s="1062" t="str" cm="1">
        <f t="array" ref="AO38">IF(B38="","",IF(SUMPRODUCT(--(D38:AN38&lt;&gt;""),--(D$9:AN$9&lt;&gt;"Total"))&gt;0,"✔",""))</f>
        <v>✔</v>
      </c>
    </row>
    <row r="39" spans="1:41">
      <c r="A39" s="1033"/>
      <c r="B39" s="1074">
        <f>IF(ROWS(B$10:B39)&lt;=CFG_DIAS,CFG_MES+ROWS(B$10:B39)-1,"")</f>
        <v>46295</v>
      </c>
      <c r="C39" s="1062" t="str">
        <f t="shared" si="0"/>
        <v>mi</v>
      </c>
      <c r="D39" s="1051"/>
      <c r="E39" s="1051"/>
      <c r="F39" s="1051"/>
      <c r="G39" s="1075" t="str">
        <f t="shared" si="1"/>
        <v/>
      </c>
      <c r="H39" s="1051"/>
      <c r="I39" s="1051"/>
      <c r="J39" s="1051"/>
      <c r="K39" s="1075" t="str">
        <f t="shared" si="2"/>
        <v/>
      </c>
      <c r="L39" s="1051"/>
      <c r="M39" s="1051"/>
      <c r="N39" s="1051"/>
      <c r="O39" s="1075" t="str">
        <f t="shared" si="3"/>
        <v/>
      </c>
      <c r="P39" s="1051"/>
      <c r="Q39" s="1051"/>
      <c r="R39" s="1051"/>
      <c r="S39" s="1075" t="str">
        <f t="shared" si="4"/>
        <v/>
      </c>
      <c r="T39" s="1051"/>
      <c r="U39" s="1051"/>
      <c r="V39" s="1051"/>
      <c r="W39" s="1075" t="str">
        <f t="shared" si="5"/>
        <v/>
      </c>
      <c r="X39" s="1051"/>
      <c r="Y39" s="1051"/>
      <c r="Z39" s="1051"/>
      <c r="AA39" s="1075" t="str">
        <f t="shared" si="6"/>
        <v/>
      </c>
      <c r="AB39" s="1051"/>
      <c r="AC39" s="1051"/>
      <c r="AD39" s="1051"/>
      <c r="AE39" s="1075" t="str">
        <f t="shared" si="7"/>
        <v/>
      </c>
      <c r="AF39" s="1051"/>
      <c r="AG39" s="1051"/>
      <c r="AH39" s="1051"/>
      <c r="AI39" s="1075" t="str">
        <f t="shared" si="8"/>
        <v/>
      </c>
      <c r="AJ39" s="1051"/>
      <c r="AK39" s="1051"/>
      <c r="AL39" s="1051"/>
      <c r="AM39" s="1075" t="str">
        <f t="shared" si="9"/>
        <v/>
      </c>
      <c r="AN39" s="1075" t="str">
        <f t="shared" si="10"/>
        <v/>
      </c>
      <c r="AO39" s="1062" t="str" cm="1">
        <f t="array" ref="AO39">IF(B39="","",IF(SUMPRODUCT(--(D39:AN39&lt;&gt;""),--(D$9:AN$9&lt;&gt;"Total"))&gt;0,"✔",""))</f>
        <v/>
      </c>
    </row>
    <row r="40" spans="1:41">
      <c r="A40" s="1033"/>
      <c r="B40" s="1074" t="str">
        <f>IF(ROWS(B$10:B40)&lt;=CFG_DIAS,CFG_MES+ROWS(B$10:B40)-1,"")</f>
        <v/>
      </c>
      <c r="C40" s="1062" t="str">
        <f t="shared" si="0"/>
        <v/>
      </c>
      <c r="D40" s="1051"/>
      <c r="E40" s="1051"/>
      <c r="F40" s="1051"/>
      <c r="G40" s="1075" t="str">
        <f t="shared" si="1"/>
        <v/>
      </c>
      <c r="H40" s="1051"/>
      <c r="I40" s="1051"/>
      <c r="J40" s="1051"/>
      <c r="K40" s="1075" t="str">
        <f t="shared" si="2"/>
        <v/>
      </c>
      <c r="L40" s="1051"/>
      <c r="M40" s="1051"/>
      <c r="N40" s="1051"/>
      <c r="O40" s="1075" t="str">
        <f t="shared" si="3"/>
        <v/>
      </c>
      <c r="P40" s="1051"/>
      <c r="Q40" s="1051"/>
      <c r="R40" s="1051"/>
      <c r="S40" s="1075" t="str">
        <f t="shared" si="4"/>
        <v/>
      </c>
      <c r="T40" s="1051"/>
      <c r="U40" s="1051"/>
      <c r="V40" s="1051"/>
      <c r="W40" s="1075" t="str">
        <f t="shared" si="5"/>
        <v/>
      </c>
      <c r="X40" s="1051"/>
      <c r="Y40" s="1051"/>
      <c r="Z40" s="1051"/>
      <c r="AA40" s="1075" t="str">
        <f t="shared" si="6"/>
        <v/>
      </c>
      <c r="AB40" s="1051"/>
      <c r="AC40" s="1051"/>
      <c r="AD40" s="1051"/>
      <c r="AE40" s="1075" t="str">
        <f t="shared" si="7"/>
        <v/>
      </c>
      <c r="AF40" s="1051"/>
      <c r="AG40" s="1051"/>
      <c r="AH40" s="1051"/>
      <c r="AI40" s="1075" t="str">
        <f t="shared" si="8"/>
        <v/>
      </c>
      <c r="AJ40" s="1051"/>
      <c r="AK40" s="1051"/>
      <c r="AL40" s="1051"/>
      <c r="AM40" s="1075" t="str">
        <f t="shared" si="9"/>
        <v/>
      </c>
      <c r="AN40" s="1075" t="str">
        <f t="shared" si="10"/>
        <v/>
      </c>
      <c r="AO40" s="1062" t="str" cm="1">
        <f t="array" ref="AO40">IF(B40="","",IF(SUMPRODUCT(--(D40:AN40&lt;&gt;""),--(D$9:AN$9&lt;&gt;"Total"))&gt;0,"✔",""))</f>
        <v/>
      </c>
    </row>
    <row r="41" spans="1:41">
      <c r="A41" s="1033"/>
      <c r="B41" s="1033"/>
      <c r="C41" s="1033"/>
      <c r="D41" s="1033"/>
      <c r="E41" s="1033"/>
      <c r="F41" s="1033"/>
      <c r="G41" s="1033"/>
      <c r="H41" s="1033"/>
      <c r="I41" s="1033"/>
      <c r="J41" s="1033"/>
      <c r="K41" s="1033"/>
      <c r="L41" s="1033"/>
      <c r="M41" s="1033"/>
      <c r="N41" s="1033"/>
      <c r="O41" s="1033"/>
      <c r="P41" s="1033"/>
      <c r="Q41" s="1033"/>
      <c r="R41" s="1033"/>
      <c r="S41" s="1033"/>
      <c r="T41" s="1033"/>
      <c r="U41" s="1033"/>
      <c r="V41" s="1033"/>
      <c r="W41" s="1033"/>
      <c r="X41" s="1033"/>
      <c r="Y41" s="1033"/>
      <c r="Z41" s="1033"/>
      <c r="AA41" s="1033"/>
      <c r="AB41" s="1033"/>
      <c r="AC41" s="1033"/>
      <c r="AD41" s="1033"/>
      <c r="AE41" s="1033"/>
      <c r="AF41" s="1033"/>
      <c r="AG41" s="1033"/>
      <c r="AH41" s="1033"/>
      <c r="AI41" s="1033"/>
      <c r="AJ41" s="1033"/>
      <c r="AK41" s="1033"/>
      <c r="AL41" s="1033"/>
      <c r="AM41" s="1033"/>
      <c r="AN41" s="1033"/>
      <c r="AO41" s="1033"/>
    </row>
    <row r="42" spans="1:41">
      <c r="A42" s="1033"/>
      <c r="B42" s="1315" t="s">
        <v>9886</v>
      </c>
      <c r="C42" s="1315"/>
      <c r="D42" s="1070">
        <f t="shared" ref="D42:AN42" si="11">IF(COUNT(D10:D40)=0,"",SUM(D10:D40))</f>
        <v>42453</v>
      </c>
      <c r="E42" s="1070">
        <f t="shared" si="11"/>
        <v>41623</v>
      </c>
      <c r="F42" s="1070">
        <f t="shared" si="11"/>
        <v>46035</v>
      </c>
      <c r="G42" s="1070">
        <f t="shared" si="11"/>
        <v>130111</v>
      </c>
      <c r="H42" s="1070">
        <f t="shared" si="11"/>
        <v>28557</v>
      </c>
      <c r="I42" s="1070">
        <f t="shared" si="11"/>
        <v>27956</v>
      </c>
      <c r="J42" s="1070">
        <f t="shared" si="11"/>
        <v>28651</v>
      </c>
      <c r="K42" s="1070">
        <f t="shared" si="11"/>
        <v>85164</v>
      </c>
      <c r="L42" s="1070">
        <f t="shared" si="11"/>
        <v>30590</v>
      </c>
      <c r="M42" s="1070">
        <f t="shared" si="11"/>
        <v>29580</v>
      </c>
      <c r="N42" s="1070">
        <f t="shared" si="11"/>
        <v>31083</v>
      </c>
      <c r="O42" s="1070">
        <f t="shared" si="11"/>
        <v>91253</v>
      </c>
      <c r="P42" s="1070">
        <f t="shared" si="11"/>
        <v>16245</v>
      </c>
      <c r="Q42" s="1070">
        <f t="shared" si="11"/>
        <v>15093</v>
      </c>
      <c r="R42" s="1070">
        <f t="shared" si="11"/>
        <v>16309</v>
      </c>
      <c r="S42" s="1070">
        <f t="shared" si="11"/>
        <v>47647</v>
      </c>
      <c r="T42" s="1070">
        <f t="shared" si="11"/>
        <v>35061</v>
      </c>
      <c r="U42" s="1070">
        <f t="shared" si="11"/>
        <v>34067</v>
      </c>
      <c r="V42" s="1070">
        <f t="shared" si="11"/>
        <v>36473</v>
      </c>
      <c r="W42" s="1070">
        <f t="shared" si="11"/>
        <v>105601</v>
      </c>
      <c r="X42" s="1070">
        <f t="shared" si="11"/>
        <v>43047</v>
      </c>
      <c r="Y42" s="1070">
        <f t="shared" si="11"/>
        <v>43368</v>
      </c>
      <c r="Z42" s="1070">
        <f t="shared" si="11"/>
        <v>44187</v>
      </c>
      <c r="AA42" s="1070">
        <f t="shared" si="11"/>
        <v>130602</v>
      </c>
      <c r="AB42" s="1070">
        <f t="shared" si="11"/>
        <v>35745</v>
      </c>
      <c r="AC42" s="1070">
        <f t="shared" si="11"/>
        <v>37202</v>
      </c>
      <c r="AD42" s="1070">
        <f t="shared" si="11"/>
        <v>35050</v>
      </c>
      <c r="AE42" s="1070">
        <f t="shared" si="11"/>
        <v>107997</v>
      </c>
      <c r="AF42" s="1070">
        <f t="shared" si="11"/>
        <v>41665</v>
      </c>
      <c r="AG42" s="1070">
        <f t="shared" si="11"/>
        <v>41973</v>
      </c>
      <c r="AH42" s="1070">
        <f t="shared" si="11"/>
        <v>43992</v>
      </c>
      <c r="AI42" s="1070">
        <f t="shared" si="11"/>
        <v>127630</v>
      </c>
      <c r="AJ42" s="1070">
        <f t="shared" si="11"/>
        <v>42121</v>
      </c>
      <c r="AK42" s="1070">
        <f t="shared" si="11"/>
        <v>42654</v>
      </c>
      <c r="AL42" s="1070">
        <f t="shared" si="11"/>
        <v>50341</v>
      </c>
      <c r="AM42" s="1070">
        <f t="shared" si="11"/>
        <v>135116</v>
      </c>
      <c r="AN42" s="1070">
        <f t="shared" si="11"/>
        <v>961121</v>
      </c>
      <c r="AO42" s="1070"/>
    </row>
    <row r="43" spans="1:41">
      <c r="A43" s="1033"/>
      <c r="B43" s="1315" t="s">
        <v>9887</v>
      </c>
      <c r="C43" s="1315"/>
      <c r="D43" s="1070">
        <f t="shared" ref="D43:AN43" si="12">IF(COUNT(D10:D40)=0,"",AVERAGE(D10:D40))</f>
        <v>1463.8965517241379</v>
      </c>
      <c r="E43" s="1070">
        <f t="shared" si="12"/>
        <v>1435.2758620689656</v>
      </c>
      <c r="F43" s="1070">
        <f t="shared" si="12"/>
        <v>1587.4137931034484</v>
      </c>
      <c r="G43" s="1070">
        <f t="shared" si="12"/>
        <v>4486.5862068965516</v>
      </c>
      <c r="H43" s="1070">
        <f t="shared" si="12"/>
        <v>984.72413793103453</v>
      </c>
      <c r="I43" s="1070">
        <f t="shared" si="12"/>
        <v>964</v>
      </c>
      <c r="J43" s="1070">
        <f t="shared" si="12"/>
        <v>987.9655172413793</v>
      </c>
      <c r="K43" s="1070">
        <f t="shared" si="12"/>
        <v>2936.6896551724139</v>
      </c>
      <c r="L43" s="1070">
        <f t="shared" si="12"/>
        <v>1054.8275862068965</v>
      </c>
      <c r="M43" s="1070">
        <f t="shared" si="12"/>
        <v>1020</v>
      </c>
      <c r="N43" s="1070">
        <f t="shared" si="12"/>
        <v>1071.8275862068965</v>
      </c>
      <c r="O43" s="1070">
        <f t="shared" si="12"/>
        <v>3146.655172413793</v>
      </c>
      <c r="P43" s="1070">
        <f t="shared" si="12"/>
        <v>560.17241379310349</v>
      </c>
      <c r="Q43" s="1070">
        <f t="shared" si="12"/>
        <v>520.44827586206895</v>
      </c>
      <c r="R43" s="1070">
        <f t="shared" si="12"/>
        <v>562.37931034482756</v>
      </c>
      <c r="S43" s="1070">
        <f t="shared" si="12"/>
        <v>1643</v>
      </c>
      <c r="T43" s="1070">
        <f t="shared" si="12"/>
        <v>1209</v>
      </c>
      <c r="U43" s="1070">
        <f t="shared" si="12"/>
        <v>1174.7241379310344</v>
      </c>
      <c r="V43" s="1070">
        <f t="shared" si="12"/>
        <v>1257.6896551724137</v>
      </c>
      <c r="W43" s="1070">
        <f t="shared" si="12"/>
        <v>3641.4137931034484</v>
      </c>
      <c r="X43" s="1070">
        <f t="shared" si="12"/>
        <v>1484.3793103448277</v>
      </c>
      <c r="Y43" s="1070">
        <f t="shared" si="12"/>
        <v>1495.4482758620691</v>
      </c>
      <c r="Z43" s="1070">
        <f t="shared" si="12"/>
        <v>1523.6896551724137</v>
      </c>
      <c r="AA43" s="1070">
        <f t="shared" si="12"/>
        <v>4503.5172413793107</v>
      </c>
      <c r="AB43" s="1070">
        <f t="shared" si="12"/>
        <v>1232.5862068965516</v>
      </c>
      <c r="AC43" s="1070">
        <f t="shared" si="12"/>
        <v>1282.8275862068965</v>
      </c>
      <c r="AD43" s="1070">
        <f t="shared" si="12"/>
        <v>1208.6206896551723</v>
      </c>
      <c r="AE43" s="1070">
        <f t="shared" si="12"/>
        <v>3724.0344827586205</v>
      </c>
      <c r="AF43" s="1070">
        <f t="shared" si="12"/>
        <v>1436.7241379310344</v>
      </c>
      <c r="AG43" s="1070">
        <f t="shared" si="12"/>
        <v>1447.344827586207</v>
      </c>
      <c r="AH43" s="1070">
        <f t="shared" si="12"/>
        <v>1516.9655172413793</v>
      </c>
      <c r="AI43" s="1070">
        <f t="shared" si="12"/>
        <v>4401.0344827586205</v>
      </c>
      <c r="AJ43" s="1070">
        <f t="shared" si="12"/>
        <v>1452.4482758620691</v>
      </c>
      <c r="AK43" s="1070">
        <f t="shared" si="12"/>
        <v>1470.8275862068965</v>
      </c>
      <c r="AL43" s="1070">
        <f t="shared" si="12"/>
        <v>1735.8965517241379</v>
      </c>
      <c r="AM43" s="1070">
        <f t="shared" si="12"/>
        <v>4659.1724137931033</v>
      </c>
      <c r="AN43" s="1070">
        <f t="shared" si="12"/>
        <v>33142.103448275862</v>
      </c>
      <c r="AO43" s="1070"/>
    </row>
    <row r="44" spans="1:41">
      <c r="A44" s="1033"/>
      <c r="B44" s="1315" t="s">
        <v>9888</v>
      </c>
      <c r="C44" s="1315"/>
      <c r="D44" s="1070">
        <f t="shared" ref="D44:AN44" si="13">IF(COUNT(D10:D40)=0,"",MAX(D10:D40))</f>
        <v>1861</v>
      </c>
      <c r="E44" s="1070">
        <f t="shared" si="13"/>
        <v>1743</v>
      </c>
      <c r="F44" s="1070">
        <f t="shared" si="13"/>
        <v>1794</v>
      </c>
      <c r="G44" s="1070">
        <f t="shared" si="13"/>
        <v>5261</v>
      </c>
      <c r="H44" s="1070">
        <f t="shared" si="13"/>
        <v>1917</v>
      </c>
      <c r="I44" s="1070">
        <f t="shared" si="13"/>
        <v>1687</v>
      </c>
      <c r="J44" s="1070">
        <f t="shared" si="13"/>
        <v>1786</v>
      </c>
      <c r="K44" s="1070">
        <f t="shared" si="13"/>
        <v>5070</v>
      </c>
      <c r="L44" s="1070">
        <f t="shared" si="13"/>
        <v>1695</v>
      </c>
      <c r="M44" s="1070">
        <f t="shared" si="13"/>
        <v>1589</v>
      </c>
      <c r="N44" s="1070">
        <f t="shared" si="13"/>
        <v>1620</v>
      </c>
      <c r="O44" s="1070">
        <f t="shared" si="13"/>
        <v>4830</v>
      </c>
      <c r="P44" s="1070">
        <f t="shared" si="13"/>
        <v>1335</v>
      </c>
      <c r="Q44" s="1070">
        <f t="shared" si="13"/>
        <v>1395</v>
      </c>
      <c r="R44" s="1070">
        <f t="shared" si="13"/>
        <v>1290</v>
      </c>
      <c r="S44" s="1070">
        <f t="shared" si="13"/>
        <v>3775</v>
      </c>
      <c r="T44" s="1070">
        <f t="shared" si="13"/>
        <v>1676</v>
      </c>
      <c r="U44" s="1070">
        <f t="shared" si="13"/>
        <v>1853</v>
      </c>
      <c r="V44" s="1070">
        <f t="shared" si="13"/>
        <v>1689</v>
      </c>
      <c r="W44" s="1070">
        <f t="shared" si="13"/>
        <v>5055</v>
      </c>
      <c r="X44" s="1070">
        <f t="shared" si="13"/>
        <v>1789</v>
      </c>
      <c r="Y44" s="1070">
        <f t="shared" si="13"/>
        <v>1764</v>
      </c>
      <c r="Z44" s="1070">
        <f t="shared" si="13"/>
        <v>1703</v>
      </c>
      <c r="AA44" s="1070">
        <f t="shared" si="13"/>
        <v>5108</v>
      </c>
      <c r="AB44" s="1070">
        <f t="shared" si="13"/>
        <v>1758</v>
      </c>
      <c r="AC44" s="1070">
        <f t="shared" si="13"/>
        <v>1776</v>
      </c>
      <c r="AD44" s="1070">
        <f t="shared" si="13"/>
        <v>1726</v>
      </c>
      <c r="AE44" s="1070">
        <f t="shared" si="13"/>
        <v>5060</v>
      </c>
      <c r="AF44" s="1070">
        <f t="shared" si="13"/>
        <v>1758</v>
      </c>
      <c r="AG44" s="1070">
        <f t="shared" si="13"/>
        <v>1804</v>
      </c>
      <c r="AH44" s="1070">
        <f t="shared" si="13"/>
        <v>1712</v>
      </c>
      <c r="AI44" s="1070">
        <f t="shared" si="13"/>
        <v>5090</v>
      </c>
      <c r="AJ44" s="1070">
        <f t="shared" si="13"/>
        <v>2010</v>
      </c>
      <c r="AK44" s="1070">
        <f t="shared" si="13"/>
        <v>2017</v>
      </c>
      <c r="AL44" s="1070">
        <f t="shared" si="13"/>
        <v>1949</v>
      </c>
      <c r="AM44" s="1070">
        <f t="shared" si="13"/>
        <v>5573</v>
      </c>
      <c r="AN44" s="1070">
        <f t="shared" si="13"/>
        <v>38024</v>
      </c>
      <c r="AO44" s="1070"/>
    </row>
    <row r="45" spans="1:41">
      <c r="A45" s="1033"/>
      <c r="B45" s="1315" t="s">
        <v>9889</v>
      </c>
      <c r="C45" s="1315"/>
      <c r="D45" s="1076">
        <f t="shared" ref="D45:AN45" si="14">COUNT(D10:D40)</f>
        <v>29</v>
      </c>
      <c r="E45" s="1076">
        <f t="shared" si="14"/>
        <v>29</v>
      </c>
      <c r="F45" s="1076">
        <f t="shared" si="14"/>
        <v>29</v>
      </c>
      <c r="G45" s="1076">
        <f t="shared" si="14"/>
        <v>29</v>
      </c>
      <c r="H45" s="1076">
        <f t="shared" si="14"/>
        <v>29</v>
      </c>
      <c r="I45" s="1076">
        <f t="shared" si="14"/>
        <v>29</v>
      </c>
      <c r="J45" s="1076">
        <f t="shared" si="14"/>
        <v>29</v>
      </c>
      <c r="K45" s="1076">
        <f t="shared" si="14"/>
        <v>29</v>
      </c>
      <c r="L45" s="1076">
        <f t="shared" si="14"/>
        <v>29</v>
      </c>
      <c r="M45" s="1076">
        <f t="shared" si="14"/>
        <v>29</v>
      </c>
      <c r="N45" s="1076">
        <f t="shared" si="14"/>
        <v>29</v>
      </c>
      <c r="O45" s="1076">
        <f t="shared" si="14"/>
        <v>29</v>
      </c>
      <c r="P45" s="1076">
        <f t="shared" si="14"/>
        <v>29</v>
      </c>
      <c r="Q45" s="1076">
        <f t="shared" si="14"/>
        <v>29</v>
      </c>
      <c r="R45" s="1076">
        <f t="shared" si="14"/>
        <v>29</v>
      </c>
      <c r="S45" s="1076">
        <f t="shared" si="14"/>
        <v>29</v>
      </c>
      <c r="T45" s="1076">
        <f t="shared" si="14"/>
        <v>29</v>
      </c>
      <c r="U45" s="1076">
        <f t="shared" si="14"/>
        <v>29</v>
      </c>
      <c r="V45" s="1076">
        <f t="shared" si="14"/>
        <v>29</v>
      </c>
      <c r="W45" s="1076">
        <f t="shared" si="14"/>
        <v>29</v>
      </c>
      <c r="X45" s="1076">
        <f t="shared" si="14"/>
        <v>29</v>
      </c>
      <c r="Y45" s="1076">
        <f t="shared" si="14"/>
        <v>29</v>
      </c>
      <c r="Z45" s="1076">
        <f t="shared" si="14"/>
        <v>29</v>
      </c>
      <c r="AA45" s="1076">
        <f t="shared" si="14"/>
        <v>29</v>
      </c>
      <c r="AB45" s="1076">
        <f t="shared" si="14"/>
        <v>29</v>
      </c>
      <c r="AC45" s="1076">
        <f t="shared" si="14"/>
        <v>29</v>
      </c>
      <c r="AD45" s="1076">
        <f t="shared" si="14"/>
        <v>29</v>
      </c>
      <c r="AE45" s="1076">
        <f t="shared" si="14"/>
        <v>29</v>
      </c>
      <c r="AF45" s="1076">
        <f t="shared" si="14"/>
        <v>29</v>
      </c>
      <c r="AG45" s="1076">
        <f t="shared" si="14"/>
        <v>29</v>
      </c>
      <c r="AH45" s="1076">
        <f t="shared" si="14"/>
        <v>29</v>
      </c>
      <c r="AI45" s="1076">
        <f t="shared" si="14"/>
        <v>29</v>
      </c>
      <c r="AJ45" s="1076">
        <f t="shared" si="14"/>
        <v>29</v>
      </c>
      <c r="AK45" s="1076">
        <f t="shared" si="14"/>
        <v>29</v>
      </c>
      <c r="AL45" s="1076">
        <f t="shared" si="14"/>
        <v>29</v>
      </c>
      <c r="AM45" s="1076">
        <f t="shared" si="14"/>
        <v>29</v>
      </c>
      <c r="AN45" s="1076">
        <f t="shared" si="14"/>
        <v>29</v>
      </c>
      <c r="AO45" s="1076"/>
    </row>
    <row r="46" spans="1:41">
      <c r="A46" s="1033"/>
      <c r="B46" s="1315" t="s">
        <v>9890</v>
      </c>
      <c r="C46" s="1315"/>
      <c r="D46" s="1070">
        <f t="shared" ref="D46:AN46" si="15">IF(D43="","",D43*CFG_DIAS)</f>
        <v>43916.896551724138</v>
      </c>
      <c r="E46" s="1070">
        <f t="shared" si="15"/>
        <v>43058.275862068971</v>
      </c>
      <c r="F46" s="1070">
        <f t="shared" si="15"/>
        <v>47622.413793103449</v>
      </c>
      <c r="G46" s="1070">
        <f t="shared" si="15"/>
        <v>134597.58620689655</v>
      </c>
      <c r="H46" s="1070">
        <f t="shared" si="15"/>
        <v>29541.724137931036</v>
      </c>
      <c r="I46" s="1070">
        <f t="shared" si="15"/>
        <v>28920</v>
      </c>
      <c r="J46" s="1070">
        <f t="shared" si="15"/>
        <v>29638.96551724138</v>
      </c>
      <c r="K46" s="1070">
        <f t="shared" si="15"/>
        <v>88100.68965517242</v>
      </c>
      <c r="L46" s="1070">
        <f t="shared" si="15"/>
        <v>31644.827586206895</v>
      </c>
      <c r="M46" s="1070">
        <f t="shared" si="15"/>
        <v>30600</v>
      </c>
      <c r="N46" s="1070">
        <f t="shared" si="15"/>
        <v>32154.827586206895</v>
      </c>
      <c r="O46" s="1070">
        <f t="shared" si="15"/>
        <v>94399.655172413797</v>
      </c>
      <c r="P46" s="1070">
        <f t="shared" si="15"/>
        <v>16805.172413793105</v>
      </c>
      <c r="Q46" s="1070">
        <f t="shared" si="15"/>
        <v>15613.448275862069</v>
      </c>
      <c r="R46" s="1070">
        <f t="shared" si="15"/>
        <v>16871.379310344826</v>
      </c>
      <c r="S46" s="1070">
        <f t="shared" si="15"/>
        <v>49290</v>
      </c>
      <c r="T46" s="1070">
        <f t="shared" si="15"/>
        <v>36270</v>
      </c>
      <c r="U46" s="1070">
        <f t="shared" si="15"/>
        <v>35241.724137931029</v>
      </c>
      <c r="V46" s="1070">
        <f t="shared" si="15"/>
        <v>37730.689655172413</v>
      </c>
      <c r="W46" s="1070">
        <f t="shared" si="15"/>
        <v>109242.41379310345</v>
      </c>
      <c r="X46" s="1070">
        <f t="shared" si="15"/>
        <v>44531.379310344833</v>
      </c>
      <c r="Y46" s="1070">
        <f t="shared" si="15"/>
        <v>44863.448275862072</v>
      </c>
      <c r="Z46" s="1070">
        <f t="shared" si="15"/>
        <v>45710.689655172413</v>
      </c>
      <c r="AA46" s="1070">
        <f t="shared" si="15"/>
        <v>135105.51724137933</v>
      </c>
      <c r="AB46" s="1070">
        <f t="shared" si="15"/>
        <v>36977.586206896551</v>
      </c>
      <c r="AC46" s="1070">
        <f t="shared" si="15"/>
        <v>38484.827586206899</v>
      </c>
      <c r="AD46" s="1070">
        <f t="shared" si="15"/>
        <v>36258.620689655167</v>
      </c>
      <c r="AE46" s="1070">
        <f t="shared" si="15"/>
        <v>111721.03448275861</v>
      </c>
      <c r="AF46" s="1070">
        <f t="shared" si="15"/>
        <v>43101.724137931029</v>
      </c>
      <c r="AG46" s="1070">
        <f t="shared" si="15"/>
        <v>43420.34482758621</v>
      </c>
      <c r="AH46" s="1070">
        <f t="shared" si="15"/>
        <v>45508.965517241377</v>
      </c>
      <c r="AI46" s="1070">
        <f t="shared" si="15"/>
        <v>132031.03448275861</v>
      </c>
      <c r="AJ46" s="1070">
        <f t="shared" si="15"/>
        <v>43573.448275862072</v>
      </c>
      <c r="AK46" s="1070">
        <f t="shared" si="15"/>
        <v>44124.827586206899</v>
      </c>
      <c r="AL46" s="1070">
        <f t="shared" si="15"/>
        <v>52076.896551724138</v>
      </c>
      <c r="AM46" s="1070">
        <f t="shared" si="15"/>
        <v>139775.1724137931</v>
      </c>
      <c r="AN46" s="1070">
        <f t="shared" si="15"/>
        <v>994263.10344827583</v>
      </c>
      <c r="AO46" s="1070"/>
    </row>
    <row r="47" spans="1:41">
      <c r="A47" s="1033"/>
      <c r="B47" s="1033"/>
      <c r="C47" s="1033"/>
      <c r="D47" s="1033"/>
      <c r="E47" s="1033"/>
      <c r="F47" s="1033"/>
      <c r="G47" s="1033"/>
      <c r="H47" s="1033"/>
      <c r="I47" s="1033"/>
      <c r="J47" s="1033"/>
      <c r="K47" s="1033"/>
      <c r="L47" s="1033"/>
      <c r="M47" s="1033"/>
      <c r="N47" s="1033"/>
      <c r="O47" s="1033"/>
      <c r="P47" s="1033"/>
      <c r="Q47" s="1033"/>
      <c r="R47" s="1033"/>
      <c r="S47" s="1033"/>
      <c r="T47" s="1033"/>
      <c r="U47" s="1033"/>
      <c r="V47" s="1033"/>
      <c r="W47" s="1033"/>
      <c r="X47" s="1033"/>
      <c r="Y47" s="1033"/>
      <c r="Z47" s="1033"/>
      <c r="AA47" s="1033"/>
      <c r="AB47" s="1033"/>
      <c r="AC47" s="1033"/>
      <c r="AD47" s="1033"/>
      <c r="AE47" s="1033"/>
      <c r="AF47" s="1033"/>
      <c r="AG47" s="1033"/>
      <c r="AH47" s="1033"/>
      <c r="AI47" s="1033"/>
      <c r="AJ47" s="1033"/>
      <c r="AK47" s="1033"/>
      <c r="AL47" s="1033"/>
      <c r="AM47" s="1033"/>
      <c r="AN47" s="1033"/>
      <c r="AO47" s="1033"/>
    </row>
    <row r="48" spans="1:41">
      <c r="A48" s="1033"/>
      <c r="B48" s="1033"/>
      <c r="C48" s="1033"/>
      <c r="D48" s="1033"/>
      <c r="E48" s="1033"/>
      <c r="F48" s="1033"/>
      <c r="G48" s="1033"/>
      <c r="H48" s="1033"/>
      <c r="I48" s="1033"/>
      <c r="J48" s="1033"/>
      <c r="K48" s="1033"/>
      <c r="L48" s="1033"/>
      <c r="M48" s="1033"/>
      <c r="N48" s="1033"/>
      <c r="O48" s="1033"/>
      <c r="P48" s="1033"/>
      <c r="Q48" s="1033"/>
      <c r="R48" s="1033"/>
      <c r="S48" s="1033"/>
      <c r="T48" s="1033"/>
      <c r="U48" s="1033"/>
      <c r="V48" s="1033"/>
      <c r="W48" s="1033"/>
      <c r="X48" s="1033"/>
      <c r="Y48" s="1033"/>
      <c r="Z48" s="1033"/>
      <c r="AA48" s="1033"/>
      <c r="AB48" s="1033"/>
      <c r="AC48" s="1033"/>
      <c r="AD48" s="1033"/>
      <c r="AE48" s="1033"/>
      <c r="AF48" s="1033"/>
      <c r="AG48" s="1033"/>
      <c r="AH48" s="1033"/>
      <c r="AI48" s="1033"/>
      <c r="AJ48" s="1033"/>
      <c r="AK48" s="1033"/>
      <c r="AL48" s="1033"/>
      <c r="AM48" s="1033"/>
      <c r="AN48" s="1033"/>
      <c r="AO48" s="1033"/>
    </row>
    <row r="49" spans="1:41">
      <c r="A49" s="1033"/>
      <c r="B49" s="1033"/>
      <c r="C49" s="1033"/>
      <c r="D49" s="1033"/>
      <c r="E49" s="1033"/>
      <c r="F49" s="1033"/>
      <c r="G49" s="1033"/>
      <c r="H49" s="1033"/>
      <c r="I49" s="1033"/>
      <c r="J49" s="1033"/>
      <c r="K49" s="1033"/>
      <c r="L49" s="1033"/>
      <c r="M49" s="1033"/>
      <c r="N49" s="1033"/>
      <c r="O49" s="1033"/>
      <c r="P49" s="1033"/>
      <c r="Q49" s="1033"/>
      <c r="R49" s="1033"/>
      <c r="S49" s="1033"/>
      <c r="T49" s="1033"/>
      <c r="U49" s="1033"/>
      <c r="V49" s="1033"/>
      <c r="W49" s="1033"/>
      <c r="X49" s="1033"/>
      <c r="Y49" s="1033"/>
      <c r="Z49" s="1033"/>
      <c r="AA49" s="1033"/>
      <c r="AB49" s="1033"/>
      <c r="AC49" s="1033"/>
      <c r="AD49" s="1033"/>
      <c r="AE49" s="1033"/>
      <c r="AF49" s="1033"/>
      <c r="AG49" s="1033"/>
      <c r="AH49" s="1033"/>
      <c r="AI49" s="1033"/>
      <c r="AJ49" s="1033"/>
      <c r="AK49" s="1033"/>
      <c r="AL49" s="1033"/>
      <c r="AM49" s="1033"/>
      <c r="AN49" s="1033"/>
      <c r="AO49" s="1033"/>
    </row>
    <row r="50" spans="1:41">
      <c r="A50" s="1033"/>
      <c r="B50" s="1033"/>
      <c r="C50" s="1033"/>
      <c r="D50" s="1033"/>
      <c r="E50" s="1033"/>
      <c r="F50" s="1033"/>
      <c r="G50" s="1033"/>
      <c r="H50" s="1033"/>
      <c r="I50" s="1033"/>
      <c r="J50" s="1033"/>
      <c r="K50" s="1033"/>
      <c r="L50" s="1033"/>
      <c r="M50" s="1033"/>
      <c r="N50" s="1033"/>
      <c r="O50" s="1033"/>
      <c r="P50" s="1033"/>
      <c r="Q50" s="1033"/>
      <c r="R50" s="1033"/>
      <c r="S50" s="1033"/>
      <c r="T50" s="1033"/>
      <c r="U50" s="1033"/>
      <c r="V50" s="1033"/>
      <c r="W50" s="1033"/>
      <c r="X50" s="1033"/>
      <c r="Y50" s="1033"/>
      <c r="Z50" s="1033"/>
      <c r="AA50" s="1033"/>
      <c r="AB50" s="1033"/>
      <c r="AC50" s="1033"/>
      <c r="AD50" s="1033"/>
      <c r="AE50" s="1033"/>
      <c r="AF50" s="1033"/>
      <c r="AG50" s="1033"/>
      <c r="AH50" s="1033"/>
      <c r="AI50" s="1033"/>
      <c r="AJ50" s="1033"/>
      <c r="AK50" s="1033"/>
      <c r="AL50" s="1033"/>
      <c r="AM50" s="1033"/>
      <c r="AN50" s="1033"/>
      <c r="AO50" s="1033"/>
    </row>
    <row r="51" spans="1:41">
      <c r="A51" s="1033"/>
      <c r="B51" s="1033"/>
      <c r="C51" s="1033"/>
      <c r="D51" s="1033"/>
      <c r="E51" s="1033"/>
      <c r="F51" s="1033"/>
      <c r="G51" s="1033"/>
      <c r="H51" s="1033"/>
      <c r="I51" s="1033"/>
      <c r="J51" s="1033"/>
      <c r="K51" s="1033"/>
      <c r="L51" s="1033"/>
      <c r="M51" s="1033"/>
      <c r="N51" s="1033"/>
      <c r="O51" s="1033"/>
      <c r="P51" s="1033"/>
      <c r="Q51" s="1033"/>
      <c r="R51" s="1033"/>
      <c r="S51" s="1033"/>
      <c r="T51" s="1033"/>
      <c r="U51" s="1033"/>
      <c r="V51" s="1033"/>
      <c r="W51" s="1033"/>
      <c r="X51" s="1033"/>
      <c r="Y51" s="1033"/>
      <c r="Z51" s="1033"/>
      <c r="AA51" s="1033"/>
      <c r="AB51" s="1033"/>
      <c r="AC51" s="1033"/>
      <c r="AD51" s="1033"/>
      <c r="AE51" s="1033"/>
      <c r="AF51" s="1033"/>
      <c r="AG51" s="1033"/>
      <c r="AH51" s="1033"/>
      <c r="AI51" s="1033"/>
      <c r="AJ51" s="1033"/>
      <c r="AK51" s="1033"/>
      <c r="AL51" s="1033"/>
      <c r="AM51" s="1033"/>
      <c r="AN51" s="1033"/>
      <c r="AO51" s="1033"/>
    </row>
    <row r="52" spans="1:41">
      <c r="A52" s="1033"/>
      <c r="B52" s="1033"/>
      <c r="C52" s="1033"/>
      <c r="D52" s="1033"/>
      <c r="E52" s="1033"/>
      <c r="F52" s="1033"/>
      <c r="G52" s="1033"/>
      <c r="H52" s="1033"/>
      <c r="I52" s="1033"/>
      <c r="J52" s="1033"/>
      <c r="K52" s="1033"/>
      <c r="L52" s="1033"/>
      <c r="M52" s="1033"/>
      <c r="N52" s="1033"/>
      <c r="O52" s="1033"/>
      <c r="P52" s="1033"/>
      <c r="Q52" s="1033"/>
      <c r="R52" s="1033"/>
      <c r="S52" s="1033"/>
      <c r="T52" s="1033"/>
      <c r="U52" s="1033"/>
      <c r="V52" s="1033"/>
      <c r="W52" s="1033"/>
      <c r="X52" s="1033"/>
      <c r="Y52" s="1033"/>
      <c r="Z52" s="1033"/>
      <c r="AA52" s="1033"/>
      <c r="AB52" s="1033"/>
      <c r="AC52" s="1033"/>
      <c r="AD52" s="1033"/>
      <c r="AE52" s="1033"/>
      <c r="AF52" s="1033"/>
      <c r="AG52" s="1033"/>
      <c r="AH52" s="1033"/>
      <c r="AI52" s="1033"/>
      <c r="AJ52" s="1033"/>
      <c r="AK52" s="1033"/>
      <c r="AL52" s="1033"/>
      <c r="AM52" s="1033"/>
      <c r="AN52" s="1033"/>
      <c r="AO52" s="1033"/>
    </row>
    <row r="53" spans="1:41">
      <c r="A53" s="1033"/>
      <c r="B53" s="1033"/>
      <c r="C53" s="1033"/>
      <c r="D53" s="1033"/>
      <c r="E53" s="1033"/>
      <c r="F53" s="1033"/>
      <c r="G53" s="1033"/>
      <c r="H53" s="1033"/>
      <c r="I53" s="1033"/>
      <c r="J53" s="1033"/>
      <c r="K53" s="1033"/>
      <c r="L53" s="1033"/>
      <c r="M53" s="1033"/>
      <c r="N53" s="1033"/>
      <c r="O53" s="1033"/>
      <c r="P53" s="1033"/>
      <c r="Q53" s="1033"/>
      <c r="R53" s="1033"/>
      <c r="S53" s="1033"/>
      <c r="T53" s="1033"/>
      <c r="U53" s="1033"/>
      <c r="V53" s="1033"/>
      <c r="W53" s="1033"/>
      <c r="X53" s="1033"/>
      <c r="Y53" s="1033"/>
      <c r="Z53" s="1033"/>
      <c r="AA53" s="1033"/>
      <c r="AB53" s="1033"/>
      <c r="AC53" s="1033"/>
      <c r="AD53" s="1033"/>
      <c r="AE53" s="1033"/>
      <c r="AF53" s="1033"/>
      <c r="AG53" s="1033"/>
      <c r="AH53" s="1033"/>
      <c r="AI53" s="1033"/>
      <c r="AJ53" s="1033"/>
      <c r="AK53" s="1033"/>
      <c r="AL53" s="1033"/>
      <c r="AM53" s="1033"/>
      <c r="AN53" s="1033"/>
      <c r="AO53" s="1033"/>
    </row>
    <row r="54" spans="1:41">
      <c r="A54" s="1033"/>
      <c r="B54" s="1033"/>
      <c r="C54" s="1033"/>
      <c r="D54" s="1033"/>
      <c r="E54" s="1033"/>
      <c r="F54" s="1033"/>
      <c r="G54" s="1033"/>
      <c r="H54" s="1033"/>
      <c r="I54" s="1033"/>
      <c r="J54" s="1033"/>
      <c r="K54" s="1033"/>
      <c r="L54" s="1033"/>
      <c r="M54" s="1033"/>
      <c r="N54" s="1033"/>
      <c r="O54" s="1033"/>
      <c r="P54" s="1033"/>
      <c r="Q54" s="1033"/>
      <c r="R54" s="1033"/>
      <c r="S54" s="1033"/>
      <c r="T54" s="1033"/>
      <c r="U54" s="1033"/>
      <c r="V54" s="1033"/>
      <c r="W54" s="1033"/>
      <c r="X54" s="1033"/>
      <c r="Y54" s="1033"/>
      <c r="Z54" s="1033"/>
      <c r="AA54" s="1033"/>
      <c r="AB54" s="1033"/>
      <c r="AC54" s="1033"/>
      <c r="AD54" s="1033"/>
      <c r="AE54" s="1033"/>
      <c r="AF54" s="1033"/>
      <c r="AG54" s="1033"/>
      <c r="AH54" s="1033"/>
      <c r="AI54" s="1033"/>
      <c r="AJ54" s="1033"/>
      <c r="AK54" s="1033"/>
      <c r="AL54" s="1033"/>
      <c r="AM54" s="1033"/>
      <c r="AN54" s="1033"/>
      <c r="AO54" s="1033"/>
    </row>
    <row r="55" spans="1:41">
      <c r="A55" s="1033"/>
      <c r="B55" s="1033"/>
      <c r="C55" s="1033"/>
      <c r="D55" s="1033"/>
      <c r="E55" s="1033"/>
      <c r="F55" s="1033"/>
      <c r="G55" s="1033"/>
      <c r="H55" s="1033"/>
      <c r="I55" s="1033"/>
      <c r="J55" s="1033"/>
      <c r="K55" s="1033"/>
      <c r="L55" s="1033"/>
      <c r="M55" s="1033"/>
      <c r="N55" s="1033"/>
      <c r="O55" s="1033"/>
      <c r="P55" s="1033"/>
      <c r="Q55" s="1033"/>
      <c r="R55" s="1033"/>
      <c r="S55" s="1033"/>
      <c r="T55" s="1033"/>
      <c r="U55" s="1033"/>
      <c r="V55" s="1033"/>
      <c r="W55" s="1033"/>
      <c r="X55" s="1033"/>
      <c r="Y55" s="1033"/>
      <c r="Z55" s="1033"/>
      <c r="AA55" s="1033"/>
      <c r="AB55" s="1033"/>
      <c r="AC55" s="1033"/>
      <c r="AD55" s="1033"/>
      <c r="AE55" s="1033"/>
      <c r="AF55" s="1033"/>
      <c r="AG55" s="1033"/>
      <c r="AH55" s="1033"/>
      <c r="AI55" s="1033"/>
      <c r="AJ55" s="1033"/>
      <c r="AK55" s="1033"/>
      <c r="AL55" s="1033"/>
      <c r="AM55" s="1033"/>
      <c r="AN55" s="1033"/>
      <c r="AO55" s="1033"/>
    </row>
    <row r="56" spans="1:41">
      <c r="A56" s="1033"/>
      <c r="B56" s="1033"/>
      <c r="C56" s="1033"/>
      <c r="D56" s="1033"/>
      <c r="E56" s="1033"/>
      <c r="F56" s="1033"/>
      <c r="G56" s="1033"/>
      <c r="H56" s="1033"/>
      <c r="I56" s="1033"/>
      <c r="J56" s="1033"/>
      <c r="K56" s="1033"/>
      <c r="L56" s="1033"/>
      <c r="M56" s="1033"/>
      <c r="N56" s="1033"/>
      <c r="O56" s="1033"/>
      <c r="P56" s="1033"/>
      <c r="Q56" s="1033"/>
      <c r="R56" s="1033"/>
      <c r="S56" s="1033"/>
      <c r="T56" s="1033"/>
      <c r="U56" s="1033"/>
      <c r="V56" s="1033"/>
      <c r="W56" s="1033"/>
      <c r="X56" s="1033"/>
      <c r="Y56" s="1033"/>
      <c r="Z56" s="1033"/>
      <c r="AA56" s="1033"/>
      <c r="AB56" s="1033"/>
      <c r="AC56" s="1033"/>
      <c r="AD56" s="1033"/>
      <c r="AE56" s="1033"/>
      <c r="AF56" s="1033"/>
      <c r="AG56" s="1033"/>
      <c r="AH56" s="1033"/>
      <c r="AI56" s="1033"/>
      <c r="AJ56" s="1033"/>
      <c r="AK56" s="1033"/>
      <c r="AL56" s="1033"/>
      <c r="AM56" s="1033"/>
      <c r="AN56" s="1033"/>
      <c r="AO56" s="1033"/>
    </row>
    <row r="57" spans="1:41">
      <c r="A57" s="1033"/>
      <c r="B57" s="1033"/>
      <c r="C57" s="1033"/>
      <c r="D57" s="1033"/>
      <c r="E57" s="1033"/>
      <c r="F57" s="1033"/>
      <c r="G57" s="1033"/>
      <c r="H57" s="1033"/>
      <c r="I57" s="1033"/>
      <c r="J57" s="1033"/>
      <c r="K57" s="1033"/>
      <c r="L57" s="1033"/>
      <c r="M57" s="1033"/>
      <c r="N57" s="1033"/>
      <c r="O57" s="1033"/>
      <c r="P57" s="1033"/>
      <c r="Q57" s="1033"/>
      <c r="R57" s="1033"/>
      <c r="S57" s="1033"/>
      <c r="T57" s="1033"/>
      <c r="U57" s="1033"/>
      <c r="V57" s="1033"/>
      <c r="W57" s="1033"/>
      <c r="X57" s="1033"/>
      <c r="Y57" s="1033"/>
      <c r="Z57" s="1033"/>
      <c r="AA57" s="1033"/>
      <c r="AB57" s="1033"/>
      <c r="AC57" s="1033"/>
      <c r="AD57" s="1033"/>
      <c r="AE57" s="1033"/>
      <c r="AF57" s="1033"/>
      <c r="AG57" s="1033"/>
      <c r="AH57" s="1033"/>
      <c r="AI57" s="1033"/>
      <c r="AJ57" s="1033"/>
      <c r="AK57" s="1033"/>
      <c r="AL57" s="1033"/>
      <c r="AM57" s="1033"/>
      <c r="AN57" s="1033"/>
      <c r="AO57" s="1033"/>
    </row>
    <row r="58" spans="1:41">
      <c r="A58" s="1033"/>
      <c r="B58" s="1033"/>
      <c r="C58" s="1033"/>
      <c r="D58" s="1033"/>
      <c r="E58" s="1033"/>
      <c r="F58" s="1033"/>
      <c r="G58" s="1033"/>
      <c r="H58" s="1033"/>
      <c r="I58" s="1033"/>
      <c r="J58" s="1033"/>
      <c r="K58" s="1033"/>
      <c r="L58" s="1033"/>
      <c r="M58" s="1033"/>
      <c r="N58" s="1033"/>
      <c r="O58" s="1033"/>
      <c r="P58" s="1033"/>
      <c r="Q58" s="1033"/>
      <c r="R58" s="1033"/>
      <c r="S58" s="1033"/>
      <c r="T58" s="1033"/>
      <c r="U58" s="1033"/>
      <c r="V58" s="1033"/>
      <c r="W58" s="1033"/>
      <c r="X58" s="1033"/>
      <c r="Y58" s="1033"/>
      <c r="Z58" s="1033"/>
      <c r="AA58" s="1033"/>
      <c r="AB58" s="1033"/>
      <c r="AC58" s="1033"/>
      <c r="AD58" s="1033"/>
      <c r="AE58" s="1033"/>
      <c r="AF58" s="1033"/>
      <c r="AG58" s="1033"/>
      <c r="AH58" s="1033"/>
      <c r="AI58" s="1033"/>
      <c r="AJ58" s="1033"/>
      <c r="AK58" s="1033"/>
      <c r="AL58" s="1033"/>
      <c r="AM58" s="1033"/>
      <c r="AN58" s="1033"/>
      <c r="AO58" s="1033"/>
    </row>
    <row r="59" spans="1:41">
      <c r="A59" s="1033"/>
      <c r="B59" s="1033"/>
      <c r="C59" s="1033"/>
      <c r="D59" s="1033"/>
      <c r="E59" s="1033"/>
      <c r="F59" s="1033"/>
      <c r="G59" s="1033"/>
      <c r="H59" s="1033"/>
      <c r="I59" s="1033"/>
      <c r="J59" s="1033"/>
      <c r="K59" s="1033"/>
      <c r="L59" s="1033"/>
      <c r="M59" s="1033"/>
      <c r="N59" s="1033"/>
      <c r="O59" s="1033"/>
      <c r="P59" s="1033"/>
      <c r="Q59" s="1033"/>
      <c r="R59" s="1033"/>
      <c r="S59" s="1033"/>
      <c r="T59" s="1033"/>
      <c r="U59" s="1033"/>
      <c r="V59" s="1033"/>
      <c r="W59" s="1033"/>
      <c r="X59" s="1033"/>
      <c r="Y59" s="1033"/>
      <c r="Z59" s="1033"/>
      <c r="AA59" s="1033"/>
      <c r="AB59" s="1033"/>
      <c r="AC59" s="1033"/>
      <c r="AD59" s="1033"/>
      <c r="AE59" s="1033"/>
      <c r="AF59" s="1033"/>
      <c r="AG59" s="1033"/>
      <c r="AH59" s="1033"/>
      <c r="AI59" s="1033"/>
      <c r="AJ59" s="1033"/>
      <c r="AK59" s="1033"/>
      <c r="AL59" s="1033"/>
      <c r="AM59" s="1033"/>
      <c r="AN59" s="1033"/>
      <c r="AO59" s="1033"/>
    </row>
    <row r="60" spans="1:41">
      <c r="A60" s="1033"/>
      <c r="B60" s="1033"/>
      <c r="C60" s="1033"/>
      <c r="D60" s="1033"/>
      <c r="E60" s="1033"/>
      <c r="F60" s="1033"/>
      <c r="G60" s="1033"/>
      <c r="H60" s="1033"/>
      <c r="I60" s="1033"/>
      <c r="J60" s="1033"/>
      <c r="K60" s="1033"/>
      <c r="L60" s="1033"/>
      <c r="M60" s="1033"/>
      <c r="N60" s="1033"/>
      <c r="O60" s="1033"/>
      <c r="P60" s="1033"/>
      <c r="Q60" s="1033"/>
      <c r="R60" s="1033"/>
      <c r="S60" s="1033"/>
      <c r="T60" s="1033"/>
      <c r="U60" s="1033"/>
      <c r="V60" s="1033"/>
      <c r="W60" s="1033"/>
      <c r="X60" s="1033"/>
      <c r="Y60" s="1033"/>
      <c r="Z60" s="1033"/>
      <c r="AA60" s="1033"/>
      <c r="AB60" s="1033"/>
      <c r="AC60" s="1033"/>
      <c r="AD60" s="1033"/>
      <c r="AE60" s="1033"/>
      <c r="AF60" s="1033"/>
      <c r="AG60" s="1033"/>
      <c r="AH60" s="1033"/>
      <c r="AI60" s="1033"/>
      <c r="AJ60" s="1033"/>
      <c r="AK60" s="1033"/>
      <c r="AL60" s="1033"/>
      <c r="AM60" s="1033"/>
      <c r="AN60" s="1033"/>
      <c r="AO60" s="1033"/>
    </row>
  </sheetData>
  <mergeCells count="9">
    <mergeCell ref="B44:C44"/>
    <mergeCell ref="B45:C45"/>
    <mergeCell ref="B46:C46"/>
    <mergeCell ref="B1:AO1"/>
    <mergeCell ref="D3:F3"/>
    <mergeCell ref="D4:G4"/>
    <mergeCell ref="D5:F5"/>
    <mergeCell ref="B42:C42"/>
    <mergeCell ref="B43:C43"/>
  </mergeCells>
  <dataValidations count="1">
    <dataValidation type="custom" allowBlank="1" showInputMessage="1" showErrorMessage="1" errorTitle="Valor no válido" error="Escriba un número dentro del rango Mín/Máx de la columna (Catálogo Controles), en un día del mes." sqref="AJ10:AL40 AF10:AH40 AB10:AD40 X10:Z40 T10:V40 P10:R40 L10:N40 H10:J40 D10:F40" xr:uid="{1200F3DA-ECF6-48E2-812F-092FB10A3DE3}">
      <formula1>AND($B10&lt;&gt;"",ISNUMBER(D10),D10&gt;=D$6,D10&lt;=D$7)</formula1>
    </dataValidation>
  </dataValidations>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Toneladas Molinos — Página &amp;P de &amp;F</oddFooter>
  </headerFooter>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BEE6C-E3EA-44DF-BE33-53AEE5B11426}">
  <sheetPr codeName="Hoja23">
    <tabColor rgb="FF548235"/>
    <pageSetUpPr fitToPage="1"/>
  </sheetPr>
  <dimension ref="A1:AV60"/>
  <sheetViews>
    <sheetView showGridLines="0" zoomScale="85" zoomScaleNormal="85" workbookViewId="0">
      <pane xSplit="3" ySplit="9" topLeftCell="D17" activePane="bottomRight" state="frozen"/>
      <selection pane="topRight" activeCell="D1" sqref="D1"/>
      <selection pane="bottomLeft" activeCell="A10" sqref="A10"/>
      <selection pane="bottomRight" activeCell="B48" sqref="B48"/>
    </sheetView>
  </sheetViews>
  <sheetFormatPr baseColWidth="10" defaultRowHeight="15"/>
  <cols>
    <col min="1" max="1" width="2.85546875" customWidth="1"/>
    <col min="2" max="2" width="23.85546875" customWidth="1"/>
    <col min="3" max="3" width="7.5703125" customWidth="1"/>
    <col min="4" max="27" width="12.5703125" customWidth="1"/>
    <col min="28" max="28" width="20" customWidth="1"/>
    <col min="29" max="47" width="11" style="1033" customWidth="1"/>
    <col min="48" max="48" width="13.28515625" style="1033" customWidth="1"/>
  </cols>
  <sheetData>
    <row r="1" spans="1:48" ht="22.5" customHeight="1">
      <c r="A1" s="1033"/>
      <c r="B1" s="1219" t="s">
        <v>9904</v>
      </c>
      <c r="C1" s="1220"/>
      <c r="D1" s="1220"/>
      <c r="E1" s="1220"/>
      <c r="F1" s="1220"/>
      <c r="G1" s="1220"/>
      <c r="H1" s="1220"/>
      <c r="I1" s="1220"/>
      <c r="J1" s="1220"/>
      <c r="K1" s="1220"/>
      <c r="L1" s="1220"/>
      <c r="M1" s="1220"/>
      <c r="N1" s="1220"/>
      <c r="O1" s="1220"/>
      <c r="P1" s="1220"/>
      <c r="Q1" s="1220"/>
      <c r="R1" s="1220"/>
      <c r="S1" s="1220"/>
      <c r="T1" s="1220"/>
      <c r="U1" s="1220"/>
      <c r="V1" s="1220"/>
      <c r="W1" s="1220"/>
      <c r="X1" s="1220"/>
      <c r="Y1" s="1220"/>
      <c r="Z1" s="1220"/>
      <c r="AA1" s="1220"/>
      <c r="AB1" s="1220"/>
    </row>
    <row r="2" spans="1:48">
      <c r="A2" s="1033"/>
      <c r="B2" s="1033"/>
      <c r="C2" s="1033"/>
      <c r="D2" s="1033"/>
      <c r="E2" s="1033"/>
      <c r="F2" s="1033"/>
      <c r="G2" s="1033"/>
      <c r="H2" s="1033"/>
      <c r="I2" s="1033"/>
      <c r="J2" s="1033"/>
      <c r="K2" s="1033"/>
      <c r="L2" s="1033"/>
      <c r="M2" s="1033"/>
      <c r="N2" s="1033"/>
      <c r="O2" s="1033"/>
      <c r="P2" s="1033"/>
      <c r="Q2" s="1033"/>
      <c r="R2" s="1033"/>
      <c r="S2" s="1033"/>
      <c r="T2" s="1033"/>
      <c r="U2" s="1033"/>
      <c r="V2" s="1033"/>
      <c r="W2" s="1033"/>
      <c r="X2" s="1033"/>
      <c r="Y2" s="1033"/>
      <c r="Z2" s="1033"/>
      <c r="AA2" s="1033"/>
      <c r="AB2" s="1033"/>
    </row>
    <row r="3" spans="1:48" ht="15.75">
      <c r="A3" s="1033"/>
      <c r="B3" s="1045"/>
      <c r="C3" s="1047" t="s">
        <v>323</v>
      </c>
      <c r="D3" s="1308" t="str">
        <f>CFG_MES_TXT</f>
        <v>Setiembre 2026</v>
      </c>
      <c r="E3" s="1308"/>
      <c r="F3" s="1308"/>
      <c r="G3" s="1033"/>
      <c r="H3" s="1033"/>
      <c r="I3" s="1033"/>
      <c r="J3" s="1033"/>
      <c r="K3" s="1033"/>
      <c r="L3" s="1033"/>
      <c r="M3" s="1033"/>
      <c r="N3" s="1033"/>
      <c r="O3" s="1033"/>
      <c r="P3" s="1033"/>
      <c r="Q3" s="1033"/>
      <c r="R3" s="1033"/>
      <c r="S3" s="1033"/>
      <c r="T3" s="1033"/>
      <c r="U3" s="1033"/>
      <c r="V3" s="1033"/>
      <c r="W3" s="1033"/>
      <c r="X3" s="1033"/>
      <c r="Y3" s="1033"/>
      <c r="Z3" s="1033"/>
      <c r="AA3" s="1033"/>
      <c r="AB3" s="1033"/>
      <c r="AC3" s="1221" t="s">
        <v>9972</v>
      </c>
      <c r="AD3" s="1221"/>
      <c r="AE3" s="1221"/>
      <c r="AF3" s="1221"/>
      <c r="AG3" s="1221"/>
      <c r="AH3" s="1221"/>
      <c r="AI3" s="1221"/>
      <c r="AJ3" s="1221"/>
      <c r="AK3" s="1221"/>
      <c r="AL3" s="1221"/>
      <c r="AM3" s="1221"/>
      <c r="AN3" s="1221"/>
      <c r="AO3" s="1221"/>
      <c r="AP3" s="1221"/>
      <c r="AQ3" s="1221"/>
      <c r="AR3" s="1221"/>
      <c r="AS3" s="1221"/>
      <c r="AT3" s="1221"/>
      <c r="AU3" s="1221"/>
    </row>
    <row r="4" spans="1:48">
      <c r="A4" s="1033"/>
      <c r="B4" s="1045" t="s">
        <v>9881</v>
      </c>
      <c r="C4" s="1033"/>
      <c r="D4" s="1220" t="str">
        <f ca="1">COUNTIF(AB10:AB40,"✔")&amp;" de "&amp;MAX(0,MIN(CFG_DIAS,TODAY()-CFG_MES+1))&amp;" transcurridos"</f>
        <v>29 de 30 transcurridos</v>
      </c>
      <c r="E4" s="1220"/>
      <c r="F4" s="1220"/>
      <c r="G4" s="1220"/>
      <c r="H4" s="1033"/>
      <c r="I4" s="1033"/>
      <c r="J4" s="1033"/>
      <c r="K4" s="1033"/>
      <c r="L4" s="1033"/>
      <c r="M4" s="1033"/>
      <c r="N4" s="1033"/>
      <c r="O4" s="1033"/>
      <c r="P4" s="1033"/>
      <c r="Q4" s="1033"/>
      <c r="R4" s="1033"/>
      <c r="S4" s="1033"/>
      <c r="T4" s="1033"/>
      <c r="U4" s="1033"/>
      <c r="V4" s="1033"/>
      <c r="W4" s="1033"/>
      <c r="X4" s="1033"/>
      <c r="Y4" s="1033"/>
      <c r="Z4" s="1033"/>
      <c r="AA4" s="1033"/>
      <c r="AB4" s="1033"/>
      <c r="AC4" s="1320" t="s">
        <v>433</v>
      </c>
      <c r="AD4" s="1320"/>
      <c r="AE4" s="1320"/>
      <c r="AF4" s="1320"/>
      <c r="AG4" s="1320"/>
      <c r="AH4" s="1320"/>
      <c r="AI4" s="1320"/>
      <c r="AJ4" s="1320"/>
      <c r="AK4" s="1320"/>
      <c r="AL4" s="1320" t="s">
        <v>434</v>
      </c>
      <c r="AM4" s="1320"/>
      <c r="AN4" s="1320"/>
      <c r="AO4" s="1320"/>
      <c r="AP4" s="1320"/>
      <c r="AQ4" s="1320"/>
      <c r="AR4" s="1320"/>
      <c r="AS4" s="1320"/>
      <c r="AT4" s="1320"/>
      <c r="AU4" s="1320"/>
    </row>
    <row r="5" spans="1:48">
      <c r="A5" s="1033"/>
      <c r="B5" s="1045" t="s">
        <v>9882</v>
      </c>
      <c r="C5" s="1033"/>
      <c r="D5" s="1220" t="s">
        <v>9451</v>
      </c>
      <c r="E5" s="1220"/>
      <c r="F5" s="1220"/>
      <c r="G5" s="1033"/>
      <c r="H5" s="1033"/>
      <c r="I5" s="981" t="s">
        <v>9917</v>
      </c>
      <c r="J5" s="1033"/>
      <c r="K5" s="1033"/>
      <c r="L5" s="1033"/>
      <c r="M5" s="1033"/>
      <c r="N5" s="1033"/>
      <c r="O5" s="1033"/>
      <c r="P5" s="1033"/>
      <c r="Q5" s="1033"/>
      <c r="R5" s="1033"/>
      <c r="S5" s="1033"/>
      <c r="T5" s="1033"/>
      <c r="U5" s="1033"/>
      <c r="V5" s="1033"/>
      <c r="W5" s="1033"/>
      <c r="X5" s="1033"/>
      <c r="Y5" s="1033"/>
      <c r="Z5" s="1033"/>
      <c r="AA5" s="1033"/>
      <c r="AB5" s="1109" t="s">
        <v>9966</v>
      </c>
      <c r="AC5" s="1106" cm="1">
        <f t="array" ref="AC5">IFERROR(INDEX(tblCatControles[Referencia],MATCH(1,INDEX((tblCatControles[Módulo]="CARGA MOLINOS")*(tblCatControles[Ítem]=AC$8),0),0))+0,"")</f>
        <v>92</v>
      </c>
      <c r="AD5" s="1106" cm="1">
        <f t="array" ref="AD5">IFERROR(INDEX(tblCatControles[Referencia],MATCH(1,INDEX((tblCatControles[Módulo]="CARGA MOLINOS")*(tblCatControles[Ítem]=AD$8),0),0))+0,"")</f>
        <v>90</v>
      </c>
      <c r="AE5" s="1106" cm="1">
        <f t="array" ref="AE5">IFERROR(INDEX(tblCatControles[Referencia],MATCH(1,INDEX((tblCatControles[Módulo]="CARGA MOLINOS")*(tblCatControles[Ítem]=AE$8),0),0))+0,"")</f>
        <v>90</v>
      </c>
      <c r="AF5" s="1106" cm="1">
        <f t="array" ref="AF5">IFERROR(INDEX(tblCatControles[Referencia],MATCH(1,INDEX((tblCatControles[Módulo]="CARGA MOLINOS")*(tblCatControles[Ítem]=AF$8),0),0))+0,"")</f>
        <v>90</v>
      </c>
      <c r="AG5" s="1106" cm="1">
        <f t="array" ref="AG5">IFERROR(INDEX(tblCatControles[Referencia],MATCH(1,INDEX((tblCatControles[Módulo]="CARGA MOLINOS")*(tblCatControles[Ítem]=AG$8),0),0))+0,"")</f>
        <v>92</v>
      </c>
      <c r="AH5" s="1106" cm="1">
        <f t="array" ref="AH5">IFERROR(INDEX(tblCatControles[Referencia],MATCH(1,INDEX((tblCatControles[Módulo]="CARGA MOLINOS")*(tblCatControles[Ítem]=AH$8),0),0))+0,"")</f>
        <v>92</v>
      </c>
      <c r="AI5" s="1106" cm="1">
        <f t="array" ref="AI5">IFERROR(INDEX(tblCatControles[Referencia],MATCH(1,INDEX((tblCatControles[Módulo]="CARGA MOLINOS")*(tblCatControles[Ítem]=AI$8),0),0))+0,"")</f>
        <v>92</v>
      </c>
      <c r="AJ5" s="1106" cm="1">
        <f t="array" ref="AJ5">IFERROR(INDEX(tblCatControles[Referencia],MATCH(1,INDEX((tblCatControles[Módulo]="CARGA MOLINOS")*(tblCatControles[Ítem]=AJ$8),0),0))+0,"")</f>
        <v>92</v>
      </c>
      <c r="AK5" s="1106" cm="1">
        <f t="array" ref="AK5">IFERROR(INDEX(tblCatControles[Referencia],MATCH(1,INDEX((tblCatControles[Módulo]="CARGA MOLINOS")*(tblCatControles[Ítem]=AK$8),0),0))+0,"")</f>
        <v>65</v>
      </c>
      <c r="AL5" s="1106" cm="1">
        <f t="array" ref="AL5">IFERROR(INDEX(tblCatControles[Referencia],MATCH(1,INDEX((tblCatControles[Módulo]="CARGA MOLINOS")*(tblCatControles[Ítem]=AL$8),0),0))+0,"")</f>
        <v>92</v>
      </c>
      <c r="AM5" s="1106" cm="1">
        <f t="array" ref="AM5">IFERROR(INDEX(tblCatControles[Referencia],MATCH(1,INDEX((tblCatControles[Módulo]="CARGA MOLINOS")*(tblCatControles[Ítem]=AM$8),0),0))+0,"")</f>
        <v>90</v>
      </c>
      <c r="AN5" s="1106" cm="1">
        <f t="array" ref="AN5">IFERROR(INDEX(tblCatControles[Referencia],MATCH(1,INDEX((tblCatControles[Módulo]="CARGA MOLINOS")*(tblCatControles[Ítem]=AN$8),0),0))+0,"")</f>
        <v>90</v>
      </c>
      <c r="AO5" s="1106" cm="1">
        <f t="array" ref="AO5">IFERROR(INDEX(tblCatControles[Referencia],MATCH(1,INDEX((tblCatControles[Módulo]="CARGA MOLINOS")*(tblCatControles[Ítem]=AO$8),0),0))+0,"")</f>
        <v>90</v>
      </c>
      <c r="AP5" s="1106" cm="1">
        <f t="array" ref="AP5">IFERROR(INDEX(tblCatControles[Referencia],MATCH(1,INDEX((tblCatControles[Módulo]="CARGA MOLINOS")*(tblCatControles[Ítem]=AP$8),0),0))+0,"")</f>
        <v>92</v>
      </c>
      <c r="AQ5" s="1106" cm="1">
        <f t="array" ref="AQ5">IFERROR(INDEX(tblCatControles[Referencia],MATCH(1,INDEX((tblCatControles[Módulo]="CARGA MOLINOS")*(tblCatControles[Ítem]=AQ$8),0),0))+0,"")</f>
        <v>92</v>
      </c>
      <c r="AR5" s="1106" cm="1">
        <f t="array" ref="AR5">IFERROR(INDEX(tblCatControles[Referencia],MATCH(1,INDEX((tblCatControles[Módulo]="CARGA MOLINOS")*(tblCatControles[Ítem]=AR$8),0),0))+0,"")</f>
        <v>92</v>
      </c>
      <c r="AS5" s="1106" cm="1">
        <f t="array" ref="AS5">IFERROR(INDEX(tblCatControles[Referencia],MATCH(1,INDEX((tblCatControles[Módulo]="CARGA MOLINOS")*(tblCatControles[Ítem]=AS$8),0),0))+0,"")</f>
        <v>89</v>
      </c>
      <c r="AT5" s="1106" cm="1">
        <f t="array" ref="AT5">IFERROR(INDEX(tblCatControles[Referencia],MATCH(1,INDEX((tblCatControles[Módulo]="CARGA MOLINOS")*(tblCatControles[Ítem]=AT$8),0),0))+0,"")</f>
        <v>79</v>
      </c>
      <c r="AU5" s="1106" cm="1">
        <f t="array" ref="AU5">IFERROR(INDEX(tblCatControles[Referencia],MATCH(1,INDEX((tblCatControles[Módulo]="CARGA MOLINOS")*(tblCatControles[Ítem]=AU$8),0),0))+0,"")</f>
        <v>88</v>
      </c>
    </row>
    <row r="6" spans="1:48">
      <c r="A6" s="1033"/>
      <c r="B6" s="1043" t="s">
        <v>9370</v>
      </c>
      <c r="C6" s="1044"/>
      <c r="D6" s="1069">
        <f>SUMIFS(tblCatControles[Mín],tblCatControles[Módulo],$D$5,tblCatControles[Ítem],D$8)</f>
        <v>0</v>
      </c>
      <c r="E6" s="1069">
        <f>SUMIFS(tblCatControles[Mín],tblCatControles[Módulo],$D$5,tblCatControles[Ítem],E$8)</f>
        <v>0</v>
      </c>
      <c r="F6" s="1069">
        <f>SUMIFS(tblCatControles[Mín],tblCatControles[Módulo],$D$5,tblCatControles[Ítem],F$8)</f>
        <v>0</v>
      </c>
      <c r="G6" s="1069">
        <f>SUMIFS(tblCatControles[Mín],tblCatControles[Módulo],$D$5,tblCatControles[Ítem],G$8)</f>
        <v>0</v>
      </c>
      <c r="H6" s="1069">
        <f>SUMIFS(tblCatControles[Mín],tblCatControles[Módulo],$D$5,tblCatControles[Ítem],H$8)</f>
        <v>0</v>
      </c>
      <c r="I6" s="1069">
        <f>SUMIFS(tblCatControles[Mín],tblCatControles[Módulo],$D$5,tblCatControles[Ítem],I$8)</f>
        <v>0</v>
      </c>
      <c r="J6" s="1069">
        <f>SUMIFS(tblCatControles[Mín],tblCatControles[Módulo],$D$5,tblCatControles[Ítem],J$8)</f>
        <v>0</v>
      </c>
      <c r="K6" s="1069">
        <f>SUMIFS(tblCatControles[Mín],tblCatControles[Módulo],$D$5,tblCatControles[Ítem],K$8)</f>
        <v>0</v>
      </c>
      <c r="L6" s="1069">
        <f>SUMIFS(tblCatControles[Mín],tblCatControles[Módulo],$D$5,tblCatControles[Ítem],L$8)</f>
        <v>0</v>
      </c>
      <c r="M6" s="1069">
        <f>SUMIFS(tblCatControles[Mín],tblCatControles[Módulo],$D$5,tblCatControles[Ítem],M$8)</f>
        <v>0</v>
      </c>
      <c r="N6" s="1069">
        <f>SUMIFS(tblCatControles[Mín],tblCatControles[Módulo],$D$5,tblCatControles[Ítem],N$8)</f>
        <v>0</v>
      </c>
      <c r="O6" s="1069">
        <f>SUMIFS(tblCatControles[Mín],tblCatControles[Módulo],$D$5,tblCatControles[Ítem],O$8)</f>
        <v>0</v>
      </c>
      <c r="P6" s="1069">
        <f>SUMIFS(tblCatControles[Mín],tblCatControles[Módulo],$D$5,tblCatControles[Ítem],P$8)</f>
        <v>0</v>
      </c>
      <c r="Q6" s="1069">
        <f>SUMIFS(tblCatControles[Mín],tblCatControles[Módulo],$D$5,tblCatControles[Ítem],Q$8)</f>
        <v>0</v>
      </c>
      <c r="R6" s="1069">
        <f>SUMIFS(tblCatControles[Mín],tblCatControles[Módulo],$D$5,tblCatControles[Ítem],R$8)</f>
        <v>0</v>
      </c>
      <c r="S6" s="1069">
        <f>SUMIFS(tblCatControles[Mín],tblCatControles[Módulo],$D$5,tblCatControles[Ítem],S$8)</f>
        <v>0</v>
      </c>
      <c r="T6" s="1069">
        <f>SUMIFS(tblCatControles[Mín],tblCatControles[Módulo],$D$5,tblCatControles[Ítem],T$8)</f>
        <v>0</v>
      </c>
      <c r="U6" s="1069">
        <f>SUMIFS(tblCatControles[Mín],tblCatControles[Módulo],$D$5,tblCatControles[Ítem],U$8)</f>
        <v>0</v>
      </c>
      <c r="V6" s="1069">
        <f>SUMIFS(tblCatControles[Mín],tblCatControles[Módulo],$D$5,tblCatControles[Ítem],V$8)</f>
        <v>0</v>
      </c>
      <c r="W6" s="1069">
        <f>SUMIFS(tblCatControles[Mín],tblCatControles[Módulo],$D$5,tblCatControles[Ítem],W$8)</f>
        <v>0</v>
      </c>
      <c r="X6" s="1069">
        <f>SUMIFS(tblCatControles[Mín],tblCatControles[Módulo],$D$5,tblCatControles[Ítem],X$8)</f>
        <v>0</v>
      </c>
      <c r="Y6" s="1069">
        <f>SUMIFS(tblCatControles[Mín],tblCatControles[Módulo],$D$5,tblCatControles[Ítem],Y$8)</f>
        <v>0</v>
      </c>
      <c r="Z6" s="1069"/>
      <c r="AA6" s="1069"/>
      <c r="AB6" s="1110" t="s">
        <v>9370</v>
      </c>
      <c r="AC6" s="1111">
        <f>SUMIFS(tblCatControles[Mín],tblCatControles[Módulo],"CARGA MOLINOS",tblCatControles[Ítem],AC$8)</f>
        <v>0</v>
      </c>
      <c r="AD6" s="1111">
        <f>SUMIFS(tblCatControles[Mín],tblCatControles[Módulo],"CARGA MOLINOS",tblCatControles[Ítem],AD$8)</f>
        <v>0</v>
      </c>
      <c r="AE6" s="1111">
        <f>SUMIFS(tblCatControles[Mín],tblCatControles[Módulo],"CARGA MOLINOS",tblCatControles[Ítem],AE$8)</f>
        <v>0</v>
      </c>
      <c r="AF6" s="1111">
        <f>SUMIFS(tblCatControles[Mín],tblCatControles[Módulo],"CARGA MOLINOS",tblCatControles[Ítem],AF$8)</f>
        <v>0</v>
      </c>
      <c r="AG6" s="1111">
        <f>SUMIFS(tblCatControles[Mín],tblCatControles[Módulo],"CARGA MOLINOS",tblCatControles[Ítem],AG$8)</f>
        <v>0</v>
      </c>
      <c r="AH6" s="1111">
        <f>SUMIFS(tblCatControles[Mín],tblCatControles[Módulo],"CARGA MOLINOS",tblCatControles[Ítem],AH$8)</f>
        <v>0</v>
      </c>
      <c r="AI6" s="1111">
        <f>SUMIFS(tblCatControles[Mín],tblCatControles[Módulo],"CARGA MOLINOS",tblCatControles[Ítem],AI$8)</f>
        <v>0</v>
      </c>
      <c r="AJ6" s="1111">
        <f>SUMIFS(tblCatControles[Mín],tblCatControles[Módulo],"CARGA MOLINOS",tblCatControles[Ítem],AJ$8)</f>
        <v>0</v>
      </c>
      <c r="AK6" s="1111">
        <f>SUMIFS(tblCatControles[Mín],tblCatControles[Módulo],"CARGA MOLINOS",tblCatControles[Ítem],AK$8)</f>
        <v>0</v>
      </c>
      <c r="AL6" s="1111">
        <f>SUMIFS(tblCatControles[Mín],tblCatControles[Módulo],"CARGA MOLINOS",tblCatControles[Ítem],AL$8)</f>
        <v>0</v>
      </c>
      <c r="AM6" s="1111">
        <f>SUMIFS(tblCatControles[Mín],tblCatControles[Módulo],"CARGA MOLINOS",tblCatControles[Ítem],AM$8)</f>
        <v>0</v>
      </c>
      <c r="AN6" s="1111">
        <f>SUMIFS(tblCatControles[Mín],tblCatControles[Módulo],"CARGA MOLINOS",tblCatControles[Ítem],AN$8)</f>
        <v>0</v>
      </c>
      <c r="AO6" s="1111">
        <f>SUMIFS(tblCatControles[Mín],tblCatControles[Módulo],"CARGA MOLINOS",tblCatControles[Ítem],AO$8)</f>
        <v>0</v>
      </c>
      <c r="AP6" s="1111">
        <f>SUMIFS(tblCatControles[Mín],tblCatControles[Módulo],"CARGA MOLINOS",tblCatControles[Ítem],AP$8)</f>
        <v>0</v>
      </c>
      <c r="AQ6" s="1111">
        <f>SUMIFS(tblCatControles[Mín],tblCatControles[Módulo],"CARGA MOLINOS",tblCatControles[Ítem],AQ$8)</f>
        <v>0</v>
      </c>
      <c r="AR6" s="1111">
        <f>SUMIFS(tblCatControles[Mín],tblCatControles[Módulo],"CARGA MOLINOS",tblCatControles[Ítem],AR$8)</f>
        <v>0</v>
      </c>
      <c r="AS6" s="1111">
        <f>SUMIFS(tblCatControles[Mín],tblCatControles[Módulo],"CARGA MOLINOS",tblCatControles[Ítem],AS$8)</f>
        <v>0</v>
      </c>
      <c r="AT6" s="1111">
        <f>SUMIFS(tblCatControles[Mín],tblCatControles[Módulo],"CARGA MOLINOS",tblCatControles[Ítem],AT$8)</f>
        <v>0</v>
      </c>
      <c r="AU6" s="1111">
        <f>SUMIFS(tblCatControles[Mín],tblCatControles[Módulo],"CARGA MOLINOS",tblCatControles[Ítem],AU$8)</f>
        <v>0</v>
      </c>
    </row>
    <row r="7" spans="1:48">
      <c r="A7" s="1033"/>
      <c r="B7" s="1043" t="s">
        <v>9371</v>
      </c>
      <c r="C7" s="1044"/>
      <c r="D7" s="1069">
        <f>SUMIFS(tblCatControles[Máx],tblCatControles[Módulo],$D$5,tblCatControles[Ítem],D$8)</f>
        <v>200</v>
      </c>
      <c r="E7" s="1069">
        <f>SUMIFS(tblCatControles[Máx],tblCatControles[Módulo],$D$5,tblCatControles[Ítem],E$8)</f>
        <v>200</v>
      </c>
      <c r="F7" s="1069">
        <f>SUMIFS(tblCatControles[Máx],tblCatControles[Módulo],$D$5,tblCatControles[Ítem],F$8)</f>
        <v>200</v>
      </c>
      <c r="G7" s="1069">
        <f>SUMIFS(tblCatControles[Máx],tblCatControles[Módulo],$D$5,tblCatControles[Ítem],G$8)</f>
        <v>200</v>
      </c>
      <c r="H7" s="1069">
        <f>SUMIFS(tblCatControles[Máx],tblCatControles[Módulo],$D$5,tblCatControles[Ítem],H$8)</f>
        <v>200</v>
      </c>
      <c r="I7" s="1069">
        <f>SUMIFS(tblCatControles[Máx],tblCatControles[Módulo],$D$5,tblCatControles[Ítem],I$8)</f>
        <v>200</v>
      </c>
      <c r="J7" s="1069">
        <f>SUMIFS(tblCatControles[Máx],tblCatControles[Módulo],$D$5,tblCatControles[Ítem],J$8)</f>
        <v>200</v>
      </c>
      <c r="K7" s="1069">
        <f>SUMIFS(tblCatControles[Máx],tblCatControles[Módulo],$D$5,tblCatControles[Ítem],K$8)</f>
        <v>200</v>
      </c>
      <c r="L7" s="1069">
        <f>SUMIFS(tblCatControles[Máx],tblCatControles[Módulo],$D$5,tblCatControles[Ítem],L$8)</f>
        <v>200</v>
      </c>
      <c r="M7" s="1069">
        <f>SUMIFS(tblCatControles[Máx],tblCatControles[Módulo],$D$5,tblCatControles[Ítem],M$8)</f>
        <v>100</v>
      </c>
      <c r="N7" s="1069">
        <f>SUMIFS(tblCatControles[Máx],tblCatControles[Módulo],$D$5,tblCatControles[Ítem],N$8)</f>
        <v>100</v>
      </c>
      <c r="O7" s="1069">
        <f>SUMIFS(tblCatControles[Máx],tblCatControles[Módulo],$D$5,tblCatControles[Ítem],O$8)</f>
        <v>100</v>
      </c>
      <c r="P7" s="1069">
        <f>SUMIFS(tblCatControles[Máx],tblCatControles[Módulo],$D$5,tblCatControles[Ítem],P$8)</f>
        <v>100</v>
      </c>
      <c r="Q7" s="1069">
        <f>SUMIFS(tblCatControles[Máx],tblCatControles[Módulo],$D$5,tblCatControles[Ítem],Q$8)</f>
        <v>100</v>
      </c>
      <c r="R7" s="1069">
        <f>SUMIFS(tblCatControles[Máx],tblCatControles[Módulo],$D$5,tblCatControles[Ítem],R$8)</f>
        <v>100</v>
      </c>
      <c r="S7" s="1069">
        <f>SUMIFS(tblCatControles[Máx],tblCatControles[Módulo],$D$5,tblCatControles[Ítem],S$8)</f>
        <v>100</v>
      </c>
      <c r="T7" s="1069">
        <f>SUMIFS(tblCatControles[Máx],tblCatControles[Módulo],$D$5,tblCatControles[Ítem],T$8)</f>
        <v>100</v>
      </c>
      <c r="U7" s="1069">
        <f>SUMIFS(tblCatControles[Máx],tblCatControles[Módulo],$D$5,tblCatControles[Ítem],U$8)</f>
        <v>100</v>
      </c>
      <c r="V7" s="1069">
        <f>SUMIFS(tblCatControles[Máx],tblCatControles[Módulo],$D$5,tblCatControles[Ítem],V$8)</f>
        <v>100</v>
      </c>
      <c r="W7" s="1069">
        <f>SUMIFS(tblCatControles[Máx],tblCatControles[Módulo],$D$5,tblCatControles[Ítem],W$8)</f>
        <v>100</v>
      </c>
      <c r="X7" s="1069">
        <f>SUMIFS(tblCatControles[Máx],tblCatControles[Módulo],$D$5,tblCatControles[Ítem],X$8)</f>
        <v>100</v>
      </c>
      <c r="Y7" s="1069">
        <f>SUMIFS(tblCatControles[Máx],tblCatControles[Módulo],$D$5,tblCatControles[Ítem],Y$8)</f>
        <v>100</v>
      </c>
      <c r="Z7" s="1069"/>
      <c r="AA7" s="1069"/>
      <c r="AB7" s="1115" t="s">
        <v>9371</v>
      </c>
      <c r="AC7" s="1116">
        <f>SUMIFS(tblCatControles[Máx],tblCatControles[Módulo],"CARGA MOLINOS",tblCatControles[Ítem],AC$8)</f>
        <v>100</v>
      </c>
      <c r="AD7" s="1116">
        <f>SUMIFS(tblCatControles[Máx],tblCatControles[Módulo],"CARGA MOLINOS",tblCatControles[Ítem],AD$8)</f>
        <v>100</v>
      </c>
      <c r="AE7" s="1116">
        <f>SUMIFS(tblCatControles[Máx],tblCatControles[Módulo],"CARGA MOLINOS",tblCatControles[Ítem],AE$8)</f>
        <v>100</v>
      </c>
      <c r="AF7" s="1116">
        <f>SUMIFS(tblCatControles[Máx],tblCatControles[Módulo],"CARGA MOLINOS",tblCatControles[Ítem],AF$8)</f>
        <v>100</v>
      </c>
      <c r="AG7" s="1116">
        <f>SUMIFS(tblCatControles[Máx],tblCatControles[Módulo],"CARGA MOLINOS",tblCatControles[Ítem],AG$8)</f>
        <v>100</v>
      </c>
      <c r="AH7" s="1116">
        <f>SUMIFS(tblCatControles[Máx],tblCatControles[Módulo],"CARGA MOLINOS",tblCatControles[Ítem],AH$8)</f>
        <v>100</v>
      </c>
      <c r="AI7" s="1116">
        <f>SUMIFS(tblCatControles[Máx],tblCatControles[Módulo],"CARGA MOLINOS",tblCatControles[Ítem],AI$8)</f>
        <v>100</v>
      </c>
      <c r="AJ7" s="1116">
        <f>SUMIFS(tblCatControles[Máx],tblCatControles[Módulo],"CARGA MOLINOS",tblCatControles[Ítem],AJ$8)</f>
        <v>100</v>
      </c>
      <c r="AK7" s="1116">
        <f>SUMIFS(tblCatControles[Máx],tblCatControles[Módulo],"CARGA MOLINOS",tblCatControles[Ítem],AK$8)</f>
        <v>100</v>
      </c>
      <c r="AL7" s="1116">
        <f>SUMIFS(tblCatControles[Máx],tblCatControles[Módulo],"CARGA MOLINOS",tblCatControles[Ítem],AL$8)</f>
        <v>100</v>
      </c>
      <c r="AM7" s="1116">
        <f>SUMIFS(tblCatControles[Máx],tblCatControles[Módulo],"CARGA MOLINOS",tblCatControles[Ítem],AM$8)</f>
        <v>100</v>
      </c>
      <c r="AN7" s="1116">
        <f>SUMIFS(tblCatControles[Máx],tblCatControles[Módulo],"CARGA MOLINOS",tblCatControles[Ítem],AN$8)</f>
        <v>100</v>
      </c>
      <c r="AO7" s="1116">
        <f>SUMIFS(tblCatControles[Máx],tblCatControles[Módulo],"CARGA MOLINOS",tblCatControles[Ítem],AO$8)</f>
        <v>100</v>
      </c>
      <c r="AP7" s="1116">
        <f>SUMIFS(tblCatControles[Máx],tblCatControles[Módulo],"CARGA MOLINOS",tblCatControles[Ítem],AP$8)</f>
        <v>100</v>
      </c>
      <c r="AQ7" s="1116">
        <f>SUMIFS(tblCatControles[Máx],tblCatControles[Módulo],"CARGA MOLINOS",tblCatControles[Ítem],AQ$8)</f>
        <v>100</v>
      </c>
      <c r="AR7" s="1116">
        <f>SUMIFS(tblCatControles[Máx],tblCatControles[Módulo],"CARGA MOLINOS",tblCatControles[Ítem],AR$8)</f>
        <v>100</v>
      </c>
      <c r="AS7" s="1116">
        <f>SUMIFS(tblCatControles[Máx],tblCatControles[Módulo],"CARGA MOLINOS",tblCatControles[Ítem],AS$8)</f>
        <v>100</v>
      </c>
      <c r="AT7" s="1116">
        <f>SUMIFS(tblCatControles[Máx],tblCatControles[Módulo],"CARGA MOLINOS",tblCatControles[Ítem],AT$8)</f>
        <v>100</v>
      </c>
      <c r="AU7" s="1116">
        <f>SUMIFS(tblCatControles[Máx],tblCatControles[Módulo],"CARGA MOLINOS",tblCatControles[Ítem],AU$8)</f>
        <v>100</v>
      </c>
    </row>
    <row r="8" spans="1:48" ht="45" customHeight="1">
      <c r="A8" s="1033"/>
      <c r="B8" s="1072" t="s">
        <v>322</v>
      </c>
      <c r="C8" s="1072"/>
      <c r="D8" s="1072" t="s">
        <v>410</v>
      </c>
      <c r="E8" s="1072" t="s">
        <v>411</v>
      </c>
      <c r="F8" s="1072" t="s">
        <v>412</v>
      </c>
      <c r="G8" s="1072" t="s">
        <v>413</v>
      </c>
      <c r="H8" s="1072" t="s">
        <v>414</v>
      </c>
      <c r="I8" s="1072" t="s">
        <v>415</v>
      </c>
      <c r="J8" s="1072" t="s">
        <v>416</v>
      </c>
      <c r="K8" s="1072" t="s">
        <v>417</v>
      </c>
      <c r="L8" s="1072" t="s">
        <v>418</v>
      </c>
      <c r="M8" s="1072" t="s">
        <v>420</v>
      </c>
      <c r="N8" s="1072" t="s">
        <v>421</v>
      </c>
      <c r="O8" s="1072" t="s">
        <v>422</v>
      </c>
      <c r="P8" s="1072" t="s">
        <v>423</v>
      </c>
      <c r="Q8" s="1072" t="s">
        <v>424</v>
      </c>
      <c r="R8" s="1072" t="s">
        <v>425</v>
      </c>
      <c r="S8" s="1072" t="s">
        <v>426</v>
      </c>
      <c r="T8" s="1072" t="s">
        <v>427</v>
      </c>
      <c r="U8" s="1072" t="s">
        <v>428</v>
      </c>
      <c r="V8" s="1072" t="s">
        <v>429</v>
      </c>
      <c r="W8" s="1072" t="s">
        <v>430</v>
      </c>
      <c r="X8" s="1072" t="s">
        <v>431</v>
      </c>
      <c r="Y8" s="1072" t="s">
        <v>432</v>
      </c>
      <c r="Z8" s="1072" t="s">
        <v>419</v>
      </c>
      <c r="AA8" s="1112" t="s">
        <v>9905</v>
      </c>
      <c r="AB8" s="1072" t="s">
        <v>9885</v>
      </c>
      <c r="AC8" s="1072" t="s">
        <v>435</v>
      </c>
      <c r="AD8" s="1072" t="s">
        <v>436</v>
      </c>
      <c r="AE8" s="1072" t="s">
        <v>437</v>
      </c>
      <c r="AF8" s="1072" t="s">
        <v>438</v>
      </c>
      <c r="AG8" s="1072" t="s">
        <v>439</v>
      </c>
      <c r="AH8" s="1072" t="s">
        <v>440</v>
      </c>
      <c r="AI8" s="1072" t="s">
        <v>441</v>
      </c>
      <c r="AJ8" s="1072" t="s">
        <v>442</v>
      </c>
      <c r="AK8" s="1072" t="s">
        <v>443</v>
      </c>
      <c r="AL8" s="1072" t="s">
        <v>444</v>
      </c>
      <c r="AM8" s="1072" t="s">
        <v>9519</v>
      </c>
      <c r="AN8" s="1072" t="s">
        <v>445</v>
      </c>
      <c r="AO8" s="1072" t="s">
        <v>446</v>
      </c>
      <c r="AP8" s="1072" t="s">
        <v>447</v>
      </c>
      <c r="AQ8" s="1072" t="s">
        <v>448</v>
      </c>
      <c r="AR8" s="1072" t="s">
        <v>449</v>
      </c>
      <c r="AS8" s="1072" t="s">
        <v>450</v>
      </c>
      <c r="AT8" s="1072" t="s">
        <v>451</v>
      </c>
      <c r="AU8" s="1072" t="s">
        <v>452</v>
      </c>
      <c r="AV8" s="1072" t="s">
        <v>9973</v>
      </c>
    </row>
    <row r="9" spans="1:48" ht="32.1" customHeight="1">
      <c r="A9" s="1033"/>
      <c r="B9" s="1073"/>
      <c r="C9" s="1073" t="s">
        <v>31</v>
      </c>
      <c r="D9" s="1073" t="s">
        <v>9453</v>
      </c>
      <c r="E9" s="1073" t="s">
        <v>9453</v>
      </c>
      <c r="F9" s="1073" t="s">
        <v>9453</v>
      </c>
      <c r="G9" s="1073" t="s">
        <v>9453</v>
      </c>
      <c r="H9" s="1073" t="s">
        <v>9453</v>
      </c>
      <c r="I9" s="1073" t="s">
        <v>9453</v>
      </c>
      <c r="J9" s="1073" t="s">
        <v>9453</v>
      </c>
      <c r="K9" s="1073" t="s">
        <v>9453</v>
      </c>
      <c r="L9" s="1073" t="s">
        <v>9453</v>
      </c>
      <c r="M9" s="1073" t="s">
        <v>9453</v>
      </c>
      <c r="N9" s="1073" t="s">
        <v>9453</v>
      </c>
      <c r="O9" s="1073" t="s">
        <v>9453</v>
      </c>
      <c r="P9" s="1073" t="s">
        <v>9453</v>
      </c>
      <c r="Q9" s="1073" t="s">
        <v>9453</v>
      </c>
      <c r="R9" s="1073" t="s">
        <v>9453</v>
      </c>
      <c r="S9" s="1073" t="s">
        <v>9453</v>
      </c>
      <c r="T9" s="1073" t="s">
        <v>9453</v>
      </c>
      <c r="U9" s="1073" t="s">
        <v>9453</v>
      </c>
      <c r="V9" s="1073" t="s">
        <v>9453</v>
      </c>
      <c r="W9" s="1073" t="s">
        <v>9453</v>
      </c>
      <c r="X9" s="1073" t="s">
        <v>9453</v>
      </c>
      <c r="Y9" s="1073" t="s">
        <v>9453</v>
      </c>
      <c r="Z9" s="1073" t="s">
        <v>55</v>
      </c>
      <c r="AA9" s="1113" t="s">
        <v>55</v>
      </c>
      <c r="AB9" s="1073"/>
      <c r="AC9" s="1105" t="s">
        <v>9457</v>
      </c>
      <c r="AD9" s="1105" t="s">
        <v>9457</v>
      </c>
      <c r="AE9" s="1105" t="s">
        <v>9457</v>
      </c>
      <c r="AF9" s="1105" t="s">
        <v>9457</v>
      </c>
      <c r="AG9" s="1105" t="s">
        <v>9457</v>
      </c>
      <c r="AH9" s="1105" t="s">
        <v>9457</v>
      </c>
      <c r="AI9" s="1105" t="s">
        <v>9457</v>
      </c>
      <c r="AJ9" s="1105" t="s">
        <v>9457</v>
      </c>
      <c r="AK9" s="1105" t="s">
        <v>9457</v>
      </c>
      <c r="AL9" s="1105" t="s">
        <v>9457</v>
      </c>
      <c r="AM9" s="1105" t="s">
        <v>9457</v>
      </c>
      <c r="AN9" s="1105" t="s">
        <v>9457</v>
      </c>
      <c r="AO9" s="1105" t="s">
        <v>9457</v>
      </c>
      <c r="AP9" s="1105" t="s">
        <v>9457</v>
      </c>
      <c r="AQ9" s="1105" t="s">
        <v>9457</v>
      </c>
      <c r="AR9" s="1105" t="s">
        <v>9457</v>
      </c>
      <c r="AS9" s="1105" t="s">
        <v>9457</v>
      </c>
      <c r="AT9" s="1105" t="s">
        <v>9457</v>
      </c>
      <c r="AU9" s="1105" t="s">
        <v>9457</v>
      </c>
      <c r="AV9" s="1105"/>
    </row>
    <row r="10" spans="1:48">
      <c r="A10" s="1033"/>
      <c r="B10" s="1074">
        <f>IF(ROWS(B$10:B10)&lt;=CFG_DIAS,CFG_MES+ROWS(B$10:B10)-1,"")</f>
        <v>46266</v>
      </c>
      <c r="C10" s="1062" t="str">
        <f t="shared" ref="C10:C40" si="0">IF(B10="","",TEXT(B10,"ddd"))</f>
        <v>ma</v>
      </c>
      <c r="D10" s="1051">
        <v>0</v>
      </c>
      <c r="E10" s="1051">
        <v>18</v>
      </c>
      <c r="F10" s="1051">
        <v>18</v>
      </c>
      <c r="G10" s="1051">
        <v>18</v>
      </c>
      <c r="H10" s="1051">
        <v>11</v>
      </c>
      <c r="I10" s="1051">
        <v>20</v>
      </c>
      <c r="J10" s="1051">
        <v>0</v>
      </c>
      <c r="K10" s="1051">
        <v>22</v>
      </c>
      <c r="L10" s="1051">
        <v>15</v>
      </c>
      <c r="M10" s="1051">
        <v>6</v>
      </c>
      <c r="N10" s="1051">
        <v>6</v>
      </c>
      <c r="O10" s="1051">
        <v>6</v>
      </c>
      <c r="P10" s="1051">
        <v>0</v>
      </c>
      <c r="Q10" s="1051">
        <v>4</v>
      </c>
      <c r="R10" s="1051">
        <v>4</v>
      </c>
      <c r="S10" s="1051">
        <v>0</v>
      </c>
      <c r="T10" s="1051">
        <v>6</v>
      </c>
      <c r="U10" s="1051">
        <v>20</v>
      </c>
      <c r="V10" s="1051">
        <v>0</v>
      </c>
      <c r="W10" s="1051">
        <v>0</v>
      </c>
      <c r="X10" s="1051">
        <v>0</v>
      </c>
      <c r="Y10" s="1051">
        <v>0</v>
      </c>
      <c r="Z10" s="1075">
        <f t="shared" ref="Z10:Z40" si="1">IF(COUNT(D10,E10,F10,G10,H10,I10,J10,K10,L10)=0,"",SUM(D10,E10,F10,G10,H10,I10,J10,K10,L10))</f>
        <v>122</v>
      </c>
      <c r="AA10" s="1114">
        <f t="shared" ref="AA10:AA40" si="2">IF(COUNT(M10,N10,O10,P10,Q10,R10,S10,T10,U10,V10,W10,X10,Y10)=0,"",SUM(M10,N10,O10,P10,Q10,R10,S10,T10,U10,V10,W10,X10,Y10))</f>
        <v>52</v>
      </c>
      <c r="AB10" s="1062" t="str" cm="1">
        <f t="array" ref="AB10">IF(B10="","",IF(SUMPRODUCT(--(D10:AA10&lt;&gt;""),--(D$9:AA$9&lt;&gt;"Total"))&gt;0,"✔",""))</f>
        <v>✔</v>
      </c>
      <c r="AC10" s="1053"/>
      <c r="AD10" s="1053">
        <v>88.3</v>
      </c>
      <c r="AE10" s="1053">
        <v>87.5</v>
      </c>
      <c r="AF10" s="1053">
        <v>88.2</v>
      </c>
      <c r="AG10" s="1053">
        <v>87.4</v>
      </c>
      <c r="AH10" s="1053">
        <v>88.5</v>
      </c>
      <c r="AI10" s="1053">
        <v>92.1</v>
      </c>
      <c r="AJ10" s="1053">
        <v>85.6</v>
      </c>
      <c r="AK10" s="1053">
        <v>63.7</v>
      </c>
      <c r="AL10" s="1053">
        <v>89.7</v>
      </c>
      <c r="AM10" s="1053">
        <v>85.7</v>
      </c>
      <c r="AN10" s="1053">
        <v>84.8</v>
      </c>
      <c r="AO10" s="1053">
        <v>91.7</v>
      </c>
      <c r="AP10" s="1053">
        <v>90.6</v>
      </c>
      <c r="AQ10" s="1053">
        <v>91.2</v>
      </c>
      <c r="AR10" s="1053">
        <v>96.2</v>
      </c>
      <c r="AS10" s="1053">
        <v>89.3</v>
      </c>
      <c r="AT10" s="1053">
        <v>74.900000000000006</v>
      </c>
      <c r="AU10" s="1053">
        <v>82.1</v>
      </c>
      <c r="AV10" s="1062" t="str">
        <f t="shared" ref="AV10:AV40" si="3">IF(B10="","",IF(COUNT(AC10:AU10)&gt;0,"✔",""))</f>
        <v>✔</v>
      </c>
    </row>
    <row r="11" spans="1:48">
      <c r="A11" s="1033"/>
      <c r="B11" s="1074">
        <f>IF(ROWS(B$10:B11)&lt;=CFG_DIAS,CFG_MES+ROWS(B$10:B11)-1,"")</f>
        <v>46267</v>
      </c>
      <c r="C11" s="1062" t="str">
        <f t="shared" si="0"/>
        <v>mi</v>
      </c>
      <c r="D11" s="1051">
        <v>0</v>
      </c>
      <c r="E11" s="1051">
        <v>0</v>
      </c>
      <c r="F11" s="1051">
        <v>0</v>
      </c>
      <c r="G11" s="1051">
        <v>0</v>
      </c>
      <c r="H11" s="1051">
        <v>0</v>
      </c>
      <c r="I11" s="1051">
        <v>0</v>
      </c>
      <c r="J11" s="1051">
        <v>16</v>
      </c>
      <c r="K11" s="1051">
        <v>0</v>
      </c>
      <c r="L11" s="1051">
        <v>0</v>
      </c>
      <c r="M11" s="1051">
        <v>4</v>
      </c>
      <c r="N11" s="1051">
        <v>4</v>
      </c>
      <c r="O11" s="1051">
        <v>0</v>
      </c>
      <c r="P11" s="1051">
        <v>4</v>
      </c>
      <c r="Q11" s="1051">
        <v>4</v>
      </c>
      <c r="R11" s="1051">
        <v>2</v>
      </c>
      <c r="S11" s="1051">
        <v>6</v>
      </c>
      <c r="T11" s="1051">
        <v>4</v>
      </c>
      <c r="U11" s="1051">
        <v>20</v>
      </c>
      <c r="V11" s="1051">
        <v>4</v>
      </c>
      <c r="W11" s="1051">
        <v>6</v>
      </c>
      <c r="X11" s="1051">
        <v>8</v>
      </c>
      <c r="Y11" s="1051">
        <v>18</v>
      </c>
      <c r="Z11" s="1075">
        <f t="shared" si="1"/>
        <v>16</v>
      </c>
      <c r="AA11" s="1114">
        <f t="shared" si="2"/>
        <v>84</v>
      </c>
      <c r="AB11" s="1062" t="str" cm="1">
        <f t="array" ref="AB11">IF(B11="","",IF(SUMPRODUCT(--(D11:AA11&lt;&gt;""),--(D$9:AA$9&lt;&gt;"Total"))&gt;0,"✔",""))</f>
        <v>✔</v>
      </c>
      <c r="AC11" s="1053">
        <v>94.6</v>
      </c>
      <c r="AD11" s="1053"/>
      <c r="AE11" s="1053">
        <v>93.1</v>
      </c>
      <c r="AF11" s="1053">
        <v>92.7</v>
      </c>
      <c r="AG11" s="1053">
        <v>92.3</v>
      </c>
      <c r="AH11" s="1053">
        <v>96.4</v>
      </c>
      <c r="AI11" s="1053">
        <v>89.3</v>
      </c>
      <c r="AJ11" s="1053">
        <v>93.5</v>
      </c>
      <c r="AK11" s="1053">
        <v>65.099999999999994</v>
      </c>
      <c r="AL11" s="1053">
        <v>90.9</v>
      </c>
      <c r="AM11" s="1053">
        <v>87.4</v>
      </c>
      <c r="AN11" s="1053">
        <v>91</v>
      </c>
      <c r="AO11" s="1053">
        <v>87.2</v>
      </c>
      <c r="AP11" s="1053">
        <v>90.9</v>
      </c>
      <c r="AQ11" s="1053">
        <v>91.9</v>
      </c>
      <c r="AR11" s="1053">
        <v>87.7</v>
      </c>
      <c r="AS11" s="1053">
        <v>88.8</v>
      </c>
      <c r="AT11" s="1053">
        <v>73.5</v>
      </c>
      <c r="AU11" s="1053">
        <v>81.2</v>
      </c>
      <c r="AV11" s="1062" t="str">
        <f t="shared" si="3"/>
        <v>✔</v>
      </c>
    </row>
    <row r="12" spans="1:48">
      <c r="A12" s="1033"/>
      <c r="B12" s="1074">
        <f>IF(ROWS(B$10:B12)&lt;=CFG_DIAS,CFG_MES+ROWS(B$10:B12)-1,"")</f>
        <v>46268</v>
      </c>
      <c r="C12" s="1062" t="str">
        <f t="shared" si="0"/>
        <v>ju</v>
      </c>
      <c r="D12" s="1051">
        <v>9</v>
      </c>
      <c r="E12" s="1051">
        <v>0</v>
      </c>
      <c r="F12" s="1051">
        <v>0</v>
      </c>
      <c r="G12" s="1051">
        <v>0</v>
      </c>
      <c r="H12" s="1051">
        <v>0</v>
      </c>
      <c r="I12" s="1051">
        <v>0</v>
      </c>
      <c r="J12" s="1051">
        <v>0</v>
      </c>
      <c r="K12" s="1051">
        <v>14</v>
      </c>
      <c r="L12" s="1051">
        <v>12</v>
      </c>
      <c r="M12" s="1051">
        <v>6</v>
      </c>
      <c r="N12" s="1051">
        <v>0</v>
      </c>
      <c r="O12" s="1051">
        <v>0</v>
      </c>
      <c r="P12" s="1051">
        <v>6</v>
      </c>
      <c r="Q12" s="1051">
        <v>0</v>
      </c>
      <c r="R12" s="1051">
        <v>6</v>
      </c>
      <c r="S12" s="1051">
        <v>6</v>
      </c>
      <c r="T12" s="1051">
        <v>6</v>
      </c>
      <c r="U12" s="1051">
        <v>18</v>
      </c>
      <c r="V12" s="1051">
        <v>4</v>
      </c>
      <c r="W12" s="1051">
        <v>8</v>
      </c>
      <c r="X12" s="1051">
        <v>6</v>
      </c>
      <c r="Y12" s="1051">
        <v>18</v>
      </c>
      <c r="Z12" s="1075">
        <f t="shared" si="1"/>
        <v>35</v>
      </c>
      <c r="AA12" s="1114">
        <f t="shared" si="2"/>
        <v>84</v>
      </c>
      <c r="AB12" s="1062" t="str" cm="1">
        <f t="array" ref="AB12">IF(B12="","",IF(SUMPRODUCT(--(D12:AA12&lt;&gt;""),--(D$9:AA$9&lt;&gt;"Total"))&gt;0,"✔",""))</f>
        <v>✔</v>
      </c>
      <c r="AC12" s="1053">
        <v>91.5</v>
      </c>
      <c r="AD12" s="1053"/>
      <c r="AE12" s="1053">
        <v>90</v>
      </c>
      <c r="AF12" s="1053">
        <v>91.5</v>
      </c>
      <c r="AG12" s="1053">
        <v>91.8</v>
      </c>
      <c r="AH12" s="1053">
        <v>93.7</v>
      </c>
      <c r="AI12" s="1053"/>
      <c r="AJ12" s="1053">
        <v>90.6</v>
      </c>
      <c r="AK12" s="1053">
        <v>63.1</v>
      </c>
      <c r="AL12" s="1053">
        <v>90</v>
      </c>
      <c r="AM12" s="1053">
        <v>93.5</v>
      </c>
      <c r="AN12" s="1053">
        <v>91.4</v>
      </c>
      <c r="AO12" s="1053">
        <v>82.8</v>
      </c>
      <c r="AP12" s="1053">
        <v>93.6</v>
      </c>
      <c r="AQ12" s="1053">
        <v>89.8</v>
      </c>
      <c r="AR12" s="1053">
        <v>90.2</v>
      </c>
      <c r="AS12" s="1053">
        <v>87.7</v>
      </c>
      <c r="AT12" s="1053">
        <v>73.2</v>
      </c>
      <c r="AU12" s="1053">
        <v>85.6</v>
      </c>
      <c r="AV12" s="1062" t="str">
        <f t="shared" si="3"/>
        <v>✔</v>
      </c>
    </row>
    <row r="13" spans="1:48">
      <c r="A13" s="1033"/>
      <c r="B13" s="1074">
        <f>IF(ROWS(B$10:B13)&lt;=CFG_DIAS,CFG_MES+ROWS(B$10:B13)-1,"")</f>
        <v>46269</v>
      </c>
      <c r="C13" s="1062" t="str">
        <f t="shared" si="0"/>
        <v>vi</v>
      </c>
      <c r="D13" s="1051">
        <v>0</v>
      </c>
      <c r="E13" s="1051">
        <v>0</v>
      </c>
      <c r="F13" s="1051">
        <v>12</v>
      </c>
      <c r="G13" s="1051">
        <v>12</v>
      </c>
      <c r="H13" s="1051">
        <v>0</v>
      </c>
      <c r="I13" s="1051">
        <v>9</v>
      </c>
      <c r="J13" s="1051">
        <v>6</v>
      </c>
      <c r="K13" s="1051">
        <v>0</v>
      </c>
      <c r="L13" s="1051">
        <v>9</v>
      </c>
      <c r="M13" s="1051">
        <v>8</v>
      </c>
      <c r="N13" s="1051">
        <v>0</v>
      </c>
      <c r="O13" s="1051">
        <v>0</v>
      </c>
      <c r="P13" s="1051">
        <v>4</v>
      </c>
      <c r="Q13" s="1051">
        <v>0</v>
      </c>
      <c r="R13" s="1051">
        <v>6</v>
      </c>
      <c r="S13" s="1051">
        <v>2</v>
      </c>
      <c r="T13" s="1051">
        <v>8</v>
      </c>
      <c r="U13" s="1051">
        <v>12</v>
      </c>
      <c r="V13" s="1051">
        <v>6</v>
      </c>
      <c r="W13" s="1051">
        <v>6</v>
      </c>
      <c r="X13" s="1051">
        <v>0</v>
      </c>
      <c r="Y13" s="1051">
        <v>12</v>
      </c>
      <c r="Z13" s="1075">
        <f t="shared" si="1"/>
        <v>48</v>
      </c>
      <c r="AA13" s="1114">
        <f t="shared" si="2"/>
        <v>64</v>
      </c>
      <c r="AB13" s="1062" t="str" cm="1">
        <f t="array" ref="AB13">IF(B13="","",IF(SUMPRODUCT(--(D13:AA13&lt;&gt;""),--(D$9:AA$9&lt;&gt;"Total"))&gt;0,"✔",""))</f>
        <v>✔</v>
      </c>
      <c r="AC13" s="1053">
        <v>94.9</v>
      </c>
      <c r="AD13" s="1053"/>
      <c r="AE13" s="1053">
        <v>89.8</v>
      </c>
      <c r="AF13" s="1053">
        <v>90</v>
      </c>
      <c r="AG13" s="1053"/>
      <c r="AH13" s="1053">
        <v>90.8</v>
      </c>
      <c r="AI13" s="1053">
        <v>92.1</v>
      </c>
      <c r="AJ13" s="1053">
        <v>95</v>
      </c>
      <c r="AK13" s="1053"/>
      <c r="AL13" s="1053">
        <v>90.8</v>
      </c>
      <c r="AM13" s="1053">
        <v>95.9</v>
      </c>
      <c r="AN13" s="1053">
        <v>93</v>
      </c>
      <c r="AO13" s="1053">
        <v>86.9</v>
      </c>
      <c r="AP13" s="1053"/>
      <c r="AQ13" s="1053">
        <v>90.3</v>
      </c>
      <c r="AR13" s="1053">
        <v>92.7</v>
      </c>
      <c r="AS13" s="1053">
        <v>86.3</v>
      </c>
      <c r="AT13" s="1053">
        <v>77.400000000000006</v>
      </c>
      <c r="AU13" s="1053">
        <v>85.4</v>
      </c>
      <c r="AV13" s="1062" t="str">
        <f t="shared" si="3"/>
        <v>✔</v>
      </c>
    </row>
    <row r="14" spans="1:48">
      <c r="A14" s="1033"/>
      <c r="B14" s="1074">
        <f>IF(ROWS(B$10:B14)&lt;=CFG_DIAS,CFG_MES+ROWS(B$10:B14)-1,"")</f>
        <v>46270</v>
      </c>
      <c r="C14" s="1062" t="str">
        <f t="shared" si="0"/>
        <v>sá</v>
      </c>
      <c r="D14" s="1051">
        <v>0</v>
      </c>
      <c r="E14" s="1051">
        <v>0</v>
      </c>
      <c r="F14" s="1051">
        <v>0</v>
      </c>
      <c r="G14" s="1051">
        <v>0</v>
      </c>
      <c r="H14" s="1051">
        <v>0</v>
      </c>
      <c r="I14" s="1051">
        <v>0</v>
      </c>
      <c r="J14" s="1051">
        <v>0</v>
      </c>
      <c r="K14" s="1051">
        <v>0</v>
      </c>
      <c r="L14" s="1051">
        <v>0</v>
      </c>
      <c r="M14" s="1051">
        <v>4</v>
      </c>
      <c r="N14" s="1051">
        <v>0</v>
      </c>
      <c r="O14" s="1051">
        <v>4</v>
      </c>
      <c r="P14" s="1051">
        <v>0</v>
      </c>
      <c r="Q14" s="1051">
        <v>0</v>
      </c>
      <c r="R14" s="1051">
        <v>0</v>
      </c>
      <c r="S14" s="1051">
        <v>0</v>
      </c>
      <c r="T14" s="1051">
        <v>4</v>
      </c>
      <c r="U14" s="1051">
        <v>4</v>
      </c>
      <c r="V14" s="1051">
        <v>10</v>
      </c>
      <c r="W14" s="1051">
        <v>10</v>
      </c>
      <c r="X14" s="1051">
        <v>10</v>
      </c>
      <c r="Y14" s="1051">
        <v>30</v>
      </c>
      <c r="Z14" s="1075">
        <f t="shared" si="1"/>
        <v>0</v>
      </c>
      <c r="AA14" s="1114">
        <f t="shared" si="2"/>
        <v>76</v>
      </c>
      <c r="AB14" s="1062" t="str" cm="1">
        <f t="array" ref="AB14">IF(B14="","",IF(SUMPRODUCT(--(D14:AA14&lt;&gt;""),--(D$9:AA$9&lt;&gt;"Total"))&gt;0,"✔",""))</f>
        <v>✔</v>
      </c>
      <c r="AC14" s="1053">
        <v>93.7</v>
      </c>
      <c r="AD14" s="1053">
        <v>93.3</v>
      </c>
      <c r="AE14" s="1053">
        <v>95.4</v>
      </c>
      <c r="AF14" s="1053"/>
      <c r="AG14" s="1053"/>
      <c r="AH14" s="1053">
        <v>93.9</v>
      </c>
      <c r="AI14" s="1053">
        <v>95.8</v>
      </c>
      <c r="AJ14" s="1053">
        <v>94.1</v>
      </c>
      <c r="AK14" s="1053">
        <v>66.8</v>
      </c>
      <c r="AL14" s="1053">
        <v>92.9</v>
      </c>
      <c r="AM14" s="1053">
        <v>93.5</v>
      </c>
      <c r="AN14" s="1053">
        <v>87.1</v>
      </c>
      <c r="AO14" s="1053">
        <v>94.4</v>
      </c>
      <c r="AP14" s="1053"/>
      <c r="AQ14" s="1053">
        <v>95.2</v>
      </c>
      <c r="AR14" s="1053">
        <v>95</v>
      </c>
      <c r="AS14" s="1053">
        <v>87.9</v>
      </c>
      <c r="AT14" s="1053">
        <v>76.599999999999994</v>
      </c>
      <c r="AU14" s="1053">
        <v>84.8</v>
      </c>
      <c r="AV14" s="1062" t="str">
        <f t="shared" si="3"/>
        <v>✔</v>
      </c>
    </row>
    <row r="15" spans="1:48">
      <c r="A15" s="1033"/>
      <c r="B15" s="1074">
        <f>IF(ROWS(B$10:B15)&lt;=CFG_DIAS,CFG_MES+ROWS(B$10:B15)-1,"")</f>
        <v>46271</v>
      </c>
      <c r="C15" s="1062" t="str">
        <f t="shared" si="0"/>
        <v>do</v>
      </c>
      <c r="D15" s="1051">
        <v>0</v>
      </c>
      <c r="E15" s="1051">
        <v>0</v>
      </c>
      <c r="F15" s="1051">
        <v>0</v>
      </c>
      <c r="G15" s="1051">
        <v>0</v>
      </c>
      <c r="H15" s="1051">
        <v>0</v>
      </c>
      <c r="I15" s="1051">
        <v>0</v>
      </c>
      <c r="J15" s="1051">
        <v>0</v>
      </c>
      <c r="K15" s="1051">
        <v>0</v>
      </c>
      <c r="L15" s="1051">
        <v>0</v>
      </c>
      <c r="M15" s="1051">
        <v>0</v>
      </c>
      <c r="N15" s="1051">
        <v>0</v>
      </c>
      <c r="O15" s="1051">
        <v>0</v>
      </c>
      <c r="P15" s="1051">
        <v>0</v>
      </c>
      <c r="Q15" s="1051">
        <v>0</v>
      </c>
      <c r="R15" s="1051">
        <v>0</v>
      </c>
      <c r="S15" s="1051">
        <v>0</v>
      </c>
      <c r="T15" s="1051">
        <v>0</v>
      </c>
      <c r="U15" s="1051">
        <v>0</v>
      </c>
      <c r="V15" s="1051">
        <v>0</v>
      </c>
      <c r="W15" s="1051">
        <v>0</v>
      </c>
      <c r="X15" s="1051">
        <v>0</v>
      </c>
      <c r="Y15" s="1051">
        <v>0</v>
      </c>
      <c r="Z15" s="1075">
        <f t="shared" si="1"/>
        <v>0</v>
      </c>
      <c r="AA15" s="1114">
        <f t="shared" si="2"/>
        <v>0</v>
      </c>
      <c r="AB15" s="1062" t="str" cm="1">
        <f t="array" ref="AB15">IF(B15="","",IF(SUMPRODUCT(--(D15:AA15&lt;&gt;""),--(D$9:AA$9&lt;&gt;"Total"))&gt;0,"✔",""))</f>
        <v>✔</v>
      </c>
      <c r="AC15" s="1053"/>
      <c r="AD15" s="1053"/>
      <c r="AE15" s="1053"/>
      <c r="AF15" s="1053"/>
      <c r="AG15" s="1053"/>
      <c r="AH15" s="1053"/>
      <c r="AI15" s="1053"/>
      <c r="AJ15" s="1053"/>
      <c r="AK15" s="1053"/>
      <c r="AL15" s="1053"/>
      <c r="AM15" s="1053"/>
      <c r="AN15" s="1053"/>
      <c r="AO15" s="1053"/>
      <c r="AP15" s="1053"/>
      <c r="AQ15" s="1053"/>
      <c r="AR15" s="1053"/>
      <c r="AS15" s="1053"/>
      <c r="AT15" s="1053"/>
      <c r="AU15" s="1053"/>
      <c r="AV15" s="1062" t="str">
        <f t="shared" si="3"/>
        <v/>
      </c>
    </row>
    <row r="16" spans="1:48">
      <c r="A16" s="1033"/>
      <c r="B16" s="1074">
        <f>IF(ROWS(B$10:B16)&lt;=CFG_DIAS,CFG_MES+ROWS(B$10:B16)-1,"")</f>
        <v>46272</v>
      </c>
      <c r="C16" s="1062" t="str">
        <f t="shared" si="0"/>
        <v>lu</v>
      </c>
      <c r="D16" s="1051">
        <v>18</v>
      </c>
      <c r="E16" s="1051">
        <v>0</v>
      </c>
      <c r="F16" s="1051">
        <v>0</v>
      </c>
      <c r="G16" s="1051">
        <v>0</v>
      </c>
      <c r="H16" s="1051">
        <v>0</v>
      </c>
      <c r="I16" s="1051">
        <v>9</v>
      </c>
      <c r="J16" s="1051">
        <v>12</v>
      </c>
      <c r="K16" s="1051">
        <v>9</v>
      </c>
      <c r="L16" s="1051">
        <v>0</v>
      </c>
      <c r="M16" s="1051">
        <v>4</v>
      </c>
      <c r="N16" s="1051">
        <v>4</v>
      </c>
      <c r="O16" s="1051">
        <v>0</v>
      </c>
      <c r="P16" s="1051">
        <v>0</v>
      </c>
      <c r="Q16" s="1051">
        <v>0</v>
      </c>
      <c r="R16" s="1051">
        <v>2</v>
      </c>
      <c r="S16" s="1051">
        <v>4</v>
      </c>
      <c r="T16" s="1051">
        <v>4</v>
      </c>
      <c r="U16" s="1051">
        <v>10</v>
      </c>
      <c r="V16" s="1051">
        <v>0</v>
      </c>
      <c r="W16" s="1051">
        <v>4</v>
      </c>
      <c r="X16" s="1051">
        <v>0</v>
      </c>
      <c r="Y16" s="1051">
        <v>4</v>
      </c>
      <c r="Z16" s="1075">
        <f t="shared" si="1"/>
        <v>48</v>
      </c>
      <c r="AA16" s="1114">
        <f t="shared" si="2"/>
        <v>36</v>
      </c>
      <c r="AB16" s="1062" t="str" cm="1">
        <f t="array" ref="AB16">IF(B16="","",IF(SUMPRODUCT(--(D16:AA16&lt;&gt;""),--(D$9:AA$9&lt;&gt;"Total"))&gt;0,"✔",""))</f>
        <v>✔</v>
      </c>
      <c r="AC16" s="1053">
        <v>90</v>
      </c>
      <c r="AD16" s="1053">
        <v>90.2</v>
      </c>
      <c r="AE16" s="1053">
        <v>91.6</v>
      </c>
      <c r="AF16" s="1053"/>
      <c r="AG16" s="1053"/>
      <c r="AH16" s="1053">
        <v>91.8</v>
      </c>
      <c r="AI16" s="1053">
        <v>90.4</v>
      </c>
      <c r="AJ16" s="1053">
        <v>91.4</v>
      </c>
      <c r="AK16" s="1053">
        <v>64.7</v>
      </c>
      <c r="AL16" s="1053">
        <v>91.6</v>
      </c>
      <c r="AM16" s="1053">
        <v>88</v>
      </c>
      <c r="AN16" s="1053">
        <v>91</v>
      </c>
      <c r="AO16" s="1053">
        <v>95.5</v>
      </c>
      <c r="AP16" s="1053"/>
      <c r="AQ16" s="1053">
        <v>90.3</v>
      </c>
      <c r="AR16" s="1053">
        <v>90.3</v>
      </c>
      <c r="AS16" s="1053">
        <v>89.5</v>
      </c>
      <c r="AT16" s="1053">
        <v>78.900000000000006</v>
      </c>
      <c r="AU16" s="1053">
        <v>90.4</v>
      </c>
      <c r="AV16" s="1062" t="str">
        <f t="shared" si="3"/>
        <v>✔</v>
      </c>
    </row>
    <row r="17" spans="1:48">
      <c r="A17" s="1033"/>
      <c r="B17" s="1074">
        <f>IF(ROWS(B$10:B17)&lt;=CFG_DIAS,CFG_MES+ROWS(B$10:B17)-1,"")</f>
        <v>46273</v>
      </c>
      <c r="C17" s="1062" t="str">
        <f t="shared" si="0"/>
        <v>ma</v>
      </c>
      <c r="D17" s="1051">
        <v>0</v>
      </c>
      <c r="E17" s="1051">
        <v>18</v>
      </c>
      <c r="F17" s="1051">
        <v>15</v>
      </c>
      <c r="G17" s="1051">
        <v>0</v>
      </c>
      <c r="H17" s="1051">
        <v>0</v>
      </c>
      <c r="I17" s="1051">
        <v>0</v>
      </c>
      <c r="J17" s="1051">
        <v>0</v>
      </c>
      <c r="K17" s="1051">
        <v>9</v>
      </c>
      <c r="L17" s="1051">
        <v>18</v>
      </c>
      <c r="M17" s="1051">
        <v>0</v>
      </c>
      <c r="N17" s="1051">
        <v>0</v>
      </c>
      <c r="O17" s="1051">
        <v>0</v>
      </c>
      <c r="P17" s="1051">
        <v>0</v>
      </c>
      <c r="Q17" s="1051">
        <v>8</v>
      </c>
      <c r="R17" s="1051">
        <v>0</v>
      </c>
      <c r="S17" s="1051">
        <v>8</v>
      </c>
      <c r="T17" s="1051">
        <v>0</v>
      </c>
      <c r="U17" s="1051">
        <v>16</v>
      </c>
      <c r="V17" s="1051">
        <v>0</v>
      </c>
      <c r="W17" s="1051">
        <v>6</v>
      </c>
      <c r="X17" s="1051">
        <v>0</v>
      </c>
      <c r="Y17" s="1051">
        <v>6</v>
      </c>
      <c r="Z17" s="1075">
        <f t="shared" si="1"/>
        <v>60</v>
      </c>
      <c r="AA17" s="1114">
        <f t="shared" si="2"/>
        <v>44</v>
      </c>
      <c r="AB17" s="1062" t="str" cm="1">
        <f t="array" ref="AB17">IF(B17="","",IF(SUMPRODUCT(--(D17:AA17&lt;&gt;""),--(D$9:AA$9&lt;&gt;"Total"))&gt;0,"✔",""))</f>
        <v>✔</v>
      </c>
      <c r="AC17" s="1053">
        <v>93.2</v>
      </c>
      <c r="AD17" s="1053">
        <v>88.7</v>
      </c>
      <c r="AE17" s="1053">
        <v>88.7</v>
      </c>
      <c r="AF17" s="1053"/>
      <c r="AG17" s="1053"/>
      <c r="AH17" s="1053">
        <v>93.1</v>
      </c>
      <c r="AI17" s="1053">
        <v>94.1</v>
      </c>
      <c r="AJ17" s="1053">
        <v>92.1</v>
      </c>
      <c r="AK17" s="1053">
        <v>63.6</v>
      </c>
      <c r="AL17" s="1053">
        <v>91</v>
      </c>
      <c r="AM17" s="1053">
        <v>91.1</v>
      </c>
      <c r="AN17" s="1053">
        <v>88</v>
      </c>
      <c r="AO17" s="1053">
        <v>95.9</v>
      </c>
      <c r="AP17" s="1053"/>
      <c r="AQ17" s="1053">
        <v>94.4</v>
      </c>
      <c r="AR17" s="1053">
        <v>87.8</v>
      </c>
      <c r="AS17" s="1053">
        <v>90.8</v>
      </c>
      <c r="AT17" s="1053">
        <v>77.7</v>
      </c>
      <c r="AU17" s="1053">
        <v>89.2</v>
      </c>
      <c r="AV17" s="1062" t="str">
        <f t="shared" si="3"/>
        <v>✔</v>
      </c>
    </row>
    <row r="18" spans="1:48">
      <c r="A18" s="1033"/>
      <c r="B18" s="1074">
        <f>IF(ROWS(B$10:B18)&lt;=CFG_DIAS,CFG_MES+ROWS(B$10:B18)-1,"")</f>
        <v>46274</v>
      </c>
      <c r="C18" s="1062" t="str">
        <f t="shared" si="0"/>
        <v>mi</v>
      </c>
      <c r="D18" s="1051">
        <v>9</v>
      </c>
      <c r="E18" s="1051">
        <v>0</v>
      </c>
      <c r="F18" s="1051">
        <v>0</v>
      </c>
      <c r="G18" s="1051">
        <v>0</v>
      </c>
      <c r="H18" s="1051">
        <v>18</v>
      </c>
      <c r="I18" s="1051">
        <v>14</v>
      </c>
      <c r="J18" s="1051">
        <v>9</v>
      </c>
      <c r="K18" s="1051">
        <v>0</v>
      </c>
      <c r="L18" s="1051">
        <v>9</v>
      </c>
      <c r="M18" s="1051">
        <v>6</v>
      </c>
      <c r="N18" s="1051">
        <v>0</v>
      </c>
      <c r="O18" s="1051">
        <v>4</v>
      </c>
      <c r="P18" s="1051">
        <v>0</v>
      </c>
      <c r="Q18" s="1051">
        <v>6</v>
      </c>
      <c r="R18" s="1051">
        <v>0</v>
      </c>
      <c r="S18" s="1051">
        <v>4</v>
      </c>
      <c r="T18" s="1051">
        <v>6</v>
      </c>
      <c r="U18" s="1051">
        <v>14</v>
      </c>
      <c r="V18" s="1051">
        <v>4</v>
      </c>
      <c r="W18" s="1051">
        <v>4</v>
      </c>
      <c r="X18" s="1051">
        <v>4</v>
      </c>
      <c r="Y18" s="1051">
        <v>12</v>
      </c>
      <c r="Z18" s="1075">
        <f t="shared" si="1"/>
        <v>59</v>
      </c>
      <c r="AA18" s="1114">
        <f t="shared" si="2"/>
        <v>64</v>
      </c>
      <c r="AB18" s="1062" t="str" cm="1">
        <f t="array" ref="AB18">IF(B18="","",IF(SUMPRODUCT(--(D18:AA18&lt;&gt;""),--(D$9:AA$9&lt;&gt;"Total"))&gt;0,"✔",""))</f>
        <v>✔</v>
      </c>
      <c r="AC18" s="1053">
        <v>91.4</v>
      </c>
      <c r="AD18" s="1053">
        <v>92.5</v>
      </c>
      <c r="AE18" s="1053">
        <v>93.9</v>
      </c>
      <c r="AF18" s="1053"/>
      <c r="AG18" s="1053">
        <v>88.9</v>
      </c>
      <c r="AH18" s="1053">
        <v>90.6</v>
      </c>
      <c r="AI18" s="1053">
        <v>90</v>
      </c>
      <c r="AJ18" s="1053">
        <v>93.5</v>
      </c>
      <c r="AK18" s="1053">
        <v>64.900000000000006</v>
      </c>
      <c r="AL18" s="1053">
        <v>90.9</v>
      </c>
      <c r="AM18" s="1053">
        <v>91.8</v>
      </c>
      <c r="AN18" s="1053">
        <v>89.8</v>
      </c>
      <c r="AO18" s="1053">
        <v>95.4</v>
      </c>
      <c r="AP18" s="1053">
        <v>88.3</v>
      </c>
      <c r="AQ18" s="1053">
        <v>94.2</v>
      </c>
      <c r="AR18" s="1053">
        <v>91.9</v>
      </c>
      <c r="AS18" s="1053">
        <v>90.2</v>
      </c>
      <c r="AT18" s="1053">
        <v>79.099999999999994</v>
      </c>
      <c r="AU18" s="1053">
        <v>87.4</v>
      </c>
      <c r="AV18" s="1062" t="str">
        <f t="shared" si="3"/>
        <v>✔</v>
      </c>
    </row>
    <row r="19" spans="1:48">
      <c r="A19" s="1033"/>
      <c r="B19" s="1074">
        <f>IF(ROWS(B$10:B19)&lt;=CFG_DIAS,CFG_MES+ROWS(B$10:B19)-1,"")</f>
        <v>46275</v>
      </c>
      <c r="C19" s="1062" t="str">
        <f t="shared" si="0"/>
        <v>ju</v>
      </c>
      <c r="D19" s="1051">
        <v>0</v>
      </c>
      <c r="E19" s="1051">
        <v>7</v>
      </c>
      <c r="F19" s="1051">
        <v>0</v>
      </c>
      <c r="G19" s="1051">
        <v>0</v>
      </c>
      <c r="H19" s="1051">
        <v>0</v>
      </c>
      <c r="I19" s="1051">
        <v>0</v>
      </c>
      <c r="J19" s="1051">
        <v>7</v>
      </c>
      <c r="K19" s="1051">
        <v>5</v>
      </c>
      <c r="L19" s="1051">
        <v>0</v>
      </c>
      <c r="M19" s="1051">
        <v>4</v>
      </c>
      <c r="N19" s="1051">
        <v>0</v>
      </c>
      <c r="O19" s="1051">
        <v>0</v>
      </c>
      <c r="P19" s="1051">
        <v>0</v>
      </c>
      <c r="Q19" s="1051">
        <v>6</v>
      </c>
      <c r="R19" s="1051">
        <v>0</v>
      </c>
      <c r="S19" s="1051">
        <v>2</v>
      </c>
      <c r="T19" s="1051">
        <v>4</v>
      </c>
      <c r="U19" s="1051">
        <v>8</v>
      </c>
      <c r="V19" s="1051">
        <v>0</v>
      </c>
      <c r="W19" s="1051">
        <v>0</v>
      </c>
      <c r="X19" s="1051">
        <v>2</v>
      </c>
      <c r="Y19" s="1051">
        <v>2</v>
      </c>
      <c r="Z19" s="1075">
        <f t="shared" si="1"/>
        <v>19</v>
      </c>
      <c r="AA19" s="1114">
        <f t="shared" si="2"/>
        <v>28</v>
      </c>
      <c r="AB19" s="1062" t="str" cm="1">
        <f t="array" ref="AB19">IF(B19="","",IF(SUMPRODUCT(--(D19:AA19&lt;&gt;""),--(D$9:AA$9&lt;&gt;"Total"))&gt;0,"✔",""))</f>
        <v>✔</v>
      </c>
      <c r="AC19" s="1053">
        <v>95</v>
      </c>
      <c r="AD19" s="1053">
        <v>89.5</v>
      </c>
      <c r="AE19" s="1053">
        <v>91.8</v>
      </c>
      <c r="AF19" s="1053"/>
      <c r="AG19" s="1053">
        <v>93.9</v>
      </c>
      <c r="AH19" s="1053">
        <v>94.8</v>
      </c>
      <c r="AI19" s="1053">
        <v>92.5</v>
      </c>
      <c r="AJ19" s="1053">
        <v>92</v>
      </c>
      <c r="AK19" s="1053"/>
      <c r="AL19" s="1053">
        <v>90.9</v>
      </c>
      <c r="AM19" s="1053">
        <v>91</v>
      </c>
      <c r="AN19" s="1053">
        <v>93.8</v>
      </c>
      <c r="AO19" s="1053">
        <v>93.4</v>
      </c>
      <c r="AP19" s="1053">
        <v>87.3</v>
      </c>
      <c r="AQ19" s="1053">
        <v>94.2</v>
      </c>
      <c r="AR19" s="1053">
        <v>92.1</v>
      </c>
      <c r="AS19" s="1053">
        <v>91.2</v>
      </c>
      <c r="AT19" s="1053"/>
      <c r="AU19" s="1053">
        <v>88.9</v>
      </c>
      <c r="AV19" s="1062" t="str">
        <f t="shared" si="3"/>
        <v>✔</v>
      </c>
    </row>
    <row r="20" spans="1:48">
      <c r="A20" s="1033"/>
      <c r="B20" s="1074">
        <f>IF(ROWS(B$10:B20)&lt;=CFG_DIAS,CFG_MES+ROWS(B$10:B20)-1,"")</f>
        <v>46276</v>
      </c>
      <c r="C20" s="1062" t="str">
        <f t="shared" si="0"/>
        <v>vi</v>
      </c>
      <c r="D20" s="1051">
        <v>0</v>
      </c>
      <c r="E20" s="1051">
        <v>9</v>
      </c>
      <c r="F20" s="1051">
        <v>0</v>
      </c>
      <c r="G20" s="1051">
        <v>0</v>
      </c>
      <c r="H20" s="1051">
        <v>0</v>
      </c>
      <c r="I20" s="1051">
        <v>0</v>
      </c>
      <c r="J20" s="1051">
        <v>0</v>
      </c>
      <c r="K20" s="1051">
        <v>7</v>
      </c>
      <c r="L20" s="1051">
        <v>7</v>
      </c>
      <c r="M20" s="1051">
        <v>6</v>
      </c>
      <c r="N20" s="1051">
        <v>0</v>
      </c>
      <c r="O20" s="1051">
        <v>0</v>
      </c>
      <c r="P20" s="1051">
        <v>0</v>
      </c>
      <c r="Q20" s="1051">
        <v>6</v>
      </c>
      <c r="R20" s="1051">
        <v>0</v>
      </c>
      <c r="S20" s="1051">
        <v>2</v>
      </c>
      <c r="T20" s="1051">
        <v>6</v>
      </c>
      <c r="U20" s="1051">
        <v>8</v>
      </c>
      <c r="V20" s="1051">
        <v>0</v>
      </c>
      <c r="W20" s="1051">
        <v>4</v>
      </c>
      <c r="X20" s="1051">
        <v>0</v>
      </c>
      <c r="Y20" s="1051">
        <v>4</v>
      </c>
      <c r="Z20" s="1075">
        <f t="shared" si="1"/>
        <v>23</v>
      </c>
      <c r="AA20" s="1114">
        <f t="shared" si="2"/>
        <v>36</v>
      </c>
      <c r="AB20" s="1062" t="str" cm="1">
        <f t="array" ref="AB20">IF(B20="","",IF(SUMPRODUCT(--(D20:AA20&lt;&gt;""),--(D$9:AA$9&lt;&gt;"Total"))&gt;0,"✔",""))</f>
        <v>✔</v>
      </c>
      <c r="AC20" s="1053">
        <v>92.3</v>
      </c>
      <c r="AD20" s="1053">
        <v>88.7</v>
      </c>
      <c r="AE20" s="1053">
        <v>86.2</v>
      </c>
      <c r="AF20" s="1053"/>
      <c r="AG20" s="1053">
        <v>92.3</v>
      </c>
      <c r="AH20" s="1053">
        <v>93.1</v>
      </c>
      <c r="AI20" s="1053">
        <v>94.4</v>
      </c>
      <c r="AJ20" s="1053">
        <v>93.1</v>
      </c>
      <c r="AK20" s="1053">
        <v>65.400000000000006</v>
      </c>
      <c r="AL20" s="1053">
        <v>92.6</v>
      </c>
      <c r="AM20" s="1053">
        <v>88.9</v>
      </c>
      <c r="AN20" s="1053">
        <v>91.7</v>
      </c>
      <c r="AO20" s="1053">
        <v>90.5</v>
      </c>
      <c r="AP20" s="1053">
        <v>90.3</v>
      </c>
      <c r="AQ20" s="1053">
        <v>91.9</v>
      </c>
      <c r="AR20" s="1053">
        <v>91.7</v>
      </c>
      <c r="AS20" s="1053">
        <v>90.9</v>
      </c>
      <c r="AT20" s="1053">
        <v>78.7</v>
      </c>
      <c r="AU20" s="1053">
        <v>88.9</v>
      </c>
      <c r="AV20" s="1062" t="str">
        <f t="shared" si="3"/>
        <v>✔</v>
      </c>
    </row>
    <row r="21" spans="1:48">
      <c r="A21" s="1033"/>
      <c r="B21" s="1074">
        <f>IF(ROWS(B$10:B21)&lt;=CFG_DIAS,CFG_MES+ROWS(B$10:B21)-1,"")</f>
        <v>46277</v>
      </c>
      <c r="C21" s="1062" t="str">
        <f t="shared" si="0"/>
        <v>sá</v>
      </c>
      <c r="D21" s="1051">
        <v>0</v>
      </c>
      <c r="E21" s="1051">
        <v>0</v>
      </c>
      <c r="F21" s="1051">
        <v>0</v>
      </c>
      <c r="G21" s="1051">
        <v>0</v>
      </c>
      <c r="H21" s="1051">
        <v>0</v>
      </c>
      <c r="I21" s="1051">
        <v>0</v>
      </c>
      <c r="J21" s="1051">
        <v>0</v>
      </c>
      <c r="K21" s="1051">
        <v>0</v>
      </c>
      <c r="L21" s="1051">
        <v>0</v>
      </c>
      <c r="M21" s="1051">
        <v>0</v>
      </c>
      <c r="N21" s="1051">
        <v>0</v>
      </c>
      <c r="O21" s="1051">
        <v>0</v>
      </c>
      <c r="P21" s="1051">
        <v>0</v>
      </c>
      <c r="Q21" s="1051">
        <v>0</v>
      </c>
      <c r="R21" s="1051">
        <v>0</v>
      </c>
      <c r="S21" s="1051">
        <v>0</v>
      </c>
      <c r="T21" s="1051">
        <v>0</v>
      </c>
      <c r="U21" s="1051">
        <v>0</v>
      </c>
      <c r="V21" s="1051">
        <v>0</v>
      </c>
      <c r="W21" s="1051">
        <v>0</v>
      </c>
      <c r="X21" s="1051">
        <v>0</v>
      </c>
      <c r="Y21" s="1051">
        <v>0</v>
      </c>
      <c r="Z21" s="1075">
        <f t="shared" si="1"/>
        <v>0</v>
      </c>
      <c r="AA21" s="1114">
        <f t="shared" si="2"/>
        <v>0</v>
      </c>
      <c r="AB21" s="1062" t="str" cm="1">
        <f t="array" ref="AB21">IF(B21="","",IF(SUMPRODUCT(--(D21:AA21&lt;&gt;""),--(D$9:AA$9&lt;&gt;"Total"))&gt;0,"✔",""))</f>
        <v>✔</v>
      </c>
      <c r="AC21" s="1053"/>
      <c r="AD21" s="1053"/>
      <c r="AE21" s="1053"/>
      <c r="AF21" s="1053"/>
      <c r="AG21" s="1053"/>
      <c r="AH21" s="1053"/>
      <c r="AI21" s="1053"/>
      <c r="AJ21" s="1053"/>
      <c r="AK21" s="1053"/>
      <c r="AL21" s="1053"/>
      <c r="AM21" s="1053"/>
      <c r="AN21" s="1053"/>
      <c r="AO21" s="1053"/>
      <c r="AP21" s="1053"/>
      <c r="AQ21" s="1053"/>
      <c r="AR21" s="1053"/>
      <c r="AS21" s="1053"/>
      <c r="AT21" s="1053"/>
      <c r="AU21" s="1053"/>
      <c r="AV21" s="1062" t="str">
        <f t="shared" si="3"/>
        <v/>
      </c>
    </row>
    <row r="22" spans="1:48">
      <c r="A22" s="1033"/>
      <c r="B22" s="1074">
        <f>IF(ROWS(B$10:B22)&lt;=CFG_DIAS,CFG_MES+ROWS(B$10:B22)-1,"")</f>
        <v>46278</v>
      </c>
      <c r="C22" s="1062" t="str">
        <f t="shared" si="0"/>
        <v>do</v>
      </c>
      <c r="D22" s="1051">
        <v>9</v>
      </c>
      <c r="E22" s="1051">
        <v>0</v>
      </c>
      <c r="F22" s="1051">
        <v>9</v>
      </c>
      <c r="G22" s="1051">
        <v>0</v>
      </c>
      <c r="H22" s="1051">
        <v>9</v>
      </c>
      <c r="I22" s="1051">
        <v>9</v>
      </c>
      <c r="J22" s="1051">
        <v>9</v>
      </c>
      <c r="K22" s="1051">
        <v>9</v>
      </c>
      <c r="L22" s="1051">
        <v>9</v>
      </c>
      <c r="M22" s="1051">
        <v>0</v>
      </c>
      <c r="N22" s="1051">
        <v>0</v>
      </c>
      <c r="O22" s="1051">
        <v>6</v>
      </c>
      <c r="P22" s="1051">
        <v>0</v>
      </c>
      <c r="Q22" s="1051">
        <v>10</v>
      </c>
      <c r="R22" s="1051">
        <v>0</v>
      </c>
      <c r="S22" s="1051">
        <v>8</v>
      </c>
      <c r="T22" s="1051">
        <v>0</v>
      </c>
      <c r="U22" s="1051">
        <v>24</v>
      </c>
      <c r="V22" s="1051">
        <v>0</v>
      </c>
      <c r="W22" s="1051">
        <v>0</v>
      </c>
      <c r="X22" s="1051">
        <v>0</v>
      </c>
      <c r="Y22" s="1051">
        <v>0</v>
      </c>
      <c r="Z22" s="1075">
        <f t="shared" si="1"/>
        <v>63</v>
      </c>
      <c r="AA22" s="1114">
        <f t="shared" si="2"/>
        <v>48</v>
      </c>
      <c r="AB22" s="1062" t="str" cm="1">
        <f t="array" ref="AB22">IF(B22="","",IF(SUMPRODUCT(--(D22:AA22&lt;&gt;""),--(D$9:AA$9&lt;&gt;"Total"))&gt;0,"✔",""))</f>
        <v>✔</v>
      </c>
      <c r="AC22" s="1053"/>
      <c r="AD22" s="1053"/>
      <c r="AE22" s="1053"/>
      <c r="AF22" s="1053"/>
      <c r="AG22" s="1053"/>
      <c r="AH22" s="1053"/>
      <c r="AI22" s="1053"/>
      <c r="AJ22" s="1053"/>
      <c r="AK22" s="1053"/>
      <c r="AL22" s="1053"/>
      <c r="AM22" s="1053"/>
      <c r="AN22" s="1053"/>
      <c r="AO22" s="1053"/>
      <c r="AP22" s="1053"/>
      <c r="AQ22" s="1053"/>
      <c r="AR22" s="1053"/>
      <c r="AS22" s="1053"/>
      <c r="AT22" s="1053"/>
      <c r="AU22" s="1053"/>
      <c r="AV22" s="1062" t="str">
        <f t="shared" si="3"/>
        <v/>
      </c>
    </row>
    <row r="23" spans="1:48">
      <c r="A23" s="1033"/>
      <c r="B23" s="1074">
        <f>IF(ROWS(B$10:B23)&lt;=CFG_DIAS,CFG_MES+ROWS(B$10:B23)-1,"")</f>
        <v>46279</v>
      </c>
      <c r="C23" s="1062" t="str">
        <f t="shared" si="0"/>
        <v>lu</v>
      </c>
      <c r="D23" s="1051">
        <v>0</v>
      </c>
      <c r="E23" s="1051">
        <v>0</v>
      </c>
      <c r="F23" s="1051">
        <v>7</v>
      </c>
      <c r="G23" s="1051">
        <v>0</v>
      </c>
      <c r="H23" s="1051">
        <v>9</v>
      </c>
      <c r="I23" s="1051">
        <v>0</v>
      </c>
      <c r="J23" s="1051">
        <v>0</v>
      </c>
      <c r="K23" s="1051">
        <v>0</v>
      </c>
      <c r="L23" s="1051">
        <v>11</v>
      </c>
      <c r="M23" s="1051">
        <v>2</v>
      </c>
      <c r="N23" s="1051">
        <v>2</v>
      </c>
      <c r="O23" s="1051">
        <v>4</v>
      </c>
      <c r="P23" s="1051">
        <v>0</v>
      </c>
      <c r="Q23" s="1051">
        <v>8</v>
      </c>
      <c r="R23" s="1051">
        <v>2</v>
      </c>
      <c r="S23" s="1051">
        <v>2</v>
      </c>
      <c r="T23" s="1051">
        <v>2</v>
      </c>
      <c r="U23" s="1051">
        <v>18</v>
      </c>
      <c r="V23" s="1051">
        <v>0</v>
      </c>
      <c r="W23" s="1051">
        <v>0</v>
      </c>
      <c r="X23" s="1051">
        <v>0</v>
      </c>
      <c r="Y23" s="1051">
        <v>0</v>
      </c>
      <c r="Z23" s="1075">
        <f t="shared" si="1"/>
        <v>27</v>
      </c>
      <c r="AA23" s="1114">
        <f t="shared" si="2"/>
        <v>40</v>
      </c>
      <c r="AB23" s="1062" t="str" cm="1">
        <f t="array" ref="AB23">IF(B23="","",IF(SUMPRODUCT(--(D23:AA23&lt;&gt;""),--(D$9:AA$9&lt;&gt;"Total"))&gt;0,"✔",""))</f>
        <v>✔</v>
      </c>
      <c r="AC23" s="1053"/>
      <c r="AD23" s="1053">
        <v>91.4</v>
      </c>
      <c r="AE23" s="1053">
        <v>90</v>
      </c>
      <c r="AF23" s="1053">
        <v>93.7</v>
      </c>
      <c r="AG23" s="1053">
        <v>91.4</v>
      </c>
      <c r="AH23" s="1053">
        <v>93.1</v>
      </c>
      <c r="AI23" s="1053">
        <v>94.8</v>
      </c>
      <c r="AJ23" s="1053">
        <v>95.4</v>
      </c>
      <c r="AK23" s="1053">
        <v>62.7</v>
      </c>
      <c r="AL23" s="1053">
        <v>92.9</v>
      </c>
      <c r="AM23" s="1053">
        <v>90</v>
      </c>
      <c r="AN23" s="1053">
        <v>88.9</v>
      </c>
      <c r="AO23" s="1053"/>
      <c r="AP23" s="1053">
        <v>87.7</v>
      </c>
      <c r="AQ23" s="1053">
        <v>89.7</v>
      </c>
      <c r="AR23" s="1053">
        <v>87.5</v>
      </c>
      <c r="AS23" s="1053">
        <v>90</v>
      </c>
      <c r="AT23" s="1053">
        <v>76</v>
      </c>
      <c r="AU23" s="1053">
        <v>88.8</v>
      </c>
      <c r="AV23" s="1062" t="str">
        <f t="shared" si="3"/>
        <v>✔</v>
      </c>
    </row>
    <row r="24" spans="1:48">
      <c r="A24" s="1033"/>
      <c r="B24" s="1074">
        <f>IF(ROWS(B$10:B24)&lt;=CFG_DIAS,CFG_MES+ROWS(B$10:B24)-1,"")</f>
        <v>46280</v>
      </c>
      <c r="C24" s="1062" t="str">
        <f t="shared" si="0"/>
        <v>ma</v>
      </c>
      <c r="D24" s="1051">
        <v>0</v>
      </c>
      <c r="E24" s="1051">
        <v>0</v>
      </c>
      <c r="F24" s="1051">
        <v>0</v>
      </c>
      <c r="G24" s="1051">
        <v>0</v>
      </c>
      <c r="H24" s="1051">
        <v>0</v>
      </c>
      <c r="I24" s="1051">
        <v>9</v>
      </c>
      <c r="J24" s="1051">
        <v>0</v>
      </c>
      <c r="K24" s="1051">
        <v>0</v>
      </c>
      <c r="L24" s="1051">
        <v>0</v>
      </c>
      <c r="M24" s="1051">
        <v>2</v>
      </c>
      <c r="N24" s="1051">
        <v>0</v>
      </c>
      <c r="O24" s="1051">
        <v>4</v>
      </c>
      <c r="P24" s="1051">
        <v>0</v>
      </c>
      <c r="Q24" s="1051">
        <v>8</v>
      </c>
      <c r="R24" s="1051">
        <v>4</v>
      </c>
      <c r="S24" s="1051">
        <v>8</v>
      </c>
      <c r="T24" s="1051">
        <v>2</v>
      </c>
      <c r="U24" s="1051">
        <v>24</v>
      </c>
      <c r="V24" s="1051">
        <v>0</v>
      </c>
      <c r="W24" s="1051">
        <v>0</v>
      </c>
      <c r="X24" s="1051">
        <v>0</v>
      </c>
      <c r="Y24" s="1051">
        <v>0</v>
      </c>
      <c r="Z24" s="1075">
        <f t="shared" si="1"/>
        <v>9</v>
      </c>
      <c r="AA24" s="1114">
        <f t="shared" si="2"/>
        <v>52</v>
      </c>
      <c r="AB24" s="1062" t="str" cm="1">
        <f t="array" ref="AB24">IF(B24="","",IF(SUMPRODUCT(--(D24:AA24&lt;&gt;""),--(D$9:AA$9&lt;&gt;"Total"))&gt;0,"✔",""))</f>
        <v>✔</v>
      </c>
      <c r="AC24" s="1053">
        <v>92.5</v>
      </c>
      <c r="AD24" s="1053">
        <v>90.8</v>
      </c>
      <c r="AE24" s="1053"/>
      <c r="AF24" s="1053"/>
      <c r="AG24" s="1053">
        <v>94.4</v>
      </c>
      <c r="AH24" s="1053">
        <v>91</v>
      </c>
      <c r="AI24" s="1053">
        <v>93.1</v>
      </c>
      <c r="AJ24" s="1053">
        <v>95.2</v>
      </c>
      <c r="AK24" s="1053">
        <v>67.7</v>
      </c>
      <c r="AL24" s="1053">
        <v>91.3</v>
      </c>
      <c r="AM24" s="1053">
        <v>92.2</v>
      </c>
      <c r="AN24" s="1053">
        <v>94.9</v>
      </c>
      <c r="AO24" s="1053"/>
      <c r="AP24" s="1053">
        <v>87.9</v>
      </c>
      <c r="AQ24" s="1053">
        <v>90</v>
      </c>
      <c r="AR24" s="1053">
        <v>88.9</v>
      </c>
      <c r="AS24" s="1053">
        <v>91.7</v>
      </c>
      <c r="AT24" s="1053">
        <v>76.3</v>
      </c>
      <c r="AU24" s="1053"/>
      <c r="AV24" s="1062" t="str">
        <f t="shared" si="3"/>
        <v>✔</v>
      </c>
    </row>
    <row r="25" spans="1:48">
      <c r="A25" s="1033"/>
      <c r="B25" s="1074">
        <f>IF(ROWS(B$10:B25)&lt;=CFG_DIAS,CFG_MES+ROWS(B$10:B25)-1,"")</f>
        <v>46281</v>
      </c>
      <c r="C25" s="1062" t="str">
        <f t="shared" si="0"/>
        <v>mi</v>
      </c>
      <c r="D25" s="1051">
        <v>9</v>
      </c>
      <c r="E25" s="1051">
        <v>9</v>
      </c>
      <c r="F25" s="1051">
        <v>0</v>
      </c>
      <c r="G25" s="1051">
        <v>0</v>
      </c>
      <c r="H25" s="1051">
        <v>0</v>
      </c>
      <c r="I25" s="1051">
        <v>0</v>
      </c>
      <c r="J25" s="1051">
        <v>11</v>
      </c>
      <c r="K25" s="1051">
        <v>0</v>
      </c>
      <c r="L25" s="1051">
        <v>9</v>
      </c>
      <c r="M25" s="1051">
        <v>2</v>
      </c>
      <c r="N25" s="1051">
        <v>0</v>
      </c>
      <c r="O25" s="1051">
        <v>0</v>
      </c>
      <c r="P25" s="1051">
        <v>0</v>
      </c>
      <c r="Q25" s="1051">
        <v>6</v>
      </c>
      <c r="R25" s="1051">
        <v>4</v>
      </c>
      <c r="S25" s="1051">
        <v>6</v>
      </c>
      <c r="T25" s="1051">
        <v>2</v>
      </c>
      <c r="U25" s="1051">
        <v>16</v>
      </c>
      <c r="V25" s="1051">
        <v>0</v>
      </c>
      <c r="W25" s="1051">
        <v>6</v>
      </c>
      <c r="X25" s="1051">
        <v>0</v>
      </c>
      <c r="Y25" s="1051">
        <v>6</v>
      </c>
      <c r="Z25" s="1075">
        <f t="shared" si="1"/>
        <v>38</v>
      </c>
      <c r="AA25" s="1114">
        <f t="shared" si="2"/>
        <v>48</v>
      </c>
      <c r="AB25" s="1062" t="str" cm="1">
        <f t="array" ref="AB25">IF(B25="","",IF(SUMPRODUCT(--(D25:AA25&lt;&gt;""),--(D$9:AA$9&lt;&gt;"Total"))&gt;0,"✔",""))</f>
        <v>✔</v>
      </c>
      <c r="AC25" s="1053">
        <v>91.8</v>
      </c>
      <c r="AD25" s="1053">
        <v>89.8</v>
      </c>
      <c r="AE25" s="1053"/>
      <c r="AF25" s="1053"/>
      <c r="AG25" s="1053">
        <v>92.5</v>
      </c>
      <c r="AH25" s="1053">
        <v>92.9</v>
      </c>
      <c r="AI25" s="1053">
        <v>91.8</v>
      </c>
      <c r="AJ25" s="1053">
        <v>92.7</v>
      </c>
      <c r="AK25" s="1053">
        <v>64.400000000000006</v>
      </c>
      <c r="AL25" s="1053">
        <v>92.5</v>
      </c>
      <c r="AM25" s="1053">
        <v>92.3</v>
      </c>
      <c r="AN25" s="1053">
        <v>92.5</v>
      </c>
      <c r="AO25" s="1053">
        <v>91.2</v>
      </c>
      <c r="AP25" s="1053">
        <v>89.1</v>
      </c>
      <c r="AQ25" s="1053">
        <v>90.4</v>
      </c>
      <c r="AR25" s="1053">
        <v>88.2</v>
      </c>
      <c r="AS25" s="1053">
        <v>90.9</v>
      </c>
      <c r="AT25" s="1053">
        <v>75.8</v>
      </c>
      <c r="AU25" s="1053"/>
      <c r="AV25" s="1062" t="str">
        <f t="shared" si="3"/>
        <v>✔</v>
      </c>
    </row>
    <row r="26" spans="1:48">
      <c r="A26" s="1033"/>
      <c r="B26" s="1074">
        <f>IF(ROWS(B$10:B26)&lt;=CFG_DIAS,CFG_MES+ROWS(B$10:B26)-1,"")</f>
        <v>46282</v>
      </c>
      <c r="C26" s="1062" t="str">
        <f t="shared" si="0"/>
        <v>ju</v>
      </c>
      <c r="D26" s="1051">
        <v>0</v>
      </c>
      <c r="E26" s="1051">
        <v>0</v>
      </c>
      <c r="F26" s="1051">
        <v>0</v>
      </c>
      <c r="G26" s="1051">
        <v>0</v>
      </c>
      <c r="H26" s="1051">
        <v>0</v>
      </c>
      <c r="I26" s="1051">
        <v>0</v>
      </c>
      <c r="J26" s="1051">
        <v>0</v>
      </c>
      <c r="K26" s="1051">
        <v>0</v>
      </c>
      <c r="L26" s="1051">
        <v>0</v>
      </c>
      <c r="M26" s="1051">
        <v>4</v>
      </c>
      <c r="N26" s="1051">
        <v>2</v>
      </c>
      <c r="O26" s="1051">
        <v>0</v>
      </c>
      <c r="P26" s="1051">
        <v>4</v>
      </c>
      <c r="Q26" s="1051">
        <v>4</v>
      </c>
      <c r="R26" s="1051">
        <v>6</v>
      </c>
      <c r="S26" s="1051">
        <v>0</v>
      </c>
      <c r="T26" s="1051">
        <v>4</v>
      </c>
      <c r="U26" s="1051">
        <v>16</v>
      </c>
      <c r="V26" s="1051">
        <v>0</v>
      </c>
      <c r="W26" s="1051">
        <v>7</v>
      </c>
      <c r="X26" s="1051">
        <v>0</v>
      </c>
      <c r="Y26" s="1051">
        <v>7</v>
      </c>
      <c r="Z26" s="1075">
        <f t="shared" si="1"/>
        <v>0</v>
      </c>
      <c r="AA26" s="1114">
        <f t="shared" si="2"/>
        <v>54</v>
      </c>
      <c r="AB26" s="1062" t="str" cm="1">
        <f t="array" ref="AB26">IF(B26="","",IF(SUMPRODUCT(--(D26:AA26&lt;&gt;""),--(D$9:AA$9&lt;&gt;"Total"))&gt;0,"✔",""))</f>
        <v>✔</v>
      </c>
      <c r="AC26" s="1053">
        <v>90.9</v>
      </c>
      <c r="AD26" s="1053">
        <v>93.3</v>
      </c>
      <c r="AE26" s="1053"/>
      <c r="AF26" s="1053"/>
      <c r="AG26" s="1053">
        <v>90.2</v>
      </c>
      <c r="AH26" s="1053">
        <v>90.8</v>
      </c>
      <c r="AI26" s="1053"/>
      <c r="AJ26" s="1053">
        <v>92.1</v>
      </c>
      <c r="AK26" s="1053">
        <v>66.3</v>
      </c>
      <c r="AL26" s="1053">
        <v>92.1</v>
      </c>
      <c r="AM26" s="1053">
        <v>90.7</v>
      </c>
      <c r="AN26" s="1053">
        <v>92.2</v>
      </c>
      <c r="AO26" s="1053">
        <v>85</v>
      </c>
      <c r="AP26" s="1053">
        <v>91.2</v>
      </c>
      <c r="AQ26" s="1053">
        <v>87.1</v>
      </c>
      <c r="AR26" s="1053"/>
      <c r="AS26" s="1053">
        <v>90.1</v>
      </c>
      <c r="AT26" s="1053">
        <v>76.8</v>
      </c>
      <c r="AU26" s="1053"/>
      <c r="AV26" s="1062" t="str">
        <f t="shared" si="3"/>
        <v>✔</v>
      </c>
    </row>
    <row r="27" spans="1:48">
      <c r="A27" s="1033"/>
      <c r="B27" s="1074">
        <f>IF(ROWS(B$10:B27)&lt;=CFG_DIAS,CFG_MES+ROWS(B$10:B27)-1,"")</f>
        <v>46283</v>
      </c>
      <c r="C27" s="1062" t="str">
        <f t="shared" si="0"/>
        <v>vi</v>
      </c>
      <c r="D27" s="1051">
        <v>10</v>
      </c>
      <c r="E27" s="1051">
        <v>0</v>
      </c>
      <c r="F27" s="1051">
        <v>0</v>
      </c>
      <c r="G27" s="1051">
        <v>0</v>
      </c>
      <c r="H27" s="1051">
        <v>18</v>
      </c>
      <c r="I27" s="1051">
        <v>9</v>
      </c>
      <c r="J27" s="1051">
        <v>0</v>
      </c>
      <c r="K27" s="1051">
        <v>15</v>
      </c>
      <c r="L27" s="1051">
        <v>9</v>
      </c>
      <c r="M27" s="1051">
        <v>4</v>
      </c>
      <c r="N27" s="1051">
        <v>0</v>
      </c>
      <c r="O27" s="1051">
        <v>0</v>
      </c>
      <c r="P27" s="1051">
        <v>0</v>
      </c>
      <c r="Q27" s="1051">
        <v>6</v>
      </c>
      <c r="R27" s="1051">
        <v>6</v>
      </c>
      <c r="S27" s="1051">
        <v>0</v>
      </c>
      <c r="T27" s="1051">
        <v>4</v>
      </c>
      <c r="U27" s="1051">
        <v>12</v>
      </c>
      <c r="V27" s="1051">
        <v>2</v>
      </c>
      <c r="W27" s="1051">
        <v>6</v>
      </c>
      <c r="X27" s="1051">
        <v>0</v>
      </c>
      <c r="Y27" s="1051">
        <v>8</v>
      </c>
      <c r="Z27" s="1075">
        <f t="shared" si="1"/>
        <v>61</v>
      </c>
      <c r="AA27" s="1114">
        <f t="shared" si="2"/>
        <v>48</v>
      </c>
      <c r="AB27" s="1062" t="str" cm="1">
        <f t="array" ref="AB27">IF(B27="","",IF(SUMPRODUCT(--(D27:AA27&lt;&gt;""),--(D$9:AA$9&lt;&gt;"Total"))&gt;0,"✔",""))</f>
        <v>✔</v>
      </c>
      <c r="AC27" s="1053">
        <v>90.5</v>
      </c>
      <c r="AD27" s="1053">
        <v>90.2</v>
      </c>
      <c r="AE27" s="1053"/>
      <c r="AF27" s="1053">
        <v>91.4</v>
      </c>
      <c r="AG27" s="1053">
        <v>87.5</v>
      </c>
      <c r="AH27" s="1053">
        <v>90.2</v>
      </c>
      <c r="AI27" s="1053"/>
      <c r="AJ27" s="1053">
        <v>89.5</v>
      </c>
      <c r="AK27" s="1053">
        <v>64.8</v>
      </c>
      <c r="AL27" s="1053">
        <v>90.3</v>
      </c>
      <c r="AM27" s="1053">
        <v>91.4</v>
      </c>
      <c r="AN27" s="1053">
        <v>90.4</v>
      </c>
      <c r="AO27" s="1053">
        <v>93.3</v>
      </c>
      <c r="AP27" s="1053">
        <v>90.3</v>
      </c>
      <c r="AQ27" s="1053">
        <v>88.4</v>
      </c>
      <c r="AR27" s="1053">
        <v>83.3</v>
      </c>
      <c r="AS27" s="1053">
        <v>89.4</v>
      </c>
      <c r="AT27" s="1053">
        <v>77.3</v>
      </c>
      <c r="AU27" s="1053"/>
      <c r="AV27" s="1062" t="str">
        <f t="shared" si="3"/>
        <v>✔</v>
      </c>
    </row>
    <row r="28" spans="1:48">
      <c r="A28" s="1033"/>
      <c r="B28" s="1074">
        <f>IF(ROWS(B$10:B28)&lt;=CFG_DIAS,CFG_MES+ROWS(B$10:B28)-1,"")</f>
        <v>46284</v>
      </c>
      <c r="C28" s="1062" t="str">
        <f t="shared" si="0"/>
        <v>sá</v>
      </c>
      <c r="D28" s="1051">
        <v>0</v>
      </c>
      <c r="E28" s="1051">
        <v>0</v>
      </c>
      <c r="F28" s="1051">
        <v>0</v>
      </c>
      <c r="G28" s="1051">
        <v>0</v>
      </c>
      <c r="H28" s="1051">
        <v>0</v>
      </c>
      <c r="I28" s="1051">
        <v>0</v>
      </c>
      <c r="J28" s="1051">
        <v>0</v>
      </c>
      <c r="K28" s="1051">
        <v>0</v>
      </c>
      <c r="L28" s="1051">
        <v>0</v>
      </c>
      <c r="M28" s="1051">
        <v>2</v>
      </c>
      <c r="N28" s="1051">
        <v>0</v>
      </c>
      <c r="O28" s="1051">
        <v>0</v>
      </c>
      <c r="P28" s="1051">
        <v>0</v>
      </c>
      <c r="Q28" s="1051">
        <v>0</v>
      </c>
      <c r="R28" s="1051">
        <v>4</v>
      </c>
      <c r="S28" s="1051">
        <v>0</v>
      </c>
      <c r="T28" s="1051">
        <v>2</v>
      </c>
      <c r="U28" s="1051">
        <v>4</v>
      </c>
      <c r="V28" s="1051">
        <v>0</v>
      </c>
      <c r="W28" s="1051">
        <v>2</v>
      </c>
      <c r="X28" s="1051">
        <v>0</v>
      </c>
      <c r="Y28" s="1051">
        <v>2</v>
      </c>
      <c r="Z28" s="1075">
        <f t="shared" si="1"/>
        <v>0</v>
      </c>
      <c r="AA28" s="1114">
        <f t="shared" si="2"/>
        <v>16</v>
      </c>
      <c r="AB28" s="1062" t="str" cm="1">
        <f t="array" ref="AB28">IF(B28="","",IF(SUMPRODUCT(--(D28:AA28&lt;&gt;""),--(D$9:AA$9&lt;&gt;"Total"))&gt;0,"✔",""))</f>
        <v>✔</v>
      </c>
      <c r="AC28" s="1053">
        <v>91.6</v>
      </c>
      <c r="AD28" s="1053">
        <v>86.8</v>
      </c>
      <c r="AE28" s="1053"/>
      <c r="AF28" s="1053"/>
      <c r="AG28" s="1053">
        <v>94.1</v>
      </c>
      <c r="AH28" s="1053">
        <v>92</v>
      </c>
      <c r="AI28" s="1053"/>
      <c r="AJ28" s="1053">
        <v>94.4</v>
      </c>
      <c r="AK28" s="1053">
        <v>65.3</v>
      </c>
      <c r="AL28" s="1053">
        <v>91.6</v>
      </c>
      <c r="AM28" s="1053">
        <v>92.9</v>
      </c>
      <c r="AN28" s="1053">
        <v>89.1</v>
      </c>
      <c r="AO28" s="1053"/>
      <c r="AP28" s="1053">
        <v>92.2</v>
      </c>
      <c r="AQ28" s="1053">
        <v>89.2</v>
      </c>
      <c r="AR28" s="1053"/>
      <c r="AS28" s="1053">
        <v>90</v>
      </c>
      <c r="AT28" s="1053">
        <v>79.099999999999994</v>
      </c>
      <c r="AU28" s="1053"/>
      <c r="AV28" s="1062" t="str">
        <f t="shared" si="3"/>
        <v>✔</v>
      </c>
    </row>
    <row r="29" spans="1:48">
      <c r="A29" s="1033"/>
      <c r="B29" s="1074">
        <f>IF(ROWS(B$10:B29)&lt;=CFG_DIAS,CFG_MES+ROWS(B$10:B29)-1,"")</f>
        <v>46285</v>
      </c>
      <c r="C29" s="1062" t="str">
        <f t="shared" si="0"/>
        <v>do</v>
      </c>
      <c r="D29" s="1051">
        <v>0</v>
      </c>
      <c r="E29" s="1051">
        <v>0</v>
      </c>
      <c r="F29" s="1051">
        <v>0</v>
      </c>
      <c r="G29" s="1051">
        <v>0</v>
      </c>
      <c r="H29" s="1051">
        <v>0</v>
      </c>
      <c r="I29" s="1051">
        <v>0</v>
      </c>
      <c r="J29" s="1051">
        <v>0</v>
      </c>
      <c r="K29" s="1051">
        <v>0</v>
      </c>
      <c r="L29" s="1051">
        <v>0</v>
      </c>
      <c r="M29" s="1051">
        <v>0</v>
      </c>
      <c r="N29" s="1051">
        <v>0</v>
      </c>
      <c r="O29" s="1051">
        <v>0</v>
      </c>
      <c r="P29" s="1051">
        <v>0</v>
      </c>
      <c r="Q29" s="1051">
        <v>0</v>
      </c>
      <c r="R29" s="1051">
        <v>0</v>
      </c>
      <c r="S29" s="1051">
        <v>0</v>
      </c>
      <c r="T29" s="1051">
        <v>0</v>
      </c>
      <c r="U29" s="1051">
        <v>0</v>
      </c>
      <c r="V29" s="1051">
        <v>0</v>
      </c>
      <c r="W29" s="1051">
        <v>0</v>
      </c>
      <c r="X29" s="1051">
        <v>0</v>
      </c>
      <c r="Y29" s="1051">
        <v>0</v>
      </c>
      <c r="Z29" s="1075">
        <f t="shared" si="1"/>
        <v>0</v>
      </c>
      <c r="AA29" s="1114">
        <f t="shared" si="2"/>
        <v>0</v>
      </c>
      <c r="AB29" s="1062" t="str" cm="1">
        <f t="array" ref="AB29">IF(B29="","",IF(SUMPRODUCT(--(D29:AA29&lt;&gt;""),--(D$9:AA$9&lt;&gt;"Total"))&gt;0,"✔",""))</f>
        <v>✔</v>
      </c>
      <c r="AC29" s="1053"/>
      <c r="AD29" s="1053"/>
      <c r="AE29" s="1053"/>
      <c r="AF29" s="1053"/>
      <c r="AG29" s="1053"/>
      <c r="AH29" s="1053"/>
      <c r="AI29" s="1053"/>
      <c r="AJ29" s="1053"/>
      <c r="AK29" s="1053"/>
      <c r="AL29" s="1053"/>
      <c r="AM29" s="1053"/>
      <c r="AN29" s="1053"/>
      <c r="AO29" s="1053"/>
      <c r="AP29" s="1053"/>
      <c r="AQ29" s="1053"/>
      <c r="AR29" s="1053"/>
      <c r="AS29" s="1053"/>
      <c r="AT29" s="1053"/>
      <c r="AU29" s="1053"/>
      <c r="AV29" s="1062" t="str">
        <f t="shared" si="3"/>
        <v/>
      </c>
    </row>
    <row r="30" spans="1:48">
      <c r="A30" s="1033"/>
      <c r="B30" s="1074">
        <f>IF(ROWS(B$10:B30)&lt;=CFG_DIAS,CFG_MES+ROWS(B$10:B30)-1,"")</f>
        <v>46286</v>
      </c>
      <c r="C30" s="1062" t="str">
        <f t="shared" si="0"/>
        <v>lu</v>
      </c>
      <c r="D30" s="1051">
        <v>0</v>
      </c>
      <c r="E30" s="1051">
        <v>0</v>
      </c>
      <c r="F30" s="1051">
        <v>0</v>
      </c>
      <c r="G30" s="1051">
        <v>0</v>
      </c>
      <c r="H30" s="1051">
        <v>0</v>
      </c>
      <c r="I30" s="1051">
        <v>0</v>
      </c>
      <c r="J30" s="1051">
        <v>0</v>
      </c>
      <c r="K30" s="1051">
        <v>0</v>
      </c>
      <c r="L30" s="1051">
        <v>0</v>
      </c>
      <c r="M30" s="1051">
        <v>4</v>
      </c>
      <c r="N30" s="1051">
        <v>0</v>
      </c>
      <c r="O30" s="1051">
        <v>0</v>
      </c>
      <c r="P30" s="1051">
        <v>6</v>
      </c>
      <c r="Q30" s="1051">
        <v>0</v>
      </c>
      <c r="R30" s="1051">
        <v>6</v>
      </c>
      <c r="S30" s="1051">
        <v>0</v>
      </c>
      <c r="T30" s="1051">
        <v>4</v>
      </c>
      <c r="U30" s="1051">
        <v>12</v>
      </c>
      <c r="V30" s="1051">
        <v>0</v>
      </c>
      <c r="W30" s="1051">
        <v>0</v>
      </c>
      <c r="X30" s="1051">
        <v>0</v>
      </c>
      <c r="Y30" s="1051">
        <v>0</v>
      </c>
      <c r="Z30" s="1075">
        <f t="shared" si="1"/>
        <v>0</v>
      </c>
      <c r="AA30" s="1114">
        <f t="shared" si="2"/>
        <v>32</v>
      </c>
      <c r="AB30" s="1062" t="str" cm="1">
        <f t="array" ref="AB30">IF(B30="","",IF(SUMPRODUCT(--(D30:AA30&lt;&gt;""),--(D$9:AA$9&lt;&gt;"Total"))&gt;0,"✔",""))</f>
        <v>✔</v>
      </c>
      <c r="AC30" s="1053">
        <v>89.1</v>
      </c>
      <c r="AD30" s="1053"/>
      <c r="AE30" s="1053">
        <v>89.5</v>
      </c>
      <c r="AF30" s="1053">
        <v>87.2</v>
      </c>
      <c r="AG30" s="1053">
        <v>90.4</v>
      </c>
      <c r="AH30" s="1053">
        <v>88.1</v>
      </c>
      <c r="AI30" s="1053"/>
      <c r="AJ30" s="1053">
        <v>90</v>
      </c>
      <c r="AK30" s="1053">
        <v>63.7</v>
      </c>
      <c r="AL30" s="1053">
        <v>89.6</v>
      </c>
      <c r="AM30" s="1053">
        <v>86.8</v>
      </c>
      <c r="AN30" s="1053">
        <v>82.9</v>
      </c>
      <c r="AO30" s="1053">
        <v>87</v>
      </c>
      <c r="AP30" s="1053">
        <v>90.3</v>
      </c>
      <c r="AQ30" s="1053">
        <v>92.8</v>
      </c>
      <c r="AR30" s="1053"/>
      <c r="AS30" s="1053">
        <v>89.5</v>
      </c>
      <c r="AT30" s="1053">
        <v>76.900000000000006</v>
      </c>
      <c r="AU30" s="1053">
        <v>84.4</v>
      </c>
      <c r="AV30" s="1062" t="str">
        <f t="shared" si="3"/>
        <v>✔</v>
      </c>
    </row>
    <row r="31" spans="1:48">
      <c r="A31" s="1033"/>
      <c r="B31" s="1074">
        <f>IF(ROWS(B$10:B31)&lt;=CFG_DIAS,CFG_MES+ROWS(B$10:B31)-1,"")</f>
        <v>46287</v>
      </c>
      <c r="C31" s="1062" t="str">
        <f t="shared" si="0"/>
        <v>ma</v>
      </c>
      <c r="D31" s="1051">
        <v>0</v>
      </c>
      <c r="E31" s="1051">
        <v>0</v>
      </c>
      <c r="F31" s="1051">
        <v>0</v>
      </c>
      <c r="G31" s="1051">
        <v>0</v>
      </c>
      <c r="H31" s="1051">
        <v>0</v>
      </c>
      <c r="I31" s="1051">
        <v>0</v>
      </c>
      <c r="J31" s="1051">
        <v>0</v>
      </c>
      <c r="K31" s="1051">
        <v>0</v>
      </c>
      <c r="L31" s="1051">
        <v>0</v>
      </c>
      <c r="M31" s="1051">
        <v>0</v>
      </c>
      <c r="N31" s="1051">
        <v>2</v>
      </c>
      <c r="O31" s="1051">
        <v>0</v>
      </c>
      <c r="P31" s="1051">
        <v>0</v>
      </c>
      <c r="Q31" s="1051">
        <v>0</v>
      </c>
      <c r="R31" s="1051">
        <v>0</v>
      </c>
      <c r="S31" s="1051">
        <v>0</v>
      </c>
      <c r="T31" s="1051">
        <v>0</v>
      </c>
      <c r="U31" s="1051">
        <v>2</v>
      </c>
      <c r="V31" s="1051">
        <v>0</v>
      </c>
      <c r="W31" s="1051">
        <v>0</v>
      </c>
      <c r="X31" s="1051">
        <v>0</v>
      </c>
      <c r="Y31" s="1051">
        <v>0</v>
      </c>
      <c r="Z31" s="1075">
        <f t="shared" si="1"/>
        <v>0</v>
      </c>
      <c r="AA31" s="1114">
        <f t="shared" si="2"/>
        <v>4</v>
      </c>
      <c r="AB31" s="1062" t="str" cm="1">
        <f t="array" ref="AB31">IF(B31="","",IF(SUMPRODUCT(--(D31:AA31&lt;&gt;""),--(D$9:AA$9&lt;&gt;"Total"))&gt;0,"✔",""))</f>
        <v>✔</v>
      </c>
      <c r="AC31" s="1053">
        <v>87.4</v>
      </c>
      <c r="AD31" s="1053"/>
      <c r="AE31" s="1053">
        <v>87.2</v>
      </c>
      <c r="AF31" s="1053">
        <v>85.1</v>
      </c>
      <c r="AG31" s="1053">
        <v>88.7</v>
      </c>
      <c r="AH31" s="1053">
        <v>86.4</v>
      </c>
      <c r="AI31" s="1053"/>
      <c r="AJ31" s="1053">
        <v>89.1</v>
      </c>
      <c r="AK31" s="1053">
        <v>63.5</v>
      </c>
      <c r="AL31" s="1053">
        <v>90.9</v>
      </c>
      <c r="AM31" s="1053">
        <v>81.400000000000006</v>
      </c>
      <c r="AN31" s="1053">
        <v>83.9</v>
      </c>
      <c r="AO31" s="1053">
        <v>85.5</v>
      </c>
      <c r="AP31" s="1053">
        <v>94.6</v>
      </c>
      <c r="AQ31" s="1053">
        <v>88.2</v>
      </c>
      <c r="AR31" s="1053">
        <v>86.6</v>
      </c>
      <c r="AS31" s="1053">
        <v>89.6</v>
      </c>
      <c r="AT31" s="1053">
        <v>78.400000000000006</v>
      </c>
      <c r="AU31" s="1053">
        <v>79.3</v>
      </c>
      <c r="AV31" s="1062" t="str">
        <f t="shared" si="3"/>
        <v>✔</v>
      </c>
    </row>
    <row r="32" spans="1:48">
      <c r="A32" s="1033"/>
      <c r="B32" s="1074">
        <f>IF(ROWS(B$10:B32)&lt;=CFG_DIAS,CFG_MES+ROWS(B$10:B32)-1,"")</f>
        <v>46288</v>
      </c>
      <c r="C32" s="1062" t="str">
        <f t="shared" si="0"/>
        <v>mi</v>
      </c>
      <c r="D32" s="1051">
        <v>9</v>
      </c>
      <c r="E32" s="1051">
        <v>0</v>
      </c>
      <c r="F32" s="1051">
        <v>9</v>
      </c>
      <c r="G32" s="1051">
        <v>12</v>
      </c>
      <c r="H32" s="1051">
        <v>6</v>
      </c>
      <c r="I32" s="1051">
        <v>9</v>
      </c>
      <c r="J32" s="1051">
        <v>0</v>
      </c>
      <c r="K32" s="1051">
        <v>7</v>
      </c>
      <c r="L32" s="1051">
        <v>8</v>
      </c>
      <c r="M32" s="1051">
        <v>0</v>
      </c>
      <c r="N32" s="1051">
        <v>8</v>
      </c>
      <c r="O32" s="1051">
        <v>10</v>
      </c>
      <c r="P32" s="1051">
        <v>0</v>
      </c>
      <c r="Q32" s="1051">
        <v>0</v>
      </c>
      <c r="R32" s="1051">
        <v>0</v>
      </c>
      <c r="S32" s="1051">
        <v>0</v>
      </c>
      <c r="T32" s="1051">
        <v>0</v>
      </c>
      <c r="U32" s="1051">
        <v>18</v>
      </c>
      <c r="V32" s="1051">
        <v>0</v>
      </c>
      <c r="W32" s="1051">
        <v>0</v>
      </c>
      <c r="X32" s="1051">
        <v>8</v>
      </c>
      <c r="Y32" s="1051">
        <v>8</v>
      </c>
      <c r="Z32" s="1075">
        <f t="shared" si="1"/>
        <v>60</v>
      </c>
      <c r="AA32" s="1114">
        <f t="shared" si="2"/>
        <v>52</v>
      </c>
      <c r="AB32" s="1062" t="str" cm="1">
        <f t="array" ref="AB32">IF(B32="","",IF(SUMPRODUCT(--(D32:AA32&lt;&gt;""),--(D$9:AA$9&lt;&gt;"Total"))&gt;0,"✔",""))</f>
        <v>✔</v>
      </c>
      <c r="AC32" s="1053"/>
      <c r="AD32" s="1053"/>
      <c r="AE32" s="1053"/>
      <c r="AF32" s="1053"/>
      <c r="AG32" s="1053"/>
      <c r="AH32" s="1053"/>
      <c r="AI32" s="1053"/>
      <c r="AJ32" s="1053"/>
      <c r="AK32" s="1053"/>
      <c r="AL32" s="1053"/>
      <c r="AM32" s="1053"/>
      <c r="AN32" s="1053"/>
      <c r="AO32" s="1053"/>
      <c r="AP32" s="1053"/>
      <c r="AQ32" s="1053"/>
      <c r="AR32" s="1053"/>
      <c r="AS32" s="1053"/>
      <c r="AT32" s="1053"/>
      <c r="AU32" s="1053"/>
      <c r="AV32" s="1062" t="str">
        <f t="shared" si="3"/>
        <v/>
      </c>
    </row>
    <row r="33" spans="1:48">
      <c r="A33" s="1033"/>
      <c r="B33" s="1074">
        <f>IF(ROWS(B$10:B33)&lt;=CFG_DIAS,CFG_MES+ROWS(B$10:B33)-1,"")</f>
        <v>46289</v>
      </c>
      <c r="C33" s="1062" t="str">
        <f t="shared" si="0"/>
        <v>ju</v>
      </c>
      <c r="D33" s="1051">
        <v>9</v>
      </c>
      <c r="E33" s="1051">
        <v>12</v>
      </c>
      <c r="F33" s="1051">
        <v>7</v>
      </c>
      <c r="G33" s="1051">
        <v>0</v>
      </c>
      <c r="H33" s="1051">
        <v>9</v>
      </c>
      <c r="I33" s="1051">
        <v>11</v>
      </c>
      <c r="J33" s="1051">
        <v>9</v>
      </c>
      <c r="K33" s="1051">
        <v>11</v>
      </c>
      <c r="L33" s="1051">
        <v>10</v>
      </c>
      <c r="M33" s="1051">
        <v>0</v>
      </c>
      <c r="N33" s="1051">
        <v>0</v>
      </c>
      <c r="O33" s="1051">
        <v>0</v>
      </c>
      <c r="P33" s="1051">
        <v>0</v>
      </c>
      <c r="Q33" s="1051">
        <v>0</v>
      </c>
      <c r="R33" s="1051">
        <v>0</v>
      </c>
      <c r="S33" s="1051">
        <v>0</v>
      </c>
      <c r="T33" s="1051">
        <v>0</v>
      </c>
      <c r="U33" s="1051">
        <v>0</v>
      </c>
      <c r="V33" s="1051">
        <v>0</v>
      </c>
      <c r="W33" s="1051">
        <v>0</v>
      </c>
      <c r="X33" s="1051">
        <v>0</v>
      </c>
      <c r="Y33" s="1051">
        <v>0</v>
      </c>
      <c r="Z33" s="1075">
        <f t="shared" si="1"/>
        <v>78</v>
      </c>
      <c r="AA33" s="1114">
        <f t="shared" si="2"/>
        <v>0</v>
      </c>
      <c r="AB33" s="1062" t="str" cm="1">
        <f t="array" ref="AB33">IF(B33="","",IF(SUMPRODUCT(--(D33:AA33&lt;&gt;""),--(D$9:AA$9&lt;&gt;"Total"))&gt;0,"✔",""))</f>
        <v>✔</v>
      </c>
      <c r="AC33" s="1053"/>
      <c r="AD33" s="1053"/>
      <c r="AE33" s="1053"/>
      <c r="AF33" s="1053"/>
      <c r="AG33" s="1053"/>
      <c r="AH33" s="1053"/>
      <c r="AI33" s="1053"/>
      <c r="AJ33" s="1053"/>
      <c r="AK33" s="1053"/>
      <c r="AL33" s="1053"/>
      <c r="AM33" s="1053"/>
      <c r="AN33" s="1053"/>
      <c r="AO33" s="1053"/>
      <c r="AP33" s="1053"/>
      <c r="AQ33" s="1053"/>
      <c r="AR33" s="1053"/>
      <c r="AS33" s="1053"/>
      <c r="AT33" s="1053"/>
      <c r="AU33" s="1053"/>
      <c r="AV33" s="1062" t="str">
        <f t="shared" si="3"/>
        <v/>
      </c>
    </row>
    <row r="34" spans="1:48">
      <c r="A34" s="1033"/>
      <c r="B34" s="1074">
        <f>IF(ROWS(B$10:B34)&lt;=CFG_DIAS,CFG_MES+ROWS(B$10:B34)-1,"")</f>
        <v>46290</v>
      </c>
      <c r="C34" s="1062" t="str">
        <f t="shared" si="0"/>
        <v>vi</v>
      </c>
      <c r="D34" s="1051">
        <v>18</v>
      </c>
      <c r="E34" s="1051">
        <v>18</v>
      </c>
      <c r="F34" s="1051">
        <v>14</v>
      </c>
      <c r="G34" s="1051">
        <v>10</v>
      </c>
      <c r="H34" s="1051">
        <v>14</v>
      </c>
      <c r="I34" s="1051">
        <v>18</v>
      </c>
      <c r="J34" s="1051">
        <v>0</v>
      </c>
      <c r="K34" s="1051">
        <v>9</v>
      </c>
      <c r="L34" s="1051">
        <v>0</v>
      </c>
      <c r="M34" s="1051">
        <v>4</v>
      </c>
      <c r="N34" s="1051">
        <v>0</v>
      </c>
      <c r="O34" s="1051">
        <v>0</v>
      </c>
      <c r="P34" s="1051">
        <v>0</v>
      </c>
      <c r="Q34" s="1051">
        <v>0</v>
      </c>
      <c r="R34" s="1051">
        <v>4</v>
      </c>
      <c r="S34" s="1051">
        <v>4</v>
      </c>
      <c r="T34" s="1051">
        <v>4</v>
      </c>
      <c r="U34" s="1051">
        <v>8</v>
      </c>
      <c r="V34" s="1051">
        <v>0</v>
      </c>
      <c r="W34" s="1051">
        <v>4</v>
      </c>
      <c r="X34" s="1051">
        <v>0</v>
      </c>
      <c r="Y34" s="1051">
        <v>4</v>
      </c>
      <c r="Z34" s="1075">
        <f t="shared" si="1"/>
        <v>101</v>
      </c>
      <c r="AA34" s="1114">
        <f t="shared" si="2"/>
        <v>32</v>
      </c>
      <c r="AB34" s="1062" t="str" cm="1">
        <f t="array" ref="AB34">IF(B34="","",IF(SUMPRODUCT(--(D34:AA34&lt;&gt;""),--(D$9:AA$9&lt;&gt;"Total"))&gt;0,"✔",""))</f>
        <v>✔</v>
      </c>
      <c r="AC34" s="1053"/>
      <c r="AD34" s="1053"/>
      <c r="AE34" s="1053"/>
      <c r="AF34" s="1053"/>
      <c r="AG34" s="1053"/>
      <c r="AH34" s="1053"/>
      <c r="AI34" s="1053"/>
      <c r="AJ34" s="1053"/>
      <c r="AK34" s="1053"/>
      <c r="AL34" s="1053"/>
      <c r="AM34" s="1053"/>
      <c r="AN34" s="1053"/>
      <c r="AO34" s="1053"/>
      <c r="AP34" s="1053"/>
      <c r="AQ34" s="1053"/>
      <c r="AR34" s="1053"/>
      <c r="AS34" s="1053"/>
      <c r="AT34" s="1053"/>
      <c r="AU34" s="1053"/>
      <c r="AV34" s="1062" t="str">
        <f t="shared" si="3"/>
        <v/>
      </c>
    </row>
    <row r="35" spans="1:48">
      <c r="A35" s="1033"/>
      <c r="B35" s="1074">
        <f>IF(ROWS(B$10:B35)&lt;=CFG_DIAS,CFG_MES+ROWS(B$10:B35)-1,"")</f>
        <v>46291</v>
      </c>
      <c r="C35" s="1062" t="str">
        <f t="shared" si="0"/>
        <v>sá</v>
      </c>
      <c r="D35" s="1051">
        <v>18</v>
      </c>
      <c r="E35" s="1051">
        <v>15</v>
      </c>
      <c r="F35" s="1051">
        <v>0</v>
      </c>
      <c r="G35" s="1051">
        <v>0</v>
      </c>
      <c r="H35" s="1051">
        <v>0</v>
      </c>
      <c r="I35" s="1051">
        <v>0</v>
      </c>
      <c r="J35" s="1051">
        <v>0</v>
      </c>
      <c r="K35" s="1051">
        <v>0</v>
      </c>
      <c r="L35" s="1051">
        <v>0</v>
      </c>
      <c r="M35" s="1051">
        <v>2</v>
      </c>
      <c r="N35" s="1051">
        <v>0</v>
      </c>
      <c r="O35" s="1051">
        <v>0</v>
      </c>
      <c r="P35" s="1051">
        <v>4</v>
      </c>
      <c r="Q35" s="1051">
        <v>0</v>
      </c>
      <c r="R35" s="1051">
        <v>6</v>
      </c>
      <c r="S35" s="1051">
        <v>6</v>
      </c>
      <c r="T35" s="1051">
        <v>2</v>
      </c>
      <c r="U35" s="1051">
        <v>16</v>
      </c>
      <c r="V35" s="1051">
        <v>2</v>
      </c>
      <c r="W35" s="1051">
        <v>4</v>
      </c>
      <c r="X35" s="1051">
        <v>6</v>
      </c>
      <c r="Y35" s="1051">
        <v>12</v>
      </c>
      <c r="Z35" s="1075">
        <f t="shared" si="1"/>
        <v>33</v>
      </c>
      <c r="AA35" s="1114">
        <f t="shared" si="2"/>
        <v>60</v>
      </c>
      <c r="AB35" s="1062" t="str" cm="1">
        <f t="array" ref="AB35">IF(B35="","",IF(SUMPRODUCT(--(D35:AA35&lt;&gt;""),--(D$9:AA$9&lt;&gt;"Total"))&gt;0,"✔",""))</f>
        <v>✔</v>
      </c>
      <c r="AC35" s="1053"/>
      <c r="AD35" s="1053"/>
      <c r="AE35" s="1053"/>
      <c r="AF35" s="1053"/>
      <c r="AG35" s="1053"/>
      <c r="AH35" s="1053"/>
      <c r="AI35" s="1053"/>
      <c r="AJ35" s="1053"/>
      <c r="AK35" s="1053"/>
      <c r="AL35" s="1053"/>
      <c r="AM35" s="1053"/>
      <c r="AN35" s="1053"/>
      <c r="AO35" s="1053"/>
      <c r="AP35" s="1053"/>
      <c r="AQ35" s="1053"/>
      <c r="AR35" s="1053"/>
      <c r="AS35" s="1053"/>
      <c r="AT35" s="1053"/>
      <c r="AU35" s="1053"/>
      <c r="AV35" s="1062" t="str">
        <f t="shared" si="3"/>
        <v/>
      </c>
    </row>
    <row r="36" spans="1:48">
      <c r="A36" s="1033"/>
      <c r="B36" s="1074">
        <f>IF(ROWS(B$10:B36)&lt;=CFG_DIAS,CFG_MES+ROWS(B$10:B36)-1,"")</f>
        <v>46292</v>
      </c>
      <c r="C36" s="1062" t="str">
        <f t="shared" si="0"/>
        <v>do</v>
      </c>
      <c r="D36" s="1051">
        <v>0</v>
      </c>
      <c r="E36" s="1051">
        <v>0</v>
      </c>
      <c r="F36" s="1051">
        <v>0</v>
      </c>
      <c r="G36" s="1051">
        <v>0</v>
      </c>
      <c r="H36" s="1051">
        <v>0</v>
      </c>
      <c r="I36" s="1051">
        <v>0</v>
      </c>
      <c r="J36" s="1051">
        <v>0</v>
      </c>
      <c r="K36" s="1051">
        <v>0</v>
      </c>
      <c r="L36" s="1051">
        <v>0</v>
      </c>
      <c r="M36" s="1051">
        <v>0</v>
      </c>
      <c r="N36" s="1051">
        <v>0</v>
      </c>
      <c r="O36" s="1051">
        <v>0</v>
      </c>
      <c r="P36" s="1051">
        <v>0</v>
      </c>
      <c r="Q36" s="1051">
        <v>0</v>
      </c>
      <c r="R36" s="1051">
        <v>0</v>
      </c>
      <c r="S36" s="1051">
        <v>0</v>
      </c>
      <c r="T36" s="1051">
        <v>0</v>
      </c>
      <c r="U36" s="1051">
        <v>0</v>
      </c>
      <c r="V36" s="1051">
        <v>0</v>
      </c>
      <c r="W36" s="1051">
        <v>0</v>
      </c>
      <c r="X36" s="1051">
        <v>0</v>
      </c>
      <c r="Y36" s="1051">
        <v>0</v>
      </c>
      <c r="Z36" s="1075">
        <f t="shared" si="1"/>
        <v>0</v>
      </c>
      <c r="AA36" s="1114">
        <f t="shared" si="2"/>
        <v>0</v>
      </c>
      <c r="AB36" s="1062" t="str" cm="1">
        <f t="array" ref="AB36">IF(B36="","",IF(SUMPRODUCT(--(D36:AA36&lt;&gt;""),--(D$9:AA$9&lt;&gt;"Total"))&gt;0,"✔",""))</f>
        <v>✔</v>
      </c>
      <c r="AC36" s="1053"/>
      <c r="AD36" s="1053"/>
      <c r="AE36" s="1053"/>
      <c r="AF36" s="1053"/>
      <c r="AG36" s="1053"/>
      <c r="AH36" s="1053"/>
      <c r="AI36" s="1053"/>
      <c r="AJ36" s="1053"/>
      <c r="AK36" s="1053"/>
      <c r="AL36" s="1053"/>
      <c r="AM36" s="1053"/>
      <c r="AN36" s="1053"/>
      <c r="AO36" s="1053"/>
      <c r="AP36" s="1053"/>
      <c r="AQ36" s="1053"/>
      <c r="AR36" s="1053"/>
      <c r="AS36" s="1053"/>
      <c r="AT36" s="1053"/>
      <c r="AU36" s="1053"/>
      <c r="AV36" s="1062" t="str">
        <f t="shared" si="3"/>
        <v/>
      </c>
    </row>
    <row r="37" spans="1:48">
      <c r="A37" s="1033"/>
      <c r="B37" s="1074">
        <f>IF(ROWS(B$10:B37)&lt;=CFG_DIAS,CFG_MES+ROWS(B$10:B37)-1,"")</f>
        <v>46293</v>
      </c>
      <c r="C37" s="1062" t="str">
        <f t="shared" si="0"/>
        <v>lu</v>
      </c>
      <c r="D37" s="1051">
        <v>0</v>
      </c>
      <c r="E37" s="1051">
        <v>0</v>
      </c>
      <c r="F37" s="1051">
        <v>0</v>
      </c>
      <c r="G37" s="1051">
        <v>0</v>
      </c>
      <c r="H37" s="1051">
        <v>0</v>
      </c>
      <c r="I37" s="1051">
        <v>0</v>
      </c>
      <c r="J37" s="1051">
        <v>0</v>
      </c>
      <c r="K37" s="1051">
        <v>0</v>
      </c>
      <c r="L37" s="1051">
        <v>0</v>
      </c>
      <c r="M37" s="1051">
        <v>0</v>
      </c>
      <c r="N37" s="1051">
        <v>0</v>
      </c>
      <c r="O37" s="1051">
        <v>0</v>
      </c>
      <c r="P37" s="1051">
        <v>0</v>
      </c>
      <c r="Q37" s="1051">
        <v>0</v>
      </c>
      <c r="R37" s="1051">
        <v>6</v>
      </c>
      <c r="S37" s="1051">
        <v>6</v>
      </c>
      <c r="T37" s="1051">
        <v>0</v>
      </c>
      <c r="U37" s="1051">
        <v>12</v>
      </c>
      <c r="V37" s="1051">
        <v>0</v>
      </c>
      <c r="W37" s="1051">
        <v>0</v>
      </c>
      <c r="X37" s="1051">
        <v>0</v>
      </c>
      <c r="Y37" s="1051">
        <v>0</v>
      </c>
      <c r="Z37" s="1075">
        <f t="shared" si="1"/>
        <v>0</v>
      </c>
      <c r="AA37" s="1114">
        <f t="shared" si="2"/>
        <v>24</v>
      </c>
      <c r="AB37" s="1062" t="str" cm="1">
        <f t="array" ref="AB37">IF(B37="","",IF(SUMPRODUCT(--(D37:AA37&lt;&gt;""),--(D$9:AA$9&lt;&gt;"Total"))&gt;0,"✔",""))</f>
        <v>✔</v>
      </c>
      <c r="AC37" s="1053"/>
      <c r="AD37" s="1053"/>
      <c r="AE37" s="1053"/>
      <c r="AF37" s="1053"/>
      <c r="AG37" s="1053"/>
      <c r="AH37" s="1053"/>
      <c r="AI37" s="1053"/>
      <c r="AJ37" s="1053"/>
      <c r="AK37" s="1053"/>
      <c r="AL37" s="1053"/>
      <c r="AM37" s="1053"/>
      <c r="AN37" s="1053"/>
      <c r="AO37" s="1053"/>
      <c r="AP37" s="1053"/>
      <c r="AQ37" s="1053"/>
      <c r="AR37" s="1053"/>
      <c r="AS37" s="1053"/>
      <c r="AT37" s="1053"/>
      <c r="AU37" s="1053"/>
      <c r="AV37" s="1062" t="str">
        <f t="shared" si="3"/>
        <v/>
      </c>
    </row>
    <row r="38" spans="1:48">
      <c r="A38" s="1033"/>
      <c r="B38" s="1074">
        <f>IF(ROWS(B$10:B38)&lt;=CFG_DIAS,CFG_MES+ROWS(B$10:B38)-1,"")</f>
        <v>46294</v>
      </c>
      <c r="C38" s="1062" t="str">
        <f t="shared" si="0"/>
        <v>ma</v>
      </c>
      <c r="D38" s="1051">
        <v>9</v>
      </c>
      <c r="E38" s="1051">
        <v>0</v>
      </c>
      <c r="F38" s="1051">
        <v>0</v>
      </c>
      <c r="G38" s="1051">
        <v>0</v>
      </c>
      <c r="H38" s="1051">
        <v>7</v>
      </c>
      <c r="I38" s="1051">
        <v>0</v>
      </c>
      <c r="J38" s="1051">
        <v>7</v>
      </c>
      <c r="K38" s="1051">
        <v>0</v>
      </c>
      <c r="L38" s="1051">
        <v>9</v>
      </c>
      <c r="M38" s="1051">
        <v>0</v>
      </c>
      <c r="N38" s="1051">
        <v>0</v>
      </c>
      <c r="O38" s="1051">
        <v>0</v>
      </c>
      <c r="P38" s="1051">
        <v>0</v>
      </c>
      <c r="Q38" s="1051">
        <v>0</v>
      </c>
      <c r="R38" s="1051">
        <v>0</v>
      </c>
      <c r="S38" s="1051">
        <v>0</v>
      </c>
      <c r="T38" s="1051">
        <v>0</v>
      </c>
      <c r="U38" s="1051">
        <v>0</v>
      </c>
      <c r="V38" s="1051">
        <v>0</v>
      </c>
      <c r="W38" s="1051">
        <v>0</v>
      </c>
      <c r="X38" s="1051">
        <v>0</v>
      </c>
      <c r="Y38" s="1051">
        <v>0</v>
      </c>
      <c r="Z38" s="1075">
        <f t="shared" si="1"/>
        <v>32</v>
      </c>
      <c r="AA38" s="1114">
        <f t="shared" si="2"/>
        <v>0</v>
      </c>
      <c r="AB38" s="1062" t="str" cm="1">
        <f t="array" ref="AB38">IF(B38="","",IF(SUMPRODUCT(--(D38:AA38&lt;&gt;""),--(D$9:AA$9&lt;&gt;"Total"))&gt;0,"✔",""))</f>
        <v>✔</v>
      </c>
      <c r="AC38" s="1053"/>
      <c r="AD38" s="1053"/>
      <c r="AE38" s="1053"/>
      <c r="AF38" s="1053"/>
      <c r="AG38" s="1053"/>
      <c r="AH38" s="1053"/>
      <c r="AI38" s="1053"/>
      <c r="AJ38" s="1053"/>
      <c r="AK38" s="1053"/>
      <c r="AL38" s="1053"/>
      <c r="AM38" s="1053"/>
      <c r="AN38" s="1053"/>
      <c r="AO38" s="1053"/>
      <c r="AP38" s="1053"/>
      <c r="AQ38" s="1053"/>
      <c r="AR38" s="1053"/>
      <c r="AS38" s="1053"/>
      <c r="AT38" s="1053"/>
      <c r="AU38" s="1053"/>
      <c r="AV38" s="1062" t="str">
        <f t="shared" si="3"/>
        <v/>
      </c>
    </row>
    <row r="39" spans="1:48">
      <c r="A39" s="1033"/>
      <c r="B39" s="1074">
        <f>IF(ROWS(B$10:B39)&lt;=CFG_DIAS,CFG_MES+ROWS(B$10:B39)-1,"")</f>
        <v>46295</v>
      </c>
      <c r="C39" s="1062" t="str">
        <f t="shared" si="0"/>
        <v>mi</v>
      </c>
      <c r="D39" s="1051"/>
      <c r="E39" s="1051"/>
      <c r="F39" s="1051"/>
      <c r="G39" s="1051"/>
      <c r="H39" s="1051"/>
      <c r="I39" s="1051"/>
      <c r="J39" s="1051"/>
      <c r="K39" s="1051"/>
      <c r="L39" s="1051"/>
      <c r="M39" s="1051"/>
      <c r="N39" s="1051"/>
      <c r="O39" s="1051"/>
      <c r="P39" s="1051"/>
      <c r="Q39" s="1051"/>
      <c r="R39" s="1051"/>
      <c r="S39" s="1051"/>
      <c r="T39" s="1051"/>
      <c r="U39" s="1051"/>
      <c r="V39" s="1051"/>
      <c r="W39" s="1051"/>
      <c r="X39" s="1051"/>
      <c r="Y39" s="1051"/>
      <c r="Z39" s="1075" t="str">
        <f t="shared" si="1"/>
        <v/>
      </c>
      <c r="AA39" s="1114" t="str">
        <f t="shared" si="2"/>
        <v/>
      </c>
      <c r="AB39" s="1062" t="str" cm="1">
        <f t="array" ref="AB39">IF(B39="","",IF(SUMPRODUCT(--(D39:AA39&lt;&gt;""),--(D$9:AA$9&lt;&gt;"Total"))&gt;0,"✔",""))</f>
        <v/>
      </c>
      <c r="AC39" s="1053"/>
      <c r="AD39" s="1053"/>
      <c r="AE39" s="1053"/>
      <c r="AF39" s="1053"/>
      <c r="AG39" s="1053"/>
      <c r="AH39" s="1053"/>
      <c r="AI39" s="1053"/>
      <c r="AJ39" s="1053"/>
      <c r="AK39" s="1053"/>
      <c r="AL39" s="1053"/>
      <c r="AM39" s="1053"/>
      <c r="AN39" s="1053"/>
      <c r="AO39" s="1053"/>
      <c r="AP39" s="1053"/>
      <c r="AQ39" s="1053"/>
      <c r="AR39" s="1053"/>
      <c r="AS39" s="1053"/>
      <c r="AT39" s="1053"/>
      <c r="AU39" s="1053"/>
      <c r="AV39" s="1062" t="str">
        <f t="shared" si="3"/>
        <v/>
      </c>
    </row>
    <row r="40" spans="1:48">
      <c r="A40" s="1033"/>
      <c r="B40" s="1074" t="str">
        <f>IF(ROWS(B$10:B40)&lt;=CFG_DIAS,CFG_MES+ROWS(B$10:B40)-1,"")</f>
        <v/>
      </c>
      <c r="C40" s="1062" t="str">
        <f t="shared" si="0"/>
        <v/>
      </c>
      <c r="D40" s="1051"/>
      <c r="E40" s="1051"/>
      <c r="F40" s="1051"/>
      <c r="G40" s="1051"/>
      <c r="H40" s="1051"/>
      <c r="I40" s="1051"/>
      <c r="J40" s="1051"/>
      <c r="K40" s="1051"/>
      <c r="L40" s="1051"/>
      <c r="M40" s="1051"/>
      <c r="N40" s="1051"/>
      <c r="O40" s="1051"/>
      <c r="P40" s="1051"/>
      <c r="Q40" s="1051"/>
      <c r="R40" s="1051"/>
      <c r="S40" s="1051"/>
      <c r="T40" s="1051"/>
      <c r="U40" s="1051"/>
      <c r="V40" s="1051"/>
      <c r="W40" s="1051"/>
      <c r="X40" s="1051"/>
      <c r="Y40" s="1051"/>
      <c r="Z40" s="1075" t="str">
        <f t="shared" si="1"/>
        <v/>
      </c>
      <c r="AA40" s="1114" t="str">
        <f t="shared" si="2"/>
        <v/>
      </c>
      <c r="AB40" s="1062" t="str" cm="1">
        <f t="array" ref="AB40">IF(B40="","",IF(SUMPRODUCT(--(D40:AA40&lt;&gt;""),--(D$9:AA$9&lt;&gt;"Total"))&gt;0,"✔",""))</f>
        <v/>
      </c>
      <c r="AC40" s="1053"/>
      <c r="AD40" s="1053"/>
      <c r="AE40" s="1053"/>
      <c r="AF40" s="1053"/>
      <c r="AG40" s="1053"/>
      <c r="AH40" s="1053"/>
      <c r="AI40" s="1053"/>
      <c r="AJ40" s="1053"/>
      <c r="AK40" s="1053"/>
      <c r="AL40" s="1053"/>
      <c r="AM40" s="1053"/>
      <c r="AN40" s="1053"/>
      <c r="AO40" s="1053"/>
      <c r="AP40" s="1053"/>
      <c r="AQ40" s="1053"/>
      <c r="AR40" s="1053"/>
      <c r="AS40" s="1053"/>
      <c r="AT40" s="1053"/>
      <c r="AU40" s="1053"/>
      <c r="AV40" s="1062" t="str">
        <f t="shared" si="3"/>
        <v/>
      </c>
    </row>
    <row r="41" spans="1:48">
      <c r="A41" s="1033"/>
      <c r="B41" s="1033"/>
      <c r="C41" s="1033"/>
      <c r="D41" s="1033"/>
      <c r="E41" s="1033"/>
      <c r="F41" s="1033"/>
      <c r="G41" s="1033"/>
      <c r="H41" s="1033"/>
      <c r="I41" s="1033"/>
      <c r="J41" s="1033"/>
      <c r="K41" s="1033"/>
      <c r="L41" s="1033"/>
      <c r="M41" s="1033"/>
      <c r="N41" s="1033"/>
      <c r="O41" s="1033"/>
      <c r="P41" s="1033"/>
      <c r="Q41" s="1033"/>
      <c r="R41" s="1033"/>
      <c r="S41" s="1033"/>
      <c r="T41" s="1033"/>
      <c r="U41" s="1033"/>
      <c r="V41" s="1033"/>
      <c r="W41" s="1033"/>
      <c r="X41" s="1033"/>
      <c r="Y41" s="1033"/>
      <c r="Z41" s="1033"/>
      <c r="AA41" s="1033"/>
      <c r="AB41" s="1033"/>
    </row>
    <row r="42" spans="1:48">
      <c r="A42" s="1033"/>
      <c r="B42" s="1315" t="s">
        <v>9886</v>
      </c>
      <c r="C42" s="1315"/>
      <c r="D42" s="1070">
        <f t="shared" ref="D42:AA42" si="4">IF(COUNT(D10:D40)=0,"",SUM(D10:D40))</f>
        <v>127</v>
      </c>
      <c r="E42" s="1070">
        <f t="shared" si="4"/>
        <v>106</v>
      </c>
      <c r="F42" s="1070">
        <f t="shared" si="4"/>
        <v>91</v>
      </c>
      <c r="G42" s="1070">
        <f t="shared" si="4"/>
        <v>52</v>
      </c>
      <c r="H42" s="1070">
        <f t="shared" si="4"/>
        <v>101</v>
      </c>
      <c r="I42" s="1070">
        <f t="shared" si="4"/>
        <v>117</v>
      </c>
      <c r="J42" s="1070">
        <f t="shared" si="4"/>
        <v>86</v>
      </c>
      <c r="K42" s="1070">
        <f t="shared" si="4"/>
        <v>117</v>
      </c>
      <c r="L42" s="1070">
        <f t="shared" si="4"/>
        <v>135</v>
      </c>
      <c r="M42" s="1070">
        <f t="shared" si="4"/>
        <v>74</v>
      </c>
      <c r="N42" s="1070">
        <f t="shared" si="4"/>
        <v>28</v>
      </c>
      <c r="O42" s="1070">
        <f t="shared" si="4"/>
        <v>38</v>
      </c>
      <c r="P42" s="1070">
        <f t="shared" si="4"/>
        <v>28</v>
      </c>
      <c r="Q42" s="1070">
        <f t="shared" si="4"/>
        <v>76</v>
      </c>
      <c r="R42" s="1070">
        <f t="shared" si="4"/>
        <v>68</v>
      </c>
      <c r="S42" s="1070">
        <f t="shared" si="4"/>
        <v>74</v>
      </c>
      <c r="T42" s="1070">
        <f t="shared" si="4"/>
        <v>74</v>
      </c>
      <c r="U42" s="1070">
        <f t="shared" si="4"/>
        <v>312</v>
      </c>
      <c r="V42" s="1070">
        <f t="shared" si="4"/>
        <v>32</v>
      </c>
      <c r="W42" s="1070">
        <f t="shared" si="4"/>
        <v>77</v>
      </c>
      <c r="X42" s="1070">
        <f t="shared" si="4"/>
        <v>44</v>
      </c>
      <c r="Y42" s="1070">
        <f t="shared" si="4"/>
        <v>153</v>
      </c>
      <c r="Z42" s="1070">
        <f t="shared" si="4"/>
        <v>932</v>
      </c>
      <c r="AA42" s="1117">
        <f t="shared" si="4"/>
        <v>1078</v>
      </c>
      <c r="AB42" s="1070" t="s">
        <v>9906</v>
      </c>
      <c r="AC42" s="1077">
        <f t="shared" ref="AC42:AU42" si="5">IF(COUNT(AC10:AC40)=0,"",AVERAGE(AC10:AC40))</f>
        <v>91.899999999999991</v>
      </c>
      <c r="AD42" s="1077">
        <f t="shared" si="5"/>
        <v>90.269230769230745</v>
      </c>
      <c r="AE42" s="1077">
        <f t="shared" si="5"/>
        <v>90.361538461538458</v>
      </c>
      <c r="AF42" s="1077">
        <f t="shared" si="5"/>
        <v>89.975000000000009</v>
      </c>
      <c r="AG42" s="1077">
        <f t="shared" si="5"/>
        <v>91.128571428571419</v>
      </c>
      <c r="AH42" s="1077">
        <f t="shared" si="5"/>
        <v>91.733333333333348</v>
      </c>
      <c r="AI42" s="1077">
        <f t="shared" si="5"/>
        <v>92.533333333333346</v>
      </c>
      <c r="AJ42" s="1077">
        <f t="shared" si="5"/>
        <v>92.183333333333337</v>
      </c>
      <c r="AK42" s="1077">
        <f t="shared" si="5"/>
        <v>64.731249999999989</v>
      </c>
      <c r="AL42" s="1077">
        <f t="shared" si="5"/>
        <v>91.249999999999986</v>
      </c>
      <c r="AM42" s="1077">
        <f t="shared" si="5"/>
        <v>90.250000000000014</v>
      </c>
      <c r="AN42" s="1077">
        <f t="shared" si="5"/>
        <v>89.800000000000011</v>
      </c>
      <c r="AO42" s="1077">
        <f t="shared" si="5"/>
        <v>90.38000000000001</v>
      </c>
      <c r="AP42" s="1077">
        <f t="shared" si="5"/>
        <v>90.30714285714285</v>
      </c>
      <c r="AQ42" s="1077">
        <f t="shared" si="5"/>
        <v>91.066666666666677</v>
      </c>
      <c r="AR42" s="1077">
        <f t="shared" si="5"/>
        <v>90.006666666666661</v>
      </c>
      <c r="AS42" s="1077">
        <f t="shared" si="5"/>
        <v>89.655555555555551</v>
      </c>
      <c r="AT42" s="1077">
        <f t="shared" si="5"/>
        <v>76.858823529411779</v>
      </c>
      <c r="AU42" s="1077">
        <f t="shared" si="5"/>
        <v>85.876923076923063</v>
      </c>
    </row>
    <row r="43" spans="1:48">
      <c r="A43" s="1033"/>
      <c r="B43" s="1315" t="s">
        <v>9887</v>
      </c>
      <c r="C43" s="1315"/>
      <c r="D43" s="1070">
        <f t="shared" ref="D43:AA43" si="6">IF(COUNT(D10:D40)=0,"",AVERAGE(D10:D40))</f>
        <v>4.3793103448275863</v>
      </c>
      <c r="E43" s="1070">
        <f t="shared" si="6"/>
        <v>3.6551724137931036</v>
      </c>
      <c r="F43" s="1070">
        <f t="shared" si="6"/>
        <v>3.1379310344827585</v>
      </c>
      <c r="G43" s="1070">
        <f t="shared" si="6"/>
        <v>1.7931034482758621</v>
      </c>
      <c r="H43" s="1070">
        <f t="shared" si="6"/>
        <v>3.4827586206896552</v>
      </c>
      <c r="I43" s="1070">
        <f t="shared" si="6"/>
        <v>4.0344827586206895</v>
      </c>
      <c r="J43" s="1070">
        <f t="shared" si="6"/>
        <v>2.9655172413793105</v>
      </c>
      <c r="K43" s="1070">
        <f t="shared" si="6"/>
        <v>4.0344827586206895</v>
      </c>
      <c r="L43" s="1070">
        <f t="shared" si="6"/>
        <v>4.6551724137931032</v>
      </c>
      <c r="M43" s="1070">
        <f t="shared" si="6"/>
        <v>2.5517241379310347</v>
      </c>
      <c r="N43" s="1070">
        <f t="shared" si="6"/>
        <v>0.96551724137931039</v>
      </c>
      <c r="O43" s="1070">
        <f t="shared" si="6"/>
        <v>1.3103448275862069</v>
      </c>
      <c r="P43" s="1070">
        <f t="shared" si="6"/>
        <v>0.96551724137931039</v>
      </c>
      <c r="Q43" s="1070">
        <f t="shared" si="6"/>
        <v>2.6206896551724137</v>
      </c>
      <c r="R43" s="1070">
        <f t="shared" si="6"/>
        <v>2.3448275862068964</v>
      </c>
      <c r="S43" s="1070">
        <f t="shared" si="6"/>
        <v>2.5517241379310347</v>
      </c>
      <c r="T43" s="1070">
        <f t="shared" si="6"/>
        <v>2.5517241379310347</v>
      </c>
      <c r="U43" s="1070">
        <f t="shared" si="6"/>
        <v>10.758620689655173</v>
      </c>
      <c r="V43" s="1070">
        <f t="shared" si="6"/>
        <v>1.103448275862069</v>
      </c>
      <c r="W43" s="1070">
        <f t="shared" si="6"/>
        <v>2.6551724137931036</v>
      </c>
      <c r="X43" s="1070">
        <f t="shared" si="6"/>
        <v>1.5172413793103448</v>
      </c>
      <c r="Y43" s="1070">
        <f t="shared" si="6"/>
        <v>5.2758620689655169</v>
      </c>
      <c r="Z43" s="1070">
        <f t="shared" si="6"/>
        <v>32.137931034482762</v>
      </c>
      <c r="AA43" s="1117">
        <f t="shared" si="6"/>
        <v>37.172413793103445</v>
      </c>
      <c r="AB43" s="1070" t="s">
        <v>9968</v>
      </c>
      <c r="AC43" s="1119">
        <f t="shared" ref="AC43:AU43" si="7">IF(OR(AC$5="",AC42=""),"",AC42-AC$5)</f>
        <v>-0.10000000000000853</v>
      </c>
      <c r="AD43" s="1119">
        <f t="shared" si="7"/>
        <v>0.26923076923074518</v>
      </c>
      <c r="AE43" s="1119">
        <f t="shared" si="7"/>
        <v>0.36153846153845848</v>
      </c>
      <c r="AF43" s="1119">
        <f t="shared" si="7"/>
        <v>-2.4999999999991473E-2</v>
      </c>
      <c r="AG43" s="1119">
        <f t="shared" si="7"/>
        <v>-0.87142857142858077</v>
      </c>
      <c r="AH43" s="1119">
        <f t="shared" si="7"/>
        <v>-0.26666666666665151</v>
      </c>
      <c r="AI43" s="1119">
        <f t="shared" si="7"/>
        <v>0.53333333333334565</v>
      </c>
      <c r="AJ43" s="1119">
        <f t="shared" si="7"/>
        <v>0.18333333333333712</v>
      </c>
      <c r="AK43" s="1119">
        <f t="shared" si="7"/>
        <v>-0.26875000000001137</v>
      </c>
      <c r="AL43" s="1119">
        <f t="shared" si="7"/>
        <v>-0.75000000000001421</v>
      </c>
      <c r="AM43" s="1119">
        <f t="shared" si="7"/>
        <v>0.25000000000001421</v>
      </c>
      <c r="AN43" s="1119">
        <f t="shared" si="7"/>
        <v>-0.19999999999998863</v>
      </c>
      <c r="AO43" s="1119">
        <f t="shared" si="7"/>
        <v>0.38000000000000966</v>
      </c>
      <c r="AP43" s="1119">
        <f t="shared" si="7"/>
        <v>-1.6928571428571502</v>
      </c>
      <c r="AQ43" s="1119">
        <f t="shared" si="7"/>
        <v>-0.93333333333332291</v>
      </c>
      <c r="AR43" s="1119">
        <f t="shared" si="7"/>
        <v>-1.9933333333333394</v>
      </c>
      <c r="AS43" s="1119">
        <f t="shared" si="7"/>
        <v>0.65555555555555145</v>
      </c>
      <c r="AT43" s="1119">
        <f t="shared" si="7"/>
        <v>-2.1411764705882206</v>
      </c>
      <c r="AU43" s="1119">
        <f t="shared" si="7"/>
        <v>-2.1230769230769369</v>
      </c>
    </row>
    <row r="44" spans="1:48">
      <c r="A44" s="1033"/>
      <c r="B44" s="1315" t="s">
        <v>9888</v>
      </c>
      <c r="C44" s="1315"/>
      <c r="D44" s="1070">
        <f t="shared" ref="D44:AA44" si="8">IF(COUNT(D10:D40)=0,"",MAX(D10:D40))</f>
        <v>18</v>
      </c>
      <c r="E44" s="1070">
        <f t="shared" si="8"/>
        <v>18</v>
      </c>
      <c r="F44" s="1070">
        <f t="shared" si="8"/>
        <v>18</v>
      </c>
      <c r="G44" s="1070">
        <f t="shared" si="8"/>
        <v>18</v>
      </c>
      <c r="H44" s="1070">
        <f t="shared" si="8"/>
        <v>18</v>
      </c>
      <c r="I44" s="1070">
        <f t="shared" si="8"/>
        <v>20</v>
      </c>
      <c r="J44" s="1070">
        <f t="shared" si="8"/>
        <v>16</v>
      </c>
      <c r="K44" s="1070">
        <f t="shared" si="8"/>
        <v>22</v>
      </c>
      <c r="L44" s="1070">
        <f t="shared" si="8"/>
        <v>18</v>
      </c>
      <c r="M44" s="1070">
        <f t="shared" si="8"/>
        <v>8</v>
      </c>
      <c r="N44" s="1070">
        <f t="shared" si="8"/>
        <v>8</v>
      </c>
      <c r="O44" s="1070">
        <f t="shared" si="8"/>
        <v>10</v>
      </c>
      <c r="P44" s="1070">
        <f t="shared" si="8"/>
        <v>6</v>
      </c>
      <c r="Q44" s="1070">
        <f t="shared" si="8"/>
        <v>10</v>
      </c>
      <c r="R44" s="1070">
        <f t="shared" si="8"/>
        <v>6</v>
      </c>
      <c r="S44" s="1070">
        <f t="shared" si="8"/>
        <v>8</v>
      </c>
      <c r="T44" s="1070">
        <f t="shared" si="8"/>
        <v>8</v>
      </c>
      <c r="U44" s="1070">
        <f t="shared" si="8"/>
        <v>24</v>
      </c>
      <c r="V44" s="1070">
        <f t="shared" si="8"/>
        <v>10</v>
      </c>
      <c r="W44" s="1070">
        <f t="shared" si="8"/>
        <v>10</v>
      </c>
      <c r="X44" s="1070">
        <f t="shared" si="8"/>
        <v>10</v>
      </c>
      <c r="Y44" s="1070">
        <f t="shared" si="8"/>
        <v>30</v>
      </c>
      <c r="Z44" s="1070">
        <f t="shared" si="8"/>
        <v>122</v>
      </c>
      <c r="AA44" s="1117">
        <f t="shared" si="8"/>
        <v>84</v>
      </c>
      <c r="AB44" s="1070" t="s">
        <v>9974</v>
      </c>
      <c r="AC44" s="1077">
        <f t="shared" ref="AC44:AU44" si="9">IF(COUNT(AC10:AC40)=0,"",MIN(AC10:AC40))</f>
        <v>87.4</v>
      </c>
      <c r="AD44" s="1077">
        <f t="shared" si="9"/>
        <v>86.8</v>
      </c>
      <c r="AE44" s="1077">
        <f t="shared" si="9"/>
        <v>86.2</v>
      </c>
      <c r="AF44" s="1077">
        <f t="shared" si="9"/>
        <v>85.1</v>
      </c>
      <c r="AG44" s="1077">
        <f t="shared" si="9"/>
        <v>87.4</v>
      </c>
      <c r="AH44" s="1077">
        <f t="shared" si="9"/>
        <v>86.4</v>
      </c>
      <c r="AI44" s="1077">
        <f t="shared" si="9"/>
        <v>89.3</v>
      </c>
      <c r="AJ44" s="1077">
        <f t="shared" si="9"/>
        <v>85.6</v>
      </c>
      <c r="AK44" s="1077">
        <f t="shared" si="9"/>
        <v>62.7</v>
      </c>
      <c r="AL44" s="1077">
        <f t="shared" si="9"/>
        <v>89.6</v>
      </c>
      <c r="AM44" s="1077">
        <f t="shared" si="9"/>
        <v>81.400000000000006</v>
      </c>
      <c r="AN44" s="1077">
        <f t="shared" si="9"/>
        <v>82.9</v>
      </c>
      <c r="AO44" s="1077">
        <f t="shared" si="9"/>
        <v>82.8</v>
      </c>
      <c r="AP44" s="1077">
        <f t="shared" si="9"/>
        <v>87.3</v>
      </c>
      <c r="AQ44" s="1077">
        <f t="shared" si="9"/>
        <v>87.1</v>
      </c>
      <c r="AR44" s="1077">
        <f t="shared" si="9"/>
        <v>83.3</v>
      </c>
      <c r="AS44" s="1077">
        <f t="shared" si="9"/>
        <v>86.3</v>
      </c>
      <c r="AT44" s="1077">
        <f t="shared" si="9"/>
        <v>73.2</v>
      </c>
      <c r="AU44" s="1077">
        <f t="shared" si="9"/>
        <v>79.3</v>
      </c>
    </row>
    <row r="45" spans="1:48">
      <c r="A45" s="1033"/>
      <c r="B45" s="1315" t="s">
        <v>9889</v>
      </c>
      <c r="C45" s="1315"/>
      <c r="D45" s="1076">
        <f t="shared" ref="D45:AA45" si="10">COUNT(D10:D40)</f>
        <v>29</v>
      </c>
      <c r="E45" s="1076">
        <f t="shared" si="10"/>
        <v>29</v>
      </c>
      <c r="F45" s="1076">
        <f t="shared" si="10"/>
        <v>29</v>
      </c>
      <c r="G45" s="1076">
        <f t="shared" si="10"/>
        <v>29</v>
      </c>
      <c r="H45" s="1076">
        <f t="shared" si="10"/>
        <v>29</v>
      </c>
      <c r="I45" s="1076">
        <f t="shared" si="10"/>
        <v>29</v>
      </c>
      <c r="J45" s="1076">
        <f t="shared" si="10"/>
        <v>29</v>
      </c>
      <c r="K45" s="1076">
        <f t="shared" si="10"/>
        <v>29</v>
      </c>
      <c r="L45" s="1076">
        <f t="shared" si="10"/>
        <v>29</v>
      </c>
      <c r="M45" s="1076">
        <f t="shared" si="10"/>
        <v>29</v>
      </c>
      <c r="N45" s="1076">
        <f t="shared" si="10"/>
        <v>29</v>
      </c>
      <c r="O45" s="1076">
        <f t="shared" si="10"/>
        <v>29</v>
      </c>
      <c r="P45" s="1076">
        <f t="shared" si="10"/>
        <v>29</v>
      </c>
      <c r="Q45" s="1076">
        <f t="shared" si="10"/>
        <v>29</v>
      </c>
      <c r="R45" s="1076">
        <f t="shared" si="10"/>
        <v>29</v>
      </c>
      <c r="S45" s="1076">
        <f t="shared" si="10"/>
        <v>29</v>
      </c>
      <c r="T45" s="1076">
        <f t="shared" si="10"/>
        <v>29</v>
      </c>
      <c r="U45" s="1076">
        <f t="shared" si="10"/>
        <v>29</v>
      </c>
      <c r="V45" s="1076">
        <f t="shared" si="10"/>
        <v>29</v>
      </c>
      <c r="W45" s="1076">
        <f t="shared" si="10"/>
        <v>29</v>
      </c>
      <c r="X45" s="1076">
        <f t="shared" si="10"/>
        <v>29</v>
      </c>
      <c r="Y45" s="1076">
        <f t="shared" si="10"/>
        <v>29</v>
      </c>
      <c r="Z45" s="1076">
        <f t="shared" si="10"/>
        <v>29</v>
      </c>
      <c r="AA45" s="1118">
        <f t="shared" si="10"/>
        <v>29</v>
      </c>
      <c r="AB45" s="1076" t="s">
        <v>9907</v>
      </c>
      <c r="AC45" s="1076">
        <f t="shared" ref="AC45:AU45" si="11">COUNT(AC10:AC40)</f>
        <v>16</v>
      </c>
      <c r="AD45" s="1076">
        <f t="shared" si="11"/>
        <v>13</v>
      </c>
      <c r="AE45" s="1076">
        <f t="shared" si="11"/>
        <v>13</v>
      </c>
      <c r="AF45" s="1076">
        <f t="shared" si="11"/>
        <v>8</v>
      </c>
      <c r="AG45" s="1076">
        <f t="shared" si="11"/>
        <v>14</v>
      </c>
      <c r="AH45" s="1076">
        <f t="shared" si="11"/>
        <v>18</v>
      </c>
      <c r="AI45" s="1076">
        <f t="shared" si="11"/>
        <v>12</v>
      </c>
      <c r="AJ45" s="1076">
        <f t="shared" si="11"/>
        <v>18</v>
      </c>
      <c r="AK45" s="1076">
        <f t="shared" si="11"/>
        <v>16</v>
      </c>
      <c r="AL45" s="1076">
        <f t="shared" si="11"/>
        <v>18</v>
      </c>
      <c r="AM45" s="1076">
        <f t="shared" si="11"/>
        <v>18</v>
      </c>
      <c r="AN45" s="1076">
        <f t="shared" si="11"/>
        <v>18</v>
      </c>
      <c r="AO45" s="1076">
        <f t="shared" si="11"/>
        <v>15</v>
      </c>
      <c r="AP45" s="1076">
        <f t="shared" si="11"/>
        <v>14</v>
      </c>
      <c r="AQ45" s="1076">
        <f t="shared" si="11"/>
        <v>18</v>
      </c>
      <c r="AR45" s="1076">
        <f t="shared" si="11"/>
        <v>15</v>
      </c>
      <c r="AS45" s="1076">
        <f t="shared" si="11"/>
        <v>18</v>
      </c>
      <c r="AT45" s="1076">
        <f t="shared" si="11"/>
        <v>17</v>
      </c>
      <c r="AU45" s="1076">
        <f t="shared" si="11"/>
        <v>13</v>
      </c>
    </row>
    <row r="46" spans="1:48">
      <c r="A46" s="1033"/>
      <c r="B46" s="1315" t="s">
        <v>9890</v>
      </c>
      <c r="C46" s="1315"/>
      <c r="D46" s="1070">
        <f t="shared" ref="D46:AA46" si="12">IF(D43="","",D43*CFG_DIAS)</f>
        <v>131.37931034482759</v>
      </c>
      <c r="E46" s="1070">
        <f t="shared" si="12"/>
        <v>109.65517241379311</v>
      </c>
      <c r="F46" s="1070">
        <f t="shared" si="12"/>
        <v>94.137931034482747</v>
      </c>
      <c r="G46" s="1070">
        <f t="shared" si="12"/>
        <v>53.793103448275865</v>
      </c>
      <c r="H46" s="1070">
        <f t="shared" si="12"/>
        <v>104.48275862068965</v>
      </c>
      <c r="I46" s="1070">
        <f t="shared" si="12"/>
        <v>121.03448275862068</v>
      </c>
      <c r="J46" s="1070">
        <f t="shared" si="12"/>
        <v>88.965517241379317</v>
      </c>
      <c r="K46" s="1070">
        <f t="shared" si="12"/>
        <v>121.03448275862068</v>
      </c>
      <c r="L46" s="1070">
        <f t="shared" si="12"/>
        <v>139.65517241379308</v>
      </c>
      <c r="M46" s="1070">
        <f t="shared" si="12"/>
        <v>76.551724137931046</v>
      </c>
      <c r="N46" s="1070">
        <f t="shared" si="12"/>
        <v>28.965517241379313</v>
      </c>
      <c r="O46" s="1070">
        <f t="shared" si="12"/>
        <v>39.310344827586206</v>
      </c>
      <c r="P46" s="1070">
        <f t="shared" si="12"/>
        <v>28.965517241379313</v>
      </c>
      <c r="Q46" s="1070">
        <f t="shared" si="12"/>
        <v>78.620689655172413</v>
      </c>
      <c r="R46" s="1070">
        <f t="shared" si="12"/>
        <v>70.34482758620689</v>
      </c>
      <c r="S46" s="1070">
        <f t="shared" si="12"/>
        <v>76.551724137931046</v>
      </c>
      <c r="T46" s="1070">
        <f t="shared" si="12"/>
        <v>76.551724137931046</v>
      </c>
      <c r="U46" s="1070">
        <f t="shared" si="12"/>
        <v>322.75862068965517</v>
      </c>
      <c r="V46" s="1070">
        <f t="shared" si="12"/>
        <v>33.103448275862071</v>
      </c>
      <c r="W46" s="1070">
        <f t="shared" si="12"/>
        <v>79.65517241379311</v>
      </c>
      <c r="X46" s="1070">
        <f t="shared" si="12"/>
        <v>45.517241379310342</v>
      </c>
      <c r="Y46" s="1070">
        <f t="shared" si="12"/>
        <v>158.27586206896549</v>
      </c>
      <c r="Z46" s="1070">
        <f t="shared" si="12"/>
        <v>964.13793103448279</v>
      </c>
      <c r="AA46" s="1117">
        <f t="shared" si="12"/>
        <v>1115.1724137931033</v>
      </c>
      <c r="AB46" s="1070" t="s">
        <v>9967</v>
      </c>
      <c r="AC46" s="1077" cm="1">
        <f t="array" ref="AC46">IFERROR(LOOKUP(2,1/(AC10:AC40&lt;&gt;""),AC10:AC40),"")</f>
        <v>87.4</v>
      </c>
      <c r="AD46" s="1077" cm="1">
        <f t="array" ref="AD46">IFERROR(LOOKUP(2,1/(AD10:AD40&lt;&gt;""),AD10:AD40),"")</f>
        <v>86.8</v>
      </c>
      <c r="AE46" s="1077" cm="1">
        <f t="array" ref="AE46">IFERROR(LOOKUP(2,1/(AE10:AE40&lt;&gt;""),AE10:AE40),"")</f>
        <v>87.2</v>
      </c>
      <c r="AF46" s="1077" cm="1">
        <f t="array" ref="AF46">IFERROR(LOOKUP(2,1/(AF10:AF40&lt;&gt;""),AF10:AF40),"")</f>
        <v>85.1</v>
      </c>
      <c r="AG46" s="1077" cm="1">
        <f t="array" ref="AG46">IFERROR(LOOKUP(2,1/(AG10:AG40&lt;&gt;""),AG10:AG40),"")</f>
        <v>88.7</v>
      </c>
      <c r="AH46" s="1077" cm="1">
        <f t="array" ref="AH46">IFERROR(LOOKUP(2,1/(AH10:AH40&lt;&gt;""),AH10:AH40),"")</f>
        <v>86.4</v>
      </c>
      <c r="AI46" s="1077" cm="1">
        <f t="array" ref="AI46">IFERROR(LOOKUP(2,1/(AI10:AI40&lt;&gt;""),AI10:AI40),"")</f>
        <v>91.8</v>
      </c>
      <c r="AJ46" s="1077" cm="1">
        <f t="array" ref="AJ46">IFERROR(LOOKUP(2,1/(AJ10:AJ40&lt;&gt;""),AJ10:AJ40),"")</f>
        <v>89.1</v>
      </c>
      <c r="AK46" s="1077" cm="1">
        <f t="array" ref="AK46">IFERROR(LOOKUP(2,1/(AK10:AK40&lt;&gt;""),AK10:AK40),"")</f>
        <v>63.5</v>
      </c>
      <c r="AL46" s="1077" cm="1">
        <f t="array" ref="AL46">IFERROR(LOOKUP(2,1/(AL10:AL40&lt;&gt;""),AL10:AL40),"")</f>
        <v>90.9</v>
      </c>
      <c r="AM46" s="1077" cm="1">
        <f t="array" ref="AM46">IFERROR(LOOKUP(2,1/(AM10:AM40&lt;&gt;""),AM10:AM40),"")</f>
        <v>81.400000000000006</v>
      </c>
      <c r="AN46" s="1077" cm="1">
        <f t="array" ref="AN46">IFERROR(LOOKUP(2,1/(AN10:AN40&lt;&gt;""),AN10:AN40),"")</f>
        <v>83.9</v>
      </c>
      <c r="AO46" s="1077" cm="1">
        <f t="array" ref="AO46">IFERROR(LOOKUP(2,1/(AO10:AO40&lt;&gt;""),AO10:AO40),"")</f>
        <v>85.5</v>
      </c>
      <c r="AP46" s="1077" cm="1">
        <f t="array" ref="AP46">IFERROR(LOOKUP(2,1/(AP10:AP40&lt;&gt;""),AP10:AP40),"")</f>
        <v>94.6</v>
      </c>
      <c r="AQ46" s="1077" cm="1">
        <f t="array" ref="AQ46">IFERROR(LOOKUP(2,1/(AQ10:AQ40&lt;&gt;""),AQ10:AQ40),"")</f>
        <v>88.2</v>
      </c>
      <c r="AR46" s="1077" cm="1">
        <f t="array" ref="AR46">IFERROR(LOOKUP(2,1/(AR10:AR40&lt;&gt;""),AR10:AR40),"")</f>
        <v>86.6</v>
      </c>
      <c r="AS46" s="1077" cm="1">
        <f t="array" ref="AS46">IFERROR(LOOKUP(2,1/(AS10:AS40&lt;&gt;""),AS10:AS40),"")</f>
        <v>89.6</v>
      </c>
      <c r="AT46" s="1077" cm="1">
        <f t="array" ref="AT46">IFERROR(LOOKUP(2,1/(AT10:AT40&lt;&gt;""),AT10:AT40),"")</f>
        <v>78.400000000000006</v>
      </c>
      <c r="AU46" s="1077" cm="1">
        <f t="array" ref="AU46">IFERROR(LOOKUP(2,1/(AU10:AU40&lt;&gt;""),AU10:AU40),"")</f>
        <v>79.3</v>
      </c>
    </row>
    <row r="47" spans="1:48">
      <c r="A47" s="1033"/>
      <c r="B47" s="1033"/>
      <c r="C47" s="1033"/>
      <c r="D47" s="1033"/>
      <c r="E47" s="1033"/>
      <c r="F47" s="1033"/>
      <c r="G47" s="1033"/>
      <c r="H47" s="1033"/>
      <c r="I47" s="1033"/>
      <c r="J47" s="1033"/>
      <c r="K47" s="1033"/>
      <c r="L47" s="1033"/>
      <c r="M47" s="1033"/>
      <c r="N47" s="1033"/>
      <c r="O47" s="1033"/>
      <c r="P47" s="1033"/>
      <c r="Q47" s="1033"/>
      <c r="R47" s="1033"/>
      <c r="S47" s="1033"/>
      <c r="T47" s="1033"/>
      <c r="U47" s="1033"/>
      <c r="V47" s="1033"/>
      <c r="W47" s="1033"/>
      <c r="X47" s="1033"/>
      <c r="Y47" s="1033"/>
      <c r="Z47" s="1033"/>
      <c r="AA47" s="1033"/>
      <c r="AB47" s="1033"/>
    </row>
    <row r="48" spans="1:48">
      <c r="A48" s="1033"/>
      <c r="B48" s="981" t="s">
        <v>9975</v>
      </c>
      <c r="Z48" s="1033"/>
      <c r="AA48" s="1033"/>
      <c r="AB48" s="1033"/>
    </row>
    <row r="49" spans="1:28">
      <c r="A49" s="1033"/>
      <c r="Z49" s="1033"/>
      <c r="AA49" s="1033"/>
      <c r="AB49" s="1033"/>
    </row>
    <row r="50" spans="1:28">
      <c r="A50" s="1033"/>
      <c r="Z50" s="1033"/>
      <c r="AA50" s="1033"/>
      <c r="AB50" s="1033"/>
    </row>
    <row r="51" spans="1:28">
      <c r="A51" s="1033"/>
      <c r="Z51" s="1033"/>
      <c r="AA51" s="1033"/>
      <c r="AB51" s="1033"/>
    </row>
    <row r="52" spans="1:28">
      <c r="A52" s="1033"/>
      <c r="Z52" s="1033"/>
      <c r="AA52" s="1033"/>
      <c r="AB52" s="1033"/>
    </row>
    <row r="53" spans="1:28">
      <c r="A53" s="1033"/>
      <c r="Z53" s="1033"/>
      <c r="AA53" s="1033"/>
      <c r="AB53" s="1033"/>
    </row>
    <row r="54" spans="1:28">
      <c r="A54" s="1033"/>
      <c r="Z54" s="1033"/>
      <c r="AA54" s="1033"/>
      <c r="AB54" s="1033"/>
    </row>
    <row r="55" spans="1:28">
      <c r="A55" s="1033"/>
      <c r="Z55" s="1033"/>
      <c r="AA55" s="1033"/>
      <c r="AB55" s="1033"/>
    </row>
    <row r="56" spans="1:28">
      <c r="A56" s="1033"/>
      <c r="Z56" s="1033"/>
      <c r="AA56" s="1033"/>
      <c r="AB56" s="1033"/>
    </row>
    <row r="57" spans="1:28">
      <c r="A57" s="1033"/>
      <c r="B57" s="1033"/>
      <c r="C57" s="1033"/>
      <c r="D57" s="1033"/>
      <c r="E57" s="1033"/>
      <c r="F57" s="1033"/>
      <c r="G57" s="1033"/>
      <c r="H57" s="1033"/>
      <c r="I57" s="1033"/>
      <c r="J57" s="1033"/>
      <c r="K57" s="1033"/>
      <c r="L57" s="1033"/>
      <c r="M57" s="1033"/>
      <c r="N57" s="1033"/>
      <c r="O57" s="1033"/>
      <c r="P57" s="1033"/>
      <c r="Q57" s="1033"/>
      <c r="R57" s="1033"/>
      <c r="S57" s="1033"/>
      <c r="T57" s="1033"/>
      <c r="U57" s="1033"/>
      <c r="V57" s="1033"/>
      <c r="W57" s="1033"/>
      <c r="X57" s="1033"/>
      <c r="Y57" s="1033"/>
      <c r="Z57" s="1033"/>
      <c r="AA57" s="1033"/>
      <c r="AB57" s="1033"/>
    </row>
    <row r="58" spans="1:28">
      <c r="A58" s="1033"/>
      <c r="B58" s="1033"/>
      <c r="C58" s="1033"/>
      <c r="D58" s="1033"/>
      <c r="E58" s="1033"/>
      <c r="F58" s="1033"/>
      <c r="G58" s="1033"/>
      <c r="H58" s="1033"/>
      <c r="I58" s="1033"/>
      <c r="J58" s="1033"/>
      <c r="K58" s="1033"/>
      <c r="L58" s="1033"/>
      <c r="M58" s="1033"/>
      <c r="N58" s="1033"/>
      <c r="O58" s="1033"/>
      <c r="P58" s="1033"/>
      <c r="Q58" s="1033"/>
      <c r="R58" s="1033"/>
      <c r="S58" s="1033"/>
      <c r="T58" s="1033"/>
      <c r="U58" s="1033"/>
      <c r="V58" s="1033"/>
      <c r="W58" s="1033"/>
      <c r="X58" s="1033"/>
      <c r="Y58" s="1033"/>
      <c r="Z58" s="1033"/>
      <c r="AA58" s="1033"/>
      <c r="AB58" s="1033"/>
    </row>
    <row r="59" spans="1:28">
      <c r="A59" s="1033"/>
      <c r="B59" s="1033"/>
      <c r="C59" s="1033"/>
      <c r="D59" s="1033"/>
      <c r="E59" s="1033"/>
      <c r="F59" s="1033"/>
      <c r="G59" s="1033"/>
      <c r="H59" s="1033"/>
      <c r="I59" s="1033"/>
      <c r="J59" s="1033"/>
      <c r="K59" s="1033"/>
      <c r="L59" s="1033"/>
      <c r="M59" s="1033"/>
      <c r="N59" s="1033"/>
      <c r="O59" s="1033"/>
      <c r="P59" s="1033"/>
      <c r="Q59" s="1033"/>
      <c r="R59" s="1033"/>
      <c r="S59" s="1033"/>
      <c r="T59" s="1033"/>
      <c r="U59" s="1033"/>
      <c r="V59" s="1033"/>
      <c r="W59" s="1033"/>
      <c r="X59" s="1033"/>
      <c r="Y59" s="1033"/>
      <c r="Z59" s="1033"/>
      <c r="AA59" s="1033"/>
      <c r="AB59" s="1033"/>
    </row>
    <row r="60" spans="1:28">
      <c r="A60" s="1033"/>
      <c r="B60" s="1033"/>
      <c r="C60" s="1033"/>
      <c r="D60" s="1033"/>
      <c r="E60" s="1033"/>
      <c r="F60" s="1033"/>
      <c r="G60" s="1033"/>
      <c r="H60" s="1033"/>
      <c r="I60" s="1033"/>
      <c r="J60" s="1033"/>
      <c r="K60" s="1033"/>
      <c r="L60" s="1033"/>
      <c r="M60" s="1033"/>
      <c r="N60" s="1033"/>
      <c r="O60" s="1033"/>
      <c r="P60" s="1033"/>
      <c r="Q60" s="1033"/>
      <c r="R60" s="1033"/>
      <c r="S60" s="1033"/>
      <c r="T60" s="1033"/>
      <c r="U60" s="1033"/>
      <c r="V60" s="1033"/>
      <c r="W60" s="1033"/>
      <c r="X60" s="1033"/>
      <c r="Y60" s="1033"/>
      <c r="Z60" s="1033"/>
      <c r="AA60" s="1033"/>
      <c r="AB60" s="1033"/>
    </row>
  </sheetData>
  <mergeCells count="12">
    <mergeCell ref="B46:C46"/>
    <mergeCell ref="B1:AB1"/>
    <mergeCell ref="D3:F3"/>
    <mergeCell ref="D4:G4"/>
    <mergeCell ref="D5:F5"/>
    <mergeCell ref="B42:C42"/>
    <mergeCell ref="B43:C43"/>
    <mergeCell ref="AC3:AU3"/>
    <mergeCell ref="AC4:AK4"/>
    <mergeCell ref="AL4:AU4"/>
    <mergeCell ref="B44:C44"/>
    <mergeCell ref="B45:C45"/>
  </mergeCells>
  <conditionalFormatting sqref="AC43:AU43">
    <cfRule type="cellIs" dxfId="90" priority="1" operator="lessThan">
      <formula>0</formula>
    </cfRule>
  </conditionalFormatting>
  <dataValidations count="2">
    <dataValidation type="custom" allowBlank="1" showInputMessage="1" showErrorMessage="1" errorTitle="Valor no válido" error="Escriba un número dentro del rango Mín/Máx de la columna (Catálogo Controles), en un día del mes." sqref="D10:Y40" xr:uid="{A1FB6A01-B618-4049-9D91-CB805B447046}">
      <formula1>AND($B10&lt;&gt;"",ISNUMBER(D10),D10&gt;=D$6,D10&lt;=D$7)</formula1>
    </dataValidation>
    <dataValidation type="custom" allowBlank="1" showInputMessage="1" showErrorMessage="1" errorTitle="Valor no válido" error="Escriba un % de carga dentro del rango Mín/Máx de la columna (Catálogo Controles), en un día del mes." sqref="AC10:AU40" xr:uid="{9ABC238C-859A-432C-8823-6CE8F4B5779A}">
      <formula1>AND($B10&lt;&gt;"",ISNUMBER(AC10),AC10&gt;=AC$6,AC10&lt;=AC$7)</formula1>
    </dataValidation>
  </dataValidations>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Agregado Medios — Página &amp;P de &amp;F</oddFooter>
  </headerFooter>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969C3-E3E9-46AF-9071-98109CF45321}">
  <sheetPr codeName="Hoja11">
    <tabColor rgb="FF548235"/>
    <pageSetUpPr fitToPage="1"/>
  </sheetPr>
  <dimension ref="A1:AV55"/>
  <sheetViews>
    <sheetView showGridLines="0" workbookViewId="0">
      <pane ySplit="8" topLeftCell="A18" activePane="bottomLeft" state="frozen"/>
      <selection pane="bottomLeft" activeCell="I4" sqref="I4"/>
    </sheetView>
  </sheetViews>
  <sheetFormatPr baseColWidth="10" defaultRowHeight="15"/>
  <cols>
    <col min="1" max="1" width="2.85546875" customWidth="1"/>
    <col min="2" max="2" width="9.140625" customWidth="1"/>
    <col min="3" max="3" width="15.28515625" customWidth="1"/>
    <col min="4" max="4" width="17.140625" customWidth="1"/>
    <col min="5" max="5" width="36.140625" customWidth="1"/>
    <col min="6" max="12" width="14.85546875" customWidth="1"/>
    <col min="13" max="13" width="24.7109375" customWidth="1"/>
    <col min="14" max="14" width="45.7109375" customWidth="1"/>
  </cols>
  <sheetData>
    <row r="1" spans="1:14" ht="22.5" customHeight="1">
      <c r="A1" s="1033"/>
      <c r="B1" s="1219" t="s">
        <v>9920</v>
      </c>
      <c r="C1" s="1220"/>
      <c r="D1" s="1220"/>
      <c r="E1" s="1220"/>
      <c r="F1" s="1220"/>
      <c r="G1" s="1220"/>
      <c r="H1" s="1220"/>
      <c r="I1" s="1220"/>
      <c r="J1" s="1220"/>
      <c r="K1" s="1220"/>
      <c r="L1" s="1220"/>
      <c r="M1" s="1220"/>
      <c r="N1" s="1220"/>
    </row>
    <row r="2" spans="1:14">
      <c r="A2" s="1033"/>
      <c r="B2" s="1033"/>
      <c r="C2" s="1033"/>
      <c r="D2" s="1033"/>
      <c r="E2" s="1033"/>
      <c r="F2" s="1033"/>
      <c r="G2" s="1033"/>
      <c r="H2" s="1033"/>
      <c r="I2" s="1033"/>
      <c r="J2" s="1033"/>
      <c r="K2" s="1033"/>
      <c r="L2" s="1033"/>
      <c r="M2" s="1033"/>
      <c r="N2" s="1033"/>
    </row>
    <row r="3" spans="1:14" ht="15.75">
      <c r="A3" s="1033"/>
      <c r="B3" s="1045"/>
      <c r="C3" s="1047" t="s">
        <v>323</v>
      </c>
      <c r="D3" s="1314" t="str">
        <f>CFG_MES_TXT</f>
        <v>Setiembre 2026</v>
      </c>
      <c r="E3" s="1314"/>
      <c r="F3" s="1033"/>
      <c r="G3" s="1033"/>
      <c r="H3" s="1033"/>
      <c r="I3" s="1033"/>
      <c r="J3" s="1033"/>
      <c r="K3" s="1033"/>
      <c r="L3" s="1033"/>
      <c r="M3" s="1033"/>
      <c r="N3" s="1033"/>
    </row>
    <row r="4" spans="1:14" ht="15.75">
      <c r="A4" s="1033"/>
      <c r="B4" s="1045" t="s">
        <v>9921</v>
      </c>
      <c r="C4" s="1033"/>
      <c r="D4" s="1079">
        <v>46265</v>
      </c>
      <c r="E4" s="1046" t="str">
        <f>"del "&amp;TEXT($D$4,"dd/mm")&amp;" al "&amp;TEXT($D$4+6,"dd/mm")&amp;"/"&amp;YEAR($D$4+6)</f>
        <v>del 31/08 al 06/09/2026</v>
      </c>
      <c r="F4" s="1033"/>
      <c r="G4" s="1033"/>
      <c r="H4" s="1033"/>
      <c r="I4" s="1033"/>
      <c r="J4" s="1033"/>
      <c r="K4" s="1033"/>
      <c r="L4" s="1033"/>
      <c r="M4" s="1033"/>
      <c r="N4" s="1033"/>
    </row>
    <row r="5" spans="1:14">
      <c r="A5" s="1033"/>
      <c r="B5" s="981" t="s">
        <v>9922</v>
      </c>
      <c r="C5" s="1033"/>
      <c r="D5" s="1033"/>
      <c r="E5" s="1033"/>
      <c r="F5" s="1033"/>
      <c r="G5" s="1033"/>
      <c r="H5" s="1033"/>
      <c r="I5" s="1033"/>
      <c r="J5" s="1033"/>
      <c r="K5" s="1033"/>
      <c r="L5" s="1033"/>
      <c r="M5" s="1033"/>
      <c r="N5" s="1033"/>
    </row>
    <row r="6" spans="1:14">
      <c r="A6" s="1033"/>
      <c r="B6" s="1033"/>
      <c r="C6" s="1033"/>
      <c r="D6" s="1033"/>
      <c r="E6" s="1033"/>
      <c r="F6" s="1033"/>
      <c r="G6" s="1033"/>
      <c r="H6" s="1033"/>
      <c r="I6" s="1033"/>
      <c r="J6" s="1033"/>
      <c r="K6" s="1033"/>
      <c r="L6" s="1033"/>
      <c r="M6" s="1033"/>
      <c r="N6" s="1033"/>
    </row>
    <row r="7" spans="1:14">
      <c r="A7" s="1033"/>
      <c r="B7" s="1033"/>
      <c r="C7" s="1033"/>
      <c r="D7" s="1033"/>
      <c r="E7" s="1033"/>
      <c r="F7" s="1033"/>
      <c r="G7" s="1033"/>
      <c r="H7" s="1033"/>
      <c r="I7" s="1033"/>
      <c r="J7" s="1033"/>
      <c r="K7" s="1033"/>
      <c r="L7" s="1033"/>
      <c r="M7" s="1033"/>
      <c r="N7" s="1033"/>
    </row>
    <row r="8" spans="1:14" ht="32.1" customHeight="1">
      <c r="A8" s="1033"/>
      <c r="B8" s="1121" t="s">
        <v>399</v>
      </c>
      <c r="C8" s="1121" t="s">
        <v>400</v>
      </c>
      <c r="D8" s="1121" t="s">
        <v>401</v>
      </c>
      <c r="E8" s="1121" t="s">
        <v>402</v>
      </c>
      <c r="F8" s="1121" t="str">
        <f>"LUNES "&amp;TEXT($D$4+0,"dd")</f>
        <v>LUNES 31</v>
      </c>
      <c r="G8" s="1121" t="str">
        <f>"MARTES "&amp;TEXT($D$4+1,"dd")</f>
        <v>MARTES 01</v>
      </c>
      <c r="H8" s="1121" t="str">
        <f>"MIÉRCOLES "&amp;TEXT($D$4+2,"dd")</f>
        <v>MIÉRCOLES 02</v>
      </c>
      <c r="I8" s="1121" t="str">
        <f>"JUEVES "&amp;TEXT($D$4+3,"dd")</f>
        <v>JUEVES 03</v>
      </c>
      <c r="J8" s="1121" t="str">
        <f>"VIERNES "&amp;TEXT($D$4+4,"dd")</f>
        <v>VIERNES 04</v>
      </c>
      <c r="K8" s="1121" t="str">
        <f>"SÁBADO "&amp;TEXT($D$4+5,"dd")</f>
        <v>SÁBADO 05</v>
      </c>
      <c r="L8" s="1121" t="str">
        <f>"DOMINGO "&amp;TEXT($D$4+6,"dd")</f>
        <v>DOMINGO 06</v>
      </c>
      <c r="M8" s="1121" t="s">
        <v>403</v>
      </c>
      <c r="N8" s="1121" t="s">
        <v>404</v>
      </c>
    </row>
    <row r="9" spans="1:14">
      <c r="A9" s="1033"/>
      <c r="B9" s="1080" t="str" cm="1">
        <f t="array" ref="B9">IF(IFERROR(INDEX(tblCatControles[Ítem],_xlfn.AGGREGATE(15,6,(ROW(tblCatControles[Módulo])-ROW(tblCatControles[[#Headers],[Módulo]]))/((tblCatControles[Módulo]="LIMPIEZA CANALETAS")*(tblCatControles[Activo]="Sí")),1)),"")="","",LEFT(IFERROR(INDEX(tblCatControles[Ítem],_xlfn.AGGREGATE(15,6,(ROW(tblCatControles[Módulo])-ROW(tblCatControles[[#Headers],[Módulo]]))/((tblCatControles[Módulo]="LIMPIEZA CANALETAS")*(tblCatControles[Activo]="Sí")),1)),""),FIND("-",IFERROR(INDEX(tblCatControles[Ítem],_xlfn.AGGREGATE(15,6,(ROW(tblCatControles[Módulo])-ROW(tblCatControles[[#Headers],[Módulo]]))/((tblCatControles[Módulo]="LIMPIEZA CANALETAS")*(tblCatControles[Activo]="Sí")),1)),""))-1))</f>
        <v>P2</v>
      </c>
      <c r="C9" s="1080" t="str" cm="1">
        <f t="array" ref="C9">IF(IFERROR(INDEX(tblCatControles[Ítem],_xlfn.AGGREGATE(15,6,(ROW(tblCatControles[Módulo])-ROW(tblCatControles[[#Headers],[Módulo]]))/((tblCatControles[Módulo]="LIMPIEZA CANALETAS")*(tblCatControles[Activo]="Sí")),1)),"")="","",MID(IFERROR(INDEX(tblCatControles[Ítem],_xlfn.AGGREGATE(15,6,(ROW(tblCatControles[Módulo])-ROW(tblCatControles[[#Headers],[Módulo]]))/((tblCatControles[Módulo]="LIMPIEZA CANALETAS")*(tblCatControles[Activo]="Sí")),1)),""),FIND("-",IFERROR(INDEX(tblCatControles[Ítem],_xlfn.AGGREGATE(15,6,(ROW(tblCatControles[Módulo])-ROW(tblCatControles[[#Headers],[Módulo]]))/((tblCatControles[Módulo]="LIMPIEZA CANALETAS")*(tblCatControles[Activo]="Sí")),1)),""))+1,20))</f>
        <v>T1</v>
      </c>
      <c r="D9" s="1080" t="str" cm="1">
        <f t="array" ref="D9">IFERROR(LEFT(IFERROR(INDEX(tblCatControles[Ubicación / detalle],_xlfn.AGGREGATE(15,6,(ROW(tblCatControles[Módulo])-ROW(tblCatControles[[#Headers],[Módulo]]))/((tblCatControles[Módulo]="LIMPIEZA CANALETAS")*(tblCatControles[Activo]="Sí")),1))&amp;"",""),FIND(" · ",IFERROR(INDEX(tblCatControles[Ubicación / detalle],_xlfn.AGGREGATE(15,6,(ROW(tblCatControles[Módulo])-ROW(tblCatControles[[#Headers],[Módulo]]))/((tblCatControles[Módulo]="LIMPIEZA CANALETAS")*(tblCatControles[Activo]="Sí")),1))&amp;"",""))-1),"")</f>
        <v>Transversal</v>
      </c>
      <c r="E9" s="1081" t="str" cm="1">
        <f t="array" ref="E9">IFERROR(MID(IFERROR(INDEX(tblCatControles[Ubicación / detalle],_xlfn.AGGREGATE(15,6,(ROW(tblCatControles[Módulo])-ROW(tblCatControles[[#Headers],[Módulo]]))/((tblCatControles[Módulo]="LIMPIEZA CANALETAS")*(tblCatControles[Activo]="Sí")),1))&amp;"",""),FIND(" · ",IFERROR(INDEX(tblCatControles[Ubicación / detalle],_xlfn.AGGREGATE(15,6,(ROW(tblCatControles[Módulo])-ROW(tblCatControles[[#Headers],[Módulo]]))/((tblCatControles[Módulo]="LIMPIEZA CANALETAS")*(tblCatControles[Activo]="Sí")),1))&amp;"",""))+3,60),"")</f>
        <v>BM 032-201 / 202-202</v>
      </c>
      <c r="F9" s="1082"/>
      <c r="G9" s="1082"/>
      <c r="H9" s="1082"/>
      <c r="I9" s="1082"/>
      <c r="J9" s="1082"/>
      <c r="K9" s="1082"/>
      <c r="L9" s="1082"/>
      <c r="M9" s="1083"/>
      <c r="N9" s="1083"/>
    </row>
    <row r="10" spans="1:14">
      <c r="A10" s="1033"/>
      <c r="B10" s="1080" t="str" cm="1">
        <f t="array" ref="B10">IF(IFERROR(INDEX(tblCatControles[Ítem],_xlfn.AGGREGATE(15,6,(ROW(tblCatControles[Módulo])-ROW(tblCatControles[[#Headers],[Módulo]]))/((tblCatControles[Módulo]="LIMPIEZA CANALETAS")*(tblCatControles[Activo]="Sí")),2)),"")="","",LEFT(IFERROR(INDEX(tblCatControles[Ítem],_xlfn.AGGREGATE(15,6,(ROW(tblCatControles[Módulo])-ROW(tblCatControles[[#Headers],[Módulo]]))/((tblCatControles[Módulo]="LIMPIEZA CANALETAS")*(tblCatControles[Activo]="Sí")),2)),""),FIND("-",IFERROR(INDEX(tblCatControles[Ítem],_xlfn.AGGREGATE(15,6,(ROW(tblCatControles[Módulo])-ROW(tblCatControles[[#Headers],[Módulo]]))/((tblCatControles[Módulo]="LIMPIEZA CANALETAS")*(tblCatControles[Activo]="Sí")),2)),""))-1))</f>
        <v>P2</v>
      </c>
      <c r="C10" s="1080" t="str" cm="1">
        <f t="array" ref="C10">IF(IFERROR(INDEX(tblCatControles[Ítem],_xlfn.AGGREGATE(15,6,(ROW(tblCatControles[Módulo])-ROW(tblCatControles[[#Headers],[Módulo]]))/((tblCatControles[Módulo]="LIMPIEZA CANALETAS")*(tblCatControles[Activo]="Sí")),2)),"")="","",MID(IFERROR(INDEX(tblCatControles[Ítem],_xlfn.AGGREGATE(15,6,(ROW(tblCatControles[Módulo])-ROW(tblCatControles[[#Headers],[Módulo]]))/((tblCatControles[Módulo]="LIMPIEZA CANALETAS")*(tblCatControles[Activo]="Sí")),2)),""),FIND("-",IFERROR(INDEX(tblCatControles[Ítem],_xlfn.AGGREGATE(15,6,(ROW(tblCatControles[Módulo])-ROW(tblCatControles[[#Headers],[Módulo]]))/((tblCatControles[Módulo]="LIMPIEZA CANALETAS")*(tblCatControles[Activo]="Sí")),2)),""))+1,20))</f>
        <v>H1</v>
      </c>
      <c r="D10" s="1080" t="str" cm="1">
        <f t="array" ref="D10">IFERROR(LEFT(IFERROR(INDEX(tblCatControles[Ubicación / detalle],_xlfn.AGGREGATE(15,6,(ROW(tblCatControles[Módulo])-ROW(tblCatControles[[#Headers],[Módulo]]))/((tblCatControles[Módulo]="LIMPIEZA CANALETAS")*(tblCatControles[Activo]="Sí")),2))&amp;"",""),FIND(" · ",IFERROR(INDEX(tblCatControles[Ubicación / detalle],_xlfn.AGGREGATE(15,6,(ROW(tblCatControles[Módulo])-ROW(tblCatControles[[#Headers],[Módulo]]))/((tblCatControles[Módulo]="LIMPIEZA CANALETAS")*(tblCatControles[Activo]="Sí")),2))&amp;"",""))-1),"")</f>
        <v>Horizontal</v>
      </c>
      <c r="E10" s="1081" t="str" cm="1">
        <f t="array" ref="E10">IFERROR(MID(IFERROR(INDEX(tblCatControles[Ubicación / detalle],_xlfn.AGGREGATE(15,6,(ROW(tblCatControles[Módulo])-ROW(tblCatControles[[#Headers],[Módulo]]))/((tblCatControles[Módulo]="LIMPIEZA CANALETAS")*(tblCatControles[Activo]="Sí")),2))&amp;"",""),FIND(" · ",IFERROR(INDEX(tblCatControles[Ubicación / detalle],_xlfn.AGGREGATE(15,6,(ROW(tblCatControles[Módulo])-ROW(tblCatControles[[#Headers],[Módulo]]))/((tblCatControles[Módulo]="LIMPIEZA CANALETAS")*(tblCatControles[Activo]="Sí")),2))&amp;"",""))+3,60),"")</f>
        <v>213-394 / 032-202</v>
      </c>
      <c r="F10" s="1082"/>
      <c r="G10" s="1082"/>
      <c r="H10" s="1082"/>
      <c r="I10" s="1082"/>
      <c r="J10" s="1082"/>
      <c r="K10" s="1082"/>
      <c r="L10" s="1082"/>
      <c r="M10" s="1083"/>
      <c r="N10" s="1083"/>
    </row>
    <row r="11" spans="1:14">
      <c r="A11" s="1033"/>
      <c r="B11" s="1080" t="str" cm="1">
        <f t="array" ref="B11">IF(IFERROR(INDEX(tblCatControles[Ítem],_xlfn.AGGREGATE(15,6,(ROW(tblCatControles[Módulo])-ROW(tblCatControles[[#Headers],[Módulo]]))/((tblCatControles[Módulo]="LIMPIEZA CANALETAS")*(tblCatControles[Activo]="Sí")),3)),"")="","",LEFT(IFERROR(INDEX(tblCatControles[Ítem],_xlfn.AGGREGATE(15,6,(ROW(tblCatControles[Módulo])-ROW(tblCatControles[[#Headers],[Módulo]]))/((tblCatControles[Módulo]="LIMPIEZA CANALETAS")*(tblCatControles[Activo]="Sí")),3)),""),FIND("-",IFERROR(INDEX(tblCatControles[Ítem],_xlfn.AGGREGATE(15,6,(ROW(tblCatControles[Módulo])-ROW(tblCatControles[[#Headers],[Módulo]]))/((tblCatControles[Módulo]="LIMPIEZA CANALETAS")*(tblCatControles[Activo]="Sí")),3)),""))-1))</f>
        <v>P2</v>
      </c>
      <c r="C11" s="1080" t="str" cm="1">
        <f t="array" ref="C11">IF(IFERROR(INDEX(tblCatControles[Ítem],_xlfn.AGGREGATE(15,6,(ROW(tblCatControles[Módulo])-ROW(tblCatControles[[#Headers],[Módulo]]))/((tblCatControles[Módulo]="LIMPIEZA CANALETAS")*(tblCatControles[Activo]="Sí")),3)),"")="","",MID(IFERROR(INDEX(tblCatControles[Ítem],_xlfn.AGGREGATE(15,6,(ROW(tblCatControles[Módulo])-ROW(tblCatControles[[#Headers],[Módulo]]))/((tblCatControles[Módulo]="LIMPIEZA CANALETAS")*(tblCatControles[Activo]="Sí")),3)),""),FIND("-",IFERROR(INDEX(tblCatControles[Ítem],_xlfn.AGGREGATE(15,6,(ROW(tblCatControles[Módulo])-ROW(tblCatControles[[#Headers],[Módulo]]))/((tblCatControles[Módulo]="LIMPIEZA CANALETAS")*(tblCatControles[Activo]="Sí")),3)),""))+1,20))</f>
        <v>H2</v>
      </c>
      <c r="D11" s="1080" t="str" cm="1">
        <f t="array" ref="D11">IFERROR(LEFT(IFERROR(INDEX(tblCatControles[Ubicación / detalle],_xlfn.AGGREGATE(15,6,(ROW(tblCatControles[Módulo])-ROW(tblCatControles[[#Headers],[Módulo]]))/((tblCatControles[Módulo]="LIMPIEZA CANALETAS")*(tblCatControles[Activo]="Sí")),3))&amp;"",""),FIND(" · ",IFERROR(INDEX(tblCatControles[Ubicación / detalle],_xlfn.AGGREGATE(15,6,(ROW(tblCatControles[Módulo])-ROW(tblCatControles[[#Headers],[Módulo]]))/((tblCatControles[Módulo]="LIMPIEZA CANALETAS")*(tblCatControles[Activo]="Sí")),3))&amp;"",""))-1),"")</f>
        <v>Horizontal</v>
      </c>
      <c r="E11" s="1081" t="str" cm="1">
        <f t="array" ref="E11">IFERROR(MID(IFERROR(INDEX(tblCatControles[Ubicación / detalle],_xlfn.AGGREGATE(15,6,(ROW(tblCatControles[Módulo])-ROW(tblCatControles[[#Headers],[Módulo]]))/((tblCatControles[Módulo]="LIMPIEZA CANALETAS")*(tblCatControles[Activo]="Sí")),3))&amp;"",""),FIND(" · ",IFERROR(INDEX(tblCatControles[Ubicación / detalle],_xlfn.AGGREGATE(15,6,(ROW(tblCatControles[Módulo])-ROW(tblCatControles[[#Headers],[Módulo]]))/((tblCatControles[Módulo]="LIMPIEZA CANALETAS")*(tblCatControles[Activo]="Sí")),3))&amp;"",""))+3,60),"")</f>
        <v>213-233 / 032-203</v>
      </c>
      <c r="F11" s="1082"/>
      <c r="G11" s="1082"/>
      <c r="H11" s="1082"/>
      <c r="I11" s="1082"/>
      <c r="J11" s="1082"/>
      <c r="K11" s="1082"/>
      <c r="L11" s="1082"/>
      <c r="M11" s="1083"/>
      <c r="N11" s="1083"/>
    </row>
    <row r="12" spans="1:14">
      <c r="A12" s="1033"/>
      <c r="B12" s="1080" t="str" cm="1">
        <f t="array" ref="B12">IF(IFERROR(INDEX(tblCatControles[Ítem],_xlfn.AGGREGATE(15,6,(ROW(tblCatControles[Módulo])-ROW(tblCatControles[[#Headers],[Módulo]]))/((tblCatControles[Módulo]="LIMPIEZA CANALETAS")*(tblCatControles[Activo]="Sí")),4)),"")="","",LEFT(IFERROR(INDEX(tblCatControles[Ítem],_xlfn.AGGREGATE(15,6,(ROW(tblCatControles[Módulo])-ROW(tblCatControles[[#Headers],[Módulo]]))/((tblCatControles[Módulo]="LIMPIEZA CANALETAS")*(tblCatControles[Activo]="Sí")),4)),""),FIND("-",IFERROR(INDEX(tblCatControles[Ítem],_xlfn.AGGREGATE(15,6,(ROW(tblCatControles[Módulo])-ROW(tblCatControles[[#Headers],[Módulo]]))/((tblCatControles[Módulo]="LIMPIEZA CANALETAS")*(tblCatControles[Activo]="Sí")),4)),""))-1))</f>
        <v>P2</v>
      </c>
      <c r="C12" s="1080" t="str" cm="1">
        <f t="array" ref="C12">IF(IFERROR(INDEX(tblCatControles[Ítem],_xlfn.AGGREGATE(15,6,(ROW(tblCatControles[Módulo])-ROW(tblCatControles[[#Headers],[Módulo]]))/((tblCatControles[Módulo]="LIMPIEZA CANALETAS")*(tblCatControles[Activo]="Sí")),4)),"")="","",MID(IFERROR(INDEX(tblCatControles[Ítem],_xlfn.AGGREGATE(15,6,(ROW(tblCatControles[Módulo])-ROW(tblCatControles[[#Headers],[Módulo]]))/((tblCatControles[Módulo]="LIMPIEZA CANALETAS")*(tblCatControles[Activo]="Sí")),4)),""),FIND("-",IFERROR(INDEX(tblCatControles[Ítem],_xlfn.AGGREGATE(15,6,(ROW(tblCatControles[Módulo])-ROW(tblCatControles[[#Headers],[Módulo]]))/((tblCatControles[Módulo]="LIMPIEZA CANALETAS")*(tblCatControles[Activo]="Sí")),4)),""))+1,20))</f>
        <v>H3</v>
      </c>
      <c r="D12" s="1080" t="str" cm="1">
        <f t="array" ref="D12">IFERROR(LEFT(IFERROR(INDEX(tblCatControles[Ubicación / detalle],_xlfn.AGGREGATE(15,6,(ROW(tblCatControles[Módulo])-ROW(tblCatControles[[#Headers],[Módulo]]))/((tblCatControles[Módulo]="LIMPIEZA CANALETAS")*(tblCatControles[Activo]="Sí")),4))&amp;"",""),FIND(" · ",IFERROR(INDEX(tblCatControles[Ubicación / detalle],_xlfn.AGGREGATE(15,6,(ROW(tblCatControles[Módulo])-ROW(tblCatControles[[#Headers],[Módulo]]))/((tblCatControles[Módulo]="LIMPIEZA CANALETAS")*(tblCatControles[Activo]="Sí")),4))&amp;"",""))-1),"")</f>
        <v>Horizontal</v>
      </c>
      <c r="E12" s="1081" t="str" cm="1">
        <f t="array" ref="E12">IFERROR(MID(IFERROR(INDEX(tblCatControles[Ubicación / detalle],_xlfn.AGGREGATE(15,6,(ROW(tblCatControles[Módulo])-ROW(tblCatControles[[#Headers],[Módulo]]))/((tblCatControles[Módulo]="LIMPIEZA CANALETAS")*(tblCatControles[Activo]="Sí")),4))&amp;"",""),FIND(" · ",IFERROR(INDEX(tblCatControles[Ubicación / detalle],_xlfn.AGGREGATE(15,6,(ROW(tblCatControles[Módulo])-ROW(tblCatControles[[#Headers],[Módulo]]))/((tblCatControles[Módulo]="LIMPIEZA CANALETAS")*(tblCatControles[Activo]="Sí")),4))&amp;"",""))+3,60),"")</f>
        <v>213-104 / 032-204</v>
      </c>
      <c r="F12" s="1082"/>
      <c r="G12" s="1082"/>
      <c r="H12" s="1082"/>
      <c r="I12" s="1082"/>
      <c r="J12" s="1082"/>
      <c r="K12" s="1082"/>
      <c r="L12" s="1082"/>
      <c r="M12" s="1083"/>
      <c r="N12" s="1083"/>
    </row>
    <row r="13" spans="1:14">
      <c r="A13" s="1033"/>
      <c r="B13" s="1080" t="str" cm="1">
        <f t="array" ref="B13">IF(IFERROR(INDEX(tblCatControles[Ítem],_xlfn.AGGREGATE(15,6,(ROW(tblCatControles[Módulo])-ROW(tblCatControles[[#Headers],[Módulo]]))/((tblCatControles[Módulo]="LIMPIEZA CANALETAS")*(tblCatControles[Activo]="Sí")),5)),"")="","",LEFT(IFERROR(INDEX(tblCatControles[Ítem],_xlfn.AGGREGATE(15,6,(ROW(tblCatControles[Módulo])-ROW(tblCatControles[[#Headers],[Módulo]]))/((tblCatControles[Módulo]="LIMPIEZA CANALETAS")*(tblCatControles[Activo]="Sí")),5)),""),FIND("-",IFERROR(INDEX(tblCatControles[Ítem],_xlfn.AGGREGATE(15,6,(ROW(tblCatControles[Módulo])-ROW(tblCatControles[[#Headers],[Módulo]]))/((tblCatControles[Módulo]="LIMPIEZA CANALETAS")*(tblCatControles[Activo]="Sí")),5)),""))-1))</f>
        <v>P2</v>
      </c>
      <c r="C13" s="1080" t="str" cm="1">
        <f t="array" ref="C13">IF(IFERROR(INDEX(tblCatControles[Ítem],_xlfn.AGGREGATE(15,6,(ROW(tblCatControles[Módulo])-ROW(tblCatControles[[#Headers],[Módulo]]))/((tblCatControles[Módulo]="LIMPIEZA CANALETAS")*(tblCatControles[Activo]="Sí")),5)),"")="","",MID(IFERROR(INDEX(tblCatControles[Ítem],_xlfn.AGGREGATE(15,6,(ROW(tblCatControles[Módulo])-ROW(tblCatControles[[#Headers],[Módulo]]))/((tblCatControles[Módulo]="LIMPIEZA CANALETAS")*(tblCatControles[Activo]="Sí")),5)),""),FIND("-",IFERROR(INDEX(tblCatControles[Ítem],_xlfn.AGGREGATE(15,6,(ROW(tblCatControles[Módulo])-ROW(tblCatControles[[#Headers],[Módulo]]))/((tblCatControles[Módulo]="LIMPIEZA CANALETAS")*(tblCatControles[Activo]="Sí")),5)),""))+1,20))</f>
        <v>H4</v>
      </c>
      <c r="D13" s="1080" t="str" cm="1">
        <f t="array" ref="D13">IFERROR(LEFT(IFERROR(INDEX(tblCatControles[Ubicación / detalle],_xlfn.AGGREGATE(15,6,(ROW(tblCatControles[Módulo])-ROW(tblCatControles[[#Headers],[Módulo]]))/((tblCatControles[Módulo]="LIMPIEZA CANALETAS")*(tblCatControles[Activo]="Sí")),5))&amp;"",""),FIND(" · ",IFERROR(INDEX(tblCatControles[Ubicación / detalle],_xlfn.AGGREGATE(15,6,(ROW(tblCatControles[Módulo])-ROW(tblCatControles[[#Headers],[Módulo]]))/((tblCatControles[Módulo]="LIMPIEZA CANALETAS")*(tblCatControles[Activo]="Sí")),5))&amp;"",""))-1),"")</f>
        <v>Horizontal</v>
      </c>
      <c r="E13" s="1081" t="str" cm="1">
        <f t="array" ref="E13">IFERROR(MID(IFERROR(INDEX(tblCatControles[Ubicación / detalle],_xlfn.AGGREGATE(15,6,(ROW(tblCatControles[Módulo])-ROW(tblCatControles[[#Headers],[Módulo]]))/((tblCatControles[Módulo]="LIMPIEZA CANALETAS")*(tblCatControles[Activo]="Sí")),5))&amp;"",""),FIND(" · ",IFERROR(INDEX(tblCatControles[Ubicación / detalle],_xlfn.AGGREGATE(15,6,(ROW(tblCatControles[Módulo])-ROW(tblCatControles[[#Headers],[Módulo]]))/((tblCatControles[Módulo]="LIMPIEZA CANALETAS")*(tblCatControles[Activo]="Sí")),5))&amp;"",""))+3,60),"")</f>
        <v>213-311 / 032-205</v>
      </c>
      <c r="F13" s="1082"/>
      <c r="G13" s="1082"/>
      <c r="H13" s="1082"/>
      <c r="I13" s="1082"/>
      <c r="J13" s="1082"/>
      <c r="K13" s="1082"/>
      <c r="L13" s="1082"/>
      <c r="M13" s="1083"/>
      <c r="N13" s="1083"/>
    </row>
    <row r="14" spans="1:14">
      <c r="A14" s="1033"/>
      <c r="B14" s="1080" t="str" cm="1">
        <f t="array" ref="B14">IF(IFERROR(INDEX(tblCatControles[Ítem],_xlfn.AGGREGATE(15,6,(ROW(tblCatControles[Módulo])-ROW(tblCatControles[[#Headers],[Módulo]]))/((tblCatControles[Módulo]="LIMPIEZA CANALETAS")*(tblCatControles[Activo]="Sí")),6)),"")="","",LEFT(IFERROR(INDEX(tblCatControles[Ítem],_xlfn.AGGREGATE(15,6,(ROW(tblCatControles[Módulo])-ROW(tblCatControles[[#Headers],[Módulo]]))/((tblCatControles[Módulo]="LIMPIEZA CANALETAS")*(tblCatControles[Activo]="Sí")),6)),""),FIND("-",IFERROR(INDEX(tblCatControles[Ítem],_xlfn.AGGREGATE(15,6,(ROW(tblCatControles[Módulo])-ROW(tblCatControles[[#Headers],[Módulo]]))/((tblCatControles[Módulo]="LIMPIEZA CANALETAS")*(tblCatControles[Activo]="Sí")),6)),""))-1))</f>
        <v>P2</v>
      </c>
      <c r="C14" s="1080" t="str" cm="1">
        <f t="array" ref="C14">IF(IFERROR(INDEX(tblCatControles[Ítem],_xlfn.AGGREGATE(15,6,(ROW(tblCatControles[Módulo])-ROW(tblCatControles[[#Headers],[Módulo]]))/((tblCatControles[Módulo]="LIMPIEZA CANALETAS")*(tblCatControles[Activo]="Sí")),6)),"")="","",MID(IFERROR(INDEX(tblCatControles[Ítem],_xlfn.AGGREGATE(15,6,(ROW(tblCatControles[Módulo])-ROW(tblCatControles[[#Headers],[Módulo]]))/((tblCatControles[Módulo]="LIMPIEZA CANALETAS")*(tblCatControles[Activo]="Sí")),6)),""),FIND("-",IFERROR(INDEX(tblCatControles[Ítem],_xlfn.AGGREGATE(15,6,(ROW(tblCatControles[Módulo])-ROW(tblCatControles[[#Headers],[Módulo]]))/((tblCatControles[Módulo]="LIMPIEZA CANALETAS")*(tblCatControles[Activo]="Sí")),6)),""))+1,20))</f>
        <v>H5</v>
      </c>
      <c r="D14" s="1080" t="str" cm="1">
        <f t="array" ref="D14">IFERROR(LEFT(IFERROR(INDEX(tblCatControles[Ubicación / detalle],_xlfn.AGGREGATE(15,6,(ROW(tblCatControles[Módulo])-ROW(tblCatControles[[#Headers],[Módulo]]))/((tblCatControles[Módulo]="LIMPIEZA CANALETAS")*(tblCatControles[Activo]="Sí")),6))&amp;"",""),FIND(" · ",IFERROR(INDEX(tblCatControles[Ubicación / detalle],_xlfn.AGGREGATE(15,6,(ROW(tblCatControles[Módulo])-ROW(tblCatControles[[#Headers],[Módulo]]))/((tblCatControles[Módulo]="LIMPIEZA CANALETAS")*(tblCatControles[Activo]="Sí")),6))&amp;"",""))-1),"")</f>
        <v>Horizontal</v>
      </c>
      <c r="E14" s="1081" t="str" cm="1">
        <f t="array" ref="E14">IFERROR(MID(IFERROR(INDEX(tblCatControles[Ubicación / detalle],_xlfn.AGGREGATE(15,6,(ROW(tblCatControles[Módulo])-ROW(tblCatControles[[#Headers],[Módulo]]))/((tblCatControles[Módulo]="LIMPIEZA CANALETAS")*(tblCatControles[Activo]="Sí")),6))&amp;"",""),FIND(" · ",IFERROR(INDEX(tblCatControles[Ubicación / detalle],_xlfn.AGGREGATE(15,6,(ROW(tblCatControles[Módulo])-ROW(tblCatControles[[#Headers],[Módulo]]))/((tblCatControles[Módulo]="LIMPIEZA CANALETAS")*(tblCatControles[Activo]="Sí")),6))&amp;"",""))+3,60),"")</f>
        <v>032-206</v>
      </c>
      <c r="F14" s="1082"/>
      <c r="G14" s="1082"/>
      <c r="H14" s="1082"/>
      <c r="I14" s="1082"/>
      <c r="J14" s="1082"/>
      <c r="K14" s="1082"/>
      <c r="L14" s="1082"/>
      <c r="M14" s="1083"/>
      <c r="N14" s="1083"/>
    </row>
    <row r="15" spans="1:14">
      <c r="A15" s="1033"/>
      <c r="B15" s="1080" t="str" cm="1">
        <f t="array" ref="B15">IF(IFERROR(INDEX(tblCatControles[Ítem],_xlfn.AGGREGATE(15,6,(ROW(tblCatControles[Módulo])-ROW(tblCatControles[[#Headers],[Módulo]]))/((tblCatControles[Módulo]="LIMPIEZA CANALETAS")*(tblCatControles[Activo]="Sí")),7)),"")="","",LEFT(IFERROR(INDEX(tblCatControles[Ítem],_xlfn.AGGREGATE(15,6,(ROW(tblCatControles[Módulo])-ROW(tblCatControles[[#Headers],[Módulo]]))/((tblCatControles[Módulo]="LIMPIEZA CANALETAS")*(tblCatControles[Activo]="Sí")),7)),""),FIND("-",IFERROR(INDEX(tblCatControles[Ítem],_xlfn.AGGREGATE(15,6,(ROW(tblCatControles[Módulo])-ROW(tblCatControles[[#Headers],[Módulo]]))/((tblCatControles[Módulo]="LIMPIEZA CANALETAS")*(tblCatControles[Activo]="Sí")),7)),""))-1))</f>
        <v>P2</v>
      </c>
      <c r="C15" s="1080" t="str" cm="1">
        <f t="array" ref="C15">IF(IFERROR(INDEX(tblCatControles[Ítem],_xlfn.AGGREGATE(15,6,(ROW(tblCatControles[Módulo])-ROW(tblCatControles[[#Headers],[Módulo]]))/((tblCatControles[Módulo]="LIMPIEZA CANALETAS")*(tblCatControles[Activo]="Sí")),7)),"")="","",MID(IFERROR(INDEX(tblCatControles[Ítem],_xlfn.AGGREGATE(15,6,(ROW(tblCatControles[Módulo])-ROW(tblCatControles[[#Headers],[Módulo]]))/((tblCatControles[Módulo]="LIMPIEZA CANALETAS")*(tblCatControles[Activo]="Sí")),7)),""),FIND("-",IFERROR(INDEX(tblCatControles[Ítem],_xlfn.AGGREGATE(15,6,(ROW(tblCatControles[Módulo])-ROW(tblCatControles[[#Headers],[Módulo]]))/((tblCatControles[Módulo]="LIMPIEZA CANALETAS")*(tblCatControles[Activo]="Sí")),7)),""))+1,20))</f>
        <v>H6</v>
      </c>
      <c r="D15" s="1080" t="str" cm="1">
        <f t="array" ref="D15">IFERROR(LEFT(IFERROR(INDEX(tblCatControles[Ubicación / detalle],_xlfn.AGGREGATE(15,6,(ROW(tblCatControles[Módulo])-ROW(tblCatControles[[#Headers],[Módulo]]))/((tblCatControles[Módulo]="LIMPIEZA CANALETAS")*(tblCatControles[Activo]="Sí")),7))&amp;"",""),FIND(" · ",IFERROR(INDEX(tblCatControles[Ubicación / detalle],_xlfn.AGGREGATE(15,6,(ROW(tblCatControles[Módulo])-ROW(tblCatControles[[#Headers],[Módulo]]))/((tblCatControles[Módulo]="LIMPIEZA CANALETAS")*(tblCatControles[Activo]="Sí")),7))&amp;"",""))-1),"")</f>
        <v>Horizontal</v>
      </c>
      <c r="E15" s="1081" t="str" cm="1">
        <f t="array" ref="E15">IFERROR(MID(IFERROR(INDEX(tblCatControles[Ubicación / detalle],_xlfn.AGGREGATE(15,6,(ROW(tblCatControles[Módulo])-ROW(tblCatControles[[#Headers],[Módulo]]))/((tblCatControles[Módulo]="LIMPIEZA CANALETAS")*(tblCatControles[Activo]="Sí")),7))&amp;"",""),FIND(" · ",IFERROR(INDEX(tblCatControles[Ubicación / detalle],_xlfn.AGGREGATE(15,6,(ROW(tblCatControles[Módulo])-ROW(tblCatControles[[#Headers],[Módulo]]))/((tblCatControles[Módulo]="LIMPIEZA CANALETAS")*(tblCatControles[Activo]="Sí")),7))&amp;"",""))+3,60),"")</f>
        <v>032-207</v>
      </c>
      <c r="F15" s="1082"/>
      <c r="G15" s="1082"/>
      <c r="H15" s="1082"/>
      <c r="I15" s="1082"/>
      <c r="J15" s="1082"/>
      <c r="K15" s="1082"/>
      <c r="L15" s="1082"/>
      <c r="M15" s="1083"/>
      <c r="N15" s="1083"/>
    </row>
    <row r="16" spans="1:14">
      <c r="A16" s="1033"/>
      <c r="B16" s="1080" t="str" cm="1">
        <f t="array" ref="B16">IF(IFERROR(INDEX(tblCatControles[Ítem],_xlfn.AGGREGATE(15,6,(ROW(tblCatControles[Módulo])-ROW(tblCatControles[[#Headers],[Módulo]]))/((tblCatControles[Módulo]="LIMPIEZA CANALETAS")*(tblCatControles[Activo]="Sí")),8)),"")="","",LEFT(IFERROR(INDEX(tblCatControles[Ítem],_xlfn.AGGREGATE(15,6,(ROW(tblCatControles[Módulo])-ROW(tblCatControles[[#Headers],[Módulo]]))/((tblCatControles[Módulo]="LIMPIEZA CANALETAS")*(tblCatControles[Activo]="Sí")),8)),""),FIND("-",IFERROR(INDEX(tblCatControles[Ítem],_xlfn.AGGREGATE(15,6,(ROW(tblCatControles[Módulo])-ROW(tblCatControles[[#Headers],[Módulo]]))/((tblCatControles[Módulo]="LIMPIEZA CANALETAS")*(tblCatControles[Activo]="Sí")),8)),""))-1))</f>
        <v>P2</v>
      </c>
      <c r="C16" s="1080" t="str" cm="1">
        <f t="array" ref="C16">IF(IFERROR(INDEX(tblCatControles[Ítem],_xlfn.AGGREGATE(15,6,(ROW(tblCatControles[Módulo])-ROW(tblCatControles[[#Headers],[Módulo]]))/((tblCatControles[Módulo]="LIMPIEZA CANALETAS")*(tblCatControles[Activo]="Sí")),8)),"")="","",MID(IFERROR(INDEX(tblCatControles[Ítem],_xlfn.AGGREGATE(15,6,(ROW(tblCatControles[Módulo])-ROW(tblCatControles[[#Headers],[Módulo]]))/((tblCatControles[Módulo]="LIMPIEZA CANALETAS")*(tblCatControles[Activo]="Sí")),8)),""),FIND("-",IFERROR(INDEX(tblCatControles[Ítem],_xlfn.AGGREGATE(15,6,(ROW(tblCatControles[Módulo])-ROW(tblCatControles[[#Headers],[Módulo]]))/((tblCatControles[Módulo]="LIMPIEZA CANALETAS")*(tblCatControles[Activo]="Sí")),8)),""))+1,20))</f>
        <v>H7</v>
      </c>
      <c r="D16" s="1080" t="str" cm="1">
        <f t="array" ref="D16">IFERROR(LEFT(IFERROR(INDEX(tblCatControles[Ubicación / detalle],_xlfn.AGGREGATE(15,6,(ROW(tblCatControles[Módulo])-ROW(tblCatControles[[#Headers],[Módulo]]))/((tblCatControles[Módulo]="LIMPIEZA CANALETAS")*(tblCatControles[Activo]="Sí")),8))&amp;"",""),FIND(" · ",IFERROR(INDEX(tblCatControles[Ubicación / detalle],_xlfn.AGGREGATE(15,6,(ROW(tblCatControles[Módulo])-ROW(tblCatControles[[#Headers],[Módulo]]))/((tblCatControles[Módulo]="LIMPIEZA CANALETAS")*(tblCatControles[Activo]="Sí")),8))&amp;"",""))-1),"")</f>
        <v>Horizontal</v>
      </c>
      <c r="E16" s="1081" t="str" cm="1">
        <f t="array" ref="E16">IFERROR(MID(IFERROR(INDEX(tblCatControles[Ubicación / detalle],_xlfn.AGGREGATE(15,6,(ROW(tblCatControles[Módulo])-ROW(tblCatControles[[#Headers],[Módulo]]))/((tblCatControles[Módulo]="LIMPIEZA CANALETAS")*(tblCatControles[Activo]="Sí")),8))&amp;"",""),FIND(" · ",IFERROR(INDEX(tblCatControles[Ubicación / detalle],_xlfn.AGGREGATE(15,6,(ROW(tblCatControles[Módulo])-ROW(tblCatControles[[#Headers],[Módulo]]))/((tblCatControles[Módulo]="LIMPIEZA CANALETAS")*(tblCatControles[Activo]="Sí")),8))&amp;"",""))+3,60),"")</f>
        <v>032-208</v>
      </c>
      <c r="F16" s="1082"/>
      <c r="G16" s="1082"/>
      <c r="H16" s="1082"/>
      <c r="I16" s="1082"/>
      <c r="J16" s="1082"/>
      <c r="K16" s="1082"/>
      <c r="L16" s="1082"/>
      <c r="M16" s="1083"/>
      <c r="N16" s="1083"/>
    </row>
    <row r="17" spans="1:48">
      <c r="A17" s="1033"/>
      <c r="B17" s="1080" t="str" cm="1">
        <f t="array" ref="B17">IF(IFERROR(INDEX(tblCatControles[Ítem],_xlfn.AGGREGATE(15,6,(ROW(tblCatControles[Módulo])-ROW(tblCatControles[[#Headers],[Módulo]]))/((tblCatControles[Módulo]="LIMPIEZA CANALETAS")*(tblCatControles[Activo]="Sí")),9)),"")="","",LEFT(IFERROR(INDEX(tblCatControles[Ítem],_xlfn.AGGREGATE(15,6,(ROW(tblCatControles[Módulo])-ROW(tblCatControles[[#Headers],[Módulo]]))/((tblCatControles[Módulo]="LIMPIEZA CANALETAS")*(tblCatControles[Activo]="Sí")),9)),""),FIND("-",IFERROR(INDEX(tblCatControles[Ítem],_xlfn.AGGREGATE(15,6,(ROW(tblCatControles[Módulo])-ROW(tblCatControles[[#Headers],[Módulo]]))/((tblCatControles[Módulo]="LIMPIEZA CANALETAS")*(tblCatControles[Activo]="Sí")),9)),""))-1))</f>
        <v>P2</v>
      </c>
      <c r="C17" s="1080" t="str" cm="1">
        <f t="array" ref="C17">IF(IFERROR(INDEX(tblCatControles[Ítem],_xlfn.AGGREGATE(15,6,(ROW(tblCatControles[Módulo])-ROW(tblCatControles[[#Headers],[Módulo]]))/((tblCatControles[Módulo]="LIMPIEZA CANALETAS")*(tblCatControles[Activo]="Sí")),9)),"")="","",MID(IFERROR(INDEX(tblCatControles[Ítem],_xlfn.AGGREGATE(15,6,(ROW(tblCatControles[Módulo])-ROW(tblCatControles[[#Headers],[Módulo]]))/((tblCatControles[Módulo]="LIMPIEZA CANALETAS")*(tblCatControles[Activo]="Sí")),9)),""),FIND("-",IFERROR(INDEX(tblCatControles[Ítem],_xlfn.AGGREGATE(15,6,(ROW(tblCatControles[Módulo])-ROW(tblCatControles[[#Headers],[Módulo]]))/((tblCatControles[Módulo]="LIMPIEZA CANALETAS")*(tblCatControles[Activo]="Sí")),9)),""))+1,20))</f>
        <v>H8</v>
      </c>
      <c r="D17" s="1080" t="str" cm="1">
        <f t="array" ref="D17">IFERROR(LEFT(IFERROR(INDEX(tblCatControles[Ubicación / detalle],_xlfn.AGGREGATE(15,6,(ROW(tblCatControles[Módulo])-ROW(tblCatControles[[#Headers],[Módulo]]))/((tblCatControles[Módulo]="LIMPIEZA CANALETAS")*(tblCatControles[Activo]="Sí")),9))&amp;"",""),FIND(" · ",IFERROR(INDEX(tblCatControles[Ubicación / detalle],_xlfn.AGGREGATE(15,6,(ROW(tblCatControles[Módulo])-ROW(tblCatControles[[#Headers],[Módulo]]))/((tblCatControles[Módulo]="LIMPIEZA CANALETAS")*(tblCatControles[Activo]="Sí")),9))&amp;"",""))-1),"")</f>
        <v>Horizontal</v>
      </c>
      <c r="E17" s="1081" t="str" cm="1">
        <f t="array" ref="E17">IFERROR(MID(IFERROR(INDEX(tblCatControles[Ubicación / detalle],_xlfn.AGGREGATE(15,6,(ROW(tblCatControles[Módulo])-ROW(tblCatControles[[#Headers],[Módulo]]))/((tblCatControles[Módulo]="LIMPIEZA CANALETAS")*(tblCatControles[Activo]="Sí")),9))&amp;"",""),FIND(" · ",IFERROR(INDEX(tblCatControles[Ubicación / detalle],_xlfn.AGGREGATE(15,6,(ROW(tblCatControles[Módulo])-ROW(tblCatControles[[#Headers],[Módulo]]))/((tblCatControles[Módulo]="LIMPIEZA CANALETAS")*(tblCatControles[Activo]="Sí")),9))&amp;"",""))+3,60),"")</f>
        <v>032-209-210</v>
      </c>
      <c r="F17" s="1082"/>
      <c r="G17" s="1082"/>
      <c r="H17" s="1082"/>
      <c r="I17" s="1082"/>
      <c r="J17" s="1082"/>
      <c r="K17" s="1082"/>
      <c r="L17" s="1082"/>
      <c r="M17" s="1083"/>
      <c r="N17" s="1083"/>
    </row>
    <row r="18" spans="1:48">
      <c r="A18" s="1033"/>
      <c r="B18" s="1080" t="str" cm="1">
        <f t="array" ref="B18">IF(IFERROR(INDEX(tblCatControles[Ítem],_xlfn.AGGREGATE(15,6,(ROW(tblCatControles[Módulo])-ROW(tblCatControles[[#Headers],[Módulo]]))/((tblCatControles[Módulo]="LIMPIEZA CANALETAS")*(tblCatControles[Activo]="Sí")),10)),"")="","",LEFT(IFERROR(INDEX(tblCatControles[Ítem],_xlfn.AGGREGATE(15,6,(ROW(tblCatControles[Módulo])-ROW(tblCatControles[[#Headers],[Módulo]]))/((tblCatControles[Módulo]="LIMPIEZA CANALETAS")*(tblCatControles[Activo]="Sí")),10)),""),FIND("-",IFERROR(INDEX(tblCatControles[Ítem],_xlfn.AGGREGATE(15,6,(ROW(tblCatControles[Módulo])-ROW(tblCatControles[[#Headers],[Módulo]]))/((tblCatControles[Módulo]="LIMPIEZA CANALETAS")*(tblCatControles[Activo]="Sí")),10)),""))-1))</f>
        <v>P2</v>
      </c>
      <c r="C18" s="1080" t="str" cm="1">
        <f t="array" ref="C18">IF(IFERROR(INDEX(tblCatControles[Ítem],_xlfn.AGGREGATE(15,6,(ROW(tblCatControles[Módulo])-ROW(tblCatControles[[#Headers],[Módulo]]))/((tblCatControles[Módulo]="LIMPIEZA CANALETAS")*(tblCatControles[Activo]="Sí")),10)),"")="","",MID(IFERROR(INDEX(tblCatControles[Ítem],_xlfn.AGGREGATE(15,6,(ROW(tblCatControles[Módulo])-ROW(tblCatControles[[#Headers],[Módulo]]))/((tblCatControles[Módulo]="LIMPIEZA CANALETAS")*(tblCatControles[Activo]="Sí")),10)),""),FIND("-",IFERROR(INDEX(tblCatControles[Ítem],_xlfn.AGGREGATE(15,6,(ROW(tblCatControles[Módulo])-ROW(tblCatControles[[#Headers],[Módulo]]))/((tblCatControles[Módulo]="LIMPIEZA CANALETAS")*(tblCatControles[Activo]="Sí")),10)),""))+1,20))</f>
        <v>T2</v>
      </c>
      <c r="D18" s="1080" t="str" cm="1">
        <f t="array" ref="D18">IFERROR(LEFT(IFERROR(INDEX(tblCatControles[Ubicación / detalle],_xlfn.AGGREGATE(15,6,(ROW(tblCatControles[Módulo])-ROW(tblCatControles[[#Headers],[Módulo]]))/((tblCatControles[Módulo]="LIMPIEZA CANALETAS")*(tblCatControles[Activo]="Sí")),10))&amp;"",""),FIND(" · ",IFERROR(INDEX(tblCatControles[Ubicación / detalle],_xlfn.AGGREGATE(15,6,(ROW(tblCatControles[Módulo])-ROW(tblCatControles[[#Headers],[Módulo]]))/((tblCatControles[Módulo]="LIMPIEZA CANALETAS")*(tblCatControles[Activo]="Sí")),10))&amp;"",""))-1),"")</f>
        <v>Transversal</v>
      </c>
      <c r="E18" s="1081" t="str" cm="1">
        <f t="array" ref="E18">IFERROR(MID(IFERROR(INDEX(tblCatControles[Ubicación / detalle],_xlfn.AGGREGATE(15,6,(ROW(tblCatControles[Módulo])-ROW(tblCatControles[[#Headers],[Módulo]]))/((tblCatControles[Módulo]="LIMPIEZA CANALETAS")*(tblCatControles[Activo]="Sí")),10))&amp;"",""),FIND(" · ",IFERROR(INDEX(tblCatControles[Ubicación / detalle],_xlfn.AGGREGATE(15,6,(ROW(tblCatControles[Módulo])-ROW(tblCatControles[[#Headers],[Módulo]]))/((tblCatControles[Módulo]="LIMPIEZA CANALETAS")*(tblCatControles[Activo]="Sí")),10))&amp;"",""))+3,60),"")</f>
        <v>Colector BM</v>
      </c>
      <c r="F18" s="1082"/>
      <c r="G18" s="1082"/>
      <c r="H18" s="1082"/>
      <c r="I18" s="1082"/>
      <c r="J18" s="1082"/>
      <c r="K18" s="1082"/>
      <c r="L18" s="1082"/>
      <c r="M18" s="1083"/>
      <c r="N18" s="1083"/>
    </row>
    <row r="19" spans="1:48">
      <c r="A19" s="1033"/>
      <c r="B19" s="1080" t="str" cm="1">
        <f t="array" ref="B19">IF(IFERROR(INDEX(tblCatControles[Ítem],_xlfn.AGGREGATE(15,6,(ROW(tblCatControles[Módulo])-ROW(tblCatControles[[#Headers],[Módulo]]))/((tblCatControles[Módulo]="LIMPIEZA CANALETAS")*(tblCatControles[Activo]="Sí")),11)),"")="","",LEFT(IFERROR(INDEX(tblCatControles[Ítem],_xlfn.AGGREGATE(15,6,(ROW(tblCatControles[Módulo])-ROW(tblCatControles[[#Headers],[Módulo]]))/((tblCatControles[Módulo]="LIMPIEZA CANALETAS")*(tblCatControles[Activo]="Sí")),11)),""),FIND("-",IFERROR(INDEX(tblCatControles[Ítem],_xlfn.AGGREGATE(15,6,(ROW(tblCatControles[Módulo])-ROW(tblCatControles[[#Headers],[Módulo]]))/((tblCatControles[Módulo]="LIMPIEZA CANALETAS")*(tblCatControles[Activo]="Sí")),11)),""))-1))</f>
        <v>P2</v>
      </c>
      <c r="C19" s="1080" t="str" cm="1">
        <f t="array" ref="C19">IF(IFERROR(INDEX(tblCatControles[Ítem],_xlfn.AGGREGATE(15,6,(ROW(tblCatControles[Módulo])-ROW(tblCatControles[[#Headers],[Módulo]]))/((tblCatControles[Módulo]="LIMPIEZA CANALETAS")*(tblCatControles[Activo]="Sí")),11)),"")="","",MID(IFERROR(INDEX(tblCatControles[Ítem],_xlfn.AGGREGATE(15,6,(ROW(tblCatControles[Módulo])-ROW(tblCatControles[[#Headers],[Módulo]]))/((tblCatControles[Módulo]="LIMPIEZA CANALETAS")*(tblCatControles[Activo]="Sí")),11)),""),FIND("-",IFERROR(INDEX(tblCatControles[Ítem],_xlfn.AGGREGATE(15,6,(ROW(tblCatControles[Módulo])-ROW(tblCatControles[[#Headers],[Módulo]]))/((tblCatControles[Módulo]="LIMPIEZA CANALETAS")*(tblCatControles[Activo]="Sí")),11)),""))+1,20))</f>
        <v>T3</v>
      </c>
      <c r="D19" s="1080" t="str" cm="1">
        <f t="array" ref="D19">IFERROR(LEFT(IFERROR(INDEX(tblCatControles[Ubicación / detalle],_xlfn.AGGREGATE(15,6,(ROW(tblCatControles[Módulo])-ROW(tblCatControles[[#Headers],[Módulo]]))/((tblCatControles[Módulo]="LIMPIEZA CANALETAS")*(tblCatControles[Activo]="Sí")),11))&amp;"",""),FIND(" · ",IFERROR(INDEX(tblCatControles[Ubicación / detalle],_xlfn.AGGREGATE(15,6,(ROW(tblCatControles[Módulo])-ROW(tblCatControles[[#Headers],[Módulo]]))/((tblCatControles[Módulo]="LIMPIEZA CANALETAS")*(tblCatControles[Activo]="Sí")),11))&amp;"",""))-1),"")</f>
        <v>Transversal</v>
      </c>
      <c r="E19" s="1081" t="str" cm="1">
        <f t="array" ref="E19">IFERROR(MID(IFERROR(INDEX(tblCatControles[Ubicación / detalle],_xlfn.AGGREGATE(15,6,(ROW(tblCatControles[Módulo])-ROW(tblCatControles[[#Headers],[Módulo]]))/((tblCatControles[Módulo]="LIMPIEZA CANALETAS")*(tblCatControles[Activo]="Sí")),11))&amp;"",""),FIND(" · ",IFERROR(INDEX(tblCatControles[Ubicación / detalle],_xlfn.AGGREGATE(15,6,(ROW(tblCatControles[Módulo])-ROW(tblCatControles[[#Headers],[Módulo]]))/((tblCatControles[Módulo]="LIMPIEZA CANALETAS")*(tblCatControles[Activo]="Sí")),11))&amp;"",""))+3,60),"")</f>
        <v>Transferencia BM</v>
      </c>
      <c r="F19" s="1082"/>
      <c r="G19" s="1082"/>
      <c r="H19" s="1082"/>
      <c r="I19" s="1082"/>
      <c r="J19" s="1082"/>
      <c r="K19" s="1082"/>
      <c r="L19" s="1082"/>
      <c r="M19" s="1083"/>
      <c r="N19" s="1083"/>
    </row>
    <row r="20" spans="1:48">
      <c r="A20" s="1033"/>
      <c r="B20" s="1080" t="str" cm="1">
        <f t="array" ref="B20">IF(IFERROR(INDEX(tblCatControles[Ítem],_xlfn.AGGREGATE(15,6,(ROW(tblCatControles[Módulo])-ROW(tblCatControles[[#Headers],[Módulo]]))/((tblCatControles[Módulo]="LIMPIEZA CANALETAS")*(tblCatControles[Activo]="Sí")),12)),"")="","",LEFT(IFERROR(INDEX(tblCatControles[Ítem],_xlfn.AGGREGATE(15,6,(ROW(tblCatControles[Módulo])-ROW(tblCatControles[[#Headers],[Módulo]]))/((tblCatControles[Módulo]="LIMPIEZA CANALETAS")*(tblCatControles[Activo]="Sí")),12)),""),FIND("-",IFERROR(INDEX(tblCatControles[Ítem],_xlfn.AGGREGATE(15,6,(ROW(tblCatControles[Módulo])-ROW(tblCatControles[[#Headers],[Módulo]]))/((tblCatControles[Módulo]="LIMPIEZA CANALETAS")*(tblCatControles[Activo]="Sí")),12)),""))-1))</f>
        <v>P2</v>
      </c>
      <c r="C20" s="1080" t="str" cm="1">
        <f t="array" ref="C20">IF(IFERROR(INDEX(tblCatControles[Ítem],_xlfn.AGGREGATE(15,6,(ROW(tblCatControles[Módulo])-ROW(tblCatControles[[#Headers],[Módulo]]))/((tblCatControles[Módulo]="LIMPIEZA CANALETAS")*(tblCatControles[Activo]="Sí")),12)),"")="","",MID(IFERROR(INDEX(tblCatControles[Ítem],_xlfn.AGGREGATE(15,6,(ROW(tblCatControles[Módulo])-ROW(tblCatControles[[#Headers],[Módulo]]))/((tblCatControles[Módulo]="LIMPIEZA CANALETAS")*(tblCatControles[Activo]="Sí")),12)),""),FIND("-",IFERROR(INDEX(tblCatControles[Ítem],_xlfn.AGGREGATE(15,6,(ROW(tblCatControles[Módulo])-ROW(tblCatControles[[#Headers],[Módulo]]))/((tblCatControles[Módulo]="LIMPIEZA CANALETAS")*(tblCatControles[Activo]="Sí")),12)),""))+1,20))</f>
        <v>T4</v>
      </c>
      <c r="D20" s="1080" t="str" cm="1">
        <f t="array" ref="D20">IFERROR(LEFT(IFERROR(INDEX(tblCatControles[Ubicación / detalle],_xlfn.AGGREGATE(15,6,(ROW(tblCatControles[Módulo])-ROW(tblCatControles[[#Headers],[Módulo]]))/((tblCatControles[Módulo]="LIMPIEZA CANALETAS")*(tblCatControles[Activo]="Sí")),12))&amp;"",""),FIND(" · ",IFERROR(INDEX(tblCatControles[Ubicación / detalle],_xlfn.AGGREGATE(15,6,(ROW(tblCatControles[Módulo])-ROW(tblCatControles[[#Headers],[Módulo]]))/((tblCatControles[Módulo]="LIMPIEZA CANALETAS")*(tblCatControles[Activo]="Sí")),12))&amp;"",""))-1),"")</f>
        <v>Transversal</v>
      </c>
      <c r="E20" s="1081" t="str" cm="1">
        <f t="array" ref="E20">IFERROR(MID(IFERROR(INDEX(tblCatControles[Ubicación / detalle],_xlfn.AGGREGATE(15,6,(ROW(tblCatControles[Módulo])-ROW(tblCatControles[[#Headers],[Módulo]]))/((tblCatControles[Módulo]="LIMPIEZA CANALETAS")*(tblCatControles[Activo]="Sí")),12))&amp;"",""),FIND(" · ",IFERROR(INDEX(tblCatControles[Ubicación / detalle],_xlfn.AGGREGATE(15,6,(ROW(tblCatControles[Módulo])-ROW(tblCatControles[[#Headers],[Módulo]]))/((tblCatControles[Módulo]="LIMPIEZA CANALETAS")*(tblCatControles[Activo]="Sí")),12))&amp;"",""))+3,60),"")</f>
        <v>Descarga BM</v>
      </c>
      <c r="F20" s="1082"/>
      <c r="G20" s="1082"/>
      <c r="H20" s="1082"/>
      <c r="I20" s="1082"/>
      <c r="J20" s="1082"/>
      <c r="K20" s="1082"/>
      <c r="L20" s="1082"/>
      <c r="M20" s="1083"/>
      <c r="N20" s="1083"/>
    </row>
    <row r="21" spans="1:48">
      <c r="A21" s="1033"/>
      <c r="B21" s="1080" t="str" cm="1">
        <f t="array" ref="B21">IF(IFERROR(INDEX(tblCatControles[Ítem],_xlfn.AGGREGATE(15,6,(ROW(tblCatControles[Módulo])-ROW(tblCatControles[[#Headers],[Módulo]]))/((tblCatControles[Módulo]="LIMPIEZA CANALETAS")*(tblCatControles[Activo]="Sí")),13)),"")="","",LEFT(IFERROR(INDEX(tblCatControles[Ítem],_xlfn.AGGREGATE(15,6,(ROW(tblCatControles[Módulo])-ROW(tblCatControles[[#Headers],[Módulo]]))/((tblCatControles[Módulo]="LIMPIEZA CANALETAS")*(tblCatControles[Activo]="Sí")),13)),""),FIND("-",IFERROR(INDEX(tblCatControles[Ítem],_xlfn.AGGREGATE(15,6,(ROW(tblCatControles[Módulo])-ROW(tblCatControles[[#Headers],[Módulo]]))/((tblCatControles[Módulo]="LIMPIEZA CANALETAS")*(tblCatControles[Activo]="Sí")),13)),""))-1))</f>
        <v>P2</v>
      </c>
      <c r="C21" s="1080" t="str" cm="1">
        <f t="array" ref="C21">IF(IFERROR(INDEX(tblCatControles[Ítem],_xlfn.AGGREGATE(15,6,(ROW(tblCatControles[Módulo])-ROW(tblCatControles[[#Headers],[Módulo]]))/((tblCatControles[Módulo]="LIMPIEZA CANALETAS")*(tblCatControles[Activo]="Sí")),13)),"")="","",MID(IFERROR(INDEX(tblCatControles[Ítem],_xlfn.AGGREGATE(15,6,(ROW(tblCatControles[Módulo])-ROW(tblCatControles[[#Headers],[Módulo]]))/((tblCatControles[Módulo]="LIMPIEZA CANALETAS")*(tblCatControles[Activo]="Sí")),13)),""),FIND("-",IFERROR(INDEX(tblCatControles[Ítem],_xlfn.AGGREGATE(15,6,(ROW(tblCatControles[Módulo])-ROW(tblCatControles[[#Headers],[Módulo]]))/((tblCatControles[Módulo]="LIMPIEZA CANALETAS")*(tblCatControles[Activo]="Sí")),13)),""))+1,20))</f>
        <v>T5</v>
      </c>
      <c r="D21" s="1080" t="str" cm="1">
        <f t="array" ref="D21">IFERROR(LEFT(IFERROR(INDEX(tblCatControles[Ubicación / detalle],_xlfn.AGGREGATE(15,6,(ROW(tblCatControles[Módulo])-ROW(tblCatControles[[#Headers],[Módulo]]))/((tblCatControles[Módulo]="LIMPIEZA CANALETAS")*(tblCatControles[Activo]="Sí")),13))&amp;"",""),FIND(" · ",IFERROR(INDEX(tblCatControles[Ubicación / detalle],_xlfn.AGGREGATE(15,6,(ROW(tblCatControles[Módulo])-ROW(tblCatControles[[#Headers],[Módulo]]))/((tblCatControles[Módulo]="LIMPIEZA CANALETAS")*(tblCatControles[Activo]="Sí")),13))&amp;"",""))-1),"")</f>
        <v>Transversal</v>
      </c>
      <c r="E21" s="1081" t="str" cm="1">
        <f t="array" ref="E21">IFERROR(MID(IFERROR(INDEX(tblCatControles[Ubicación / detalle],_xlfn.AGGREGATE(15,6,(ROW(tblCatControles[Módulo])-ROW(tblCatControles[[#Headers],[Módulo]]))/((tblCatControles[Módulo]="LIMPIEZA CANALETAS")*(tblCatControles[Activo]="Sí")),13))&amp;"",""),FIND(" · ",IFERROR(INDEX(tblCatControles[Ubicación / detalle],_xlfn.AGGREGATE(15,6,(ROW(tblCatControles[Módulo])-ROW(tblCatControles[[#Headers],[Módulo]]))/((tblCatControles[Módulo]="LIMPIEZA CANALETAS")*(tblCatControles[Activo]="Sí")),13))&amp;"",""))+3,60),"")</f>
        <v>Canal principal</v>
      </c>
      <c r="F21" s="1082"/>
      <c r="G21" s="1082"/>
      <c r="H21" s="1082"/>
      <c r="I21" s="1082"/>
      <c r="J21" s="1082"/>
      <c r="K21" s="1082"/>
      <c r="L21" s="1082"/>
      <c r="M21" s="1083"/>
      <c r="N21" s="1083"/>
    </row>
    <row r="22" spans="1:48">
      <c r="A22" s="1033"/>
      <c r="B22" s="1080" t="str" cm="1">
        <f t="array" ref="B22">IF(IFERROR(INDEX(tblCatControles[Ítem],_xlfn.AGGREGATE(15,6,(ROW(tblCatControles[Módulo])-ROW(tblCatControles[[#Headers],[Módulo]]))/((tblCatControles[Módulo]="LIMPIEZA CANALETAS")*(tblCatControles[Activo]="Sí")),14)),"")="","",LEFT(IFERROR(INDEX(tblCatControles[Ítem],_xlfn.AGGREGATE(15,6,(ROW(tblCatControles[Módulo])-ROW(tblCatControles[[#Headers],[Módulo]]))/((tblCatControles[Módulo]="LIMPIEZA CANALETAS")*(tblCatControles[Activo]="Sí")),14)),""),FIND("-",IFERROR(INDEX(tblCatControles[Ítem],_xlfn.AGGREGATE(15,6,(ROW(tblCatControles[Módulo])-ROW(tblCatControles[[#Headers],[Módulo]]))/((tblCatControles[Módulo]="LIMPIEZA CANALETAS")*(tblCatControles[Activo]="Sí")),14)),""))-1))</f>
        <v>P3</v>
      </c>
      <c r="C22" s="1080" t="str" cm="1">
        <f t="array" ref="C22">IF(IFERROR(INDEX(tblCatControles[Ítem],_xlfn.AGGREGATE(15,6,(ROW(tblCatControles[Módulo])-ROW(tblCatControles[[#Headers],[Módulo]]))/((tblCatControles[Módulo]="LIMPIEZA CANALETAS")*(tblCatControles[Activo]="Sí")),14)),"")="","",MID(IFERROR(INDEX(tblCatControles[Ítem],_xlfn.AGGREGATE(15,6,(ROW(tblCatControles[Módulo])-ROW(tblCatControles[[#Headers],[Módulo]]))/((tblCatControles[Módulo]="LIMPIEZA CANALETAS")*(tblCatControles[Activo]="Sí")),14)),""),FIND("-",IFERROR(INDEX(tblCatControles[Ítem],_xlfn.AGGREGATE(15,6,(ROW(tblCatControles[Módulo])-ROW(tblCatControles[[#Headers],[Módulo]]))/((tblCatControles[Módulo]="LIMPIEZA CANALETAS")*(tblCatControles[Activo]="Sí")),14)),""))+1,20))</f>
        <v>T6</v>
      </c>
      <c r="D22" s="1080" t="str" cm="1">
        <f t="array" ref="D22">IFERROR(LEFT(IFERROR(INDEX(tblCatControles[Ubicación / detalle],_xlfn.AGGREGATE(15,6,(ROW(tblCatControles[Módulo])-ROW(tblCatControles[[#Headers],[Módulo]]))/((tblCatControles[Módulo]="LIMPIEZA CANALETAS")*(tblCatControles[Activo]="Sí")),14))&amp;"",""),FIND(" · ",IFERROR(INDEX(tblCatControles[Ubicación / detalle],_xlfn.AGGREGATE(15,6,(ROW(tblCatControles[Módulo])-ROW(tblCatControles[[#Headers],[Módulo]]))/((tblCatControles[Módulo]="LIMPIEZA CANALETAS")*(tblCatControles[Activo]="Sí")),14))&amp;"",""))-1),"")</f>
        <v>Transversal</v>
      </c>
      <c r="E22" s="1081" t="str" cm="1">
        <f t="array" ref="E22">IFERROR(MID(IFERROR(INDEX(tblCatControles[Ubicación / detalle],_xlfn.AGGREGATE(15,6,(ROW(tblCatControles[Módulo])-ROW(tblCatControles[[#Headers],[Módulo]]))/((tblCatControles[Módulo]="LIMPIEZA CANALETAS")*(tblCatControles[Activo]="Sí")),14))&amp;"",""),FIND(" · ",IFERROR(INDEX(tblCatControles[Ubicación / detalle],_xlfn.AGGREGATE(15,6,(ROW(tblCatControles[Módulo])-ROW(tblCatControles[[#Headers],[Módulo]]))/((tblCatControles[Módulo]="LIMPIEZA CANALETAS")*(tblCatControles[Activo]="Sí")),14))&amp;"",""))+3,60),"")</f>
        <v>213-800 / 231</v>
      </c>
      <c r="F22" s="1082"/>
      <c r="G22" s="1082"/>
      <c r="H22" s="1082"/>
      <c r="I22" s="1082"/>
      <c r="J22" s="1082"/>
      <c r="K22" s="1082"/>
      <c r="L22" s="1082"/>
      <c r="M22" s="1083"/>
      <c r="N22" s="1083"/>
    </row>
    <row r="23" spans="1:48">
      <c r="A23" s="1033"/>
      <c r="B23" s="1080" t="str" cm="1">
        <f t="array" ref="B23">IF(IFERROR(INDEX(tblCatControles[Ítem],_xlfn.AGGREGATE(15,6,(ROW(tblCatControles[Módulo])-ROW(tblCatControles[[#Headers],[Módulo]]))/((tblCatControles[Módulo]="LIMPIEZA CANALETAS")*(tblCatControles[Activo]="Sí")),15)),"")="","",LEFT(IFERROR(INDEX(tblCatControles[Ítem],_xlfn.AGGREGATE(15,6,(ROW(tblCatControles[Módulo])-ROW(tblCatControles[[#Headers],[Módulo]]))/((tblCatControles[Módulo]="LIMPIEZA CANALETAS")*(tblCatControles[Activo]="Sí")),15)),""),FIND("-",IFERROR(INDEX(tblCatControles[Ítem],_xlfn.AGGREGATE(15,6,(ROW(tblCatControles[Módulo])-ROW(tblCatControles[[#Headers],[Módulo]]))/((tblCatControles[Módulo]="LIMPIEZA CANALETAS")*(tblCatControles[Activo]="Sí")),15)),""))-1))</f>
        <v>P3</v>
      </c>
      <c r="C23" s="1080" t="str" cm="1">
        <f t="array" ref="C23">IF(IFERROR(INDEX(tblCatControles[Ítem],_xlfn.AGGREGATE(15,6,(ROW(tblCatControles[Módulo])-ROW(tblCatControles[[#Headers],[Módulo]]))/((tblCatControles[Módulo]="LIMPIEZA CANALETAS")*(tblCatControles[Activo]="Sí")),15)),"")="","",MID(IFERROR(INDEX(tblCatControles[Ítem],_xlfn.AGGREGATE(15,6,(ROW(tblCatControles[Módulo])-ROW(tblCatControles[[#Headers],[Módulo]]))/((tblCatControles[Módulo]="LIMPIEZA CANALETAS")*(tblCatControles[Activo]="Sí")),15)),""),FIND("-",IFERROR(INDEX(tblCatControles[Ítem],_xlfn.AGGREGATE(15,6,(ROW(tblCatControles[Módulo])-ROW(tblCatControles[[#Headers],[Módulo]]))/((tblCatControles[Módulo]="LIMPIEZA CANALETAS")*(tblCatControles[Activo]="Sí")),15)),""))+1,20))</f>
        <v>T7</v>
      </c>
      <c r="D23" s="1080" t="str" cm="1">
        <f t="array" ref="D23">IFERROR(LEFT(IFERROR(INDEX(tblCatControles[Ubicación / detalle],_xlfn.AGGREGATE(15,6,(ROW(tblCatControles[Módulo])-ROW(tblCatControles[[#Headers],[Módulo]]))/((tblCatControles[Módulo]="LIMPIEZA CANALETAS")*(tblCatControles[Activo]="Sí")),15))&amp;"",""),FIND(" · ",IFERROR(INDEX(tblCatControles[Ubicación / detalle],_xlfn.AGGREGATE(15,6,(ROW(tblCatControles[Módulo])-ROW(tblCatControles[[#Headers],[Módulo]]))/((tblCatControles[Módulo]="LIMPIEZA CANALETAS")*(tblCatControles[Activo]="Sí")),15))&amp;"",""))-1),"")</f>
        <v>Transversal</v>
      </c>
      <c r="E23" s="1081" t="str" cm="1">
        <f t="array" ref="E23">IFERROR(MID(IFERROR(INDEX(tblCatControles[Ubicación / detalle],_xlfn.AGGREGATE(15,6,(ROW(tblCatControles[Módulo])-ROW(tblCatControles[[#Headers],[Módulo]]))/((tblCatControles[Módulo]="LIMPIEZA CANALETAS")*(tblCatControles[Activo]="Sí")),15))&amp;"",""),FIND(" · ",IFERROR(INDEX(tblCatControles[Ubicación / detalle],_xlfn.AGGREGATE(15,6,(ROW(tblCatControles[Módulo])-ROW(tblCatControles[[#Headers],[Módulo]]))/((tblCatControles[Módulo]="LIMPIEZA CANALETAS")*(tblCatControles[Activo]="Sí")),15))&amp;"",""))+3,60),"")</f>
        <v>213-653 / 654</v>
      </c>
      <c r="F23" s="1082"/>
      <c r="G23" s="1082"/>
      <c r="H23" s="1082"/>
      <c r="I23" s="1082"/>
      <c r="J23" s="1082"/>
      <c r="K23" s="1082"/>
      <c r="L23" s="1082"/>
      <c r="M23" s="1083"/>
      <c r="N23" s="1083"/>
    </row>
    <row r="24" spans="1:48">
      <c r="A24" s="1033"/>
      <c r="B24" s="1080" t="str" cm="1">
        <f t="array" ref="B24">IF(IFERROR(INDEX(tblCatControles[Ítem],_xlfn.AGGREGATE(15,6,(ROW(tblCatControles[Módulo])-ROW(tblCatControles[[#Headers],[Módulo]]))/((tblCatControles[Módulo]="LIMPIEZA CANALETAS")*(tblCatControles[Activo]="Sí")),16)),"")="","",LEFT(IFERROR(INDEX(tblCatControles[Ítem],_xlfn.AGGREGATE(15,6,(ROW(tblCatControles[Módulo])-ROW(tblCatControles[[#Headers],[Módulo]]))/((tblCatControles[Módulo]="LIMPIEZA CANALETAS")*(tblCatControles[Activo]="Sí")),16)),""),FIND("-",IFERROR(INDEX(tblCatControles[Ítem],_xlfn.AGGREGATE(15,6,(ROW(tblCatControles[Módulo])-ROW(tblCatControles[[#Headers],[Módulo]]))/((tblCatControles[Módulo]="LIMPIEZA CANALETAS")*(tblCatControles[Activo]="Sí")),16)),""))-1))</f>
        <v>P3</v>
      </c>
      <c r="C24" s="1080" t="str" cm="1">
        <f t="array" ref="C24">IF(IFERROR(INDEX(tblCatControles[Ítem],_xlfn.AGGREGATE(15,6,(ROW(tblCatControles[Módulo])-ROW(tblCatControles[[#Headers],[Módulo]]))/((tblCatControles[Módulo]="LIMPIEZA CANALETAS")*(tblCatControles[Activo]="Sí")),16)),"")="","",MID(IFERROR(INDEX(tblCatControles[Ítem],_xlfn.AGGREGATE(15,6,(ROW(tblCatControles[Módulo])-ROW(tblCatControles[[#Headers],[Módulo]]))/((tblCatControles[Módulo]="LIMPIEZA CANALETAS")*(tblCatControles[Activo]="Sí")),16)),""),FIND("-",IFERROR(INDEX(tblCatControles[Ítem],_xlfn.AGGREGATE(15,6,(ROW(tblCatControles[Módulo])-ROW(tblCatControles[[#Headers],[Módulo]]))/((tblCatControles[Módulo]="LIMPIEZA CANALETAS")*(tblCatControles[Activo]="Sí")),16)),""))+1,20))</f>
        <v>T8</v>
      </c>
      <c r="D24" s="1080" t="str" cm="1">
        <f t="array" ref="D24">IFERROR(LEFT(IFERROR(INDEX(tblCatControles[Ubicación / detalle],_xlfn.AGGREGATE(15,6,(ROW(tblCatControles[Módulo])-ROW(tblCatControles[[#Headers],[Módulo]]))/((tblCatControles[Módulo]="LIMPIEZA CANALETAS")*(tblCatControles[Activo]="Sí")),16))&amp;"",""),FIND(" · ",IFERROR(INDEX(tblCatControles[Ubicación / detalle],_xlfn.AGGREGATE(15,6,(ROW(tblCatControles[Módulo])-ROW(tblCatControles[[#Headers],[Módulo]]))/((tblCatControles[Módulo]="LIMPIEZA CANALETAS")*(tblCatControles[Activo]="Sí")),16))&amp;"",""))-1),"")</f>
        <v>Transversal</v>
      </c>
      <c r="E24" s="1081" t="str" cm="1">
        <f t="array" ref="E24">IFERROR(MID(IFERROR(INDEX(tblCatControles[Ubicación / detalle],_xlfn.AGGREGATE(15,6,(ROW(tblCatControles[Módulo])-ROW(tblCatControles[[#Headers],[Módulo]]))/((tblCatControles[Módulo]="LIMPIEZA CANALETAS")*(tblCatControles[Activo]="Sí")),16))&amp;"",""),FIND(" · ",IFERROR(INDEX(tblCatControles[Ubicación / detalle],_xlfn.AGGREGATE(15,6,(ROW(tblCatControles[Módulo])-ROW(tblCatControles[[#Headers],[Módulo]]))/((tblCatControles[Módulo]="LIMPIEZA CANALETAS")*(tblCatControles[Activo]="Sí")),16))&amp;"",""))+3,60),"")</f>
        <v>213-477-480</v>
      </c>
      <c r="F24" s="1082"/>
      <c r="G24" s="1082"/>
      <c r="H24" s="1082"/>
      <c r="I24" s="1082"/>
      <c r="J24" s="1082"/>
      <c r="K24" s="1082"/>
      <c r="L24" s="1082"/>
      <c r="M24" s="1083"/>
      <c r="N24" s="1083"/>
    </row>
    <row r="25" spans="1:48">
      <c r="A25" s="1033"/>
      <c r="B25" s="1080" t="str" cm="1">
        <f t="array" ref="B25">IF(IFERROR(INDEX(tblCatControles[Ítem],_xlfn.AGGREGATE(15,6,(ROW(tblCatControles[Módulo])-ROW(tblCatControles[[#Headers],[Módulo]]))/((tblCatControles[Módulo]="LIMPIEZA CANALETAS")*(tblCatControles[Activo]="Sí")),17)),"")="","",LEFT(IFERROR(INDEX(tblCatControles[Ítem],_xlfn.AGGREGATE(15,6,(ROW(tblCatControles[Módulo])-ROW(tblCatControles[[#Headers],[Módulo]]))/((tblCatControles[Módulo]="LIMPIEZA CANALETAS")*(tblCatControles[Activo]="Sí")),17)),""),FIND("-",IFERROR(INDEX(tblCatControles[Ítem],_xlfn.AGGREGATE(15,6,(ROW(tblCatControles[Módulo])-ROW(tblCatControles[[#Headers],[Módulo]]))/((tblCatControles[Módulo]="LIMPIEZA CANALETAS")*(tblCatControles[Activo]="Sí")),17)),""))-1))</f>
        <v>P3</v>
      </c>
      <c r="C25" s="1080" t="str" cm="1">
        <f t="array" ref="C25">IF(IFERROR(INDEX(tblCatControles[Ítem],_xlfn.AGGREGATE(15,6,(ROW(tblCatControles[Módulo])-ROW(tblCatControles[[#Headers],[Módulo]]))/((tblCatControles[Módulo]="LIMPIEZA CANALETAS")*(tblCatControles[Activo]="Sí")),17)),"")="","",MID(IFERROR(INDEX(tblCatControles[Ítem],_xlfn.AGGREGATE(15,6,(ROW(tblCatControles[Módulo])-ROW(tblCatControles[[#Headers],[Módulo]]))/((tblCatControles[Módulo]="LIMPIEZA CANALETAS")*(tblCatControles[Activo]="Sí")),17)),""),FIND("-",IFERROR(INDEX(tblCatControles[Ítem],_xlfn.AGGREGATE(15,6,(ROW(tblCatControles[Módulo])-ROW(tblCatControles[[#Headers],[Módulo]]))/((tblCatControles[Módulo]="LIMPIEZA CANALETAS")*(tblCatControles[Activo]="Sí")),17)),""))+1,20))</f>
        <v>H9</v>
      </c>
      <c r="D25" s="1080" t="str" cm="1">
        <f t="array" ref="D25">IFERROR(LEFT(IFERROR(INDEX(tblCatControles[Ubicación / detalle],_xlfn.AGGREGATE(15,6,(ROW(tblCatControles[Módulo])-ROW(tblCatControles[[#Headers],[Módulo]]))/((tblCatControles[Módulo]="LIMPIEZA CANALETAS")*(tblCatControles[Activo]="Sí")),17))&amp;"",""),FIND(" · ",IFERROR(INDEX(tblCatControles[Ubicación / detalle],_xlfn.AGGREGATE(15,6,(ROW(tblCatControles[Módulo])-ROW(tblCatControles[[#Headers],[Módulo]]))/((tblCatControles[Módulo]="LIMPIEZA CANALETAS")*(tblCatControles[Activo]="Sí")),17))&amp;"",""))-1),"")</f>
        <v>Horizontal</v>
      </c>
      <c r="E25" s="1081" t="str" cm="1">
        <f t="array" ref="E25">IFERROR(MID(IFERROR(INDEX(tblCatControles[Ubicación / detalle],_xlfn.AGGREGATE(15,6,(ROW(tblCatControles[Módulo])-ROW(tblCatControles[[#Headers],[Módulo]]))/((tblCatControles[Módulo]="LIMPIEZA CANALETAS")*(tblCatControles[Activo]="Sí")),17))&amp;"",""),FIND(" · ",IFERROR(INDEX(tblCatControles[Ubicación / detalle],_xlfn.AGGREGATE(15,6,(ROW(tblCatControles[Módulo])-ROW(tblCatControles[[#Headers],[Módulo]]))/((tblCatControles[Módulo]="LIMPIEZA CANALETAS")*(tblCatControles[Activo]="Sí")),17))&amp;"",""))+3,60),"")</f>
        <v>213-243 / 242</v>
      </c>
      <c r="F25" s="1082"/>
      <c r="G25" s="1082"/>
      <c r="H25" s="1082"/>
      <c r="I25" s="1082"/>
      <c r="J25" s="1082"/>
      <c r="K25" s="1082"/>
      <c r="L25" s="1082"/>
      <c r="M25" s="1083"/>
      <c r="N25" s="1083"/>
    </row>
    <row r="26" spans="1:48">
      <c r="A26" s="1033"/>
      <c r="B26" s="1080" t="str" cm="1">
        <f t="array" ref="B26">IF(IFERROR(INDEX(tblCatControles[Ítem],_xlfn.AGGREGATE(15,6,(ROW(tblCatControles[Módulo])-ROW(tblCatControles[[#Headers],[Módulo]]))/((tblCatControles[Módulo]="LIMPIEZA CANALETAS")*(tblCatControles[Activo]="Sí")),18)),"")="","",LEFT(IFERROR(INDEX(tblCatControles[Ítem],_xlfn.AGGREGATE(15,6,(ROW(tblCatControles[Módulo])-ROW(tblCatControles[[#Headers],[Módulo]]))/((tblCatControles[Módulo]="LIMPIEZA CANALETAS")*(tblCatControles[Activo]="Sí")),18)),""),FIND("-",IFERROR(INDEX(tblCatControles[Ítem],_xlfn.AGGREGATE(15,6,(ROW(tblCatControles[Módulo])-ROW(tblCatControles[[#Headers],[Módulo]]))/((tblCatControles[Módulo]="LIMPIEZA CANALETAS")*(tblCatControles[Activo]="Sí")),18)),""))-1))</f>
        <v>P3</v>
      </c>
      <c r="C26" s="1080" t="str" cm="1">
        <f t="array" ref="C26">IF(IFERROR(INDEX(tblCatControles[Ítem],_xlfn.AGGREGATE(15,6,(ROW(tblCatControles[Módulo])-ROW(tblCatControles[[#Headers],[Módulo]]))/((tblCatControles[Módulo]="LIMPIEZA CANALETAS")*(tblCatControles[Activo]="Sí")),18)),"")="","",MID(IFERROR(INDEX(tblCatControles[Ítem],_xlfn.AGGREGATE(15,6,(ROW(tblCatControles[Módulo])-ROW(tblCatControles[[#Headers],[Módulo]]))/((tblCatControles[Módulo]="LIMPIEZA CANALETAS")*(tblCatControles[Activo]="Sí")),18)),""),FIND("-",IFERROR(INDEX(tblCatControles[Ítem],_xlfn.AGGREGATE(15,6,(ROW(tblCatControles[Módulo])-ROW(tblCatControles[[#Headers],[Módulo]]))/((tblCatControles[Módulo]="LIMPIEZA CANALETAS")*(tblCatControles[Activo]="Sí")),18)),""))+1,20))</f>
        <v>CANAL C</v>
      </c>
      <c r="D26" s="1080" t="str" cm="1">
        <f t="array" ref="D26">IFERROR(LEFT(IFERROR(INDEX(tblCatControles[Ubicación / detalle],_xlfn.AGGREGATE(15,6,(ROW(tblCatControles[Módulo])-ROW(tblCatControles[[#Headers],[Módulo]]))/((tblCatControles[Módulo]="LIMPIEZA CANALETAS")*(tblCatControles[Activo]="Sí")),18))&amp;"",""),FIND(" · ",IFERROR(INDEX(tblCatControles[Ubicación / detalle],_xlfn.AGGREGATE(15,6,(ROW(tblCatControles[Módulo])-ROW(tblCatControles[[#Headers],[Módulo]]))/((tblCatControles[Módulo]="LIMPIEZA CANALETAS")*(tblCatControles[Activo]="Sí")),18))&amp;"",""))-1),"")</f>
        <v>Transversal</v>
      </c>
      <c r="E26" s="1081" t="str" cm="1">
        <f t="array" ref="E26">IFERROR(MID(IFERROR(INDEX(tblCatControles[Ubicación / detalle],_xlfn.AGGREGATE(15,6,(ROW(tblCatControles[Módulo])-ROW(tblCatControles[[#Headers],[Módulo]]))/((tblCatControles[Módulo]="LIMPIEZA CANALETAS")*(tblCatControles[Activo]="Sí")),18))&amp;"",""),FIND(" · ",IFERROR(INDEX(tblCatControles[Ubicación / detalle],_xlfn.AGGREGATE(15,6,(ROW(tblCatControles[Módulo])-ROW(tblCatControles[[#Headers],[Módulo]]))/((tblCatControles[Módulo]="LIMPIEZA CANALETAS")*(tblCatControles[Activo]="Sí")),18))&amp;"",""))+3,60),"")</f>
        <v>Canal general</v>
      </c>
      <c r="F26" s="1082"/>
      <c r="G26" s="1082"/>
      <c r="H26" s="1082"/>
      <c r="I26" s="1082"/>
      <c r="J26" s="1082"/>
      <c r="K26" s="1082"/>
      <c r="L26" s="1082"/>
      <c r="M26" s="1083"/>
      <c r="N26" s="1083"/>
    </row>
    <row r="27" spans="1:48">
      <c r="A27" s="1033"/>
      <c r="B27" s="1080" t="str" cm="1">
        <f t="array" ref="B27">IF(IFERROR(INDEX(tblCatControles[Ítem],_xlfn.AGGREGATE(15,6,(ROW(tblCatControles[Módulo])-ROW(tblCatControles[[#Headers],[Módulo]]))/((tblCatControles[Módulo]="LIMPIEZA CANALETAS")*(tblCatControles[Activo]="Sí")),19)),"")="","",LEFT(IFERROR(INDEX(tblCatControles[Ítem],_xlfn.AGGREGATE(15,6,(ROW(tblCatControles[Módulo])-ROW(tblCatControles[[#Headers],[Módulo]]))/((tblCatControles[Módulo]="LIMPIEZA CANALETAS")*(tblCatControles[Activo]="Sí")),19)),""),FIND("-",IFERROR(INDEX(tblCatControles[Ítem],_xlfn.AGGREGATE(15,6,(ROW(tblCatControles[Módulo])-ROW(tblCatControles[[#Headers],[Módulo]]))/((tblCatControles[Módulo]="LIMPIEZA CANALETAS")*(tblCatControles[Activo]="Sí")),19)),""))-1))</f>
        <v>P3</v>
      </c>
      <c r="C27" s="1080" t="str" cm="1">
        <f t="array" ref="C27">IF(IFERROR(INDEX(tblCatControles[Ítem],_xlfn.AGGREGATE(15,6,(ROW(tblCatControles[Módulo])-ROW(tblCatControles[[#Headers],[Módulo]]))/((tblCatControles[Módulo]="LIMPIEZA CANALETAS")*(tblCatControles[Activo]="Sí")),19)),"")="","",MID(IFERROR(INDEX(tblCatControles[Ítem],_xlfn.AGGREGATE(15,6,(ROW(tblCatControles[Módulo])-ROW(tblCatControles[[#Headers],[Módulo]]))/((tblCatControles[Módulo]="LIMPIEZA CANALETAS")*(tblCatControles[Activo]="Sí")),19)),""),FIND("-",IFERROR(INDEX(tblCatControles[Ítem],_xlfn.AGGREGATE(15,6,(ROW(tblCatControles[Módulo])-ROW(tblCatControles[[#Headers],[Módulo]]))/((tblCatControles[Módulo]="LIMPIEZA CANALETAS")*(tblCatControles[Activo]="Sí")),19)),""))+1,20))</f>
        <v>T9</v>
      </c>
      <c r="D27" s="1080" t="str" cm="1">
        <f t="array" ref="D27">IFERROR(LEFT(IFERROR(INDEX(tblCatControles[Ubicación / detalle],_xlfn.AGGREGATE(15,6,(ROW(tblCatControles[Módulo])-ROW(tblCatControles[[#Headers],[Módulo]]))/((tblCatControles[Módulo]="LIMPIEZA CANALETAS")*(tblCatControles[Activo]="Sí")),19))&amp;"",""),FIND(" · ",IFERROR(INDEX(tblCatControles[Ubicación / detalle],_xlfn.AGGREGATE(15,6,(ROW(tblCatControles[Módulo])-ROW(tblCatControles[[#Headers],[Módulo]]))/((tblCatControles[Módulo]="LIMPIEZA CANALETAS")*(tblCatControles[Activo]="Sí")),19))&amp;"",""))-1),"")</f>
        <v>Transversal</v>
      </c>
      <c r="E27" s="1081" t="str" cm="1">
        <f t="array" ref="E27">IFERROR(MID(IFERROR(INDEX(tblCatControles[Ubicación / detalle],_xlfn.AGGREGATE(15,6,(ROW(tblCatControles[Módulo])-ROW(tblCatControles[[#Headers],[Módulo]]))/((tblCatControles[Módulo]="LIMPIEZA CANALETAS")*(tblCatControles[Activo]="Sí")),19))&amp;"",""),FIND(" · ",IFERROR(INDEX(tblCatControles[Ubicación / detalle],_xlfn.AGGREGATE(15,6,(ROW(tblCatControles[Módulo])-ROW(tblCatControles[[#Headers],[Módulo]]))/((tblCatControles[Módulo]="LIMPIEZA CANALETAS")*(tblCatControles[Activo]="Sí")),19))&amp;"",""))+3,60),"")</f>
        <v>213-818 / 817</v>
      </c>
      <c r="F27" s="1082"/>
      <c r="G27" s="1082"/>
      <c r="H27" s="1082"/>
      <c r="I27" s="1082"/>
      <c r="J27" s="1082"/>
      <c r="K27" s="1082"/>
      <c r="L27" s="1082"/>
      <c r="M27" s="1083"/>
      <c r="N27" s="1083"/>
    </row>
    <row r="28" spans="1:48">
      <c r="A28" s="1033"/>
      <c r="B28" s="1080" t="str" cm="1">
        <f t="array" ref="B28">IF(IFERROR(INDEX(tblCatControles[Ítem],_xlfn.AGGREGATE(15,6,(ROW(tblCatControles[Módulo])-ROW(tblCatControles[[#Headers],[Módulo]]))/((tblCatControles[Módulo]="LIMPIEZA CANALETAS")*(tblCatControles[Activo]="Sí")),20)),"")="","",LEFT(IFERROR(INDEX(tblCatControles[Ítem],_xlfn.AGGREGATE(15,6,(ROW(tblCatControles[Módulo])-ROW(tblCatControles[[#Headers],[Módulo]]))/((tblCatControles[Módulo]="LIMPIEZA CANALETAS")*(tblCatControles[Activo]="Sí")),20)),""),FIND("-",IFERROR(INDEX(tblCatControles[Ítem],_xlfn.AGGREGATE(15,6,(ROW(tblCatControles[Módulo])-ROW(tblCatControles[[#Headers],[Módulo]]))/((tblCatControles[Módulo]="LIMPIEZA CANALETAS")*(tblCatControles[Activo]="Sí")),20)),""))-1))</f>
        <v/>
      </c>
      <c r="C28" s="1080" t="str" cm="1">
        <f t="array" ref="C28">IF(IFERROR(INDEX(tblCatControles[Ítem],_xlfn.AGGREGATE(15,6,(ROW(tblCatControles[Módulo])-ROW(tblCatControles[[#Headers],[Módulo]]))/((tblCatControles[Módulo]="LIMPIEZA CANALETAS")*(tblCatControles[Activo]="Sí")),20)),"")="","",MID(IFERROR(INDEX(tblCatControles[Ítem],_xlfn.AGGREGATE(15,6,(ROW(tblCatControles[Módulo])-ROW(tblCatControles[[#Headers],[Módulo]]))/((tblCatControles[Módulo]="LIMPIEZA CANALETAS")*(tblCatControles[Activo]="Sí")),20)),""),FIND("-",IFERROR(INDEX(tblCatControles[Ítem],_xlfn.AGGREGATE(15,6,(ROW(tblCatControles[Módulo])-ROW(tblCatControles[[#Headers],[Módulo]]))/((tblCatControles[Módulo]="LIMPIEZA CANALETAS")*(tblCatControles[Activo]="Sí")),20)),""))+1,20))</f>
        <v/>
      </c>
      <c r="D28" s="1080" t="str" cm="1">
        <f t="array" ref="D28">IFERROR(LEFT(IFERROR(INDEX(tblCatControles[Ubicación / detalle],_xlfn.AGGREGATE(15,6,(ROW(tblCatControles[Módulo])-ROW(tblCatControles[[#Headers],[Módulo]]))/((tblCatControles[Módulo]="LIMPIEZA CANALETAS")*(tblCatControles[Activo]="Sí")),20))&amp;"",""),FIND(" · ",IFERROR(INDEX(tblCatControles[Ubicación / detalle],_xlfn.AGGREGATE(15,6,(ROW(tblCatControles[Módulo])-ROW(tblCatControles[[#Headers],[Módulo]]))/((tblCatControles[Módulo]="LIMPIEZA CANALETAS")*(tblCatControles[Activo]="Sí")),20))&amp;"",""))-1),"")</f>
        <v/>
      </c>
      <c r="E28" s="1081" t="str" cm="1">
        <f t="array" ref="E28">IFERROR(MID(IFERROR(INDEX(tblCatControles[Ubicación / detalle],_xlfn.AGGREGATE(15,6,(ROW(tblCatControles[Módulo])-ROW(tblCatControles[[#Headers],[Módulo]]))/((tblCatControles[Módulo]="LIMPIEZA CANALETAS")*(tblCatControles[Activo]="Sí")),20))&amp;"",""),FIND(" · ",IFERROR(INDEX(tblCatControles[Ubicación / detalle],_xlfn.AGGREGATE(15,6,(ROW(tblCatControles[Módulo])-ROW(tblCatControles[[#Headers],[Módulo]]))/((tblCatControles[Módulo]="LIMPIEZA CANALETAS")*(tblCatControles[Activo]="Sí")),20))&amp;"",""))+3,60),"")</f>
        <v/>
      </c>
      <c r="F28" s="1082"/>
      <c r="G28" s="1082"/>
      <c r="H28" s="1082"/>
      <c r="I28" s="1082"/>
      <c r="J28" s="1082"/>
      <c r="K28" s="1082"/>
      <c r="L28" s="1082"/>
      <c r="M28" s="1083"/>
      <c r="N28" s="1083"/>
    </row>
    <row r="29" spans="1:48">
      <c r="A29" s="1033"/>
      <c r="B29" s="1080" t="str" cm="1">
        <f t="array" ref="B29">IF(IFERROR(INDEX(tblCatControles[Ítem],_xlfn.AGGREGATE(15,6,(ROW(tblCatControles[Módulo])-ROW(tblCatControles[[#Headers],[Módulo]]))/((tblCatControles[Módulo]="LIMPIEZA CANALETAS")*(tblCatControles[Activo]="Sí")),21)),"")="","",LEFT(IFERROR(INDEX(tblCatControles[Ítem],_xlfn.AGGREGATE(15,6,(ROW(tblCatControles[Módulo])-ROW(tblCatControles[[#Headers],[Módulo]]))/((tblCatControles[Módulo]="LIMPIEZA CANALETAS")*(tblCatControles[Activo]="Sí")),21)),""),FIND("-",IFERROR(INDEX(tblCatControles[Ítem],_xlfn.AGGREGATE(15,6,(ROW(tblCatControles[Módulo])-ROW(tblCatControles[[#Headers],[Módulo]]))/((tblCatControles[Módulo]="LIMPIEZA CANALETAS")*(tblCatControles[Activo]="Sí")),21)),""))-1))</f>
        <v/>
      </c>
      <c r="C29" s="1080" t="str" cm="1">
        <f t="array" ref="C29">IF(IFERROR(INDEX(tblCatControles[Ítem],_xlfn.AGGREGATE(15,6,(ROW(tblCatControles[Módulo])-ROW(tblCatControles[[#Headers],[Módulo]]))/((tblCatControles[Módulo]="LIMPIEZA CANALETAS")*(tblCatControles[Activo]="Sí")),21)),"")="","",MID(IFERROR(INDEX(tblCatControles[Ítem],_xlfn.AGGREGATE(15,6,(ROW(tblCatControles[Módulo])-ROW(tblCatControles[[#Headers],[Módulo]]))/((tblCatControles[Módulo]="LIMPIEZA CANALETAS")*(tblCatControles[Activo]="Sí")),21)),""),FIND("-",IFERROR(INDEX(tblCatControles[Ítem],_xlfn.AGGREGATE(15,6,(ROW(tblCatControles[Módulo])-ROW(tblCatControles[[#Headers],[Módulo]]))/((tblCatControles[Módulo]="LIMPIEZA CANALETAS")*(tblCatControles[Activo]="Sí")),21)),""))+1,20))</f>
        <v/>
      </c>
      <c r="D29" s="1080" t="str" cm="1">
        <f t="array" ref="D29">IFERROR(LEFT(IFERROR(INDEX(tblCatControles[Ubicación / detalle],_xlfn.AGGREGATE(15,6,(ROW(tblCatControles[Módulo])-ROW(tblCatControles[[#Headers],[Módulo]]))/((tblCatControles[Módulo]="LIMPIEZA CANALETAS")*(tblCatControles[Activo]="Sí")),21))&amp;"",""),FIND(" · ",IFERROR(INDEX(tblCatControles[Ubicación / detalle],_xlfn.AGGREGATE(15,6,(ROW(tblCatControles[Módulo])-ROW(tblCatControles[[#Headers],[Módulo]]))/((tblCatControles[Módulo]="LIMPIEZA CANALETAS")*(tblCatControles[Activo]="Sí")),21))&amp;"",""))-1),"")</f>
        <v/>
      </c>
      <c r="E29" s="1081" t="str" cm="1">
        <f t="array" ref="E29">IFERROR(MID(IFERROR(INDEX(tblCatControles[Ubicación / detalle],_xlfn.AGGREGATE(15,6,(ROW(tblCatControles[Módulo])-ROW(tblCatControles[[#Headers],[Módulo]]))/((tblCatControles[Módulo]="LIMPIEZA CANALETAS")*(tblCatControles[Activo]="Sí")),21))&amp;"",""),FIND(" · ",IFERROR(INDEX(tblCatControles[Ubicación / detalle],_xlfn.AGGREGATE(15,6,(ROW(tblCatControles[Módulo])-ROW(tblCatControles[[#Headers],[Módulo]]))/((tblCatControles[Módulo]="LIMPIEZA CANALETAS")*(tblCatControles[Activo]="Sí")),21))&amp;"",""))+3,60),"")</f>
        <v/>
      </c>
      <c r="F29" s="1082"/>
      <c r="G29" s="1082"/>
      <c r="H29" s="1082"/>
      <c r="I29" s="1082"/>
      <c r="J29" s="1082"/>
      <c r="K29" s="1082"/>
      <c r="L29" s="1082"/>
      <c r="M29" s="1083"/>
      <c r="N29" s="1083"/>
    </row>
    <row r="30" spans="1:48" s="1096" customFormat="1">
      <c r="A30" s="1033"/>
      <c r="B30" s="1074" t="str" cm="1">
        <f t="array" ref="B30">IF(IFERROR(INDEX(tblCatControles[Ítem],_xlfn.AGGREGATE(15,6,(ROW(tblCatControles[Módulo])-ROW(tblCatControles[[#Headers],[Módulo]]))/((tblCatControles[Módulo]="LIMPIEZA CANALETAS")*(tblCatControles[Activo]="Sí")),22)),"")="","",LEFT(IFERROR(INDEX(tblCatControles[Ítem],_xlfn.AGGREGATE(15,6,(ROW(tblCatControles[Módulo])-ROW(tblCatControles[[#Headers],[Módulo]]))/((tblCatControles[Módulo]="LIMPIEZA CANALETAS")*(tblCatControles[Activo]="Sí")),22)),""),FIND("-",IFERROR(INDEX(tblCatControles[Ítem],_xlfn.AGGREGATE(15,6,(ROW(tblCatControles[Módulo])-ROW(tblCatControles[[#Headers],[Módulo]]))/((tblCatControles[Módulo]="LIMPIEZA CANALETAS")*(tblCatControles[Activo]="Sí")),22)),""))-1))</f>
        <v/>
      </c>
      <c r="C30" s="1062" t="str" cm="1">
        <f t="array" ref="C30">IF(IFERROR(INDEX(tblCatControles[Ítem],_xlfn.AGGREGATE(15,6,(ROW(tblCatControles[Módulo])-ROW(tblCatControles[[#Headers],[Módulo]]))/((tblCatControles[Módulo]="LIMPIEZA CANALETAS")*(tblCatControles[Activo]="Sí")),22)),"")="","",MID(IFERROR(INDEX(tblCatControles[Ítem],_xlfn.AGGREGATE(15,6,(ROW(tblCatControles[Módulo])-ROW(tblCatControles[[#Headers],[Módulo]]))/((tblCatControles[Módulo]="LIMPIEZA CANALETAS")*(tblCatControles[Activo]="Sí")),22)),""),FIND("-",IFERROR(INDEX(tblCatControles[Ítem],_xlfn.AGGREGATE(15,6,(ROW(tblCatControles[Módulo])-ROW(tblCatControles[[#Headers],[Módulo]]))/((tblCatControles[Módulo]="LIMPIEZA CANALETAS")*(tblCatControles[Activo]="Sí")),22)),""))+1,20))</f>
        <v/>
      </c>
      <c r="D30" s="1120" t="str" cm="1">
        <f t="array" ref="D30">IFERROR(LEFT(IFERROR(INDEX(tblCatControles[Ubicación / detalle],_xlfn.AGGREGATE(15,6,(ROW(tblCatControles[Módulo])-ROW(tblCatControles[[#Headers],[Módulo]]))/((tblCatControles[Módulo]="LIMPIEZA CANALETAS")*(tblCatControles[Activo]="Sí")),22))&amp;"",""),FIND(" · ",IFERROR(INDEX(tblCatControles[Ubicación / detalle],_xlfn.AGGREGATE(15,6,(ROW(tblCatControles[Módulo])-ROW(tblCatControles[[#Headers],[Módulo]]))/((tblCatControles[Módulo]="LIMPIEZA CANALETAS")*(tblCatControles[Activo]="Sí")),22))&amp;"",""))-1),"")</f>
        <v/>
      </c>
      <c r="E30" s="1120" t="str" cm="1">
        <f t="array" ref="E30">IFERROR(MID(IFERROR(INDEX(tblCatControles[Ubicación / detalle],_xlfn.AGGREGATE(15,6,(ROW(tblCatControles[Módulo])-ROW(tblCatControles[[#Headers],[Módulo]]))/((tblCatControles[Módulo]="LIMPIEZA CANALETAS")*(tblCatControles[Activo]="Sí")),22))&amp;"",""),FIND(" · ",IFERROR(INDEX(tblCatControles[Ubicación / detalle],_xlfn.AGGREGATE(15,6,(ROW(tblCatControles[Módulo])-ROW(tblCatControles[[#Headers],[Módulo]]))/((tblCatControles[Módulo]="LIMPIEZA CANALETAS")*(tblCatControles[Activo]="Sí")),22))&amp;"",""))+3,60),"")</f>
        <v/>
      </c>
      <c r="F30" s="1051"/>
      <c r="G30" s="1051"/>
      <c r="H30" s="1051"/>
      <c r="I30" s="1051"/>
      <c r="J30" s="1051"/>
      <c r="K30" s="1051"/>
      <c r="L30" s="1051"/>
      <c r="M30" s="1051"/>
      <c r="N30" s="1051"/>
      <c r="O30" s="1104">
        <v>0</v>
      </c>
      <c r="P30" s="1051">
        <v>0</v>
      </c>
      <c r="Q30" s="1051">
        <v>0</v>
      </c>
      <c r="R30" s="1051">
        <v>0</v>
      </c>
      <c r="S30" s="1051">
        <v>0</v>
      </c>
      <c r="T30" s="1051">
        <v>0</v>
      </c>
      <c r="U30" s="1051">
        <v>0</v>
      </c>
      <c r="V30" s="1051">
        <v>0</v>
      </c>
      <c r="W30" s="1051">
        <v>0</v>
      </c>
      <c r="X30" s="1051">
        <v>0</v>
      </c>
      <c r="Y30" s="1051">
        <v>0</v>
      </c>
      <c r="Z30" s="1075" t="str">
        <f t="shared" ref="Z30:Z39" si="0">IF(COUNT(D30,E30,F30,G30,H30,I30,J30,K30,L30)=0,"",SUM(D30,E30,F30,G30,H30,I30,J30,K30,L30))</f>
        <v/>
      </c>
      <c r="AA30" s="1114">
        <f t="shared" ref="AA30:AA39" si="1">IF(COUNT(M30,N30,O30,P30,Q30,R30,S30,T30,U30,V30,W30,X30,Y30)=0,"",SUM(M30,N30,O30,P30,Q30,R30,S30,T30,U30,V30,W30,X30,Y30))</f>
        <v>0</v>
      </c>
      <c r="AB30" s="1062" t="str" cm="1">
        <f t="array" ref="AB30">IF(B30="","",IF(SUMPRODUCT(--(D30:AA30&lt;&gt;""),--(D$9:AA$9&lt;&gt;"Total"))&gt;0,"✔",""))</f>
        <v/>
      </c>
      <c r="AC30" s="1053"/>
      <c r="AD30" s="1053"/>
      <c r="AE30" s="1053"/>
      <c r="AF30" s="1053"/>
      <c r="AG30" s="1053"/>
      <c r="AH30" s="1053"/>
      <c r="AI30" s="1053"/>
      <c r="AJ30" s="1053"/>
      <c r="AK30" s="1053"/>
      <c r="AL30" s="1053"/>
      <c r="AM30" s="1053"/>
      <c r="AN30" s="1053"/>
      <c r="AO30" s="1053"/>
      <c r="AP30" s="1053"/>
      <c r="AQ30" s="1053"/>
      <c r="AR30" s="1053"/>
      <c r="AS30" s="1053"/>
      <c r="AT30" s="1053"/>
      <c r="AU30" s="1053"/>
      <c r="AV30" s="1062" t="str">
        <f t="shared" ref="AV30:AV39" si="2">IF(B30="","",IF(COUNT(AC30:AU30)&gt;0,"✔",""))</f>
        <v/>
      </c>
    </row>
    <row r="31" spans="1:48" s="1096" customFormat="1">
      <c r="A31" s="1033"/>
      <c r="B31" s="1074" t="str" cm="1">
        <f t="array" ref="B31">IF(IFERROR(INDEX(tblCatControles[Ítem],_xlfn.AGGREGATE(15,6,(ROW(tblCatControles[Módulo])-ROW(tblCatControles[[#Headers],[Módulo]]))/((tblCatControles[Módulo]="LIMPIEZA CANALETAS")*(tblCatControles[Activo]="Sí")),23)),"")="","",LEFT(IFERROR(INDEX(tblCatControles[Ítem],_xlfn.AGGREGATE(15,6,(ROW(tblCatControles[Módulo])-ROW(tblCatControles[[#Headers],[Módulo]]))/((tblCatControles[Módulo]="LIMPIEZA CANALETAS")*(tblCatControles[Activo]="Sí")),23)),""),FIND("-",IFERROR(INDEX(tblCatControles[Ítem],_xlfn.AGGREGATE(15,6,(ROW(tblCatControles[Módulo])-ROW(tblCatControles[[#Headers],[Módulo]]))/((tblCatControles[Módulo]="LIMPIEZA CANALETAS")*(tblCatControles[Activo]="Sí")),23)),""))-1))</f>
        <v/>
      </c>
      <c r="C31" s="1062" t="str" cm="1">
        <f t="array" ref="C31">IF(IFERROR(INDEX(tblCatControles[Ítem],_xlfn.AGGREGATE(15,6,(ROW(tblCatControles[Módulo])-ROW(tblCatControles[[#Headers],[Módulo]]))/((tblCatControles[Módulo]="LIMPIEZA CANALETAS")*(tblCatControles[Activo]="Sí")),23)),"")="","",MID(IFERROR(INDEX(tblCatControles[Ítem],_xlfn.AGGREGATE(15,6,(ROW(tblCatControles[Módulo])-ROW(tblCatControles[[#Headers],[Módulo]]))/((tblCatControles[Módulo]="LIMPIEZA CANALETAS")*(tblCatControles[Activo]="Sí")),23)),""),FIND("-",IFERROR(INDEX(tblCatControles[Ítem],_xlfn.AGGREGATE(15,6,(ROW(tblCatControles[Módulo])-ROW(tblCatControles[[#Headers],[Módulo]]))/((tblCatControles[Módulo]="LIMPIEZA CANALETAS")*(tblCatControles[Activo]="Sí")),23)),""))+1,20))</f>
        <v/>
      </c>
      <c r="D31" s="1120" t="str" cm="1">
        <f t="array" ref="D31">IFERROR(LEFT(IFERROR(INDEX(tblCatControles[Ubicación / detalle],_xlfn.AGGREGATE(15,6,(ROW(tblCatControles[Módulo])-ROW(tblCatControles[[#Headers],[Módulo]]))/((tblCatControles[Módulo]="LIMPIEZA CANALETAS")*(tblCatControles[Activo]="Sí")),23))&amp;"",""),FIND(" · ",IFERROR(INDEX(tblCatControles[Ubicación / detalle],_xlfn.AGGREGATE(15,6,(ROW(tblCatControles[Módulo])-ROW(tblCatControles[[#Headers],[Módulo]]))/((tblCatControles[Módulo]="LIMPIEZA CANALETAS")*(tblCatControles[Activo]="Sí")),23))&amp;"",""))-1),"")</f>
        <v/>
      </c>
      <c r="E31" s="1120" t="str" cm="1">
        <f t="array" ref="E31">IFERROR(MID(IFERROR(INDEX(tblCatControles[Ubicación / detalle],_xlfn.AGGREGATE(15,6,(ROW(tblCatControles[Módulo])-ROW(tblCatControles[[#Headers],[Módulo]]))/((tblCatControles[Módulo]="LIMPIEZA CANALETAS")*(tblCatControles[Activo]="Sí")),23))&amp;"",""),FIND(" · ",IFERROR(INDEX(tblCatControles[Ubicación / detalle],_xlfn.AGGREGATE(15,6,(ROW(tblCatControles[Módulo])-ROW(tblCatControles[[#Headers],[Módulo]]))/((tblCatControles[Módulo]="LIMPIEZA CANALETAS")*(tblCatControles[Activo]="Sí")),23))&amp;"",""))+3,60),"")</f>
        <v/>
      </c>
      <c r="F31" s="1051"/>
      <c r="G31" s="1051"/>
      <c r="H31" s="1051"/>
      <c r="I31" s="1051"/>
      <c r="J31" s="1051"/>
      <c r="K31" s="1051"/>
      <c r="L31" s="1051"/>
      <c r="M31" s="1051"/>
      <c r="N31" s="1051"/>
      <c r="O31" s="1104">
        <v>0</v>
      </c>
      <c r="P31" s="1051">
        <v>0</v>
      </c>
      <c r="Q31" s="1051">
        <v>0</v>
      </c>
      <c r="R31" s="1051">
        <v>0</v>
      </c>
      <c r="S31" s="1051">
        <v>0</v>
      </c>
      <c r="T31" s="1051">
        <v>0</v>
      </c>
      <c r="U31" s="1051">
        <v>0</v>
      </c>
      <c r="V31" s="1051">
        <v>0</v>
      </c>
      <c r="W31" s="1051">
        <v>0</v>
      </c>
      <c r="X31" s="1051">
        <v>0</v>
      </c>
      <c r="Y31" s="1051">
        <v>0</v>
      </c>
      <c r="Z31" s="1075" t="str">
        <f t="shared" si="0"/>
        <v/>
      </c>
      <c r="AA31" s="1114">
        <f t="shared" si="1"/>
        <v>0</v>
      </c>
      <c r="AB31" s="1062" t="str" cm="1">
        <f t="array" ref="AB31">IF(B31="","",IF(SUMPRODUCT(--(D31:AA31&lt;&gt;""),--(D$9:AA$9&lt;&gt;"Total"))&gt;0,"✔",""))</f>
        <v/>
      </c>
      <c r="AC31" s="1053"/>
      <c r="AD31" s="1053"/>
      <c r="AE31" s="1053"/>
      <c r="AF31" s="1053"/>
      <c r="AG31" s="1053"/>
      <c r="AH31" s="1053"/>
      <c r="AI31" s="1053"/>
      <c r="AJ31" s="1053"/>
      <c r="AK31" s="1053"/>
      <c r="AL31" s="1053"/>
      <c r="AM31" s="1053"/>
      <c r="AN31" s="1053"/>
      <c r="AO31" s="1053"/>
      <c r="AP31" s="1053"/>
      <c r="AQ31" s="1053"/>
      <c r="AR31" s="1053"/>
      <c r="AS31" s="1053"/>
      <c r="AT31" s="1053"/>
      <c r="AU31" s="1053"/>
      <c r="AV31" s="1062" t="str">
        <f t="shared" si="2"/>
        <v/>
      </c>
    </row>
    <row r="32" spans="1:48" s="1096" customFormat="1">
      <c r="A32" s="1033"/>
      <c r="B32" s="1074" t="str" cm="1">
        <f t="array" ref="B32">IF(IFERROR(INDEX(tblCatControles[Ítem],_xlfn.AGGREGATE(15,6,(ROW(tblCatControles[Módulo])-ROW(tblCatControles[[#Headers],[Módulo]]))/((tblCatControles[Módulo]="LIMPIEZA CANALETAS")*(tblCatControles[Activo]="Sí")),24)),"")="","",LEFT(IFERROR(INDEX(tblCatControles[Ítem],_xlfn.AGGREGATE(15,6,(ROW(tblCatControles[Módulo])-ROW(tblCatControles[[#Headers],[Módulo]]))/((tblCatControles[Módulo]="LIMPIEZA CANALETAS")*(tblCatControles[Activo]="Sí")),24)),""),FIND("-",IFERROR(INDEX(tblCatControles[Ítem],_xlfn.AGGREGATE(15,6,(ROW(tblCatControles[Módulo])-ROW(tblCatControles[[#Headers],[Módulo]]))/((tblCatControles[Módulo]="LIMPIEZA CANALETAS")*(tblCatControles[Activo]="Sí")),24)),""))-1))</f>
        <v/>
      </c>
      <c r="C32" s="1062" t="str" cm="1">
        <f t="array" ref="C32">IF(IFERROR(INDEX(tblCatControles[Ítem],_xlfn.AGGREGATE(15,6,(ROW(tblCatControles[Módulo])-ROW(tblCatControles[[#Headers],[Módulo]]))/((tblCatControles[Módulo]="LIMPIEZA CANALETAS")*(tblCatControles[Activo]="Sí")),24)),"")="","",MID(IFERROR(INDEX(tblCatControles[Ítem],_xlfn.AGGREGATE(15,6,(ROW(tblCatControles[Módulo])-ROW(tblCatControles[[#Headers],[Módulo]]))/((tblCatControles[Módulo]="LIMPIEZA CANALETAS")*(tblCatControles[Activo]="Sí")),24)),""),FIND("-",IFERROR(INDEX(tblCatControles[Ítem],_xlfn.AGGREGATE(15,6,(ROW(tblCatControles[Módulo])-ROW(tblCatControles[[#Headers],[Módulo]]))/((tblCatControles[Módulo]="LIMPIEZA CANALETAS")*(tblCatControles[Activo]="Sí")),24)),""))+1,20))</f>
        <v/>
      </c>
      <c r="D32" s="1120" t="str" cm="1">
        <f t="array" ref="D32">IFERROR(LEFT(IFERROR(INDEX(tblCatControles[Ubicación / detalle],_xlfn.AGGREGATE(15,6,(ROW(tblCatControles[Módulo])-ROW(tblCatControles[[#Headers],[Módulo]]))/((tblCatControles[Módulo]="LIMPIEZA CANALETAS")*(tblCatControles[Activo]="Sí")),24))&amp;"",""),FIND(" · ",IFERROR(INDEX(tblCatControles[Ubicación / detalle],_xlfn.AGGREGATE(15,6,(ROW(tblCatControles[Módulo])-ROW(tblCatControles[[#Headers],[Módulo]]))/((tblCatControles[Módulo]="LIMPIEZA CANALETAS")*(tblCatControles[Activo]="Sí")),24))&amp;"",""))-1),"")</f>
        <v/>
      </c>
      <c r="E32" s="1120" t="str" cm="1">
        <f t="array" ref="E32">IFERROR(MID(IFERROR(INDEX(tblCatControles[Ubicación / detalle],_xlfn.AGGREGATE(15,6,(ROW(tblCatControles[Módulo])-ROW(tblCatControles[[#Headers],[Módulo]]))/((tblCatControles[Módulo]="LIMPIEZA CANALETAS")*(tblCatControles[Activo]="Sí")),24))&amp;"",""),FIND(" · ",IFERROR(INDEX(tblCatControles[Ubicación / detalle],_xlfn.AGGREGATE(15,6,(ROW(tblCatControles[Módulo])-ROW(tblCatControles[[#Headers],[Módulo]]))/((tblCatControles[Módulo]="LIMPIEZA CANALETAS")*(tblCatControles[Activo]="Sí")),24))&amp;"",""))+3,60),"")</f>
        <v/>
      </c>
      <c r="F32" s="1051"/>
      <c r="G32" s="1051"/>
      <c r="H32" s="1051"/>
      <c r="I32" s="1051"/>
      <c r="J32" s="1051"/>
      <c r="K32" s="1051"/>
      <c r="L32" s="1051"/>
      <c r="M32" s="1051"/>
      <c r="N32" s="1051"/>
      <c r="O32" s="1104">
        <v>0</v>
      </c>
      <c r="P32" s="1051">
        <v>0</v>
      </c>
      <c r="Q32" s="1051">
        <v>0</v>
      </c>
      <c r="R32" s="1051">
        <v>0</v>
      </c>
      <c r="S32" s="1051">
        <v>0</v>
      </c>
      <c r="T32" s="1051">
        <v>0</v>
      </c>
      <c r="U32" s="1051">
        <v>0</v>
      </c>
      <c r="V32" s="1051">
        <v>0</v>
      </c>
      <c r="W32" s="1051">
        <v>0</v>
      </c>
      <c r="X32" s="1051">
        <v>0</v>
      </c>
      <c r="Y32" s="1051">
        <v>0</v>
      </c>
      <c r="Z32" s="1075" t="str">
        <f t="shared" si="0"/>
        <v/>
      </c>
      <c r="AA32" s="1114">
        <f t="shared" si="1"/>
        <v>0</v>
      </c>
      <c r="AB32" s="1062" t="str" cm="1">
        <f t="array" ref="AB32">IF(B32="","",IF(SUMPRODUCT(--(D32:AA32&lt;&gt;""),--(D$9:AA$9&lt;&gt;"Total"))&gt;0,"✔",""))</f>
        <v/>
      </c>
      <c r="AC32" s="1053"/>
      <c r="AD32" s="1053"/>
      <c r="AE32" s="1053"/>
      <c r="AF32" s="1053"/>
      <c r="AG32" s="1053"/>
      <c r="AH32" s="1053"/>
      <c r="AI32" s="1053"/>
      <c r="AJ32" s="1053"/>
      <c r="AK32" s="1053"/>
      <c r="AL32" s="1053"/>
      <c r="AM32" s="1053"/>
      <c r="AN32" s="1053"/>
      <c r="AO32" s="1053"/>
      <c r="AP32" s="1053"/>
      <c r="AQ32" s="1053"/>
      <c r="AR32" s="1053"/>
      <c r="AS32" s="1053"/>
      <c r="AT32" s="1053"/>
      <c r="AU32" s="1053"/>
      <c r="AV32" s="1062" t="str">
        <f t="shared" si="2"/>
        <v/>
      </c>
    </row>
    <row r="33" spans="1:48" s="1096" customFormat="1">
      <c r="A33" s="1033"/>
      <c r="B33" s="1074" t="str" cm="1">
        <f t="array" ref="B33">IF(IFERROR(INDEX(tblCatControles[Ítem],_xlfn.AGGREGATE(15,6,(ROW(tblCatControles[Módulo])-ROW(tblCatControles[[#Headers],[Módulo]]))/((tblCatControles[Módulo]="LIMPIEZA CANALETAS")*(tblCatControles[Activo]="Sí")),25)),"")="","",LEFT(IFERROR(INDEX(tblCatControles[Ítem],_xlfn.AGGREGATE(15,6,(ROW(tblCatControles[Módulo])-ROW(tblCatControles[[#Headers],[Módulo]]))/((tblCatControles[Módulo]="LIMPIEZA CANALETAS")*(tblCatControles[Activo]="Sí")),25)),""),FIND("-",IFERROR(INDEX(tblCatControles[Ítem],_xlfn.AGGREGATE(15,6,(ROW(tblCatControles[Módulo])-ROW(tblCatControles[[#Headers],[Módulo]]))/((tblCatControles[Módulo]="LIMPIEZA CANALETAS")*(tblCatControles[Activo]="Sí")),25)),""))-1))</f>
        <v/>
      </c>
      <c r="C33" s="1062" t="str" cm="1">
        <f t="array" ref="C33">IF(IFERROR(INDEX(tblCatControles[Ítem],_xlfn.AGGREGATE(15,6,(ROW(tblCatControles[Módulo])-ROW(tblCatControles[[#Headers],[Módulo]]))/((tblCatControles[Módulo]="LIMPIEZA CANALETAS")*(tblCatControles[Activo]="Sí")),25)),"")="","",MID(IFERROR(INDEX(tblCatControles[Ítem],_xlfn.AGGREGATE(15,6,(ROW(tblCatControles[Módulo])-ROW(tblCatControles[[#Headers],[Módulo]]))/((tblCatControles[Módulo]="LIMPIEZA CANALETAS")*(tblCatControles[Activo]="Sí")),25)),""),FIND("-",IFERROR(INDEX(tblCatControles[Ítem],_xlfn.AGGREGATE(15,6,(ROW(tblCatControles[Módulo])-ROW(tblCatControles[[#Headers],[Módulo]]))/((tblCatControles[Módulo]="LIMPIEZA CANALETAS")*(tblCatControles[Activo]="Sí")),25)),""))+1,20))</f>
        <v/>
      </c>
      <c r="D33" s="1120" t="str" cm="1">
        <f t="array" ref="D33">IFERROR(LEFT(IFERROR(INDEX(tblCatControles[Ubicación / detalle],_xlfn.AGGREGATE(15,6,(ROW(tblCatControles[Módulo])-ROW(tblCatControles[[#Headers],[Módulo]]))/((tblCatControles[Módulo]="LIMPIEZA CANALETAS")*(tblCatControles[Activo]="Sí")),25))&amp;"",""),FIND(" · ",IFERROR(INDEX(tblCatControles[Ubicación / detalle],_xlfn.AGGREGATE(15,6,(ROW(tblCatControles[Módulo])-ROW(tblCatControles[[#Headers],[Módulo]]))/((tblCatControles[Módulo]="LIMPIEZA CANALETAS")*(tblCatControles[Activo]="Sí")),25))&amp;"",""))-1),"")</f>
        <v/>
      </c>
      <c r="E33" s="1120" t="str" cm="1">
        <f t="array" ref="E33">IFERROR(MID(IFERROR(INDEX(tblCatControles[Ubicación / detalle],_xlfn.AGGREGATE(15,6,(ROW(tblCatControles[Módulo])-ROW(tblCatControles[[#Headers],[Módulo]]))/((tblCatControles[Módulo]="LIMPIEZA CANALETAS")*(tblCatControles[Activo]="Sí")),25))&amp;"",""),FIND(" · ",IFERROR(INDEX(tblCatControles[Ubicación / detalle],_xlfn.AGGREGATE(15,6,(ROW(tblCatControles[Módulo])-ROW(tblCatControles[[#Headers],[Módulo]]))/((tblCatControles[Módulo]="LIMPIEZA CANALETAS")*(tblCatControles[Activo]="Sí")),25))&amp;"",""))+3,60),"")</f>
        <v/>
      </c>
      <c r="F33" s="1051"/>
      <c r="G33" s="1051"/>
      <c r="H33" s="1051"/>
      <c r="I33" s="1051"/>
      <c r="J33" s="1051"/>
      <c r="K33" s="1051"/>
      <c r="L33" s="1051"/>
      <c r="M33" s="1051"/>
      <c r="N33" s="1051"/>
      <c r="O33" s="1104">
        <v>0</v>
      </c>
      <c r="P33" s="1051">
        <v>0</v>
      </c>
      <c r="Q33" s="1051">
        <v>0</v>
      </c>
      <c r="R33" s="1051">
        <v>0</v>
      </c>
      <c r="S33" s="1051">
        <v>0</v>
      </c>
      <c r="T33" s="1051">
        <v>0</v>
      </c>
      <c r="U33" s="1051">
        <v>0</v>
      </c>
      <c r="V33" s="1051">
        <v>0</v>
      </c>
      <c r="W33" s="1051">
        <v>0</v>
      </c>
      <c r="X33" s="1051">
        <v>0</v>
      </c>
      <c r="Y33" s="1051">
        <v>0</v>
      </c>
      <c r="Z33" s="1075" t="str">
        <f t="shared" si="0"/>
        <v/>
      </c>
      <c r="AA33" s="1114">
        <f t="shared" si="1"/>
        <v>0</v>
      </c>
      <c r="AB33" s="1062" t="str" cm="1">
        <f t="array" ref="AB33">IF(B33="","",IF(SUMPRODUCT(--(D33:AA33&lt;&gt;""),--(D$9:AA$9&lt;&gt;"Total"))&gt;0,"✔",""))</f>
        <v/>
      </c>
      <c r="AC33" s="1053"/>
      <c r="AD33" s="1053"/>
      <c r="AE33" s="1053"/>
      <c r="AF33" s="1053"/>
      <c r="AG33" s="1053"/>
      <c r="AH33" s="1053"/>
      <c r="AI33" s="1053"/>
      <c r="AJ33" s="1053"/>
      <c r="AK33" s="1053"/>
      <c r="AL33" s="1053"/>
      <c r="AM33" s="1053"/>
      <c r="AN33" s="1053"/>
      <c r="AO33" s="1053"/>
      <c r="AP33" s="1053"/>
      <c r="AQ33" s="1053"/>
      <c r="AR33" s="1053"/>
      <c r="AS33" s="1053"/>
      <c r="AT33" s="1053"/>
      <c r="AU33" s="1053"/>
      <c r="AV33" s="1062" t="str">
        <f t="shared" si="2"/>
        <v/>
      </c>
    </row>
    <row r="34" spans="1:48" s="1096" customFormat="1">
      <c r="A34" s="1033"/>
      <c r="B34" s="1074" t="str" cm="1">
        <f t="array" ref="B34">IF(IFERROR(INDEX(tblCatControles[Ítem],_xlfn.AGGREGATE(15,6,(ROW(tblCatControles[Módulo])-ROW(tblCatControles[[#Headers],[Módulo]]))/((tblCatControles[Módulo]="LIMPIEZA CANALETAS")*(tblCatControles[Activo]="Sí")),26)),"")="","",LEFT(IFERROR(INDEX(tblCatControles[Ítem],_xlfn.AGGREGATE(15,6,(ROW(tblCatControles[Módulo])-ROW(tblCatControles[[#Headers],[Módulo]]))/((tblCatControles[Módulo]="LIMPIEZA CANALETAS")*(tblCatControles[Activo]="Sí")),26)),""),FIND("-",IFERROR(INDEX(tblCatControles[Ítem],_xlfn.AGGREGATE(15,6,(ROW(tblCatControles[Módulo])-ROW(tblCatControles[[#Headers],[Módulo]]))/((tblCatControles[Módulo]="LIMPIEZA CANALETAS")*(tblCatControles[Activo]="Sí")),26)),""))-1))</f>
        <v/>
      </c>
      <c r="C34" s="1062" t="str" cm="1">
        <f t="array" ref="C34">IF(IFERROR(INDEX(tblCatControles[Ítem],_xlfn.AGGREGATE(15,6,(ROW(tblCatControles[Módulo])-ROW(tblCatControles[[#Headers],[Módulo]]))/((tblCatControles[Módulo]="LIMPIEZA CANALETAS")*(tblCatControles[Activo]="Sí")),26)),"")="","",MID(IFERROR(INDEX(tblCatControles[Ítem],_xlfn.AGGREGATE(15,6,(ROW(tblCatControles[Módulo])-ROW(tblCatControles[[#Headers],[Módulo]]))/((tblCatControles[Módulo]="LIMPIEZA CANALETAS")*(tblCatControles[Activo]="Sí")),26)),""),FIND("-",IFERROR(INDEX(tblCatControles[Ítem],_xlfn.AGGREGATE(15,6,(ROW(tblCatControles[Módulo])-ROW(tblCatControles[[#Headers],[Módulo]]))/((tblCatControles[Módulo]="LIMPIEZA CANALETAS")*(tblCatControles[Activo]="Sí")),26)),""))+1,20))</f>
        <v/>
      </c>
      <c r="D34" s="1120" t="str" cm="1">
        <f t="array" ref="D34">IFERROR(LEFT(IFERROR(INDEX(tblCatControles[Ubicación / detalle],_xlfn.AGGREGATE(15,6,(ROW(tblCatControles[Módulo])-ROW(tblCatControles[[#Headers],[Módulo]]))/((tblCatControles[Módulo]="LIMPIEZA CANALETAS")*(tblCatControles[Activo]="Sí")),26))&amp;"",""),FIND(" · ",IFERROR(INDEX(tblCatControles[Ubicación / detalle],_xlfn.AGGREGATE(15,6,(ROW(tblCatControles[Módulo])-ROW(tblCatControles[[#Headers],[Módulo]]))/((tblCatControles[Módulo]="LIMPIEZA CANALETAS")*(tblCatControles[Activo]="Sí")),26))&amp;"",""))-1),"")</f>
        <v/>
      </c>
      <c r="E34" s="1120" t="str" cm="1">
        <f t="array" ref="E34">IFERROR(MID(IFERROR(INDEX(tblCatControles[Ubicación / detalle],_xlfn.AGGREGATE(15,6,(ROW(tblCatControles[Módulo])-ROW(tblCatControles[[#Headers],[Módulo]]))/((tblCatControles[Módulo]="LIMPIEZA CANALETAS")*(tblCatControles[Activo]="Sí")),26))&amp;"",""),FIND(" · ",IFERROR(INDEX(tblCatControles[Ubicación / detalle],_xlfn.AGGREGATE(15,6,(ROW(tblCatControles[Módulo])-ROW(tblCatControles[[#Headers],[Módulo]]))/((tblCatControles[Módulo]="LIMPIEZA CANALETAS")*(tblCatControles[Activo]="Sí")),26))&amp;"",""))+3,60),"")</f>
        <v/>
      </c>
      <c r="F34" s="1051"/>
      <c r="G34" s="1051"/>
      <c r="H34" s="1051"/>
      <c r="I34" s="1051"/>
      <c r="J34" s="1051"/>
      <c r="K34" s="1051"/>
      <c r="L34" s="1051"/>
      <c r="M34" s="1051"/>
      <c r="N34" s="1051"/>
      <c r="O34" s="1104">
        <v>0</v>
      </c>
      <c r="P34" s="1051">
        <v>0</v>
      </c>
      <c r="Q34" s="1051">
        <v>0</v>
      </c>
      <c r="R34" s="1051">
        <v>0</v>
      </c>
      <c r="S34" s="1051">
        <v>0</v>
      </c>
      <c r="T34" s="1051">
        <v>0</v>
      </c>
      <c r="U34" s="1051">
        <v>0</v>
      </c>
      <c r="V34" s="1051">
        <v>0</v>
      </c>
      <c r="W34" s="1051">
        <v>0</v>
      </c>
      <c r="X34" s="1051">
        <v>0</v>
      </c>
      <c r="Y34" s="1051">
        <v>0</v>
      </c>
      <c r="Z34" s="1075" t="str">
        <f t="shared" si="0"/>
        <v/>
      </c>
      <c r="AA34" s="1114">
        <f t="shared" si="1"/>
        <v>0</v>
      </c>
      <c r="AB34" s="1062" t="str" cm="1">
        <f t="array" ref="AB34">IF(B34="","",IF(SUMPRODUCT(--(D34:AA34&lt;&gt;""),--(D$9:AA$9&lt;&gt;"Total"))&gt;0,"✔",""))</f>
        <v/>
      </c>
      <c r="AC34" s="1053"/>
      <c r="AD34" s="1053"/>
      <c r="AE34" s="1053"/>
      <c r="AF34" s="1053"/>
      <c r="AG34" s="1053"/>
      <c r="AH34" s="1053"/>
      <c r="AI34" s="1053"/>
      <c r="AJ34" s="1053"/>
      <c r="AK34" s="1053"/>
      <c r="AL34" s="1053"/>
      <c r="AM34" s="1053"/>
      <c r="AN34" s="1053"/>
      <c r="AO34" s="1053"/>
      <c r="AP34" s="1053"/>
      <c r="AQ34" s="1053"/>
      <c r="AR34" s="1053"/>
      <c r="AS34" s="1053"/>
      <c r="AT34" s="1053"/>
      <c r="AU34" s="1053"/>
      <c r="AV34" s="1062" t="str">
        <f t="shared" si="2"/>
        <v/>
      </c>
    </row>
    <row r="35" spans="1:48" s="1096" customFormat="1">
      <c r="A35" s="1033"/>
      <c r="B35" s="1074" t="str" cm="1">
        <f t="array" ref="B35">IF(IFERROR(INDEX(tblCatControles[Ítem],_xlfn.AGGREGATE(15,6,(ROW(tblCatControles[Módulo])-ROW(tblCatControles[[#Headers],[Módulo]]))/((tblCatControles[Módulo]="LIMPIEZA CANALETAS")*(tblCatControles[Activo]="Sí")),27)),"")="","",LEFT(IFERROR(INDEX(tblCatControles[Ítem],_xlfn.AGGREGATE(15,6,(ROW(tblCatControles[Módulo])-ROW(tblCatControles[[#Headers],[Módulo]]))/((tblCatControles[Módulo]="LIMPIEZA CANALETAS")*(tblCatControles[Activo]="Sí")),27)),""),FIND("-",IFERROR(INDEX(tblCatControles[Ítem],_xlfn.AGGREGATE(15,6,(ROW(tblCatControles[Módulo])-ROW(tblCatControles[[#Headers],[Módulo]]))/((tblCatControles[Módulo]="LIMPIEZA CANALETAS")*(tblCatControles[Activo]="Sí")),27)),""))-1))</f>
        <v/>
      </c>
      <c r="C35" s="1062" t="str" cm="1">
        <f t="array" ref="C35">IF(IFERROR(INDEX(tblCatControles[Ítem],_xlfn.AGGREGATE(15,6,(ROW(tblCatControles[Módulo])-ROW(tblCatControles[[#Headers],[Módulo]]))/((tblCatControles[Módulo]="LIMPIEZA CANALETAS")*(tblCatControles[Activo]="Sí")),27)),"")="","",MID(IFERROR(INDEX(tblCatControles[Ítem],_xlfn.AGGREGATE(15,6,(ROW(tblCatControles[Módulo])-ROW(tblCatControles[[#Headers],[Módulo]]))/((tblCatControles[Módulo]="LIMPIEZA CANALETAS")*(tblCatControles[Activo]="Sí")),27)),""),FIND("-",IFERROR(INDEX(tblCatControles[Ítem],_xlfn.AGGREGATE(15,6,(ROW(tblCatControles[Módulo])-ROW(tblCatControles[[#Headers],[Módulo]]))/((tblCatControles[Módulo]="LIMPIEZA CANALETAS")*(tblCatControles[Activo]="Sí")),27)),""))+1,20))</f>
        <v/>
      </c>
      <c r="D35" s="1120" t="str" cm="1">
        <f t="array" ref="D35">IFERROR(LEFT(IFERROR(INDEX(tblCatControles[Ubicación / detalle],_xlfn.AGGREGATE(15,6,(ROW(tblCatControles[Módulo])-ROW(tblCatControles[[#Headers],[Módulo]]))/((tblCatControles[Módulo]="LIMPIEZA CANALETAS")*(tblCatControles[Activo]="Sí")),27))&amp;"",""),FIND(" · ",IFERROR(INDEX(tblCatControles[Ubicación / detalle],_xlfn.AGGREGATE(15,6,(ROW(tblCatControles[Módulo])-ROW(tblCatControles[[#Headers],[Módulo]]))/((tblCatControles[Módulo]="LIMPIEZA CANALETAS")*(tblCatControles[Activo]="Sí")),27))&amp;"",""))-1),"")</f>
        <v/>
      </c>
      <c r="E35" s="1120" t="str" cm="1">
        <f t="array" ref="E35">IFERROR(MID(IFERROR(INDEX(tblCatControles[Ubicación / detalle],_xlfn.AGGREGATE(15,6,(ROW(tblCatControles[Módulo])-ROW(tblCatControles[[#Headers],[Módulo]]))/((tblCatControles[Módulo]="LIMPIEZA CANALETAS")*(tblCatControles[Activo]="Sí")),27))&amp;"",""),FIND(" · ",IFERROR(INDEX(tblCatControles[Ubicación / detalle],_xlfn.AGGREGATE(15,6,(ROW(tblCatControles[Módulo])-ROW(tblCatControles[[#Headers],[Módulo]]))/((tblCatControles[Módulo]="LIMPIEZA CANALETAS")*(tblCatControles[Activo]="Sí")),27))&amp;"",""))+3,60),"")</f>
        <v/>
      </c>
      <c r="F35" s="1051"/>
      <c r="G35" s="1051"/>
      <c r="H35" s="1051"/>
      <c r="I35" s="1051"/>
      <c r="J35" s="1051"/>
      <c r="K35" s="1051"/>
      <c r="L35" s="1051"/>
      <c r="M35" s="1051"/>
      <c r="N35" s="1051"/>
      <c r="O35" s="1104">
        <v>0</v>
      </c>
      <c r="P35" s="1051">
        <v>0</v>
      </c>
      <c r="Q35" s="1051">
        <v>0</v>
      </c>
      <c r="R35" s="1051">
        <v>0</v>
      </c>
      <c r="S35" s="1051">
        <v>0</v>
      </c>
      <c r="T35" s="1051">
        <v>0</v>
      </c>
      <c r="U35" s="1051">
        <v>0</v>
      </c>
      <c r="V35" s="1051">
        <v>0</v>
      </c>
      <c r="W35" s="1051">
        <v>0</v>
      </c>
      <c r="X35" s="1051">
        <v>0</v>
      </c>
      <c r="Y35" s="1051">
        <v>0</v>
      </c>
      <c r="Z35" s="1075" t="str">
        <f t="shared" si="0"/>
        <v/>
      </c>
      <c r="AA35" s="1114">
        <f t="shared" si="1"/>
        <v>0</v>
      </c>
      <c r="AB35" s="1062" t="str" cm="1">
        <f t="array" ref="AB35">IF(B35="","",IF(SUMPRODUCT(--(D35:AA35&lt;&gt;""),--(D$9:AA$9&lt;&gt;"Total"))&gt;0,"✔",""))</f>
        <v/>
      </c>
      <c r="AC35" s="1053"/>
      <c r="AD35" s="1053"/>
      <c r="AE35" s="1053"/>
      <c r="AF35" s="1053"/>
      <c r="AG35" s="1053"/>
      <c r="AH35" s="1053"/>
      <c r="AI35" s="1053"/>
      <c r="AJ35" s="1053"/>
      <c r="AK35" s="1053"/>
      <c r="AL35" s="1053"/>
      <c r="AM35" s="1053"/>
      <c r="AN35" s="1053"/>
      <c r="AO35" s="1053"/>
      <c r="AP35" s="1053"/>
      <c r="AQ35" s="1053"/>
      <c r="AR35" s="1053"/>
      <c r="AS35" s="1053"/>
      <c r="AT35" s="1053"/>
      <c r="AU35" s="1053"/>
      <c r="AV35" s="1062" t="str">
        <f t="shared" si="2"/>
        <v/>
      </c>
    </row>
    <row r="36" spans="1:48" s="1096" customFormat="1">
      <c r="A36" s="1033"/>
      <c r="B36" s="1074" t="str" cm="1">
        <f t="array" ref="B36">IF(IFERROR(INDEX(tblCatControles[Ítem],_xlfn.AGGREGATE(15,6,(ROW(tblCatControles[Módulo])-ROW(tblCatControles[[#Headers],[Módulo]]))/((tblCatControles[Módulo]="LIMPIEZA CANALETAS")*(tblCatControles[Activo]="Sí")),28)),"")="","",LEFT(IFERROR(INDEX(tblCatControles[Ítem],_xlfn.AGGREGATE(15,6,(ROW(tblCatControles[Módulo])-ROW(tblCatControles[[#Headers],[Módulo]]))/((tblCatControles[Módulo]="LIMPIEZA CANALETAS")*(tblCatControles[Activo]="Sí")),28)),""),FIND("-",IFERROR(INDEX(tblCatControles[Ítem],_xlfn.AGGREGATE(15,6,(ROW(tblCatControles[Módulo])-ROW(tblCatControles[[#Headers],[Módulo]]))/((tblCatControles[Módulo]="LIMPIEZA CANALETAS")*(tblCatControles[Activo]="Sí")),28)),""))-1))</f>
        <v/>
      </c>
      <c r="C36" s="1062" t="str" cm="1">
        <f t="array" ref="C36">IF(IFERROR(INDEX(tblCatControles[Ítem],_xlfn.AGGREGATE(15,6,(ROW(tblCatControles[Módulo])-ROW(tblCatControles[[#Headers],[Módulo]]))/((tblCatControles[Módulo]="LIMPIEZA CANALETAS")*(tblCatControles[Activo]="Sí")),28)),"")="","",MID(IFERROR(INDEX(tblCatControles[Ítem],_xlfn.AGGREGATE(15,6,(ROW(tblCatControles[Módulo])-ROW(tblCatControles[[#Headers],[Módulo]]))/((tblCatControles[Módulo]="LIMPIEZA CANALETAS")*(tblCatControles[Activo]="Sí")),28)),""),FIND("-",IFERROR(INDEX(tblCatControles[Ítem],_xlfn.AGGREGATE(15,6,(ROW(tblCatControles[Módulo])-ROW(tblCatControles[[#Headers],[Módulo]]))/((tblCatControles[Módulo]="LIMPIEZA CANALETAS")*(tblCatControles[Activo]="Sí")),28)),""))+1,20))</f>
        <v/>
      </c>
      <c r="D36" s="1120" t="str" cm="1">
        <f t="array" ref="D36">IFERROR(LEFT(IFERROR(INDEX(tblCatControles[Ubicación / detalle],_xlfn.AGGREGATE(15,6,(ROW(tblCatControles[Módulo])-ROW(tblCatControles[[#Headers],[Módulo]]))/((tblCatControles[Módulo]="LIMPIEZA CANALETAS")*(tblCatControles[Activo]="Sí")),28))&amp;"",""),FIND(" · ",IFERROR(INDEX(tblCatControles[Ubicación / detalle],_xlfn.AGGREGATE(15,6,(ROW(tblCatControles[Módulo])-ROW(tblCatControles[[#Headers],[Módulo]]))/((tblCatControles[Módulo]="LIMPIEZA CANALETAS")*(tblCatControles[Activo]="Sí")),28))&amp;"",""))-1),"")</f>
        <v/>
      </c>
      <c r="E36" s="1120" t="str" cm="1">
        <f t="array" ref="E36">IFERROR(MID(IFERROR(INDEX(tblCatControles[Ubicación / detalle],_xlfn.AGGREGATE(15,6,(ROW(tblCatControles[Módulo])-ROW(tblCatControles[[#Headers],[Módulo]]))/((tblCatControles[Módulo]="LIMPIEZA CANALETAS")*(tblCatControles[Activo]="Sí")),28))&amp;"",""),FIND(" · ",IFERROR(INDEX(tblCatControles[Ubicación / detalle],_xlfn.AGGREGATE(15,6,(ROW(tblCatControles[Módulo])-ROW(tblCatControles[[#Headers],[Módulo]]))/((tblCatControles[Módulo]="LIMPIEZA CANALETAS")*(tblCatControles[Activo]="Sí")),28))&amp;"",""))+3,60),"")</f>
        <v/>
      </c>
      <c r="F36" s="1051"/>
      <c r="G36" s="1051"/>
      <c r="H36" s="1051"/>
      <c r="I36" s="1051"/>
      <c r="J36" s="1051"/>
      <c r="K36" s="1051"/>
      <c r="L36" s="1051"/>
      <c r="M36" s="1051"/>
      <c r="N36" s="1051"/>
      <c r="O36" s="1104">
        <v>0</v>
      </c>
      <c r="P36" s="1051">
        <v>0</v>
      </c>
      <c r="Q36" s="1051">
        <v>0</v>
      </c>
      <c r="R36" s="1051">
        <v>0</v>
      </c>
      <c r="S36" s="1051">
        <v>0</v>
      </c>
      <c r="T36" s="1051">
        <v>0</v>
      </c>
      <c r="U36" s="1051">
        <v>0</v>
      </c>
      <c r="V36" s="1051">
        <v>0</v>
      </c>
      <c r="W36" s="1051">
        <v>0</v>
      </c>
      <c r="X36" s="1051">
        <v>0</v>
      </c>
      <c r="Y36" s="1051">
        <v>0</v>
      </c>
      <c r="Z36" s="1075" t="str">
        <f t="shared" si="0"/>
        <v/>
      </c>
      <c r="AA36" s="1114">
        <f t="shared" si="1"/>
        <v>0</v>
      </c>
      <c r="AB36" s="1062" t="str" cm="1">
        <f t="array" ref="AB36">IF(B36="","",IF(SUMPRODUCT(--(D36:AA36&lt;&gt;""),--(D$9:AA$9&lt;&gt;"Total"))&gt;0,"✔",""))</f>
        <v/>
      </c>
      <c r="AC36" s="1053"/>
      <c r="AD36" s="1053"/>
      <c r="AE36" s="1053"/>
      <c r="AF36" s="1053"/>
      <c r="AG36" s="1053"/>
      <c r="AH36" s="1053"/>
      <c r="AI36" s="1053"/>
      <c r="AJ36" s="1053"/>
      <c r="AK36" s="1053"/>
      <c r="AL36" s="1053"/>
      <c r="AM36" s="1053"/>
      <c r="AN36" s="1053"/>
      <c r="AO36" s="1053"/>
      <c r="AP36" s="1053"/>
      <c r="AQ36" s="1053"/>
      <c r="AR36" s="1053"/>
      <c r="AS36" s="1053"/>
      <c r="AT36" s="1053"/>
      <c r="AU36" s="1053"/>
      <c r="AV36" s="1062" t="str">
        <f t="shared" si="2"/>
        <v/>
      </c>
    </row>
    <row r="37" spans="1:48" s="1096" customFormat="1">
      <c r="A37" s="1033"/>
      <c r="B37" s="1074" t="str" cm="1">
        <f t="array" ref="B37">IF(IFERROR(INDEX(tblCatControles[Ítem],_xlfn.AGGREGATE(15,6,(ROW(tblCatControles[Módulo])-ROW(tblCatControles[[#Headers],[Módulo]]))/((tblCatControles[Módulo]="LIMPIEZA CANALETAS")*(tblCatControles[Activo]="Sí")),29)),"")="","",LEFT(IFERROR(INDEX(tblCatControles[Ítem],_xlfn.AGGREGATE(15,6,(ROW(tblCatControles[Módulo])-ROW(tblCatControles[[#Headers],[Módulo]]))/((tblCatControles[Módulo]="LIMPIEZA CANALETAS")*(tblCatControles[Activo]="Sí")),29)),""),FIND("-",IFERROR(INDEX(tblCatControles[Ítem],_xlfn.AGGREGATE(15,6,(ROW(tblCatControles[Módulo])-ROW(tblCatControles[[#Headers],[Módulo]]))/((tblCatControles[Módulo]="LIMPIEZA CANALETAS")*(tblCatControles[Activo]="Sí")),29)),""))-1))</f>
        <v/>
      </c>
      <c r="C37" s="1062" t="str" cm="1">
        <f t="array" ref="C37">IF(IFERROR(INDEX(tblCatControles[Ítem],_xlfn.AGGREGATE(15,6,(ROW(tblCatControles[Módulo])-ROW(tblCatControles[[#Headers],[Módulo]]))/((tblCatControles[Módulo]="LIMPIEZA CANALETAS")*(tblCatControles[Activo]="Sí")),29)),"")="","",MID(IFERROR(INDEX(tblCatControles[Ítem],_xlfn.AGGREGATE(15,6,(ROW(tblCatControles[Módulo])-ROW(tblCatControles[[#Headers],[Módulo]]))/((tblCatControles[Módulo]="LIMPIEZA CANALETAS")*(tblCatControles[Activo]="Sí")),29)),""),FIND("-",IFERROR(INDEX(tblCatControles[Ítem],_xlfn.AGGREGATE(15,6,(ROW(tblCatControles[Módulo])-ROW(tblCatControles[[#Headers],[Módulo]]))/((tblCatControles[Módulo]="LIMPIEZA CANALETAS")*(tblCatControles[Activo]="Sí")),29)),""))+1,20))</f>
        <v/>
      </c>
      <c r="D37" s="1120" t="str" cm="1">
        <f t="array" ref="D37">IFERROR(LEFT(IFERROR(INDEX(tblCatControles[Ubicación / detalle],_xlfn.AGGREGATE(15,6,(ROW(tblCatControles[Módulo])-ROW(tblCatControles[[#Headers],[Módulo]]))/((tblCatControles[Módulo]="LIMPIEZA CANALETAS")*(tblCatControles[Activo]="Sí")),29))&amp;"",""),FIND(" · ",IFERROR(INDEX(tblCatControles[Ubicación / detalle],_xlfn.AGGREGATE(15,6,(ROW(tblCatControles[Módulo])-ROW(tblCatControles[[#Headers],[Módulo]]))/((tblCatControles[Módulo]="LIMPIEZA CANALETAS")*(tblCatControles[Activo]="Sí")),29))&amp;"",""))-1),"")</f>
        <v/>
      </c>
      <c r="E37" s="1120" t="str" cm="1">
        <f t="array" ref="E37">IFERROR(MID(IFERROR(INDEX(tblCatControles[Ubicación / detalle],_xlfn.AGGREGATE(15,6,(ROW(tblCatControles[Módulo])-ROW(tblCatControles[[#Headers],[Módulo]]))/((tblCatControles[Módulo]="LIMPIEZA CANALETAS")*(tblCatControles[Activo]="Sí")),29))&amp;"",""),FIND(" · ",IFERROR(INDEX(tblCatControles[Ubicación / detalle],_xlfn.AGGREGATE(15,6,(ROW(tblCatControles[Módulo])-ROW(tblCatControles[[#Headers],[Módulo]]))/((tblCatControles[Módulo]="LIMPIEZA CANALETAS")*(tblCatControles[Activo]="Sí")),29))&amp;"",""))+3,60),"")</f>
        <v/>
      </c>
      <c r="F37" s="1051"/>
      <c r="G37" s="1051"/>
      <c r="H37" s="1051"/>
      <c r="I37" s="1051"/>
      <c r="J37" s="1051"/>
      <c r="K37" s="1051"/>
      <c r="L37" s="1051"/>
      <c r="M37" s="1051"/>
      <c r="N37" s="1051"/>
      <c r="O37" s="1104">
        <v>0</v>
      </c>
      <c r="P37" s="1051">
        <v>0</v>
      </c>
      <c r="Q37" s="1051">
        <v>0</v>
      </c>
      <c r="R37" s="1051">
        <v>0</v>
      </c>
      <c r="S37" s="1051">
        <v>0</v>
      </c>
      <c r="T37" s="1051">
        <v>0</v>
      </c>
      <c r="U37" s="1051">
        <v>0</v>
      </c>
      <c r="V37" s="1051">
        <v>0</v>
      </c>
      <c r="W37" s="1051">
        <v>0</v>
      </c>
      <c r="X37" s="1051">
        <v>0</v>
      </c>
      <c r="Y37" s="1051">
        <v>0</v>
      </c>
      <c r="Z37" s="1075" t="str">
        <f t="shared" si="0"/>
        <v/>
      </c>
      <c r="AA37" s="1114">
        <f t="shared" si="1"/>
        <v>0</v>
      </c>
      <c r="AB37" s="1062" t="str" cm="1">
        <f t="array" ref="AB37">IF(B37="","",IF(SUMPRODUCT(--(D37:AA37&lt;&gt;""),--(D$9:AA$9&lt;&gt;"Total"))&gt;0,"✔",""))</f>
        <v/>
      </c>
      <c r="AC37" s="1053"/>
      <c r="AD37" s="1053"/>
      <c r="AE37" s="1053"/>
      <c r="AF37" s="1053"/>
      <c r="AG37" s="1053"/>
      <c r="AH37" s="1053"/>
      <c r="AI37" s="1053"/>
      <c r="AJ37" s="1053"/>
      <c r="AK37" s="1053"/>
      <c r="AL37" s="1053"/>
      <c r="AM37" s="1053"/>
      <c r="AN37" s="1053"/>
      <c r="AO37" s="1053"/>
      <c r="AP37" s="1053"/>
      <c r="AQ37" s="1053"/>
      <c r="AR37" s="1053"/>
      <c r="AS37" s="1053"/>
      <c r="AT37" s="1053"/>
      <c r="AU37" s="1053"/>
      <c r="AV37" s="1062" t="str">
        <f t="shared" si="2"/>
        <v/>
      </c>
    </row>
    <row r="38" spans="1:48" s="1096" customFormat="1">
      <c r="A38" s="1033"/>
      <c r="B38" s="1074" t="str" cm="1">
        <f t="array" ref="B38">IF(IFERROR(INDEX(tblCatControles[Ítem],_xlfn.AGGREGATE(15,6,(ROW(tblCatControles[Módulo])-ROW(tblCatControles[[#Headers],[Módulo]]))/((tblCatControles[Módulo]="LIMPIEZA CANALETAS")*(tblCatControles[Activo]="Sí")),30)),"")="","",LEFT(IFERROR(INDEX(tblCatControles[Ítem],_xlfn.AGGREGATE(15,6,(ROW(tblCatControles[Módulo])-ROW(tblCatControles[[#Headers],[Módulo]]))/((tblCatControles[Módulo]="LIMPIEZA CANALETAS")*(tblCatControles[Activo]="Sí")),30)),""),FIND("-",IFERROR(INDEX(tblCatControles[Ítem],_xlfn.AGGREGATE(15,6,(ROW(tblCatControles[Módulo])-ROW(tblCatControles[[#Headers],[Módulo]]))/((tblCatControles[Módulo]="LIMPIEZA CANALETAS")*(tblCatControles[Activo]="Sí")),30)),""))-1))</f>
        <v/>
      </c>
      <c r="C38" s="1062" t="str" cm="1">
        <f t="array" ref="C38">IF(IFERROR(INDEX(tblCatControles[Ítem],_xlfn.AGGREGATE(15,6,(ROW(tblCatControles[Módulo])-ROW(tblCatControles[[#Headers],[Módulo]]))/((tblCatControles[Módulo]="LIMPIEZA CANALETAS")*(tblCatControles[Activo]="Sí")),30)),"")="","",MID(IFERROR(INDEX(tblCatControles[Ítem],_xlfn.AGGREGATE(15,6,(ROW(tblCatControles[Módulo])-ROW(tblCatControles[[#Headers],[Módulo]]))/((tblCatControles[Módulo]="LIMPIEZA CANALETAS")*(tblCatControles[Activo]="Sí")),30)),""),FIND("-",IFERROR(INDEX(tblCatControles[Ítem],_xlfn.AGGREGATE(15,6,(ROW(tblCatControles[Módulo])-ROW(tblCatControles[[#Headers],[Módulo]]))/((tblCatControles[Módulo]="LIMPIEZA CANALETAS")*(tblCatControles[Activo]="Sí")),30)),""))+1,20))</f>
        <v/>
      </c>
      <c r="D38" s="1120" t="str" cm="1">
        <f t="array" ref="D38">IFERROR(LEFT(IFERROR(INDEX(tblCatControles[Ubicación / detalle],_xlfn.AGGREGATE(15,6,(ROW(tblCatControles[Módulo])-ROW(tblCatControles[[#Headers],[Módulo]]))/((tblCatControles[Módulo]="LIMPIEZA CANALETAS")*(tblCatControles[Activo]="Sí")),30))&amp;"",""),FIND(" · ",IFERROR(INDEX(tblCatControles[Ubicación / detalle],_xlfn.AGGREGATE(15,6,(ROW(tblCatControles[Módulo])-ROW(tblCatControles[[#Headers],[Módulo]]))/((tblCatControles[Módulo]="LIMPIEZA CANALETAS")*(tblCatControles[Activo]="Sí")),30))&amp;"",""))-1),"")</f>
        <v/>
      </c>
      <c r="E38" s="1120" t="str" cm="1">
        <f t="array" ref="E38">IFERROR(MID(IFERROR(INDEX(tblCatControles[Ubicación / detalle],_xlfn.AGGREGATE(15,6,(ROW(tblCatControles[Módulo])-ROW(tblCatControles[[#Headers],[Módulo]]))/((tblCatControles[Módulo]="LIMPIEZA CANALETAS")*(tblCatControles[Activo]="Sí")),30))&amp;"",""),FIND(" · ",IFERROR(INDEX(tblCatControles[Ubicación / detalle],_xlfn.AGGREGATE(15,6,(ROW(tblCatControles[Módulo])-ROW(tblCatControles[[#Headers],[Módulo]]))/((tblCatControles[Módulo]="LIMPIEZA CANALETAS")*(tblCatControles[Activo]="Sí")),30))&amp;"",""))+3,60),"")</f>
        <v/>
      </c>
      <c r="F38" s="1051"/>
      <c r="G38" s="1051"/>
      <c r="H38" s="1051"/>
      <c r="I38" s="1051"/>
      <c r="J38" s="1051"/>
      <c r="K38" s="1051"/>
      <c r="L38" s="1051"/>
      <c r="M38" s="1051"/>
      <c r="N38" s="1051"/>
      <c r="O38" s="1104">
        <v>0</v>
      </c>
      <c r="P38" s="1051">
        <v>0</v>
      </c>
      <c r="Q38" s="1051">
        <v>0</v>
      </c>
      <c r="R38" s="1051">
        <v>0</v>
      </c>
      <c r="S38" s="1051">
        <v>0</v>
      </c>
      <c r="T38" s="1051">
        <v>0</v>
      </c>
      <c r="U38" s="1051">
        <v>0</v>
      </c>
      <c r="V38" s="1051">
        <v>0</v>
      </c>
      <c r="W38" s="1051">
        <v>0</v>
      </c>
      <c r="X38" s="1051">
        <v>0</v>
      </c>
      <c r="Y38" s="1051">
        <v>0</v>
      </c>
      <c r="Z38" s="1075" t="str">
        <f t="shared" si="0"/>
        <v/>
      </c>
      <c r="AA38" s="1114">
        <f t="shared" si="1"/>
        <v>0</v>
      </c>
      <c r="AB38" s="1062" t="str" cm="1">
        <f t="array" ref="AB38">IF(B38="","",IF(SUMPRODUCT(--(D38:AA38&lt;&gt;""),--(D$9:AA$9&lt;&gt;"Total"))&gt;0,"✔",""))</f>
        <v/>
      </c>
      <c r="AC38" s="1053"/>
      <c r="AD38" s="1053"/>
      <c r="AE38" s="1053"/>
      <c r="AF38" s="1053"/>
      <c r="AG38" s="1053"/>
      <c r="AH38" s="1053"/>
      <c r="AI38" s="1053"/>
      <c r="AJ38" s="1053"/>
      <c r="AK38" s="1053"/>
      <c r="AL38" s="1053"/>
      <c r="AM38" s="1053"/>
      <c r="AN38" s="1053"/>
      <c r="AO38" s="1053"/>
      <c r="AP38" s="1053"/>
      <c r="AQ38" s="1053"/>
      <c r="AR38" s="1053"/>
      <c r="AS38" s="1053"/>
      <c r="AT38" s="1053"/>
      <c r="AU38" s="1053"/>
      <c r="AV38" s="1062" t="str">
        <f t="shared" si="2"/>
        <v/>
      </c>
    </row>
    <row r="39" spans="1:48" s="1096" customFormat="1">
      <c r="A39" s="1033"/>
      <c r="B39" s="1074" t="str" cm="1">
        <f t="array" ref="B39">IF(IFERROR(INDEX(tblCatControles[Ítem],_xlfn.AGGREGATE(15,6,(ROW(tblCatControles[Módulo])-ROW(tblCatControles[[#Headers],[Módulo]]))/((tblCatControles[Módulo]="LIMPIEZA CANALETAS")*(tblCatControles[Activo]="Sí")),31)),"")="","",LEFT(IFERROR(INDEX(tblCatControles[Ítem],_xlfn.AGGREGATE(15,6,(ROW(tblCatControles[Módulo])-ROW(tblCatControles[[#Headers],[Módulo]]))/((tblCatControles[Módulo]="LIMPIEZA CANALETAS")*(tblCatControles[Activo]="Sí")),31)),""),FIND("-",IFERROR(INDEX(tblCatControles[Ítem],_xlfn.AGGREGATE(15,6,(ROW(tblCatControles[Módulo])-ROW(tblCatControles[[#Headers],[Módulo]]))/((tblCatControles[Módulo]="LIMPIEZA CANALETAS")*(tblCatControles[Activo]="Sí")),31)),""))-1))</f>
        <v/>
      </c>
      <c r="C39" s="1062" t="str" cm="1">
        <f t="array" ref="C39">IF(IFERROR(INDEX(tblCatControles[Ítem],_xlfn.AGGREGATE(15,6,(ROW(tblCatControles[Módulo])-ROW(tblCatControles[[#Headers],[Módulo]]))/((tblCatControles[Módulo]="LIMPIEZA CANALETAS")*(tblCatControles[Activo]="Sí")),31)),"")="","",MID(IFERROR(INDEX(tblCatControles[Ítem],_xlfn.AGGREGATE(15,6,(ROW(tblCatControles[Módulo])-ROW(tblCatControles[[#Headers],[Módulo]]))/((tblCatControles[Módulo]="LIMPIEZA CANALETAS")*(tblCatControles[Activo]="Sí")),31)),""),FIND("-",IFERROR(INDEX(tblCatControles[Ítem],_xlfn.AGGREGATE(15,6,(ROW(tblCatControles[Módulo])-ROW(tblCatControles[[#Headers],[Módulo]]))/((tblCatControles[Módulo]="LIMPIEZA CANALETAS")*(tblCatControles[Activo]="Sí")),31)),""))+1,20))</f>
        <v/>
      </c>
      <c r="D39" s="1120" t="str" cm="1">
        <f t="array" ref="D39">IFERROR(LEFT(IFERROR(INDEX(tblCatControles[Ubicación / detalle],_xlfn.AGGREGATE(15,6,(ROW(tblCatControles[Módulo])-ROW(tblCatControles[[#Headers],[Módulo]]))/((tblCatControles[Módulo]="LIMPIEZA CANALETAS")*(tblCatControles[Activo]="Sí")),31))&amp;"",""),FIND(" · ",IFERROR(INDEX(tblCatControles[Ubicación / detalle],_xlfn.AGGREGATE(15,6,(ROW(tblCatControles[Módulo])-ROW(tblCatControles[[#Headers],[Módulo]]))/((tblCatControles[Módulo]="LIMPIEZA CANALETAS")*(tblCatControles[Activo]="Sí")),31))&amp;"",""))-1),"")</f>
        <v/>
      </c>
      <c r="E39" s="1120" t="str" cm="1">
        <f t="array" ref="E39">IFERROR(MID(IFERROR(INDEX(tblCatControles[Ubicación / detalle],_xlfn.AGGREGATE(15,6,(ROW(tblCatControles[Módulo])-ROW(tblCatControles[[#Headers],[Módulo]]))/((tblCatControles[Módulo]="LIMPIEZA CANALETAS")*(tblCatControles[Activo]="Sí")),31))&amp;"",""),FIND(" · ",IFERROR(INDEX(tblCatControles[Ubicación / detalle],_xlfn.AGGREGATE(15,6,(ROW(tblCatControles[Módulo])-ROW(tblCatControles[[#Headers],[Módulo]]))/((tblCatControles[Módulo]="LIMPIEZA CANALETAS")*(tblCatControles[Activo]="Sí")),31))&amp;"",""))+3,60),"")</f>
        <v/>
      </c>
      <c r="F39" s="1051"/>
      <c r="G39" s="1051"/>
      <c r="H39" s="1051"/>
      <c r="I39" s="1051"/>
      <c r="J39" s="1051"/>
      <c r="K39" s="1051"/>
      <c r="L39" s="1051"/>
      <c r="M39" s="1051"/>
      <c r="N39" s="1051"/>
      <c r="O39" s="1104">
        <v>0</v>
      </c>
      <c r="P39" s="1051">
        <v>0</v>
      </c>
      <c r="Q39" s="1051">
        <v>0</v>
      </c>
      <c r="R39" s="1051">
        <v>0</v>
      </c>
      <c r="S39" s="1051">
        <v>0</v>
      </c>
      <c r="T39" s="1051">
        <v>0</v>
      </c>
      <c r="U39" s="1051">
        <v>0</v>
      </c>
      <c r="V39" s="1051">
        <v>0</v>
      </c>
      <c r="W39" s="1051">
        <v>0</v>
      </c>
      <c r="X39" s="1051">
        <v>0</v>
      </c>
      <c r="Y39" s="1051">
        <v>0</v>
      </c>
      <c r="Z39" s="1075" t="str">
        <f t="shared" si="0"/>
        <v/>
      </c>
      <c r="AA39" s="1114">
        <f t="shared" si="1"/>
        <v>0</v>
      </c>
      <c r="AB39" s="1062" t="str" cm="1">
        <f t="array" ref="AB39">IF(B39="","",IF(SUMPRODUCT(--(D39:AA39&lt;&gt;""),--(D$9:AA$9&lt;&gt;"Total"))&gt;0,"✔",""))</f>
        <v/>
      </c>
      <c r="AC39" s="1053"/>
      <c r="AD39" s="1053"/>
      <c r="AE39" s="1053"/>
      <c r="AF39" s="1053"/>
      <c r="AG39" s="1053"/>
      <c r="AH39" s="1053"/>
      <c r="AI39" s="1053"/>
      <c r="AJ39" s="1053"/>
      <c r="AK39" s="1053"/>
      <c r="AL39" s="1053"/>
      <c r="AM39" s="1053"/>
      <c r="AN39" s="1053"/>
      <c r="AO39" s="1053"/>
      <c r="AP39" s="1053"/>
      <c r="AQ39" s="1053"/>
      <c r="AR39" s="1053"/>
      <c r="AS39" s="1053"/>
      <c r="AT39" s="1053"/>
      <c r="AU39" s="1053"/>
      <c r="AV39" s="1062" t="str">
        <f t="shared" si="2"/>
        <v/>
      </c>
    </row>
    <row r="40" spans="1:48">
      <c r="A40" s="1033"/>
      <c r="B40" s="1080" t="str" cm="1">
        <f t="array" ref="B40">IF(IFERROR(INDEX(tblCatControles[Ítem],_xlfn.AGGREGATE(15,6,(ROW(tblCatControles[Módulo])-ROW(tblCatControles[[#Headers],[Módulo]]))/((tblCatControles[Módulo]="LIMPIEZA CANALETAS")*(tblCatControles[Activo]="Sí")),32)),"")="","",LEFT(IFERROR(INDEX(tblCatControles[Ítem],_xlfn.AGGREGATE(15,6,(ROW(tblCatControles[Módulo])-ROW(tblCatControles[[#Headers],[Módulo]]))/((tblCatControles[Módulo]="LIMPIEZA CANALETAS")*(tblCatControles[Activo]="Sí")),32)),""),FIND("-",IFERROR(INDEX(tblCatControles[Ítem],_xlfn.AGGREGATE(15,6,(ROW(tblCatControles[Módulo])-ROW(tblCatControles[[#Headers],[Módulo]]))/((tblCatControles[Módulo]="LIMPIEZA CANALETAS")*(tblCatControles[Activo]="Sí")),32)),""))-1))</f>
        <v/>
      </c>
      <c r="C40" s="1080" t="str" cm="1">
        <f t="array" ref="C40">IF(IFERROR(INDEX(tblCatControles[Ítem],_xlfn.AGGREGATE(15,6,(ROW(tblCatControles[Módulo])-ROW(tblCatControles[[#Headers],[Módulo]]))/((tblCatControles[Módulo]="LIMPIEZA CANALETAS")*(tblCatControles[Activo]="Sí")),32)),"")="","",MID(IFERROR(INDEX(tblCatControles[Ítem],_xlfn.AGGREGATE(15,6,(ROW(tblCatControles[Módulo])-ROW(tblCatControles[[#Headers],[Módulo]]))/((tblCatControles[Módulo]="LIMPIEZA CANALETAS")*(tblCatControles[Activo]="Sí")),32)),""),FIND("-",IFERROR(INDEX(tblCatControles[Ítem],_xlfn.AGGREGATE(15,6,(ROW(tblCatControles[Módulo])-ROW(tblCatControles[[#Headers],[Módulo]]))/((tblCatControles[Módulo]="LIMPIEZA CANALETAS")*(tblCatControles[Activo]="Sí")),32)),""))+1,20))</f>
        <v/>
      </c>
      <c r="D40" s="1080" t="str" cm="1">
        <f t="array" ref="D40">IFERROR(LEFT(IFERROR(INDEX(tblCatControles[Ubicación / detalle],_xlfn.AGGREGATE(15,6,(ROW(tblCatControles[Módulo])-ROW(tblCatControles[[#Headers],[Módulo]]))/((tblCatControles[Módulo]="LIMPIEZA CANALETAS")*(tblCatControles[Activo]="Sí")),32))&amp;"",""),FIND(" · ",IFERROR(INDEX(tblCatControles[Ubicación / detalle],_xlfn.AGGREGATE(15,6,(ROW(tblCatControles[Módulo])-ROW(tblCatControles[[#Headers],[Módulo]]))/((tblCatControles[Módulo]="LIMPIEZA CANALETAS")*(tblCatControles[Activo]="Sí")),32))&amp;"",""))-1),"")</f>
        <v/>
      </c>
      <c r="E40" s="1081" t="str" cm="1">
        <f t="array" ref="E40">IFERROR(MID(IFERROR(INDEX(tblCatControles[Ubicación / detalle],_xlfn.AGGREGATE(15,6,(ROW(tblCatControles[Módulo])-ROW(tblCatControles[[#Headers],[Módulo]]))/((tblCatControles[Módulo]="LIMPIEZA CANALETAS")*(tblCatControles[Activo]="Sí")),32))&amp;"",""),FIND(" · ",IFERROR(INDEX(tblCatControles[Ubicación / detalle],_xlfn.AGGREGATE(15,6,(ROW(tblCatControles[Módulo])-ROW(tblCatControles[[#Headers],[Módulo]]))/((tblCatControles[Módulo]="LIMPIEZA CANALETAS")*(tblCatControles[Activo]="Sí")),32))&amp;"",""))+3,60),"")</f>
        <v/>
      </c>
      <c r="F40" s="1082"/>
      <c r="G40" s="1082"/>
      <c r="H40" s="1082"/>
      <c r="I40" s="1082"/>
      <c r="J40" s="1082"/>
      <c r="K40" s="1082"/>
      <c r="L40" s="1082"/>
      <c r="M40" s="1083"/>
      <c r="N40" s="1083"/>
    </row>
    <row r="41" spans="1:48">
      <c r="A41" s="1033"/>
      <c r="B41" s="1033"/>
      <c r="C41" s="1033"/>
      <c r="D41" s="1033"/>
      <c r="E41" s="1033"/>
      <c r="F41" s="1033"/>
      <c r="G41" s="1033"/>
      <c r="H41" s="1033"/>
      <c r="I41" s="1033"/>
      <c r="J41" s="1033"/>
      <c r="K41" s="1033"/>
      <c r="L41" s="1033"/>
      <c r="M41" s="1033"/>
      <c r="N41" s="1033"/>
    </row>
    <row r="42" spans="1:48">
      <c r="A42" s="1033"/>
      <c r="B42" s="1315" t="s">
        <v>9923</v>
      </c>
      <c r="C42" s="1315"/>
      <c r="D42" s="1315"/>
      <c r="E42" s="1315"/>
      <c r="F42" s="1084" t="str">
        <f t="shared" ref="F42:L42" si="3">IF(COUNTIF(F9:F40,"✔")+COUNTIF(F9:F40,"❌")=0,"",COUNTIF(F9:F40,"✔")/(COUNTIF(F9:F40,"✔")+COUNTIF(F9:F40,"❌")))</f>
        <v/>
      </c>
      <c r="G42" s="1084" t="str">
        <f t="shared" si="3"/>
        <v/>
      </c>
      <c r="H42" s="1084" t="str">
        <f t="shared" si="3"/>
        <v/>
      </c>
      <c r="I42" s="1084" t="str">
        <f t="shared" si="3"/>
        <v/>
      </c>
      <c r="J42" s="1084" t="str">
        <f t="shared" si="3"/>
        <v/>
      </c>
      <c r="K42" s="1084" t="str">
        <f t="shared" si="3"/>
        <v/>
      </c>
      <c r="L42" s="1084" t="str">
        <f t="shared" si="3"/>
        <v/>
      </c>
      <c r="M42" s="1055" t="s">
        <v>9925</v>
      </c>
      <c r="N42" s="1085" t="str">
        <f>IF(COUNTIF(F9:L40,"✔")+COUNTIF(F9:L40,"❌")=0,"",COUNTIF(F9:L40,"✔")/(COUNTIF(F9:L40,"✔")+COUNTIF(F9:L40,"❌")))</f>
        <v/>
      </c>
    </row>
    <row r="43" spans="1:48">
      <c r="A43" s="1033"/>
      <c r="B43" s="1315" t="s">
        <v>9924</v>
      </c>
      <c r="C43" s="1315"/>
      <c r="D43" s="1315"/>
      <c r="E43" s="1315"/>
      <c r="F43" s="1066" t="str">
        <f t="shared" ref="F43:L43" si="4">COUNTIF(F9:F40,"✔")&amp;" / "&amp;(COUNTIF(F9:F40,"✔")+COUNTIF(F9:F40,"❌"))</f>
        <v>0 / 0</v>
      </c>
      <c r="G43" s="1066" t="str">
        <f t="shared" si="4"/>
        <v>0 / 0</v>
      </c>
      <c r="H43" s="1066" t="str">
        <f t="shared" si="4"/>
        <v>0 / 0</v>
      </c>
      <c r="I43" s="1066" t="str">
        <f t="shared" si="4"/>
        <v>0 / 0</v>
      </c>
      <c r="J43" s="1066" t="str">
        <f t="shared" si="4"/>
        <v>0 / 0</v>
      </c>
      <c r="K43" s="1066" t="str">
        <f t="shared" si="4"/>
        <v>0 / 0</v>
      </c>
      <c r="L43" s="1066" t="str">
        <f t="shared" si="4"/>
        <v>0 / 0</v>
      </c>
      <c r="M43" s="1055"/>
      <c r="N43" s="1055"/>
    </row>
    <row r="44" spans="1:48">
      <c r="A44" s="1033"/>
      <c r="B44" s="1033"/>
      <c r="C44" s="1033"/>
      <c r="D44" s="1033"/>
      <c r="E44" s="1033"/>
      <c r="F44" s="1033"/>
      <c r="G44" s="1033"/>
      <c r="H44" s="1033"/>
      <c r="I44" s="1033"/>
      <c r="J44" s="1033"/>
      <c r="K44" s="1033"/>
      <c r="L44" s="1033"/>
      <c r="M44" s="1033"/>
      <c r="N44" s="1033"/>
    </row>
    <row r="45" spans="1:48">
      <c r="A45" s="1033"/>
      <c r="B45" s="1033"/>
      <c r="C45" s="1033"/>
      <c r="D45" s="1033"/>
      <c r="E45" s="1033"/>
      <c r="F45" s="1033"/>
      <c r="G45" s="1033"/>
      <c r="H45" s="1033"/>
      <c r="I45" s="1033"/>
      <c r="J45" s="1033"/>
      <c r="K45" s="1033"/>
      <c r="L45" s="1033"/>
      <c r="M45" s="1033"/>
      <c r="N45" s="1033"/>
    </row>
    <row r="46" spans="1:48">
      <c r="A46" s="1033"/>
      <c r="B46" s="1033"/>
      <c r="C46" s="1033"/>
      <c r="D46" s="1033"/>
      <c r="E46" s="1033"/>
      <c r="F46" s="1033"/>
      <c r="G46" s="1033"/>
      <c r="H46" s="1033"/>
      <c r="I46" s="1033"/>
      <c r="J46" s="1033"/>
      <c r="K46" s="1033"/>
      <c r="L46" s="1033"/>
      <c r="M46" s="1033"/>
      <c r="N46" s="1033"/>
    </row>
    <row r="47" spans="1:48">
      <c r="A47" s="1033"/>
      <c r="B47" s="1033"/>
      <c r="C47" s="1033"/>
      <c r="D47" s="1033"/>
      <c r="E47" s="1033"/>
      <c r="F47" s="1033"/>
      <c r="G47" s="1033"/>
      <c r="H47" s="1033"/>
      <c r="I47" s="1033"/>
      <c r="J47" s="1033"/>
      <c r="K47" s="1033"/>
      <c r="L47" s="1033"/>
      <c r="M47" s="1033"/>
      <c r="N47" s="1033"/>
    </row>
    <row r="48" spans="1:48">
      <c r="A48" s="1033"/>
      <c r="B48" s="1033"/>
      <c r="C48" s="1033"/>
      <c r="D48" s="1033"/>
      <c r="E48" s="1033"/>
      <c r="F48" s="1033"/>
      <c r="G48" s="1033"/>
      <c r="H48" s="1033"/>
      <c r="I48" s="1033"/>
      <c r="J48" s="1033"/>
      <c r="K48" s="1033"/>
      <c r="L48" s="1033"/>
      <c r="M48" s="1033"/>
      <c r="N48" s="1033"/>
    </row>
    <row r="49" spans="1:14">
      <c r="A49" s="1033"/>
      <c r="B49" s="1033"/>
      <c r="C49" s="1033"/>
      <c r="D49" s="1033"/>
      <c r="E49" s="1033"/>
      <c r="F49" s="1033"/>
      <c r="G49" s="1033"/>
      <c r="H49" s="1033"/>
      <c r="I49" s="1033"/>
      <c r="J49" s="1033"/>
      <c r="K49" s="1033"/>
      <c r="L49" s="1033"/>
      <c r="M49" s="1033"/>
      <c r="N49" s="1033"/>
    </row>
    <row r="50" spans="1:14">
      <c r="A50" s="1033"/>
      <c r="B50" s="1033"/>
      <c r="C50" s="1033"/>
      <c r="D50" s="1033"/>
      <c r="E50" s="1033"/>
      <c r="F50" s="1033"/>
      <c r="G50" s="1033"/>
      <c r="H50" s="1033"/>
      <c r="I50" s="1033"/>
      <c r="J50" s="1033"/>
      <c r="K50" s="1033"/>
      <c r="L50" s="1033"/>
      <c r="M50" s="1033"/>
      <c r="N50" s="1033"/>
    </row>
    <row r="51" spans="1:14">
      <c r="A51" s="1033"/>
      <c r="B51" s="1033"/>
      <c r="C51" s="1033"/>
      <c r="D51" s="1033"/>
      <c r="E51" s="1033"/>
      <c r="F51" s="1033"/>
      <c r="G51" s="1033"/>
      <c r="H51" s="1033"/>
      <c r="I51" s="1033"/>
      <c r="J51" s="1033"/>
      <c r="K51" s="1033"/>
      <c r="L51" s="1033"/>
      <c r="M51" s="1033"/>
      <c r="N51" s="1033"/>
    </row>
    <row r="52" spans="1:14">
      <c r="A52" s="1033"/>
      <c r="B52" s="1033"/>
      <c r="C52" s="1033"/>
      <c r="D52" s="1033"/>
      <c r="E52" s="1033"/>
      <c r="F52" s="1033"/>
      <c r="G52" s="1033"/>
      <c r="H52" s="1033"/>
      <c r="I52" s="1033"/>
      <c r="J52" s="1033"/>
      <c r="K52" s="1033"/>
      <c r="L52" s="1033"/>
      <c r="M52" s="1033"/>
      <c r="N52" s="1033"/>
    </row>
    <row r="53" spans="1:14">
      <c r="A53" s="1033"/>
      <c r="B53" s="1033"/>
      <c r="C53" s="1033"/>
      <c r="D53" s="1033"/>
      <c r="E53" s="1033"/>
      <c r="F53" s="1033"/>
      <c r="G53" s="1033"/>
      <c r="H53" s="1033"/>
      <c r="I53" s="1033"/>
      <c r="J53" s="1033"/>
      <c r="K53" s="1033"/>
      <c r="L53" s="1033"/>
      <c r="M53" s="1033"/>
      <c r="N53" s="1033"/>
    </row>
    <row r="54" spans="1:14">
      <c r="A54" s="1033"/>
      <c r="B54" s="1033"/>
      <c r="C54" s="1033"/>
      <c r="D54" s="1033"/>
      <c r="E54" s="1033"/>
      <c r="F54" s="1033"/>
      <c r="G54" s="1033"/>
      <c r="H54" s="1033"/>
      <c r="I54" s="1033"/>
      <c r="J54" s="1033"/>
      <c r="K54" s="1033"/>
      <c r="L54" s="1033"/>
      <c r="M54" s="1033"/>
      <c r="N54" s="1033"/>
    </row>
    <row r="55" spans="1:14">
      <c r="A55" s="1033"/>
      <c r="B55" s="1033"/>
      <c r="C55" s="1033"/>
      <c r="D55" s="1033"/>
      <c r="E55" s="1033"/>
      <c r="F55" s="1033"/>
      <c r="G55" s="1033"/>
      <c r="H55" s="1033"/>
      <c r="I55" s="1033"/>
      <c r="J55" s="1033"/>
      <c r="K55" s="1033"/>
      <c r="L55" s="1033"/>
      <c r="M55" s="1033"/>
      <c r="N55" s="1033"/>
    </row>
  </sheetData>
  <mergeCells count="4">
    <mergeCell ref="B1:N1"/>
    <mergeCell ref="D3:E3"/>
    <mergeCell ref="B42:E42"/>
    <mergeCell ref="B43:E43"/>
  </mergeCells>
  <conditionalFormatting sqref="F9:L40">
    <cfRule type="cellIs" dxfId="89" priority="1" operator="equal">
      <formula>"✔"</formula>
    </cfRule>
  </conditionalFormatting>
  <conditionalFormatting sqref="F9:L40">
    <cfRule type="cellIs" dxfId="88" priority="2" operator="equal">
      <formula>"❌"</formula>
    </cfRule>
  </conditionalFormatting>
  <conditionalFormatting sqref="F9:L40">
    <cfRule type="cellIs" dxfId="87" priority="3" operator="equal">
      <formula>"NA"</formula>
    </cfRule>
  </conditionalFormatting>
  <dataValidations count="3">
    <dataValidation type="custom" allowBlank="1" showInputMessage="1" showErrorMessage="1" errorTitle="Valor no válido" error="Escriba un % de carga dentro del rango Mín/Máx de la columna (Catálogo Controles), en un día del mes." sqref="AC30:AU39" xr:uid="{898039D9-DFDB-4330-85D1-B3137E1853B0}">
      <formula1>AND($B30&lt;&gt;"",ISNUMBER(AC30),AC30&gt;=AC$6,AC30&lt;=AC$7)</formula1>
    </dataValidation>
    <dataValidation type="custom" allowBlank="1" showInputMessage="1" showErrorMessage="1" errorTitle="Valor no válido" error="Escriba un número dentro del rango Mín/Máx de la columna (Catálogo Controles), en un día del mes." sqref="D30:E39 M30:Y39" xr:uid="{C0FA433F-0D24-4F31-AF5C-BF31B2DE3F86}">
      <formula1>AND($B30&lt;&gt;"",ISNUMBER(D30),D30&gt;=D$6,D30&lt;=D$7)</formula1>
    </dataValidation>
    <dataValidation type="list" allowBlank="1" showInputMessage="1" showErrorMessage="1" errorTitle="Valor no válido" error="Use ✔, ❌ o NA." sqref="F9:L40" xr:uid="{E05582C1-22CA-422A-BB7B-D20B1FD6F4A7}">
      <formula1>"✔,❌,NA"</formula1>
    </dataValidation>
  </dataValidations>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Control Canaletas — Página &amp;P de &amp;F</oddFooter>
  </headerFooter>
  <drawing r:id="rId1"/>
  <extLst>
    <ext xmlns:x14="http://schemas.microsoft.com/office/spreadsheetml/2009/9/main" uri="{CCE6A557-97BC-4b89-ADB6-D9C93CAAB3DF}">
      <x14:dataValidations xmlns:xm="http://schemas.microsoft.com/office/excel/2006/main" count="1">
        <x14:dataValidation type="list" allowBlank="1" showInputMessage="1" showErrorMessage="1" errorTitle="Semana no válida" error="Elija el lunes de una semana de la lista (semanas que tocan el mes de Config)." xr:uid="{F59246F3-766F-48A1-AAA2-AD7AB21FD41C}">
          <x14:formula1>
            <xm:f>OFFSET(Listas!$U$5,0,0,Listas!$V$5,1)</xm:f>
          </x14:formula1>
          <xm:sqref>D4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ACF1E-0C56-4EC3-B89B-864ED63001BA}">
  <sheetPr codeName="Hoja14">
    <tabColor rgb="FF548235"/>
    <pageSetUpPr fitToPage="1"/>
  </sheetPr>
  <dimension ref="B1:N58"/>
  <sheetViews>
    <sheetView showGridLines="0" zoomScale="70" zoomScaleNormal="70" workbookViewId="0">
      <pane ySplit="4" topLeftCell="A5" activePane="bottomLeft" state="frozen"/>
      <selection pane="bottomLeft" activeCell="H24" sqref="H24"/>
    </sheetView>
  </sheetViews>
  <sheetFormatPr baseColWidth="10" defaultRowHeight="15"/>
  <cols>
    <col min="1" max="1" width="2.85546875" customWidth="1"/>
    <col min="2" max="3" width="15.28515625" customWidth="1"/>
    <col min="4" max="5" width="13.28515625" customWidth="1"/>
    <col min="6" max="7" width="15.28515625" customWidth="1"/>
    <col min="8" max="10" width="21" customWidth="1"/>
    <col min="11" max="11" width="80" customWidth="1"/>
    <col min="12" max="12" width="17.140625" customWidth="1"/>
    <col min="13" max="13" width="21" customWidth="1"/>
    <col min="14" max="14" width="36.140625" customWidth="1"/>
  </cols>
  <sheetData>
    <row r="1" spans="2:14" ht="18.75">
      <c r="B1" s="948" t="s">
        <v>10262</v>
      </c>
    </row>
    <row r="2" spans="2:14">
      <c r="B2" s="949" t="s">
        <v>9549</v>
      </c>
    </row>
    <row r="4" spans="2:14" ht="42" customHeight="1">
      <c r="B4" s="977" t="s">
        <v>3</v>
      </c>
      <c r="C4" s="977" t="s">
        <v>254</v>
      </c>
      <c r="D4" s="977" t="s">
        <v>255</v>
      </c>
      <c r="E4" s="977" t="s">
        <v>256</v>
      </c>
      <c r="F4" s="977" t="s">
        <v>9550</v>
      </c>
      <c r="G4" s="977" t="s">
        <v>9551</v>
      </c>
      <c r="H4" s="977" t="s">
        <v>9552</v>
      </c>
      <c r="I4" s="977" t="s">
        <v>257</v>
      </c>
      <c r="J4" s="977" t="s">
        <v>9545</v>
      </c>
      <c r="K4" s="977" t="s">
        <v>258</v>
      </c>
      <c r="L4" s="977" t="s">
        <v>2469</v>
      </c>
      <c r="M4" s="977" t="s">
        <v>9327</v>
      </c>
      <c r="N4" s="977" t="s">
        <v>2523</v>
      </c>
    </row>
    <row r="5" spans="2:14">
      <c r="B5" s="953">
        <v>46266</v>
      </c>
      <c r="C5" s="955" t="s">
        <v>259</v>
      </c>
      <c r="D5" s="954">
        <v>0</v>
      </c>
      <c r="E5" s="954">
        <v>0.95069444444444395</v>
      </c>
      <c r="F5" s="990">
        <v>0</v>
      </c>
      <c r="G5" s="991">
        <v>200</v>
      </c>
      <c r="H5" s="992">
        <f>IF(tblParadas[[#This Row],[TM/h no procesadas]]="","",tblParadas[[#This Row],[Horas perdidas]]*tblParadas[[#This Row],[TM/h no procesadas]])</f>
        <v>0</v>
      </c>
      <c r="I5" s="992">
        <f>IF(tblParadas[[#This Row],[Mineral no procesado (TM)]]="","",tblParadas[[#This Row],[Mineral no procesado (TM)]]/SUMIFS(tblMetas[Valor],tblMetas[Código],"RATIO_MIN_CONC",tblMetas[Desde],"&lt;="&amp;tblParadas[[#This Row],[Fecha]],tblMetas[Hasta],"&gt;="&amp;tblParadas[[#This Row],[Fecha]]))</f>
        <v>0</v>
      </c>
      <c r="J5" s="955" t="s">
        <v>260</v>
      </c>
      <c r="K5" s="955" t="s">
        <v>261</v>
      </c>
      <c r="L5"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5" t="s">
        <v>9348</v>
      </c>
      <c r="N5" t="s">
        <v>9553</v>
      </c>
    </row>
    <row r="6" spans="2:14">
      <c r="B6" s="953">
        <v>46266</v>
      </c>
      <c r="C6" s="955" t="s">
        <v>262</v>
      </c>
      <c r="D6" s="954">
        <v>0.95347222222222205</v>
      </c>
      <c r="E6" s="954">
        <v>0</v>
      </c>
      <c r="F6" s="990">
        <v>0</v>
      </c>
      <c r="G6" s="991">
        <v>200</v>
      </c>
      <c r="H6" s="992">
        <f>IF(tblParadas[[#This Row],[TM/h no procesadas]]="","",tblParadas[[#This Row],[Horas perdidas]]*tblParadas[[#This Row],[TM/h no procesadas]])</f>
        <v>0</v>
      </c>
      <c r="I6" s="992">
        <f>IF(tblParadas[[#This Row],[Mineral no procesado (TM)]]="","",tblParadas[[#This Row],[Mineral no procesado (TM)]]/SUMIFS(tblMetas[Valor],tblMetas[Código],"RATIO_MIN_CONC",tblMetas[Desde],"&lt;="&amp;tblParadas[[#This Row],[Fecha]],tblMetas[Hasta],"&gt;="&amp;tblParadas[[#This Row],[Fecha]]))</f>
        <v>0</v>
      </c>
      <c r="J6" s="955" t="s">
        <v>260</v>
      </c>
      <c r="K6" s="955" t="s">
        <v>263</v>
      </c>
      <c r="L6"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6" t="s">
        <v>9348</v>
      </c>
      <c r="N6" t="s">
        <v>9553</v>
      </c>
    </row>
    <row r="7" spans="2:14">
      <c r="B7" s="953">
        <v>46268</v>
      </c>
      <c r="C7" s="955" t="s">
        <v>264</v>
      </c>
      <c r="D7" s="954">
        <v>0.72222222222222199</v>
      </c>
      <c r="E7" s="954">
        <v>0.80138888888888904</v>
      </c>
      <c r="F7" s="990">
        <v>1.9</v>
      </c>
      <c r="G7" s="991">
        <v>220</v>
      </c>
      <c r="H7" s="992">
        <f>IF(tblParadas[[#This Row],[TM/h no procesadas]]="","",tblParadas[[#This Row],[Horas perdidas]]*tblParadas[[#This Row],[TM/h no procesadas]])</f>
        <v>418</v>
      </c>
      <c r="I7" s="992">
        <f>IF(tblParadas[[#This Row],[Mineral no procesado (TM)]]="","",tblParadas[[#This Row],[Mineral no procesado (TM)]]/SUMIFS(tblMetas[Valor],tblMetas[Código],"RATIO_MIN_CONC",tblMetas[Desde],"&lt;="&amp;tblParadas[[#This Row],[Fecha]],tblMetas[Hasta],"&gt;="&amp;tblParadas[[#This Row],[Fecha]]))</f>
        <v>278.66666666666669</v>
      </c>
      <c r="J7" s="955" t="s">
        <v>9546</v>
      </c>
      <c r="K7" s="955" t="s">
        <v>265</v>
      </c>
      <c r="L7"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7" t="s">
        <v>9348</v>
      </c>
      <c r="N7" t="s">
        <v>9553</v>
      </c>
    </row>
    <row r="8" spans="2:14">
      <c r="B8" s="953">
        <v>46268</v>
      </c>
      <c r="C8" s="955" t="s">
        <v>264</v>
      </c>
      <c r="D8" s="954">
        <v>0.81111111111111101</v>
      </c>
      <c r="E8" s="954">
        <v>0.91874999999999996</v>
      </c>
      <c r="F8" s="990">
        <v>2.58</v>
      </c>
      <c r="G8" s="991">
        <v>220</v>
      </c>
      <c r="H8" s="992">
        <f>IF(tblParadas[[#This Row],[TM/h no procesadas]]="","",tblParadas[[#This Row],[Horas perdidas]]*tblParadas[[#This Row],[TM/h no procesadas]])</f>
        <v>567.6</v>
      </c>
      <c r="I8" s="992">
        <f>IF(tblParadas[[#This Row],[Mineral no procesado (TM)]]="","",tblParadas[[#This Row],[Mineral no procesado (TM)]]/SUMIFS(tblMetas[Valor],tblMetas[Código],"RATIO_MIN_CONC",tblMetas[Desde],"&lt;="&amp;tblParadas[[#This Row],[Fecha]],tblMetas[Hasta],"&gt;="&amp;tblParadas[[#This Row],[Fecha]]))</f>
        <v>378.40000000000003</v>
      </c>
      <c r="J8" s="955" t="s">
        <v>9547</v>
      </c>
      <c r="K8" s="955" t="s">
        <v>265</v>
      </c>
      <c r="L8"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8" t="s">
        <v>9348</v>
      </c>
      <c r="N8" t="s">
        <v>9553</v>
      </c>
    </row>
    <row r="9" spans="2:14">
      <c r="B9" s="953">
        <v>46268</v>
      </c>
      <c r="C9" s="955" t="s">
        <v>266</v>
      </c>
      <c r="D9" s="954">
        <v>0.72708333333333297</v>
      </c>
      <c r="E9" s="954">
        <v>0.80069444444444404</v>
      </c>
      <c r="F9" s="990">
        <v>1.9</v>
      </c>
      <c r="G9" s="991">
        <v>180</v>
      </c>
      <c r="H9" s="992">
        <f>IF(tblParadas[[#This Row],[TM/h no procesadas]]="","",tblParadas[[#This Row],[Horas perdidas]]*tblParadas[[#This Row],[TM/h no procesadas]])</f>
        <v>342</v>
      </c>
      <c r="I9" s="992">
        <f>IF(tblParadas[[#This Row],[Mineral no procesado (TM)]]="","",tblParadas[[#This Row],[Mineral no procesado (TM)]]/SUMIFS(tblMetas[Valor],tblMetas[Código],"RATIO_MIN_CONC",tblMetas[Desde],"&lt;="&amp;tblParadas[[#This Row],[Fecha]],tblMetas[Hasta],"&gt;="&amp;tblParadas[[#This Row],[Fecha]]))</f>
        <v>228</v>
      </c>
      <c r="J9" s="955" t="s">
        <v>9546</v>
      </c>
      <c r="K9" s="955" t="s">
        <v>9554</v>
      </c>
      <c r="L9"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Revisar horas</v>
      </c>
      <c r="M9" t="s">
        <v>9348</v>
      </c>
      <c r="N9" t="s">
        <v>9553</v>
      </c>
    </row>
    <row r="10" spans="2:14">
      <c r="B10" s="953">
        <v>46268</v>
      </c>
      <c r="C10" s="955" t="s">
        <v>266</v>
      </c>
      <c r="D10" s="954">
        <v>0.81041666666666701</v>
      </c>
      <c r="E10" s="954">
        <v>0.91666666666666696</v>
      </c>
      <c r="F10" s="990">
        <v>2.5</v>
      </c>
      <c r="G10" s="991">
        <v>180</v>
      </c>
      <c r="H10" s="992">
        <f>IF(tblParadas[[#This Row],[TM/h no procesadas]]="","",tblParadas[[#This Row],[Horas perdidas]]*tblParadas[[#This Row],[TM/h no procesadas]])</f>
        <v>450</v>
      </c>
      <c r="I10" s="992">
        <f>IF(tblParadas[[#This Row],[Mineral no procesado (TM)]]="","",tblParadas[[#This Row],[Mineral no procesado (TM)]]/SUMIFS(tblMetas[Valor],tblMetas[Código],"RATIO_MIN_CONC",tblMetas[Desde],"&lt;="&amp;tblParadas[[#This Row],[Fecha]],tblMetas[Hasta],"&gt;="&amp;tblParadas[[#This Row],[Fecha]]))</f>
        <v>300</v>
      </c>
      <c r="J10" s="955" t="s">
        <v>9547</v>
      </c>
      <c r="K10" s="955" t="s">
        <v>267</v>
      </c>
      <c r="L10"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10" t="s">
        <v>9348</v>
      </c>
      <c r="N10" t="s">
        <v>9553</v>
      </c>
    </row>
    <row r="11" spans="2:14">
      <c r="B11" s="953">
        <v>46269</v>
      </c>
      <c r="C11" s="955" t="s">
        <v>262</v>
      </c>
      <c r="D11" s="954">
        <v>0</v>
      </c>
      <c r="E11" s="954">
        <v>0.70625000000000004</v>
      </c>
      <c r="F11" s="990">
        <v>0</v>
      </c>
      <c r="G11" s="991">
        <v>220</v>
      </c>
      <c r="H11" s="992">
        <f>IF(tblParadas[[#This Row],[TM/h no procesadas]]="","",tblParadas[[#This Row],[Horas perdidas]]*tblParadas[[#This Row],[TM/h no procesadas]])</f>
        <v>0</v>
      </c>
      <c r="I11" s="992">
        <f>IF(tblParadas[[#This Row],[Mineral no procesado (TM)]]="","",tblParadas[[#This Row],[Mineral no procesado (TM)]]/SUMIFS(tblMetas[Valor],tblMetas[Código],"RATIO_MIN_CONC",tblMetas[Desde],"&lt;="&amp;tblParadas[[#This Row],[Fecha]],tblMetas[Hasta],"&gt;="&amp;tblParadas[[#This Row],[Fecha]]))</f>
        <v>0</v>
      </c>
      <c r="J11" s="955" t="s">
        <v>260</v>
      </c>
      <c r="K11" s="955" t="s">
        <v>268</v>
      </c>
      <c r="L11"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11" t="s">
        <v>9348</v>
      </c>
      <c r="N11" t="s">
        <v>9555</v>
      </c>
    </row>
    <row r="12" spans="2:14">
      <c r="B12" s="953">
        <v>46269</v>
      </c>
      <c r="C12" s="955" t="s">
        <v>269</v>
      </c>
      <c r="D12" s="954">
        <v>0.70138888888888895</v>
      </c>
      <c r="E12" s="954">
        <v>0</v>
      </c>
      <c r="F12" s="990">
        <v>0</v>
      </c>
      <c r="G12" s="991">
        <v>220</v>
      </c>
      <c r="H12" s="992">
        <f>IF(tblParadas[[#This Row],[TM/h no procesadas]]="","",tblParadas[[#This Row],[Horas perdidas]]*tblParadas[[#This Row],[TM/h no procesadas]])</f>
        <v>0</v>
      </c>
      <c r="I12" s="992">
        <f>IF(tblParadas[[#This Row],[Mineral no procesado (TM)]]="","",tblParadas[[#This Row],[Mineral no procesado (TM)]]/SUMIFS(tblMetas[Valor],tblMetas[Código],"RATIO_MIN_CONC",tblMetas[Desde],"&lt;="&amp;tblParadas[[#This Row],[Fecha]],tblMetas[Hasta],"&gt;="&amp;tblParadas[[#This Row],[Fecha]]))</f>
        <v>0</v>
      </c>
      <c r="J12" s="955" t="s">
        <v>260</v>
      </c>
      <c r="K12" s="955" t="s">
        <v>270</v>
      </c>
      <c r="L12"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12" t="s">
        <v>9348</v>
      </c>
      <c r="N12" t="s">
        <v>9553</v>
      </c>
    </row>
    <row r="13" spans="2:14">
      <c r="B13" s="953">
        <v>46269</v>
      </c>
      <c r="C13" s="955" t="s">
        <v>271</v>
      </c>
      <c r="D13" s="954">
        <v>0</v>
      </c>
      <c r="E13" s="954">
        <v>0.77708333333333302</v>
      </c>
      <c r="F13" s="990">
        <v>0</v>
      </c>
      <c r="G13" s="991">
        <v>220</v>
      </c>
      <c r="H13" s="992">
        <f>IF(tblParadas[[#This Row],[TM/h no procesadas]]="","",tblParadas[[#This Row],[Horas perdidas]]*tblParadas[[#This Row],[TM/h no procesadas]])</f>
        <v>0</v>
      </c>
      <c r="I13" s="992">
        <f>IF(tblParadas[[#This Row],[Mineral no procesado (TM)]]="","",tblParadas[[#This Row],[Mineral no procesado (TM)]]/SUMIFS(tblMetas[Valor],tblMetas[Código],"RATIO_MIN_CONC",tblMetas[Desde],"&lt;="&amp;tblParadas[[#This Row],[Fecha]],tblMetas[Hasta],"&gt;="&amp;tblParadas[[#This Row],[Fecha]]))</f>
        <v>0</v>
      </c>
      <c r="J13" s="955" t="s">
        <v>260</v>
      </c>
      <c r="K13" s="955" t="s">
        <v>272</v>
      </c>
      <c r="L13"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13" t="s">
        <v>9348</v>
      </c>
      <c r="N13" t="s">
        <v>9553</v>
      </c>
    </row>
    <row r="14" spans="2:14">
      <c r="B14" s="953">
        <v>46269</v>
      </c>
      <c r="C14" s="955" t="s">
        <v>273</v>
      </c>
      <c r="D14" s="954">
        <v>0.76041666666666696</v>
      </c>
      <c r="E14" s="954">
        <v>0</v>
      </c>
      <c r="F14" s="990">
        <v>0</v>
      </c>
      <c r="G14" s="991">
        <v>220</v>
      </c>
      <c r="H14" s="992">
        <f>IF(tblParadas[[#This Row],[TM/h no procesadas]]="","",tblParadas[[#This Row],[Horas perdidas]]*tblParadas[[#This Row],[TM/h no procesadas]])</f>
        <v>0</v>
      </c>
      <c r="I14" s="992">
        <f>IF(tblParadas[[#This Row],[Mineral no procesado (TM)]]="","",tblParadas[[#This Row],[Mineral no procesado (TM)]]/SUMIFS(tblMetas[Valor],tblMetas[Código],"RATIO_MIN_CONC",tblMetas[Desde],"&lt;="&amp;tblParadas[[#This Row],[Fecha]],tblMetas[Hasta],"&gt;="&amp;tblParadas[[#This Row],[Fecha]]))</f>
        <v>0</v>
      </c>
      <c r="J14" s="955" t="s">
        <v>260</v>
      </c>
      <c r="K14" s="955" t="s">
        <v>274</v>
      </c>
      <c r="L14"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14" t="s">
        <v>9348</v>
      </c>
      <c r="N14" t="s">
        <v>9553</v>
      </c>
    </row>
    <row r="15" spans="2:14">
      <c r="B15" s="953">
        <v>46269</v>
      </c>
      <c r="C15" s="955" t="s">
        <v>264</v>
      </c>
      <c r="D15" s="954">
        <v>0.63888888888888895</v>
      </c>
      <c r="E15" s="954">
        <v>0.67777777777777803</v>
      </c>
      <c r="F15" s="990">
        <v>0.95</v>
      </c>
      <c r="G15" s="991">
        <v>220</v>
      </c>
      <c r="H15" s="992">
        <f>IF(tblParadas[[#This Row],[TM/h no procesadas]]="","",tblParadas[[#This Row],[Horas perdidas]]*tblParadas[[#This Row],[TM/h no procesadas]])</f>
        <v>209</v>
      </c>
      <c r="I15" s="992">
        <f>IF(tblParadas[[#This Row],[Mineral no procesado (TM)]]="","",tblParadas[[#This Row],[Mineral no procesado (TM)]]/SUMIFS(tblMetas[Valor],tblMetas[Código],"RATIO_MIN_CONC",tblMetas[Desde],"&lt;="&amp;tblParadas[[#This Row],[Fecha]],tblMetas[Hasta],"&gt;="&amp;tblParadas[[#This Row],[Fecha]]))</f>
        <v>139.33333333333334</v>
      </c>
      <c r="J15" s="955" t="s">
        <v>9546</v>
      </c>
      <c r="K15" s="955" t="s">
        <v>275</v>
      </c>
      <c r="L15"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15" t="s">
        <v>9348</v>
      </c>
      <c r="N15" t="s">
        <v>9553</v>
      </c>
    </row>
    <row r="16" spans="2:14">
      <c r="B16" s="953">
        <v>46271</v>
      </c>
      <c r="C16" s="955" t="s">
        <v>276</v>
      </c>
      <c r="D16" s="954">
        <v>0.36111111111111099</v>
      </c>
      <c r="E16" s="954">
        <v>0.42777777777777798</v>
      </c>
      <c r="F16" s="990">
        <v>1.52</v>
      </c>
      <c r="G16" s="991">
        <v>150</v>
      </c>
      <c r="H16" s="992">
        <f>IF(tblParadas[[#This Row],[TM/h no procesadas]]="","",tblParadas[[#This Row],[Horas perdidas]]*tblParadas[[#This Row],[TM/h no procesadas]])</f>
        <v>228</v>
      </c>
      <c r="I16" s="992">
        <f>IF(tblParadas[[#This Row],[Mineral no procesado (TM)]]="","",tblParadas[[#This Row],[Mineral no procesado (TM)]]/SUMIFS(tblMetas[Valor],tblMetas[Código],"RATIO_MIN_CONC",tblMetas[Desde],"&lt;="&amp;tblParadas[[#This Row],[Fecha]],tblMetas[Hasta],"&gt;="&amp;tblParadas[[#This Row],[Fecha]]))</f>
        <v>152</v>
      </c>
      <c r="J16" s="955" t="s">
        <v>9546</v>
      </c>
      <c r="K16" s="955" t="s">
        <v>277</v>
      </c>
      <c r="L16"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Revisar horas</v>
      </c>
      <c r="M16" t="s">
        <v>9348</v>
      </c>
      <c r="N16" t="s">
        <v>9553</v>
      </c>
    </row>
    <row r="17" spans="2:14">
      <c r="B17" s="953">
        <v>46272</v>
      </c>
      <c r="C17" s="955" t="s">
        <v>276</v>
      </c>
      <c r="D17" s="954">
        <v>0.89583333333333304</v>
      </c>
      <c r="E17" s="954">
        <v>0.97916666666666696</v>
      </c>
      <c r="F17" s="990">
        <v>2</v>
      </c>
      <c r="G17" s="991">
        <v>150</v>
      </c>
      <c r="H17" s="992">
        <f>IF(tblParadas[[#This Row],[TM/h no procesadas]]="","",tblParadas[[#This Row],[Horas perdidas]]*tblParadas[[#This Row],[TM/h no procesadas]])</f>
        <v>300</v>
      </c>
      <c r="I17" s="992">
        <f>IF(tblParadas[[#This Row],[Mineral no procesado (TM)]]="","",tblParadas[[#This Row],[Mineral no procesado (TM)]]/SUMIFS(tblMetas[Valor],tblMetas[Código],"RATIO_MIN_CONC",tblMetas[Desde],"&lt;="&amp;tblParadas[[#This Row],[Fecha]],tblMetas[Hasta],"&gt;="&amp;tblParadas[[#This Row],[Fecha]]))</f>
        <v>200</v>
      </c>
      <c r="J17" s="955" t="s">
        <v>9546</v>
      </c>
      <c r="K17" s="955" t="s">
        <v>278</v>
      </c>
      <c r="L17"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17" t="s">
        <v>9348</v>
      </c>
      <c r="N17" t="s">
        <v>9553</v>
      </c>
    </row>
    <row r="18" spans="2:14">
      <c r="B18" s="953">
        <v>46273</v>
      </c>
      <c r="C18" s="955" t="s">
        <v>279</v>
      </c>
      <c r="D18" s="954">
        <v>0.88333333333333297</v>
      </c>
      <c r="E18" s="954">
        <v>8.8194444444444506E-2</v>
      </c>
      <c r="F18" s="990">
        <v>4.91</v>
      </c>
      <c r="G18" s="991">
        <v>60</v>
      </c>
      <c r="H18" s="992">
        <f>IF(tblParadas[[#This Row],[TM/h no procesadas]]="","",tblParadas[[#This Row],[Horas perdidas]]*tblParadas[[#This Row],[TM/h no procesadas]])</f>
        <v>294.60000000000002</v>
      </c>
      <c r="I18" s="992">
        <f>IF(tblParadas[[#This Row],[Mineral no procesado (TM)]]="","",tblParadas[[#This Row],[Mineral no procesado (TM)]]/SUMIFS(tblMetas[Valor],tblMetas[Código],"RATIO_MIN_CONC",tblMetas[Desde],"&lt;="&amp;tblParadas[[#This Row],[Fecha]],tblMetas[Hasta],"&gt;="&amp;tblParadas[[#This Row],[Fecha]]))</f>
        <v>196.4</v>
      </c>
      <c r="J18" s="955" t="s">
        <v>9546</v>
      </c>
      <c r="K18" s="955" t="s">
        <v>280</v>
      </c>
      <c r="L18"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18" t="s">
        <v>9348</v>
      </c>
      <c r="N18" t="s">
        <v>9553</v>
      </c>
    </row>
    <row r="19" spans="2:14">
      <c r="B19" s="953">
        <v>46274</v>
      </c>
      <c r="C19" s="955" t="s">
        <v>279</v>
      </c>
      <c r="D19" s="954">
        <v>0.97638888888888897</v>
      </c>
      <c r="E19" s="954">
        <v>5.5555555555555601E-3</v>
      </c>
      <c r="F19" s="990">
        <v>0.7</v>
      </c>
      <c r="G19" s="991">
        <v>60</v>
      </c>
      <c r="H19" s="992">
        <f>IF(tblParadas[[#This Row],[TM/h no procesadas]]="","",tblParadas[[#This Row],[Horas perdidas]]*tblParadas[[#This Row],[TM/h no procesadas]])</f>
        <v>42</v>
      </c>
      <c r="I19" s="992">
        <f>IF(tblParadas[[#This Row],[Mineral no procesado (TM)]]="","",tblParadas[[#This Row],[Mineral no procesado (TM)]]/SUMIFS(tblMetas[Valor],tblMetas[Código],"RATIO_MIN_CONC",tblMetas[Desde],"&lt;="&amp;tblParadas[[#This Row],[Fecha]],tblMetas[Hasta],"&gt;="&amp;tblParadas[[#This Row],[Fecha]]))</f>
        <v>28</v>
      </c>
      <c r="J19" s="955" t="s">
        <v>9546</v>
      </c>
      <c r="K19" s="955" t="s">
        <v>281</v>
      </c>
      <c r="L19"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19" t="s">
        <v>9348</v>
      </c>
      <c r="N19" t="s">
        <v>9553</v>
      </c>
    </row>
    <row r="20" spans="2:14">
      <c r="B20" s="953">
        <v>46275</v>
      </c>
      <c r="C20" s="955" t="s">
        <v>273</v>
      </c>
      <c r="D20" s="954">
        <v>0.120138888888889</v>
      </c>
      <c r="E20" s="954">
        <v>0.124305555555556</v>
      </c>
      <c r="F20" s="990">
        <v>0.1</v>
      </c>
      <c r="G20" s="991">
        <v>150</v>
      </c>
      <c r="H20" s="992">
        <f>IF(tblParadas[[#This Row],[TM/h no procesadas]]="","",tblParadas[[#This Row],[Horas perdidas]]*tblParadas[[#This Row],[TM/h no procesadas]])</f>
        <v>15</v>
      </c>
      <c r="I20" s="992">
        <f>IF(tblParadas[[#This Row],[Mineral no procesado (TM)]]="","",tblParadas[[#This Row],[Mineral no procesado (TM)]]/SUMIFS(tblMetas[Valor],tblMetas[Código],"RATIO_MIN_CONC",tblMetas[Desde],"&lt;="&amp;tblParadas[[#This Row],[Fecha]],tblMetas[Hasta],"&gt;="&amp;tblParadas[[#This Row],[Fecha]]))</f>
        <v>10</v>
      </c>
      <c r="J20" s="955" t="s">
        <v>9546</v>
      </c>
      <c r="K20" s="955" t="s">
        <v>282</v>
      </c>
      <c r="L20"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20" t="s">
        <v>9348</v>
      </c>
      <c r="N20" t="s">
        <v>9553</v>
      </c>
    </row>
    <row r="21" spans="2:14">
      <c r="B21" s="953">
        <v>46276</v>
      </c>
      <c r="C21" s="955" t="s">
        <v>283</v>
      </c>
      <c r="D21" s="954">
        <v>0.27777777777777801</v>
      </c>
      <c r="E21" s="954">
        <v>0.33333333333333298</v>
      </c>
      <c r="F21" s="990">
        <v>1.33</v>
      </c>
      <c r="G21" s="991">
        <v>1530</v>
      </c>
      <c r="H21" s="992">
        <f>IF(tblParadas[[#This Row],[TM/h no procesadas]]="","",tblParadas[[#This Row],[Horas perdidas]]*tblParadas[[#This Row],[TM/h no procesadas]])</f>
        <v>2034.9</v>
      </c>
      <c r="I21" s="992">
        <f>IF(tblParadas[[#This Row],[Mineral no procesado (TM)]]="","",tblParadas[[#This Row],[Mineral no procesado (TM)]]/SUMIFS(tblMetas[Valor],tblMetas[Código],"RATIO_MIN_CONC",tblMetas[Desde],"&lt;="&amp;tblParadas[[#This Row],[Fecha]],tblMetas[Hasta],"&gt;="&amp;tblParadas[[#This Row],[Fecha]]))</f>
        <v>1356.6000000000001</v>
      </c>
      <c r="J21" s="955" t="s">
        <v>9547</v>
      </c>
      <c r="K21" s="955" t="s">
        <v>284</v>
      </c>
      <c r="L21"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21" t="s">
        <v>9348</v>
      </c>
      <c r="N21" t="s">
        <v>9553</v>
      </c>
    </row>
    <row r="22" spans="2:14">
      <c r="B22" s="953">
        <v>46276</v>
      </c>
      <c r="C22" s="955" t="s">
        <v>285</v>
      </c>
      <c r="D22" s="954">
        <v>0.27777777777777801</v>
      </c>
      <c r="E22" s="954">
        <v>0.33333333333333298</v>
      </c>
      <c r="F22" s="990">
        <v>1.33</v>
      </c>
      <c r="G22" s="991">
        <v>1250</v>
      </c>
      <c r="H22" s="992">
        <f>IF(tblParadas[[#This Row],[TM/h no procesadas]]="","",tblParadas[[#This Row],[Horas perdidas]]*tblParadas[[#This Row],[TM/h no procesadas]])</f>
        <v>1662.5</v>
      </c>
      <c r="I22" s="992">
        <f>IF(tblParadas[[#This Row],[Mineral no procesado (TM)]]="","",tblParadas[[#This Row],[Mineral no procesado (TM)]]/SUMIFS(tblMetas[Valor],tblMetas[Código],"RATIO_MIN_CONC",tblMetas[Desde],"&lt;="&amp;tblParadas[[#This Row],[Fecha]],tblMetas[Hasta],"&gt;="&amp;tblParadas[[#This Row],[Fecha]]))</f>
        <v>1108.3333333333333</v>
      </c>
      <c r="J22" s="955" t="s">
        <v>9547</v>
      </c>
      <c r="K22" s="955" t="s">
        <v>284</v>
      </c>
      <c r="L22"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22" t="s">
        <v>9348</v>
      </c>
      <c r="N22" t="s">
        <v>9553</v>
      </c>
    </row>
    <row r="23" spans="2:14">
      <c r="B23" s="953">
        <v>46278</v>
      </c>
      <c r="C23" s="955" t="s">
        <v>259</v>
      </c>
      <c r="D23" s="954">
        <v>0.22916666666666699</v>
      </c>
      <c r="E23" s="954">
        <v>0.33333333333333298</v>
      </c>
      <c r="F23" s="990">
        <v>2.5</v>
      </c>
      <c r="G23" s="991">
        <v>200</v>
      </c>
      <c r="H23" s="992">
        <f>IF(tblParadas[[#This Row],[TM/h no procesadas]]="","",tblParadas[[#This Row],[Horas perdidas]]*tblParadas[[#This Row],[TM/h no procesadas]])</f>
        <v>500</v>
      </c>
      <c r="I23" s="992">
        <f>IF(tblParadas[[#This Row],[Mineral no procesado (TM)]]="","",tblParadas[[#This Row],[Mineral no procesado (TM)]]/SUMIFS(tblMetas[Valor],tblMetas[Código],"RATIO_MIN_CONC",tblMetas[Desde],"&lt;="&amp;tblParadas[[#This Row],[Fecha]],tblMetas[Hasta],"&gt;="&amp;tblParadas[[#This Row],[Fecha]]))</f>
        <v>333.33333333333331</v>
      </c>
      <c r="J23" s="955" t="s">
        <v>9546</v>
      </c>
      <c r="K23" s="955" t="s">
        <v>286</v>
      </c>
      <c r="L23"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23" t="s">
        <v>9348</v>
      </c>
      <c r="N23" t="s">
        <v>9553</v>
      </c>
    </row>
    <row r="24" spans="2:14">
      <c r="B24" s="953">
        <v>46278</v>
      </c>
      <c r="C24" s="955" t="s">
        <v>276</v>
      </c>
      <c r="D24" s="954">
        <v>0.80694444444444402</v>
      </c>
      <c r="E24" s="954">
        <v>0.99166666666666703</v>
      </c>
      <c r="F24" s="990">
        <v>4.43</v>
      </c>
      <c r="G24" s="991">
        <v>150</v>
      </c>
      <c r="H24" s="992">
        <f>IF(tblParadas[[#This Row],[TM/h no procesadas]]="","",tblParadas[[#This Row],[Horas perdidas]]*tblParadas[[#This Row],[TM/h no procesadas]])</f>
        <v>664.5</v>
      </c>
      <c r="I24" s="992">
        <f>IF(tblParadas[[#This Row],[Mineral no procesado (TM)]]="","",tblParadas[[#This Row],[Mineral no procesado (TM)]]/SUMIFS(tblMetas[Valor],tblMetas[Código],"RATIO_MIN_CONC",tblMetas[Desde],"&lt;="&amp;tblParadas[[#This Row],[Fecha]],tblMetas[Hasta],"&gt;="&amp;tblParadas[[#This Row],[Fecha]]))</f>
        <v>443</v>
      </c>
      <c r="J24" s="955" t="s">
        <v>9546</v>
      </c>
      <c r="K24" s="955" t="s">
        <v>287</v>
      </c>
      <c r="L24"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24" t="s">
        <v>9348</v>
      </c>
      <c r="N24" t="s">
        <v>9553</v>
      </c>
    </row>
    <row r="25" spans="2:14">
      <c r="B25" s="953">
        <v>46278</v>
      </c>
      <c r="C25" s="955" t="s">
        <v>276</v>
      </c>
      <c r="D25" s="954">
        <v>3.4722222222222203E-2</v>
      </c>
      <c r="E25" s="954">
        <v>0.28125</v>
      </c>
      <c r="F25" s="990">
        <v>5.92</v>
      </c>
      <c r="G25" s="991">
        <v>150</v>
      </c>
      <c r="H25" s="992">
        <f>IF(tblParadas[[#This Row],[TM/h no procesadas]]="","",tblParadas[[#This Row],[Horas perdidas]]*tblParadas[[#This Row],[TM/h no procesadas]])</f>
        <v>888</v>
      </c>
      <c r="I25" s="992">
        <f>IF(tblParadas[[#This Row],[Mineral no procesado (TM)]]="","",tblParadas[[#This Row],[Mineral no procesado (TM)]]/SUMIFS(tblMetas[Valor],tblMetas[Código],"RATIO_MIN_CONC",tblMetas[Desde],"&lt;="&amp;tblParadas[[#This Row],[Fecha]],tblMetas[Hasta],"&gt;="&amp;tblParadas[[#This Row],[Fecha]]))</f>
        <v>592</v>
      </c>
      <c r="J25" s="955" t="s">
        <v>9546</v>
      </c>
      <c r="K25" s="955" t="s">
        <v>288</v>
      </c>
      <c r="L25"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25" t="s">
        <v>9348</v>
      </c>
      <c r="N25" t="s">
        <v>9553</v>
      </c>
    </row>
    <row r="26" spans="2:14">
      <c r="B26" s="953">
        <v>46278</v>
      </c>
      <c r="C26" s="955" t="s">
        <v>289</v>
      </c>
      <c r="D26" s="954">
        <v>0.89930555555555602</v>
      </c>
      <c r="E26" s="954">
        <v>0.90763888888888899</v>
      </c>
      <c r="F26" s="990">
        <v>0.2</v>
      </c>
      <c r="G26" s="991">
        <v>200</v>
      </c>
      <c r="H26" s="992">
        <f>IF(tblParadas[[#This Row],[TM/h no procesadas]]="","",tblParadas[[#This Row],[Horas perdidas]]*tblParadas[[#This Row],[TM/h no procesadas]])</f>
        <v>40</v>
      </c>
      <c r="I26" s="992">
        <f>IF(tblParadas[[#This Row],[Mineral no procesado (TM)]]="","",tblParadas[[#This Row],[Mineral no procesado (TM)]]/SUMIFS(tblMetas[Valor],tblMetas[Código],"RATIO_MIN_CONC",tblMetas[Desde],"&lt;="&amp;tblParadas[[#This Row],[Fecha]],tblMetas[Hasta],"&gt;="&amp;tblParadas[[#This Row],[Fecha]]))</f>
        <v>26.666666666666668</v>
      </c>
      <c r="J26" s="955" t="s">
        <v>260</v>
      </c>
      <c r="K26" s="955" t="s">
        <v>290</v>
      </c>
      <c r="L26"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26" t="s">
        <v>9348</v>
      </c>
      <c r="N26" t="s">
        <v>9553</v>
      </c>
    </row>
    <row r="27" spans="2:14">
      <c r="B27" s="953">
        <v>46278</v>
      </c>
      <c r="C27" s="955" t="s">
        <v>273</v>
      </c>
      <c r="D27" s="954">
        <v>0.15625</v>
      </c>
      <c r="E27" s="954">
        <v>0.18402777777777801</v>
      </c>
      <c r="F27" s="990">
        <v>0.67</v>
      </c>
      <c r="G27" s="991">
        <v>200</v>
      </c>
      <c r="H27" s="992">
        <f>IF(tblParadas[[#This Row],[TM/h no procesadas]]="","",tblParadas[[#This Row],[Horas perdidas]]*tblParadas[[#This Row],[TM/h no procesadas]])</f>
        <v>134</v>
      </c>
      <c r="I27" s="992">
        <f>IF(tblParadas[[#This Row],[Mineral no procesado (TM)]]="","",tblParadas[[#This Row],[Mineral no procesado (TM)]]/SUMIFS(tblMetas[Valor],tblMetas[Código],"RATIO_MIN_CONC",tblMetas[Desde],"&lt;="&amp;tblParadas[[#This Row],[Fecha]],tblMetas[Hasta],"&gt;="&amp;tblParadas[[#This Row],[Fecha]]))</f>
        <v>89.333333333333329</v>
      </c>
      <c r="J27" s="955" t="s">
        <v>9546</v>
      </c>
      <c r="K27" s="955" t="s">
        <v>291</v>
      </c>
      <c r="L27"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27" t="s">
        <v>9348</v>
      </c>
      <c r="N27" t="s">
        <v>9553</v>
      </c>
    </row>
    <row r="28" spans="2:14">
      <c r="B28" s="953">
        <v>46278</v>
      </c>
      <c r="C28" s="955" t="s">
        <v>292</v>
      </c>
      <c r="D28" s="954">
        <v>0.22916666666666699</v>
      </c>
      <c r="E28" s="954">
        <v>0.26111111111111102</v>
      </c>
      <c r="F28" s="990">
        <v>0.76</v>
      </c>
      <c r="G28" s="991">
        <v>150</v>
      </c>
      <c r="H28" s="992">
        <f>IF(tblParadas[[#This Row],[TM/h no procesadas]]="","",tblParadas[[#This Row],[Horas perdidas]]*tblParadas[[#This Row],[TM/h no procesadas]])</f>
        <v>114</v>
      </c>
      <c r="I28" s="992">
        <f>IF(tblParadas[[#This Row],[Mineral no procesado (TM)]]="","",tblParadas[[#This Row],[Mineral no procesado (TM)]]/SUMIFS(tblMetas[Valor],tblMetas[Código],"RATIO_MIN_CONC",tblMetas[Desde],"&lt;="&amp;tblParadas[[#This Row],[Fecha]],tblMetas[Hasta],"&gt;="&amp;tblParadas[[#This Row],[Fecha]]))</f>
        <v>76</v>
      </c>
      <c r="J28" s="955" t="s">
        <v>9546</v>
      </c>
      <c r="K28" s="955" t="s">
        <v>293</v>
      </c>
      <c r="L28"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28" t="s">
        <v>9348</v>
      </c>
      <c r="N28" t="s">
        <v>9553</v>
      </c>
    </row>
    <row r="29" spans="2:14">
      <c r="B29" s="953">
        <v>46278</v>
      </c>
      <c r="C29" s="955" t="s">
        <v>294</v>
      </c>
      <c r="D29" s="954">
        <v>0.15625</v>
      </c>
      <c r="E29" s="954">
        <v>0.180555555555556</v>
      </c>
      <c r="F29" s="990">
        <v>0.57999999999999996</v>
      </c>
      <c r="G29" s="991">
        <v>150</v>
      </c>
      <c r="H29" s="992">
        <f>IF(tblParadas[[#This Row],[TM/h no procesadas]]="","",tblParadas[[#This Row],[Horas perdidas]]*tblParadas[[#This Row],[TM/h no procesadas]])</f>
        <v>87</v>
      </c>
      <c r="I29" s="992">
        <f>IF(tblParadas[[#This Row],[Mineral no procesado (TM)]]="","",tblParadas[[#This Row],[Mineral no procesado (TM)]]/SUMIFS(tblMetas[Valor],tblMetas[Código],"RATIO_MIN_CONC",tblMetas[Desde],"&lt;="&amp;tblParadas[[#This Row],[Fecha]],tblMetas[Hasta],"&gt;="&amp;tblParadas[[#This Row],[Fecha]]))</f>
        <v>58</v>
      </c>
      <c r="J29" s="955" t="s">
        <v>9546</v>
      </c>
      <c r="K29" s="955" t="s">
        <v>295</v>
      </c>
      <c r="L29"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29" t="s">
        <v>9348</v>
      </c>
      <c r="N29" t="s">
        <v>9553</v>
      </c>
    </row>
    <row r="30" spans="2:14">
      <c r="B30" s="953">
        <v>46278</v>
      </c>
      <c r="C30" s="955" t="s">
        <v>262</v>
      </c>
      <c r="D30" s="954">
        <v>0.75347222222222199</v>
      </c>
      <c r="E30" s="954">
        <v>0.79791666666666705</v>
      </c>
      <c r="F30" s="990">
        <v>1.07</v>
      </c>
      <c r="G30" s="991">
        <v>200</v>
      </c>
      <c r="H30" s="992">
        <f>IF(tblParadas[[#This Row],[TM/h no procesadas]]="","",tblParadas[[#This Row],[Horas perdidas]]*tblParadas[[#This Row],[TM/h no procesadas]])</f>
        <v>214</v>
      </c>
      <c r="I30" s="992">
        <f>IF(tblParadas[[#This Row],[Mineral no procesado (TM)]]="","",tblParadas[[#This Row],[Mineral no procesado (TM)]]/SUMIFS(tblMetas[Valor],tblMetas[Código],"RATIO_MIN_CONC",tblMetas[Desde],"&lt;="&amp;tblParadas[[#This Row],[Fecha]],tblMetas[Hasta],"&gt;="&amp;tblParadas[[#This Row],[Fecha]]))</f>
        <v>142.66666666666666</v>
      </c>
      <c r="J30" s="955"/>
      <c r="K30" s="955"/>
      <c r="L30"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30" t="s">
        <v>9348</v>
      </c>
      <c r="N30" t="s">
        <v>9553</v>
      </c>
    </row>
    <row r="31" spans="2:14">
      <c r="B31" s="953">
        <v>46278</v>
      </c>
      <c r="C31" s="955" t="s">
        <v>292</v>
      </c>
      <c r="D31" s="954">
        <v>0.76458333333333295</v>
      </c>
      <c r="E31" s="954">
        <v>0.79722222222222205</v>
      </c>
      <c r="F31" s="990">
        <v>0.78</v>
      </c>
      <c r="G31" s="991"/>
      <c r="H31" s="992" t="str">
        <f>IF(tblParadas[[#This Row],[TM/h no procesadas]]="","",tblParadas[[#This Row],[Horas perdidas]]*tblParadas[[#This Row],[TM/h no procesadas]])</f>
        <v/>
      </c>
      <c r="I31" s="992" t="str">
        <f>IF(tblParadas[[#This Row],[Mineral no procesado (TM)]]="","",tblParadas[[#This Row],[Mineral no procesado (TM)]]/SUMIFS(tblMetas[Valor],tblMetas[Código],"RATIO_MIN_CONC",tblMetas[Desde],"&lt;="&amp;tblParadas[[#This Row],[Fecha]],tblMetas[Hasta],"&gt;="&amp;tblParadas[[#This Row],[Fecha]]))</f>
        <v/>
      </c>
      <c r="J31" s="955" t="s">
        <v>9546</v>
      </c>
      <c r="K31" s="955" t="s">
        <v>296</v>
      </c>
      <c r="L31"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31" t="s">
        <v>9348</v>
      </c>
      <c r="N31" t="s">
        <v>9553</v>
      </c>
    </row>
    <row r="32" spans="2:14">
      <c r="B32" s="953">
        <v>46279</v>
      </c>
      <c r="C32" s="955" t="s">
        <v>269</v>
      </c>
      <c r="D32" s="954">
        <v>7.2916666666666699E-2</v>
      </c>
      <c r="E32" s="954">
        <v>0.108333333333333</v>
      </c>
      <c r="F32" s="990">
        <v>0.85</v>
      </c>
      <c r="G32" s="991">
        <v>150</v>
      </c>
      <c r="H32" s="992">
        <f>IF(tblParadas[[#This Row],[TM/h no procesadas]]="","",tblParadas[[#This Row],[Horas perdidas]]*tblParadas[[#This Row],[TM/h no procesadas]])</f>
        <v>127.5</v>
      </c>
      <c r="I32" s="992">
        <f>IF(tblParadas[[#This Row],[Mineral no procesado (TM)]]="","",tblParadas[[#This Row],[Mineral no procesado (TM)]]/SUMIFS(tblMetas[Valor],tblMetas[Código],"RATIO_MIN_CONC",tblMetas[Desde],"&lt;="&amp;tblParadas[[#This Row],[Fecha]],tblMetas[Hasta],"&gt;="&amp;tblParadas[[#This Row],[Fecha]]))</f>
        <v>85</v>
      </c>
      <c r="J32" s="955" t="s">
        <v>9546</v>
      </c>
      <c r="K32" s="955" t="s">
        <v>297</v>
      </c>
      <c r="L32"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32" t="s">
        <v>9348</v>
      </c>
      <c r="N32" t="s">
        <v>9553</v>
      </c>
    </row>
    <row r="33" spans="2:14">
      <c r="B33" s="953">
        <v>46279</v>
      </c>
      <c r="C33" s="955" t="s">
        <v>298</v>
      </c>
      <c r="D33" s="954">
        <v>8.1944444444444403E-2</v>
      </c>
      <c r="E33" s="954">
        <v>0.106944444444444</v>
      </c>
      <c r="F33" s="990">
        <v>0.77</v>
      </c>
      <c r="G33" s="991">
        <v>100</v>
      </c>
      <c r="H33" s="992">
        <f>IF(tblParadas[[#This Row],[TM/h no procesadas]]="","",tblParadas[[#This Row],[Horas perdidas]]*tblParadas[[#This Row],[TM/h no procesadas]])</f>
        <v>77</v>
      </c>
      <c r="I33" s="992">
        <f>IF(tblParadas[[#This Row],[Mineral no procesado (TM)]]="","",tblParadas[[#This Row],[Mineral no procesado (TM)]]/SUMIFS(tblMetas[Valor],tblMetas[Código],"RATIO_MIN_CONC",tblMetas[Desde],"&lt;="&amp;tblParadas[[#This Row],[Fecha]],tblMetas[Hasta],"&gt;="&amp;tblParadas[[#This Row],[Fecha]]))</f>
        <v>51.333333333333336</v>
      </c>
      <c r="J33" s="955" t="s">
        <v>9546</v>
      </c>
      <c r="K33" s="955" t="s">
        <v>9556</v>
      </c>
      <c r="L33"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Revisar horas</v>
      </c>
      <c r="M33" t="s">
        <v>9348</v>
      </c>
      <c r="N33" t="s">
        <v>9553</v>
      </c>
    </row>
    <row r="34" spans="2:14">
      <c r="B34" s="953">
        <v>46280</v>
      </c>
      <c r="C34" s="955" t="s">
        <v>299</v>
      </c>
      <c r="D34" s="954">
        <v>0.85972222222222205</v>
      </c>
      <c r="E34" s="954">
        <v>0.15763888888888899</v>
      </c>
      <c r="F34" s="990">
        <v>7.2</v>
      </c>
      <c r="G34" s="991">
        <v>200</v>
      </c>
      <c r="H34" s="992">
        <f>IF(tblParadas[[#This Row],[TM/h no procesadas]]="","",tblParadas[[#This Row],[Horas perdidas]]*tblParadas[[#This Row],[TM/h no procesadas]])</f>
        <v>1440</v>
      </c>
      <c r="I34" s="992">
        <f>IF(tblParadas[[#This Row],[Mineral no procesado (TM)]]="","",tblParadas[[#This Row],[Mineral no procesado (TM)]]/SUMIFS(tblMetas[Valor],tblMetas[Código],"RATIO_MIN_CONC",tblMetas[Desde],"&lt;="&amp;tblParadas[[#This Row],[Fecha]],tblMetas[Hasta],"&gt;="&amp;tblParadas[[#This Row],[Fecha]]))</f>
        <v>960</v>
      </c>
      <c r="J34" s="955" t="s">
        <v>9546</v>
      </c>
      <c r="K34" s="955" t="s">
        <v>300</v>
      </c>
      <c r="L34"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34" t="s">
        <v>9348</v>
      </c>
      <c r="N34" t="s">
        <v>9553</v>
      </c>
    </row>
    <row r="35" spans="2:14">
      <c r="B35" s="953">
        <v>46280</v>
      </c>
      <c r="C35" s="955" t="s">
        <v>301</v>
      </c>
      <c r="D35" s="954">
        <v>0.85972222222222205</v>
      </c>
      <c r="E35" s="954">
        <v>0.15972222222222199</v>
      </c>
      <c r="F35" s="990">
        <v>7.2</v>
      </c>
      <c r="G35" s="991">
        <v>150</v>
      </c>
      <c r="H35" s="992">
        <f>IF(tblParadas[[#This Row],[TM/h no procesadas]]="","",tblParadas[[#This Row],[Horas perdidas]]*tblParadas[[#This Row],[TM/h no procesadas]])</f>
        <v>1080</v>
      </c>
      <c r="I35" s="992">
        <f>IF(tblParadas[[#This Row],[Mineral no procesado (TM)]]="","",tblParadas[[#This Row],[Mineral no procesado (TM)]]/SUMIFS(tblMetas[Valor],tblMetas[Código],"RATIO_MIN_CONC",tblMetas[Desde],"&lt;="&amp;tblParadas[[#This Row],[Fecha]],tblMetas[Hasta],"&gt;="&amp;tblParadas[[#This Row],[Fecha]]))</f>
        <v>720</v>
      </c>
      <c r="J35" s="955" t="s">
        <v>9546</v>
      </c>
      <c r="K35" s="955" t="s">
        <v>302</v>
      </c>
      <c r="L35"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35" t="s">
        <v>9348</v>
      </c>
      <c r="N35" t="s">
        <v>9553</v>
      </c>
    </row>
    <row r="36" spans="2:14">
      <c r="B36" s="953">
        <v>46281</v>
      </c>
      <c r="C36" s="955" t="s">
        <v>273</v>
      </c>
      <c r="D36" s="954">
        <v>0.21319444444444399</v>
      </c>
      <c r="E36" s="954">
        <v>0.33333333333333298</v>
      </c>
      <c r="F36" s="990">
        <v>2.95</v>
      </c>
      <c r="G36" s="991">
        <v>200</v>
      </c>
      <c r="H36" s="992">
        <f>IF(tblParadas[[#This Row],[TM/h no procesadas]]="","",tblParadas[[#This Row],[Horas perdidas]]*tblParadas[[#This Row],[TM/h no procesadas]])</f>
        <v>590</v>
      </c>
      <c r="I36" s="992">
        <f>IF(tblParadas[[#This Row],[Mineral no procesado (TM)]]="","",tblParadas[[#This Row],[Mineral no procesado (TM)]]/SUMIFS(tblMetas[Valor],tblMetas[Código],"RATIO_MIN_CONC",tblMetas[Desde],"&lt;="&amp;tblParadas[[#This Row],[Fecha]],tblMetas[Hasta],"&gt;="&amp;tblParadas[[#This Row],[Fecha]]))</f>
        <v>393.33333333333331</v>
      </c>
      <c r="J36" s="955" t="s">
        <v>9546</v>
      </c>
      <c r="K36" s="955" t="s">
        <v>303</v>
      </c>
      <c r="L36"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Revisar horas</v>
      </c>
      <c r="M36" t="s">
        <v>9348</v>
      </c>
      <c r="N36" t="s">
        <v>9553</v>
      </c>
    </row>
    <row r="37" spans="2:14">
      <c r="B37" s="953">
        <v>46281</v>
      </c>
      <c r="C37" s="955" t="s">
        <v>294</v>
      </c>
      <c r="D37" s="954">
        <v>0.1875</v>
      </c>
      <c r="E37" s="954">
        <v>0.33333333333333298</v>
      </c>
      <c r="F37" s="990">
        <v>3.5</v>
      </c>
      <c r="G37" s="991">
        <v>150</v>
      </c>
      <c r="H37" s="992">
        <f>IF(tblParadas[[#This Row],[TM/h no procesadas]]="","",tblParadas[[#This Row],[Horas perdidas]]*tblParadas[[#This Row],[TM/h no procesadas]])</f>
        <v>525</v>
      </c>
      <c r="I37" s="992">
        <f>IF(tblParadas[[#This Row],[Mineral no procesado (TM)]]="","",tblParadas[[#This Row],[Mineral no procesado (TM)]]/SUMIFS(tblMetas[Valor],tblMetas[Código],"RATIO_MIN_CONC",tblMetas[Desde],"&lt;="&amp;tblParadas[[#This Row],[Fecha]],tblMetas[Hasta],"&gt;="&amp;tblParadas[[#This Row],[Fecha]]))</f>
        <v>350</v>
      </c>
      <c r="J37" s="955" t="s">
        <v>9546</v>
      </c>
      <c r="K37" s="955" t="s">
        <v>304</v>
      </c>
      <c r="L37"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37" t="s">
        <v>9348</v>
      </c>
      <c r="N37" t="s">
        <v>9553</v>
      </c>
    </row>
    <row r="38" spans="2:14">
      <c r="B38" s="953">
        <v>46284</v>
      </c>
      <c r="C38" s="955" t="s">
        <v>269</v>
      </c>
      <c r="D38" s="954">
        <v>0.79861111111111105</v>
      </c>
      <c r="E38" s="954">
        <v>0.86736111111111103</v>
      </c>
      <c r="F38" s="990">
        <v>1.65</v>
      </c>
      <c r="G38" s="991">
        <v>150</v>
      </c>
      <c r="H38" s="992">
        <f>IF(tblParadas[[#This Row],[TM/h no procesadas]]="","",tblParadas[[#This Row],[Horas perdidas]]*tblParadas[[#This Row],[TM/h no procesadas]])</f>
        <v>247.5</v>
      </c>
      <c r="I38" s="992">
        <f>IF(tblParadas[[#This Row],[Mineral no procesado (TM)]]="","",tblParadas[[#This Row],[Mineral no procesado (TM)]]/SUMIFS(tblMetas[Valor],tblMetas[Código],"RATIO_MIN_CONC",tblMetas[Desde],"&lt;="&amp;tblParadas[[#This Row],[Fecha]],tblMetas[Hasta],"&gt;="&amp;tblParadas[[#This Row],[Fecha]]))</f>
        <v>165</v>
      </c>
      <c r="J38" s="955" t="s">
        <v>9546</v>
      </c>
      <c r="K38" s="955" t="s">
        <v>305</v>
      </c>
      <c r="L38"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38" t="s">
        <v>9348</v>
      </c>
      <c r="N38" t="s">
        <v>9553</v>
      </c>
    </row>
    <row r="39" spans="2:14">
      <c r="B39" s="953">
        <v>46284</v>
      </c>
      <c r="C39" s="955" t="s">
        <v>298</v>
      </c>
      <c r="D39" s="954">
        <v>0.8125</v>
      </c>
      <c r="E39" s="954">
        <v>0.86319444444444404</v>
      </c>
      <c r="F39" s="990">
        <v>0.5</v>
      </c>
      <c r="G39" s="991">
        <v>100</v>
      </c>
      <c r="H39" s="992">
        <f>IF(tblParadas[[#This Row],[TM/h no procesadas]]="","",tblParadas[[#This Row],[Horas perdidas]]*tblParadas[[#This Row],[TM/h no procesadas]])</f>
        <v>50</v>
      </c>
      <c r="I39" s="992">
        <f>IF(tblParadas[[#This Row],[Mineral no procesado (TM)]]="","",tblParadas[[#This Row],[Mineral no procesado (TM)]]/SUMIFS(tblMetas[Valor],tblMetas[Código],"RATIO_MIN_CONC",tblMetas[Desde],"&lt;="&amp;tblParadas[[#This Row],[Fecha]],tblMetas[Hasta],"&gt;="&amp;tblParadas[[#This Row],[Fecha]]))</f>
        <v>33.333333333333336</v>
      </c>
      <c r="J39" s="955" t="s">
        <v>9546</v>
      </c>
      <c r="K39" s="955" t="s">
        <v>306</v>
      </c>
      <c r="L39"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Revisar horas</v>
      </c>
      <c r="M39" t="s">
        <v>9348</v>
      </c>
      <c r="N39" t="s">
        <v>9553</v>
      </c>
    </row>
    <row r="40" spans="2:14">
      <c r="B40" s="953">
        <v>46284</v>
      </c>
      <c r="C40" s="955" t="s">
        <v>298</v>
      </c>
      <c r="D40" s="954">
        <v>0.83333333333333304</v>
      </c>
      <c r="E40" s="954">
        <v>0.86319444444444404</v>
      </c>
      <c r="F40" s="990">
        <v>0.72</v>
      </c>
      <c r="G40" s="991">
        <v>100</v>
      </c>
      <c r="H40" s="992">
        <f>IF(tblParadas[[#This Row],[TM/h no procesadas]]="","",tblParadas[[#This Row],[Horas perdidas]]*tblParadas[[#This Row],[TM/h no procesadas]])</f>
        <v>72</v>
      </c>
      <c r="I40" s="992">
        <f>IF(tblParadas[[#This Row],[Mineral no procesado (TM)]]="","",tblParadas[[#This Row],[Mineral no procesado (TM)]]/SUMIFS(tblMetas[Valor],tblMetas[Código],"RATIO_MIN_CONC",tblMetas[Desde],"&lt;="&amp;tblParadas[[#This Row],[Fecha]],tblMetas[Hasta],"&gt;="&amp;tblParadas[[#This Row],[Fecha]]))</f>
        <v>48</v>
      </c>
      <c r="J40" s="955" t="s">
        <v>9547</v>
      </c>
      <c r="K40" s="955" t="s">
        <v>9557</v>
      </c>
      <c r="L40"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40" t="s">
        <v>9348</v>
      </c>
      <c r="N40" t="s">
        <v>9553</v>
      </c>
    </row>
    <row r="41" spans="2:14">
      <c r="B41" s="953">
        <v>46285</v>
      </c>
      <c r="C41" s="955" t="s">
        <v>276</v>
      </c>
      <c r="D41" s="954">
        <v>0.46250000000000002</v>
      </c>
      <c r="E41" s="954">
        <v>0.62916666666666698</v>
      </c>
      <c r="F41" s="990">
        <v>4</v>
      </c>
      <c r="G41" s="991">
        <v>150</v>
      </c>
      <c r="H41" s="992">
        <f>IF(tblParadas[[#This Row],[TM/h no procesadas]]="","",tblParadas[[#This Row],[Horas perdidas]]*tblParadas[[#This Row],[TM/h no procesadas]])</f>
        <v>600</v>
      </c>
      <c r="I41" s="992">
        <f>IF(tblParadas[[#This Row],[Mineral no procesado (TM)]]="","",tblParadas[[#This Row],[Mineral no procesado (TM)]]/SUMIFS(tblMetas[Valor],tblMetas[Código],"RATIO_MIN_CONC",tblMetas[Desde],"&lt;="&amp;tblParadas[[#This Row],[Fecha]],tblMetas[Hasta],"&gt;="&amp;tblParadas[[#This Row],[Fecha]]))</f>
        <v>400</v>
      </c>
      <c r="J41" s="955" t="s">
        <v>9546</v>
      </c>
      <c r="K41" s="955" t="s">
        <v>307</v>
      </c>
      <c r="L41"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41" t="s">
        <v>9348</v>
      </c>
      <c r="N41" t="s">
        <v>9553</v>
      </c>
    </row>
    <row r="42" spans="2:14">
      <c r="B42" s="953">
        <v>46285</v>
      </c>
      <c r="C42" s="955" t="s">
        <v>269</v>
      </c>
      <c r="D42" s="954">
        <v>0.69166666666666698</v>
      </c>
      <c r="E42" s="954">
        <v>0.75902777777777797</v>
      </c>
      <c r="F42" s="990">
        <v>1.62</v>
      </c>
      <c r="G42" s="991">
        <v>150</v>
      </c>
      <c r="H42" s="992">
        <f>IF(tblParadas[[#This Row],[TM/h no procesadas]]="","",tblParadas[[#This Row],[Horas perdidas]]*tblParadas[[#This Row],[TM/h no procesadas]])</f>
        <v>243.00000000000003</v>
      </c>
      <c r="I42" s="992">
        <f>IF(tblParadas[[#This Row],[Mineral no procesado (TM)]]="","",tblParadas[[#This Row],[Mineral no procesado (TM)]]/SUMIFS(tblMetas[Valor],tblMetas[Código],"RATIO_MIN_CONC",tblMetas[Desde],"&lt;="&amp;tblParadas[[#This Row],[Fecha]],tblMetas[Hasta],"&gt;="&amp;tblParadas[[#This Row],[Fecha]]))</f>
        <v>162.00000000000003</v>
      </c>
      <c r="J42" s="955" t="s">
        <v>9546</v>
      </c>
      <c r="K42" s="955" t="s">
        <v>305</v>
      </c>
      <c r="L42"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42" t="s">
        <v>9348</v>
      </c>
      <c r="N42" t="s">
        <v>9553</v>
      </c>
    </row>
    <row r="43" spans="2:14">
      <c r="B43" s="953">
        <v>46285</v>
      </c>
      <c r="C43" s="955" t="s">
        <v>264</v>
      </c>
      <c r="D43" s="954">
        <v>0.48611111111111099</v>
      </c>
      <c r="E43" s="954">
        <v>0.83333333333333304</v>
      </c>
      <c r="F43" s="990">
        <v>8.33</v>
      </c>
      <c r="G43" s="991">
        <v>220</v>
      </c>
      <c r="H43" s="992">
        <f>IF(tblParadas[[#This Row],[TM/h no procesadas]]="","",tblParadas[[#This Row],[Horas perdidas]]*tblParadas[[#This Row],[TM/h no procesadas]])</f>
        <v>1832.6</v>
      </c>
      <c r="I43" s="992">
        <f>IF(tblParadas[[#This Row],[Mineral no procesado (TM)]]="","",tblParadas[[#This Row],[Mineral no procesado (TM)]]/SUMIFS(tblMetas[Valor],tblMetas[Código],"RATIO_MIN_CONC",tblMetas[Desde],"&lt;="&amp;tblParadas[[#This Row],[Fecha]],tblMetas[Hasta],"&gt;="&amp;tblParadas[[#This Row],[Fecha]]))</f>
        <v>1221.7333333333333</v>
      </c>
      <c r="J43" s="955" t="s">
        <v>9546</v>
      </c>
      <c r="K43" s="955" t="s">
        <v>308</v>
      </c>
      <c r="L43"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43" t="s">
        <v>9348</v>
      </c>
      <c r="N43" t="s">
        <v>9553</v>
      </c>
    </row>
    <row r="44" spans="2:14">
      <c r="B44" s="953">
        <v>46285</v>
      </c>
      <c r="C44" s="955" t="s">
        <v>298</v>
      </c>
      <c r="D44" s="954">
        <v>0.70833333333333304</v>
      </c>
      <c r="E44" s="954">
        <v>0.75555555555555598</v>
      </c>
      <c r="F44" s="990">
        <v>1.1000000000000001</v>
      </c>
      <c r="G44" s="991">
        <v>100</v>
      </c>
      <c r="H44" s="992">
        <f>IF(tblParadas[[#This Row],[TM/h no procesadas]]="","",tblParadas[[#This Row],[Horas perdidas]]*tblParadas[[#This Row],[TM/h no procesadas]])</f>
        <v>110.00000000000001</v>
      </c>
      <c r="I44" s="992">
        <f>IF(tblParadas[[#This Row],[Mineral no procesado (TM)]]="","",tblParadas[[#This Row],[Mineral no procesado (TM)]]/SUMIFS(tblMetas[Valor],tblMetas[Código],"RATIO_MIN_CONC",tblMetas[Desde],"&lt;="&amp;tblParadas[[#This Row],[Fecha]],tblMetas[Hasta],"&gt;="&amp;tblParadas[[#This Row],[Fecha]]))</f>
        <v>73.333333333333343</v>
      </c>
      <c r="J44" s="955" t="s">
        <v>9547</v>
      </c>
      <c r="K44" s="955" t="s">
        <v>309</v>
      </c>
      <c r="L44"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44" t="s">
        <v>9348</v>
      </c>
      <c r="N44" t="s">
        <v>9553</v>
      </c>
    </row>
    <row r="45" spans="2:14">
      <c r="B45" s="953">
        <v>46286</v>
      </c>
      <c r="C45" s="955" t="s">
        <v>259</v>
      </c>
      <c r="D45" s="954">
        <v>0.73402777777777795</v>
      </c>
      <c r="E45" s="954">
        <v>0.78819444444444398</v>
      </c>
      <c r="F45" s="990">
        <v>1.3</v>
      </c>
      <c r="G45" s="991">
        <v>150</v>
      </c>
      <c r="H45" s="992">
        <f>IF(tblParadas[[#This Row],[TM/h no procesadas]]="","",tblParadas[[#This Row],[Horas perdidas]]*tblParadas[[#This Row],[TM/h no procesadas]])</f>
        <v>195</v>
      </c>
      <c r="I45" s="992">
        <f>IF(tblParadas[[#This Row],[Mineral no procesado (TM)]]="","",tblParadas[[#This Row],[Mineral no procesado (TM)]]/SUMIFS(tblMetas[Valor],tblMetas[Código],"RATIO_MIN_CONC",tblMetas[Desde],"&lt;="&amp;tblParadas[[#This Row],[Fecha]],tblMetas[Hasta],"&gt;="&amp;tblParadas[[#This Row],[Fecha]]))</f>
        <v>130</v>
      </c>
      <c r="J45" s="955" t="s">
        <v>9546</v>
      </c>
      <c r="K45" s="955" t="s">
        <v>310</v>
      </c>
      <c r="L45"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45" t="s">
        <v>9348</v>
      </c>
      <c r="N45" t="s">
        <v>9553</v>
      </c>
    </row>
    <row r="46" spans="2:14">
      <c r="B46" s="953">
        <v>46286</v>
      </c>
      <c r="C46" s="955" t="s">
        <v>264</v>
      </c>
      <c r="D46" s="954">
        <v>0.59236111111111101</v>
      </c>
      <c r="E46" s="954">
        <v>0.81527777777777799</v>
      </c>
      <c r="F46" s="990">
        <v>5.35</v>
      </c>
      <c r="G46" s="991">
        <v>220</v>
      </c>
      <c r="H46" s="992">
        <f>IF(tblParadas[[#This Row],[TM/h no procesadas]]="","",tblParadas[[#This Row],[Horas perdidas]]*tblParadas[[#This Row],[TM/h no procesadas]])</f>
        <v>1177</v>
      </c>
      <c r="I46" s="992">
        <f>IF(tblParadas[[#This Row],[Mineral no procesado (TM)]]="","",tblParadas[[#This Row],[Mineral no procesado (TM)]]/SUMIFS(tblMetas[Valor],tblMetas[Código],"RATIO_MIN_CONC",tblMetas[Desde],"&lt;="&amp;tblParadas[[#This Row],[Fecha]],tblMetas[Hasta],"&gt;="&amp;tblParadas[[#This Row],[Fecha]]))</f>
        <v>784.66666666666663</v>
      </c>
      <c r="J46" s="955" t="s">
        <v>9546</v>
      </c>
      <c r="K46" s="955" t="s">
        <v>311</v>
      </c>
      <c r="L46"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46" t="s">
        <v>9348</v>
      </c>
      <c r="N46" t="s">
        <v>9553</v>
      </c>
    </row>
    <row r="47" spans="2:14">
      <c r="B47" s="953">
        <v>46286</v>
      </c>
      <c r="C47" s="955" t="s">
        <v>292</v>
      </c>
      <c r="D47" s="954">
        <v>0.73402777777777795</v>
      </c>
      <c r="E47" s="954">
        <v>0.76180555555555596</v>
      </c>
      <c r="F47" s="990">
        <v>0.7</v>
      </c>
      <c r="G47" s="991">
        <v>150</v>
      </c>
      <c r="H47" s="992">
        <f>IF(tblParadas[[#This Row],[TM/h no procesadas]]="","",tblParadas[[#This Row],[Horas perdidas]]*tblParadas[[#This Row],[TM/h no procesadas]])</f>
        <v>105</v>
      </c>
      <c r="I47" s="992">
        <f>IF(tblParadas[[#This Row],[Mineral no procesado (TM)]]="","",tblParadas[[#This Row],[Mineral no procesado (TM)]]/SUMIFS(tblMetas[Valor],tblMetas[Código],"RATIO_MIN_CONC",tblMetas[Desde],"&lt;="&amp;tblParadas[[#This Row],[Fecha]],tblMetas[Hasta],"&gt;="&amp;tblParadas[[#This Row],[Fecha]]))</f>
        <v>70</v>
      </c>
      <c r="J47" s="955" t="s">
        <v>2506</v>
      </c>
      <c r="K47" s="955" t="s">
        <v>312</v>
      </c>
      <c r="L47"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47" t="s">
        <v>9348</v>
      </c>
      <c r="N47" t="s">
        <v>9553</v>
      </c>
    </row>
    <row r="48" spans="2:14">
      <c r="B48" s="953">
        <v>46286</v>
      </c>
      <c r="C48" s="955" t="s">
        <v>292</v>
      </c>
      <c r="D48" s="954">
        <v>0.76180555555555596</v>
      </c>
      <c r="E48" s="954">
        <v>0.78680555555555598</v>
      </c>
      <c r="F48" s="990">
        <v>0.6</v>
      </c>
      <c r="G48" s="991">
        <v>150</v>
      </c>
      <c r="H48" s="992">
        <f>IF(tblParadas[[#This Row],[TM/h no procesadas]]="","",tblParadas[[#This Row],[Horas perdidas]]*tblParadas[[#This Row],[TM/h no procesadas]])</f>
        <v>90</v>
      </c>
      <c r="I48" s="992">
        <f>IF(tblParadas[[#This Row],[Mineral no procesado (TM)]]="","",tblParadas[[#This Row],[Mineral no procesado (TM)]]/SUMIFS(tblMetas[Valor],tblMetas[Código],"RATIO_MIN_CONC",tblMetas[Desde],"&lt;="&amp;tblParadas[[#This Row],[Fecha]],tblMetas[Hasta],"&gt;="&amp;tblParadas[[#This Row],[Fecha]]))</f>
        <v>60</v>
      </c>
      <c r="J48" s="955" t="s">
        <v>9546</v>
      </c>
      <c r="K48" s="955" t="s">
        <v>313</v>
      </c>
      <c r="L48"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48" t="s">
        <v>9348</v>
      </c>
      <c r="N48" t="s">
        <v>9553</v>
      </c>
    </row>
    <row r="49" spans="2:14">
      <c r="B49" s="953">
        <v>46286</v>
      </c>
      <c r="C49" s="955" t="s">
        <v>279</v>
      </c>
      <c r="D49" s="954">
        <v>0.93263888888888902</v>
      </c>
      <c r="E49" s="954">
        <v>0.95138888888888895</v>
      </c>
      <c r="F49" s="990">
        <v>0.45</v>
      </c>
      <c r="G49" s="991">
        <v>50</v>
      </c>
      <c r="H49" s="992">
        <f>IF(tblParadas[[#This Row],[TM/h no procesadas]]="","",tblParadas[[#This Row],[Horas perdidas]]*tblParadas[[#This Row],[TM/h no procesadas]])</f>
        <v>22.5</v>
      </c>
      <c r="I49" s="992">
        <f>IF(tblParadas[[#This Row],[Mineral no procesado (TM)]]="","",tblParadas[[#This Row],[Mineral no procesado (TM)]]/SUMIFS(tblMetas[Valor],tblMetas[Código],"RATIO_MIN_CONC",tblMetas[Desde],"&lt;="&amp;tblParadas[[#This Row],[Fecha]],tblMetas[Hasta],"&gt;="&amp;tblParadas[[#This Row],[Fecha]]))</f>
        <v>15</v>
      </c>
      <c r="J49" s="955" t="s">
        <v>260</v>
      </c>
      <c r="K49" s="955" t="s">
        <v>314</v>
      </c>
      <c r="L49"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49" t="s">
        <v>9348</v>
      </c>
      <c r="N49" t="s">
        <v>9553</v>
      </c>
    </row>
    <row r="50" spans="2:14">
      <c r="B50" s="953">
        <v>46286</v>
      </c>
      <c r="C50" s="955" t="s">
        <v>266</v>
      </c>
      <c r="D50" s="954">
        <v>0.61527777777777803</v>
      </c>
      <c r="E50" s="954">
        <v>0.80902777777777801</v>
      </c>
      <c r="F50" s="990">
        <v>4.6500000000000004</v>
      </c>
      <c r="G50" s="991">
        <v>180</v>
      </c>
      <c r="H50" s="992">
        <f>IF(tblParadas[[#This Row],[TM/h no procesadas]]="","",tblParadas[[#This Row],[Horas perdidas]]*tblParadas[[#This Row],[TM/h no procesadas]])</f>
        <v>837.00000000000011</v>
      </c>
      <c r="I50" s="992">
        <f>IF(tblParadas[[#This Row],[Mineral no procesado (TM)]]="","",tblParadas[[#This Row],[Mineral no procesado (TM)]]/SUMIFS(tblMetas[Valor],tblMetas[Código],"RATIO_MIN_CONC",tblMetas[Desde],"&lt;="&amp;tblParadas[[#This Row],[Fecha]],tblMetas[Hasta],"&gt;="&amp;tblParadas[[#This Row],[Fecha]]))</f>
        <v>558.00000000000011</v>
      </c>
      <c r="J50" s="955" t="s">
        <v>9546</v>
      </c>
      <c r="K50" s="955" t="s">
        <v>315</v>
      </c>
      <c r="L50"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50" t="s">
        <v>9348</v>
      </c>
      <c r="N50" t="s">
        <v>9553</v>
      </c>
    </row>
    <row r="51" spans="2:14">
      <c r="B51" s="953">
        <v>46287</v>
      </c>
      <c r="C51" s="955" t="s">
        <v>271</v>
      </c>
      <c r="D51" s="954">
        <v>0.65972222222222199</v>
      </c>
      <c r="E51" s="954">
        <v>0.68402777777777801</v>
      </c>
      <c r="F51" s="990">
        <v>0.57999999999999996</v>
      </c>
      <c r="G51" s="991">
        <v>200</v>
      </c>
      <c r="H51" s="992">
        <f>IF(tblParadas[[#This Row],[TM/h no procesadas]]="","",tblParadas[[#This Row],[Horas perdidas]]*tblParadas[[#This Row],[TM/h no procesadas]])</f>
        <v>115.99999999999999</v>
      </c>
      <c r="I51" s="992">
        <f>IF(tblParadas[[#This Row],[Mineral no procesado (TM)]]="","",tblParadas[[#This Row],[Mineral no procesado (TM)]]/SUMIFS(tblMetas[Valor],tblMetas[Código],"RATIO_MIN_CONC",tblMetas[Desde],"&lt;="&amp;tblParadas[[#This Row],[Fecha]],tblMetas[Hasta],"&gt;="&amp;tblParadas[[#This Row],[Fecha]]))</f>
        <v>77.333333333333329</v>
      </c>
      <c r="J51" s="955" t="s">
        <v>9546</v>
      </c>
      <c r="K51" s="955" t="s">
        <v>316</v>
      </c>
      <c r="L51"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51" t="s">
        <v>9348</v>
      </c>
      <c r="N51" t="s">
        <v>9553</v>
      </c>
    </row>
    <row r="52" spans="2:14">
      <c r="B52" s="953">
        <v>46287</v>
      </c>
      <c r="C52" s="955" t="s">
        <v>271</v>
      </c>
      <c r="D52" s="954">
        <v>0.72916666666666696</v>
      </c>
      <c r="E52" s="954">
        <v>0.91874999999999996</v>
      </c>
      <c r="F52" s="990">
        <v>4.5</v>
      </c>
      <c r="G52" s="991">
        <v>200</v>
      </c>
      <c r="H52" s="992">
        <f>IF(tblParadas[[#This Row],[TM/h no procesadas]]="","",tblParadas[[#This Row],[Horas perdidas]]*tblParadas[[#This Row],[TM/h no procesadas]])</f>
        <v>900</v>
      </c>
      <c r="I52" s="992">
        <f>IF(tblParadas[[#This Row],[Mineral no procesado (TM)]]="","",tblParadas[[#This Row],[Mineral no procesado (TM)]]/SUMIFS(tblMetas[Valor],tblMetas[Código],"RATIO_MIN_CONC",tblMetas[Desde],"&lt;="&amp;tblParadas[[#This Row],[Fecha]],tblMetas[Hasta],"&gt;="&amp;tblParadas[[#This Row],[Fecha]]))</f>
        <v>600</v>
      </c>
      <c r="J52" s="955" t="s">
        <v>9546</v>
      </c>
      <c r="K52" s="955" t="s">
        <v>317</v>
      </c>
      <c r="L52"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52" t="s">
        <v>9348</v>
      </c>
      <c r="N52" t="s">
        <v>9553</v>
      </c>
    </row>
    <row r="53" spans="2:14">
      <c r="B53" s="953">
        <v>46287</v>
      </c>
      <c r="C53" s="955" t="s">
        <v>273</v>
      </c>
      <c r="D53" s="954">
        <v>0.78472222222222199</v>
      </c>
      <c r="E53" s="954">
        <v>1</v>
      </c>
      <c r="F53" s="990">
        <v>5.16</v>
      </c>
      <c r="G53" s="991">
        <v>200</v>
      </c>
      <c r="H53" s="992">
        <f>IF(tblParadas[[#This Row],[TM/h no procesadas]]="","",tblParadas[[#This Row],[Horas perdidas]]*tblParadas[[#This Row],[TM/h no procesadas]])</f>
        <v>1032</v>
      </c>
      <c r="I53" s="992">
        <f>IF(tblParadas[[#This Row],[Mineral no procesado (TM)]]="","",tblParadas[[#This Row],[Mineral no procesado (TM)]]/SUMIFS(tblMetas[Valor],tblMetas[Código],"RATIO_MIN_CONC",tblMetas[Desde],"&lt;="&amp;tblParadas[[#This Row],[Fecha]],tblMetas[Hasta],"&gt;="&amp;tblParadas[[#This Row],[Fecha]]))</f>
        <v>688</v>
      </c>
      <c r="J53" s="955" t="s">
        <v>9546</v>
      </c>
      <c r="K53" s="955" t="s">
        <v>318</v>
      </c>
      <c r="L53"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53" t="s">
        <v>9348</v>
      </c>
      <c r="N53" t="s">
        <v>9553</v>
      </c>
    </row>
    <row r="54" spans="2:14">
      <c r="B54" s="953">
        <v>46287</v>
      </c>
      <c r="C54" s="955" t="s">
        <v>319</v>
      </c>
      <c r="D54" s="954">
        <v>0.75</v>
      </c>
      <c r="E54" s="954">
        <v>0.91597222222222197</v>
      </c>
      <c r="F54" s="990">
        <v>4</v>
      </c>
      <c r="G54" s="991">
        <v>150</v>
      </c>
      <c r="H54" s="992">
        <f>IF(tblParadas[[#This Row],[TM/h no procesadas]]="","",tblParadas[[#This Row],[Horas perdidas]]*tblParadas[[#This Row],[TM/h no procesadas]])</f>
        <v>600</v>
      </c>
      <c r="I54" s="992">
        <f>IF(tblParadas[[#This Row],[Mineral no procesado (TM)]]="","",tblParadas[[#This Row],[Mineral no procesado (TM)]]/SUMIFS(tblMetas[Valor],tblMetas[Código],"RATIO_MIN_CONC",tblMetas[Desde],"&lt;="&amp;tblParadas[[#This Row],[Fecha]],tblMetas[Hasta],"&gt;="&amp;tblParadas[[#This Row],[Fecha]]))</f>
        <v>400</v>
      </c>
      <c r="J54" s="955" t="s">
        <v>9546</v>
      </c>
      <c r="K54" s="955" t="s">
        <v>320</v>
      </c>
      <c r="L54"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54" t="s">
        <v>9348</v>
      </c>
      <c r="N54" t="s">
        <v>9553</v>
      </c>
    </row>
    <row r="55" spans="2:14">
      <c r="B55" s="953">
        <v>46287</v>
      </c>
      <c r="C55" s="955" t="s">
        <v>294</v>
      </c>
      <c r="D55" s="954">
        <v>0.80625000000000002</v>
      </c>
      <c r="E55" s="954">
        <v>1</v>
      </c>
      <c r="F55" s="990">
        <v>4.6500000000000004</v>
      </c>
      <c r="G55" s="991">
        <v>150</v>
      </c>
      <c r="H55" s="992">
        <f>IF(tblParadas[[#This Row],[TM/h no procesadas]]="","",tblParadas[[#This Row],[Horas perdidas]]*tblParadas[[#This Row],[TM/h no procesadas]])</f>
        <v>697.5</v>
      </c>
      <c r="I55" s="992">
        <f>IF(tblParadas[[#This Row],[Mineral no procesado (TM)]]="","",tblParadas[[#This Row],[Mineral no procesado (TM)]]/SUMIFS(tblMetas[Valor],tblMetas[Código],"RATIO_MIN_CONC",tblMetas[Desde],"&lt;="&amp;tblParadas[[#This Row],[Fecha]],tblMetas[Hasta],"&gt;="&amp;tblParadas[[#This Row],[Fecha]]))</f>
        <v>465</v>
      </c>
      <c r="J55" s="955" t="s">
        <v>9546</v>
      </c>
      <c r="K55" s="955" t="s">
        <v>321</v>
      </c>
      <c r="L55" s="975"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55" t="s">
        <v>9348</v>
      </c>
      <c r="N55" t="s">
        <v>9553</v>
      </c>
    </row>
    <row r="56" spans="2:14">
      <c r="B56" s="953">
        <v>46291</v>
      </c>
      <c r="C56" s="1040" t="s">
        <v>599</v>
      </c>
      <c r="D56" s="954">
        <v>0.14305555555555555</v>
      </c>
      <c r="E56" s="954">
        <v>0.1986111111111111</v>
      </c>
      <c r="F56" s="990">
        <v>1.33</v>
      </c>
      <c r="G56" s="991">
        <v>50</v>
      </c>
      <c r="H56" s="992">
        <f>IF(tblParadas[[#This Row],[TM/h no procesadas]]="","",tblParadas[[#This Row],[Horas perdidas]]*tblParadas[[#This Row],[TM/h no procesadas]])</f>
        <v>66.5</v>
      </c>
      <c r="I56" s="992">
        <f>IF(tblParadas[[#This Row],[Mineral no procesado (TM)]]="","",tblParadas[[#This Row],[Mineral no procesado (TM)]]/SUMIFS(tblMetas[Valor],tblMetas[Código],"RATIO_MIN_CONC",tblMetas[Desde],"&lt;="&amp;tblParadas[[#This Row],[Fecha]],tblMetas[Hasta],"&gt;="&amp;tblParadas[[#This Row],[Fecha]]))</f>
        <v>44.333333333333336</v>
      </c>
      <c r="J56" s="1040" t="s">
        <v>9546</v>
      </c>
      <c r="K56" s="1040" t="s">
        <v>10425</v>
      </c>
      <c r="L56" s="1561"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56" s="1038" t="s">
        <v>10345</v>
      </c>
      <c r="N56" s="1038" t="s">
        <v>10426</v>
      </c>
    </row>
    <row r="57" spans="2:14">
      <c r="B57" s="953">
        <v>46291</v>
      </c>
      <c r="C57" s="1040" t="s">
        <v>264</v>
      </c>
      <c r="D57" s="954">
        <v>0.32708333333333334</v>
      </c>
      <c r="E57" s="954">
        <v>0.33055555555555555</v>
      </c>
      <c r="F57" s="990">
        <v>0.08</v>
      </c>
      <c r="G57" s="991">
        <v>220</v>
      </c>
      <c r="H57" s="992">
        <f>IF(tblParadas[[#This Row],[TM/h no procesadas]]="","",tblParadas[[#This Row],[Horas perdidas]]*tblParadas[[#This Row],[TM/h no procesadas]])</f>
        <v>17.600000000000001</v>
      </c>
      <c r="I57" s="992">
        <f>IF(tblParadas[[#This Row],[Mineral no procesado (TM)]]="","",tblParadas[[#This Row],[Mineral no procesado (TM)]]/SUMIFS(tblMetas[Valor],tblMetas[Código],"RATIO_MIN_CONC",tblMetas[Desde],"&lt;="&amp;tblParadas[[#This Row],[Fecha]],tblMetas[Hasta],"&gt;="&amp;tblParadas[[#This Row],[Fecha]]))</f>
        <v>11.733333333333334</v>
      </c>
      <c r="J57" s="1040" t="s">
        <v>2506</v>
      </c>
      <c r="K57" s="1040" t="s">
        <v>10427</v>
      </c>
      <c r="L57" s="1561"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57" s="1038" t="s">
        <v>10345</v>
      </c>
      <c r="N57" s="1038" t="s">
        <v>10426</v>
      </c>
    </row>
    <row r="58" spans="2:14">
      <c r="B58" s="953">
        <v>46293</v>
      </c>
      <c r="C58" s="1040" t="s">
        <v>269</v>
      </c>
      <c r="D58" s="954">
        <v>7.4305555555555555E-2</v>
      </c>
      <c r="E58" s="954">
        <v>0.12777777777777777</v>
      </c>
      <c r="F58" s="990">
        <v>1.28</v>
      </c>
      <c r="G58" s="991">
        <v>150</v>
      </c>
      <c r="H58" s="992">
        <f>IF(tblParadas[[#This Row],[TM/h no procesadas]]="","",tblParadas[[#This Row],[Horas perdidas]]*tblParadas[[#This Row],[TM/h no procesadas]])</f>
        <v>192</v>
      </c>
      <c r="I58" s="992">
        <f>IF(tblParadas[[#This Row],[Mineral no procesado (TM)]]="","",tblParadas[[#This Row],[Mineral no procesado (TM)]]/SUMIFS(tblMetas[Valor],tblMetas[Código],"RATIO_MIN_CONC",tblMetas[Desde],"&lt;="&amp;tblParadas[[#This Row],[Fecha]],tblMetas[Hasta],"&gt;="&amp;tblParadas[[#This Row],[Fecha]]))</f>
        <v>128</v>
      </c>
      <c r="J58" s="1040" t="s">
        <v>9546</v>
      </c>
      <c r="K58" s="1040" t="s">
        <v>10428</v>
      </c>
      <c r="L58" s="1561" t="str">
        <f>IF(AND(ISNUMBER(tblParadas[[#This Row],[Inicio de parada]]),ISNUMBER(tblParadas[[#This Row],[Arranque]]),ISNUMBER(tblParadas[[#This Row],[Horas perdidas]]),tblParadas[[#This Row],[Inicio de parada]]*tblParadas[[#This Row],[Arranque]]&gt;0),IF(ABS(MOD(tblParadas[[#This Row],[Arranque]]-tblParadas[[#This Row],[Inicio de parada]],1)*24-tblParadas[[#This Row],[Horas perdidas]])&gt;0.05,"Revisar horas",""),"")</f>
        <v/>
      </c>
      <c r="M58" s="1038" t="s">
        <v>10345</v>
      </c>
      <c r="N58" s="1038" t="s">
        <v>10426</v>
      </c>
    </row>
  </sheetData>
  <conditionalFormatting sqref="L5:L2003">
    <cfRule type="containsText" dxfId="86" priority="1" operator="containsText" text="Revisar">
      <formula>NOT(ISERROR(SEARCH("Revisar",L5)))</formula>
    </cfRule>
  </conditionalFormatting>
  <dataValidations count="4">
    <dataValidation type="custom" allowBlank="1" showInputMessage="1" showErrorMessage="1" errorTitle="Fecha no válida" error="Ingrese una fecha real (dd/mm/aaaa), no futura." sqref="B5:B2003" xr:uid="{F9302015-74F6-4EE1-9850-AEC65737AC94}">
      <formula1>AND(ISNUMBER(B5),B5&gt;=DATE(2020,1,1),B5&lt;=TODAY())</formula1>
    </dataValidation>
    <dataValidation type="decimal" allowBlank="1" showInputMessage="1" showErrorMessage="1" errorTitle="Hora no válida" error="Escriba una hora (ej. 14:30)." sqref="D5:E2003" xr:uid="{3EA515C6-20DF-4556-A857-DCAF54F3F1F7}">
      <formula1>0</formula1>
      <formula2>1</formula2>
    </dataValidation>
    <dataValidation type="decimal" allowBlank="1" showInputMessage="1" showErrorMessage="1" errorTitle="Valor no válido" error="Número entre 0 y 5000." sqref="F5:G2003" xr:uid="{FEB4B130-82C3-4A55-A86B-C3E245A96609}">
      <formula1>0</formula1>
      <formula2>5000</formula2>
    </dataValidation>
    <dataValidation type="list" allowBlank="1" showInputMessage="1" showErrorMessage="1" errorTitle="Tipo no válido" error="Elija un tipo de la lista." sqref="J5:J2003" xr:uid="{DB2FCE17-5022-461C-AE8C-16E90E7B99B1}">
      <formula1>L_TIPO_FALLA</formula1>
    </dataValidation>
  </dataValidations>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Paradas — Página &amp;P de &amp;F</oddFoot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3736E-0315-41C3-8474-F4E34B36C2F2}">
  <sheetPr codeName="Hoja35">
    <tabColor rgb="FF548235"/>
    <pageSetUpPr fitToPage="1"/>
  </sheetPr>
  <dimension ref="A1:P2000"/>
  <sheetViews>
    <sheetView showGridLines="0" workbookViewId="0">
      <pane ySplit="12" topLeftCell="A13" activePane="bottomLeft" state="frozen"/>
      <selection pane="bottomLeft" activeCell="B12" sqref="B12:O52"/>
    </sheetView>
  </sheetViews>
  <sheetFormatPr baseColWidth="10" defaultRowHeight="15"/>
  <cols>
    <col min="1" max="1" width="2.85546875" customWidth="1"/>
    <col min="2" max="2" width="15.28515625" customWidth="1"/>
    <col min="3" max="3" width="13.28515625" customWidth="1"/>
    <col min="4" max="5" width="21" customWidth="1"/>
    <col min="6" max="6" width="17.140625" customWidth="1"/>
    <col min="7" max="7" width="24.7109375" customWidth="1"/>
    <col min="8" max="8" width="21" customWidth="1"/>
    <col min="9" max="9" width="62.85546875" customWidth="1"/>
    <col min="10" max="12" width="12.42578125" customWidth="1"/>
    <col min="13" max="13" width="19" customWidth="1"/>
    <col min="14" max="14" width="24.7109375" customWidth="1"/>
    <col min="15" max="15" width="49.5703125" customWidth="1"/>
  </cols>
  <sheetData>
    <row r="1" spans="1:16" ht="22.5" customHeight="1">
      <c r="A1" s="1033"/>
      <c r="B1" s="1219" t="s">
        <v>9982</v>
      </c>
      <c r="C1" s="1220"/>
      <c r="D1" s="1220"/>
      <c r="E1" s="1220"/>
      <c r="F1" s="1220"/>
      <c r="G1" s="1220"/>
      <c r="H1" s="1220"/>
      <c r="I1" s="1220"/>
      <c r="J1" s="1220"/>
      <c r="K1" s="1220"/>
      <c r="L1" s="1220"/>
      <c r="M1" s="1220"/>
      <c r="N1" s="1220"/>
      <c r="O1" s="1220"/>
      <c r="P1" s="1033"/>
    </row>
    <row r="2" spans="1:16">
      <c r="A2" s="1033"/>
      <c r="B2" s="1033"/>
      <c r="C2" s="1033"/>
      <c r="D2" s="1033"/>
      <c r="E2" s="1033"/>
      <c r="F2" s="1033"/>
      <c r="G2" s="1033"/>
      <c r="H2" s="1033"/>
      <c r="I2" s="1033"/>
      <c r="J2" s="1033"/>
      <c r="K2" s="1033"/>
      <c r="L2" s="1033"/>
      <c r="M2" s="1033"/>
      <c r="N2" s="1033"/>
      <c r="O2" s="1033"/>
      <c r="P2" s="1033"/>
    </row>
    <row r="3" spans="1:16">
      <c r="A3" s="1033"/>
      <c r="B3" s="1094"/>
      <c r="C3" s="1094"/>
      <c r="D3" s="1094"/>
      <c r="E3" s="1033"/>
      <c r="F3" s="1033"/>
      <c r="G3" s="1033"/>
      <c r="H3" s="1033"/>
      <c r="I3" s="1033"/>
      <c r="J3" s="1033"/>
      <c r="K3" s="1033"/>
      <c r="L3" s="1033"/>
      <c r="M3" s="1033"/>
      <c r="N3" s="1033"/>
      <c r="O3" s="1033"/>
      <c r="P3" s="1033"/>
    </row>
    <row r="4" spans="1:16" ht="15.75">
      <c r="A4" s="1033"/>
      <c r="B4" s="1047" t="s">
        <v>323</v>
      </c>
      <c r="C4" s="1325" t="str">
        <f>CFG_MES_TXT</f>
        <v>Setiembre 2026</v>
      </c>
      <c r="D4" s="1325"/>
      <c r="E4" s="1033"/>
      <c r="F4" s="1033"/>
      <c r="G4" s="1033"/>
      <c r="H4" s="1033"/>
      <c r="I4" s="1033"/>
      <c r="J4" s="1033"/>
      <c r="K4" s="1033"/>
      <c r="L4" s="1033"/>
      <c r="M4" s="1033"/>
      <c r="N4" s="1033"/>
      <c r="O4" s="1033"/>
      <c r="P4" s="1033"/>
    </row>
    <row r="5" spans="1:16">
      <c r="A5" s="1033"/>
      <c r="B5" s="1221" t="s">
        <v>9984</v>
      </c>
      <c r="C5" s="1326"/>
      <c r="D5" s="1326"/>
      <c r="E5" s="1326"/>
      <c r="F5" s="1033"/>
      <c r="G5" s="981" t="s">
        <v>9988</v>
      </c>
      <c r="H5" s="1033"/>
      <c r="I5" s="1033"/>
      <c r="J5" s="1033"/>
      <c r="K5" s="1033"/>
      <c r="L5" s="1033"/>
      <c r="M5" s="1033"/>
      <c r="N5" s="1033"/>
      <c r="O5" s="1033"/>
      <c r="P5" s="1033"/>
    </row>
    <row r="6" spans="1:16">
      <c r="A6" s="1033"/>
      <c r="B6" s="1321" t="s">
        <v>9983</v>
      </c>
      <c r="C6" s="1321"/>
      <c r="D6" s="1322">
        <f>COUNTIFS(tblMantto[Fecha],"&gt;="&amp;CFG_MES,tblMantto[Fecha],"&lt;="&amp;CFG_FIN_MES)</f>
        <v>0</v>
      </c>
      <c r="E6" s="1321"/>
      <c r="F6" s="1033"/>
      <c r="G6" s="1033"/>
      <c r="H6" s="1033"/>
      <c r="I6" s="1033"/>
      <c r="J6" s="1033"/>
      <c r="K6" s="1033"/>
      <c r="L6" s="1033"/>
      <c r="M6" s="1033"/>
      <c r="N6" s="1033"/>
      <c r="O6" s="1033"/>
      <c r="P6" s="1033"/>
    </row>
    <row r="7" spans="1:16">
      <c r="A7" s="1033"/>
      <c r="B7" s="1321" t="s">
        <v>9985</v>
      </c>
      <c r="C7" s="1321"/>
      <c r="D7" s="1327">
        <f>SUMIFS(tblMantto[Horas],tblMantto[Fecha],"&gt;="&amp;CFG_MES,tblMantto[Fecha],"&lt;="&amp;CFG_FIN_MES)</f>
        <v>0</v>
      </c>
      <c r="E7" s="1321"/>
      <c r="F7" s="1033"/>
      <c r="G7" s="1033"/>
      <c r="H7" s="1033"/>
      <c r="I7" s="1033"/>
      <c r="J7" s="1033"/>
      <c r="K7" s="1033"/>
      <c r="L7" s="1033"/>
      <c r="M7" s="1033"/>
      <c r="N7" s="1033"/>
      <c r="O7" s="1033"/>
      <c r="P7" s="1033"/>
    </row>
    <row r="8" spans="1:16">
      <c r="A8" s="1033"/>
      <c r="B8" s="1321" t="s">
        <v>9986</v>
      </c>
      <c r="C8" s="1321"/>
      <c r="D8" s="1322">
        <f>COUNTIFS(tblMantto[Fecha],"&gt;="&amp;CFG_MES,tblMantto[Fecha],"&lt;="&amp;CFG_FIN_MES,tblMantto[Estado],"Terminado")</f>
        <v>0</v>
      </c>
      <c r="E8" s="1321"/>
      <c r="F8" s="1033"/>
      <c r="G8" s="1033"/>
      <c r="H8" s="1033"/>
      <c r="I8" s="1033"/>
      <c r="J8" s="1033"/>
      <c r="K8" s="1033"/>
      <c r="L8" s="1033"/>
      <c r="M8" s="1033"/>
      <c r="N8" s="1033"/>
      <c r="O8" s="1033"/>
      <c r="P8" s="1033"/>
    </row>
    <row r="9" spans="1:16">
      <c r="A9" s="1033"/>
      <c r="B9" s="1323" t="s">
        <v>9987</v>
      </c>
      <c r="C9" s="1323"/>
      <c r="D9" s="1324" t="str">
        <f>IFERROR(D8/D6,"")</f>
        <v/>
      </c>
      <c r="E9" s="1321"/>
      <c r="F9" s="1033"/>
      <c r="G9" s="1033"/>
      <c r="H9" s="1033"/>
      <c r="I9" s="1033"/>
      <c r="J9" s="1033"/>
      <c r="K9" s="1033"/>
      <c r="L9" s="1033"/>
      <c r="M9" s="1033"/>
      <c r="N9" s="1033"/>
      <c r="O9" s="1033"/>
      <c r="P9" s="1033"/>
    </row>
    <row r="10" spans="1:16">
      <c r="A10" s="1033"/>
      <c r="B10" s="1033"/>
      <c r="C10" s="1033"/>
      <c r="D10" s="1033"/>
      <c r="E10" s="1033"/>
      <c r="F10" s="1033"/>
      <c r="G10" s="1033"/>
      <c r="H10" s="1033"/>
      <c r="I10" s="1033"/>
      <c r="J10" s="1033"/>
      <c r="K10" s="1033"/>
      <c r="L10" s="1033"/>
      <c r="M10" s="1033"/>
      <c r="N10" s="1033"/>
      <c r="O10" s="1033"/>
      <c r="P10" s="1033"/>
    </row>
    <row r="11" spans="1:16">
      <c r="A11" s="1033"/>
      <c r="B11" s="1033"/>
      <c r="C11" s="1033"/>
      <c r="D11" s="1033"/>
      <c r="E11" s="1033"/>
      <c r="F11" s="1033"/>
      <c r="G11" s="1033"/>
      <c r="H11" s="1033"/>
      <c r="I11" s="1033"/>
      <c r="J11" s="1033"/>
      <c r="K11" s="1033"/>
      <c r="L11" s="1033"/>
      <c r="M11" s="1033"/>
      <c r="N11" s="1033"/>
      <c r="O11" s="1033"/>
      <c r="P11" s="1033"/>
    </row>
    <row r="12" spans="1:16" ht="32.1" customHeight="1">
      <c r="A12" s="1033"/>
      <c r="B12" s="1123" t="s">
        <v>3</v>
      </c>
      <c r="C12" s="1108" t="s">
        <v>3232</v>
      </c>
      <c r="D12" s="1108" t="s">
        <v>3231</v>
      </c>
      <c r="E12" s="1108" t="s">
        <v>254</v>
      </c>
      <c r="F12" s="1108" t="s">
        <v>653</v>
      </c>
      <c r="G12" s="1108" t="s">
        <v>2505</v>
      </c>
      <c r="H12" s="1108" t="s">
        <v>9417</v>
      </c>
      <c r="I12" s="1108" t="s">
        <v>9989</v>
      </c>
      <c r="J12" s="1108" t="s">
        <v>59</v>
      </c>
      <c r="K12" s="1108" t="s">
        <v>60</v>
      </c>
      <c r="L12" s="1108" t="s">
        <v>9990</v>
      </c>
      <c r="M12" s="1108" t="s">
        <v>384</v>
      </c>
      <c r="N12" s="1108" t="s">
        <v>2519</v>
      </c>
      <c r="O12" s="1124" t="s">
        <v>2520</v>
      </c>
      <c r="P12" s="1033"/>
    </row>
    <row r="13" spans="1:16">
      <c r="A13" s="1033"/>
      <c r="B13" s="1126"/>
      <c r="C13" s="1048"/>
      <c r="D13" s="1131"/>
      <c r="E13" s="1048"/>
      <c r="F13" s="1134"/>
      <c r="G13" s="1131"/>
      <c r="H13" s="1048"/>
      <c r="I13" s="1131"/>
      <c r="J13" s="1137"/>
      <c r="K13" s="1137"/>
      <c r="L13" s="1141" t="str">
        <f>IF(AND(ISNUMBER(tblMantto[[#This Row],[Inicio]]),ISNUMBER(tblMantto[[#This Row],[Fin]])),MOD(tblMantto[[#This Row],[Fin]]-tblMantto[[#This Row],[Inicio]],1)*24,"")</f>
        <v/>
      </c>
      <c r="M13" s="1048"/>
      <c r="N13" s="1131"/>
      <c r="O13" s="1144"/>
      <c r="P13" s="1033"/>
    </row>
    <row r="14" spans="1:16">
      <c r="A14" s="1033"/>
      <c r="B14" s="1126"/>
      <c r="C14" s="1048"/>
      <c r="D14" s="1131"/>
      <c r="E14" s="1048"/>
      <c r="F14" s="1134"/>
      <c r="G14" s="1131"/>
      <c r="H14" s="1048"/>
      <c r="I14" s="1131"/>
      <c r="J14" s="1137"/>
      <c r="K14" s="1137"/>
      <c r="L14" s="1141" t="str">
        <f>IF(AND(ISNUMBER(tblMantto[[#This Row],[Inicio]]),ISNUMBER(tblMantto[[#This Row],[Fin]])),MOD(tblMantto[[#This Row],[Fin]]-tblMantto[[#This Row],[Inicio]],1)*24,"")</f>
        <v/>
      </c>
      <c r="M14" s="1048"/>
      <c r="N14" s="1131"/>
      <c r="O14" s="1144"/>
      <c r="P14" s="1033"/>
    </row>
    <row r="15" spans="1:16">
      <c r="A15" s="1033"/>
      <c r="B15" s="1126"/>
      <c r="C15" s="1048"/>
      <c r="D15" s="1131"/>
      <c r="E15" s="1048"/>
      <c r="F15" s="1134"/>
      <c r="G15" s="1131"/>
      <c r="H15" s="1048"/>
      <c r="I15" s="1131"/>
      <c r="J15" s="1137"/>
      <c r="K15" s="1137"/>
      <c r="L15" s="1141" t="str">
        <f>IF(AND(ISNUMBER(tblMantto[[#This Row],[Inicio]]),ISNUMBER(tblMantto[[#This Row],[Fin]])),MOD(tblMantto[[#This Row],[Fin]]-tblMantto[[#This Row],[Inicio]],1)*24,"")</f>
        <v/>
      </c>
      <c r="M15" s="1048"/>
      <c r="N15" s="1131"/>
      <c r="O15" s="1144"/>
      <c r="P15" s="1033"/>
    </row>
    <row r="16" spans="1:16">
      <c r="A16" s="1033"/>
      <c r="B16" s="1126"/>
      <c r="C16" s="1048"/>
      <c r="D16" s="1131"/>
      <c r="E16" s="1048"/>
      <c r="F16" s="1134"/>
      <c r="G16" s="1131"/>
      <c r="H16" s="1048"/>
      <c r="I16" s="1131"/>
      <c r="J16" s="1137"/>
      <c r="K16" s="1137"/>
      <c r="L16" s="1141" t="str">
        <f>IF(AND(ISNUMBER(tblMantto[[#This Row],[Inicio]]),ISNUMBER(tblMantto[[#This Row],[Fin]])),MOD(tblMantto[[#This Row],[Fin]]-tblMantto[[#This Row],[Inicio]],1)*24,"")</f>
        <v/>
      </c>
      <c r="M16" s="1048"/>
      <c r="N16" s="1131"/>
      <c r="O16" s="1144"/>
      <c r="P16" s="1033"/>
    </row>
    <row r="17" spans="1:16">
      <c r="A17" s="1033"/>
      <c r="B17" s="1126"/>
      <c r="C17" s="1048"/>
      <c r="D17" s="1131"/>
      <c r="E17" s="1048"/>
      <c r="F17" s="1134"/>
      <c r="G17" s="1131"/>
      <c r="H17" s="1048"/>
      <c r="I17" s="1131"/>
      <c r="J17" s="1137"/>
      <c r="K17" s="1137"/>
      <c r="L17" s="1141" t="str">
        <f>IF(AND(ISNUMBER(tblMantto[[#This Row],[Inicio]]),ISNUMBER(tblMantto[[#This Row],[Fin]])),MOD(tblMantto[[#This Row],[Fin]]-tblMantto[[#This Row],[Inicio]],1)*24,"")</f>
        <v/>
      </c>
      <c r="M17" s="1048"/>
      <c r="N17" s="1131"/>
      <c r="O17" s="1144"/>
      <c r="P17" s="1033"/>
    </row>
    <row r="18" spans="1:16">
      <c r="A18" s="1033"/>
      <c r="B18" s="1126"/>
      <c r="C18" s="1048"/>
      <c r="D18" s="1131"/>
      <c r="E18" s="1048"/>
      <c r="F18" s="1134"/>
      <c r="G18" s="1131"/>
      <c r="H18" s="1048"/>
      <c r="I18" s="1131"/>
      <c r="J18" s="1137"/>
      <c r="K18" s="1137"/>
      <c r="L18" s="1141" t="str">
        <f>IF(AND(ISNUMBER(tblMantto[[#This Row],[Inicio]]),ISNUMBER(tblMantto[[#This Row],[Fin]])),MOD(tblMantto[[#This Row],[Fin]]-tblMantto[[#This Row],[Inicio]],1)*24,"")</f>
        <v/>
      </c>
      <c r="M18" s="1048"/>
      <c r="N18" s="1131"/>
      <c r="O18" s="1144"/>
      <c r="P18" s="1033"/>
    </row>
    <row r="19" spans="1:16">
      <c r="A19" s="1033"/>
      <c r="B19" s="1126"/>
      <c r="C19" s="1048"/>
      <c r="D19" s="1131"/>
      <c r="E19" s="1048"/>
      <c r="F19" s="1134"/>
      <c r="G19" s="1131"/>
      <c r="H19" s="1048"/>
      <c r="I19" s="1131"/>
      <c r="J19" s="1137"/>
      <c r="K19" s="1137"/>
      <c r="L19" s="1141" t="str">
        <f>IF(AND(ISNUMBER(tblMantto[[#This Row],[Inicio]]),ISNUMBER(tblMantto[[#This Row],[Fin]])),MOD(tblMantto[[#This Row],[Fin]]-tblMantto[[#This Row],[Inicio]],1)*24,"")</f>
        <v/>
      </c>
      <c r="M19" s="1048"/>
      <c r="N19" s="1131"/>
      <c r="O19" s="1144"/>
      <c r="P19" s="1033"/>
    </row>
    <row r="20" spans="1:16">
      <c r="A20" s="1033"/>
      <c r="B20" s="1126"/>
      <c r="C20" s="1048"/>
      <c r="D20" s="1131"/>
      <c r="E20" s="1048"/>
      <c r="F20" s="1134"/>
      <c r="G20" s="1131"/>
      <c r="H20" s="1048"/>
      <c r="I20" s="1131"/>
      <c r="J20" s="1137"/>
      <c r="K20" s="1137"/>
      <c r="L20" s="1141" t="str">
        <f>IF(AND(ISNUMBER(tblMantto[[#This Row],[Inicio]]),ISNUMBER(tblMantto[[#This Row],[Fin]])),MOD(tblMantto[[#This Row],[Fin]]-tblMantto[[#This Row],[Inicio]],1)*24,"")</f>
        <v/>
      </c>
      <c r="M20" s="1048"/>
      <c r="N20" s="1131"/>
      <c r="O20" s="1144"/>
      <c r="P20" s="1033"/>
    </row>
    <row r="21" spans="1:16">
      <c r="A21" s="1033"/>
      <c r="B21" s="1126"/>
      <c r="C21" s="1048"/>
      <c r="D21" s="1131"/>
      <c r="E21" s="1048"/>
      <c r="F21" s="1134"/>
      <c r="G21" s="1131"/>
      <c r="H21" s="1048"/>
      <c r="I21" s="1131"/>
      <c r="J21" s="1137"/>
      <c r="K21" s="1137"/>
      <c r="L21" s="1141" t="str">
        <f>IF(AND(ISNUMBER(tblMantto[[#This Row],[Inicio]]),ISNUMBER(tblMantto[[#This Row],[Fin]])),MOD(tblMantto[[#This Row],[Fin]]-tblMantto[[#This Row],[Inicio]],1)*24,"")</f>
        <v/>
      </c>
      <c r="M21" s="1048"/>
      <c r="N21" s="1131"/>
      <c r="O21" s="1144"/>
      <c r="P21" s="1033"/>
    </row>
    <row r="22" spans="1:16">
      <c r="A22" s="1033"/>
      <c r="B22" s="1126"/>
      <c r="C22" s="1048"/>
      <c r="D22" s="1131"/>
      <c r="E22" s="1048"/>
      <c r="F22" s="1134"/>
      <c r="G22" s="1131"/>
      <c r="H22" s="1048"/>
      <c r="I22" s="1131"/>
      <c r="J22" s="1137"/>
      <c r="K22" s="1137"/>
      <c r="L22" s="1141" t="str">
        <f>IF(AND(ISNUMBER(tblMantto[[#This Row],[Inicio]]),ISNUMBER(tblMantto[[#This Row],[Fin]])),MOD(tblMantto[[#This Row],[Fin]]-tblMantto[[#This Row],[Inicio]],1)*24,"")</f>
        <v/>
      </c>
      <c r="M22" s="1048"/>
      <c r="N22" s="1131"/>
      <c r="O22" s="1144"/>
      <c r="P22" s="1033"/>
    </row>
    <row r="23" spans="1:16">
      <c r="A23" s="1033"/>
      <c r="B23" s="1126"/>
      <c r="C23" s="1048"/>
      <c r="D23" s="1131"/>
      <c r="E23" s="1048"/>
      <c r="F23" s="1134"/>
      <c r="G23" s="1131"/>
      <c r="H23" s="1048"/>
      <c r="I23" s="1131"/>
      <c r="J23" s="1137"/>
      <c r="K23" s="1137"/>
      <c r="L23" s="1141" t="str">
        <f>IF(AND(ISNUMBER(tblMantto[[#This Row],[Inicio]]),ISNUMBER(tblMantto[[#This Row],[Fin]])),MOD(tblMantto[[#This Row],[Fin]]-tblMantto[[#This Row],[Inicio]],1)*24,"")</f>
        <v/>
      </c>
      <c r="M23" s="1048"/>
      <c r="N23" s="1131"/>
      <c r="O23" s="1144"/>
      <c r="P23" s="1033"/>
    </row>
    <row r="24" spans="1:16">
      <c r="A24" s="1033"/>
      <c r="B24" s="1126"/>
      <c r="C24" s="1048"/>
      <c r="D24" s="1131"/>
      <c r="E24" s="1048"/>
      <c r="F24" s="1134"/>
      <c r="G24" s="1131"/>
      <c r="H24" s="1048"/>
      <c r="I24" s="1131"/>
      <c r="J24" s="1137"/>
      <c r="K24" s="1137"/>
      <c r="L24" s="1141" t="str">
        <f>IF(AND(ISNUMBER(tblMantto[[#This Row],[Inicio]]),ISNUMBER(tblMantto[[#This Row],[Fin]])),MOD(tblMantto[[#This Row],[Fin]]-tblMantto[[#This Row],[Inicio]],1)*24,"")</f>
        <v/>
      </c>
      <c r="M24" s="1048"/>
      <c r="N24" s="1131"/>
      <c r="O24" s="1144"/>
      <c r="P24" s="1033"/>
    </row>
    <row r="25" spans="1:16">
      <c r="A25" s="1033"/>
      <c r="B25" s="1126"/>
      <c r="C25" s="1048"/>
      <c r="D25" s="1131"/>
      <c r="E25" s="1048"/>
      <c r="F25" s="1134"/>
      <c r="G25" s="1131"/>
      <c r="H25" s="1048"/>
      <c r="I25" s="1131"/>
      <c r="J25" s="1137"/>
      <c r="K25" s="1137"/>
      <c r="L25" s="1141" t="str">
        <f>IF(AND(ISNUMBER(tblMantto[[#This Row],[Inicio]]),ISNUMBER(tblMantto[[#This Row],[Fin]])),MOD(tblMantto[[#This Row],[Fin]]-tblMantto[[#This Row],[Inicio]],1)*24,"")</f>
        <v/>
      </c>
      <c r="M25" s="1048"/>
      <c r="N25" s="1131"/>
      <c r="O25" s="1144"/>
      <c r="P25" s="1033"/>
    </row>
    <row r="26" spans="1:16">
      <c r="A26" s="1033"/>
      <c r="B26" s="1126"/>
      <c r="C26" s="1048"/>
      <c r="D26" s="1131"/>
      <c r="E26" s="1048"/>
      <c r="F26" s="1134"/>
      <c r="G26" s="1131"/>
      <c r="H26" s="1048"/>
      <c r="I26" s="1131"/>
      <c r="J26" s="1137"/>
      <c r="K26" s="1137"/>
      <c r="L26" s="1141" t="str">
        <f>IF(AND(ISNUMBER(tblMantto[[#This Row],[Inicio]]),ISNUMBER(tblMantto[[#This Row],[Fin]])),MOD(tblMantto[[#This Row],[Fin]]-tblMantto[[#This Row],[Inicio]],1)*24,"")</f>
        <v/>
      </c>
      <c r="M26" s="1048"/>
      <c r="N26" s="1131"/>
      <c r="O26" s="1144"/>
      <c r="P26" s="1033"/>
    </row>
    <row r="27" spans="1:16">
      <c r="A27" s="1033"/>
      <c r="B27" s="1126"/>
      <c r="C27" s="1048"/>
      <c r="D27" s="1131"/>
      <c r="E27" s="1048"/>
      <c r="F27" s="1134"/>
      <c r="G27" s="1131"/>
      <c r="H27" s="1048"/>
      <c r="I27" s="1131"/>
      <c r="J27" s="1137"/>
      <c r="K27" s="1137"/>
      <c r="L27" s="1141" t="str">
        <f>IF(AND(ISNUMBER(tblMantto[[#This Row],[Inicio]]),ISNUMBER(tblMantto[[#This Row],[Fin]])),MOD(tblMantto[[#This Row],[Fin]]-tblMantto[[#This Row],[Inicio]],1)*24,"")</f>
        <v/>
      </c>
      <c r="M27" s="1048"/>
      <c r="N27" s="1131"/>
      <c r="O27" s="1144"/>
      <c r="P27" s="1033"/>
    </row>
    <row r="28" spans="1:16">
      <c r="A28" s="1033"/>
      <c r="B28" s="1126"/>
      <c r="C28" s="1048"/>
      <c r="D28" s="1131"/>
      <c r="E28" s="1048"/>
      <c r="F28" s="1134"/>
      <c r="G28" s="1131"/>
      <c r="H28" s="1048"/>
      <c r="I28" s="1131"/>
      <c r="J28" s="1137"/>
      <c r="K28" s="1137"/>
      <c r="L28" s="1141" t="str">
        <f>IF(AND(ISNUMBER(tblMantto[[#This Row],[Inicio]]),ISNUMBER(tblMantto[[#This Row],[Fin]])),MOD(tblMantto[[#This Row],[Fin]]-tblMantto[[#This Row],[Inicio]],1)*24,"")</f>
        <v/>
      </c>
      <c r="M28" s="1048"/>
      <c r="N28" s="1131"/>
      <c r="O28" s="1144"/>
      <c r="P28" s="1033"/>
    </row>
    <row r="29" spans="1:16">
      <c r="A29" s="1033"/>
      <c r="B29" s="1126"/>
      <c r="C29" s="1048"/>
      <c r="D29" s="1131"/>
      <c r="E29" s="1048"/>
      <c r="F29" s="1134"/>
      <c r="G29" s="1131"/>
      <c r="H29" s="1048"/>
      <c r="I29" s="1131"/>
      <c r="J29" s="1137"/>
      <c r="K29" s="1137"/>
      <c r="L29" s="1141" t="str">
        <f>IF(AND(ISNUMBER(tblMantto[[#This Row],[Inicio]]),ISNUMBER(tblMantto[[#This Row],[Fin]])),MOD(tblMantto[[#This Row],[Fin]]-tblMantto[[#This Row],[Inicio]],1)*24,"")</f>
        <v/>
      </c>
      <c r="M29" s="1048"/>
      <c r="N29" s="1131"/>
      <c r="O29" s="1144"/>
      <c r="P29" s="1033"/>
    </row>
    <row r="30" spans="1:16">
      <c r="A30" s="1033"/>
      <c r="B30" s="1126"/>
      <c r="C30" s="1048"/>
      <c r="D30" s="1131"/>
      <c r="E30" s="1048"/>
      <c r="F30" s="1134"/>
      <c r="G30" s="1131"/>
      <c r="H30" s="1048"/>
      <c r="I30" s="1131"/>
      <c r="J30" s="1137"/>
      <c r="K30" s="1137"/>
      <c r="L30" s="1141" t="str">
        <f>IF(AND(ISNUMBER(tblMantto[[#This Row],[Inicio]]),ISNUMBER(tblMantto[[#This Row],[Fin]])),MOD(tblMantto[[#This Row],[Fin]]-tblMantto[[#This Row],[Inicio]],1)*24,"")</f>
        <v/>
      </c>
      <c r="M30" s="1048"/>
      <c r="N30" s="1131"/>
      <c r="O30" s="1144"/>
      <c r="P30" s="1033"/>
    </row>
    <row r="31" spans="1:16">
      <c r="A31" s="1033"/>
      <c r="B31" s="1126"/>
      <c r="C31" s="1048"/>
      <c r="D31" s="1131"/>
      <c r="E31" s="1048"/>
      <c r="F31" s="1134"/>
      <c r="G31" s="1131"/>
      <c r="H31" s="1048"/>
      <c r="I31" s="1131"/>
      <c r="J31" s="1137"/>
      <c r="K31" s="1137"/>
      <c r="L31" s="1141" t="str">
        <f>IF(AND(ISNUMBER(tblMantto[[#This Row],[Inicio]]),ISNUMBER(tblMantto[[#This Row],[Fin]])),MOD(tblMantto[[#This Row],[Fin]]-tblMantto[[#This Row],[Inicio]],1)*24,"")</f>
        <v/>
      </c>
      <c r="M31" s="1048"/>
      <c r="N31" s="1131"/>
      <c r="O31" s="1144"/>
      <c r="P31" s="1033"/>
    </row>
    <row r="32" spans="1:16">
      <c r="A32" s="1033"/>
      <c r="B32" s="1126"/>
      <c r="C32" s="1048"/>
      <c r="D32" s="1131"/>
      <c r="E32" s="1048"/>
      <c r="F32" s="1134"/>
      <c r="G32" s="1131"/>
      <c r="H32" s="1048"/>
      <c r="I32" s="1131"/>
      <c r="J32" s="1137"/>
      <c r="K32" s="1137"/>
      <c r="L32" s="1141" t="str">
        <f>IF(AND(ISNUMBER(tblMantto[[#This Row],[Inicio]]),ISNUMBER(tblMantto[[#This Row],[Fin]])),MOD(tblMantto[[#This Row],[Fin]]-tblMantto[[#This Row],[Inicio]],1)*24,"")</f>
        <v/>
      </c>
      <c r="M32" s="1048"/>
      <c r="N32" s="1131"/>
      <c r="O32" s="1144"/>
      <c r="P32" s="1033"/>
    </row>
    <row r="33" spans="1:16">
      <c r="A33" s="1033"/>
      <c r="B33" s="1126"/>
      <c r="C33" s="1048"/>
      <c r="D33" s="1131"/>
      <c r="E33" s="1048"/>
      <c r="F33" s="1134"/>
      <c r="G33" s="1131"/>
      <c r="H33" s="1048"/>
      <c r="I33" s="1131"/>
      <c r="J33" s="1137"/>
      <c r="K33" s="1137"/>
      <c r="L33" s="1141" t="str">
        <f>IF(AND(ISNUMBER(tblMantto[[#This Row],[Inicio]]),ISNUMBER(tblMantto[[#This Row],[Fin]])),MOD(tblMantto[[#This Row],[Fin]]-tblMantto[[#This Row],[Inicio]],1)*24,"")</f>
        <v/>
      </c>
      <c r="M33" s="1048"/>
      <c r="N33" s="1131"/>
      <c r="O33" s="1144"/>
      <c r="P33" s="1033"/>
    </row>
    <row r="34" spans="1:16">
      <c r="A34" s="1033"/>
      <c r="B34" s="1126"/>
      <c r="C34" s="1048"/>
      <c r="D34" s="1131"/>
      <c r="E34" s="1048"/>
      <c r="F34" s="1134"/>
      <c r="G34" s="1131"/>
      <c r="H34" s="1048"/>
      <c r="I34" s="1131"/>
      <c r="J34" s="1137"/>
      <c r="K34" s="1137"/>
      <c r="L34" s="1141" t="str">
        <f>IF(AND(ISNUMBER(tblMantto[[#This Row],[Inicio]]),ISNUMBER(tblMantto[[#This Row],[Fin]])),MOD(tblMantto[[#This Row],[Fin]]-tblMantto[[#This Row],[Inicio]],1)*24,"")</f>
        <v/>
      </c>
      <c r="M34" s="1048"/>
      <c r="N34" s="1131"/>
      <c r="O34" s="1144"/>
      <c r="P34" s="1033"/>
    </row>
    <row r="35" spans="1:16">
      <c r="A35" s="1033"/>
      <c r="B35" s="1126"/>
      <c r="C35" s="1048"/>
      <c r="D35" s="1131"/>
      <c r="E35" s="1048"/>
      <c r="F35" s="1134"/>
      <c r="G35" s="1131"/>
      <c r="H35" s="1048"/>
      <c r="I35" s="1131"/>
      <c r="J35" s="1137"/>
      <c r="K35" s="1137"/>
      <c r="L35" s="1141" t="str">
        <f>IF(AND(ISNUMBER(tblMantto[[#This Row],[Inicio]]),ISNUMBER(tblMantto[[#This Row],[Fin]])),MOD(tblMantto[[#This Row],[Fin]]-tblMantto[[#This Row],[Inicio]],1)*24,"")</f>
        <v/>
      </c>
      <c r="M35" s="1048"/>
      <c r="N35" s="1131"/>
      <c r="O35" s="1144"/>
      <c r="P35" s="1033"/>
    </row>
    <row r="36" spans="1:16">
      <c r="A36" s="1033"/>
      <c r="B36" s="1126"/>
      <c r="C36" s="1048"/>
      <c r="D36" s="1131"/>
      <c r="E36" s="1048"/>
      <c r="F36" s="1134"/>
      <c r="G36" s="1131"/>
      <c r="H36" s="1048"/>
      <c r="I36" s="1131"/>
      <c r="J36" s="1137"/>
      <c r="K36" s="1137"/>
      <c r="L36" s="1141" t="str">
        <f>IF(AND(ISNUMBER(tblMantto[[#This Row],[Inicio]]),ISNUMBER(tblMantto[[#This Row],[Fin]])),MOD(tblMantto[[#This Row],[Fin]]-tblMantto[[#This Row],[Inicio]],1)*24,"")</f>
        <v/>
      </c>
      <c r="M36" s="1048"/>
      <c r="N36" s="1131"/>
      <c r="O36" s="1144"/>
      <c r="P36" s="1033"/>
    </row>
    <row r="37" spans="1:16">
      <c r="A37" s="1033"/>
      <c r="B37" s="1126"/>
      <c r="C37" s="1048"/>
      <c r="D37" s="1131"/>
      <c r="E37" s="1048"/>
      <c r="F37" s="1134"/>
      <c r="G37" s="1131"/>
      <c r="H37" s="1048"/>
      <c r="I37" s="1131"/>
      <c r="J37" s="1137"/>
      <c r="K37" s="1137"/>
      <c r="L37" s="1141" t="str">
        <f>IF(AND(ISNUMBER(tblMantto[[#This Row],[Inicio]]),ISNUMBER(tblMantto[[#This Row],[Fin]])),MOD(tblMantto[[#This Row],[Fin]]-tblMantto[[#This Row],[Inicio]],1)*24,"")</f>
        <v/>
      </c>
      <c r="M37" s="1048"/>
      <c r="N37" s="1131"/>
      <c r="O37" s="1144"/>
      <c r="P37" s="1033"/>
    </row>
    <row r="38" spans="1:16">
      <c r="A38" s="1033"/>
      <c r="B38" s="1126"/>
      <c r="C38" s="1048"/>
      <c r="D38" s="1131"/>
      <c r="E38" s="1048"/>
      <c r="F38" s="1134"/>
      <c r="G38" s="1131"/>
      <c r="H38" s="1048"/>
      <c r="I38" s="1131"/>
      <c r="J38" s="1137"/>
      <c r="K38" s="1137"/>
      <c r="L38" s="1141" t="str">
        <f>IF(AND(ISNUMBER(tblMantto[[#This Row],[Inicio]]),ISNUMBER(tblMantto[[#This Row],[Fin]])),MOD(tblMantto[[#This Row],[Fin]]-tblMantto[[#This Row],[Inicio]],1)*24,"")</f>
        <v/>
      </c>
      <c r="M38" s="1048"/>
      <c r="N38" s="1131"/>
      <c r="O38" s="1144"/>
      <c r="P38" s="1033"/>
    </row>
    <row r="39" spans="1:16">
      <c r="A39" s="1033"/>
      <c r="B39" s="1126"/>
      <c r="C39" s="1048"/>
      <c r="D39" s="1131"/>
      <c r="E39" s="1048"/>
      <c r="F39" s="1134"/>
      <c r="G39" s="1131"/>
      <c r="H39" s="1048"/>
      <c r="I39" s="1131"/>
      <c r="J39" s="1137"/>
      <c r="K39" s="1137"/>
      <c r="L39" s="1141" t="str">
        <f>IF(AND(ISNUMBER(tblMantto[[#This Row],[Inicio]]),ISNUMBER(tblMantto[[#This Row],[Fin]])),MOD(tblMantto[[#This Row],[Fin]]-tblMantto[[#This Row],[Inicio]],1)*24,"")</f>
        <v/>
      </c>
      <c r="M39" s="1048"/>
      <c r="N39" s="1131"/>
      <c r="O39" s="1144"/>
      <c r="P39" s="1033"/>
    </row>
    <row r="40" spans="1:16">
      <c r="A40" s="1033"/>
      <c r="B40" s="1126"/>
      <c r="C40" s="1048"/>
      <c r="D40" s="1131"/>
      <c r="E40" s="1048"/>
      <c r="F40" s="1134"/>
      <c r="G40" s="1131"/>
      <c r="H40" s="1048"/>
      <c r="I40" s="1131"/>
      <c r="J40" s="1137"/>
      <c r="K40" s="1137"/>
      <c r="L40" s="1141" t="str">
        <f>IF(AND(ISNUMBER(tblMantto[[#This Row],[Inicio]]),ISNUMBER(tblMantto[[#This Row],[Fin]])),MOD(tblMantto[[#This Row],[Fin]]-tblMantto[[#This Row],[Inicio]],1)*24,"")</f>
        <v/>
      </c>
      <c r="M40" s="1048"/>
      <c r="N40" s="1131"/>
      <c r="O40" s="1144"/>
      <c r="P40" s="1033"/>
    </row>
    <row r="41" spans="1:16">
      <c r="A41" s="1033"/>
      <c r="B41" s="1126"/>
      <c r="C41" s="1048"/>
      <c r="D41" s="1131"/>
      <c r="E41" s="1048"/>
      <c r="F41" s="1134"/>
      <c r="G41" s="1131"/>
      <c r="H41" s="1048"/>
      <c r="I41" s="1131"/>
      <c r="J41" s="1137"/>
      <c r="K41" s="1137"/>
      <c r="L41" s="1141" t="str">
        <f>IF(AND(ISNUMBER(tblMantto[[#This Row],[Inicio]]),ISNUMBER(tblMantto[[#This Row],[Fin]])),MOD(tblMantto[[#This Row],[Fin]]-tblMantto[[#This Row],[Inicio]],1)*24,"")</f>
        <v/>
      </c>
      <c r="M41" s="1048"/>
      <c r="N41" s="1131"/>
      <c r="O41" s="1144"/>
      <c r="P41" s="1033"/>
    </row>
    <row r="42" spans="1:16">
      <c r="A42" s="1033"/>
      <c r="B42" s="1126"/>
      <c r="C42" s="1048"/>
      <c r="D42" s="1131"/>
      <c r="E42" s="1048"/>
      <c r="F42" s="1134"/>
      <c r="G42" s="1131"/>
      <c r="H42" s="1048"/>
      <c r="I42" s="1131"/>
      <c r="J42" s="1137"/>
      <c r="K42" s="1137"/>
      <c r="L42" s="1141" t="str">
        <f>IF(AND(ISNUMBER(tblMantto[[#This Row],[Inicio]]),ISNUMBER(tblMantto[[#This Row],[Fin]])),MOD(tblMantto[[#This Row],[Fin]]-tblMantto[[#This Row],[Inicio]],1)*24,"")</f>
        <v/>
      </c>
      <c r="M42" s="1048"/>
      <c r="N42" s="1131"/>
      <c r="O42" s="1144"/>
      <c r="P42" s="1033"/>
    </row>
    <row r="43" spans="1:16">
      <c r="A43" s="1033"/>
      <c r="B43" s="1126"/>
      <c r="C43" s="1048"/>
      <c r="D43" s="1131"/>
      <c r="E43" s="1048"/>
      <c r="F43" s="1134"/>
      <c r="G43" s="1131"/>
      <c r="H43" s="1048"/>
      <c r="I43" s="1131"/>
      <c r="J43" s="1137"/>
      <c r="K43" s="1137"/>
      <c r="L43" s="1141" t="str">
        <f>IF(AND(ISNUMBER(tblMantto[[#This Row],[Inicio]]),ISNUMBER(tblMantto[[#This Row],[Fin]])),MOD(tblMantto[[#This Row],[Fin]]-tblMantto[[#This Row],[Inicio]],1)*24,"")</f>
        <v/>
      </c>
      <c r="M43" s="1048"/>
      <c r="N43" s="1131"/>
      <c r="O43" s="1144"/>
      <c r="P43" s="1033"/>
    </row>
    <row r="44" spans="1:16">
      <c r="A44" s="1033"/>
      <c r="B44" s="1126"/>
      <c r="C44" s="1048"/>
      <c r="D44" s="1131"/>
      <c r="E44" s="1048"/>
      <c r="F44" s="1134"/>
      <c r="G44" s="1131"/>
      <c r="H44" s="1048"/>
      <c r="I44" s="1131"/>
      <c r="J44" s="1137"/>
      <c r="K44" s="1137"/>
      <c r="L44" s="1141" t="str">
        <f>IF(AND(ISNUMBER(tblMantto[[#This Row],[Inicio]]),ISNUMBER(tblMantto[[#This Row],[Fin]])),MOD(tblMantto[[#This Row],[Fin]]-tblMantto[[#This Row],[Inicio]],1)*24,"")</f>
        <v/>
      </c>
      <c r="M44" s="1048"/>
      <c r="N44" s="1131"/>
      <c r="O44" s="1144"/>
      <c r="P44" s="1033"/>
    </row>
    <row r="45" spans="1:16">
      <c r="A45" s="1033"/>
      <c r="B45" s="1126"/>
      <c r="C45" s="1048"/>
      <c r="D45" s="1131"/>
      <c r="E45" s="1048"/>
      <c r="F45" s="1134"/>
      <c r="G45" s="1131"/>
      <c r="H45" s="1048"/>
      <c r="I45" s="1131"/>
      <c r="J45" s="1137"/>
      <c r="K45" s="1137"/>
      <c r="L45" s="1141" t="str">
        <f>IF(AND(ISNUMBER(tblMantto[[#This Row],[Inicio]]),ISNUMBER(tblMantto[[#This Row],[Fin]])),MOD(tblMantto[[#This Row],[Fin]]-tblMantto[[#This Row],[Inicio]],1)*24,"")</f>
        <v/>
      </c>
      <c r="M45" s="1048"/>
      <c r="N45" s="1131"/>
      <c r="O45" s="1144"/>
      <c r="P45" s="1033"/>
    </row>
    <row r="46" spans="1:16">
      <c r="A46" s="1033"/>
      <c r="B46" s="1126"/>
      <c r="C46" s="1048"/>
      <c r="D46" s="1131"/>
      <c r="E46" s="1048"/>
      <c r="F46" s="1134"/>
      <c r="G46" s="1131"/>
      <c r="H46" s="1048"/>
      <c r="I46" s="1131"/>
      <c r="J46" s="1137"/>
      <c r="K46" s="1137"/>
      <c r="L46" s="1141" t="str">
        <f>IF(AND(ISNUMBER(tblMantto[[#This Row],[Inicio]]),ISNUMBER(tblMantto[[#This Row],[Fin]])),MOD(tblMantto[[#This Row],[Fin]]-tblMantto[[#This Row],[Inicio]],1)*24,"")</f>
        <v/>
      </c>
      <c r="M46" s="1048"/>
      <c r="N46" s="1131"/>
      <c r="O46" s="1144"/>
      <c r="P46" s="1033"/>
    </row>
    <row r="47" spans="1:16">
      <c r="A47" s="1033"/>
      <c r="B47" s="1126"/>
      <c r="C47" s="1048"/>
      <c r="D47" s="1131"/>
      <c r="E47" s="1048"/>
      <c r="F47" s="1134"/>
      <c r="G47" s="1131"/>
      <c r="H47" s="1048"/>
      <c r="I47" s="1131"/>
      <c r="J47" s="1137"/>
      <c r="K47" s="1137"/>
      <c r="L47" s="1141" t="str">
        <f>IF(AND(ISNUMBER(tblMantto[[#This Row],[Inicio]]),ISNUMBER(tblMantto[[#This Row],[Fin]])),MOD(tblMantto[[#This Row],[Fin]]-tblMantto[[#This Row],[Inicio]],1)*24,"")</f>
        <v/>
      </c>
      <c r="M47" s="1048"/>
      <c r="N47" s="1131"/>
      <c r="O47" s="1144"/>
      <c r="P47" s="1033"/>
    </row>
    <row r="48" spans="1:16">
      <c r="A48" s="1033"/>
      <c r="B48" s="1126"/>
      <c r="C48" s="1048"/>
      <c r="D48" s="1131"/>
      <c r="E48" s="1048"/>
      <c r="F48" s="1134"/>
      <c r="G48" s="1131"/>
      <c r="H48" s="1048"/>
      <c r="I48" s="1131"/>
      <c r="J48" s="1137"/>
      <c r="K48" s="1137"/>
      <c r="L48" s="1141" t="str">
        <f>IF(AND(ISNUMBER(tblMantto[[#This Row],[Inicio]]),ISNUMBER(tblMantto[[#This Row],[Fin]])),MOD(tblMantto[[#This Row],[Fin]]-tblMantto[[#This Row],[Inicio]],1)*24,"")</f>
        <v/>
      </c>
      <c r="M48" s="1048"/>
      <c r="N48" s="1131"/>
      <c r="O48" s="1144"/>
      <c r="P48" s="1033"/>
    </row>
    <row r="49" spans="1:16">
      <c r="A49" s="1033"/>
      <c r="B49" s="1126"/>
      <c r="C49" s="1048"/>
      <c r="D49" s="1131"/>
      <c r="E49" s="1048"/>
      <c r="F49" s="1134"/>
      <c r="G49" s="1131"/>
      <c r="H49" s="1048"/>
      <c r="I49" s="1131"/>
      <c r="J49" s="1137"/>
      <c r="K49" s="1137"/>
      <c r="L49" s="1141" t="str">
        <f>IF(AND(ISNUMBER(tblMantto[[#This Row],[Inicio]]),ISNUMBER(tblMantto[[#This Row],[Fin]])),MOD(tblMantto[[#This Row],[Fin]]-tblMantto[[#This Row],[Inicio]],1)*24,"")</f>
        <v/>
      </c>
      <c r="M49" s="1048"/>
      <c r="N49" s="1131"/>
      <c r="O49" s="1144"/>
      <c r="P49" s="1033"/>
    </row>
    <row r="50" spans="1:16">
      <c r="A50" s="1033"/>
      <c r="B50" s="1126"/>
      <c r="C50" s="1048"/>
      <c r="D50" s="1131"/>
      <c r="E50" s="1048"/>
      <c r="F50" s="1134"/>
      <c r="G50" s="1131"/>
      <c r="H50" s="1048"/>
      <c r="I50" s="1131"/>
      <c r="J50" s="1137"/>
      <c r="K50" s="1137"/>
      <c r="L50" s="1141" t="str">
        <f>IF(AND(ISNUMBER(tblMantto[[#This Row],[Inicio]]),ISNUMBER(tblMantto[[#This Row],[Fin]])),MOD(tblMantto[[#This Row],[Fin]]-tblMantto[[#This Row],[Inicio]],1)*24,"")</f>
        <v/>
      </c>
      <c r="M50" s="1048"/>
      <c r="N50" s="1131"/>
      <c r="O50" s="1144"/>
      <c r="P50" s="1033"/>
    </row>
    <row r="51" spans="1:16">
      <c r="A51" s="1033"/>
      <c r="B51" s="1126"/>
      <c r="C51" s="1048"/>
      <c r="D51" s="1131"/>
      <c r="E51" s="1048"/>
      <c r="F51" s="1134"/>
      <c r="G51" s="1131"/>
      <c r="H51" s="1048"/>
      <c r="I51" s="1131"/>
      <c r="J51" s="1137"/>
      <c r="K51" s="1137"/>
      <c r="L51" s="1141" t="str">
        <f>IF(AND(ISNUMBER(tblMantto[[#This Row],[Inicio]]),ISNUMBER(tblMantto[[#This Row],[Fin]])),MOD(tblMantto[[#This Row],[Fin]]-tblMantto[[#This Row],[Inicio]],1)*24,"")</f>
        <v/>
      </c>
      <c r="M51" s="1048"/>
      <c r="N51" s="1131"/>
      <c r="O51" s="1144"/>
      <c r="P51" s="1033"/>
    </row>
    <row r="52" spans="1:16">
      <c r="A52" s="1033"/>
      <c r="B52" s="1127"/>
      <c r="C52" s="1130"/>
      <c r="D52" s="1132"/>
      <c r="E52" s="1130"/>
      <c r="F52" s="1135"/>
      <c r="G52" s="1132"/>
      <c r="H52" s="1130"/>
      <c r="I52" s="1132"/>
      <c r="J52" s="1138"/>
      <c r="K52" s="1138"/>
      <c r="L52" s="1142" t="str">
        <f>IF(AND(ISNUMBER(tblMantto[[#This Row],[Inicio]]),ISNUMBER(tblMantto[[#This Row],[Fin]])),MOD(tblMantto[[#This Row],[Fin]]-tblMantto[[#This Row],[Inicio]],1)*24,"")</f>
        <v/>
      </c>
      <c r="M52" s="1130"/>
      <c r="N52" s="1132"/>
      <c r="O52" s="1145"/>
      <c r="P52" s="1033"/>
    </row>
    <row r="53" spans="1:16">
      <c r="A53" s="1033"/>
      <c r="B53" s="1128"/>
      <c r="C53" s="1101"/>
      <c r="D53" s="1133"/>
      <c r="E53" s="1101"/>
      <c r="F53" s="1102"/>
      <c r="G53" s="1133"/>
      <c r="H53" s="1101"/>
      <c r="I53" s="1133"/>
      <c r="J53" s="1139"/>
      <c r="K53" s="1139"/>
      <c r="L53" s="1103"/>
      <c r="M53" s="1101"/>
      <c r="N53" s="1133"/>
      <c r="O53" s="1133"/>
      <c r="P53" s="1033"/>
    </row>
    <row r="54" spans="1:16">
      <c r="A54" s="1033"/>
      <c r="B54" s="1128"/>
      <c r="C54" s="1101"/>
      <c r="D54" s="1133"/>
      <c r="E54" s="1101"/>
      <c r="F54" s="1102"/>
      <c r="G54" s="1133"/>
      <c r="H54" s="1101"/>
      <c r="I54" s="1133"/>
      <c r="J54" s="1139"/>
      <c r="K54" s="1139"/>
      <c r="L54" s="1103"/>
      <c r="M54" s="1101"/>
      <c r="N54" s="1133"/>
      <c r="O54" s="1133"/>
      <c r="P54" s="1033"/>
    </row>
    <row r="55" spans="1:16">
      <c r="A55" s="1033"/>
      <c r="B55" s="1128"/>
      <c r="C55" s="1101"/>
      <c r="D55" s="1133"/>
      <c r="E55" s="1101"/>
      <c r="F55" s="1102"/>
      <c r="G55" s="1133"/>
      <c r="H55" s="1101"/>
      <c r="I55" s="1133"/>
      <c r="J55" s="1139"/>
      <c r="K55" s="1139"/>
      <c r="L55" s="1103"/>
      <c r="M55" s="1101"/>
      <c r="N55" s="1133"/>
      <c r="O55" s="1133"/>
      <c r="P55" s="1033"/>
    </row>
    <row r="56" spans="1:16">
      <c r="A56" s="1033"/>
      <c r="B56" s="1128"/>
      <c r="C56" s="1101"/>
      <c r="D56" s="1133"/>
      <c r="E56" s="1101"/>
      <c r="F56" s="1102"/>
      <c r="G56" s="1133"/>
      <c r="H56" s="1101"/>
      <c r="I56" s="1133"/>
      <c r="J56" s="1139"/>
      <c r="K56" s="1139"/>
      <c r="L56" s="1103"/>
      <c r="M56" s="1101"/>
      <c r="N56" s="1133"/>
      <c r="O56" s="1133"/>
      <c r="P56" s="1033"/>
    </row>
    <row r="57" spans="1:16">
      <c r="A57" s="1033"/>
      <c r="B57" s="1128"/>
      <c r="C57" s="1101"/>
      <c r="D57" s="1133"/>
      <c r="E57" s="1101"/>
      <c r="F57" s="1102"/>
      <c r="G57" s="1133"/>
      <c r="H57" s="1101"/>
      <c r="I57" s="1133"/>
      <c r="J57" s="1139"/>
      <c r="K57" s="1139"/>
      <c r="L57" s="1103"/>
      <c r="M57" s="1101"/>
      <c r="N57" s="1133"/>
      <c r="O57" s="1133"/>
      <c r="P57" s="1033"/>
    </row>
    <row r="58" spans="1:16">
      <c r="A58" s="1033"/>
      <c r="B58" s="1128"/>
      <c r="C58" s="1101"/>
      <c r="D58" s="1133"/>
      <c r="E58" s="1101"/>
      <c r="F58" s="1102"/>
      <c r="G58" s="1133"/>
      <c r="H58" s="1101"/>
      <c r="I58" s="1133"/>
      <c r="J58" s="1139"/>
      <c r="K58" s="1139"/>
      <c r="L58" s="1103"/>
      <c r="M58" s="1101"/>
      <c r="N58" s="1133"/>
      <c r="O58" s="1133"/>
      <c r="P58" s="1033"/>
    </row>
    <row r="59" spans="1:16">
      <c r="A59" s="1033"/>
      <c r="B59" s="1128"/>
      <c r="C59" s="1101"/>
      <c r="D59" s="1133"/>
      <c r="E59" s="1101"/>
      <c r="F59" s="1102"/>
      <c r="G59" s="1133"/>
      <c r="H59" s="1101"/>
      <c r="I59" s="1133"/>
      <c r="J59" s="1139"/>
      <c r="K59" s="1139"/>
      <c r="L59" s="1103"/>
      <c r="M59" s="1101"/>
      <c r="N59" s="1133"/>
      <c r="O59" s="1133"/>
      <c r="P59" s="1033"/>
    </row>
    <row r="60" spans="1:16">
      <c r="A60" s="1033"/>
      <c r="B60" s="1128"/>
      <c r="C60" s="1101"/>
      <c r="D60" s="1133"/>
      <c r="E60" s="1101"/>
      <c r="F60" s="1102"/>
      <c r="G60" s="1133"/>
      <c r="H60" s="1101"/>
      <c r="I60" s="1133"/>
      <c r="J60" s="1139"/>
      <c r="K60" s="1139"/>
      <c r="L60" s="1103"/>
      <c r="M60" s="1101"/>
      <c r="N60" s="1133"/>
      <c r="O60" s="1133"/>
      <c r="P60" s="1033"/>
    </row>
    <row r="61" spans="1:16">
      <c r="B61" s="1129"/>
      <c r="C61" s="1098"/>
      <c r="D61" s="1099"/>
      <c r="E61" s="1098"/>
      <c r="F61" s="1136"/>
      <c r="G61" s="1099"/>
      <c r="H61" s="1098"/>
      <c r="I61" s="1099"/>
      <c r="J61" s="1140"/>
      <c r="K61" s="1140"/>
      <c r="L61" s="1143"/>
      <c r="M61" s="1098"/>
      <c r="N61" s="1099"/>
      <c r="O61" s="1099"/>
    </row>
    <row r="62" spans="1:16">
      <c r="B62" s="1129"/>
      <c r="C62" s="1098"/>
      <c r="D62" s="1099"/>
      <c r="E62" s="1098"/>
      <c r="F62" s="1136"/>
      <c r="G62" s="1099"/>
      <c r="H62" s="1098"/>
      <c r="I62" s="1099"/>
      <c r="J62" s="1140"/>
      <c r="K62" s="1140"/>
      <c r="L62" s="1143"/>
      <c r="M62" s="1098"/>
      <c r="N62" s="1099"/>
      <c r="O62" s="1099"/>
    </row>
    <row r="63" spans="1:16">
      <c r="B63" s="1129"/>
      <c r="C63" s="1098"/>
      <c r="D63" s="1099"/>
      <c r="E63" s="1098"/>
      <c r="F63" s="1136"/>
      <c r="G63" s="1099"/>
      <c r="H63" s="1098"/>
      <c r="I63" s="1099"/>
      <c r="J63" s="1140"/>
      <c r="K63" s="1140"/>
      <c r="L63" s="1143"/>
      <c r="M63" s="1098"/>
      <c r="N63" s="1099"/>
      <c r="O63" s="1099"/>
    </row>
    <row r="64" spans="1:16">
      <c r="B64" s="1129"/>
      <c r="C64" s="1098"/>
      <c r="D64" s="1099"/>
      <c r="E64" s="1098"/>
      <c r="F64" s="1136"/>
      <c r="G64" s="1099"/>
      <c r="H64" s="1098"/>
      <c r="I64" s="1099"/>
      <c r="J64" s="1140"/>
      <c r="K64" s="1140"/>
      <c r="L64" s="1143"/>
      <c r="M64" s="1098"/>
      <c r="N64" s="1099"/>
      <c r="O64" s="1099"/>
    </row>
    <row r="65" spans="2:15">
      <c r="B65" s="1129"/>
      <c r="C65" s="1098"/>
      <c r="D65" s="1099"/>
      <c r="E65" s="1098"/>
      <c r="F65" s="1136"/>
      <c r="G65" s="1099"/>
      <c r="H65" s="1098"/>
      <c r="I65" s="1099"/>
      <c r="J65" s="1140"/>
      <c r="K65" s="1140"/>
      <c r="L65" s="1143"/>
      <c r="M65" s="1098"/>
      <c r="N65" s="1099"/>
      <c r="O65" s="1099"/>
    </row>
    <row r="66" spans="2:15">
      <c r="B66" s="1129"/>
      <c r="C66" s="1098"/>
      <c r="D66" s="1099"/>
      <c r="E66" s="1098"/>
      <c r="F66" s="1136"/>
      <c r="G66" s="1099"/>
      <c r="H66" s="1098"/>
      <c r="I66" s="1099"/>
      <c r="J66" s="1140"/>
      <c r="K66" s="1140"/>
      <c r="L66" s="1143"/>
      <c r="M66" s="1098"/>
      <c r="N66" s="1099"/>
      <c r="O66" s="1099"/>
    </row>
    <row r="67" spans="2:15">
      <c r="B67" s="1129"/>
      <c r="C67" s="1098"/>
      <c r="D67" s="1099"/>
      <c r="E67" s="1098"/>
      <c r="F67" s="1136"/>
      <c r="G67" s="1099"/>
      <c r="H67" s="1098"/>
      <c r="I67" s="1099"/>
      <c r="J67" s="1140"/>
      <c r="K67" s="1140"/>
      <c r="L67" s="1143"/>
      <c r="M67" s="1098"/>
      <c r="N67" s="1099"/>
      <c r="O67" s="1099"/>
    </row>
    <row r="68" spans="2:15">
      <c r="B68" s="1129"/>
      <c r="C68" s="1098"/>
      <c r="D68" s="1099"/>
      <c r="E68" s="1098"/>
      <c r="F68" s="1136"/>
      <c r="G68" s="1099"/>
      <c r="H68" s="1098"/>
      <c r="I68" s="1099"/>
      <c r="J68" s="1140"/>
      <c r="K68" s="1140"/>
      <c r="L68" s="1143"/>
      <c r="M68" s="1098"/>
      <c r="N68" s="1099"/>
      <c r="O68" s="1099"/>
    </row>
    <row r="69" spans="2:15">
      <c r="B69" s="1129"/>
      <c r="C69" s="1098"/>
      <c r="D69" s="1099"/>
      <c r="E69" s="1098"/>
      <c r="F69" s="1136"/>
      <c r="G69" s="1099"/>
      <c r="H69" s="1098"/>
      <c r="I69" s="1099"/>
      <c r="J69" s="1140"/>
      <c r="K69" s="1140"/>
      <c r="L69" s="1143"/>
      <c r="M69" s="1098"/>
      <c r="N69" s="1099"/>
      <c r="O69" s="1099"/>
    </row>
    <row r="70" spans="2:15">
      <c r="B70" s="1129"/>
      <c r="C70" s="1098"/>
      <c r="D70" s="1099"/>
      <c r="E70" s="1098"/>
      <c r="F70" s="1136"/>
      <c r="G70" s="1099"/>
      <c r="H70" s="1098"/>
      <c r="I70" s="1099"/>
      <c r="J70" s="1140"/>
      <c r="K70" s="1140"/>
      <c r="L70" s="1143"/>
      <c r="M70" s="1098"/>
      <c r="N70" s="1099"/>
      <c r="O70" s="1099"/>
    </row>
    <row r="71" spans="2:15">
      <c r="B71" s="1129"/>
      <c r="C71" s="1098"/>
      <c r="D71" s="1099"/>
      <c r="E71" s="1098"/>
      <c r="F71" s="1136"/>
      <c r="G71" s="1099"/>
      <c r="H71" s="1098"/>
      <c r="I71" s="1099"/>
      <c r="J71" s="1140"/>
      <c r="K71" s="1140"/>
      <c r="L71" s="1143"/>
      <c r="M71" s="1098"/>
      <c r="N71" s="1099"/>
      <c r="O71" s="1099"/>
    </row>
    <row r="72" spans="2:15">
      <c r="B72" s="1129"/>
      <c r="C72" s="1098"/>
      <c r="D72" s="1099"/>
      <c r="E72" s="1098"/>
      <c r="F72" s="1136"/>
      <c r="G72" s="1099"/>
      <c r="H72" s="1098"/>
      <c r="I72" s="1099"/>
      <c r="J72" s="1140"/>
      <c r="K72" s="1140"/>
      <c r="L72" s="1143"/>
      <c r="M72" s="1098"/>
      <c r="N72" s="1099"/>
      <c r="O72" s="1099"/>
    </row>
    <row r="73" spans="2:15">
      <c r="B73" s="1129"/>
      <c r="C73" s="1098"/>
      <c r="D73" s="1099"/>
      <c r="E73" s="1098"/>
      <c r="F73" s="1136"/>
      <c r="G73" s="1099"/>
      <c r="H73" s="1098"/>
      <c r="I73" s="1099"/>
      <c r="J73" s="1140"/>
      <c r="K73" s="1140"/>
      <c r="L73" s="1143"/>
      <c r="M73" s="1098"/>
      <c r="N73" s="1099"/>
      <c r="O73" s="1099"/>
    </row>
    <row r="74" spans="2:15">
      <c r="B74" s="1129"/>
      <c r="C74" s="1098"/>
      <c r="D74" s="1099"/>
      <c r="E74" s="1098"/>
      <c r="F74" s="1136"/>
      <c r="G74" s="1099"/>
      <c r="H74" s="1098"/>
      <c r="I74" s="1099"/>
      <c r="J74" s="1140"/>
      <c r="K74" s="1140"/>
      <c r="L74" s="1143"/>
      <c r="M74" s="1098"/>
      <c r="N74" s="1099"/>
      <c r="O74" s="1099"/>
    </row>
    <row r="75" spans="2:15">
      <c r="B75" s="1129"/>
      <c r="C75" s="1098"/>
      <c r="D75" s="1099"/>
      <c r="E75" s="1098"/>
      <c r="F75" s="1136"/>
      <c r="G75" s="1099"/>
      <c r="H75" s="1098"/>
      <c r="I75" s="1099"/>
      <c r="J75" s="1140"/>
      <c r="K75" s="1140"/>
      <c r="L75" s="1143"/>
      <c r="M75" s="1098"/>
      <c r="N75" s="1099"/>
      <c r="O75" s="1099"/>
    </row>
    <row r="76" spans="2:15">
      <c r="B76" s="1129"/>
      <c r="C76" s="1098"/>
      <c r="D76" s="1099"/>
      <c r="E76" s="1098"/>
      <c r="F76" s="1136"/>
      <c r="G76" s="1099"/>
      <c r="H76" s="1098"/>
      <c r="I76" s="1099"/>
      <c r="J76" s="1140"/>
      <c r="K76" s="1140"/>
      <c r="L76" s="1143"/>
      <c r="M76" s="1098"/>
      <c r="N76" s="1099"/>
      <c r="O76" s="1099"/>
    </row>
    <row r="77" spans="2:15">
      <c r="B77" s="1129"/>
      <c r="C77" s="1098"/>
      <c r="D77" s="1099"/>
      <c r="E77" s="1098"/>
      <c r="F77" s="1136"/>
      <c r="G77" s="1099"/>
      <c r="H77" s="1098"/>
      <c r="I77" s="1099"/>
      <c r="J77" s="1140"/>
      <c r="K77" s="1140"/>
      <c r="L77" s="1143"/>
      <c r="M77" s="1098"/>
      <c r="N77" s="1099"/>
      <c r="O77" s="1099"/>
    </row>
    <row r="78" spans="2:15">
      <c r="B78" s="1129"/>
      <c r="C78" s="1098"/>
      <c r="D78" s="1099"/>
      <c r="E78" s="1098"/>
      <c r="F78" s="1136"/>
      <c r="G78" s="1099"/>
      <c r="H78" s="1098"/>
      <c r="I78" s="1099"/>
      <c r="J78" s="1140"/>
      <c r="K78" s="1140"/>
      <c r="L78" s="1143"/>
      <c r="M78" s="1098"/>
      <c r="N78" s="1099"/>
      <c r="O78" s="1099"/>
    </row>
    <row r="79" spans="2:15">
      <c r="B79" s="1129"/>
      <c r="C79" s="1098"/>
      <c r="D79" s="1099"/>
      <c r="E79" s="1098"/>
      <c r="F79" s="1136"/>
      <c r="G79" s="1099"/>
      <c r="H79" s="1098"/>
      <c r="I79" s="1099"/>
      <c r="J79" s="1140"/>
      <c r="K79" s="1140"/>
      <c r="L79" s="1143"/>
      <c r="M79" s="1098"/>
      <c r="N79" s="1099"/>
      <c r="O79" s="1099"/>
    </row>
    <row r="80" spans="2:15">
      <c r="B80" s="1129"/>
      <c r="C80" s="1098"/>
      <c r="D80" s="1099"/>
      <c r="E80" s="1098"/>
      <c r="F80" s="1136"/>
      <c r="G80" s="1099"/>
      <c r="H80" s="1098"/>
      <c r="I80" s="1099"/>
      <c r="J80" s="1140"/>
      <c r="K80" s="1140"/>
      <c r="L80" s="1143"/>
      <c r="M80" s="1098"/>
      <c r="N80" s="1099"/>
      <c r="O80" s="1099"/>
    </row>
    <row r="81" spans="2:15">
      <c r="B81" s="1129"/>
      <c r="C81" s="1098"/>
      <c r="D81" s="1099"/>
      <c r="E81" s="1098"/>
      <c r="F81" s="1136"/>
      <c r="G81" s="1099"/>
      <c r="H81" s="1098"/>
      <c r="I81" s="1099"/>
      <c r="J81" s="1140"/>
      <c r="K81" s="1140"/>
      <c r="L81" s="1143"/>
      <c r="M81" s="1098"/>
      <c r="N81" s="1099"/>
      <c r="O81" s="1099"/>
    </row>
    <row r="82" spans="2:15">
      <c r="B82" s="1129"/>
      <c r="C82" s="1098"/>
      <c r="D82" s="1099"/>
      <c r="E82" s="1098"/>
      <c r="F82" s="1136"/>
      <c r="G82" s="1099"/>
      <c r="H82" s="1098"/>
      <c r="I82" s="1099"/>
      <c r="J82" s="1140"/>
      <c r="K82" s="1140"/>
      <c r="L82" s="1143"/>
      <c r="M82" s="1098"/>
      <c r="N82" s="1099"/>
      <c r="O82" s="1099"/>
    </row>
    <row r="83" spans="2:15">
      <c r="B83" s="1129"/>
      <c r="C83" s="1098"/>
      <c r="D83" s="1099"/>
      <c r="E83" s="1098"/>
      <c r="F83" s="1136"/>
      <c r="G83" s="1099"/>
      <c r="H83" s="1098"/>
      <c r="I83" s="1099"/>
      <c r="J83" s="1140"/>
      <c r="K83" s="1140"/>
      <c r="L83" s="1143"/>
      <c r="M83" s="1098"/>
      <c r="N83" s="1099"/>
      <c r="O83" s="1099"/>
    </row>
    <row r="84" spans="2:15">
      <c r="B84" s="1129"/>
      <c r="C84" s="1098"/>
      <c r="D84" s="1099"/>
      <c r="E84" s="1098"/>
      <c r="F84" s="1136"/>
      <c r="G84" s="1099"/>
      <c r="H84" s="1098"/>
      <c r="I84" s="1099"/>
      <c r="J84" s="1140"/>
      <c r="K84" s="1140"/>
      <c r="L84" s="1143"/>
      <c r="M84" s="1098"/>
      <c r="N84" s="1099"/>
      <c r="O84" s="1099"/>
    </row>
    <row r="85" spans="2:15">
      <c r="B85" s="1129"/>
      <c r="C85" s="1098"/>
      <c r="D85" s="1099"/>
      <c r="E85" s="1098"/>
      <c r="F85" s="1136"/>
      <c r="G85" s="1099"/>
      <c r="H85" s="1098"/>
      <c r="I85" s="1099"/>
      <c r="J85" s="1140"/>
      <c r="K85" s="1140"/>
      <c r="L85" s="1143"/>
      <c r="M85" s="1098"/>
      <c r="N85" s="1099"/>
      <c r="O85" s="1099"/>
    </row>
    <row r="86" spans="2:15">
      <c r="B86" s="1129"/>
      <c r="C86" s="1098"/>
      <c r="D86" s="1099"/>
      <c r="E86" s="1098"/>
      <c r="F86" s="1136"/>
      <c r="G86" s="1099"/>
      <c r="H86" s="1098"/>
      <c r="I86" s="1099"/>
      <c r="J86" s="1140"/>
      <c r="K86" s="1140"/>
      <c r="L86" s="1143"/>
      <c r="M86" s="1098"/>
      <c r="N86" s="1099"/>
      <c r="O86" s="1099"/>
    </row>
    <row r="87" spans="2:15">
      <c r="B87" s="1129"/>
      <c r="C87" s="1098"/>
      <c r="D87" s="1099"/>
      <c r="E87" s="1098"/>
      <c r="F87" s="1136"/>
      <c r="G87" s="1099"/>
      <c r="H87" s="1098"/>
      <c r="I87" s="1099"/>
      <c r="J87" s="1140"/>
      <c r="K87" s="1140"/>
      <c r="L87" s="1143"/>
      <c r="M87" s="1098"/>
      <c r="N87" s="1099"/>
      <c r="O87" s="1099"/>
    </row>
    <row r="88" spans="2:15">
      <c r="B88" s="1129"/>
      <c r="C88" s="1098"/>
      <c r="D88" s="1099"/>
      <c r="E88" s="1098"/>
      <c r="F88" s="1136"/>
      <c r="G88" s="1099"/>
      <c r="H88" s="1098"/>
      <c r="I88" s="1099"/>
      <c r="J88" s="1140"/>
      <c r="K88" s="1140"/>
      <c r="L88" s="1143"/>
      <c r="M88" s="1098"/>
      <c r="N88" s="1099"/>
      <c r="O88" s="1099"/>
    </row>
    <row r="89" spans="2:15">
      <c r="B89" s="1129"/>
      <c r="C89" s="1098"/>
      <c r="D89" s="1099"/>
      <c r="E89" s="1098"/>
      <c r="F89" s="1136"/>
      <c r="G89" s="1099"/>
      <c r="H89" s="1098"/>
      <c r="I89" s="1099"/>
      <c r="J89" s="1140"/>
      <c r="K89" s="1140"/>
      <c r="L89" s="1143"/>
      <c r="M89" s="1098"/>
      <c r="N89" s="1099"/>
      <c r="O89" s="1099"/>
    </row>
    <row r="90" spans="2:15">
      <c r="B90" s="1129"/>
      <c r="C90" s="1098"/>
      <c r="D90" s="1099"/>
      <c r="E90" s="1098"/>
      <c r="F90" s="1136"/>
      <c r="G90" s="1099"/>
      <c r="H90" s="1098"/>
      <c r="I90" s="1099"/>
      <c r="J90" s="1140"/>
      <c r="K90" s="1140"/>
      <c r="L90" s="1143"/>
      <c r="M90" s="1098"/>
      <c r="N90" s="1099"/>
      <c r="O90" s="1099"/>
    </row>
    <row r="91" spans="2:15">
      <c r="B91" s="1129"/>
      <c r="C91" s="1098"/>
      <c r="D91" s="1099"/>
      <c r="E91" s="1098"/>
      <c r="F91" s="1136"/>
      <c r="G91" s="1099"/>
      <c r="H91" s="1098"/>
      <c r="I91" s="1099"/>
      <c r="J91" s="1140"/>
      <c r="K91" s="1140"/>
      <c r="L91" s="1143"/>
      <c r="M91" s="1098"/>
      <c r="N91" s="1099"/>
      <c r="O91" s="1099"/>
    </row>
    <row r="92" spans="2:15">
      <c r="B92" s="1129"/>
      <c r="C92" s="1098"/>
      <c r="D92" s="1099"/>
      <c r="E92" s="1098"/>
      <c r="F92" s="1136"/>
      <c r="G92" s="1099"/>
      <c r="H92" s="1098"/>
      <c r="I92" s="1099"/>
      <c r="J92" s="1140"/>
      <c r="K92" s="1140"/>
      <c r="L92" s="1143"/>
      <c r="M92" s="1098"/>
      <c r="N92" s="1099"/>
      <c r="O92" s="1099"/>
    </row>
    <row r="93" spans="2:15">
      <c r="B93" s="1129"/>
      <c r="C93" s="1098"/>
      <c r="D93" s="1099"/>
      <c r="E93" s="1098"/>
      <c r="F93" s="1136"/>
      <c r="G93" s="1099"/>
      <c r="H93" s="1098"/>
      <c r="I93" s="1099"/>
      <c r="J93" s="1140"/>
      <c r="K93" s="1140"/>
      <c r="L93" s="1143"/>
      <c r="M93" s="1098"/>
      <c r="N93" s="1099"/>
      <c r="O93" s="1099"/>
    </row>
    <row r="94" spans="2:15">
      <c r="B94" s="1129"/>
      <c r="C94" s="1098"/>
      <c r="D94" s="1099"/>
      <c r="E94" s="1098"/>
      <c r="F94" s="1136"/>
      <c r="G94" s="1099"/>
      <c r="H94" s="1098"/>
      <c r="I94" s="1099"/>
      <c r="J94" s="1140"/>
      <c r="K94" s="1140"/>
      <c r="L94" s="1143"/>
      <c r="M94" s="1098"/>
      <c r="N94" s="1099"/>
      <c r="O94" s="1099"/>
    </row>
    <row r="95" spans="2:15">
      <c r="B95" s="1129"/>
      <c r="C95" s="1098"/>
      <c r="D95" s="1099"/>
      <c r="E95" s="1098"/>
      <c r="F95" s="1136"/>
      <c r="G95" s="1099"/>
      <c r="H95" s="1098"/>
      <c r="I95" s="1099"/>
      <c r="J95" s="1140"/>
      <c r="K95" s="1140"/>
      <c r="L95" s="1143"/>
      <c r="M95" s="1098"/>
      <c r="N95" s="1099"/>
      <c r="O95" s="1099"/>
    </row>
    <row r="96" spans="2:15">
      <c r="B96" s="1129"/>
      <c r="C96" s="1098"/>
      <c r="D96" s="1099"/>
      <c r="E96" s="1098"/>
      <c r="F96" s="1136"/>
      <c r="G96" s="1099"/>
      <c r="H96" s="1098"/>
      <c r="I96" s="1099"/>
      <c r="J96" s="1140"/>
      <c r="K96" s="1140"/>
      <c r="L96" s="1143"/>
      <c r="M96" s="1098"/>
      <c r="N96" s="1099"/>
      <c r="O96" s="1099"/>
    </row>
    <row r="97" spans="2:15">
      <c r="B97" s="1129"/>
      <c r="C97" s="1098"/>
      <c r="D97" s="1099"/>
      <c r="E97" s="1098"/>
      <c r="F97" s="1136"/>
      <c r="G97" s="1099"/>
      <c r="H97" s="1098"/>
      <c r="I97" s="1099"/>
      <c r="J97" s="1140"/>
      <c r="K97" s="1140"/>
      <c r="L97" s="1143"/>
      <c r="M97" s="1098"/>
      <c r="N97" s="1099"/>
      <c r="O97" s="1099"/>
    </row>
    <row r="98" spans="2:15">
      <c r="B98" s="1129"/>
      <c r="C98" s="1098"/>
      <c r="D98" s="1099"/>
      <c r="E98" s="1098"/>
      <c r="F98" s="1136"/>
      <c r="G98" s="1099"/>
      <c r="H98" s="1098"/>
      <c r="I98" s="1099"/>
      <c r="J98" s="1140"/>
      <c r="K98" s="1140"/>
      <c r="L98" s="1143"/>
      <c r="M98" s="1098"/>
      <c r="N98" s="1099"/>
      <c r="O98" s="1099"/>
    </row>
    <row r="99" spans="2:15">
      <c r="B99" s="1129"/>
      <c r="C99" s="1098"/>
      <c r="D99" s="1099"/>
      <c r="E99" s="1098"/>
      <c r="F99" s="1136"/>
      <c r="G99" s="1099"/>
      <c r="H99" s="1098"/>
      <c r="I99" s="1099"/>
      <c r="J99" s="1140"/>
      <c r="K99" s="1140"/>
      <c r="L99" s="1143"/>
      <c r="M99" s="1098"/>
      <c r="N99" s="1099"/>
      <c r="O99" s="1099"/>
    </row>
    <row r="100" spans="2:15">
      <c r="B100" s="1129"/>
      <c r="C100" s="1098"/>
      <c r="D100" s="1099"/>
      <c r="E100" s="1098"/>
      <c r="F100" s="1136"/>
      <c r="G100" s="1099"/>
      <c r="H100" s="1098"/>
      <c r="I100" s="1099"/>
      <c r="J100" s="1140"/>
      <c r="K100" s="1140"/>
      <c r="L100" s="1143"/>
      <c r="M100" s="1098"/>
      <c r="N100" s="1099"/>
      <c r="O100" s="1099"/>
    </row>
    <row r="101" spans="2:15">
      <c r="B101" s="1129"/>
      <c r="C101" s="1098"/>
      <c r="D101" s="1099"/>
      <c r="E101" s="1098"/>
      <c r="F101" s="1136"/>
      <c r="G101" s="1099"/>
      <c r="H101" s="1098"/>
      <c r="I101" s="1099"/>
      <c r="J101" s="1140"/>
      <c r="K101" s="1140"/>
      <c r="L101" s="1143"/>
      <c r="M101" s="1098"/>
      <c r="N101" s="1099"/>
      <c r="O101" s="1099"/>
    </row>
    <row r="102" spans="2:15">
      <c r="B102" s="1129"/>
      <c r="C102" s="1098"/>
      <c r="D102" s="1099"/>
      <c r="E102" s="1098"/>
      <c r="F102" s="1136"/>
      <c r="G102" s="1099"/>
      <c r="H102" s="1098"/>
      <c r="I102" s="1099"/>
      <c r="J102" s="1140"/>
      <c r="K102" s="1140"/>
      <c r="L102" s="1143"/>
      <c r="M102" s="1098"/>
      <c r="N102" s="1099"/>
      <c r="O102" s="1099"/>
    </row>
    <row r="103" spans="2:15">
      <c r="B103" s="1129"/>
      <c r="C103" s="1098"/>
      <c r="D103" s="1099"/>
      <c r="E103" s="1098"/>
      <c r="F103" s="1136"/>
      <c r="G103" s="1099"/>
      <c r="H103" s="1098"/>
      <c r="I103" s="1099"/>
      <c r="J103" s="1140"/>
      <c r="K103" s="1140"/>
      <c r="L103" s="1143"/>
      <c r="M103" s="1098"/>
      <c r="N103" s="1099"/>
      <c r="O103" s="1099"/>
    </row>
    <row r="104" spans="2:15">
      <c r="B104" s="1129"/>
      <c r="C104" s="1098"/>
      <c r="D104" s="1099"/>
      <c r="E104" s="1098"/>
      <c r="F104" s="1136"/>
      <c r="G104" s="1099"/>
      <c r="H104" s="1098"/>
      <c r="I104" s="1099"/>
      <c r="J104" s="1140"/>
      <c r="K104" s="1140"/>
      <c r="L104" s="1143"/>
      <c r="M104" s="1098"/>
      <c r="N104" s="1099"/>
      <c r="O104" s="1099"/>
    </row>
    <row r="105" spans="2:15">
      <c r="B105" s="1129"/>
      <c r="C105" s="1098"/>
      <c r="D105" s="1099"/>
      <c r="E105" s="1098"/>
      <c r="F105" s="1136"/>
      <c r="G105" s="1099"/>
      <c r="H105" s="1098"/>
      <c r="I105" s="1099"/>
      <c r="J105" s="1140"/>
      <c r="K105" s="1140"/>
      <c r="L105" s="1143"/>
      <c r="M105" s="1098"/>
      <c r="N105" s="1099"/>
      <c r="O105" s="1099"/>
    </row>
    <row r="106" spans="2:15">
      <c r="B106" s="1129"/>
      <c r="C106" s="1098"/>
      <c r="D106" s="1099"/>
      <c r="E106" s="1098"/>
      <c r="F106" s="1136"/>
      <c r="G106" s="1099"/>
      <c r="H106" s="1098"/>
      <c r="I106" s="1099"/>
      <c r="J106" s="1140"/>
      <c r="K106" s="1140"/>
      <c r="L106" s="1143"/>
      <c r="M106" s="1098"/>
      <c r="N106" s="1099"/>
      <c r="O106" s="1099"/>
    </row>
    <row r="107" spans="2:15">
      <c r="B107" s="1129"/>
      <c r="C107" s="1098"/>
      <c r="D107" s="1099"/>
      <c r="E107" s="1098"/>
      <c r="F107" s="1136"/>
      <c r="G107" s="1099"/>
      <c r="H107" s="1098"/>
      <c r="I107" s="1099"/>
      <c r="J107" s="1140"/>
      <c r="K107" s="1140"/>
      <c r="L107" s="1143"/>
      <c r="M107" s="1098"/>
      <c r="N107" s="1099"/>
      <c r="O107" s="1099"/>
    </row>
    <row r="108" spans="2:15">
      <c r="B108" s="1129"/>
      <c r="C108" s="1098"/>
      <c r="D108" s="1099"/>
      <c r="E108" s="1098"/>
      <c r="F108" s="1136"/>
      <c r="G108" s="1099"/>
      <c r="H108" s="1098"/>
      <c r="I108" s="1099"/>
      <c r="J108" s="1140"/>
      <c r="K108" s="1140"/>
      <c r="L108" s="1143"/>
      <c r="M108" s="1098"/>
      <c r="N108" s="1099"/>
      <c r="O108" s="1099"/>
    </row>
    <row r="109" spans="2:15">
      <c r="B109" s="1129"/>
      <c r="C109" s="1098"/>
      <c r="D109" s="1099"/>
      <c r="E109" s="1098"/>
      <c r="F109" s="1136"/>
      <c r="G109" s="1099"/>
      <c r="H109" s="1098"/>
      <c r="I109" s="1099"/>
      <c r="J109" s="1140"/>
      <c r="K109" s="1140"/>
      <c r="L109" s="1143"/>
      <c r="M109" s="1098"/>
      <c r="N109" s="1099"/>
      <c r="O109" s="1099"/>
    </row>
    <row r="110" spans="2:15">
      <c r="B110" s="1129"/>
      <c r="C110" s="1098"/>
      <c r="D110" s="1099"/>
      <c r="E110" s="1098"/>
      <c r="F110" s="1136"/>
      <c r="G110" s="1099"/>
      <c r="H110" s="1098"/>
      <c r="I110" s="1099"/>
      <c r="J110" s="1140"/>
      <c r="K110" s="1140"/>
      <c r="L110" s="1143"/>
      <c r="M110" s="1098"/>
      <c r="N110" s="1099"/>
      <c r="O110" s="1099"/>
    </row>
    <row r="111" spans="2:15">
      <c r="B111" s="1129"/>
      <c r="C111" s="1098"/>
      <c r="D111" s="1099"/>
      <c r="E111" s="1098"/>
      <c r="F111" s="1136"/>
      <c r="G111" s="1099"/>
      <c r="H111" s="1098"/>
      <c r="I111" s="1099"/>
      <c r="J111" s="1140"/>
      <c r="K111" s="1140"/>
      <c r="L111" s="1143"/>
      <c r="M111" s="1098"/>
      <c r="N111" s="1099"/>
      <c r="O111" s="1099"/>
    </row>
    <row r="112" spans="2:15">
      <c r="B112" s="1129"/>
      <c r="C112" s="1098"/>
      <c r="D112" s="1099"/>
      <c r="E112" s="1098"/>
      <c r="F112" s="1136"/>
      <c r="G112" s="1099"/>
      <c r="H112" s="1098"/>
      <c r="I112" s="1099"/>
      <c r="J112" s="1140"/>
      <c r="K112" s="1140"/>
      <c r="L112" s="1143"/>
      <c r="M112" s="1098"/>
      <c r="N112" s="1099"/>
      <c r="O112" s="1099"/>
    </row>
    <row r="113" spans="2:15">
      <c r="B113" s="1129"/>
      <c r="C113" s="1098"/>
      <c r="D113" s="1099"/>
      <c r="E113" s="1098"/>
      <c r="F113" s="1136"/>
      <c r="G113" s="1099"/>
      <c r="H113" s="1098"/>
      <c r="I113" s="1099"/>
      <c r="J113" s="1140"/>
      <c r="K113" s="1140"/>
      <c r="L113" s="1143"/>
      <c r="M113" s="1098"/>
      <c r="N113" s="1099"/>
      <c r="O113" s="1099"/>
    </row>
    <row r="114" spans="2:15">
      <c r="B114" s="1129"/>
      <c r="C114" s="1098"/>
      <c r="D114" s="1099"/>
      <c r="E114" s="1098"/>
      <c r="F114" s="1136"/>
      <c r="G114" s="1099"/>
      <c r="H114" s="1098"/>
      <c r="I114" s="1099"/>
      <c r="J114" s="1140"/>
      <c r="K114" s="1140"/>
      <c r="L114" s="1143"/>
      <c r="M114" s="1098"/>
      <c r="N114" s="1099"/>
      <c r="O114" s="1099"/>
    </row>
    <row r="115" spans="2:15">
      <c r="B115" s="1129"/>
      <c r="C115" s="1098"/>
      <c r="D115" s="1099"/>
      <c r="E115" s="1098"/>
      <c r="F115" s="1136"/>
      <c r="G115" s="1099"/>
      <c r="H115" s="1098"/>
      <c r="I115" s="1099"/>
      <c r="J115" s="1140"/>
      <c r="K115" s="1140"/>
      <c r="L115" s="1143"/>
      <c r="M115" s="1098"/>
      <c r="N115" s="1099"/>
      <c r="O115" s="1099"/>
    </row>
    <row r="116" spans="2:15">
      <c r="B116" s="1129"/>
      <c r="C116" s="1098"/>
      <c r="D116" s="1099"/>
      <c r="E116" s="1098"/>
      <c r="F116" s="1136"/>
      <c r="G116" s="1099"/>
      <c r="H116" s="1098"/>
      <c r="I116" s="1099"/>
      <c r="J116" s="1140"/>
      <c r="K116" s="1140"/>
      <c r="L116" s="1143"/>
      <c r="M116" s="1098"/>
      <c r="N116" s="1099"/>
      <c r="O116" s="1099"/>
    </row>
    <row r="117" spans="2:15">
      <c r="B117" s="1129"/>
      <c r="C117" s="1098"/>
      <c r="D117" s="1099"/>
      <c r="E117" s="1098"/>
      <c r="F117" s="1136"/>
      <c r="G117" s="1099"/>
      <c r="H117" s="1098"/>
      <c r="I117" s="1099"/>
      <c r="J117" s="1140"/>
      <c r="K117" s="1140"/>
      <c r="L117" s="1143"/>
      <c r="M117" s="1098"/>
      <c r="N117" s="1099"/>
      <c r="O117" s="1099"/>
    </row>
    <row r="118" spans="2:15">
      <c r="B118" s="1129"/>
      <c r="C118" s="1098"/>
      <c r="D118" s="1099"/>
      <c r="E118" s="1098"/>
      <c r="F118" s="1136"/>
      <c r="G118" s="1099"/>
      <c r="H118" s="1098"/>
      <c r="I118" s="1099"/>
      <c r="J118" s="1140"/>
      <c r="K118" s="1140"/>
      <c r="L118" s="1143"/>
      <c r="M118" s="1098"/>
      <c r="N118" s="1099"/>
      <c r="O118" s="1099"/>
    </row>
    <row r="119" spans="2:15">
      <c r="B119" s="1129"/>
      <c r="C119" s="1098"/>
      <c r="D119" s="1099"/>
      <c r="E119" s="1098"/>
      <c r="F119" s="1136"/>
      <c r="G119" s="1099"/>
      <c r="H119" s="1098"/>
      <c r="I119" s="1099"/>
      <c r="J119" s="1140"/>
      <c r="K119" s="1140"/>
      <c r="L119" s="1143"/>
      <c r="M119" s="1098"/>
      <c r="N119" s="1099"/>
      <c r="O119" s="1099"/>
    </row>
    <row r="120" spans="2:15">
      <c r="B120" s="1129"/>
      <c r="C120" s="1098"/>
      <c r="D120" s="1099"/>
      <c r="E120" s="1098"/>
      <c r="F120" s="1136"/>
      <c r="G120" s="1099"/>
      <c r="H120" s="1098"/>
      <c r="I120" s="1099"/>
      <c r="J120" s="1140"/>
      <c r="K120" s="1140"/>
      <c r="L120" s="1143"/>
      <c r="M120" s="1098"/>
      <c r="N120" s="1099"/>
      <c r="O120" s="1099"/>
    </row>
    <row r="121" spans="2:15">
      <c r="B121" s="1129"/>
      <c r="C121" s="1098"/>
      <c r="D121" s="1099"/>
      <c r="E121" s="1098"/>
      <c r="F121" s="1136"/>
      <c r="G121" s="1099"/>
      <c r="H121" s="1098"/>
      <c r="I121" s="1099"/>
      <c r="J121" s="1140"/>
      <c r="K121" s="1140"/>
      <c r="L121" s="1143"/>
      <c r="M121" s="1098"/>
      <c r="N121" s="1099"/>
      <c r="O121" s="1099"/>
    </row>
    <row r="122" spans="2:15">
      <c r="B122" s="1129"/>
      <c r="C122" s="1098"/>
      <c r="D122" s="1099"/>
      <c r="E122" s="1098"/>
      <c r="F122" s="1136"/>
      <c r="G122" s="1099"/>
      <c r="H122" s="1098"/>
      <c r="I122" s="1099"/>
      <c r="J122" s="1140"/>
      <c r="K122" s="1140"/>
      <c r="L122" s="1143"/>
      <c r="M122" s="1098"/>
      <c r="N122" s="1099"/>
      <c r="O122" s="1099"/>
    </row>
    <row r="123" spans="2:15">
      <c r="B123" s="1129"/>
      <c r="C123" s="1098"/>
      <c r="D123" s="1099"/>
      <c r="E123" s="1098"/>
      <c r="F123" s="1136"/>
      <c r="G123" s="1099"/>
      <c r="H123" s="1098"/>
      <c r="I123" s="1099"/>
      <c r="J123" s="1140"/>
      <c r="K123" s="1140"/>
      <c r="L123" s="1143"/>
      <c r="M123" s="1098"/>
      <c r="N123" s="1099"/>
      <c r="O123" s="1099"/>
    </row>
    <row r="124" spans="2:15">
      <c r="B124" s="1129"/>
      <c r="C124" s="1098"/>
      <c r="D124" s="1099"/>
      <c r="E124" s="1098"/>
      <c r="F124" s="1136"/>
      <c r="G124" s="1099"/>
      <c r="H124" s="1098"/>
      <c r="I124" s="1099"/>
      <c r="J124" s="1140"/>
      <c r="K124" s="1140"/>
      <c r="L124" s="1143"/>
      <c r="M124" s="1098"/>
      <c r="N124" s="1099"/>
      <c r="O124" s="1099"/>
    </row>
    <row r="125" spans="2:15">
      <c r="B125" s="1129"/>
      <c r="C125" s="1098"/>
      <c r="D125" s="1099"/>
      <c r="E125" s="1098"/>
      <c r="F125" s="1136"/>
      <c r="G125" s="1099"/>
      <c r="H125" s="1098"/>
      <c r="I125" s="1099"/>
      <c r="J125" s="1140"/>
      <c r="K125" s="1140"/>
      <c r="L125" s="1143"/>
      <c r="M125" s="1098"/>
      <c r="N125" s="1099"/>
      <c r="O125" s="1099"/>
    </row>
    <row r="126" spans="2:15">
      <c r="B126" s="1129"/>
      <c r="C126" s="1098"/>
      <c r="D126" s="1099"/>
      <c r="E126" s="1098"/>
      <c r="F126" s="1136"/>
      <c r="G126" s="1099"/>
      <c r="H126" s="1098"/>
      <c r="I126" s="1099"/>
      <c r="J126" s="1140"/>
      <c r="K126" s="1140"/>
      <c r="L126" s="1143"/>
      <c r="M126" s="1098"/>
      <c r="N126" s="1099"/>
      <c r="O126" s="1099"/>
    </row>
    <row r="127" spans="2:15">
      <c r="B127" s="1129"/>
      <c r="C127" s="1098"/>
      <c r="D127" s="1099"/>
      <c r="E127" s="1098"/>
      <c r="F127" s="1136"/>
      <c r="G127" s="1099"/>
      <c r="H127" s="1098"/>
      <c r="I127" s="1099"/>
      <c r="J127" s="1140"/>
      <c r="K127" s="1140"/>
      <c r="L127" s="1143"/>
      <c r="M127" s="1098"/>
      <c r="N127" s="1099"/>
      <c r="O127" s="1099"/>
    </row>
    <row r="128" spans="2:15">
      <c r="B128" s="1129"/>
      <c r="C128" s="1098"/>
      <c r="D128" s="1099"/>
      <c r="E128" s="1098"/>
      <c r="F128" s="1136"/>
      <c r="G128" s="1099"/>
      <c r="H128" s="1098"/>
      <c r="I128" s="1099"/>
      <c r="J128" s="1140"/>
      <c r="K128" s="1140"/>
      <c r="L128" s="1143"/>
      <c r="M128" s="1098"/>
      <c r="N128" s="1099"/>
      <c r="O128" s="1099"/>
    </row>
    <row r="129" spans="2:15">
      <c r="B129" s="1129"/>
      <c r="C129" s="1098"/>
      <c r="D129" s="1099"/>
      <c r="E129" s="1098"/>
      <c r="F129" s="1136"/>
      <c r="G129" s="1099"/>
      <c r="H129" s="1098"/>
      <c r="I129" s="1099"/>
      <c r="J129" s="1140"/>
      <c r="K129" s="1140"/>
      <c r="L129" s="1143"/>
      <c r="M129" s="1098"/>
      <c r="N129" s="1099"/>
      <c r="O129" s="1099"/>
    </row>
    <row r="130" spans="2:15">
      <c r="B130" s="1129"/>
      <c r="C130" s="1098"/>
      <c r="D130" s="1099"/>
      <c r="E130" s="1098"/>
      <c r="F130" s="1136"/>
      <c r="G130" s="1099"/>
      <c r="H130" s="1098"/>
      <c r="I130" s="1099"/>
      <c r="J130" s="1140"/>
      <c r="K130" s="1140"/>
      <c r="L130" s="1143"/>
      <c r="M130" s="1098"/>
      <c r="N130" s="1099"/>
      <c r="O130" s="1099"/>
    </row>
    <row r="131" spans="2:15">
      <c r="B131" s="1129"/>
      <c r="C131" s="1098"/>
      <c r="D131" s="1099"/>
      <c r="E131" s="1098"/>
      <c r="F131" s="1136"/>
      <c r="G131" s="1099"/>
      <c r="H131" s="1098"/>
      <c r="I131" s="1099"/>
      <c r="J131" s="1140"/>
      <c r="K131" s="1140"/>
      <c r="L131" s="1143"/>
      <c r="M131" s="1098"/>
      <c r="N131" s="1099"/>
      <c r="O131" s="1099"/>
    </row>
    <row r="132" spans="2:15">
      <c r="B132" s="1129"/>
      <c r="C132" s="1098"/>
      <c r="D132" s="1099"/>
      <c r="E132" s="1098"/>
      <c r="F132" s="1136"/>
      <c r="G132" s="1099"/>
      <c r="H132" s="1098"/>
      <c r="I132" s="1099"/>
      <c r="J132" s="1140"/>
      <c r="K132" s="1140"/>
      <c r="L132" s="1143"/>
      <c r="M132" s="1098"/>
      <c r="N132" s="1099"/>
      <c r="O132" s="1099"/>
    </row>
    <row r="133" spans="2:15">
      <c r="B133" s="1129"/>
      <c r="C133" s="1098"/>
      <c r="D133" s="1099"/>
      <c r="E133" s="1098"/>
      <c r="F133" s="1136"/>
      <c r="G133" s="1099"/>
      <c r="H133" s="1098"/>
      <c r="I133" s="1099"/>
      <c r="J133" s="1140"/>
      <c r="K133" s="1140"/>
      <c r="L133" s="1143"/>
      <c r="M133" s="1098"/>
      <c r="N133" s="1099"/>
      <c r="O133" s="1099"/>
    </row>
    <row r="134" spans="2:15">
      <c r="B134" s="1129"/>
      <c r="C134" s="1098"/>
      <c r="D134" s="1099"/>
      <c r="E134" s="1098"/>
      <c r="F134" s="1136"/>
      <c r="G134" s="1099"/>
      <c r="H134" s="1098"/>
      <c r="I134" s="1099"/>
      <c r="J134" s="1140"/>
      <c r="K134" s="1140"/>
      <c r="L134" s="1143"/>
      <c r="M134" s="1098"/>
      <c r="N134" s="1099"/>
      <c r="O134" s="1099"/>
    </row>
    <row r="135" spans="2:15">
      <c r="B135" s="1129"/>
      <c r="C135" s="1098"/>
      <c r="D135" s="1099"/>
      <c r="E135" s="1098"/>
      <c r="F135" s="1136"/>
      <c r="G135" s="1099"/>
      <c r="H135" s="1098"/>
      <c r="I135" s="1099"/>
      <c r="J135" s="1140"/>
      <c r="K135" s="1140"/>
      <c r="L135" s="1143"/>
      <c r="M135" s="1098"/>
      <c r="N135" s="1099"/>
      <c r="O135" s="1099"/>
    </row>
    <row r="136" spans="2:15">
      <c r="B136" s="1129"/>
      <c r="C136" s="1098"/>
      <c r="D136" s="1099"/>
      <c r="E136" s="1098"/>
      <c r="F136" s="1136"/>
      <c r="G136" s="1099"/>
      <c r="H136" s="1098"/>
      <c r="I136" s="1099"/>
      <c r="J136" s="1140"/>
      <c r="K136" s="1140"/>
      <c r="L136" s="1143"/>
      <c r="M136" s="1098"/>
      <c r="N136" s="1099"/>
      <c r="O136" s="1099"/>
    </row>
    <row r="137" spans="2:15">
      <c r="B137" s="1129"/>
      <c r="C137" s="1098"/>
      <c r="D137" s="1099"/>
      <c r="E137" s="1098"/>
      <c r="F137" s="1136"/>
      <c r="G137" s="1099"/>
      <c r="H137" s="1098"/>
      <c r="I137" s="1099"/>
      <c r="J137" s="1140"/>
      <c r="K137" s="1140"/>
      <c r="L137" s="1143"/>
      <c r="M137" s="1098"/>
      <c r="N137" s="1099"/>
      <c r="O137" s="1099"/>
    </row>
    <row r="138" spans="2:15">
      <c r="B138" s="1129"/>
      <c r="C138" s="1098"/>
      <c r="D138" s="1099"/>
      <c r="E138" s="1098"/>
      <c r="F138" s="1136"/>
      <c r="G138" s="1099"/>
      <c r="H138" s="1098"/>
      <c r="I138" s="1099"/>
      <c r="J138" s="1140"/>
      <c r="K138" s="1140"/>
      <c r="L138" s="1143"/>
      <c r="M138" s="1098"/>
      <c r="N138" s="1099"/>
      <c r="O138" s="1099"/>
    </row>
    <row r="139" spans="2:15">
      <c r="B139" s="1129"/>
      <c r="C139" s="1098"/>
      <c r="D139" s="1099"/>
      <c r="E139" s="1098"/>
      <c r="F139" s="1136"/>
      <c r="G139" s="1099"/>
      <c r="H139" s="1098"/>
      <c r="I139" s="1099"/>
      <c r="J139" s="1140"/>
      <c r="K139" s="1140"/>
      <c r="L139" s="1143"/>
      <c r="M139" s="1098"/>
      <c r="N139" s="1099"/>
      <c r="O139" s="1099"/>
    </row>
    <row r="140" spans="2:15">
      <c r="B140" s="1129"/>
      <c r="C140" s="1098"/>
      <c r="D140" s="1099"/>
      <c r="E140" s="1098"/>
      <c r="F140" s="1136"/>
      <c r="G140" s="1099"/>
      <c r="H140" s="1098"/>
      <c r="I140" s="1099"/>
      <c r="J140" s="1140"/>
      <c r="K140" s="1140"/>
      <c r="L140" s="1143"/>
      <c r="M140" s="1098"/>
      <c r="N140" s="1099"/>
      <c r="O140" s="1099"/>
    </row>
    <row r="141" spans="2:15">
      <c r="B141" s="1129"/>
      <c r="C141" s="1098"/>
      <c r="D141" s="1099"/>
      <c r="E141" s="1098"/>
      <c r="F141" s="1136"/>
      <c r="G141" s="1099"/>
      <c r="H141" s="1098"/>
      <c r="I141" s="1099"/>
      <c r="J141" s="1140"/>
      <c r="K141" s="1140"/>
      <c r="L141" s="1143"/>
      <c r="M141" s="1098"/>
      <c r="N141" s="1099"/>
      <c r="O141" s="1099"/>
    </row>
    <row r="142" spans="2:15">
      <c r="B142" s="1129"/>
      <c r="C142" s="1098"/>
      <c r="D142" s="1099"/>
      <c r="E142" s="1098"/>
      <c r="F142" s="1136"/>
      <c r="G142" s="1099"/>
      <c r="H142" s="1098"/>
      <c r="I142" s="1099"/>
      <c r="J142" s="1140"/>
      <c r="K142" s="1140"/>
      <c r="L142" s="1143"/>
      <c r="M142" s="1098"/>
      <c r="N142" s="1099"/>
      <c r="O142" s="1099"/>
    </row>
    <row r="143" spans="2:15">
      <c r="B143" s="1129"/>
      <c r="C143" s="1098"/>
      <c r="D143" s="1099"/>
      <c r="E143" s="1098"/>
      <c r="F143" s="1136"/>
      <c r="G143" s="1099"/>
      <c r="H143" s="1098"/>
      <c r="I143" s="1099"/>
      <c r="J143" s="1140"/>
      <c r="K143" s="1140"/>
      <c r="L143" s="1143"/>
      <c r="M143" s="1098"/>
      <c r="N143" s="1099"/>
      <c r="O143" s="1099"/>
    </row>
    <row r="144" spans="2:15">
      <c r="B144" s="1129"/>
      <c r="C144" s="1098"/>
      <c r="D144" s="1099"/>
      <c r="E144" s="1098"/>
      <c r="F144" s="1136"/>
      <c r="G144" s="1099"/>
      <c r="H144" s="1098"/>
      <c r="I144" s="1099"/>
      <c r="J144" s="1140"/>
      <c r="K144" s="1140"/>
      <c r="L144" s="1143"/>
      <c r="M144" s="1098"/>
      <c r="N144" s="1099"/>
      <c r="O144" s="1099"/>
    </row>
    <row r="145" spans="2:15">
      <c r="B145" s="1129"/>
      <c r="C145" s="1098"/>
      <c r="D145" s="1099"/>
      <c r="E145" s="1098"/>
      <c r="F145" s="1136"/>
      <c r="G145" s="1099"/>
      <c r="H145" s="1098"/>
      <c r="I145" s="1099"/>
      <c r="J145" s="1140"/>
      <c r="K145" s="1140"/>
      <c r="L145" s="1143"/>
      <c r="M145" s="1098"/>
      <c r="N145" s="1099"/>
      <c r="O145" s="1099"/>
    </row>
    <row r="146" spans="2:15">
      <c r="B146" s="1129"/>
      <c r="C146" s="1098"/>
      <c r="D146" s="1099"/>
      <c r="E146" s="1098"/>
      <c r="F146" s="1136"/>
      <c r="G146" s="1099"/>
      <c r="H146" s="1098"/>
      <c r="I146" s="1099"/>
      <c r="J146" s="1140"/>
      <c r="K146" s="1140"/>
      <c r="L146" s="1143"/>
      <c r="M146" s="1098"/>
      <c r="N146" s="1099"/>
      <c r="O146" s="1099"/>
    </row>
    <row r="147" spans="2:15">
      <c r="B147" s="1129"/>
      <c r="C147" s="1098"/>
      <c r="D147" s="1099"/>
      <c r="E147" s="1098"/>
      <c r="F147" s="1136"/>
      <c r="G147" s="1099"/>
      <c r="H147" s="1098"/>
      <c r="I147" s="1099"/>
      <c r="J147" s="1140"/>
      <c r="K147" s="1140"/>
      <c r="L147" s="1143"/>
      <c r="M147" s="1098"/>
      <c r="N147" s="1099"/>
      <c r="O147" s="1099"/>
    </row>
    <row r="148" spans="2:15">
      <c r="B148" s="1129"/>
      <c r="C148" s="1098"/>
      <c r="D148" s="1099"/>
      <c r="E148" s="1098"/>
      <c r="F148" s="1136"/>
      <c r="G148" s="1099"/>
      <c r="H148" s="1098"/>
      <c r="I148" s="1099"/>
      <c r="J148" s="1140"/>
      <c r="K148" s="1140"/>
      <c r="L148" s="1143"/>
      <c r="M148" s="1098"/>
      <c r="N148" s="1099"/>
      <c r="O148" s="1099"/>
    </row>
    <row r="149" spans="2:15">
      <c r="B149" s="1129"/>
      <c r="C149" s="1098"/>
      <c r="D149" s="1099"/>
      <c r="E149" s="1098"/>
      <c r="F149" s="1136"/>
      <c r="G149" s="1099"/>
      <c r="H149" s="1098"/>
      <c r="I149" s="1099"/>
      <c r="J149" s="1140"/>
      <c r="K149" s="1140"/>
      <c r="L149" s="1143"/>
      <c r="M149" s="1098"/>
      <c r="N149" s="1099"/>
      <c r="O149" s="1099"/>
    </row>
    <row r="150" spans="2:15">
      <c r="B150" s="1129"/>
      <c r="C150" s="1098"/>
      <c r="D150" s="1099"/>
      <c r="E150" s="1098"/>
      <c r="F150" s="1136"/>
      <c r="G150" s="1099"/>
      <c r="H150" s="1098"/>
      <c r="I150" s="1099"/>
      <c r="J150" s="1140"/>
      <c r="K150" s="1140"/>
      <c r="L150" s="1143"/>
      <c r="M150" s="1098"/>
      <c r="N150" s="1099"/>
      <c r="O150" s="1099"/>
    </row>
    <row r="151" spans="2:15">
      <c r="B151" s="1129"/>
      <c r="C151" s="1098"/>
      <c r="D151" s="1099"/>
      <c r="E151" s="1098"/>
      <c r="F151" s="1136"/>
      <c r="G151" s="1099"/>
      <c r="H151" s="1098"/>
      <c r="I151" s="1099"/>
      <c r="J151" s="1140"/>
      <c r="K151" s="1140"/>
      <c r="L151" s="1143"/>
      <c r="M151" s="1098"/>
      <c r="N151" s="1099"/>
      <c r="O151" s="1099"/>
    </row>
    <row r="152" spans="2:15">
      <c r="B152" s="1129"/>
      <c r="C152" s="1098"/>
      <c r="D152" s="1099"/>
      <c r="E152" s="1098"/>
      <c r="F152" s="1136"/>
      <c r="G152" s="1099"/>
      <c r="H152" s="1098"/>
      <c r="I152" s="1099"/>
      <c r="J152" s="1140"/>
      <c r="K152" s="1140"/>
      <c r="L152" s="1143"/>
      <c r="M152" s="1098"/>
      <c r="N152" s="1099"/>
      <c r="O152" s="1099"/>
    </row>
    <row r="153" spans="2:15">
      <c r="B153" s="1129"/>
      <c r="C153" s="1098"/>
      <c r="D153" s="1099"/>
      <c r="E153" s="1098"/>
      <c r="F153" s="1136"/>
      <c r="G153" s="1099"/>
      <c r="H153" s="1098"/>
      <c r="I153" s="1099"/>
      <c r="J153" s="1140"/>
      <c r="K153" s="1140"/>
      <c r="L153" s="1143"/>
      <c r="M153" s="1098"/>
      <c r="N153" s="1099"/>
      <c r="O153" s="1099"/>
    </row>
    <row r="154" spans="2:15">
      <c r="B154" s="1129"/>
      <c r="C154" s="1098"/>
      <c r="D154" s="1099"/>
      <c r="E154" s="1098"/>
      <c r="F154" s="1136"/>
      <c r="G154" s="1099"/>
      <c r="H154" s="1098"/>
      <c r="I154" s="1099"/>
      <c r="J154" s="1140"/>
      <c r="K154" s="1140"/>
      <c r="L154" s="1143"/>
      <c r="M154" s="1098"/>
      <c r="N154" s="1099"/>
      <c r="O154" s="1099"/>
    </row>
    <row r="155" spans="2:15">
      <c r="B155" s="1129"/>
      <c r="C155" s="1098"/>
      <c r="D155" s="1099"/>
      <c r="E155" s="1098"/>
      <c r="F155" s="1136"/>
      <c r="G155" s="1099"/>
      <c r="H155" s="1098"/>
      <c r="I155" s="1099"/>
      <c r="J155" s="1140"/>
      <c r="K155" s="1140"/>
      <c r="L155" s="1143"/>
      <c r="M155" s="1098"/>
      <c r="N155" s="1099"/>
      <c r="O155" s="1099"/>
    </row>
    <row r="156" spans="2:15">
      <c r="B156" s="1129"/>
      <c r="C156" s="1098"/>
      <c r="D156" s="1099"/>
      <c r="E156" s="1098"/>
      <c r="F156" s="1136"/>
      <c r="G156" s="1099"/>
      <c r="H156" s="1098"/>
      <c r="I156" s="1099"/>
      <c r="J156" s="1140"/>
      <c r="K156" s="1140"/>
      <c r="L156" s="1143"/>
      <c r="M156" s="1098"/>
      <c r="N156" s="1099"/>
      <c r="O156" s="1099"/>
    </row>
    <row r="157" spans="2:15">
      <c r="B157" s="1129"/>
      <c r="C157" s="1098"/>
      <c r="D157" s="1099"/>
      <c r="E157" s="1098"/>
      <c r="F157" s="1136"/>
      <c r="G157" s="1099"/>
      <c r="H157" s="1098"/>
      <c r="I157" s="1099"/>
      <c r="J157" s="1140"/>
      <c r="K157" s="1140"/>
      <c r="L157" s="1143"/>
      <c r="M157" s="1098"/>
      <c r="N157" s="1099"/>
      <c r="O157" s="1099"/>
    </row>
    <row r="158" spans="2:15">
      <c r="B158" s="1129"/>
      <c r="C158" s="1098"/>
      <c r="D158" s="1099"/>
      <c r="E158" s="1098"/>
      <c r="F158" s="1136"/>
      <c r="G158" s="1099"/>
      <c r="H158" s="1098"/>
      <c r="I158" s="1099"/>
      <c r="J158" s="1140"/>
      <c r="K158" s="1140"/>
      <c r="L158" s="1143"/>
      <c r="M158" s="1098"/>
      <c r="N158" s="1099"/>
      <c r="O158" s="1099"/>
    </row>
    <row r="159" spans="2:15">
      <c r="B159" s="1129"/>
      <c r="C159" s="1098"/>
      <c r="D159" s="1099"/>
      <c r="E159" s="1098"/>
      <c r="F159" s="1136"/>
      <c r="G159" s="1099"/>
      <c r="H159" s="1098"/>
      <c r="I159" s="1099"/>
      <c r="J159" s="1140"/>
      <c r="K159" s="1140"/>
      <c r="L159" s="1143"/>
      <c r="M159" s="1098"/>
      <c r="N159" s="1099"/>
      <c r="O159" s="1099"/>
    </row>
    <row r="160" spans="2:15">
      <c r="B160" s="1129"/>
      <c r="C160" s="1098"/>
      <c r="D160" s="1099"/>
      <c r="E160" s="1098"/>
      <c r="F160" s="1136"/>
      <c r="G160" s="1099"/>
      <c r="H160" s="1098"/>
      <c r="I160" s="1099"/>
      <c r="J160" s="1140"/>
      <c r="K160" s="1140"/>
      <c r="L160" s="1143"/>
      <c r="M160" s="1098"/>
      <c r="N160" s="1099"/>
      <c r="O160" s="1099"/>
    </row>
    <row r="161" spans="2:15">
      <c r="B161" s="1129"/>
      <c r="C161" s="1098"/>
      <c r="D161" s="1099"/>
      <c r="E161" s="1098"/>
      <c r="F161" s="1136"/>
      <c r="G161" s="1099"/>
      <c r="H161" s="1098"/>
      <c r="I161" s="1099"/>
      <c r="J161" s="1140"/>
      <c r="K161" s="1140"/>
      <c r="L161" s="1143"/>
      <c r="M161" s="1098"/>
      <c r="N161" s="1099"/>
      <c r="O161" s="1099"/>
    </row>
    <row r="162" spans="2:15">
      <c r="B162" s="1129"/>
      <c r="C162" s="1098"/>
      <c r="D162" s="1099"/>
      <c r="E162" s="1098"/>
      <c r="F162" s="1136"/>
      <c r="G162" s="1099"/>
      <c r="H162" s="1098"/>
      <c r="I162" s="1099"/>
      <c r="J162" s="1140"/>
      <c r="K162" s="1140"/>
      <c r="L162" s="1143"/>
      <c r="M162" s="1098"/>
      <c r="N162" s="1099"/>
      <c r="O162" s="1099"/>
    </row>
    <row r="163" spans="2:15">
      <c r="B163" s="1129"/>
      <c r="C163" s="1098"/>
      <c r="D163" s="1099"/>
      <c r="E163" s="1098"/>
      <c r="F163" s="1136"/>
      <c r="G163" s="1099"/>
      <c r="H163" s="1098"/>
      <c r="I163" s="1099"/>
      <c r="J163" s="1140"/>
      <c r="K163" s="1140"/>
      <c r="L163" s="1143"/>
      <c r="M163" s="1098"/>
      <c r="N163" s="1099"/>
      <c r="O163" s="1099"/>
    </row>
    <row r="164" spans="2:15">
      <c r="B164" s="1129"/>
      <c r="C164" s="1098"/>
      <c r="D164" s="1099"/>
      <c r="E164" s="1098"/>
      <c r="F164" s="1136"/>
      <c r="G164" s="1099"/>
      <c r="H164" s="1098"/>
      <c r="I164" s="1099"/>
      <c r="J164" s="1140"/>
      <c r="K164" s="1140"/>
      <c r="L164" s="1143"/>
      <c r="M164" s="1098"/>
      <c r="N164" s="1099"/>
      <c r="O164" s="1099"/>
    </row>
    <row r="165" spans="2:15">
      <c r="B165" s="1129"/>
      <c r="C165" s="1098"/>
      <c r="D165" s="1099"/>
      <c r="E165" s="1098"/>
      <c r="F165" s="1136"/>
      <c r="G165" s="1099"/>
      <c r="H165" s="1098"/>
      <c r="I165" s="1099"/>
      <c r="J165" s="1140"/>
      <c r="K165" s="1140"/>
      <c r="L165" s="1143"/>
      <c r="M165" s="1098"/>
      <c r="N165" s="1099"/>
      <c r="O165" s="1099"/>
    </row>
    <row r="166" spans="2:15">
      <c r="B166" s="1129"/>
      <c r="C166" s="1098"/>
      <c r="D166" s="1099"/>
      <c r="E166" s="1098"/>
      <c r="F166" s="1136"/>
      <c r="G166" s="1099"/>
      <c r="H166" s="1098"/>
      <c r="I166" s="1099"/>
      <c r="J166" s="1140"/>
      <c r="K166" s="1140"/>
      <c r="L166" s="1143"/>
      <c r="M166" s="1098"/>
      <c r="N166" s="1099"/>
      <c r="O166" s="1099"/>
    </row>
    <row r="167" spans="2:15">
      <c r="B167" s="1129"/>
      <c r="C167" s="1098"/>
      <c r="D167" s="1099"/>
      <c r="E167" s="1098"/>
      <c r="F167" s="1136"/>
      <c r="G167" s="1099"/>
      <c r="H167" s="1098"/>
      <c r="I167" s="1099"/>
      <c r="J167" s="1140"/>
      <c r="K167" s="1140"/>
      <c r="L167" s="1143"/>
      <c r="M167" s="1098"/>
      <c r="N167" s="1099"/>
      <c r="O167" s="1099"/>
    </row>
    <row r="168" spans="2:15">
      <c r="B168" s="1129"/>
      <c r="C168" s="1098"/>
      <c r="D168" s="1099"/>
      <c r="E168" s="1098"/>
      <c r="F168" s="1136"/>
      <c r="G168" s="1099"/>
      <c r="H168" s="1098"/>
      <c r="I168" s="1099"/>
      <c r="J168" s="1140"/>
      <c r="K168" s="1140"/>
      <c r="L168" s="1143"/>
      <c r="M168" s="1098"/>
      <c r="N168" s="1099"/>
      <c r="O168" s="1099"/>
    </row>
    <row r="169" spans="2:15">
      <c r="B169" s="1129"/>
      <c r="C169" s="1098"/>
      <c r="D169" s="1099"/>
      <c r="E169" s="1098"/>
      <c r="F169" s="1136"/>
      <c r="G169" s="1099"/>
      <c r="H169" s="1098"/>
      <c r="I169" s="1099"/>
      <c r="J169" s="1140"/>
      <c r="K169" s="1140"/>
      <c r="L169" s="1143"/>
      <c r="M169" s="1098"/>
      <c r="N169" s="1099"/>
      <c r="O169" s="1099"/>
    </row>
    <row r="170" spans="2:15">
      <c r="B170" s="1129"/>
      <c r="C170" s="1098"/>
      <c r="D170" s="1099"/>
      <c r="E170" s="1098"/>
      <c r="F170" s="1136"/>
      <c r="G170" s="1099"/>
      <c r="H170" s="1098"/>
      <c r="I170" s="1099"/>
      <c r="J170" s="1140"/>
      <c r="K170" s="1140"/>
      <c r="L170" s="1143"/>
      <c r="M170" s="1098"/>
      <c r="N170" s="1099"/>
      <c r="O170" s="1099"/>
    </row>
    <row r="171" spans="2:15">
      <c r="B171" s="1129"/>
      <c r="C171" s="1098"/>
      <c r="D171" s="1099"/>
      <c r="E171" s="1098"/>
      <c r="F171" s="1136"/>
      <c r="G171" s="1099"/>
      <c r="H171" s="1098"/>
      <c r="I171" s="1099"/>
      <c r="J171" s="1140"/>
      <c r="K171" s="1140"/>
      <c r="L171" s="1143"/>
      <c r="M171" s="1098"/>
      <c r="N171" s="1099"/>
      <c r="O171" s="1099"/>
    </row>
    <row r="172" spans="2:15">
      <c r="B172" s="1129"/>
      <c r="C172" s="1098"/>
      <c r="D172" s="1099"/>
      <c r="E172" s="1098"/>
      <c r="F172" s="1136"/>
      <c r="G172" s="1099"/>
      <c r="H172" s="1098"/>
      <c r="I172" s="1099"/>
      <c r="J172" s="1140"/>
      <c r="K172" s="1140"/>
      <c r="L172" s="1143"/>
      <c r="M172" s="1098"/>
      <c r="N172" s="1099"/>
      <c r="O172" s="1099"/>
    </row>
    <row r="173" spans="2:15">
      <c r="B173" s="1129"/>
      <c r="C173" s="1098"/>
      <c r="D173" s="1099"/>
      <c r="E173" s="1098"/>
      <c r="F173" s="1136"/>
      <c r="G173" s="1099"/>
      <c r="H173" s="1098"/>
      <c r="I173" s="1099"/>
      <c r="J173" s="1140"/>
      <c r="K173" s="1140"/>
      <c r="L173" s="1143"/>
      <c r="M173" s="1098"/>
      <c r="N173" s="1099"/>
      <c r="O173" s="1099"/>
    </row>
    <row r="174" spans="2:15">
      <c r="B174" s="1129"/>
      <c r="C174" s="1098"/>
      <c r="D174" s="1099"/>
      <c r="E174" s="1098"/>
      <c r="F174" s="1136"/>
      <c r="G174" s="1099"/>
      <c r="H174" s="1098"/>
      <c r="I174" s="1099"/>
      <c r="J174" s="1140"/>
      <c r="K174" s="1140"/>
      <c r="L174" s="1143"/>
      <c r="M174" s="1098"/>
      <c r="N174" s="1099"/>
      <c r="O174" s="1099"/>
    </row>
    <row r="175" spans="2:15">
      <c r="B175" s="1129"/>
      <c r="C175" s="1098"/>
      <c r="D175" s="1099"/>
      <c r="E175" s="1098"/>
      <c r="F175" s="1136"/>
      <c r="G175" s="1099"/>
      <c r="H175" s="1098"/>
      <c r="I175" s="1099"/>
      <c r="J175" s="1140"/>
      <c r="K175" s="1140"/>
      <c r="L175" s="1143"/>
      <c r="M175" s="1098"/>
      <c r="N175" s="1099"/>
      <c r="O175" s="1099"/>
    </row>
    <row r="176" spans="2:15">
      <c r="B176" s="1129"/>
      <c r="C176" s="1098"/>
      <c r="D176" s="1099"/>
      <c r="E176" s="1098"/>
      <c r="F176" s="1136"/>
      <c r="G176" s="1099"/>
      <c r="H176" s="1098"/>
      <c r="I176" s="1099"/>
      <c r="J176" s="1140"/>
      <c r="K176" s="1140"/>
      <c r="L176" s="1143"/>
      <c r="M176" s="1098"/>
      <c r="N176" s="1099"/>
      <c r="O176" s="1099"/>
    </row>
    <row r="177" spans="2:15">
      <c r="B177" s="1129"/>
      <c r="C177" s="1098"/>
      <c r="D177" s="1099"/>
      <c r="E177" s="1098"/>
      <c r="F177" s="1136"/>
      <c r="G177" s="1099"/>
      <c r="H177" s="1098"/>
      <c r="I177" s="1099"/>
      <c r="J177" s="1140"/>
      <c r="K177" s="1140"/>
      <c r="L177" s="1143"/>
      <c r="M177" s="1098"/>
      <c r="N177" s="1099"/>
      <c r="O177" s="1099"/>
    </row>
    <row r="178" spans="2:15">
      <c r="B178" s="1129"/>
      <c r="C178" s="1098"/>
      <c r="D178" s="1099"/>
      <c r="E178" s="1098"/>
      <c r="F178" s="1136"/>
      <c r="G178" s="1099"/>
      <c r="H178" s="1098"/>
      <c r="I178" s="1099"/>
      <c r="J178" s="1140"/>
      <c r="K178" s="1140"/>
      <c r="L178" s="1143"/>
      <c r="M178" s="1098"/>
      <c r="N178" s="1099"/>
      <c r="O178" s="1099"/>
    </row>
    <row r="179" spans="2:15">
      <c r="B179" s="1129"/>
      <c r="C179" s="1098"/>
      <c r="D179" s="1099"/>
      <c r="E179" s="1098"/>
      <c r="F179" s="1136"/>
      <c r="G179" s="1099"/>
      <c r="H179" s="1098"/>
      <c r="I179" s="1099"/>
      <c r="J179" s="1140"/>
      <c r="K179" s="1140"/>
      <c r="L179" s="1143"/>
      <c r="M179" s="1098"/>
      <c r="N179" s="1099"/>
      <c r="O179" s="1099"/>
    </row>
    <row r="180" spans="2:15">
      <c r="B180" s="1129"/>
      <c r="C180" s="1098"/>
      <c r="D180" s="1099"/>
      <c r="E180" s="1098"/>
      <c r="F180" s="1136"/>
      <c r="G180" s="1099"/>
      <c r="H180" s="1098"/>
      <c r="I180" s="1099"/>
      <c r="J180" s="1140"/>
      <c r="K180" s="1140"/>
      <c r="L180" s="1143"/>
      <c r="M180" s="1098"/>
      <c r="N180" s="1099"/>
      <c r="O180" s="1099"/>
    </row>
    <row r="181" spans="2:15">
      <c r="B181" s="1129"/>
      <c r="C181" s="1098"/>
      <c r="D181" s="1099"/>
      <c r="E181" s="1098"/>
      <c r="F181" s="1136"/>
      <c r="G181" s="1099"/>
      <c r="H181" s="1098"/>
      <c r="I181" s="1099"/>
      <c r="J181" s="1140"/>
      <c r="K181" s="1140"/>
      <c r="L181" s="1143"/>
      <c r="M181" s="1098"/>
      <c r="N181" s="1099"/>
      <c r="O181" s="1099"/>
    </row>
    <row r="182" spans="2:15">
      <c r="B182" s="1129"/>
      <c r="C182" s="1098"/>
      <c r="D182" s="1099"/>
      <c r="E182" s="1098"/>
      <c r="F182" s="1136"/>
      <c r="G182" s="1099"/>
      <c r="H182" s="1098"/>
      <c r="I182" s="1099"/>
      <c r="J182" s="1140"/>
      <c r="K182" s="1140"/>
      <c r="L182" s="1143"/>
      <c r="M182" s="1098"/>
      <c r="N182" s="1099"/>
      <c r="O182" s="1099"/>
    </row>
    <row r="183" spans="2:15">
      <c r="B183" s="1129"/>
      <c r="C183" s="1098"/>
      <c r="D183" s="1099"/>
      <c r="E183" s="1098"/>
      <c r="F183" s="1136"/>
      <c r="G183" s="1099"/>
      <c r="H183" s="1098"/>
      <c r="I183" s="1099"/>
      <c r="J183" s="1140"/>
      <c r="K183" s="1140"/>
      <c r="L183" s="1143"/>
      <c r="M183" s="1098"/>
      <c r="N183" s="1099"/>
      <c r="O183" s="1099"/>
    </row>
    <row r="184" spans="2:15">
      <c r="B184" s="1129"/>
      <c r="C184" s="1098"/>
      <c r="D184" s="1099"/>
      <c r="E184" s="1098"/>
      <c r="F184" s="1136"/>
      <c r="G184" s="1099"/>
      <c r="H184" s="1098"/>
      <c r="I184" s="1099"/>
      <c r="J184" s="1140"/>
      <c r="K184" s="1140"/>
      <c r="L184" s="1143"/>
      <c r="M184" s="1098"/>
      <c r="N184" s="1099"/>
      <c r="O184" s="1099"/>
    </row>
    <row r="185" spans="2:15">
      <c r="B185" s="1129"/>
      <c r="C185" s="1098"/>
      <c r="D185" s="1099"/>
      <c r="E185" s="1098"/>
      <c r="F185" s="1136"/>
      <c r="G185" s="1099"/>
      <c r="H185" s="1098"/>
      <c r="I185" s="1099"/>
      <c r="J185" s="1140"/>
      <c r="K185" s="1140"/>
      <c r="L185" s="1143"/>
      <c r="M185" s="1098"/>
      <c r="N185" s="1099"/>
      <c r="O185" s="1099"/>
    </row>
    <row r="186" spans="2:15">
      <c r="B186" s="1129"/>
      <c r="C186" s="1098"/>
      <c r="D186" s="1099"/>
      <c r="E186" s="1098"/>
      <c r="F186" s="1136"/>
      <c r="G186" s="1099"/>
      <c r="H186" s="1098"/>
      <c r="I186" s="1099"/>
      <c r="J186" s="1140"/>
      <c r="K186" s="1140"/>
      <c r="L186" s="1143"/>
      <c r="M186" s="1098"/>
      <c r="N186" s="1099"/>
      <c r="O186" s="1099"/>
    </row>
    <row r="187" spans="2:15">
      <c r="B187" s="1129"/>
      <c r="C187" s="1098"/>
      <c r="D187" s="1099"/>
      <c r="E187" s="1098"/>
      <c r="F187" s="1136"/>
      <c r="G187" s="1099"/>
      <c r="H187" s="1098"/>
      <c r="I187" s="1099"/>
      <c r="J187" s="1140"/>
      <c r="K187" s="1140"/>
      <c r="L187" s="1143"/>
      <c r="M187" s="1098"/>
      <c r="N187" s="1099"/>
      <c r="O187" s="1099"/>
    </row>
    <row r="188" spans="2:15">
      <c r="B188" s="1129"/>
      <c r="C188" s="1098"/>
      <c r="D188" s="1099"/>
      <c r="E188" s="1098"/>
      <c r="F188" s="1136"/>
      <c r="G188" s="1099"/>
      <c r="H188" s="1098"/>
      <c r="I188" s="1099"/>
      <c r="J188" s="1140"/>
      <c r="K188" s="1140"/>
      <c r="L188" s="1143"/>
      <c r="M188" s="1098"/>
      <c r="N188" s="1099"/>
      <c r="O188" s="1099"/>
    </row>
    <row r="189" spans="2:15">
      <c r="B189" s="1129"/>
      <c r="C189" s="1098"/>
      <c r="D189" s="1099"/>
      <c r="E189" s="1098"/>
      <c r="F189" s="1136"/>
      <c r="G189" s="1099"/>
      <c r="H189" s="1098"/>
      <c r="I189" s="1099"/>
      <c r="J189" s="1140"/>
      <c r="K189" s="1140"/>
      <c r="L189" s="1143"/>
      <c r="M189" s="1098"/>
      <c r="N189" s="1099"/>
      <c r="O189" s="1099"/>
    </row>
    <row r="190" spans="2:15">
      <c r="B190" s="1129"/>
      <c r="C190" s="1098"/>
      <c r="D190" s="1099"/>
      <c r="E190" s="1098"/>
      <c r="F190" s="1136"/>
      <c r="G190" s="1099"/>
      <c r="H190" s="1098"/>
      <c r="I190" s="1099"/>
      <c r="J190" s="1140"/>
      <c r="K190" s="1140"/>
      <c r="L190" s="1143"/>
      <c r="M190" s="1098"/>
      <c r="N190" s="1099"/>
      <c r="O190" s="1099"/>
    </row>
    <row r="191" spans="2:15">
      <c r="B191" s="1129"/>
      <c r="C191" s="1098"/>
      <c r="D191" s="1099"/>
      <c r="E191" s="1098"/>
      <c r="F191" s="1136"/>
      <c r="G191" s="1099"/>
      <c r="H191" s="1098"/>
      <c r="I191" s="1099"/>
      <c r="J191" s="1140"/>
      <c r="K191" s="1140"/>
      <c r="L191" s="1143"/>
      <c r="M191" s="1098"/>
      <c r="N191" s="1099"/>
      <c r="O191" s="1099"/>
    </row>
    <row r="192" spans="2:15">
      <c r="B192" s="1129"/>
      <c r="C192" s="1098"/>
      <c r="D192" s="1099"/>
      <c r="E192" s="1098"/>
      <c r="F192" s="1136"/>
      <c r="G192" s="1099"/>
      <c r="H192" s="1098"/>
      <c r="I192" s="1099"/>
      <c r="J192" s="1140"/>
      <c r="K192" s="1140"/>
      <c r="L192" s="1143"/>
      <c r="M192" s="1098"/>
      <c r="N192" s="1099"/>
      <c r="O192" s="1099"/>
    </row>
    <row r="193" spans="2:15">
      <c r="B193" s="1129"/>
      <c r="C193" s="1098"/>
      <c r="D193" s="1099"/>
      <c r="E193" s="1098"/>
      <c r="F193" s="1136"/>
      <c r="G193" s="1099"/>
      <c r="H193" s="1098"/>
      <c r="I193" s="1099"/>
      <c r="J193" s="1140"/>
      <c r="K193" s="1140"/>
      <c r="L193" s="1143"/>
      <c r="M193" s="1098"/>
      <c r="N193" s="1099"/>
      <c r="O193" s="1099"/>
    </row>
    <row r="194" spans="2:15">
      <c r="B194" s="1129"/>
      <c r="C194" s="1098"/>
      <c r="D194" s="1099"/>
      <c r="E194" s="1098"/>
      <c r="F194" s="1136"/>
      <c r="G194" s="1099"/>
      <c r="H194" s="1098"/>
      <c r="I194" s="1099"/>
      <c r="J194" s="1140"/>
      <c r="K194" s="1140"/>
      <c r="L194" s="1143"/>
      <c r="M194" s="1098"/>
      <c r="N194" s="1099"/>
      <c r="O194" s="1099"/>
    </row>
    <row r="195" spans="2:15">
      <c r="B195" s="1129"/>
      <c r="C195" s="1098"/>
      <c r="D195" s="1099"/>
      <c r="E195" s="1098"/>
      <c r="F195" s="1136"/>
      <c r="G195" s="1099"/>
      <c r="H195" s="1098"/>
      <c r="I195" s="1099"/>
      <c r="J195" s="1140"/>
      <c r="K195" s="1140"/>
      <c r="L195" s="1143"/>
      <c r="M195" s="1098"/>
      <c r="N195" s="1099"/>
      <c r="O195" s="1099"/>
    </row>
    <row r="196" spans="2:15">
      <c r="B196" s="1129"/>
      <c r="C196" s="1098"/>
      <c r="D196" s="1099"/>
      <c r="E196" s="1098"/>
      <c r="F196" s="1136"/>
      <c r="G196" s="1099"/>
      <c r="H196" s="1098"/>
      <c r="I196" s="1099"/>
      <c r="J196" s="1140"/>
      <c r="K196" s="1140"/>
      <c r="L196" s="1143"/>
      <c r="M196" s="1098"/>
      <c r="N196" s="1099"/>
      <c r="O196" s="1099"/>
    </row>
    <row r="197" spans="2:15">
      <c r="B197" s="1129"/>
      <c r="C197" s="1098"/>
      <c r="D197" s="1099"/>
      <c r="E197" s="1098"/>
      <c r="F197" s="1136"/>
      <c r="G197" s="1099"/>
      <c r="H197" s="1098"/>
      <c r="I197" s="1099"/>
      <c r="J197" s="1140"/>
      <c r="K197" s="1140"/>
      <c r="L197" s="1143"/>
      <c r="M197" s="1098"/>
      <c r="N197" s="1099"/>
      <c r="O197" s="1099"/>
    </row>
    <row r="198" spans="2:15">
      <c r="B198" s="1129"/>
      <c r="C198" s="1098"/>
      <c r="D198" s="1099"/>
      <c r="E198" s="1098"/>
      <c r="F198" s="1136"/>
      <c r="G198" s="1099"/>
      <c r="H198" s="1098"/>
      <c r="I198" s="1099"/>
      <c r="J198" s="1140"/>
      <c r="K198" s="1140"/>
      <c r="L198" s="1143"/>
      <c r="M198" s="1098"/>
      <c r="N198" s="1099"/>
      <c r="O198" s="1099"/>
    </row>
    <row r="199" spans="2:15">
      <c r="B199" s="1129"/>
      <c r="C199" s="1098"/>
      <c r="D199" s="1099"/>
      <c r="E199" s="1098"/>
      <c r="F199" s="1136"/>
      <c r="G199" s="1099"/>
      <c r="H199" s="1098"/>
      <c r="I199" s="1099"/>
      <c r="J199" s="1140"/>
      <c r="K199" s="1140"/>
      <c r="L199" s="1143"/>
      <c r="M199" s="1098"/>
      <c r="N199" s="1099"/>
      <c r="O199" s="1099"/>
    </row>
    <row r="200" spans="2:15">
      <c r="B200" s="1129"/>
      <c r="C200" s="1098"/>
      <c r="D200" s="1099"/>
      <c r="E200" s="1098"/>
      <c r="F200" s="1136"/>
      <c r="G200" s="1099"/>
      <c r="H200" s="1098"/>
      <c r="I200" s="1099"/>
      <c r="J200" s="1140"/>
      <c r="K200" s="1140"/>
      <c r="L200" s="1143"/>
      <c r="M200" s="1098"/>
      <c r="N200" s="1099"/>
      <c r="O200" s="1099"/>
    </row>
    <row r="201" spans="2:15">
      <c r="B201" s="1129"/>
      <c r="C201" s="1098"/>
      <c r="D201" s="1099"/>
      <c r="E201" s="1098"/>
      <c r="F201" s="1136"/>
      <c r="G201" s="1099"/>
      <c r="H201" s="1098"/>
      <c r="I201" s="1099"/>
      <c r="J201" s="1140"/>
      <c r="K201" s="1140"/>
      <c r="L201" s="1143"/>
      <c r="M201" s="1098"/>
      <c r="N201" s="1099"/>
      <c r="O201" s="1099"/>
    </row>
    <row r="202" spans="2:15">
      <c r="B202" s="1129"/>
      <c r="C202" s="1098"/>
      <c r="D202" s="1099"/>
      <c r="E202" s="1098"/>
      <c r="F202" s="1136"/>
      <c r="G202" s="1099"/>
      <c r="H202" s="1098"/>
      <c r="I202" s="1099"/>
      <c r="J202" s="1140"/>
      <c r="K202" s="1140"/>
      <c r="L202" s="1143"/>
      <c r="M202" s="1098"/>
      <c r="N202" s="1099"/>
      <c r="O202" s="1099"/>
    </row>
    <row r="203" spans="2:15">
      <c r="B203" s="1129"/>
      <c r="C203" s="1098"/>
      <c r="D203" s="1099"/>
      <c r="E203" s="1098"/>
      <c r="F203" s="1136"/>
      <c r="G203" s="1099"/>
      <c r="H203" s="1098"/>
      <c r="I203" s="1099"/>
      <c r="J203" s="1140"/>
      <c r="K203" s="1140"/>
      <c r="L203" s="1143"/>
      <c r="M203" s="1098"/>
      <c r="N203" s="1099"/>
      <c r="O203" s="1099"/>
    </row>
    <row r="204" spans="2:15">
      <c r="B204" s="1129"/>
      <c r="C204" s="1098"/>
      <c r="D204" s="1099"/>
      <c r="E204" s="1098"/>
      <c r="F204" s="1136"/>
      <c r="G204" s="1099"/>
      <c r="H204" s="1098"/>
      <c r="I204" s="1099"/>
      <c r="J204" s="1140"/>
      <c r="K204" s="1140"/>
      <c r="L204" s="1143"/>
      <c r="M204" s="1098"/>
      <c r="N204" s="1099"/>
      <c r="O204" s="1099"/>
    </row>
    <row r="205" spans="2:15">
      <c r="B205" s="1129"/>
      <c r="C205" s="1098"/>
      <c r="D205" s="1099"/>
      <c r="E205" s="1098"/>
      <c r="F205" s="1136"/>
      <c r="G205" s="1099"/>
      <c r="H205" s="1098"/>
      <c r="I205" s="1099"/>
      <c r="J205" s="1140"/>
      <c r="K205" s="1140"/>
      <c r="L205" s="1143"/>
      <c r="M205" s="1098"/>
      <c r="N205" s="1099"/>
      <c r="O205" s="1099"/>
    </row>
    <row r="206" spans="2:15">
      <c r="B206" s="1129"/>
      <c r="C206" s="1098"/>
      <c r="D206" s="1099"/>
      <c r="E206" s="1098"/>
      <c r="F206" s="1136"/>
      <c r="G206" s="1099"/>
      <c r="H206" s="1098"/>
      <c r="I206" s="1099"/>
      <c r="J206" s="1140"/>
      <c r="K206" s="1140"/>
      <c r="L206" s="1143"/>
      <c r="M206" s="1098"/>
      <c r="N206" s="1099"/>
      <c r="O206" s="1099"/>
    </row>
    <row r="207" spans="2:15">
      <c r="B207" s="1129"/>
      <c r="C207" s="1098"/>
      <c r="D207" s="1099"/>
      <c r="E207" s="1098"/>
      <c r="F207" s="1136"/>
      <c r="G207" s="1099"/>
      <c r="H207" s="1098"/>
      <c r="I207" s="1099"/>
      <c r="J207" s="1140"/>
      <c r="K207" s="1140"/>
      <c r="L207" s="1143"/>
      <c r="M207" s="1098"/>
      <c r="N207" s="1099"/>
      <c r="O207" s="1099"/>
    </row>
    <row r="208" spans="2:15">
      <c r="B208" s="1129"/>
      <c r="C208" s="1098"/>
      <c r="D208" s="1099"/>
      <c r="E208" s="1098"/>
      <c r="F208" s="1136"/>
      <c r="G208" s="1099"/>
      <c r="H208" s="1098"/>
      <c r="I208" s="1099"/>
      <c r="J208" s="1140"/>
      <c r="K208" s="1140"/>
      <c r="L208" s="1143"/>
      <c r="M208" s="1098"/>
      <c r="N208" s="1099"/>
      <c r="O208" s="1099"/>
    </row>
    <row r="209" spans="2:15">
      <c r="B209" s="1129"/>
      <c r="C209" s="1098"/>
      <c r="D209" s="1099"/>
      <c r="E209" s="1098"/>
      <c r="F209" s="1136"/>
      <c r="G209" s="1099"/>
      <c r="H209" s="1098"/>
      <c r="I209" s="1099"/>
      <c r="J209" s="1140"/>
      <c r="K209" s="1140"/>
      <c r="L209" s="1143"/>
      <c r="M209" s="1098"/>
      <c r="N209" s="1099"/>
      <c r="O209" s="1099"/>
    </row>
    <row r="210" spans="2:15">
      <c r="B210" s="1129"/>
      <c r="C210" s="1098"/>
      <c r="D210" s="1099"/>
      <c r="E210" s="1098"/>
      <c r="F210" s="1136"/>
      <c r="G210" s="1099"/>
      <c r="H210" s="1098"/>
      <c r="I210" s="1099"/>
      <c r="J210" s="1140"/>
      <c r="K210" s="1140"/>
      <c r="L210" s="1143"/>
      <c r="M210" s="1098"/>
      <c r="N210" s="1099"/>
      <c r="O210" s="1099"/>
    </row>
    <row r="211" spans="2:15">
      <c r="B211" s="1129"/>
      <c r="C211" s="1098"/>
      <c r="D211" s="1099"/>
      <c r="E211" s="1098"/>
      <c r="F211" s="1136"/>
      <c r="G211" s="1099"/>
      <c r="H211" s="1098"/>
      <c r="I211" s="1099"/>
      <c r="J211" s="1140"/>
      <c r="K211" s="1140"/>
      <c r="L211" s="1143"/>
      <c r="M211" s="1098"/>
      <c r="N211" s="1099"/>
      <c r="O211" s="1099"/>
    </row>
    <row r="212" spans="2:15">
      <c r="B212" s="1129"/>
      <c r="C212" s="1098"/>
      <c r="D212" s="1099"/>
      <c r="E212" s="1098"/>
      <c r="F212" s="1136"/>
      <c r="G212" s="1099"/>
      <c r="H212" s="1098"/>
      <c r="I212" s="1099"/>
      <c r="J212" s="1140"/>
      <c r="K212" s="1140"/>
      <c r="L212" s="1143"/>
      <c r="M212" s="1098"/>
      <c r="N212" s="1099"/>
      <c r="O212" s="1099"/>
    </row>
    <row r="213" spans="2:15">
      <c r="B213" s="1129"/>
      <c r="C213" s="1098"/>
      <c r="D213" s="1099"/>
      <c r="E213" s="1098"/>
      <c r="F213" s="1136"/>
      <c r="G213" s="1099"/>
      <c r="H213" s="1098"/>
      <c r="I213" s="1099"/>
      <c r="J213" s="1140"/>
      <c r="K213" s="1140"/>
      <c r="L213" s="1143"/>
      <c r="M213" s="1098"/>
      <c r="N213" s="1099"/>
      <c r="O213" s="1099"/>
    </row>
    <row r="214" spans="2:15">
      <c r="B214" s="1129"/>
      <c r="C214" s="1098"/>
      <c r="D214" s="1099"/>
      <c r="E214" s="1098"/>
      <c r="F214" s="1136"/>
      <c r="G214" s="1099"/>
      <c r="H214" s="1098"/>
      <c r="I214" s="1099"/>
      <c r="J214" s="1140"/>
      <c r="K214" s="1140"/>
      <c r="L214" s="1143"/>
      <c r="M214" s="1098"/>
      <c r="N214" s="1099"/>
      <c r="O214" s="1099"/>
    </row>
    <row r="215" spans="2:15">
      <c r="B215" s="1129"/>
      <c r="C215" s="1098"/>
      <c r="D215" s="1099"/>
      <c r="E215" s="1098"/>
      <c r="F215" s="1136"/>
      <c r="G215" s="1099"/>
      <c r="H215" s="1098"/>
      <c r="I215" s="1099"/>
      <c r="J215" s="1140"/>
      <c r="K215" s="1140"/>
      <c r="L215" s="1143"/>
      <c r="M215" s="1098"/>
      <c r="N215" s="1099"/>
      <c r="O215" s="1099"/>
    </row>
    <row r="216" spans="2:15">
      <c r="B216" s="1129"/>
      <c r="C216" s="1098"/>
      <c r="D216" s="1099"/>
      <c r="E216" s="1098"/>
      <c r="F216" s="1136"/>
      <c r="G216" s="1099"/>
      <c r="H216" s="1098"/>
      <c r="I216" s="1099"/>
      <c r="J216" s="1140"/>
      <c r="K216" s="1140"/>
      <c r="L216" s="1143"/>
      <c r="M216" s="1098"/>
      <c r="N216" s="1099"/>
      <c r="O216" s="1099"/>
    </row>
    <row r="217" spans="2:15">
      <c r="B217" s="1129"/>
      <c r="C217" s="1098"/>
      <c r="D217" s="1099"/>
      <c r="E217" s="1098"/>
      <c r="F217" s="1136"/>
      <c r="G217" s="1099"/>
      <c r="H217" s="1098"/>
      <c r="I217" s="1099"/>
      <c r="J217" s="1140"/>
      <c r="K217" s="1140"/>
      <c r="L217" s="1143"/>
      <c r="M217" s="1098"/>
      <c r="N217" s="1099"/>
      <c r="O217" s="1099"/>
    </row>
    <row r="218" spans="2:15">
      <c r="B218" s="1129"/>
      <c r="C218" s="1098"/>
      <c r="D218" s="1099"/>
      <c r="E218" s="1098"/>
      <c r="F218" s="1136"/>
      <c r="G218" s="1099"/>
      <c r="H218" s="1098"/>
      <c r="I218" s="1099"/>
      <c r="J218" s="1140"/>
      <c r="K218" s="1140"/>
      <c r="L218" s="1143"/>
      <c r="M218" s="1098"/>
      <c r="N218" s="1099"/>
      <c r="O218" s="1099"/>
    </row>
    <row r="219" spans="2:15">
      <c r="B219" s="1129"/>
      <c r="C219" s="1098"/>
      <c r="D219" s="1099"/>
      <c r="E219" s="1098"/>
      <c r="F219" s="1136"/>
      <c r="G219" s="1099"/>
      <c r="H219" s="1098"/>
      <c r="I219" s="1099"/>
      <c r="J219" s="1140"/>
      <c r="K219" s="1140"/>
      <c r="L219" s="1143"/>
      <c r="M219" s="1098"/>
      <c r="N219" s="1099"/>
      <c r="O219" s="1099"/>
    </row>
    <row r="220" spans="2:15">
      <c r="B220" s="1129"/>
      <c r="C220" s="1098"/>
      <c r="D220" s="1099"/>
      <c r="E220" s="1098"/>
      <c r="F220" s="1136"/>
      <c r="G220" s="1099"/>
      <c r="H220" s="1098"/>
      <c r="I220" s="1099"/>
      <c r="J220" s="1140"/>
      <c r="K220" s="1140"/>
      <c r="L220" s="1143"/>
      <c r="M220" s="1098"/>
      <c r="N220" s="1099"/>
      <c r="O220" s="1099"/>
    </row>
    <row r="221" spans="2:15">
      <c r="B221" s="1129"/>
      <c r="C221" s="1098"/>
      <c r="D221" s="1099"/>
      <c r="E221" s="1098"/>
      <c r="F221" s="1136"/>
      <c r="G221" s="1099"/>
      <c r="H221" s="1098"/>
      <c r="I221" s="1099"/>
      <c r="J221" s="1140"/>
      <c r="K221" s="1140"/>
      <c r="L221" s="1143"/>
      <c r="M221" s="1098"/>
      <c r="N221" s="1099"/>
      <c r="O221" s="1099"/>
    </row>
    <row r="222" spans="2:15">
      <c r="B222" s="1129"/>
      <c r="C222" s="1098"/>
      <c r="D222" s="1099"/>
      <c r="E222" s="1098"/>
      <c r="F222" s="1136"/>
      <c r="G222" s="1099"/>
      <c r="H222" s="1098"/>
      <c r="I222" s="1099"/>
      <c r="J222" s="1140"/>
      <c r="K222" s="1140"/>
      <c r="L222" s="1143"/>
      <c r="M222" s="1098"/>
      <c r="N222" s="1099"/>
      <c r="O222" s="1099"/>
    </row>
    <row r="223" spans="2:15">
      <c r="B223" s="1129"/>
      <c r="C223" s="1098"/>
      <c r="D223" s="1099"/>
      <c r="E223" s="1098"/>
      <c r="F223" s="1136"/>
      <c r="G223" s="1099"/>
      <c r="H223" s="1098"/>
      <c r="I223" s="1099"/>
      <c r="J223" s="1140"/>
      <c r="K223" s="1140"/>
      <c r="L223" s="1143"/>
      <c r="M223" s="1098"/>
      <c r="N223" s="1099"/>
      <c r="O223" s="1099"/>
    </row>
    <row r="224" spans="2:15">
      <c r="B224" s="1129"/>
      <c r="C224" s="1098"/>
      <c r="D224" s="1099"/>
      <c r="E224" s="1098"/>
      <c r="F224" s="1136"/>
      <c r="G224" s="1099"/>
      <c r="H224" s="1098"/>
      <c r="I224" s="1099"/>
      <c r="J224" s="1140"/>
      <c r="K224" s="1140"/>
      <c r="L224" s="1143"/>
      <c r="M224" s="1098"/>
      <c r="N224" s="1099"/>
      <c r="O224" s="1099"/>
    </row>
    <row r="225" spans="2:15">
      <c r="B225" s="1129"/>
      <c r="C225" s="1098"/>
      <c r="D225" s="1099"/>
      <c r="E225" s="1098"/>
      <c r="F225" s="1136"/>
      <c r="G225" s="1099"/>
      <c r="H225" s="1098"/>
      <c r="I225" s="1099"/>
      <c r="J225" s="1140"/>
      <c r="K225" s="1140"/>
      <c r="L225" s="1143"/>
      <c r="M225" s="1098"/>
      <c r="N225" s="1099"/>
      <c r="O225" s="1099"/>
    </row>
    <row r="226" spans="2:15">
      <c r="B226" s="1129"/>
      <c r="C226" s="1098"/>
      <c r="D226" s="1099"/>
      <c r="E226" s="1098"/>
      <c r="F226" s="1136"/>
      <c r="G226" s="1099"/>
      <c r="H226" s="1098"/>
      <c r="I226" s="1099"/>
      <c r="J226" s="1140"/>
      <c r="K226" s="1140"/>
      <c r="L226" s="1143"/>
      <c r="M226" s="1098"/>
      <c r="N226" s="1099"/>
      <c r="O226" s="1099"/>
    </row>
    <row r="227" spans="2:15">
      <c r="B227" s="1129"/>
      <c r="C227" s="1098"/>
      <c r="D227" s="1099"/>
      <c r="E227" s="1098"/>
      <c r="F227" s="1136"/>
      <c r="G227" s="1099"/>
      <c r="H227" s="1098"/>
      <c r="I227" s="1099"/>
      <c r="J227" s="1140"/>
      <c r="K227" s="1140"/>
      <c r="L227" s="1143"/>
      <c r="M227" s="1098"/>
      <c r="N227" s="1099"/>
      <c r="O227" s="1099"/>
    </row>
    <row r="228" spans="2:15">
      <c r="B228" s="1129"/>
      <c r="C228" s="1098"/>
      <c r="D228" s="1099"/>
      <c r="E228" s="1098"/>
      <c r="F228" s="1136"/>
      <c r="G228" s="1099"/>
      <c r="H228" s="1098"/>
      <c r="I228" s="1099"/>
      <c r="J228" s="1140"/>
      <c r="K228" s="1140"/>
      <c r="L228" s="1143"/>
      <c r="M228" s="1098"/>
      <c r="N228" s="1099"/>
      <c r="O228" s="1099"/>
    </row>
    <row r="229" spans="2:15">
      <c r="B229" s="1129"/>
      <c r="C229" s="1098"/>
      <c r="D229" s="1099"/>
      <c r="E229" s="1098"/>
      <c r="F229" s="1136"/>
      <c r="G229" s="1099"/>
      <c r="H229" s="1098"/>
      <c r="I229" s="1099"/>
      <c r="J229" s="1140"/>
      <c r="K229" s="1140"/>
      <c r="L229" s="1143"/>
      <c r="M229" s="1098"/>
      <c r="N229" s="1099"/>
      <c r="O229" s="1099"/>
    </row>
    <row r="230" spans="2:15">
      <c r="B230" s="1129"/>
      <c r="C230" s="1098"/>
      <c r="D230" s="1099"/>
      <c r="E230" s="1098"/>
      <c r="F230" s="1136"/>
      <c r="G230" s="1099"/>
      <c r="H230" s="1098"/>
      <c r="I230" s="1099"/>
      <c r="J230" s="1140"/>
      <c r="K230" s="1140"/>
      <c r="L230" s="1143"/>
      <c r="M230" s="1098"/>
      <c r="N230" s="1099"/>
      <c r="O230" s="1099"/>
    </row>
    <row r="231" spans="2:15">
      <c r="B231" s="1129"/>
      <c r="C231" s="1098"/>
      <c r="D231" s="1099"/>
      <c r="E231" s="1098"/>
      <c r="F231" s="1136"/>
      <c r="G231" s="1099"/>
      <c r="H231" s="1098"/>
      <c r="I231" s="1099"/>
      <c r="J231" s="1140"/>
      <c r="K231" s="1140"/>
      <c r="L231" s="1143"/>
      <c r="M231" s="1098"/>
      <c r="N231" s="1099"/>
      <c r="O231" s="1099"/>
    </row>
    <row r="232" spans="2:15">
      <c r="B232" s="1129"/>
      <c r="C232" s="1098"/>
      <c r="D232" s="1099"/>
      <c r="E232" s="1098"/>
      <c r="F232" s="1136"/>
      <c r="G232" s="1099"/>
      <c r="H232" s="1098"/>
      <c r="I232" s="1099"/>
      <c r="J232" s="1140"/>
      <c r="K232" s="1140"/>
      <c r="L232" s="1143"/>
      <c r="M232" s="1098"/>
      <c r="N232" s="1099"/>
      <c r="O232" s="1099"/>
    </row>
    <row r="233" spans="2:15">
      <c r="B233" s="1129"/>
      <c r="C233" s="1098"/>
      <c r="D233" s="1099"/>
      <c r="E233" s="1098"/>
      <c r="F233" s="1136"/>
      <c r="G233" s="1099"/>
      <c r="H233" s="1098"/>
      <c r="I233" s="1099"/>
      <c r="J233" s="1140"/>
      <c r="K233" s="1140"/>
      <c r="L233" s="1143"/>
      <c r="M233" s="1098"/>
      <c r="N233" s="1099"/>
      <c r="O233" s="1099"/>
    </row>
    <row r="234" spans="2:15">
      <c r="B234" s="1129"/>
      <c r="C234" s="1098"/>
      <c r="D234" s="1099"/>
      <c r="E234" s="1098"/>
      <c r="F234" s="1136"/>
      <c r="G234" s="1099"/>
      <c r="H234" s="1098"/>
      <c r="I234" s="1099"/>
      <c r="J234" s="1140"/>
      <c r="K234" s="1140"/>
      <c r="L234" s="1143"/>
      <c r="M234" s="1098"/>
      <c r="N234" s="1099"/>
      <c r="O234" s="1099"/>
    </row>
    <row r="235" spans="2:15">
      <c r="B235" s="1129"/>
      <c r="C235" s="1098"/>
      <c r="D235" s="1099"/>
      <c r="E235" s="1098"/>
      <c r="F235" s="1136"/>
      <c r="G235" s="1099"/>
      <c r="H235" s="1098"/>
      <c r="I235" s="1099"/>
      <c r="J235" s="1140"/>
      <c r="K235" s="1140"/>
      <c r="L235" s="1143"/>
      <c r="M235" s="1098"/>
      <c r="N235" s="1099"/>
      <c r="O235" s="1099"/>
    </row>
    <row r="236" spans="2:15">
      <c r="B236" s="1129"/>
      <c r="C236" s="1098"/>
      <c r="D236" s="1099"/>
      <c r="E236" s="1098"/>
      <c r="F236" s="1136"/>
      <c r="G236" s="1099"/>
      <c r="H236" s="1098"/>
      <c r="I236" s="1099"/>
      <c r="J236" s="1140"/>
      <c r="K236" s="1140"/>
      <c r="L236" s="1143"/>
      <c r="M236" s="1098"/>
      <c r="N236" s="1099"/>
      <c r="O236" s="1099"/>
    </row>
    <row r="237" spans="2:15">
      <c r="B237" s="1129"/>
      <c r="C237" s="1098"/>
      <c r="D237" s="1099"/>
      <c r="E237" s="1098"/>
      <c r="F237" s="1136"/>
      <c r="G237" s="1099"/>
      <c r="H237" s="1098"/>
      <c r="I237" s="1099"/>
      <c r="J237" s="1140"/>
      <c r="K237" s="1140"/>
      <c r="L237" s="1143"/>
      <c r="M237" s="1098"/>
      <c r="N237" s="1099"/>
      <c r="O237" s="1099"/>
    </row>
    <row r="238" spans="2:15">
      <c r="B238" s="1129"/>
      <c r="C238" s="1098"/>
      <c r="D238" s="1099"/>
      <c r="E238" s="1098"/>
      <c r="F238" s="1136"/>
      <c r="G238" s="1099"/>
      <c r="H238" s="1098"/>
      <c r="I238" s="1099"/>
      <c r="J238" s="1140"/>
      <c r="K238" s="1140"/>
      <c r="L238" s="1143"/>
      <c r="M238" s="1098"/>
      <c r="N238" s="1099"/>
      <c r="O238" s="1099"/>
    </row>
    <row r="239" spans="2:15">
      <c r="B239" s="1129"/>
      <c r="C239" s="1098"/>
      <c r="D239" s="1099"/>
      <c r="E239" s="1098"/>
      <c r="F239" s="1136"/>
      <c r="G239" s="1099"/>
      <c r="H239" s="1098"/>
      <c r="I239" s="1099"/>
      <c r="J239" s="1140"/>
      <c r="K239" s="1140"/>
      <c r="L239" s="1143"/>
      <c r="M239" s="1098"/>
      <c r="N239" s="1099"/>
      <c r="O239" s="1099"/>
    </row>
    <row r="240" spans="2:15">
      <c r="B240" s="1129"/>
      <c r="C240" s="1098"/>
      <c r="D240" s="1099"/>
      <c r="E240" s="1098"/>
      <c r="F240" s="1136"/>
      <c r="G240" s="1099"/>
      <c r="H240" s="1098"/>
      <c r="I240" s="1099"/>
      <c r="J240" s="1140"/>
      <c r="K240" s="1140"/>
      <c r="L240" s="1143"/>
      <c r="M240" s="1098"/>
      <c r="N240" s="1099"/>
      <c r="O240" s="1099"/>
    </row>
    <row r="241" spans="2:15">
      <c r="B241" s="1129"/>
      <c r="C241" s="1098"/>
      <c r="D241" s="1099"/>
      <c r="E241" s="1098"/>
      <c r="F241" s="1136"/>
      <c r="G241" s="1099"/>
      <c r="H241" s="1098"/>
      <c r="I241" s="1099"/>
      <c r="J241" s="1140"/>
      <c r="K241" s="1140"/>
      <c r="L241" s="1143"/>
      <c r="M241" s="1098"/>
      <c r="N241" s="1099"/>
      <c r="O241" s="1099"/>
    </row>
    <row r="242" spans="2:15">
      <c r="B242" s="1129"/>
      <c r="C242" s="1098"/>
      <c r="D242" s="1099"/>
      <c r="E242" s="1098"/>
      <c r="F242" s="1136"/>
      <c r="G242" s="1099"/>
      <c r="H242" s="1098"/>
      <c r="I242" s="1099"/>
      <c r="J242" s="1140"/>
      <c r="K242" s="1140"/>
      <c r="L242" s="1143"/>
      <c r="M242" s="1098"/>
      <c r="N242" s="1099"/>
      <c r="O242" s="1099"/>
    </row>
    <row r="243" spans="2:15">
      <c r="B243" s="1129"/>
      <c r="C243" s="1098"/>
      <c r="D243" s="1099"/>
      <c r="E243" s="1098"/>
      <c r="F243" s="1136"/>
      <c r="G243" s="1099"/>
      <c r="H243" s="1098"/>
      <c r="I243" s="1099"/>
      <c r="J243" s="1140"/>
      <c r="K243" s="1140"/>
      <c r="L243" s="1143"/>
      <c r="M243" s="1098"/>
      <c r="N243" s="1099"/>
      <c r="O243" s="1099"/>
    </row>
    <row r="244" spans="2:15">
      <c r="B244" s="1129"/>
      <c r="C244" s="1098"/>
      <c r="D244" s="1099"/>
      <c r="E244" s="1098"/>
      <c r="F244" s="1136"/>
      <c r="G244" s="1099"/>
      <c r="H244" s="1098"/>
      <c r="I244" s="1099"/>
      <c r="J244" s="1140"/>
      <c r="K244" s="1140"/>
      <c r="L244" s="1143"/>
      <c r="M244" s="1098"/>
      <c r="N244" s="1099"/>
      <c r="O244" s="1099"/>
    </row>
    <row r="245" spans="2:15">
      <c r="B245" s="1129"/>
      <c r="C245" s="1098"/>
      <c r="D245" s="1099"/>
      <c r="E245" s="1098"/>
      <c r="F245" s="1136"/>
      <c r="G245" s="1099"/>
      <c r="H245" s="1098"/>
      <c r="I245" s="1099"/>
      <c r="J245" s="1140"/>
      <c r="K245" s="1140"/>
      <c r="L245" s="1143"/>
      <c r="M245" s="1098"/>
      <c r="N245" s="1099"/>
      <c r="O245" s="1099"/>
    </row>
    <row r="246" spans="2:15">
      <c r="B246" s="1129"/>
      <c r="C246" s="1098"/>
      <c r="D246" s="1099"/>
      <c r="E246" s="1098"/>
      <c r="F246" s="1136"/>
      <c r="G246" s="1099"/>
      <c r="H246" s="1098"/>
      <c r="I246" s="1099"/>
      <c r="J246" s="1140"/>
      <c r="K246" s="1140"/>
      <c r="L246" s="1143"/>
      <c r="M246" s="1098"/>
      <c r="N246" s="1099"/>
      <c r="O246" s="1099"/>
    </row>
    <row r="247" spans="2:15">
      <c r="B247" s="1129"/>
      <c r="C247" s="1098"/>
      <c r="D247" s="1099"/>
      <c r="E247" s="1098"/>
      <c r="F247" s="1136"/>
      <c r="G247" s="1099"/>
      <c r="H247" s="1098"/>
      <c r="I247" s="1099"/>
      <c r="J247" s="1140"/>
      <c r="K247" s="1140"/>
      <c r="L247" s="1143"/>
      <c r="M247" s="1098"/>
      <c r="N247" s="1099"/>
      <c r="O247" s="1099"/>
    </row>
    <row r="248" spans="2:15">
      <c r="B248" s="1129"/>
      <c r="C248" s="1098"/>
      <c r="D248" s="1099"/>
      <c r="E248" s="1098"/>
      <c r="F248" s="1136"/>
      <c r="G248" s="1099"/>
      <c r="H248" s="1098"/>
      <c r="I248" s="1099"/>
      <c r="J248" s="1140"/>
      <c r="K248" s="1140"/>
      <c r="L248" s="1143"/>
      <c r="M248" s="1098"/>
      <c r="N248" s="1099"/>
      <c r="O248" s="1099"/>
    </row>
    <row r="249" spans="2:15">
      <c r="B249" s="1129"/>
      <c r="C249" s="1098"/>
      <c r="D249" s="1099"/>
      <c r="E249" s="1098"/>
      <c r="F249" s="1136"/>
      <c r="G249" s="1099"/>
      <c r="H249" s="1098"/>
      <c r="I249" s="1099"/>
      <c r="J249" s="1140"/>
      <c r="K249" s="1140"/>
      <c r="L249" s="1143"/>
      <c r="M249" s="1098"/>
      <c r="N249" s="1099"/>
      <c r="O249" s="1099"/>
    </row>
    <row r="250" spans="2:15">
      <c r="B250" s="1129"/>
      <c r="C250" s="1098"/>
      <c r="D250" s="1099"/>
      <c r="E250" s="1098"/>
      <c r="F250" s="1136"/>
      <c r="G250" s="1099"/>
      <c r="H250" s="1098"/>
      <c r="I250" s="1099"/>
      <c r="J250" s="1140"/>
      <c r="K250" s="1140"/>
      <c r="L250" s="1143"/>
      <c r="M250" s="1098"/>
      <c r="N250" s="1099"/>
      <c r="O250" s="1099"/>
    </row>
    <row r="251" spans="2:15">
      <c r="B251" s="1129"/>
      <c r="C251" s="1098"/>
      <c r="D251" s="1099"/>
      <c r="E251" s="1098"/>
      <c r="F251" s="1136"/>
      <c r="G251" s="1099"/>
      <c r="H251" s="1098"/>
      <c r="I251" s="1099"/>
      <c r="J251" s="1140"/>
      <c r="K251" s="1140"/>
      <c r="L251" s="1143"/>
      <c r="M251" s="1098"/>
      <c r="N251" s="1099"/>
      <c r="O251" s="1099"/>
    </row>
    <row r="252" spans="2:15">
      <c r="B252" s="1129"/>
      <c r="C252" s="1098"/>
      <c r="D252" s="1099"/>
      <c r="E252" s="1098"/>
      <c r="F252" s="1136"/>
      <c r="G252" s="1099"/>
      <c r="H252" s="1098"/>
      <c r="I252" s="1099"/>
      <c r="J252" s="1140"/>
      <c r="K252" s="1140"/>
      <c r="L252" s="1143"/>
      <c r="M252" s="1098"/>
      <c r="N252" s="1099"/>
      <c r="O252" s="1099"/>
    </row>
    <row r="253" spans="2:15">
      <c r="B253" s="1129"/>
      <c r="C253" s="1098"/>
      <c r="D253" s="1099"/>
      <c r="E253" s="1098"/>
      <c r="F253" s="1136"/>
      <c r="G253" s="1099"/>
      <c r="H253" s="1098"/>
      <c r="I253" s="1099"/>
      <c r="J253" s="1140"/>
      <c r="K253" s="1140"/>
      <c r="L253" s="1143"/>
      <c r="M253" s="1098"/>
      <c r="N253" s="1099"/>
      <c r="O253" s="1099"/>
    </row>
    <row r="254" spans="2:15">
      <c r="B254" s="1129"/>
      <c r="C254" s="1098"/>
      <c r="D254" s="1099"/>
      <c r="E254" s="1098"/>
      <c r="F254" s="1136"/>
      <c r="G254" s="1099"/>
      <c r="H254" s="1098"/>
      <c r="I254" s="1099"/>
      <c r="J254" s="1140"/>
      <c r="K254" s="1140"/>
      <c r="L254" s="1143"/>
      <c r="M254" s="1098"/>
      <c r="N254" s="1099"/>
      <c r="O254" s="1099"/>
    </row>
    <row r="255" spans="2:15">
      <c r="B255" s="1129"/>
      <c r="C255" s="1098"/>
      <c r="D255" s="1099"/>
      <c r="E255" s="1098"/>
      <c r="F255" s="1136"/>
      <c r="G255" s="1099"/>
      <c r="H255" s="1098"/>
      <c r="I255" s="1099"/>
      <c r="J255" s="1140"/>
      <c r="K255" s="1140"/>
      <c r="L255" s="1143"/>
      <c r="M255" s="1098"/>
      <c r="N255" s="1099"/>
      <c r="O255" s="1099"/>
    </row>
    <row r="256" spans="2:15">
      <c r="B256" s="1129"/>
      <c r="C256" s="1098"/>
      <c r="D256" s="1099"/>
      <c r="E256" s="1098"/>
      <c r="F256" s="1136"/>
      <c r="G256" s="1099"/>
      <c r="H256" s="1098"/>
      <c r="I256" s="1099"/>
      <c r="J256" s="1140"/>
      <c r="K256" s="1140"/>
      <c r="L256" s="1143"/>
      <c r="M256" s="1098"/>
      <c r="N256" s="1099"/>
      <c r="O256" s="1099"/>
    </row>
    <row r="257" spans="2:15">
      <c r="B257" s="1129"/>
      <c r="C257" s="1098"/>
      <c r="D257" s="1099"/>
      <c r="E257" s="1098"/>
      <c r="F257" s="1136"/>
      <c r="G257" s="1099"/>
      <c r="H257" s="1098"/>
      <c r="I257" s="1099"/>
      <c r="J257" s="1140"/>
      <c r="K257" s="1140"/>
      <c r="L257" s="1143"/>
      <c r="M257" s="1098"/>
      <c r="N257" s="1099"/>
      <c r="O257" s="1099"/>
    </row>
    <row r="258" spans="2:15">
      <c r="B258" s="1129"/>
      <c r="C258" s="1098"/>
      <c r="D258" s="1099"/>
      <c r="E258" s="1098"/>
      <c r="F258" s="1136"/>
      <c r="G258" s="1099"/>
      <c r="H258" s="1098"/>
      <c r="I258" s="1099"/>
      <c r="J258" s="1140"/>
      <c r="K258" s="1140"/>
      <c r="L258" s="1143"/>
      <c r="M258" s="1098"/>
      <c r="N258" s="1099"/>
      <c r="O258" s="1099"/>
    </row>
    <row r="259" spans="2:15">
      <c r="B259" s="1129"/>
      <c r="C259" s="1098"/>
      <c r="D259" s="1099"/>
      <c r="E259" s="1098"/>
      <c r="F259" s="1136"/>
      <c r="G259" s="1099"/>
      <c r="H259" s="1098"/>
      <c r="I259" s="1099"/>
      <c r="J259" s="1140"/>
      <c r="K259" s="1140"/>
      <c r="L259" s="1143"/>
      <c r="M259" s="1098"/>
      <c r="N259" s="1099"/>
      <c r="O259" s="1099"/>
    </row>
    <row r="260" spans="2:15">
      <c r="B260" s="1129"/>
      <c r="C260" s="1098"/>
      <c r="D260" s="1099"/>
      <c r="E260" s="1098"/>
      <c r="F260" s="1136"/>
      <c r="G260" s="1099"/>
      <c r="H260" s="1098"/>
      <c r="I260" s="1099"/>
      <c r="J260" s="1140"/>
      <c r="K260" s="1140"/>
      <c r="L260" s="1143"/>
      <c r="M260" s="1098"/>
      <c r="N260" s="1099"/>
      <c r="O260" s="1099"/>
    </row>
    <row r="261" spans="2:15">
      <c r="B261" s="1129"/>
      <c r="C261" s="1098"/>
      <c r="D261" s="1099"/>
      <c r="E261" s="1098"/>
      <c r="F261" s="1136"/>
      <c r="G261" s="1099"/>
      <c r="H261" s="1098"/>
      <c r="I261" s="1099"/>
      <c r="J261" s="1140"/>
      <c r="K261" s="1140"/>
      <c r="L261" s="1143"/>
      <c r="M261" s="1098"/>
      <c r="N261" s="1099"/>
      <c r="O261" s="1099"/>
    </row>
    <row r="262" spans="2:15">
      <c r="B262" s="1129"/>
      <c r="C262" s="1098"/>
      <c r="D262" s="1099"/>
      <c r="E262" s="1098"/>
      <c r="F262" s="1136"/>
      <c r="G262" s="1099"/>
      <c r="H262" s="1098"/>
      <c r="I262" s="1099"/>
      <c r="J262" s="1140"/>
      <c r="K262" s="1140"/>
      <c r="L262" s="1143"/>
      <c r="M262" s="1098"/>
      <c r="N262" s="1099"/>
      <c r="O262" s="1099"/>
    </row>
    <row r="263" spans="2:15">
      <c r="B263" s="1129"/>
      <c r="C263" s="1098"/>
      <c r="D263" s="1099"/>
      <c r="E263" s="1098"/>
      <c r="F263" s="1136"/>
      <c r="G263" s="1099"/>
      <c r="H263" s="1098"/>
      <c r="I263" s="1099"/>
      <c r="J263" s="1140"/>
      <c r="K263" s="1140"/>
      <c r="L263" s="1143"/>
      <c r="M263" s="1098"/>
      <c r="N263" s="1099"/>
      <c r="O263" s="1099"/>
    </row>
    <row r="264" spans="2:15">
      <c r="B264" s="1129"/>
      <c r="C264" s="1098"/>
      <c r="D264" s="1099"/>
      <c r="E264" s="1098"/>
      <c r="F264" s="1136"/>
      <c r="G264" s="1099"/>
      <c r="H264" s="1098"/>
      <c r="I264" s="1099"/>
      <c r="J264" s="1140"/>
      <c r="K264" s="1140"/>
      <c r="L264" s="1143"/>
      <c r="M264" s="1098"/>
      <c r="N264" s="1099"/>
      <c r="O264" s="1099"/>
    </row>
    <row r="265" spans="2:15">
      <c r="B265" s="1129"/>
      <c r="C265" s="1098"/>
      <c r="D265" s="1099"/>
      <c r="E265" s="1098"/>
      <c r="F265" s="1136"/>
      <c r="G265" s="1099"/>
      <c r="H265" s="1098"/>
      <c r="I265" s="1099"/>
      <c r="J265" s="1140"/>
      <c r="K265" s="1140"/>
      <c r="L265" s="1143"/>
      <c r="M265" s="1098"/>
      <c r="N265" s="1099"/>
      <c r="O265" s="1099"/>
    </row>
    <row r="266" spans="2:15">
      <c r="B266" s="1129"/>
      <c r="C266" s="1098"/>
      <c r="D266" s="1099"/>
      <c r="E266" s="1098"/>
      <c r="F266" s="1136"/>
      <c r="G266" s="1099"/>
      <c r="H266" s="1098"/>
      <c r="I266" s="1099"/>
      <c r="J266" s="1140"/>
      <c r="K266" s="1140"/>
      <c r="L266" s="1143"/>
      <c r="M266" s="1098"/>
      <c r="N266" s="1099"/>
      <c r="O266" s="1099"/>
    </row>
    <row r="267" spans="2:15">
      <c r="B267" s="1129"/>
      <c r="C267" s="1098"/>
      <c r="D267" s="1099"/>
      <c r="E267" s="1098"/>
      <c r="F267" s="1136"/>
      <c r="G267" s="1099"/>
      <c r="H267" s="1098"/>
      <c r="I267" s="1099"/>
      <c r="J267" s="1140"/>
      <c r="K267" s="1140"/>
      <c r="L267" s="1143"/>
      <c r="M267" s="1098"/>
      <c r="N267" s="1099"/>
      <c r="O267" s="1099"/>
    </row>
    <row r="268" spans="2:15">
      <c r="B268" s="1129"/>
      <c r="C268" s="1098"/>
      <c r="D268" s="1099"/>
      <c r="E268" s="1098"/>
      <c r="F268" s="1136"/>
      <c r="G268" s="1099"/>
      <c r="H268" s="1098"/>
      <c r="I268" s="1099"/>
      <c r="J268" s="1140"/>
      <c r="K268" s="1140"/>
      <c r="L268" s="1143"/>
      <c r="M268" s="1098"/>
      <c r="N268" s="1099"/>
      <c r="O268" s="1099"/>
    </row>
    <row r="269" spans="2:15">
      <c r="B269" s="1129"/>
      <c r="C269" s="1098"/>
      <c r="D269" s="1099"/>
      <c r="E269" s="1098"/>
      <c r="F269" s="1136"/>
      <c r="G269" s="1099"/>
      <c r="H269" s="1098"/>
      <c r="I269" s="1099"/>
      <c r="J269" s="1140"/>
      <c r="K269" s="1140"/>
      <c r="L269" s="1143"/>
      <c r="M269" s="1098"/>
      <c r="N269" s="1099"/>
      <c r="O269" s="1099"/>
    </row>
    <row r="270" spans="2:15">
      <c r="B270" s="1129"/>
      <c r="C270" s="1098"/>
      <c r="D270" s="1099"/>
      <c r="E270" s="1098"/>
      <c r="F270" s="1136"/>
      <c r="G270" s="1099"/>
      <c r="H270" s="1098"/>
      <c r="I270" s="1099"/>
      <c r="J270" s="1140"/>
      <c r="K270" s="1140"/>
      <c r="L270" s="1143"/>
      <c r="M270" s="1098"/>
      <c r="N270" s="1099"/>
      <c r="O270" s="1099"/>
    </row>
    <row r="271" spans="2:15">
      <c r="B271" s="1129"/>
      <c r="C271" s="1098"/>
      <c r="D271" s="1099"/>
      <c r="E271" s="1098"/>
      <c r="F271" s="1136"/>
      <c r="G271" s="1099"/>
      <c r="H271" s="1098"/>
      <c r="I271" s="1099"/>
      <c r="J271" s="1140"/>
      <c r="K271" s="1140"/>
      <c r="L271" s="1143"/>
      <c r="M271" s="1098"/>
      <c r="N271" s="1099"/>
      <c r="O271" s="1099"/>
    </row>
    <row r="272" spans="2:15">
      <c r="B272" s="1129"/>
      <c r="C272" s="1098"/>
      <c r="D272" s="1099"/>
      <c r="E272" s="1098"/>
      <c r="F272" s="1136"/>
      <c r="G272" s="1099"/>
      <c r="H272" s="1098"/>
      <c r="I272" s="1099"/>
      <c r="J272" s="1140"/>
      <c r="K272" s="1140"/>
      <c r="L272" s="1143"/>
      <c r="M272" s="1098"/>
      <c r="N272" s="1099"/>
      <c r="O272" s="1099"/>
    </row>
    <row r="273" spans="2:15">
      <c r="B273" s="1129"/>
      <c r="C273" s="1098"/>
      <c r="D273" s="1099"/>
      <c r="E273" s="1098"/>
      <c r="F273" s="1136"/>
      <c r="G273" s="1099"/>
      <c r="H273" s="1098"/>
      <c r="I273" s="1099"/>
      <c r="J273" s="1140"/>
      <c r="K273" s="1140"/>
      <c r="L273" s="1143"/>
      <c r="M273" s="1098"/>
      <c r="N273" s="1099"/>
      <c r="O273" s="1099"/>
    </row>
    <row r="274" spans="2:15">
      <c r="B274" s="1129"/>
      <c r="C274" s="1098"/>
      <c r="D274" s="1099"/>
      <c r="E274" s="1098"/>
      <c r="F274" s="1136"/>
      <c r="G274" s="1099"/>
      <c r="H274" s="1098"/>
      <c r="I274" s="1099"/>
      <c r="J274" s="1140"/>
      <c r="K274" s="1140"/>
      <c r="L274" s="1143"/>
      <c r="M274" s="1098"/>
      <c r="N274" s="1099"/>
      <c r="O274" s="1099"/>
    </row>
    <row r="275" spans="2:15">
      <c r="B275" s="1129"/>
      <c r="C275" s="1098"/>
      <c r="D275" s="1099"/>
      <c r="E275" s="1098"/>
      <c r="F275" s="1136"/>
      <c r="G275" s="1099"/>
      <c r="H275" s="1098"/>
      <c r="I275" s="1099"/>
      <c r="J275" s="1140"/>
      <c r="K275" s="1140"/>
      <c r="L275" s="1143"/>
      <c r="M275" s="1098"/>
      <c r="N275" s="1099"/>
      <c r="O275" s="1099"/>
    </row>
    <row r="276" spans="2:15">
      <c r="B276" s="1129"/>
      <c r="C276" s="1098"/>
      <c r="D276" s="1099"/>
      <c r="E276" s="1098"/>
      <c r="F276" s="1136"/>
      <c r="G276" s="1099"/>
      <c r="H276" s="1098"/>
      <c r="I276" s="1099"/>
      <c r="J276" s="1140"/>
      <c r="K276" s="1140"/>
      <c r="L276" s="1143"/>
      <c r="M276" s="1098"/>
      <c r="N276" s="1099"/>
      <c r="O276" s="1099"/>
    </row>
    <row r="277" spans="2:15">
      <c r="B277" s="1129"/>
      <c r="C277" s="1098"/>
      <c r="D277" s="1099"/>
      <c r="E277" s="1098"/>
      <c r="F277" s="1136"/>
      <c r="G277" s="1099"/>
      <c r="H277" s="1098"/>
      <c r="I277" s="1099"/>
      <c r="J277" s="1140"/>
      <c r="K277" s="1140"/>
      <c r="L277" s="1143"/>
      <c r="M277" s="1098"/>
      <c r="N277" s="1099"/>
      <c r="O277" s="1099"/>
    </row>
    <row r="278" spans="2:15">
      <c r="B278" s="1129"/>
      <c r="C278" s="1098"/>
      <c r="D278" s="1099"/>
      <c r="E278" s="1098"/>
      <c r="F278" s="1136"/>
      <c r="G278" s="1099"/>
      <c r="H278" s="1098"/>
      <c r="I278" s="1099"/>
      <c r="J278" s="1140"/>
      <c r="K278" s="1140"/>
      <c r="L278" s="1143"/>
      <c r="M278" s="1098"/>
      <c r="N278" s="1099"/>
      <c r="O278" s="1099"/>
    </row>
    <row r="279" spans="2:15">
      <c r="B279" s="1129"/>
      <c r="C279" s="1098"/>
      <c r="D279" s="1099"/>
      <c r="E279" s="1098"/>
      <c r="F279" s="1136"/>
      <c r="G279" s="1099"/>
      <c r="H279" s="1098"/>
      <c r="I279" s="1099"/>
      <c r="J279" s="1140"/>
      <c r="K279" s="1140"/>
      <c r="L279" s="1143"/>
      <c r="M279" s="1098"/>
      <c r="N279" s="1099"/>
      <c r="O279" s="1099"/>
    </row>
    <row r="280" spans="2:15">
      <c r="B280" s="1129"/>
      <c r="C280" s="1098"/>
      <c r="D280" s="1099"/>
      <c r="E280" s="1098"/>
      <c r="F280" s="1136"/>
      <c r="G280" s="1099"/>
      <c r="H280" s="1098"/>
      <c r="I280" s="1099"/>
      <c r="J280" s="1140"/>
      <c r="K280" s="1140"/>
      <c r="L280" s="1143"/>
      <c r="M280" s="1098"/>
      <c r="N280" s="1099"/>
      <c r="O280" s="1099"/>
    </row>
    <row r="281" spans="2:15">
      <c r="B281" s="1129"/>
      <c r="C281" s="1098"/>
      <c r="D281" s="1099"/>
      <c r="E281" s="1098"/>
      <c r="F281" s="1136"/>
      <c r="G281" s="1099"/>
      <c r="H281" s="1098"/>
      <c r="I281" s="1099"/>
      <c r="J281" s="1140"/>
      <c r="K281" s="1140"/>
      <c r="L281" s="1143"/>
      <c r="M281" s="1098"/>
      <c r="N281" s="1099"/>
      <c r="O281" s="1099"/>
    </row>
    <row r="282" spans="2:15">
      <c r="B282" s="1129"/>
      <c r="C282" s="1098"/>
      <c r="D282" s="1099"/>
      <c r="E282" s="1098"/>
      <c r="F282" s="1136"/>
      <c r="G282" s="1099"/>
      <c r="H282" s="1098"/>
      <c r="I282" s="1099"/>
      <c r="J282" s="1140"/>
      <c r="K282" s="1140"/>
      <c r="L282" s="1143"/>
      <c r="M282" s="1098"/>
      <c r="N282" s="1099"/>
      <c r="O282" s="1099"/>
    </row>
    <row r="283" spans="2:15">
      <c r="B283" s="1129"/>
      <c r="C283" s="1098"/>
      <c r="D283" s="1099"/>
      <c r="E283" s="1098"/>
      <c r="F283" s="1136"/>
      <c r="G283" s="1099"/>
      <c r="H283" s="1098"/>
      <c r="I283" s="1099"/>
      <c r="J283" s="1140"/>
      <c r="K283" s="1140"/>
      <c r="L283" s="1143"/>
      <c r="M283" s="1098"/>
      <c r="N283" s="1099"/>
      <c r="O283" s="1099"/>
    </row>
    <row r="284" spans="2:15">
      <c r="B284" s="1129"/>
      <c r="C284" s="1098"/>
      <c r="D284" s="1099"/>
      <c r="E284" s="1098"/>
      <c r="F284" s="1136"/>
      <c r="G284" s="1099"/>
      <c r="H284" s="1098"/>
      <c r="I284" s="1099"/>
      <c r="J284" s="1140"/>
      <c r="K284" s="1140"/>
      <c r="L284" s="1143"/>
      <c r="M284" s="1098"/>
      <c r="N284" s="1099"/>
      <c r="O284" s="1099"/>
    </row>
    <row r="285" spans="2:15">
      <c r="B285" s="1129"/>
      <c r="C285" s="1098"/>
      <c r="D285" s="1099"/>
      <c r="E285" s="1098"/>
      <c r="F285" s="1136"/>
      <c r="G285" s="1099"/>
      <c r="H285" s="1098"/>
      <c r="I285" s="1099"/>
      <c r="J285" s="1140"/>
      <c r="K285" s="1140"/>
      <c r="L285" s="1143"/>
      <c r="M285" s="1098"/>
      <c r="N285" s="1099"/>
      <c r="O285" s="1099"/>
    </row>
    <row r="286" spans="2:15">
      <c r="B286" s="1129"/>
      <c r="C286" s="1098"/>
      <c r="D286" s="1099"/>
      <c r="E286" s="1098"/>
      <c r="F286" s="1136"/>
      <c r="G286" s="1099"/>
      <c r="H286" s="1098"/>
      <c r="I286" s="1099"/>
      <c r="J286" s="1140"/>
      <c r="K286" s="1140"/>
      <c r="L286" s="1143"/>
      <c r="M286" s="1098"/>
      <c r="N286" s="1099"/>
      <c r="O286" s="1099"/>
    </row>
    <row r="287" spans="2:15">
      <c r="B287" s="1129"/>
      <c r="C287" s="1098"/>
      <c r="D287" s="1099"/>
      <c r="E287" s="1098"/>
      <c r="F287" s="1136"/>
      <c r="G287" s="1099"/>
      <c r="H287" s="1098"/>
      <c r="I287" s="1099"/>
      <c r="J287" s="1140"/>
      <c r="K287" s="1140"/>
      <c r="L287" s="1143"/>
      <c r="M287" s="1098"/>
      <c r="N287" s="1099"/>
      <c r="O287" s="1099"/>
    </row>
    <row r="288" spans="2:15">
      <c r="B288" s="1129"/>
      <c r="C288" s="1098"/>
      <c r="D288" s="1099"/>
      <c r="E288" s="1098"/>
      <c r="F288" s="1136"/>
      <c r="G288" s="1099"/>
      <c r="H288" s="1098"/>
      <c r="I288" s="1099"/>
      <c r="J288" s="1140"/>
      <c r="K288" s="1140"/>
      <c r="L288" s="1143"/>
      <c r="M288" s="1098"/>
      <c r="N288" s="1099"/>
      <c r="O288" s="1099"/>
    </row>
    <row r="289" spans="2:15">
      <c r="B289" s="1129"/>
      <c r="C289" s="1098"/>
      <c r="D289" s="1099"/>
      <c r="E289" s="1098"/>
      <c r="F289" s="1136"/>
      <c r="G289" s="1099"/>
      <c r="H289" s="1098"/>
      <c r="I289" s="1099"/>
      <c r="J289" s="1140"/>
      <c r="K289" s="1140"/>
      <c r="L289" s="1143"/>
      <c r="M289" s="1098"/>
      <c r="N289" s="1099"/>
      <c r="O289" s="1099"/>
    </row>
    <row r="290" spans="2:15">
      <c r="B290" s="1129"/>
      <c r="C290" s="1098"/>
      <c r="D290" s="1099"/>
      <c r="E290" s="1098"/>
      <c r="F290" s="1136"/>
      <c r="G290" s="1099"/>
      <c r="H290" s="1098"/>
      <c r="I290" s="1099"/>
      <c r="J290" s="1140"/>
      <c r="K290" s="1140"/>
      <c r="L290" s="1143"/>
      <c r="M290" s="1098"/>
      <c r="N290" s="1099"/>
      <c r="O290" s="1099"/>
    </row>
    <row r="291" spans="2:15">
      <c r="B291" s="1129"/>
      <c r="C291" s="1098"/>
      <c r="D291" s="1099"/>
      <c r="E291" s="1098"/>
      <c r="F291" s="1136"/>
      <c r="G291" s="1099"/>
      <c r="H291" s="1098"/>
      <c r="I291" s="1099"/>
      <c r="J291" s="1140"/>
      <c r="K291" s="1140"/>
      <c r="L291" s="1143"/>
      <c r="M291" s="1098"/>
      <c r="N291" s="1099"/>
      <c r="O291" s="1099"/>
    </row>
    <row r="292" spans="2:15">
      <c r="B292" s="1129"/>
      <c r="C292" s="1098"/>
      <c r="D292" s="1099"/>
      <c r="E292" s="1098"/>
      <c r="F292" s="1136"/>
      <c r="G292" s="1099"/>
      <c r="H292" s="1098"/>
      <c r="I292" s="1099"/>
      <c r="J292" s="1140"/>
      <c r="K292" s="1140"/>
      <c r="L292" s="1143"/>
      <c r="M292" s="1098"/>
      <c r="N292" s="1099"/>
      <c r="O292" s="1099"/>
    </row>
    <row r="293" spans="2:15">
      <c r="B293" s="1129"/>
      <c r="C293" s="1098"/>
      <c r="D293" s="1099"/>
      <c r="E293" s="1098"/>
      <c r="F293" s="1136"/>
      <c r="G293" s="1099"/>
      <c r="H293" s="1098"/>
      <c r="I293" s="1099"/>
      <c r="J293" s="1140"/>
      <c r="K293" s="1140"/>
      <c r="L293" s="1143"/>
      <c r="M293" s="1098"/>
      <c r="N293" s="1099"/>
      <c r="O293" s="1099"/>
    </row>
    <row r="294" spans="2:15">
      <c r="B294" s="1129"/>
      <c r="C294" s="1098"/>
      <c r="D294" s="1099"/>
      <c r="E294" s="1098"/>
      <c r="F294" s="1136"/>
      <c r="G294" s="1099"/>
      <c r="H294" s="1098"/>
      <c r="I294" s="1099"/>
      <c r="J294" s="1140"/>
      <c r="K294" s="1140"/>
      <c r="L294" s="1143"/>
      <c r="M294" s="1098"/>
      <c r="N294" s="1099"/>
      <c r="O294" s="1099"/>
    </row>
    <row r="295" spans="2:15">
      <c r="B295" s="1129"/>
      <c r="C295" s="1098"/>
      <c r="D295" s="1099"/>
      <c r="E295" s="1098"/>
      <c r="F295" s="1136"/>
      <c r="G295" s="1099"/>
      <c r="H295" s="1098"/>
      <c r="I295" s="1099"/>
      <c r="J295" s="1140"/>
      <c r="K295" s="1140"/>
      <c r="L295" s="1143"/>
      <c r="M295" s="1098"/>
      <c r="N295" s="1099"/>
      <c r="O295" s="1099"/>
    </row>
    <row r="296" spans="2:15">
      <c r="B296" s="1129"/>
      <c r="C296" s="1098"/>
      <c r="D296" s="1099"/>
      <c r="E296" s="1098"/>
      <c r="F296" s="1136"/>
      <c r="G296" s="1099"/>
      <c r="H296" s="1098"/>
      <c r="I296" s="1099"/>
      <c r="J296" s="1140"/>
      <c r="K296" s="1140"/>
      <c r="L296" s="1143"/>
      <c r="M296" s="1098"/>
      <c r="N296" s="1099"/>
      <c r="O296" s="1099"/>
    </row>
    <row r="297" spans="2:15">
      <c r="B297" s="1129"/>
      <c r="C297" s="1098"/>
      <c r="D297" s="1099"/>
      <c r="E297" s="1098"/>
      <c r="F297" s="1136"/>
      <c r="G297" s="1099"/>
      <c r="H297" s="1098"/>
      <c r="I297" s="1099"/>
      <c r="J297" s="1140"/>
      <c r="K297" s="1140"/>
      <c r="L297" s="1143"/>
      <c r="M297" s="1098"/>
      <c r="N297" s="1099"/>
      <c r="O297" s="1099"/>
    </row>
    <row r="298" spans="2:15">
      <c r="B298" s="1129"/>
      <c r="C298" s="1098"/>
      <c r="D298" s="1099"/>
      <c r="E298" s="1098"/>
      <c r="F298" s="1136"/>
      <c r="G298" s="1099"/>
      <c r="H298" s="1098"/>
      <c r="I298" s="1099"/>
      <c r="J298" s="1140"/>
      <c r="K298" s="1140"/>
      <c r="L298" s="1143"/>
      <c r="M298" s="1098"/>
      <c r="N298" s="1099"/>
      <c r="O298" s="1099"/>
    </row>
    <row r="299" spans="2:15">
      <c r="B299" s="1129"/>
      <c r="C299" s="1098"/>
      <c r="D299" s="1099"/>
      <c r="E299" s="1098"/>
      <c r="F299" s="1136"/>
      <c r="G299" s="1099"/>
      <c r="H299" s="1098"/>
      <c r="I299" s="1099"/>
      <c r="J299" s="1140"/>
      <c r="K299" s="1140"/>
      <c r="L299" s="1143"/>
      <c r="M299" s="1098"/>
      <c r="N299" s="1099"/>
      <c r="O299" s="1099"/>
    </row>
    <row r="300" spans="2:15">
      <c r="B300" s="1129"/>
      <c r="C300" s="1098"/>
      <c r="D300" s="1099"/>
      <c r="E300" s="1098"/>
      <c r="F300" s="1136"/>
      <c r="G300" s="1099"/>
      <c r="H300" s="1098"/>
      <c r="I300" s="1099"/>
      <c r="J300" s="1140"/>
      <c r="K300" s="1140"/>
      <c r="L300" s="1143"/>
      <c r="M300" s="1098"/>
      <c r="N300" s="1099"/>
      <c r="O300" s="1099"/>
    </row>
    <row r="301" spans="2:15">
      <c r="B301" s="1129"/>
      <c r="C301" s="1098"/>
      <c r="D301" s="1099"/>
      <c r="E301" s="1098"/>
      <c r="F301" s="1136"/>
      <c r="G301" s="1099"/>
      <c r="H301" s="1098"/>
      <c r="I301" s="1099"/>
      <c r="J301" s="1140"/>
      <c r="K301" s="1140"/>
      <c r="L301" s="1143"/>
      <c r="M301" s="1098"/>
      <c r="N301" s="1099"/>
      <c r="O301" s="1099"/>
    </row>
    <row r="302" spans="2:15">
      <c r="B302" s="1129"/>
      <c r="C302" s="1098"/>
      <c r="D302" s="1099"/>
      <c r="E302" s="1098"/>
      <c r="F302" s="1136"/>
      <c r="G302" s="1099"/>
      <c r="H302" s="1098"/>
      <c r="I302" s="1099"/>
      <c r="J302" s="1140"/>
      <c r="K302" s="1140"/>
      <c r="L302" s="1143"/>
      <c r="M302" s="1098"/>
      <c r="N302" s="1099"/>
      <c r="O302" s="1099"/>
    </row>
    <row r="303" spans="2:15">
      <c r="B303" s="1129"/>
      <c r="C303" s="1098"/>
      <c r="D303" s="1099"/>
      <c r="E303" s="1098"/>
      <c r="F303" s="1136"/>
      <c r="G303" s="1099"/>
      <c r="H303" s="1098"/>
      <c r="I303" s="1099"/>
      <c r="J303" s="1140"/>
      <c r="K303" s="1140"/>
      <c r="L303" s="1143"/>
      <c r="M303" s="1098"/>
      <c r="N303" s="1099"/>
      <c r="O303" s="1099"/>
    </row>
    <row r="304" spans="2:15">
      <c r="B304" s="1129"/>
      <c r="C304" s="1098"/>
      <c r="D304" s="1099"/>
      <c r="E304" s="1098"/>
      <c r="F304" s="1136"/>
      <c r="G304" s="1099"/>
      <c r="H304" s="1098"/>
      <c r="I304" s="1099"/>
      <c r="J304" s="1140"/>
      <c r="K304" s="1140"/>
      <c r="L304" s="1143"/>
      <c r="M304" s="1098"/>
      <c r="N304" s="1099"/>
      <c r="O304" s="1099"/>
    </row>
    <row r="305" spans="2:15">
      <c r="B305" s="1129"/>
      <c r="C305" s="1098"/>
      <c r="D305" s="1099"/>
      <c r="E305" s="1098"/>
      <c r="F305" s="1136"/>
      <c r="G305" s="1099"/>
      <c r="H305" s="1098"/>
      <c r="I305" s="1099"/>
      <c r="J305" s="1140"/>
      <c r="K305" s="1140"/>
      <c r="L305" s="1143"/>
      <c r="M305" s="1098"/>
      <c r="N305" s="1099"/>
      <c r="O305" s="1099"/>
    </row>
    <row r="306" spans="2:15">
      <c r="B306" s="1129"/>
      <c r="C306" s="1098"/>
      <c r="D306" s="1099"/>
      <c r="E306" s="1098"/>
      <c r="F306" s="1136"/>
      <c r="G306" s="1099"/>
      <c r="H306" s="1098"/>
      <c r="I306" s="1099"/>
      <c r="J306" s="1140"/>
      <c r="K306" s="1140"/>
      <c r="L306" s="1143"/>
      <c r="M306" s="1098"/>
      <c r="N306" s="1099"/>
      <c r="O306" s="1099"/>
    </row>
    <row r="307" spans="2:15">
      <c r="B307" s="1129"/>
      <c r="C307" s="1098"/>
      <c r="D307" s="1099"/>
      <c r="E307" s="1098"/>
      <c r="F307" s="1136"/>
      <c r="G307" s="1099"/>
      <c r="H307" s="1098"/>
      <c r="I307" s="1099"/>
      <c r="J307" s="1140"/>
      <c r="K307" s="1140"/>
      <c r="L307" s="1143"/>
      <c r="M307" s="1098"/>
      <c r="N307" s="1099"/>
      <c r="O307" s="1099"/>
    </row>
    <row r="308" spans="2:15">
      <c r="B308" s="1129"/>
      <c r="C308" s="1098"/>
      <c r="D308" s="1099"/>
      <c r="E308" s="1098"/>
      <c r="F308" s="1136"/>
      <c r="G308" s="1099"/>
      <c r="H308" s="1098"/>
      <c r="I308" s="1099"/>
      <c r="J308" s="1140"/>
      <c r="K308" s="1140"/>
      <c r="L308" s="1143"/>
      <c r="M308" s="1098"/>
      <c r="N308" s="1099"/>
      <c r="O308" s="1099"/>
    </row>
    <row r="309" spans="2:15">
      <c r="B309" s="1129"/>
      <c r="C309" s="1098"/>
      <c r="D309" s="1099"/>
      <c r="E309" s="1098"/>
      <c r="F309" s="1136"/>
      <c r="G309" s="1099"/>
      <c r="H309" s="1098"/>
      <c r="I309" s="1099"/>
      <c r="J309" s="1140"/>
      <c r="K309" s="1140"/>
      <c r="L309" s="1143"/>
      <c r="M309" s="1098"/>
      <c r="N309" s="1099"/>
      <c r="O309" s="1099"/>
    </row>
    <row r="310" spans="2:15">
      <c r="B310" s="1129"/>
      <c r="C310" s="1098"/>
      <c r="D310" s="1099"/>
      <c r="E310" s="1098"/>
      <c r="F310" s="1136"/>
      <c r="G310" s="1099"/>
      <c r="H310" s="1098"/>
      <c r="I310" s="1099"/>
      <c r="J310" s="1140"/>
      <c r="K310" s="1140"/>
      <c r="L310" s="1143"/>
      <c r="M310" s="1098"/>
      <c r="N310" s="1099"/>
      <c r="O310" s="1099"/>
    </row>
    <row r="311" spans="2:15">
      <c r="B311" s="1129"/>
      <c r="C311" s="1098"/>
      <c r="D311" s="1099"/>
      <c r="E311" s="1098"/>
      <c r="F311" s="1136"/>
      <c r="G311" s="1099"/>
      <c r="H311" s="1098"/>
      <c r="I311" s="1099"/>
      <c r="J311" s="1140"/>
      <c r="K311" s="1140"/>
      <c r="L311" s="1143"/>
      <c r="M311" s="1098"/>
      <c r="N311" s="1099"/>
      <c r="O311" s="1099"/>
    </row>
    <row r="312" spans="2:15">
      <c r="B312" s="1129"/>
      <c r="C312" s="1098"/>
      <c r="D312" s="1099"/>
      <c r="E312" s="1098"/>
      <c r="F312" s="1136"/>
      <c r="G312" s="1099"/>
      <c r="H312" s="1098"/>
      <c r="I312" s="1099"/>
      <c r="J312" s="1140"/>
      <c r="K312" s="1140"/>
      <c r="L312" s="1143"/>
      <c r="M312" s="1098"/>
      <c r="N312" s="1099"/>
      <c r="O312" s="1099"/>
    </row>
    <row r="313" spans="2:15">
      <c r="B313" s="1129"/>
      <c r="C313" s="1098"/>
      <c r="D313" s="1099"/>
      <c r="E313" s="1098"/>
      <c r="F313" s="1136"/>
      <c r="G313" s="1099"/>
      <c r="H313" s="1098"/>
      <c r="I313" s="1099"/>
      <c r="J313" s="1140"/>
      <c r="K313" s="1140"/>
      <c r="L313" s="1143"/>
      <c r="M313" s="1098"/>
      <c r="N313" s="1099"/>
      <c r="O313" s="1099"/>
    </row>
    <row r="314" spans="2:15">
      <c r="B314" s="1129"/>
      <c r="C314" s="1098"/>
      <c r="D314" s="1099"/>
      <c r="E314" s="1098"/>
      <c r="F314" s="1136"/>
      <c r="G314" s="1099"/>
      <c r="H314" s="1098"/>
      <c r="I314" s="1099"/>
      <c r="J314" s="1140"/>
      <c r="K314" s="1140"/>
      <c r="L314" s="1143"/>
      <c r="M314" s="1098"/>
      <c r="N314" s="1099"/>
      <c r="O314" s="1099"/>
    </row>
    <row r="315" spans="2:15">
      <c r="B315" s="1129"/>
      <c r="C315" s="1098"/>
      <c r="D315" s="1099"/>
      <c r="E315" s="1098"/>
      <c r="F315" s="1136"/>
      <c r="G315" s="1099"/>
      <c r="H315" s="1098"/>
      <c r="I315" s="1099"/>
      <c r="J315" s="1140"/>
      <c r="K315" s="1140"/>
      <c r="L315" s="1143"/>
      <c r="M315" s="1098"/>
      <c r="N315" s="1099"/>
      <c r="O315" s="1099"/>
    </row>
    <row r="316" spans="2:15">
      <c r="B316" s="1129"/>
      <c r="C316" s="1098"/>
      <c r="D316" s="1099"/>
      <c r="E316" s="1098"/>
      <c r="F316" s="1136"/>
      <c r="G316" s="1099"/>
      <c r="H316" s="1098"/>
      <c r="I316" s="1099"/>
      <c r="J316" s="1140"/>
      <c r="K316" s="1140"/>
      <c r="L316" s="1143"/>
      <c r="M316" s="1098"/>
      <c r="N316" s="1099"/>
      <c r="O316" s="1099"/>
    </row>
    <row r="317" spans="2:15">
      <c r="B317" s="1129"/>
      <c r="C317" s="1098"/>
      <c r="D317" s="1099"/>
      <c r="E317" s="1098"/>
      <c r="F317" s="1136"/>
      <c r="G317" s="1099"/>
      <c r="H317" s="1098"/>
      <c r="I317" s="1099"/>
      <c r="J317" s="1140"/>
      <c r="K317" s="1140"/>
      <c r="L317" s="1143"/>
      <c r="M317" s="1098"/>
      <c r="N317" s="1099"/>
      <c r="O317" s="1099"/>
    </row>
    <row r="318" spans="2:15">
      <c r="B318" s="1129"/>
      <c r="C318" s="1098"/>
      <c r="D318" s="1099"/>
      <c r="E318" s="1098"/>
      <c r="F318" s="1136"/>
      <c r="G318" s="1099"/>
      <c r="H318" s="1098"/>
      <c r="I318" s="1099"/>
      <c r="J318" s="1140"/>
      <c r="K318" s="1140"/>
      <c r="L318" s="1143"/>
      <c r="M318" s="1098"/>
      <c r="N318" s="1099"/>
      <c r="O318" s="1099"/>
    </row>
    <row r="319" spans="2:15">
      <c r="B319" s="1129"/>
      <c r="C319" s="1098"/>
      <c r="D319" s="1099"/>
      <c r="E319" s="1098"/>
      <c r="F319" s="1136"/>
      <c r="G319" s="1099"/>
      <c r="H319" s="1098"/>
      <c r="I319" s="1099"/>
      <c r="J319" s="1140"/>
      <c r="K319" s="1140"/>
      <c r="L319" s="1143"/>
      <c r="M319" s="1098"/>
      <c r="N319" s="1099"/>
      <c r="O319" s="1099"/>
    </row>
    <row r="320" spans="2:15">
      <c r="B320" s="1129"/>
      <c r="C320" s="1098"/>
      <c r="D320" s="1099"/>
      <c r="E320" s="1098"/>
      <c r="F320" s="1136"/>
      <c r="G320" s="1099"/>
      <c r="H320" s="1098"/>
      <c r="I320" s="1099"/>
      <c r="J320" s="1140"/>
      <c r="K320" s="1140"/>
      <c r="L320" s="1143"/>
      <c r="M320" s="1098"/>
      <c r="N320" s="1099"/>
      <c r="O320" s="1099"/>
    </row>
    <row r="321" spans="2:15">
      <c r="B321" s="1129"/>
      <c r="C321" s="1098"/>
      <c r="D321" s="1099"/>
      <c r="E321" s="1098"/>
      <c r="F321" s="1136"/>
      <c r="G321" s="1099"/>
      <c r="H321" s="1098"/>
      <c r="I321" s="1099"/>
      <c r="J321" s="1140"/>
      <c r="K321" s="1140"/>
      <c r="L321" s="1143"/>
      <c r="M321" s="1098"/>
      <c r="N321" s="1099"/>
      <c r="O321" s="1099"/>
    </row>
    <row r="322" spans="2:15">
      <c r="B322" s="1129"/>
      <c r="C322" s="1098"/>
      <c r="D322" s="1099"/>
      <c r="E322" s="1098"/>
      <c r="F322" s="1136"/>
      <c r="G322" s="1099"/>
      <c r="H322" s="1098"/>
      <c r="I322" s="1099"/>
      <c r="J322" s="1140"/>
      <c r="K322" s="1140"/>
      <c r="L322" s="1143"/>
      <c r="M322" s="1098"/>
      <c r="N322" s="1099"/>
      <c r="O322" s="1099"/>
    </row>
    <row r="323" spans="2:15">
      <c r="B323" s="1129"/>
      <c r="C323" s="1098"/>
      <c r="D323" s="1099"/>
      <c r="E323" s="1098"/>
      <c r="F323" s="1136"/>
      <c r="G323" s="1099"/>
      <c r="H323" s="1098"/>
      <c r="I323" s="1099"/>
      <c r="J323" s="1140"/>
      <c r="K323" s="1140"/>
      <c r="L323" s="1143"/>
      <c r="M323" s="1098"/>
      <c r="N323" s="1099"/>
      <c r="O323" s="1099"/>
    </row>
    <row r="324" spans="2:15">
      <c r="B324" s="1129"/>
      <c r="C324" s="1098"/>
      <c r="D324" s="1099"/>
      <c r="E324" s="1098"/>
      <c r="F324" s="1136"/>
      <c r="G324" s="1099"/>
      <c r="H324" s="1098"/>
      <c r="I324" s="1099"/>
      <c r="J324" s="1140"/>
      <c r="K324" s="1140"/>
      <c r="L324" s="1143"/>
      <c r="M324" s="1098"/>
      <c r="N324" s="1099"/>
      <c r="O324" s="1099"/>
    </row>
    <row r="325" spans="2:15">
      <c r="B325" s="1129"/>
      <c r="C325" s="1098"/>
      <c r="D325" s="1099"/>
      <c r="E325" s="1098"/>
      <c r="F325" s="1136"/>
      <c r="G325" s="1099"/>
      <c r="H325" s="1098"/>
      <c r="I325" s="1099"/>
      <c r="J325" s="1140"/>
      <c r="K325" s="1140"/>
      <c r="L325" s="1143"/>
      <c r="M325" s="1098"/>
      <c r="N325" s="1099"/>
      <c r="O325" s="1099"/>
    </row>
    <row r="326" spans="2:15">
      <c r="B326" s="1129"/>
      <c r="C326" s="1098"/>
      <c r="D326" s="1099"/>
      <c r="E326" s="1098"/>
      <c r="F326" s="1136"/>
      <c r="G326" s="1099"/>
      <c r="H326" s="1098"/>
      <c r="I326" s="1099"/>
      <c r="J326" s="1140"/>
      <c r="K326" s="1140"/>
      <c r="L326" s="1143"/>
      <c r="M326" s="1098"/>
      <c r="N326" s="1099"/>
      <c r="O326" s="1099"/>
    </row>
    <row r="327" spans="2:15">
      <c r="B327" s="1129"/>
      <c r="C327" s="1098"/>
      <c r="D327" s="1099"/>
      <c r="E327" s="1098"/>
      <c r="F327" s="1136"/>
      <c r="G327" s="1099"/>
      <c r="H327" s="1098"/>
      <c r="I327" s="1099"/>
      <c r="J327" s="1140"/>
      <c r="K327" s="1140"/>
      <c r="L327" s="1143"/>
      <c r="M327" s="1098"/>
      <c r="N327" s="1099"/>
      <c r="O327" s="1099"/>
    </row>
    <row r="328" spans="2:15">
      <c r="B328" s="1129"/>
      <c r="C328" s="1098"/>
      <c r="D328" s="1099"/>
      <c r="E328" s="1098"/>
      <c r="F328" s="1136"/>
      <c r="G328" s="1099"/>
      <c r="H328" s="1098"/>
      <c r="I328" s="1099"/>
      <c r="J328" s="1140"/>
      <c r="K328" s="1140"/>
      <c r="L328" s="1143"/>
      <c r="M328" s="1098"/>
      <c r="N328" s="1099"/>
      <c r="O328" s="1099"/>
    </row>
    <row r="329" spans="2:15">
      <c r="B329" s="1129"/>
      <c r="C329" s="1098"/>
      <c r="D329" s="1099"/>
      <c r="E329" s="1098"/>
      <c r="F329" s="1136"/>
      <c r="G329" s="1099"/>
      <c r="H329" s="1098"/>
      <c r="I329" s="1099"/>
      <c r="J329" s="1140"/>
      <c r="K329" s="1140"/>
      <c r="L329" s="1143"/>
      <c r="M329" s="1098"/>
      <c r="N329" s="1099"/>
      <c r="O329" s="1099"/>
    </row>
    <row r="330" spans="2:15">
      <c r="B330" s="1129"/>
      <c r="C330" s="1098"/>
      <c r="D330" s="1099"/>
      <c r="E330" s="1098"/>
      <c r="F330" s="1136"/>
      <c r="G330" s="1099"/>
      <c r="H330" s="1098"/>
      <c r="I330" s="1099"/>
      <c r="J330" s="1140"/>
      <c r="K330" s="1140"/>
      <c r="L330" s="1143"/>
      <c r="M330" s="1098"/>
      <c r="N330" s="1099"/>
      <c r="O330" s="1099"/>
    </row>
    <row r="331" spans="2:15">
      <c r="B331" s="1129"/>
      <c r="C331" s="1098"/>
      <c r="D331" s="1099"/>
      <c r="E331" s="1098"/>
      <c r="F331" s="1136"/>
      <c r="G331" s="1099"/>
      <c r="H331" s="1098"/>
      <c r="I331" s="1099"/>
      <c r="J331" s="1140"/>
      <c r="K331" s="1140"/>
      <c r="L331" s="1143"/>
      <c r="M331" s="1098"/>
      <c r="N331" s="1099"/>
      <c r="O331" s="1099"/>
    </row>
    <row r="332" spans="2:15">
      <c r="B332" s="1129"/>
      <c r="C332" s="1098"/>
      <c r="D332" s="1099"/>
      <c r="E332" s="1098"/>
      <c r="F332" s="1136"/>
      <c r="G332" s="1099"/>
      <c r="H332" s="1098"/>
      <c r="I332" s="1099"/>
      <c r="J332" s="1140"/>
      <c r="K332" s="1140"/>
      <c r="L332" s="1143"/>
      <c r="M332" s="1098"/>
      <c r="N332" s="1099"/>
      <c r="O332" s="1099"/>
    </row>
    <row r="333" spans="2:15">
      <c r="B333" s="1129"/>
      <c r="C333" s="1098"/>
      <c r="D333" s="1099"/>
      <c r="E333" s="1098"/>
      <c r="F333" s="1136"/>
      <c r="G333" s="1099"/>
      <c r="H333" s="1098"/>
      <c r="I333" s="1099"/>
      <c r="J333" s="1140"/>
      <c r="K333" s="1140"/>
      <c r="L333" s="1143"/>
      <c r="M333" s="1098"/>
      <c r="N333" s="1099"/>
      <c r="O333" s="1099"/>
    </row>
    <row r="334" spans="2:15">
      <c r="B334" s="1129"/>
      <c r="C334" s="1098"/>
      <c r="D334" s="1099"/>
      <c r="E334" s="1098"/>
      <c r="F334" s="1136"/>
      <c r="G334" s="1099"/>
      <c r="H334" s="1098"/>
      <c r="I334" s="1099"/>
      <c r="J334" s="1140"/>
      <c r="K334" s="1140"/>
      <c r="L334" s="1143"/>
      <c r="M334" s="1098"/>
      <c r="N334" s="1099"/>
      <c r="O334" s="1099"/>
    </row>
    <row r="335" spans="2:15">
      <c r="B335" s="1129"/>
      <c r="C335" s="1098"/>
      <c r="D335" s="1099"/>
      <c r="E335" s="1098"/>
      <c r="F335" s="1136"/>
      <c r="G335" s="1099"/>
      <c r="H335" s="1098"/>
      <c r="I335" s="1099"/>
      <c r="J335" s="1140"/>
      <c r="K335" s="1140"/>
      <c r="L335" s="1143"/>
      <c r="M335" s="1098"/>
      <c r="N335" s="1099"/>
      <c r="O335" s="1099"/>
    </row>
    <row r="336" spans="2:15">
      <c r="B336" s="1129"/>
      <c r="C336" s="1098"/>
      <c r="D336" s="1099"/>
      <c r="E336" s="1098"/>
      <c r="F336" s="1136"/>
      <c r="G336" s="1099"/>
      <c r="H336" s="1098"/>
      <c r="I336" s="1099"/>
      <c r="J336" s="1140"/>
      <c r="K336" s="1140"/>
      <c r="L336" s="1143"/>
      <c r="M336" s="1098"/>
      <c r="N336" s="1099"/>
      <c r="O336" s="1099"/>
    </row>
    <row r="337" spans="2:15">
      <c r="B337" s="1129"/>
      <c r="C337" s="1098"/>
      <c r="D337" s="1099"/>
      <c r="E337" s="1098"/>
      <c r="F337" s="1136"/>
      <c r="G337" s="1099"/>
      <c r="H337" s="1098"/>
      <c r="I337" s="1099"/>
      <c r="J337" s="1140"/>
      <c r="K337" s="1140"/>
      <c r="L337" s="1143"/>
      <c r="M337" s="1098"/>
      <c r="N337" s="1099"/>
      <c r="O337" s="1099"/>
    </row>
    <row r="338" spans="2:15">
      <c r="B338" s="1129"/>
      <c r="C338" s="1098"/>
      <c r="D338" s="1099"/>
      <c r="E338" s="1098"/>
      <c r="F338" s="1136"/>
      <c r="G338" s="1099"/>
      <c r="H338" s="1098"/>
      <c r="I338" s="1099"/>
      <c r="J338" s="1140"/>
      <c r="K338" s="1140"/>
      <c r="L338" s="1143"/>
      <c r="M338" s="1098"/>
      <c r="N338" s="1099"/>
      <c r="O338" s="1099"/>
    </row>
    <row r="339" spans="2:15">
      <c r="B339" s="1129"/>
      <c r="C339" s="1098"/>
      <c r="D339" s="1099"/>
      <c r="E339" s="1098"/>
      <c r="F339" s="1136"/>
      <c r="G339" s="1099"/>
      <c r="H339" s="1098"/>
      <c r="I339" s="1099"/>
      <c r="J339" s="1140"/>
      <c r="K339" s="1140"/>
      <c r="L339" s="1143"/>
      <c r="M339" s="1098"/>
      <c r="N339" s="1099"/>
      <c r="O339" s="1099"/>
    </row>
    <row r="340" spans="2:15">
      <c r="B340" s="1129"/>
      <c r="C340" s="1098"/>
      <c r="D340" s="1099"/>
      <c r="E340" s="1098"/>
      <c r="F340" s="1136"/>
      <c r="G340" s="1099"/>
      <c r="H340" s="1098"/>
      <c r="I340" s="1099"/>
      <c r="J340" s="1140"/>
      <c r="K340" s="1140"/>
      <c r="L340" s="1143"/>
      <c r="M340" s="1098"/>
      <c r="N340" s="1099"/>
      <c r="O340" s="1099"/>
    </row>
    <row r="341" spans="2:15">
      <c r="B341" s="1129"/>
      <c r="C341" s="1098"/>
      <c r="D341" s="1099"/>
      <c r="E341" s="1098"/>
      <c r="F341" s="1136"/>
      <c r="G341" s="1099"/>
      <c r="H341" s="1098"/>
      <c r="I341" s="1099"/>
      <c r="J341" s="1140"/>
      <c r="K341" s="1140"/>
      <c r="L341" s="1143"/>
      <c r="M341" s="1098"/>
      <c r="N341" s="1099"/>
      <c r="O341" s="1099"/>
    </row>
    <row r="342" spans="2:15">
      <c r="B342" s="1129"/>
      <c r="C342" s="1098"/>
      <c r="D342" s="1099"/>
      <c r="E342" s="1098"/>
      <c r="F342" s="1136"/>
      <c r="G342" s="1099"/>
      <c r="H342" s="1098"/>
      <c r="I342" s="1099"/>
      <c r="J342" s="1140"/>
      <c r="K342" s="1140"/>
      <c r="L342" s="1143"/>
      <c r="M342" s="1098"/>
      <c r="N342" s="1099"/>
      <c r="O342" s="1099"/>
    </row>
    <row r="343" spans="2:15">
      <c r="B343" s="1129"/>
      <c r="C343" s="1098"/>
      <c r="D343" s="1099"/>
      <c r="E343" s="1098"/>
      <c r="F343" s="1136"/>
      <c r="G343" s="1099"/>
      <c r="H343" s="1098"/>
      <c r="I343" s="1099"/>
      <c r="J343" s="1140"/>
      <c r="K343" s="1140"/>
      <c r="L343" s="1143"/>
      <c r="M343" s="1098"/>
      <c r="N343" s="1099"/>
      <c r="O343" s="1099"/>
    </row>
    <row r="344" spans="2:15">
      <c r="B344" s="1129"/>
      <c r="C344" s="1098"/>
      <c r="D344" s="1099"/>
      <c r="E344" s="1098"/>
      <c r="F344" s="1136"/>
      <c r="G344" s="1099"/>
      <c r="H344" s="1098"/>
      <c r="I344" s="1099"/>
      <c r="J344" s="1140"/>
      <c r="K344" s="1140"/>
      <c r="L344" s="1143"/>
      <c r="M344" s="1098"/>
      <c r="N344" s="1099"/>
      <c r="O344" s="1099"/>
    </row>
    <row r="345" spans="2:15">
      <c r="B345" s="1129"/>
      <c r="C345" s="1098"/>
      <c r="D345" s="1099"/>
      <c r="E345" s="1098"/>
      <c r="F345" s="1136"/>
      <c r="G345" s="1099"/>
      <c r="H345" s="1098"/>
      <c r="I345" s="1099"/>
      <c r="J345" s="1140"/>
      <c r="K345" s="1140"/>
      <c r="L345" s="1143"/>
      <c r="M345" s="1098"/>
      <c r="N345" s="1099"/>
      <c r="O345" s="1099"/>
    </row>
    <row r="346" spans="2:15">
      <c r="B346" s="1129"/>
      <c r="C346" s="1098"/>
      <c r="D346" s="1099"/>
      <c r="E346" s="1098"/>
      <c r="F346" s="1136"/>
      <c r="G346" s="1099"/>
      <c r="H346" s="1098"/>
      <c r="I346" s="1099"/>
      <c r="J346" s="1140"/>
      <c r="K346" s="1140"/>
      <c r="L346" s="1143"/>
      <c r="M346" s="1098"/>
      <c r="N346" s="1099"/>
      <c r="O346" s="1099"/>
    </row>
    <row r="347" spans="2:15">
      <c r="B347" s="1129"/>
      <c r="C347" s="1098"/>
      <c r="D347" s="1099"/>
      <c r="E347" s="1098"/>
      <c r="F347" s="1136"/>
      <c r="G347" s="1099"/>
      <c r="H347" s="1098"/>
      <c r="I347" s="1099"/>
      <c r="J347" s="1140"/>
      <c r="K347" s="1140"/>
      <c r="L347" s="1143"/>
      <c r="M347" s="1098"/>
      <c r="N347" s="1099"/>
      <c r="O347" s="1099"/>
    </row>
    <row r="348" spans="2:15">
      <c r="B348" s="1129"/>
      <c r="C348" s="1098"/>
      <c r="D348" s="1099"/>
      <c r="E348" s="1098"/>
      <c r="F348" s="1136"/>
      <c r="G348" s="1099"/>
      <c r="H348" s="1098"/>
      <c r="I348" s="1099"/>
      <c r="J348" s="1140"/>
      <c r="K348" s="1140"/>
      <c r="L348" s="1143"/>
      <c r="M348" s="1098"/>
      <c r="N348" s="1099"/>
      <c r="O348" s="1099"/>
    </row>
    <row r="349" spans="2:15">
      <c r="B349" s="1129"/>
      <c r="C349" s="1098"/>
      <c r="D349" s="1099"/>
      <c r="E349" s="1098"/>
      <c r="F349" s="1136"/>
      <c r="G349" s="1099"/>
      <c r="H349" s="1098"/>
      <c r="I349" s="1099"/>
      <c r="J349" s="1140"/>
      <c r="K349" s="1140"/>
      <c r="L349" s="1143"/>
      <c r="M349" s="1098"/>
      <c r="N349" s="1099"/>
      <c r="O349" s="1099"/>
    </row>
    <row r="350" spans="2:15">
      <c r="B350" s="1129"/>
      <c r="C350" s="1098"/>
      <c r="D350" s="1099"/>
      <c r="E350" s="1098"/>
      <c r="F350" s="1136"/>
      <c r="G350" s="1099"/>
      <c r="H350" s="1098"/>
      <c r="I350" s="1099"/>
      <c r="J350" s="1140"/>
      <c r="K350" s="1140"/>
      <c r="L350" s="1143"/>
      <c r="M350" s="1098"/>
      <c r="N350" s="1099"/>
      <c r="O350" s="1099"/>
    </row>
    <row r="351" spans="2:15">
      <c r="B351" s="1129"/>
      <c r="C351" s="1098"/>
      <c r="D351" s="1099"/>
      <c r="E351" s="1098"/>
      <c r="F351" s="1136"/>
      <c r="G351" s="1099"/>
      <c r="H351" s="1098"/>
      <c r="I351" s="1099"/>
      <c r="J351" s="1140"/>
      <c r="K351" s="1140"/>
      <c r="L351" s="1143"/>
      <c r="M351" s="1098"/>
      <c r="N351" s="1099"/>
      <c r="O351" s="1099"/>
    </row>
    <row r="352" spans="2:15">
      <c r="B352" s="1129"/>
      <c r="C352" s="1098"/>
      <c r="D352" s="1099"/>
      <c r="E352" s="1098"/>
      <c r="F352" s="1136"/>
      <c r="G352" s="1099"/>
      <c r="H352" s="1098"/>
      <c r="I352" s="1099"/>
      <c r="J352" s="1140"/>
      <c r="K352" s="1140"/>
      <c r="L352" s="1143"/>
      <c r="M352" s="1098"/>
      <c r="N352" s="1099"/>
      <c r="O352" s="1099"/>
    </row>
    <row r="353" spans="2:15">
      <c r="B353" s="1129"/>
      <c r="C353" s="1098"/>
      <c r="D353" s="1099"/>
      <c r="E353" s="1098"/>
      <c r="F353" s="1136"/>
      <c r="G353" s="1099"/>
      <c r="H353" s="1098"/>
      <c r="I353" s="1099"/>
      <c r="J353" s="1140"/>
      <c r="K353" s="1140"/>
      <c r="L353" s="1143"/>
      <c r="M353" s="1098"/>
      <c r="N353" s="1099"/>
      <c r="O353" s="1099"/>
    </row>
    <row r="354" spans="2:15">
      <c r="B354" s="1129"/>
      <c r="C354" s="1098"/>
      <c r="D354" s="1099"/>
      <c r="E354" s="1098"/>
      <c r="F354" s="1136"/>
      <c r="G354" s="1099"/>
      <c r="H354" s="1098"/>
      <c r="I354" s="1099"/>
      <c r="J354" s="1140"/>
      <c r="K354" s="1140"/>
      <c r="L354" s="1143"/>
      <c r="M354" s="1098"/>
      <c r="N354" s="1099"/>
      <c r="O354" s="1099"/>
    </row>
    <row r="355" spans="2:15">
      <c r="B355" s="1129"/>
      <c r="C355" s="1098"/>
      <c r="D355" s="1099"/>
      <c r="E355" s="1098"/>
      <c r="F355" s="1136"/>
      <c r="G355" s="1099"/>
      <c r="H355" s="1098"/>
      <c r="I355" s="1099"/>
      <c r="J355" s="1140"/>
      <c r="K355" s="1140"/>
      <c r="L355" s="1143"/>
      <c r="M355" s="1098"/>
      <c r="N355" s="1099"/>
      <c r="O355" s="1099"/>
    </row>
    <row r="356" spans="2:15">
      <c r="B356" s="1129"/>
      <c r="C356" s="1098"/>
      <c r="D356" s="1099"/>
      <c r="E356" s="1098"/>
      <c r="F356" s="1136"/>
      <c r="G356" s="1099"/>
      <c r="H356" s="1098"/>
      <c r="I356" s="1099"/>
      <c r="J356" s="1140"/>
      <c r="K356" s="1140"/>
      <c r="L356" s="1143"/>
      <c r="M356" s="1098"/>
      <c r="N356" s="1099"/>
      <c r="O356" s="1099"/>
    </row>
    <row r="357" spans="2:15">
      <c r="B357" s="1129"/>
      <c r="C357" s="1098"/>
      <c r="D357" s="1099"/>
      <c r="E357" s="1098"/>
      <c r="F357" s="1136"/>
      <c r="G357" s="1099"/>
      <c r="H357" s="1098"/>
      <c r="I357" s="1099"/>
      <c r="J357" s="1140"/>
      <c r="K357" s="1140"/>
      <c r="L357" s="1143"/>
      <c r="M357" s="1098"/>
      <c r="N357" s="1099"/>
      <c r="O357" s="1099"/>
    </row>
    <row r="358" spans="2:15">
      <c r="B358" s="1129"/>
      <c r="C358" s="1098"/>
      <c r="D358" s="1099"/>
      <c r="E358" s="1098"/>
      <c r="F358" s="1136"/>
      <c r="G358" s="1099"/>
      <c r="H358" s="1098"/>
      <c r="I358" s="1099"/>
      <c r="J358" s="1140"/>
      <c r="K358" s="1140"/>
      <c r="L358" s="1143"/>
      <c r="M358" s="1098"/>
      <c r="N358" s="1099"/>
      <c r="O358" s="1099"/>
    </row>
    <row r="359" spans="2:15">
      <c r="B359" s="1129"/>
      <c r="C359" s="1098"/>
      <c r="D359" s="1099"/>
      <c r="E359" s="1098"/>
      <c r="F359" s="1136"/>
      <c r="G359" s="1099"/>
      <c r="H359" s="1098"/>
      <c r="I359" s="1099"/>
      <c r="J359" s="1140"/>
      <c r="K359" s="1140"/>
      <c r="L359" s="1143"/>
      <c r="M359" s="1098"/>
      <c r="N359" s="1099"/>
      <c r="O359" s="1099"/>
    </row>
    <row r="360" spans="2:15">
      <c r="B360" s="1129"/>
      <c r="C360" s="1098"/>
      <c r="D360" s="1099"/>
      <c r="E360" s="1098"/>
      <c r="F360" s="1136"/>
      <c r="G360" s="1099"/>
      <c r="H360" s="1098"/>
      <c r="I360" s="1099"/>
      <c r="J360" s="1140"/>
      <c r="K360" s="1140"/>
      <c r="L360" s="1143"/>
      <c r="M360" s="1098"/>
      <c r="N360" s="1099"/>
      <c r="O360" s="1099"/>
    </row>
    <row r="361" spans="2:15">
      <c r="B361" s="1129"/>
      <c r="C361" s="1098"/>
      <c r="D361" s="1099"/>
      <c r="E361" s="1098"/>
      <c r="F361" s="1136"/>
      <c r="G361" s="1099"/>
      <c r="H361" s="1098"/>
      <c r="I361" s="1099"/>
      <c r="J361" s="1140"/>
      <c r="K361" s="1140"/>
      <c r="L361" s="1143"/>
      <c r="M361" s="1098"/>
      <c r="N361" s="1099"/>
      <c r="O361" s="1099"/>
    </row>
    <row r="362" spans="2:15">
      <c r="B362" s="1129"/>
      <c r="C362" s="1098"/>
      <c r="D362" s="1099"/>
      <c r="E362" s="1098"/>
      <c r="F362" s="1136"/>
      <c r="G362" s="1099"/>
      <c r="H362" s="1098"/>
      <c r="I362" s="1099"/>
      <c r="J362" s="1140"/>
      <c r="K362" s="1140"/>
      <c r="L362" s="1143"/>
      <c r="M362" s="1098"/>
      <c r="N362" s="1099"/>
      <c r="O362" s="1099"/>
    </row>
    <row r="363" spans="2:15">
      <c r="B363" s="1129"/>
      <c r="C363" s="1098"/>
      <c r="D363" s="1099"/>
      <c r="E363" s="1098"/>
      <c r="F363" s="1136"/>
      <c r="G363" s="1099"/>
      <c r="H363" s="1098"/>
      <c r="I363" s="1099"/>
      <c r="J363" s="1140"/>
      <c r="K363" s="1140"/>
      <c r="L363" s="1143"/>
      <c r="M363" s="1098"/>
      <c r="N363" s="1099"/>
      <c r="O363" s="1099"/>
    </row>
    <row r="364" spans="2:15">
      <c r="B364" s="1129"/>
      <c r="C364" s="1098"/>
      <c r="D364" s="1099"/>
      <c r="E364" s="1098"/>
      <c r="F364" s="1136"/>
      <c r="G364" s="1099"/>
      <c r="H364" s="1098"/>
      <c r="I364" s="1099"/>
      <c r="J364" s="1140"/>
      <c r="K364" s="1140"/>
      <c r="L364" s="1143"/>
      <c r="M364" s="1098"/>
      <c r="N364" s="1099"/>
      <c r="O364" s="1099"/>
    </row>
    <row r="365" spans="2:15">
      <c r="B365" s="1129"/>
      <c r="C365" s="1098"/>
      <c r="D365" s="1099"/>
      <c r="E365" s="1098"/>
      <c r="F365" s="1136"/>
      <c r="G365" s="1099"/>
      <c r="H365" s="1098"/>
      <c r="I365" s="1099"/>
      <c r="J365" s="1140"/>
      <c r="K365" s="1140"/>
      <c r="L365" s="1143"/>
      <c r="M365" s="1098"/>
      <c r="N365" s="1099"/>
      <c r="O365" s="1099"/>
    </row>
    <row r="366" spans="2:15">
      <c r="B366" s="1129"/>
      <c r="C366" s="1098"/>
      <c r="D366" s="1099"/>
      <c r="E366" s="1098"/>
      <c r="F366" s="1136"/>
      <c r="G366" s="1099"/>
      <c r="H366" s="1098"/>
      <c r="I366" s="1099"/>
      <c r="J366" s="1140"/>
      <c r="K366" s="1140"/>
      <c r="L366" s="1143"/>
      <c r="M366" s="1098"/>
      <c r="N366" s="1099"/>
      <c r="O366" s="1099"/>
    </row>
    <row r="367" spans="2:15">
      <c r="B367" s="1129"/>
      <c r="C367" s="1098"/>
      <c r="D367" s="1099"/>
      <c r="E367" s="1098"/>
      <c r="F367" s="1136"/>
      <c r="G367" s="1099"/>
      <c r="H367" s="1098"/>
      <c r="I367" s="1099"/>
      <c r="J367" s="1140"/>
      <c r="K367" s="1140"/>
      <c r="L367" s="1143"/>
      <c r="M367" s="1098"/>
      <c r="N367" s="1099"/>
      <c r="O367" s="1099"/>
    </row>
    <row r="368" spans="2:15">
      <c r="B368" s="1129"/>
      <c r="C368" s="1098"/>
      <c r="D368" s="1099"/>
      <c r="E368" s="1098"/>
      <c r="F368" s="1136"/>
      <c r="G368" s="1099"/>
      <c r="H368" s="1098"/>
      <c r="I368" s="1099"/>
      <c r="J368" s="1140"/>
      <c r="K368" s="1140"/>
      <c r="L368" s="1143"/>
      <c r="M368" s="1098"/>
      <c r="N368" s="1099"/>
      <c r="O368" s="1099"/>
    </row>
    <row r="369" spans="2:15">
      <c r="B369" s="1129"/>
      <c r="C369" s="1098"/>
      <c r="D369" s="1099"/>
      <c r="E369" s="1098"/>
      <c r="F369" s="1136"/>
      <c r="G369" s="1099"/>
      <c r="H369" s="1098"/>
      <c r="I369" s="1099"/>
      <c r="J369" s="1140"/>
      <c r="K369" s="1140"/>
      <c r="L369" s="1143"/>
      <c r="M369" s="1098"/>
      <c r="N369" s="1099"/>
      <c r="O369" s="1099"/>
    </row>
    <row r="370" spans="2:15">
      <c r="B370" s="1129"/>
      <c r="C370" s="1098"/>
      <c r="D370" s="1099"/>
      <c r="E370" s="1098"/>
      <c r="F370" s="1136"/>
      <c r="G370" s="1099"/>
      <c r="H370" s="1098"/>
      <c r="I370" s="1099"/>
      <c r="J370" s="1140"/>
      <c r="K370" s="1140"/>
      <c r="L370" s="1143"/>
      <c r="M370" s="1098"/>
      <c r="N370" s="1099"/>
      <c r="O370" s="1099"/>
    </row>
    <row r="371" spans="2:15">
      <c r="B371" s="1129"/>
      <c r="C371" s="1098"/>
      <c r="D371" s="1099"/>
      <c r="E371" s="1098"/>
      <c r="F371" s="1136"/>
      <c r="G371" s="1099"/>
      <c r="H371" s="1098"/>
      <c r="I371" s="1099"/>
      <c r="J371" s="1140"/>
      <c r="K371" s="1140"/>
      <c r="L371" s="1143"/>
      <c r="M371" s="1098"/>
      <c r="N371" s="1099"/>
      <c r="O371" s="1099"/>
    </row>
    <row r="372" spans="2:15">
      <c r="B372" s="1129"/>
      <c r="C372" s="1098"/>
      <c r="D372" s="1099"/>
      <c r="E372" s="1098"/>
      <c r="F372" s="1136"/>
      <c r="G372" s="1099"/>
      <c r="H372" s="1098"/>
      <c r="I372" s="1099"/>
      <c r="J372" s="1140"/>
      <c r="K372" s="1140"/>
      <c r="L372" s="1143"/>
      <c r="M372" s="1098"/>
      <c r="N372" s="1099"/>
      <c r="O372" s="1099"/>
    </row>
    <row r="373" spans="2:15">
      <c r="B373" s="1129"/>
      <c r="C373" s="1098"/>
      <c r="D373" s="1099"/>
      <c r="E373" s="1098"/>
      <c r="F373" s="1136"/>
      <c r="G373" s="1099"/>
      <c r="H373" s="1098"/>
      <c r="I373" s="1099"/>
      <c r="J373" s="1140"/>
      <c r="K373" s="1140"/>
      <c r="L373" s="1143"/>
      <c r="M373" s="1098"/>
      <c r="N373" s="1099"/>
      <c r="O373" s="1099"/>
    </row>
    <row r="374" spans="2:15">
      <c r="B374" s="1129"/>
      <c r="C374" s="1098"/>
      <c r="D374" s="1099"/>
      <c r="E374" s="1098"/>
      <c r="F374" s="1136"/>
      <c r="G374" s="1099"/>
      <c r="H374" s="1098"/>
      <c r="I374" s="1099"/>
      <c r="J374" s="1140"/>
      <c r="K374" s="1140"/>
      <c r="L374" s="1143"/>
      <c r="M374" s="1098"/>
      <c r="N374" s="1099"/>
      <c r="O374" s="1099"/>
    </row>
    <row r="375" spans="2:15">
      <c r="B375" s="1129"/>
      <c r="C375" s="1098"/>
      <c r="D375" s="1099"/>
      <c r="E375" s="1098"/>
      <c r="F375" s="1136"/>
      <c r="G375" s="1099"/>
      <c r="H375" s="1098"/>
      <c r="I375" s="1099"/>
      <c r="J375" s="1140"/>
      <c r="K375" s="1140"/>
      <c r="L375" s="1143"/>
      <c r="M375" s="1098"/>
      <c r="N375" s="1099"/>
      <c r="O375" s="1099"/>
    </row>
    <row r="376" spans="2:15">
      <c r="B376" s="1129"/>
      <c r="C376" s="1098"/>
      <c r="D376" s="1099"/>
      <c r="E376" s="1098"/>
      <c r="F376" s="1136"/>
      <c r="G376" s="1099"/>
      <c r="H376" s="1098"/>
      <c r="I376" s="1099"/>
      <c r="J376" s="1140"/>
      <c r="K376" s="1140"/>
      <c r="L376" s="1143"/>
      <c r="M376" s="1098"/>
      <c r="N376" s="1099"/>
      <c r="O376" s="1099"/>
    </row>
    <row r="377" spans="2:15">
      <c r="B377" s="1129"/>
      <c r="C377" s="1098"/>
      <c r="D377" s="1099"/>
      <c r="E377" s="1098"/>
      <c r="F377" s="1136"/>
      <c r="G377" s="1099"/>
      <c r="H377" s="1098"/>
      <c r="I377" s="1099"/>
      <c r="J377" s="1140"/>
      <c r="K377" s="1140"/>
      <c r="L377" s="1143"/>
      <c r="M377" s="1098"/>
      <c r="N377" s="1099"/>
      <c r="O377" s="1099"/>
    </row>
    <row r="378" spans="2:15">
      <c r="B378" s="1129"/>
      <c r="C378" s="1098"/>
      <c r="D378" s="1099"/>
      <c r="E378" s="1098"/>
      <c r="F378" s="1136"/>
      <c r="G378" s="1099"/>
      <c r="H378" s="1098"/>
      <c r="I378" s="1099"/>
      <c r="J378" s="1140"/>
      <c r="K378" s="1140"/>
      <c r="L378" s="1143"/>
      <c r="M378" s="1098"/>
      <c r="N378" s="1099"/>
      <c r="O378" s="1099"/>
    </row>
    <row r="379" spans="2:15">
      <c r="B379" s="1129"/>
      <c r="C379" s="1098"/>
      <c r="D379" s="1099"/>
      <c r="E379" s="1098"/>
      <c r="F379" s="1136"/>
      <c r="G379" s="1099"/>
      <c r="H379" s="1098"/>
      <c r="I379" s="1099"/>
      <c r="J379" s="1140"/>
      <c r="K379" s="1140"/>
      <c r="L379" s="1143"/>
      <c r="M379" s="1098"/>
      <c r="N379" s="1099"/>
      <c r="O379" s="1099"/>
    </row>
    <row r="380" spans="2:15">
      <c r="B380" s="1129"/>
      <c r="C380" s="1098"/>
      <c r="D380" s="1099"/>
      <c r="E380" s="1098"/>
      <c r="F380" s="1136"/>
      <c r="G380" s="1099"/>
      <c r="H380" s="1098"/>
      <c r="I380" s="1099"/>
      <c r="J380" s="1140"/>
      <c r="K380" s="1140"/>
      <c r="L380" s="1143"/>
      <c r="M380" s="1098"/>
      <c r="N380" s="1099"/>
      <c r="O380" s="1099"/>
    </row>
    <row r="381" spans="2:15">
      <c r="B381" s="1129"/>
      <c r="C381" s="1098"/>
      <c r="D381" s="1099"/>
      <c r="E381" s="1098"/>
      <c r="F381" s="1136"/>
      <c r="G381" s="1099"/>
      <c r="H381" s="1098"/>
      <c r="I381" s="1099"/>
      <c r="J381" s="1140"/>
      <c r="K381" s="1140"/>
      <c r="L381" s="1143"/>
      <c r="M381" s="1098"/>
      <c r="N381" s="1099"/>
      <c r="O381" s="1099"/>
    </row>
    <row r="382" spans="2:15">
      <c r="B382" s="1129"/>
      <c r="C382" s="1098"/>
      <c r="D382" s="1099"/>
      <c r="E382" s="1098"/>
      <c r="F382" s="1136"/>
      <c r="G382" s="1099"/>
      <c r="H382" s="1098"/>
      <c r="I382" s="1099"/>
      <c r="J382" s="1140"/>
      <c r="K382" s="1140"/>
      <c r="L382" s="1143"/>
      <c r="M382" s="1098"/>
      <c r="N382" s="1099"/>
      <c r="O382" s="1099"/>
    </row>
    <row r="383" spans="2:15">
      <c r="B383" s="1129"/>
      <c r="C383" s="1098"/>
      <c r="D383" s="1099"/>
      <c r="E383" s="1098"/>
      <c r="F383" s="1136"/>
      <c r="G383" s="1099"/>
      <c r="H383" s="1098"/>
      <c r="I383" s="1099"/>
      <c r="J383" s="1140"/>
      <c r="K383" s="1140"/>
      <c r="L383" s="1143"/>
      <c r="M383" s="1098"/>
      <c r="N383" s="1099"/>
      <c r="O383" s="1099"/>
    </row>
    <row r="384" spans="2:15">
      <c r="B384" s="1129"/>
      <c r="C384" s="1098"/>
      <c r="D384" s="1099"/>
      <c r="E384" s="1098"/>
      <c r="F384" s="1136"/>
      <c r="G384" s="1099"/>
      <c r="H384" s="1098"/>
      <c r="I384" s="1099"/>
      <c r="J384" s="1140"/>
      <c r="K384" s="1140"/>
      <c r="L384" s="1143"/>
      <c r="M384" s="1098"/>
      <c r="N384" s="1099"/>
      <c r="O384" s="1099"/>
    </row>
    <row r="385" spans="2:15">
      <c r="B385" s="1129"/>
      <c r="C385" s="1098"/>
      <c r="D385" s="1099"/>
      <c r="E385" s="1098"/>
      <c r="F385" s="1136"/>
      <c r="G385" s="1099"/>
      <c r="H385" s="1098"/>
      <c r="I385" s="1099"/>
      <c r="J385" s="1140"/>
      <c r="K385" s="1140"/>
      <c r="L385" s="1143"/>
      <c r="M385" s="1098"/>
      <c r="N385" s="1099"/>
      <c r="O385" s="1099"/>
    </row>
    <row r="386" spans="2:15">
      <c r="B386" s="1129"/>
      <c r="C386" s="1098"/>
      <c r="D386" s="1099"/>
      <c r="E386" s="1098"/>
      <c r="F386" s="1136"/>
      <c r="G386" s="1099"/>
      <c r="H386" s="1098"/>
      <c r="I386" s="1099"/>
      <c r="J386" s="1140"/>
      <c r="K386" s="1140"/>
      <c r="L386" s="1143"/>
      <c r="M386" s="1098"/>
      <c r="N386" s="1099"/>
      <c r="O386" s="1099"/>
    </row>
    <row r="387" spans="2:15">
      <c r="B387" s="1129"/>
      <c r="C387" s="1098"/>
      <c r="D387" s="1099"/>
      <c r="E387" s="1098"/>
      <c r="F387" s="1136"/>
      <c r="G387" s="1099"/>
      <c r="H387" s="1098"/>
      <c r="I387" s="1099"/>
      <c r="J387" s="1140"/>
      <c r="K387" s="1140"/>
      <c r="L387" s="1143"/>
      <c r="M387" s="1098"/>
      <c r="N387" s="1099"/>
      <c r="O387" s="1099"/>
    </row>
    <row r="388" spans="2:15">
      <c r="B388" s="1129"/>
      <c r="C388" s="1098"/>
      <c r="D388" s="1099"/>
      <c r="E388" s="1098"/>
      <c r="F388" s="1136"/>
      <c r="G388" s="1099"/>
      <c r="H388" s="1098"/>
      <c r="I388" s="1099"/>
      <c r="J388" s="1140"/>
      <c r="K388" s="1140"/>
      <c r="L388" s="1143"/>
      <c r="M388" s="1098"/>
      <c r="N388" s="1099"/>
      <c r="O388" s="1099"/>
    </row>
    <row r="389" spans="2:15">
      <c r="B389" s="1129"/>
      <c r="C389" s="1098"/>
      <c r="D389" s="1099"/>
      <c r="E389" s="1098"/>
      <c r="F389" s="1136"/>
      <c r="G389" s="1099"/>
      <c r="H389" s="1098"/>
      <c r="I389" s="1099"/>
      <c r="J389" s="1140"/>
      <c r="K389" s="1140"/>
      <c r="L389" s="1143"/>
      <c r="M389" s="1098"/>
      <c r="N389" s="1099"/>
      <c r="O389" s="1099"/>
    </row>
    <row r="390" spans="2:15">
      <c r="B390" s="1129"/>
      <c r="C390" s="1098"/>
      <c r="D390" s="1099"/>
      <c r="E390" s="1098"/>
      <c r="F390" s="1136"/>
      <c r="G390" s="1099"/>
      <c r="H390" s="1098"/>
      <c r="I390" s="1099"/>
      <c r="J390" s="1140"/>
      <c r="K390" s="1140"/>
      <c r="L390" s="1143"/>
      <c r="M390" s="1098"/>
      <c r="N390" s="1099"/>
      <c r="O390" s="1099"/>
    </row>
    <row r="391" spans="2:15">
      <c r="B391" s="1129"/>
      <c r="C391" s="1098"/>
      <c r="D391" s="1099"/>
      <c r="E391" s="1098"/>
      <c r="F391" s="1136"/>
      <c r="G391" s="1099"/>
      <c r="H391" s="1098"/>
      <c r="I391" s="1099"/>
      <c r="J391" s="1140"/>
      <c r="K391" s="1140"/>
      <c r="L391" s="1143"/>
      <c r="M391" s="1098"/>
      <c r="N391" s="1099"/>
      <c r="O391" s="1099"/>
    </row>
    <row r="392" spans="2:15">
      <c r="B392" s="1129"/>
      <c r="C392" s="1098"/>
      <c r="D392" s="1099"/>
      <c r="E392" s="1098"/>
      <c r="F392" s="1136"/>
      <c r="G392" s="1099"/>
      <c r="H392" s="1098"/>
      <c r="I392" s="1099"/>
      <c r="J392" s="1140"/>
      <c r="K392" s="1140"/>
      <c r="L392" s="1143"/>
      <c r="M392" s="1098"/>
      <c r="N392" s="1099"/>
      <c r="O392" s="1099"/>
    </row>
    <row r="393" spans="2:15">
      <c r="B393" s="1129"/>
      <c r="C393" s="1098"/>
      <c r="D393" s="1099"/>
      <c r="E393" s="1098"/>
      <c r="F393" s="1136"/>
      <c r="G393" s="1099"/>
      <c r="H393" s="1098"/>
      <c r="I393" s="1099"/>
      <c r="J393" s="1140"/>
      <c r="K393" s="1140"/>
      <c r="L393" s="1143"/>
      <c r="M393" s="1098"/>
      <c r="N393" s="1099"/>
      <c r="O393" s="1099"/>
    </row>
    <row r="394" spans="2:15">
      <c r="B394" s="1129"/>
      <c r="C394" s="1098"/>
      <c r="D394" s="1099"/>
      <c r="E394" s="1098"/>
      <c r="F394" s="1136"/>
      <c r="G394" s="1099"/>
      <c r="H394" s="1098"/>
      <c r="I394" s="1099"/>
      <c r="J394" s="1140"/>
      <c r="K394" s="1140"/>
      <c r="L394" s="1143"/>
      <c r="M394" s="1098"/>
      <c r="N394" s="1099"/>
      <c r="O394" s="1099"/>
    </row>
    <row r="395" spans="2:15">
      <c r="B395" s="1129"/>
      <c r="C395" s="1098"/>
      <c r="D395" s="1099"/>
      <c r="E395" s="1098"/>
      <c r="F395" s="1136"/>
      <c r="G395" s="1099"/>
      <c r="H395" s="1098"/>
      <c r="I395" s="1099"/>
      <c r="J395" s="1140"/>
      <c r="K395" s="1140"/>
      <c r="L395" s="1143"/>
      <c r="M395" s="1098"/>
      <c r="N395" s="1099"/>
      <c r="O395" s="1099"/>
    </row>
    <row r="396" spans="2:15">
      <c r="B396" s="1129"/>
      <c r="C396" s="1098"/>
      <c r="D396" s="1099"/>
      <c r="E396" s="1098"/>
      <c r="F396" s="1136"/>
      <c r="G396" s="1099"/>
      <c r="H396" s="1098"/>
      <c r="I396" s="1099"/>
      <c r="J396" s="1140"/>
      <c r="K396" s="1140"/>
      <c r="L396" s="1143"/>
      <c r="M396" s="1098"/>
      <c r="N396" s="1099"/>
      <c r="O396" s="1099"/>
    </row>
    <row r="397" spans="2:15">
      <c r="B397" s="1129"/>
      <c r="C397" s="1098"/>
      <c r="D397" s="1099"/>
      <c r="E397" s="1098"/>
      <c r="F397" s="1136"/>
      <c r="G397" s="1099"/>
      <c r="H397" s="1098"/>
      <c r="I397" s="1099"/>
      <c r="J397" s="1140"/>
      <c r="K397" s="1140"/>
      <c r="L397" s="1143"/>
      <c r="M397" s="1098"/>
      <c r="N397" s="1099"/>
      <c r="O397" s="1099"/>
    </row>
    <row r="398" spans="2:15">
      <c r="B398" s="1129"/>
      <c r="C398" s="1098"/>
      <c r="D398" s="1099"/>
      <c r="E398" s="1098"/>
      <c r="F398" s="1136"/>
      <c r="G398" s="1099"/>
      <c r="H398" s="1098"/>
      <c r="I398" s="1099"/>
      <c r="J398" s="1140"/>
      <c r="K398" s="1140"/>
      <c r="L398" s="1143"/>
      <c r="M398" s="1098"/>
      <c r="N398" s="1099"/>
      <c r="O398" s="1099"/>
    </row>
    <row r="399" spans="2:15">
      <c r="B399" s="1129"/>
      <c r="C399" s="1098"/>
      <c r="D399" s="1099"/>
      <c r="E399" s="1098"/>
      <c r="F399" s="1136"/>
      <c r="G399" s="1099"/>
      <c r="H399" s="1098"/>
      <c r="I399" s="1099"/>
      <c r="J399" s="1140"/>
      <c r="K399" s="1140"/>
      <c r="L399" s="1143"/>
      <c r="M399" s="1098"/>
      <c r="N399" s="1099"/>
      <c r="O399" s="1099"/>
    </row>
    <row r="400" spans="2:15">
      <c r="B400" s="1129"/>
      <c r="C400" s="1098"/>
      <c r="D400" s="1099"/>
      <c r="E400" s="1098"/>
      <c r="F400" s="1136"/>
      <c r="G400" s="1099"/>
      <c r="H400" s="1098"/>
      <c r="I400" s="1099"/>
      <c r="J400" s="1140"/>
      <c r="K400" s="1140"/>
      <c r="L400" s="1143"/>
      <c r="M400" s="1098"/>
      <c r="N400" s="1099"/>
      <c r="O400" s="1099"/>
    </row>
    <row r="401" spans="2:15">
      <c r="B401" s="1129"/>
      <c r="C401" s="1098"/>
      <c r="D401" s="1099"/>
      <c r="E401" s="1098"/>
      <c r="F401" s="1136"/>
      <c r="G401" s="1099"/>
      <c r="H401" s="1098"/>
      <c r="I401" s="1099"/>
      <c r="J401" s="1140"/>
      <c r="K401" s="1140"/>
      <c r="L401" s="1143"/>
      <c r="M401" s="1098"/>
      <c r="N401" s="1099"/>
      <c r="O401" s="1099"/>
    </row>
    <row r="402" spans="2:15">
      <c r="B402" s="1129"/>
      <c r="C402" s="1098"/>
      <c r="D402" s="1099"/>
      <c r="E402" s="1098"/>
      <c r="F402" s="1136"/>
      <c r="G402" s="1099"/>
      <c r="H402" s="1098"/>
      <c r="I402" s="1099"/>
      <c r="J402" s="1140"/>
      <c r="K402" s="1140"/>
      <c r="L402" s="1143"/>
      <c r="M402" s="1098"/>
      <c r="N402" s="1099"/>
      <c r="O402" s="1099"/>
    </row>
    <row r="403" spans="2:15">
      <c r="B403" s="1129"/>
      <c r="C403" s="1098"/>
      <c r="D403" s="1099"/>
      <c r="E403" s="1098"/>
      <c r="F403" s="1136"/>
      <c r="G403" s="1099"/>
      <c r="H403" s="1098"/>
      <c r="I403" s="1099"/>
      <c r="J403" s="1140"/>
      <c r="K403" s="1140"/>
      <c r="L403" s="1143"/>
      <c r="M403" s="1098"/>
      <c r="N403" s="1099"/>
      <c r="O403" s="1099"/>
    </row>
    <row r="404" spans="2:15">
      <c r="B404" s="1129"/>
      <c r="C404" s="1098"/>
      <c r="D404" s="1099"/>
      <c r="E404" s="1098"/>
      <c r="F404" s="1136"/>
      <c r="G404" s="1099"/>
      <c r="H404" s="1098"/>
      <c r="I404" s="1099"/>
      <c r="J404" s="1140"/>
      <c r="K404" s="1140"/>
      <c r="L404" s="1143"/>
      <c r="M404" s="1098"/>
      <c r="N404" s="1099"/>
      <c r="O404" s="1099"/>
    </row>
    <row r="405" spans="2:15">
      <c r="B405" s="1129"/>
      <c r="C405" s="1098"/>
      <c r="D405" s="1099"/>
      <c r="E405" s="1098"/>
      <c r="F405" s="1136"/>
      <c r="G405" s="1099"/>
      <c r="H405" s="1098"/>
      <c r="I405" s="1099"/>
      <c r="J405" s="1140"/>
      <c r="K405" s="1140"/>
      <c r="L405" s="1143"/>
      <c r="M405" s="1098"/>
      <c r="N405" s="1099"/>
      <c r="O405" s="1099"/>
    </row>
    <row r="406" spans="2:15">
      <c r="B406" s="1129"/>
      <c r="C406" s="1098"/>
      <c r="D406" s="1099"/>
      <c r="E406" s="1098"/>
      <c r="F406" s="1136"/>
      <c r="G406" s="1099"/>
      <c r="H406" s="1098"/>
      <c r="I406" s="1099"/>
      <c r="J406" s="1140"/>
      <c r="K406" s="1140"/>
      <c r="L406" s="1143"/>
      <c r="M406" s="1098"/>
      <c r="N406" s="1099"/>
      <c r="O406" s="1099"/>
    </row>
    <row r="407" spans="2:15">
      <c r="B407" s="1129"/>
      <c r="C407" s="1098"/>
      <c r="D407" s="1099"/>
      <c r="E407" s="1098"/>
      <c r="F407" s="1136"/>
      <c r="G407" s="1099"/>
      <c r="H407" s="1098"/>
      <c r="I407" s="1099"/>
      <c r="J407" s="1140"/>
      <c r="K407" s="1140"/>
      <c r="L407" s="1143"/>
      <c r="M407" s="1098"/>
      <c r="N407" s="1099"/>
      <c r="O407" s="1099"/>
    </row>
    <row r="408" spans="2:15">
      <c r="B408" s="1129"/>
      <c r="C408" s="1098"/>
      <c r="D408" s="1099"/>
      <c r="E408" s="1098"/>
      <c r="F408" s="1136"/>
      <c r="G408" s="1099"/>
      <c r="H408" s="1098"/>
      <c r="I408" s="1099"/>
      <c r="J408" s="1140"/>
      <c r="K408" s="1140"/>
      <c r="L408" s="1143"/>
      <c r="M408" s="1098"/>
      <c r="N408" s="1099"/>
      <c r="O408" s="1099"/>
    </row>
    <row r="409" spans="2:15">
      <c r="B409" s="1129"/>
      <c r="C409" s="1098"/>
      <c r="D409" s="1099"/>
      <c r="E409" s="1098"/>
      <c r="F409" s="1136"/>
      <c r="G409" s="1099"/>
      <c r="H409" s="1098"/>
      <c r="I409" s="1099"/>
      <c r="J409" s="1140"/>
      <c r="K409" s="1140"/>
      <c r="L409" s="1143"/>
      <c r="M409" s="1098"/>
      <c r="N409" s="1099"/>
      <c r="O409" s="1099"/>
    </row>
    <row r="410" spans="2:15">
      <c r="B410" s="1129"/>
      <c r="C410" s="1098"/>
      <c r="D410" s="1099"/>
      <c r="E410" s="1098"/>
      <c r="F410" s="1136"/>
      <c r="G410" s="1099"/>
      <c r="H410" s="1098"/>
      <c r="I410" s="1099"/>
      <c r="J410" s="1140"/>
      <c r="K410" s="1140"/>
      <c r="L410" s="1143"/>
      <c r="M410" s="1098"/>
      <c r="N410" s="1099"/>
      <c r="O410" s="1099"/>
    </row>
    <row r="411" spans="2:15">
      <c r="B411" s="1129"/>
      <c r="C411" s="1098"/>
      <c r="D411" s="1099"/>
      <c r="E411" s="1098"/>
      <c r="F411" s="1136"/>
      <c r="G411" s="1099"/>
      <c r="H411" s="1098"/>
      <c r="I411" s="1099"/>
      <c r="J411" s="1140"/>
      <c r="K411" s="1140"/>
      <c r="L411" s="1143"/>
      <c r="M411" s="1098"/>
      <c r="N411" s="1099"/>
      <c r="O411" s="1099"/>
    </row>
    <row r="412" spans="2:15">
      <c r="B412" s="1129"/>
      <c r="C412" s="1098"/>
      <c r="D412" s="1099"/>
      <c r="E412" s="1098"/>
      <c r="F412" s="1136"/>
      <c r="G412" s="1099"/>
      <c r="H412" s="1098"/>
      <c r="I412" s="1099"/>
      <c r="J412" s="1140"/>
      <c r="K412" s="1140"/>
      <c r="L412" s="1143"/>
      <c r="M412" s="1098"/>
      <c r="N412" s="1099"/>
      <c r="O412" s="1099"/>
    </row>
    <row r="413" spans="2:15">
      <c r="B413" s="1129"/>
      <c r="C413" s="1098"/>
      <c r="D413" s="1099"/>
      <c r="E413" s="1098"/>
      <c r="F413" s="1136"/>
      <c r="G413" s="1099"/>
      <c r="H413" s="1098"/>
      <c r="I413" s="1099"/>
      <c r="J413" s="1140"/>
      <c r="K413" s="1140"/>
      <c r="L413" s="1143"/>
      <c r="M413" s="1098"/>
      <c r="N413" s="1099"/>
      <c r="O413" s="1099"/>
    </row>
    <row r="414" spans="2:15">
      <c r="B414" s="1129"/>
      <c r="C414" s="1098"/>
      <c r="D414" s="1099"/>
      <c r="E414" s="1098"/>
      <c r="F414" s="1136"/>
      <c r="G414" s="1099"/>
      <c r="H414" s="1098"/>
      <c r="I414" s="1099"/>
      <c r="J414" s="1140"/>
      <c r="K414" s="1140"/>
      <c r="L414" s="1143"/>
      <c r="M414" s="1098"/>
      <c r="N414" s="1099"/>
      <c r="O414" s="1099"/>
    </row>
    <row r="415" spans="2:15">
      <c r="B415" s="1129"/>
      <c r="C415" s="1098"/>
      <c r="D415" s="1099"/>
      <c r="E415" s="1098"/>
      <c r="F415" s="1136"/>
      <c r="G415" s="1099"/>
      <c r="H415" s="1098"/>
      <c r="I415" s="1099"/>
      <c r="J415" s="1140"/>
      <c r="K415" s="1140"/>
      <c r="L415" s="1143"/>
      <c r="M415" s="1098"/>
      <c r="N415" s="1099"/>
      <c r="O415" s="1099"/>
    </row>
    <row r="416" spans="2:15">
      <c r="B416" s="1129"/>
      <c r="C416" s="1098"/>
      <c r="D416" s="1099"/>
      <c r="E416" s="1098"/>
      <c r="F416" s="1136"/>
      <c r="G416" s="1099"/>
      <c r="H416" s="1098"/>
      <c r="I416" s="1099"/>
      <c r="J416" s="1140"/>
      <c r="K416" s="1140"/>
      <c r="L416" s="1143"/>
      <c r="M416" s="1098"/>
      <c r="N416" s="1099"/>
      <c r="O416" s="1099"/>
    </row>
    <row r="417" spans="2:15">
      <c r="B417" s="1129"/>
      <c r="C417" s="1098"/>
      <c r="D417" s="1099"/>
      <c r="E417" s="1098"/>
      <c r="F417" s="1136"/>
      <c r="G417" s="1099"/>
      <c r="H417" s="1098"/>
      <c r="I417" s="1099"/>
      <c r="J417" s="1140"/>
      <c r="K417" s="1140"/>
      <c r="L417" s="1143"/>
      <c r="M417" s="1098"/>
      <c r="N417" s="1099"/>
      <c r="O417" s="1099"/>
    </row>
    <row r="418" spans="2:15">
      <c r="B418" s="1129"/>
      <c r="C418" s="1098"/>
      <c r="D418" s="1099"/>
      <c r="E418" s="1098"/>
      <c r="F418" s="1136"/>
      <c r="G418" s="1099"/>
      <c r="H418" s="1098"/>
      <c r="I418" s="1099"/>
      <c r="J418" s="1140"/>
      <c r="K418" s="1140"/>
      <c r="L418" s="1143"/>
      <c r="M418" s="1098"/>
      <c r="N418" s="1099"/>
      <c r="O418" s="1099"/>
    </row>
    <row r="419" spans="2:15">
      <c r="B419" s="1129"/>
      <c r="C419" s="1098"/>
      <c r="D419" s="1099"/>
      <c r="E419" s="1098"/>
      <c r="F419" s="1136"/>
      <c r="G419" s="1099"/>
      <c r="H419" s="1098"/>
      <c r="I419" s="1099"/>
      <c r="J419" s="1140"/>
      <c r="K419" s="1140"/>
      <c r="L419" s="1143"/>
      <c r="M419" s="1098"/>
      <c r="N419" s="1099"/>
      <c r="O419" s="1099"/>
    </row>
    <row r="420" spans="2:15">
      <c r="B420" s="1129"/>
      <c r="C420" s="1098"/>
      <c r="D420" s="1099"/>
      <c r="E420" s="1098"/>
      <c r="F420" s="1136"/>
      <c r="G420" s="1099"/>
      <c r="H420" s="1098"/>
      <c r="I420" s="1099"/>
      <c r="J420" s="1140"/>
      <c r="K420" s="1140"/>
      <c r="L420" s="1143"/>
      <c r="M420" s="1098"/>
      <c r="N420" s="1099"/>
      <c r="O420" s="1099"/>
    </row>
    <row r="421" spans="2:15">
      <c r="B421" s="1129"/>
      <c r="C421" s="1098"/>
      <c r="D421" s="1099"/>
      <c r="E421" s="1098"/>
      <c r="F421" s="1136"/>
      <c r="G421" s="1099"/>
      <c r="H421" s="1098"/>
      <c r="I421" s="1099"/>
      <c r="J421" s="1140"/>
      <c r="K421" s="1140"/>
      <c r="L421" s="1143"/>
      <c r="M421" s="1098"/>
      <c r="N421" s="1099"/>
      <c r="O421" s="1099"/>
    </row>
    <row r="422" spans="2:15">
      <c r="B422" s="1129"/>
      <c r="C422" s="1098"/>
      <c r="D422" s="1099"/>
      <c r="E422" s="1098"/>
      <c r="F422" s="1136"/>
      <c r="G422" s="1099"/>
      <c r="H422" s="1098"/>
      <c r="I422" s="1099"/>
      <c r="J422" s="1140"/>
      <c r="K422" s="1140"/>
      <c r="L422" s="1143"/>
      <c r="M422" s="1098"/>
      <c r="N422" s="1099"/>
      <c r="O422" s="1099"/>
    </row>
    <row r="423" spans="2:15">
      <c r="B423" s="1129"/>
      <c r="C423" s="1098"/>
      <c r="D423" s="1099"/>
      <c r="E423" s="1098"/>
      <c r="F423" s="1136"/>
      <c r="G423" s="1099"/>
      <c r="H423" s="1098"/>
      <c r="I423" s="1099"/>
      <c r="J423" s="1140"/>
      <c r="K423" s="1140"/>
      <c r="L423" s="1143"/>
      <c r="M423" s="1098"/>
      <c r="N423" s="1099"/>
      <c r="O423" s="1099"/>
    </row>
    <row r="424" spans="2:15">
      <c r="B424" s="1129"/>
      <c r="C424" s="1098"/>
      <c r="D424" s="1099"/>
      <c r="E424" s="1098"/>
      <c r="F424" s="1136"/>
      <c r="G424" s="1099"/>
      <c r="H424" s="1098"/>
      <c r="I424" s="1099"/>
      <c r="J424" s="1140"/>
      <c r="K424" s="1140"/>
      <c r="L424" s="1143"/>
      <c r="M424" s="1098"/>
      <c r="N424" s="1099"/>
      <c r="O424" s="1099"/>
    </row>
    <row r="425" spans="2:15">
      <c r="B425" s="1129"/>
      <c r="C425" s="1098"/>
      <c r="D425" s="1099"/>
      <c r="E425" s="1098"/>
      <c r="F425" s="1136"/>
      <c r="G425" s="1099"/>
      <c r="H425" s="1098"/>
      <c r="I425" s="1099"/>
      <c r="J425" s="1140"/>
      <c r="K425" s="1140"/>
      <c r="L425" s="1143"/>
      <c r="M425" s="1098"/>
      <c r="N425" s="1099"/>
      <c r="O425" s="1099"/>
    </row>
    <row r="426" spans="2:15">
      <c r="B426" s="1129"/>
      <c r="C426" s="1098"/>
      <c r="D426" s="1099"/>
      <c r="E426" s="1098"/>
      <c r="F426" s="1136"/>
      <c r="G426" s="1099"/>
      <c r="H426" s="1098"/>
      <c r="I426" s="1099"/>
      <c r="J426" s="1140"/>
      <c r="K426" s="1140"/>
      <c r="L426" s="1143"/>
      <c r="M426" s="1098"/>
      <c r="N426" s="1099"/>
      <c r="O426" s="1099"/>
    </row>
    <row r="427" spans="2:15">
      <c r="B427" s="1129"/>
      <c r="C427" s="1098"/>
      <c r="D427" s="1099"/>
      <c r="E427" s="1098"/>
      <c r="F427" s="1136"/>
      <c r="G427" s="1099"/>
      <c r="H427" s="1098"/>
      <c r="I427" s="1099"/>
      <c r="J427" s="1140"/>
      <c r="K427" s="1140"/>
      <c r="L427" s="1143"/>
      <c r="M427" s="1098"/>
      <c r="N427" s="1099"/>
      <c r="O427" s="1099"/>
    </row>
    <row r="428" spans="2:15">
      <c r="B428" s="1129"/>
      <c r="C428" s="1098"/>
      <c r="D428" s="1099"/>
      <c r="E428" s="1098"/>
      <c r="F428" s="1136"/>
      <c r="G428" s="1099"/>
      <c r="H428" s="1098"/>
      <c r="I428" s="1099"/>
      <c r="J428" s="1140"/>
      <c r="K428" s="1140"/>
      <c r="L428" s="1143"/>
      <c r="M428" s="1098"/>
      <c r="N428" s="1099"/>
      <c r="O428" s="1099"/>
    </row>
    <row r="429" spans="2:15">
      <c r="B429" s="1129"/>
      <c r="C429" s="1098"/>
      <c r="D429" s="1099"/>
      <c r="E429" s="1098"/>
      <c r="F429" s="1136"/>
      <c r="G429" s="1099"/>
      <c r="H429" s="1098"/>
      <c r="I429" s="1099"/>
      <c r="J429" s="1140"/>
      <c r="K429" s="1140"/>
      <c r="L429" s="1143"/>
      <c r="M429" s="1098"/>
      <c r="N429" s="1099"/>
      <c r="O429" s="1099"/>
    </row>
    <row r="430" spans="2:15">
      <c r="B430" s="1129"/>
      <c r="C430" s="1098"/>
      <c r="D430" s="1099"/>
      <c r="E430" s="1098"/>
      <c r="F430" s="1136"/>
      <c r="G430" s="1099"/>
      <c r="H430" s="1098"/>
      <c r="I430" s="1099"/>
      <c r="J430" s="1140"/>
      <c r="K430" s="1140"/>
      <c r="L430" s="1143"/>
      <c r="M430" s="1098"/>
      <c r="N430" s="1099"/>
      <c r="O430" s="1099"/>
    </row>
    <row r="431" spans="2:15">
      <c r="B431" s="1129"/>
      <c r="C431" s="1098"/>
      <c r="D431" s="1099"/>
      <c r="E431" s="1098"/>
      <c r="F431" s="1136"/>
      <c r="G431" s="1099"/>
      <c r="H431" s="1098"/>
      <c r="I431" s="1099"/>
      <c r="J431" s="1140"/>
      <c r="K431" s="1140"/>
      <c r="L431" s="1143"/>
      <c r="M431" s="1098"/>
      <c r="N431" s="1099"/>
      <c r="O431" s="1099"/>
    </row>
    <row r="432" spans="2:15">
      <c r="B432" s="1129"/>
      <c r="C432" s="1098"/>
      <c r="D432" s="1099"/>
      <c r="E432" s="1098"/>
      <c r="F432" s="1136"/>
      <c r="G432" s="1099"/>
      <c r="H432" s="1098"/>
      <c r="I432" s="1099"/>
      <c r="J432" s="1140"/>
      <c r="K432" s="1140"/>
      <c r="L432" s="1143"/>
      <c r="M432" s="1098"/>
      <c r="N432" s="1099"/>
      <c r="O432" s="1099"/>
    </row>
    <row r="433" spans="2:15">
      <c r="B433" s="1129"/>
      <c r="C433" s="1098"/>
      <c r="D433" s="1099"/>
      <c r="E433" s="1098"/>
      <c r="F433" s="1136"/>
      <c r="G433" s="1099"/>
      <c r="H433" s="1098"/>
      <c r="I433" s="1099"/>
      <c r="J433" s="1140"/>
      <c r="K433" s="1140"/>
      <c r="L433" s="1143"/>
      <c r="M433" s="1098"/>
      <c r="N433" s="1099"/>
      <c r="O433" s="1099"/>
    </row>
    <row r="434" spans="2:15">
      <c r="B434" s="1129"/>
      <c r="C434" s="1098"/>
      <c r="D434" s="1099"/>
      <c r="E434" s="1098"/>
      <c r="F434" s="1136"/>
      <c r="G434" s="1099"/>
      <c r="H434" s="1098"/>
      <c r="I434" s="1099"/>
      <c r="J434" s="1140"/>
      <c r="K434" s="1140"/>
      <c r="L434" s="1143"/>
      <c r="M434" s="1098"/>
      <c r="N434" s="1099"/>
      <c r="O434" s="1099"/>
    </row>
    <row r="435" spans="2:15">
      <c r="B435" s="1129"/>
      <c r="C435" s="1098"/>
      <c r="D435" s="1099"/>
      <c r="E435" s="1098"/>
      <c r="F435" s="1136"/>
      <c r="G435" s="1099"/>
      <c r="H435" s="1098"/>
      <c r="I435" s="1099"/>
      <c r="J435" s="1140"/>
      <c r="K435" s="1140"/>
      <c r="L435" s="1143"/>
      <c r="M435" s="1098"/>
      <c r="N435" s="1099"/>
      <c r="O435" s="1099"/>
    </row>
    <row r="436" spans="2:15">
      <c r="B436" s="1129"/>
      <c r="C436" s="1098"/>
      <c r="D436" s="1099"/>
      <c r="E436" s="1098"/>
      <c r="F436" s="1136"/>
      <c r="G436" s="1099"/>
      <c r="H436" s="1098"/>
      <c r="I436" s="1099"/>
      <c r="J436" s="1140"/>
      <c r="K436" s="1140"/>
      <c r="L436" s="1143"/>
      <c r="M436" s="1098"/>
      <c r="N436" s="1099"/>
      <c r="O436" s="1099"/>
    </row>
    <row r="437" spans="2:15">
      <c r="B437" s="1129"/>
      <c r="C437" s="1098"/>
      <c r="D437" s="1099"/>
      <c r="E437" s="1098"/>
      <c r="F437" s="1136"/>
      <c r="G437" s="1099"/>
      <c r="H437" s="1098"/>
      <c r="I437" s="1099"/>
      <c r="J437" s="1140"/>
      <c r="K437" s="1140"/>
      <c r="L437" s="1143"/>
      <c r="M437" s="1098"/>
      <c r="N437" s="1099"/>
      <c r="O437" s="1099"/>
    </row>
    <row r="438" spans="2:15">
      <c r="B438" s="1129"/>
      <c r="C438" s="1098"/>
      <c r="D438" s="1099"/>
      <c r="E438" s="1098"/>
      <c r="F438" s="1136"/>
      <c r="G438" s="1099"/>
      <c r="H438" s="1098"/>
      <c r="I438" s="1099"/>
      <c r="J438" s="1140"/>
      <c r="K438" s="1140"/>
      <c r="L438" s="1143"/>
      <c r="M438" s="1098"/>
      <c r="N438" s="1099"/>
      <c r="O438" s="1099"/>
    </row>
    <row r="439" spans="2:15">
      <c r="B439" s="1129"/>
      <c r="C439" s="1098"/>
      <c r="D439" s="1099"/>
      <c r="E439" s="1098"/>
      <c r="F439" s="1136"/>
      <c r="G439" s="1099"/>
      <c r="H439" s="1098"/>
      <c r="I439" s="1099"/>
      <c r="J439" s="1140"/>
      <c r="K439" s="1140"/>
      <c r="L439" s="1143"/>
      <c r="M439" s="1098"/>
      <c r="N439" s="1099"/>
      <c r="O439" s="1099"/>
    </row>
    <row r="440" spans="2:15">
      <c r="B440" s="1129"/>
      <c r="C440" s="1098"/>
      <c r="D440" s="1099"/>
      <c r="E440" s="1098"/>
      <c r="F440" s="1136"/>
      <c r="G440" s="1099"/>
      <c r="H440" s="1098"/>
      <c r="I440" s="1099"/>
      <c r="J440" s="1140"/>
      <c r="K440" s="1140"/>
      <c r="L440" s="1143"/>
      <c r="M440" s="1098"/>
      <c r="N440" s="1099"/>
      <c r="O440" s="1099"/>
    </row>
    <row r="441" spans="2:15">
      <c r="B441" s="1129"/>
      <c r="C441" s="1098"/>
      <c r="D441" s="1099"/>
      <c r="E441" s="1098"/>
      <c r="F441" s="1136"/>
      <c r="G441" s="1099"/>
      <c r="H441" s="1098"/>
      <c r="I441" s="1099"/>
      <c r="J441" s="1140"/>
      <c r="K441" s="1140"/>
      <c r="L441" s="1143"/>
      <c r="M441" s="1098"/>
      <c r="N441" s="1099"/>
      <c r="O441" s="1099"/>
    </row>
    <row r="442" spans="2:15">
      <c r="B442" s="1129"/>
      <c r="C442" s="1098"/>
      <c r="D442" s="1099"/>
      <c r="E442" s="1098"/>
      <c r="F442" s="1136"/>
      <c r="G442" s="1099"/>
      <c r="H442" s="1098"/>
      <c r="I442" s="1099"/>
      <c r="J442" s="1140"/>
      <c r="K442" s="1140"/>
      <c r="L442" s="1143"/>
      <c r="M442" s="1098"/>
      <c r="N442" s="1099"/>
      <c r="O442" s="1099"/>
    </row>
    <row r="443" spans="2:15">
      <c r="B443" s="1129"/>
      <c r="C443" s="1098"/>
      <c r="D443" s="1099"/>
      <c r="E443" s="1098"/>
      <c r="F443" s="1136"/>
      <c r="G443" s="1099"/>
      <c r="H443" s="1098"/>
      <c r="I443" s="1099"/>
      <c r="J443" s="1140"/>
      <c r="K443" s="1140"/>
      <c r="L443" s="1143"/>
      <c r="M443" s="1098"/>
      <c r="N443" s="1099"/>
      <c r="O443" s="1099"/>
    </row>
    <row r="444" spans="2:15">
      <c r="B444" s="1129"/>
      <c r="C444" s="1098"/>
      <c r="D444" s="1099"/>
      <c r="E444" s="1098"/>
      <c r="F444" s="1136"/>
      <c r="G444" s="1099"/>
      <c r="H444" s="1098"/>
      <c r="I444" s="1099"/>
      <c r="J444" s="1140"/>
      <c r="K444" s="1140"/>
      <c r="L444" s="1143"/>
      <c r="M444" s="1098"/>
      <c r="N444" s="1099"/>
      <c r="O444" s="1099"/>
    </row>
    <row r="445" spans="2:15">
      <c r="B445" s="1129"/>
      <c r="C445" s="1098"/>
      <c r="D445" s="1099"/>
      <c r="E445" s="1098"/>
      <c r="F445" s="1136"/>
      <c r="G445" s="1099"/>
      <c r="H445" s="1098"/>
      <c r="I445" s="1099"/>
      <c r="J445" s="1140"/>
      <c r="K445" s="1140"/>
      <c r="L445" s="1143"/>
      <c r="M445" s="1098"/>
      <c r="N445" s="1099"/>
      <c r="O445" s="1099"/>
    </row>
    <row r="446" spans="2:15">
      <c r="B446" s="1129"/>
      <c r="C446" s="1098"/>
      <c r="D446" s="1099"/>
      <c r="E446" s="1098"/>
      <c r="F446" s="1136"/>
      <c r="G446" s="1099"/>
      <c r="H446" s="1098"/>
      <c r="I446" s="1099"/>
      <c r="J446" s="1140"/>
      <c r="K446" s="1140"/>
      <c r="L446" s="1143"/>
      <c r="M446" s="1098"/>
      <c r="N446" s="1099"/>
      <c r="O446" s="1099"/>
    </row>
    <row r="447" spans="2:15">
      <c r="B447" s="1129"/>
      <c r="C447" s="1098"/>
      <c r="D447" s="1099"/>
      <c r="E447" s="1098"/>
      <c r="F447" s="1136"/>
      <c r="G447" s="1099"/>
      <c r="H447" s="1098"/>
      <c r="I447" s="1099"/>
      <c r="J447" s="1140"/>
      <c r="K447" s="1140"/>
      <c r="L447" s="1143"/>
      <c r="M447" s="1098"/>
      <c r="N447" s="1099"/>
      <c r="O447" s="1099"/>
    </row>
    <row r="448" spans="2:15">
      <c r="B448" s="1129"/>
      <c r="C448" s="1098"/>
      <c r="D448" s="1099"/>
      <c r="E448" s="1098"/>
      <c r="F448" s="1136"/>
      <c r="G448" s="1099"/>
      <c r="H448" s="1098"/>
      <c r="I448" s="1099"/>
      <c r="J448" s="1140"/>
      <c r="K448" s="1140"/>
      <c r="L448" s="1143"/>
      <c r="M448" s="1098"/>
      <c r="N448" s="1099"/>
      <c r="O448" s="1099"/>
    </row>
    <row r="449" spans="2:15">
      <c r="B449" s="1129"/>
      <c r="C449" s="1098"/>
      <c r="D449" s="1099"/>
      <c r="E449" s="1098"/>
      <c r="F449" s="1136"/>
      <c r="G449" s="1099"/>
      <c r="H449" s="1098"/>
      <c r="I449" s="1099"/>
      <c r="J449" s="1140"/>
      <c r="K449" s="1140"/>
      <c r="L449" s="1143"/>
      <c r="M449" s="1098"/>
      <c r="N449" s="1099"/>
      <c r="O449" s="1099"/>
    </row>
    <row r="450" spans="2:15">
      <c r="B450" s="1129"/>
      <c r="C450" s="1098"/>
      <c r="D450" s="1099"/>
      <c r="E450" s="1098"/>
      <c r="F450" s="1136"/>
      <c r="G450" s="1099"/>
      <c r="H450" s="1098"/>
      <c r="I450" s="1099"/>
      <c r="J450" s="1140"/>
      <c r="K450" s="1140"/>
      <c r="L450" s="1143"/>
      <c r="M450" s="1098"/>
      <c r="N450" s="1099"/>
      <c r="O450" s="1099"/>
    </row>
    <row r="451" spans="2:15">
      <c r="B451" s="1129"/>
      <c r="C451" s="1098"/>
      <c r="D451" s="1099"/>
      <c r="E451" s="1098"/>
      <c r="F451" s="1136"/>
      <c r="G451" s="1099"/>
      <c r="H451" s="1098"/>
      <c r="I451" s="1099"/>
      <c r="J451" s="1140"/>
      <c r="K451" s="1140"/>
      <c r="L451" s="1143"/>
      <c r="M451" s="1098"/>
      <c r="N451" s="1099"/>
      <c r="O451" s="1099"/>
    </row>
    <row r="452" spans="2:15">
      <c r="B452" s="1129"/>
      <c r="C452" s="1098"/>
      <c r="D452" s="1099"/>
      <c r="E452" s="1098"/>
      <c r="F452" s="1136"/>
      <c r="G452" s="1099"/>
      <c r="H452" s="1098"/>
      <c r="I452" s="1099"/>
      <c r="J452" s="1140"/>
      <c r="K452" s="1140"/>
      <c r="L452" s="1143"/>
      <c r="M452" s="1098"/>
      <c r="N452" s="1099"/>
      <c r="O452" s="1099"/>
    </row>
    <row r="453" spans="2:15">
      <c r="B453" s="1129"/>
      <c r="C453" s="1098"/>
      <c r="D453" s="1099"/>
      <c r="E453" s="1098"/>
      <c r="F453" s="1136"/>
      <c r="G453" s="1099"/>
      <c r="H453" s="1098"/>
      <c r="I453" s="1099"/>
      <c r="J453" s="1140"/>
      <c r="K453" s="1140"/>
      <c r="L453" s="1143"/>
      <c r="M453" s="1098"/>
      <c r="N453" s="1099"/>
      <c r="O453" s="1099"/>
    </row>
    <row r="454" spans="2:15">
      <c r="B454" s="1129"/>
      <c r="C454" s="1098"/>
      <c r="D454" s="1099"/>
      <c r="E454" s="1098"/>
      <c r="F454" s="1136"/>
      <c r="G454" s="1099"/>
      <c r="H454" s="1098"/>
      <c r="I454" s="1099"/>
      <c r="J454" s="1140"/>
      <c r="K454" s="1140"/>
      <c r="L454" s="1143"/>
      <c r="M454" s="1098"/>
      <c r="N454" s="1099"/>
      <c r="O454" s="1099"/>
    </row>
    <row r="455" spans="2:15">
      <c r="B455" s="1129"/>
      <c r="C455" s="1098"/>
      <c r="D455" s="1099"/>
      <c r="E455" s="1098"/>
      <c r="F455" s="1136"/>
      <c r="G455" s="1099"/>
      <c r="H455" s="1098"/>
      <c r="I455" s="1099"/>
      <c r="J455" s="1140"/>
      <c r="K455" s="1140"/>
      <c r="L455" s="1143"/>
      <c r="M455" s="1098"/>
      <c r="N455" s="1099"/>
      <c r="O455" s="1099"/>
    </row>
    <row r="456" spans="2:15">
      <c r="B456" s="1129"/>
      <c r="C456" s="1098"/>
      <c r="D456" s="1099"/>
      <c r="E456" s="1098"/>
      <c r="F456" s="1136"/>
      <c r="G456" s="1099"/>
      <c r="H456" s="1098"/>
      <c r="I456" s="1099"/>
      <c r="J456" s="1140"/>
      <c r="K456" s="1140"/>
      <c r="L456" s="1143"/>
      <c r="M456" s="1098"/>
      <c r="N456" s="1099"/>
      <c r="O456" s="1099"/>
    </row>
    <row r="457" spans="2:15">
      <c r="B457" s="1129"/>
      <c r="C457" s="1098"/>
      <c r="D457" s="1099"/>
      <c r="E457" s="1098"/>
      <c r="F457" s="1136"/>
      <c r="G457" s="1099"/>
      <c r="H457" s="1098"/>
      <c r="I457" s="1099"/>
      <c r="J457" s="1140"/>
      <c r="K457" s="1140"/>
      <c r="L457" s="1143"/>
      <c r="M457" s="1098"/>
      <c r="N457" s="1099"/>
      <c r="O457" s="1099"/>
    </row>
    <row r="458" spans="2:15">
      <c r="B458" s="1129"/>
      <c r="C458" s="1098"/>
      <c r="D458" s="1099"/>
      <c r="E458" s="1098"/>
      <c r="F458" s="1136"/>
      <c r="G458" s="1099"/>
      <c r="H458" s="1098"/>
      <c r="I458" s="1099"/>
      <c r="J458" s="1140"/>
      <c r="K458" s="1140"/>
      <c r="L458" s="1143"/>
      <c r="M458" s="1098"/>
      <c r="N458" s="1099"/>
      <c r="O458" s="1099"/>
    </row>
    <row r="459" spans="2:15">
      <c r="B459" s="1129"/>
      <c r="C459" s="1098"/>
      <c r="D459" s="1099"/>
      <c r="E459" s="1098"/>
      <c r="F459" s="1136"/>
      <c r="G459" s="1099"/>
      <c r="H459" s="1098"/>
      <c r="I459" s="1099"/>
      <c r="J459" s="1140"/>
      <c r="K459" s="1140"/>
      <c r="L459" s="1143"/>
      <c r="M459" s="1098"/>
      <c r="N459" s="1099"/>
      <c r="O459" s="1099"/>
    </row>
    <row r="460" spans="2:15">
      <c r="B460" s="1129"/>
      <c r="C460" s="1098"/>
      <c r="D460" s="1099"/>
      <c r="E460" s="1098"/>
      <c r="F460" s="1136"/>
      <c r="G460" s="1099"/>
      <c r="H460" s="1098"/>
      <c r="I460" s="1099"/>
      <c r="J460" s="1140"/>
      <c r="K460" s="1140"/>
      <c r="L460" s="1143"/>
      <c r="M460" s="1098"/>
      <c r="N460" s="1099"/>
      <c r="O460" s="1099"/>
    </row>
    <row r="461" spans="2:15">
      <c r="B461" s="1129"/>
      <c r="C461" s="1098"/>
      <c r="D461" s="1099"/>
      <c r="E461" s="1098"/>
      <c r="F461" s="1136"/>
      <c r="G461" s="1099"/>
      <c r="H461" s="1098"/>
      <c r="I461" s="1099"/>
      <c r="J461" s="1140"/>
      <c r="K461" s="1140"/>
      <c r="L461" s="1143"/>
      <c r="M461" s="1098"/>
      <c r="N461" s="1099"/>
      <c r="O461" s="1099"/>
    </row>
    <row r="462" spans="2:15">
      <c r="B462" s="1129"/>
      <c r="C462" s="1098"/>
      <c r="D462" s="1099"/>
      <c r="E462" s="1098"/>
      <c r="F462" s="1136"/>
      <c r="G462" s="1099"/>
      <c r="H462" s="1098"/>
      <c r="I462" s="1099"/>
      <c r="J462" s="1140"/>
      <c r="K462" s="1140"/>
      <c r="L462" s="1143"/>
      <c r="M462" s="1098"/>
      <c r="N462" s="1099"/>
      <c r="O462" s="1099"/>
    </row>
    <row r="463" spans="2:15">
      <c r="B463" s="1129"/>
      <c r="C463" s="1098"/>
      <c r="D463" s="1099"/>
      <c r="E463" s="1098"/>
      <c r="F463" s="1136"/>
      <c r="G463" s="1099"/>
      <c r="H463" s="1098"/>
      <c r="I463" s="1099"/>
      <c r="J463" s="1140"/>
      <c r="K463" s="1140"/>
      <c r="L463" s="1143"/>
      <c r="M463" s="1098"/>
      <c r="N463" s="1099"/>
      <c r="O463" s="1099"/>
    </row>
    <row r="464" spans="2:15">
      <c r="B464" s="1129"/>
      <c r="C464" s="1098"/>
      <c r="D464" s="1099"/>
      <c r="E464" s="1098"/>
      <c r="F464" s="1136"/>
      <c r="G464" s="1099"/>
      <c r="H464" s="1098"/>
      <c r="I464" s="1099"/>
      <c r="J464" s="1140"/>
      <c r="K464" s="1140"/>
      <c r="L464" s="1143"/>
      <c r="M464" s="1098"/>
      <c r="N464" s="1099"/>
      <c r="O464" s="1099"/>
    </row>
    <row r="465" spans="2:15">
      <c r="B465" s="1129"/>
      <c r="C465" s="1098"/>
      <c r="D465" s="1099"/>
      <c r="E465" s="1098"/>
      <c r="F465" s="1136"/>
      <c r="G465" s="1099"/>
      <c r="H465" s="1098"/>
      <c r="I465" s="1099"/>
      <c r="J465" s="1140"/>
      <c r="K465" s="1140"/>
      <c r="L465" s="1143"/>
      <c r="M465" s="1098"/>
      <c r="N465" s="1099"/>
      <c r="O465" s="1099"/>
    </row>
    <row r="466" spans="2:15">
      <c r="B466" s="1129"/>
      <c r="C466" s="1098"/>
      <c r="D466" s="1099"/>
      <c r="E466" s="1098"/>
      <c r="F466" s="1136"/>
      <c r="G466" s="1099"/>
      <c r="H466" s="1098"/>
      <c r="I466" s="1099"/>
      <c r="J466" s="1140"/>
      <c r="K466" s="1140"/>
      <c r="L466" s="1143"/>
      <c r="M466" s="1098"/>
      <c r="N466" s="1099"/>
      <c r="O466" s="1099"/>
    </row>
    <row r="467" spans="2:15">
      <c r="B467" s="1129"/>
      <c r="C467" s="1098"/>
      <c r="D467" s="1099"/>
      <c r="E467" s="1098"/>
      <c r="F467" s="1136"/>
      <c r="G467" s="1099"/>
      <c r="H467" s="1098"/>
      <c r="I467" s="1099"/>
      <c r="J467" s="1140"/>
      <c r="K467" s="1140"/>
      <c r="L467" s="1143"/>
      <c r="M467" s="1098"/>
      <c r="N467" s="1099"/>
      <c r="O467" s="1099"/>
    </row>
    <row r="468" spans="2:15">
      <c r="B468" s="1129"/>
      <c r="C468" s="1098"/>
      <c r="D468" s="1099"/>
      <c r="E468" s="1098"/>
      <c r="F468" s="1136"/>
      <c r="G468" s="1099"/>
      <c r="H468" s="1098"/>
      <c r="I468" s="1099"/>
      <c r="J468" s="1140"/>
      <c r="K468" s="1140"/>
      <c r="L468" s="1143"/>
      <c r="M468" s="1098"/>
      <c r="N468" s="1099"/>
      <c r="O468" s="1099"/>
    </row>
    <row r="469" spans="2:15">
      <c r="B469" s="1129"/>
      <c r="C469" s="1098"/>
      <c r="D469" s="1099"/>
      <c r="E469" s="1098"/>
      <c r="F469" s="1136"/>
      <c r="G469" s="1099"/>
      <c r="H469" s="1098"/>
      <c r="I469" s="1099"/>
      <c r="J469" s="1140"/>
      <c r="K469" s="1140"/>
      <c r="L469" s="1143"/>
      <c r="M469" s="1098"/>
      <c r="N469" s="1099"/>
      <c r="O469" s="1099"/>
    </row>
    <row r="470" spans="2:15">
      <c r="B470" s="1129"/>
      <c r="C470" s="1098"/>
      <c r="D470" s="1099"/>
      <c r="E470" s="1098"/>
      <c r="F470" s="1136"/>
      <c r="G470" s="1099"/>
      <c r="H470" s="1098"/>
      <c r="I470" s="1099"/>
      <c r="J470" s="1140"/>
      <c r="K470" s="1140"/>
      <c r="L470" s="1143"/>
      <c r="M470" s="1098"/>
      <c r="N470" s="1099"/>
      <c r="O470" s="1099"/>
    </row>
    <row r="471" spans="2:15">
      <c r="B471" s="1129"/>
      <c r="C471" s="1098"/>
      <c r="D471" s="1099"/>
      <c r="E471" s="1098"/>
      <c r="F471" s="1136"/>
      <c r="G471" s="1099"/>
      <c r="H471" s="1098"/>
      <c r="I471" s="1099"/>
      <c r="J471" s="1140"/>
      <c r="K471" s="1140"/>
      <c r="L471" s="1143"/>
      <c r="M471" s="1098"/>
      <c r="N471" s="1099"/>
      <c r="O471" s="1099"/>
    </row>
    <row r="472" spans="2:15">
      <c r="B472" s="1129"/>
      <c r="C472" s="1098"/>
      <c r="D472" s="1099"/>
      <c r="E472" s="1098"/>
      <c r="F472" s="1136"/>
      <c r="G472" s="1099"/>
      <c r="H472" s="1098"/>
      <c r="I472" s="1099"/>
      <c r="J472" s="1140"/>
      <c r="K472" s="1140"/>
      <c r="L472" s="1143"/>
      <c r="M472" s="1098"/>
      <c r="N472" s="1099"/>
      <c r="O472" s="1099"/>
    </row>
    <row r="473" spans="2:15">
      <c r="B473" s="1129"/>
      <c r="C473" s="1098"/>
      <c r="D473" s="1099"/>
      <c r="E473" s="1098"/>
      <c r="F473" s="1136"/>
      <c r="G473" s="1099"/>
      <c r="H473" s="1098"/>
      <c r="I473" s="1099"/>
      <c r="J473" s="1140"/>
      <c r="K473" s="1140"/>
      <c r="L473" s="1143"/>
      <c r="M473" s="1098"/>
      <c r="N473" s="1099"/>
      <c r="O473" s="1099"/>
    </row>
    <row r="474" spans="2:15">
      <c r="B474" s="1129"/>
      <c r="C474" s="1098"/>
      <c r="D474" s="1099"/>
      <c r="E474" s="1098"/>
      <c r="F474" s="1136"/>
      <c r="G474" s="1099"/>
      <c r="H474" s="1098"/>
      <c r="I474" s="1099"/>
      <c r="J474" s="1140"/>
      <c r="K474" s="1140"/>
      <c r="L474" s="1143"/>
      <c r="M474" s="1098"/>
      <c r="N474" s="1099"/>
      <c r="O474" s="1099"/>
    </row>
    <row r="475" spans="2:15">
      <c r="B475" s="1129"/>
      <c r="C475" s="1098"/>
      <c r="D475" s="1099"/>
      <c r="E475" s="1098"/>
      <c r="F475" s="1136"/>
      <c r="G475" s="1099"/>
      <c r="H475" s="1098"/>
      <c r="I475" s="1099"/>
      <c r="J475" s="1140"/>
      <c r="K475" s="1140"/>
      <c r="L475" s="1143"/>
      <c r="M475" s="1098"/>
      <c r="N475" s="1099"/>
      <c r="O475" s="1099"/>
    </row>
    <row r="476" spans="2:15">
      <c r="B476" s="1129"/>
      <c r="C476" s="1098"/>
      <c r="D476" s="1099"/>
      <c r="E476" s="1098"/>
      <c r="F476" s="1136"/>
      <c r="G476" s="1099"/>
      <c r="H476" s="1098"/>
      <c r="I476" s="1099"/>
      <c r="J476" s="1140"/>
      <c r="K476" s="1140"/>
      <c r="L476" s="1143"/>
      <c r="M476" s="1098"/>
      <c r="N476" s="1099"/>
      <c r="O476" s="1099"/>
    </row>
    <row r="477" spans="2:15">
      <c r="B477" s="1129"/>
      <c r="C477" s="1098"/>
      <c r="D477" s="1099"/>
      <c r="E477" s="1098"/>
      <c r="F477" s="1136"/>
      <c r="G477" s="1099"/>
      <c r="H477" s="1098"/>
      <c r="I477" s="1099"/>
      <c r="J477" s="1140"/>
      <c r="K477" s="1140"/>
      <c r="L477" s="1143"/>
      <c r="M477" s="1098"/>
      <c r="N477" s="1099"/>
      <c r="O477" s="1099"/>
    </row>
    <row r="478" spans="2:15">
      <c r="B478" s="1129"/>
      <c r="C478" s="1098"/>
      <c r="D478" s="1099"/>
      <c r="E478" s="1098"/>
      <c r="F478" s="1136"/>
      <c r="G478" s="1099"/>
      <c r="H478" s="1098"/>
      <c r="I478" s="1099"/>
      <c r="J478" s="1140"/>
      <c r="K478" s="1140"/>
      <c r="L478" s="1143"/>
      <c r="M478" s="1098"/>
      <c r="N478" s="1099"/>
      <c r="O478" s="1099"/>
    </row>
    <row r="479" spans="2:15">
      <c r="B479" s="1129"/>
      <c r="C479" s="1098"/>
      <c r="D479" s="1099"/>
      <c r="E479" s="1098"/>
      <c r="F479" s="1136"/>
      <c r="G479" s="1099"/>
      <c r="H479" s="1098"/>
      <c r="I479" s="1099"/>
      <c r="J479" s="1140"/>
      <c r="K479" s="1140"/>
      <c r="L479" s="1143"/>
      <c r="M479" s="1098"/>
      <c r="N479" s="1099"/>
      <c r="O479" s="1099"/>
    </row>
    <row r="480" spans="2:15">
      <c r="B480" s="1129"/>
      <c r="C480" s="1098"/>
      <c r="D480" s="1099"/>
      <c r="E480" s="1098"/>
      <c r="F480" s="1136"/>
      <c r="G480" s="1099"/>
      <c r="H480" s="1098"/>
      <c r="I480" s="1099"/>
      <c r="J480" s="1140"/>
      <c r="K480" s="1140"/>
      <c r="L480" s="1143"/>
      <c r="M480" s="1098"/>
      <c r="N480" s="1099"/>
      <c r="O480" s="1099"/>
    </row>
    <row r="481" spans="2:15">
      <c r="B481" s="1129"/>
      <c r="C481" s="1098"/>
      <c r="D481" s="1099"/>
      <c r="E481" s="1098"/>
      <c r="F481" s="1136"/>
      <c r="G481" s="1099"/>
      <c r="H481" s="1098"/>
      <c r="I481" s="1099"/>
      <c r="J481" s="1140"/>
      <c r="K481" s="1140"/>
      <c r="L481" s="1143"/>
      <c r="M481" s="1098"/>
      <c r="N481" s="1099"/>
      <c r="O481" s="1099"/>
    </row>
    <row r="482" spans="2:15">
      <c r="B482" s="1129"/>
      <c r="C482" s="1098"/>
      <c r="D482" s="1099"/>
      <c r="E482" s="1098"/>
      <c r="F482" s="1136"/>
      <c r="G482" s="1099"/>
      <c r="H482" s="1098"/>
      <c r="I482" s="1099"/>
      <c r="J482" s="1140"/>
      <c r="K482" s="1140"/>
      <c r="L482" s="1143"/>
      <c r="M482" s="1098"/>
      <c r="N482" s="1099"/>
      <c r="O482" s="1099"/>
    </row>
    <row r="483" spans="2:15">
      <c r="B483" s="1129"/>
      <c r="C483" s="1098"/>
      <c r="D483" s="1099"/>
      <c r="E483" s="1098"/>
      <c r="F483" s="1136"/>
      <c r="G483" s="1099"/>
      <c r="H483" s="1098"/>
      <c r="I483" s="1099"/>
      <c r="J483" s="1140"/>
      <c r="K483" s="1140"/>
      <c r="L483" s="1143"/>
      <c r="M483" s="1098"/>
      <c r="N483" s="1099"/>
      <c r="O483" s="1099"/>
    </row>
    <row r="484" spans="2:15">
      <c r="B484" s="1129"/>
      <c r="C484" s="1098"/>
      <c r="D484" s="1099"/>
      <c r="E484" s="1098"/>
      <c r="F484" s="1136"/>
      <c r="G484" s="1099"/>
      <c r="H484" s="1098"/>
      <c r="I484" s="1099"/>
      <c r="J484" s="1140"/>
      <c r="K484" s="1140"/>
      <c r="L484" s="1143"/>
      <c r="M484" s="1098"/>
      <c r="N484" s="1099"/>
      <c r="O484" s="1099"/>
    </row>
    <row r="485" spans="2:15">
      <c r="B485" s="1129"/>
      <c r="C485" s="1098"/>
      <c r="D485" s="1099"/>
      <c r="E485" s="1098"/>
      <c r="F485" s="1136"/>
      <c r="G485" s="1099"/>
      <c r="H485" s="1098"/>
      <c r="I485" s="1099"/>
      <c r="J485" s="1140"/>
      <c r="K485" s="1140"/>
      <c r="L485" s="1143"/>
      <c r="M485" s="1098"/>
      <c r="N485" s="1099"/>
      <c r="O485" s="1099"/>
    </row>
    <row r="486" spans="2:15">
      <c r="B486" s="1129"/>
      <c r="C486" s="1098"/>
      <c r="D486" s="1099"/>
      <c r="E486" s="1098"/>
      <c r="F486" s="1136"/>
      <c r="G486" s="1099"/>
      <c r="H486" s="1098"/>
      <c r="I486" s="1099"/>
      <c r="J486" s="1140"/>
      <c r="K486" s="1140"/>
      <c r="L486" s="1143"/>
      <c r="M486" s="1098"/>
      <c r="N486" s="1099"/>
      <c r="O486" s="1099"/>
    </row>
    <row r="487" spans="2:15">
      <c r="B487" s="1129"/>
      <c r="C487" s="1098"/>
      <c r="D487" s="1099"/>
      <c r="E487" s="1098"/>
      <c r="F487" s="1136"/>
      <c r="G487" s="1099"/>
      <c r="H487" s="1098"/>
      <c r="I487" s="1099"/>
      <c r="J487" s="1140"/>
      <c r="K487" s="1140"/>
      <c r="L487" s="1143"/>
      <c r="M487" s="1098"/>
      <c r="N487" s="1099"/>
      <c r="O487" s="1099"/>
    </row>
    <row r="488" spans="2:15">
      <c r="B488" s="1129"/>
      <c r="C488" s="1098"/>
      <c r="D488" s="1099"/>
      <c r="E488" s="1098"/>
      <c r="F488" s="1136"/>
      <c r="G488" s="1099"/>
      <c r="H488" s="1098"/>
      <c r="I488" s="1099"/>
      <c r="J488" s="1140"/>
      <c r="K488" s="1140"/>
      <c r="L488" s="1143"/>
      <c r="M488" s="1098"/>
      <c r="N488" s="1099"/>
      <c r="O488" s="1099"/>
    </row>
    <row r="489" spans="2:15">
      <c r="B489" s="1129"/>
      <c r="C489" s="1098"/>
      <c r="D489" s="1099"/>
      <c r="E489" s="1098"/>
      <c r="F489" s="1136"/>
      <c r="G489" s="1099"/>
      <c r="H489" s="1098"/>
      <c r="I489" s="1099"/>
      <c r="J489" s="1140"/>
      <c r="K489" s="1140"/>
      <c r="L489" s="1143"/>
      <c r="M489" s="1098"/>
      <c r="N489" s="1099"/>
      <c r="O489" s="1099"/>
    </row>
    <row r="490" spans="2:15">
      <c r="B490" s="1129"/>
      <c r="C490" s="1098"/>
      <c r="D490" s="1099"/>
      <c r="E490" s="1098"/>
      <c r="F490" s="1136"/>
      <c r="G490" s="1099"/>
      <c r="H490" s="1098"/>
      <c r="I490" s="1099"/>
      <c r="J490" s="1140"/>
      <c r="K490" s="1140"/>
      <c r="L490" s="1143"/>
      <c r="M490" s="1098"/>
      <c r="N490" s="1099"/>
      <c r="O490" s="1099"/>
    </row>
    <row r="491" spans="2:15">
      <c r="B491" s="1129"/>
      <c r="C491" s="1098"/>
      <c r="D491" s="1099"/>
      <c r="E491" s="1098"/>
      <c r="F491" s="1136"/>
      <c r="G491" s="1099"/>
      <c r="H491" s="1098"/>
      <c r="I491" s="1099"/>
      <c r="J491" s="1140"/>
      <c r="K491" s="1140"/>
      <c r="L491" s="1143"/>
      <c r="M491" s="1098"/>
      <c r="N491" s="1099"/>
      <c r="O491" s="1099"/>
    </row>
    <row r="492" spans="2:15">
      <c r="B492" s="1129"/>
      <c r="C492" s="1098"/>
      <c r="D492" s="1099"/>
      <c r="E492" s="1098"/>
      <c r="F492" s="1136"/>
      <c r="G492" s="1099"/>
      <c r="H492" s="1098"/>
      <c r="I492" s="1099"/>
      <c r="J492" s="1140"/>
      <c r="K492" s="1140"/>
      <c r="L492" s="1143"/>
      <c r="M492" s="1098"/>
      <c r="N492" s="1099"/>
      <c r="O492" s="1099"/>
    </row>
    <row r="493" spans="2:15">
      <c r="B493" s="1129"/>
      <c r="C493" s="1098"/>
      <c r="D493" s="1099"/>
      <c r="E493" s="1098"/>
      <c r="F493" s="1136"/>
      <c r="G493" s="1099"/>
      <c r="H493" s="1098"/>
      <c r="I493" s="1099"/>
      <c r="J493" s="1140"/>
      <c r="K493" s="1140"/>
      <c r="L493" s="1143"/>
      <c r="M493" s="1098"/>
      <c r="N493" s="1099"/>
      <c r="O493" s="1099"/>
    </row>
    <row r="494" spans="2:15">
      <c r="B494" s="1129"/>
      <c r="C494" s="1098"/>
      <c r="D494" s="1099"/>
      <c r="E494" s="1098"/>
      <c r="F494" s="1136"/>
      <c r="G494" s="1099"/>
      <c r="H494" s="1098"/>
      <c r="I494" s="1099"/>
      <c r="J494" s="1140"/>
      <c r="K494" s="1140"/>
      <c r="L494" s="1143"/>
      <c r="M494" s="1098"/>
      <c r="N494" s="1099"/>
      <c r="O494" s="1099"/>
    </row>
    <row r="495" spans="2:15">
      <c r="B495" s="1129"/>
      <c r="C495" s="1098"/>
      <c r="D495" s="1099"/>
      <c r="E495" s="1098"/>
      <c r="F495" s="1136"/>
      <c r="G495" s="1099"/>
      <c r="H495" s="1098"/>
      <c r="I495" s="1099"/>
      <c r="J495" s="1140"/>
      <c r="K495" s="1140"/>
      <c r="L495" s="1143"/>
      <c r="M495" s="1098"/>
      <c r="N495" s="1099"/>
      <c r="O495" s="1099"/>
    </row>
    <row r="496" spans="2:15">
      <c r="B496" s="1129"/>
      <c r="C496" s="1098"/>
      <c r="D496" s="1099"/>
      <c r="E496" s="1098"/>
      <c r="F496" s="1136"/>
      <c r="G496" s="1099"/>
      <c r="H496" s="1098"/>
      <c r="I496" s="1099"/>
      <c r="J496" s="1140"/>
      <c r="K496" s="1140"/>
      <c r="L496" s="1143"/>
      <c r="M496" s="1098"/>
      <c r="N496" s="1099"/>
      <c r="O496" s="1099"/>
    </row>
    <row r="497" spans="2:15">
      <c r="B497" s="1129"/>
      <c r="C497" s="1098"/>
      <c r="D497" s="1099"/>
      <c r="E497" s="1098"/>
      <c r="F497" s="1136"/>
      <c r="G497" s="1099"/>
      <c r="H497" s="1098"/>
      <c r="I497" s="1099"/>
      <c r="J497" s="1140"/>
      <c r="K497" s="1140"/>
      <c r="L497" s="1143"/>
      <c r="M497" s="1098"/>
      <c r="N497" s="1099"/>
      <c r="O497" s="1099"/>
    </row>
    <row r="498" spans="2:15">
      <c r="B498" s="1129"/>
      <c r="C498" s="1098"/>
      <c r="D498" s="1099"/>
      <c r="E498" s="1098"/>
      <c r="F498" s="1136"/>
      <c r="G498" s="1099"/>
      <c r="H498" s="1098"/>
      <c r="I498" s="1099"/>
      <c r="J498" s="1140"/>
      <c r="K498" s="1140"/>
      <c r="L498" s="1143"/>
      <c r="M498" s="1098"/>
      <c r="N498" s="1099"/>
      <c r="O498" s="1099"/>
    </row>
    <row r="499" spans="2:15">
      <c r="B499" s="1129"/>
      <c r="C499" s="1098"/>
      <c r="D499" s="1099"/>
      <c r="E499" s="1098"/>
      <c r="F499" s="1136"/>
      <c r="G499" s="1099"/>
      <c r="H499" s="1098"/>
      <c r="I499" s="1099"/>
      <c r="J499" s="1140"/>
      <c r="K499" s="1140"/>
      <c r="L499" s="1143"/>
      <c r="M499" s="1098"/>
      <c r="N499" s="1099"/>
      <c r="O499" s="1099"/>
    </row>
    <row r="500" spans="2:15">
      <c r="B500" s="1129"/>
      <c r="C500" s="1098"/>
      <c r="D500" s="1099"/>
      <c r="E500" s="1098"/>
      <c r="F500" s="1136"/>
      <c r="G500" s="1099"/>
      <c r="H500" s="1098"/>
      <c r="I500" s="1099"/>
      <c r="J500" s="1140"/>
      <c r="K500" s="1140"/>
      <c r="L500" s="1143"/>
      <c r="M500" s="1098"/>
      <c r="N500" s="1099"/>
      <c r="O500" s="1099"/>
    </row>
    <row r="501" spans="2:15">
      <c r="B501" s="1129"/>
      <c r="C501" s="1098"/>
      <c r="D501" s="1099"/>
      <c r="E501" s="1098"/>
      <c r="F501" s="1136"/>
      <c r="G501" s="1099"/>
      <c r="H501" s="1098"/>
      <c r="I501" s="1099"/>
      <c r="J501" s="1140"/>
      <c r="K501" s="1140"/>
      <c r="L501" s="1143"/>
      <c r="M501" s="1098"/>
      <c r="N501" s="1099"/>
      <c r="O501" s="1099"/>
    </row>
    <row r="502" spans="2:15">
      <c r="B502" s="1129"/>
      <c r="C502" s="1098"/>
      <c r="D502" s="1099"/>
      <c r="E502" s="1098"/>
      <c r="F502" s="1136"/>
      <c r="G502" s="1099"/>
      <c r="H502" s="1098"/>
      <c r="I502" s="1099"/>
      <c r="J502" s="1140"/>
      <c r="K502" s="1140"/>
      <c r="L502" s="1143"/>
      <c r="M502" s="1098"/>
      <c r="N502" s="1099"/>
      <c r="O502" s="1099"/>
    </row>
    <row r="503" spans="2:15">
      <c r="B503" s="1129"/>
      <c r="C503" s="1098"/>
      <c r="D503" s="1099"/>
      <c r="E503" s="1098"/>
      <c r="F503" s="1136"/>
      <c r="G503" s="1099"/>
      <c r="H503" s="1098"/>
      <c r="I503" s="1099"/>
      <c r="J503" s="1140"/>
      <c r="K503" s="1140"/>
      <c r="L503" s="1143"/>
      <c r="M503" s="1098"/>
      <c r="N503" s="1099"/>
      <c r="O503" s="1099"/>
    </row>
    <row r="504" spans="2:15">
      <c r="B504" s="1129"/>
      <c r="C504" s="1098"/>
      <c r="D504" s="1099"/>
      <c r="E504" s="1098"/>
      <c r="F504" s="1136"/>
      <c r="G504" s="1099"/>
      <c r="H504" s="1098"/>
      <c r="I504" s="1099"/>
      <c r="J504" s="1140"/>
      <c r="K504" s="1140"/>
      <c r="L504" s="1143"/>
      <c r="M504" s="1098"/>
      <c r="N504" s="1099"/>
      <c r="O504" s="1099"/>
    </row>
    <row r="505" spans="2:15">
      <c r="B505" s="1129"/>
      <c r="C505" s="1098"/>
      <c r="D505" s="1099"/>
      <c r="E505" s="1098"/>
      <c r="F505" s="1136"/>
      <c r="G505" s="1099"/>
      <c r="H505" s="1098"/>
      <c r="I505" s="1099"/>
      <c r="J505" s="1140"/>
      <c r="K505" s="1140"/>
      <c r="L505" s="1143"/>
      <c r="M505" s="1098"/>
      <c r="N505" s="1099"/>
      <c r="O505" s="1099"/>
    </row>
    <row r="506" spans="2:15">
      <c r="B506" s="1129"/>
      <c r="C506" s="1098"/>
      <c r="D506" s="1099"/>
      <c r="E506" s="1098"/>
      <c r="F506" s="1136"/>
      <c r="G506" s="1099"/>
      <c r="H506" s="1098"/>
      <c r="I506" s="1099"/>
      <c r="J506" s="1140"/>
      <c r="K506" s="1140"/>
      <c r="L506" s="1143"/>
      <c r="M506" s="1098"/>
      <c r="N506" s="1099"/>
      <c r="O506" s="1099"/>
    </row>
    <row r="507" spans="2:15">
      <c r="B507" s="1129"/>
      <c r="C507" s="1098"/>
      <c r="D507" s="1099"/>
      <c r="E507" s="1098"/>
      <c r="F507" s="1136"/>
      <c r="G507" s="1099"/>
      <c r="H507" s="1098"/>
      <c r="I507" s="1099"/>
      <c r="J507" s="1140"/>
      <c r="K507" s="1140"/>
      <c r="L507" s="1143"/>
      <c r="M507" s="1098"/>
      <c r="N507" s="1099"/>
      <c r="O507" s="1099"/>
    </row>
    <row r="508" spans="2:15">
      <c r="B508" s="1129"/>
      <c r="C508" s="1098"/>
      <c r="D508" s="1099"/>
      <c r="E508" s="1098"/>
      <c r="F508" s="1136"/>
      <c r="G508" s="1099"/>
      <c r="H508" s="1098"/>
      <c r="I508" s="1099"/>
      <c r="J508" s="1140"/>
      <c r="K508" s="1140"/>
      <c r="L508" s="1143"/>
      <c r="M508" s="1098"/>
      <c r="N508" s="1099"/>
      <c r="O508" s="1099"/>
    </row>
    <row r="509" spans="2:15">
      <c r="B509" s="1129"/>
      <c r="C509" s="1098"/>
      <c r="D509" s="1099"/>
      <c r="E509" s="1098"/>
      <c r="F509" s="1136"/>
      <c r="G509" s="1099"/>
      <c r="H509" s="1098"/>
      <c r="I509" s="1099"/>
      <c r="J509" s="1140"/>
      <c r="K509" s="1140"/>
      <c r="L509" s="1143"/>
      <c r="M509" s="1098"/>
      <c r="N509" s="1099"/>
      <c r="O509" s="1099"/>
    </row>
    <row r="510" spans="2:15">
      <c r="B510" s="1129"/>
      <c r="C510" s="1098"/>
      <c r="D510" s="1099"/>
      <c r="E510" s="1098"/>
      <c r="F510" s="1136"/>
      <c r="G510" s="1099"/>
      <c r="H510" s="1098"/>
      <c r="I510" s="1099"/>
      <c r="J510" s="1140"/>
      <c r="K510" s="1140"/>
      <c r="L510" s="1143"/>
      <c r="M510" s="1098"/>
      <c r="N510" s="1099"/>
      <c r="O510" s="1099"/>
    </row>
    <row r="511" spans="2:15">
      <c r="B511" s="1129"/>
      <c r="C511" s="1098"/>
      <c r="D511" s="1099"/>
      <c r="E511" s="1098"/>
      <c r="F511" s="1136"/>
      <c r="G511" s="1099"/>
      <c r="H511" s="1098"/>
      <c r="I511" s="1099"/>
      <c r="J511" s="1140"/>
      <c r="K511" s="1140"/>
      <c r="L511" s="1143"/>
      <c r="M511" s="1098"/>
      <c r="N511" s="1099"/>
      <c r="O511" s="1099"/>
    </row>
    <row r="512" spans="2:15">
      <c r="B512" s="1129"/>
      <c r="C512" s="1098"/>
      <c r="D512" s="1099"/>
      <c r="E512" s="1098"/>
      <c r="F512" s="1136"/>
      <c r="G512" s="1099"/>
      <c r="H512" s="1098"/>
      <c r="I512" s="1099"/>
      <c r="J512" s="1140"/>
      <c r="K512" s="1140"/>
      <c r="L512" s="1143"/>
      <c r="M512" s="1098"/>
      <c r="N512" s="1099"/>
      <c r="O512" s="1099"/>
    </row>
    <row r="513" spans="2:15">
      <c r="B513" s="1129"/>
      <c r="C513" s="1098"/>
      <c r="D513" s="1099"/>
      <c r="E513" s="1098"/>
      <c r="F513" s="1136"/>
      <c r="G513" s="1099"/>
      <c r="H513" s="1098"/>
      <c r="I513" s="1099"/>
      <c r="J513" s="1140"/>
      <c r="K513" s="1140"/>
      <c r="L513" s="1143"/>
      <c r="M513" s="1098"/>
      <c r="N513" s="1099"/>
      <c r="O513" s="1099"/>
    </row>
    <row r="514" spans="2:15">
      <c r="B514" s="1129"/>
      <c r="C514" s="1098"/>
      <c r="D514" s="1099"/>
      <c r="E514" s="1098"/>
      <c r="F514" s="1136"/>
      <c r="G514" s="1099"/>
      <c r="H514" s="1098"/>
      <c r="I514" s="1099"/>
      <c r="J514" s="1140"/>
      <c r="K514" s="1140"/>
      <c r="L514" s="1143"/>
      <c r="M514" s="1098"/>
      <c r="N514" s="1099"/>
      <c r="O514" s="1099"/>
    </row>
    <row r="515" spans="2:15">
      <c r="B515" s="1129"/>
      <c r="C515" s="1098"/>
      <c r="D515" s="1099"/>
      <c r="E515" s="1098"/>
      <c r="F515" s="1136"/>
      <c r="G515" s="1099"/>
      <c r="H515" s="1098"/>
      <c r="I515" s="1099"/>
      <c r="J515" s="1140"/>
      <c r="K515" s="1140"/>
      <c r="L515" s="1143"/>
      <c r="M515" s="1098"/>
      <c r="N515" s="1099"/>
      <c r="O515" s="1099"/>
    </row>
    <row r="516" spans="2:15">
      <c r="B516" s="1129"/>
      <c r="C516" s="1098"/>
      <c r="D516" s="1099"/>
      <c r="E516" s="1098"/>
      <c r="F516" s="1136"/>
      <c r="G516" s="1099"/>
      <c r="H516" s="1098"/>
      <c r="I516" s="1099"/>
      <c r="J516" s="1140"/>
      <c r="K516" s="1140"/>
      <c r="L516" s="1143"/>
      <c r="M516" s="1098"/>
      <c r="N516" s="1099"/>
      <c r="O516" s="1099"/>
    </row>
    <row r="517" spans="2:15">
      <c r="B517" s="1129"/>
      <c r="C517" s="1098"/>
      <c r="D517" s="1099"/>
      <c r="E517" s="1098"/>
      <c r="F517" s="1136"/>
      <c r="G517" s="1099"/>
      <c r="H517" s="1098"/>
      <c r="I517" s="1099"/>
      <c r="J517" s="1140"/>
      <c r="K517" s="1140"/>
      <c r="L517" s="1143"/>
      <c r="M517" s="1098"/>
      <c r="N517" s="1099"/>
      <c r="O517" s="1099"/>
    </row>
    <row r="518" spans="2:15">
      <c r="B518" s="1129"/>
      <c r="C518" s="1098"/>
      <c r="D518" s="1099"/>
      <c r="E518" s="1098"/>
      <c r="F518" s="1136"/>
      <c r="G518" s="1099"/>
      <c r="H518" s="1098"/>
      <c r="I518" s="1099"/>
      <c r="J518" s="1140"/>
      <c r="K518" s="1140"/>
      <c r="L518" s="1143"/>
      <c r="M518" s="1098"/>
      <c r="N518" s="1099"/>
      <c r="O518" s="1099"/>
    </row>
    <row r="519" spans="2:15">
      <c r="B519" s="1129"/>
      <c r="C519" s="1098"/>
      <c r="D519" s="1099"/>
      <c r="E519" s="1098"/>
      <c r="F519" s="1136"/>
      <c r="G519" s="1099"/>
      <c r="H519" s="1098"/>
      <c r="I519" s="1099"/>
      <c r="J519" s="1140"/>
      <c r="K519" s="1140"/>
      <c r="L519" s="1143"/>
      <c r="M519" s="1098"/>
      <c r="N519" s="1099"/>
      <c r="O519" s="1099"/>
    </row>
    <row r="520" spans="2:15">
      <c r="B520" s="1129"/>
      <c r="C520" s="1098"/>
      <c r="D520" s="1099"/>
      <c r="E520" s="1098"/>
      <c r="F520" s="1136"/>
      <c r="G520" s="1099"/>
      <c r="H520" s="1098"/>
      <c r="I520" s="1099"/>
      <c r="J520" s="1140"/>
      <c r="K520" s="1140"/>
      <c r="L520" s="1143"/>
      <c r="M520" s="1098"/>
      <c r="N520" s="1099"/>
      <c r="O520" s="1099"/>
    </row>
    <row r="521" spans="2:15">
      <c r="B521" s="1129"/>
      <c r="C521" s="1098"/>
      <c r="D521" s="1099"/>
      <c r="E521" s="1098"/>
      <c r="F521" s="1136"/>
      <c r="G521" s="1099"/>
      <c r="H521" s="1098"/>
      <c r="I521" s="1099"/>
      <c r="J521" s="1140"/>
      <c r="K521" s="1140"/>
      <c r="L521" s="1143"/>
      <c r="M521" s="1098"/>
      <c r="N521" s="1099"/>
      <c r="O521" s="1099"/>
    </row>
    <row r="522" spans="2:15">
      <c r="B522" s="1129"/>
      <c r="C522" s="1098"/>
      <c r="D522" s="1099"/>
      <c r="E522" s="1098"/>
      <c r="F522" s="1136"/>
      <c r="G522" s="1099"/>
      <c r="H522" s="1098"/>
      <c r="I522" s="1099"/>
      <c r="J522" s="1140"/>
      <c r="K522" s="1140"/>
      <c r="L522" s="1143"/>
      <c r="M522" s="1098"/>
      <c r="N522" s="1099"/>
      <c r="O522" s="1099"/>
    </row>
    <row r="523" spans="2:15">
      <c r="B523" s="1129"/>
      <c r="C523" s="1098"/>
      <c r="D523" s="1099"/>
      <c r="E523" s="1098"/>
      <c r="F523" s="1136"/>
      <c r="G523" s="1099"/>
      <c r="H523" s="1098"/>
      <c r="I523" s="1099"/>
      <c r="J523" s="1140"/>
      <c r="K523" s="1140"/>
      <c r="L523" s="1143"/>
      <c r="M523" s="1098"/>
      <c r="N523" s="1099"/>
      <c r="O523" s="1099"/>
    </row>
    <row r="524" spans="2:15">
      <c r="B524" s="1129"/>
      <c r="C524" s="1098"/>
      <c r="D524" s="1099"/>
      <c r="E524" s="1098"/>
      <c r="F524" s="1136"/>
      <c r="G524" s="1099"/>
      <c r="H524" s="1098"/>
      <c r="I524" s="1099"/>
      <c r="J524" s="1140"/>
      <c r="K524" s="1140"/>
      <c r="L524" s="1143"/>
      <c r="M524" s="1098"/>
      <c r="N524" s="1099"/>
      <c r="O524" s="1099"/>
    </row>
    <row r="525" spans="2:15">
      <c r="B525" s="1129"/>
      <c r="C525" s="1098"/>
      <c r="D525" s="1099"/>
      <c r="E525" s="1098"/>
      <c r="F525" s="1136"/>
      <c r="G525" s="1099"/>
      <c r="H525" s="1098"/>
      <c r="I525" s="1099"/>
      <c r="J525" s="1140"/>
      <c r="K525" s="1140"/>
      <c r="L525" s="1143"/>
      <c r="M525" s="1098"/>
      <c r="N525" s="1099"/>
      <c r="O525" s="1099"/>
    </row>
    <row r="526" spans="2:15">
      <c r="B526" s="1129"/>
      <c r="C526" s="1098"/>
      <c r="D526" s="1099"/>
      <c r="E526" s="1098"/>
      <c r="F526" s="1136"/>
      <c r="G526" s="1099"/>
      <c r="H526" s="1098"/>
      <c r="I526" s="1099"/>
      <c r="J526" s="1140"/>
      <c r="K526" s="1140"/>
      <c r="L526" s="1143"/>
      <c r="M526" s="1098"/>
      <c r="N526" s="1099"/>
      <c r="O526" s="1099"/>
    </row>
    <row r="527" spans="2:15">
      <c r="B527" s="1129"/>
      <c r="C527" s="1098"/>
      <c r="D527" s="1099"/>
      <c r="E527" s="1098"/>
      <c r="F527" s="1136"/>
      <c r="G527" s="1099"/>
      <c r="H527" s="1098"/>
      <c r="I527" s="1099"/>
      <c r="J527" s="1140"/>
      <c r="K527" s="1140"/>
      <c r="L527" s="1143"/>
      <c r="M527" s="1098"/>
      <c r="N527" s="1099"/>
      <c r="O527" s="1099"/>
    </row>
    <row r="528" spans="2:15">
      <c r="B528" s="1129"/>
      <c r="C528" s="1098"/>
      <c r="D528" s="1099"/>
      <c r="E528" s="1098"/>
      <c r="F528" s="1136"/>
      <c r="G528" s="1099"/>
      <c r="H528" s="1098"/>
      <c r="I528" s="1099"/>
      <c r="J528" s="1140"/>
      <c r="K528" s="1140"/>
      <c r="L528" s="1143"/>
      <c r="M528" s="1098"/>
      <c r="N528" s="1099"/>
      <c r="O528" s="1099"/>
    </row>
    <row r="529" spans="2:15">
      <c r="B529" s="1129"/>
      <c r="C529" s="1098"/>
      <c r="D529" s="1099"/>
      <c r="E529" s="1098"/>
      <c r="F529" s="1136"/>
      <c r="G529" s="1099"/>
      <c r="H529" s="1098"/>
      <c r="I529" s="1099"/>
      <c r="J529" s="1140"/>
      <c r="K529" s="1140"/>
      <c r="L529" s="1143"/>
      <c r="M529" s="1098"/>
      <c r="N529" s="1099"/>
      <c r="O529" s="1099"/>
    </row>
    <row r="530" spans="2:15">
      <c r="B530" s="1129"/>
      <c r="C530" s="1098"/>
      <c r="D530" s="1099"/>
      <c r="E530" s="1098"/>
      <c r="F530" s="1136"/>
      <c r="G530" s="1099"/>
      <c r="H530" s="1098"/>
      <c r="I530" s="1099"/>
      <c r="J530" s="1140"/>
      <c r="K530" s="1140"/>
      <c r="L530" s="1143"/>
      <c r="M530" s="1098"/>
      <c r="N530" s="1099"/>
      <c r="O530" s="1099"/>
    </row>
    <row r="531" spans="2:15">
      <c r="B531" s="1129"/>
      <c r="C531" s="1098"/>
      <c r="D531" s="1099"/>
      <c r="E531" s="1098"/>
      <c r="F531" s="1136"/>
      <c r="G531" s="1099"/>
      <c r="H531" s="1098"/>
      <c r="I531" s="1099"/>
      <c r="J531" s="1140"/>
      <c r="K531" s="1140"/>
      <c r="L531" s="1143"/>
      <c r="M531" s="1098"/>
      <c r="N531" s="1099"/>
      <c r="O531" s="1099"/>
    </row>
    <row r="532" spans="2:15">
      <c r="B532" s="1129"/>
      <c r="C532" s="1098"/>
      <c r="D532" s="1099"/>
      <c r="E532" s="1098"/>
      <c r="F532" s="1136"/>
      <c r="G532" s="1099"/>
      <c r="H532" s="1098"/>
      <c r="I532" s="1099"/>
      <c r="J532" s="1140"/>
      <c r="K532" s="1140"/>
      <c r="L532" s="1143"/>
      <c r="M532" s="1098"/>
      <c r="N532" s="1099"/>
      <c r="O532" s="1099"/>
    </row>
    <row r="533" spans="2:15">
      <c r="B533" s="1129"/>
      <c r="C533" s="1098"/>
      <c r="D533" s="1099"/>
      <c r="E533" s="1098"/>
      <c r="F533" s="1136"/>
      <c r="G533" s="1099"/>
      <c r="H533" s="1098"/>
      <c r="I533" s="1099"/>
      <c r="J533" s="1140"/>
      <c r="K533" s="1140"/>
      <c r="L533" s="1143"/>
      <c r="M533" s="1098"/>
      <c r="N533" s="1099"/>
      <c r="O533" s="1099"/>
    </row>
    <row r="534" spans="2:15">
      <c r="B534" s="1129"/>
      <c r="C534" s="1098"/>
      <c r="D534" s="1099"/>
      <c r="E534" s="1098"/>
      <c r="F534" s="1136"/>
      <c r="G534" s="1099"/>
      <c r="H534" s="1098"/>
      <c r="I534" s="1099"/>
      <c r="J534" s="1140"/>
      <c r="K534" s="1140"/>
      <c r="L534" s="1143"/>
      <c r="M534" s="1098"/>
      <c r="N534" s="1099"/>
      <c r="O534" s="1099"/>
    </row>
    <row r="535" spans="2:15">
      <c r="B535" s="1129"/>
      <c r="C535" s="1098"/>
      <c r="D535" s="1099"/>
      <c r="E535" s="1098"/>
      <c r="F535" s="1136"/>
      <c r="G535" s="1099"/>
      <c r="H535" s="1098"/>
      <c r="I535" s="1099"/>
      <c r="J535" s="1140"/>
      <c r="K535" s="1140"/>
      <c r="L535" s="1143"/>
      <c r="M535" s="1098"/>
      <c r="N535" s="1099"/>
      <c r="O535" s="1099"/>
    </row>
    <row r="536" spans="2:15">
      <c r="B536" s="1129"/>
      <c r="C536" s="1098"/>
      <c r="D536" s="1099"/>
      <c r="E536" s="1098"/>
      <c r="F536" s="1136"/>
      <c r="G536" s="1099"/>
      <c r="H536" s="1098"/>
      <c r="I536" s="1099"/>
      <c r="J536" s="1140"/>
      <c r="K536" s="1140"/>
      <c r="L536" s="1143"/>
      <c r="M536" s="1098"/>
      <c r="N536" s="1099"/>
      <c r="O536" s="1099"/>
    </row>
    <row r="537" spans="2:15">
      <c r="B537" s="1129"/>
      <c r="C537" s="1098"/>
      <c r="D537" s="1099"/>
      <c r="E537" s="1098"/>
      <c r="F537" s="1136"/>
      <c r="G537" s="1099"/>
      <c r="H537" s="1098"/>
      <c r="I537" s="1099"/>
      <c r="J537" s="1140"/>
      <c r="K537" s="1140"/>
      <c r="L537" s="1143"/>
      <c r="M537" s="1098"/>
      <c r="N537" s="1099"/>
      <c r="O537" s="1099"/>
    </row>
    <row r="538" spans="2:15">
      <c r="B538" s="1129"/>
      <c r="C538" s="1098"/>
      <c r="D538" s="1099"/>
      <c r="E538" s="1098"/>
      <c r="F538" s="1136"/>
      <c r="G538" s="1099"/>
      <c r="H538" s="1098"/>
      <c r="I538" s="1099"/>
      <c r="J538" s="1140"/>
      <c r="K538" s="1140"/>
      <c r="L538" s="1143"/>
      <c r="M538" s="1098"/>
      <c r="N538" s="1099"/>
      <c r="O538" s="1099"/>
    </row>
    <row r="539" spans="2:15">
      <c r="B539" s="1129"/>
      <c r="C539" s="1098"/>
      <c r="D539" s="1099"/>
      <c r="E539" s="1098"/>
      <c r="F539" s="1136"/>
      <c r="G539" s="1099"/>
      <c r="H539" s="1098"/>
      <c r="I539" s="1099"/>
      <c r="J539" s="1140"/>
      <c r="K539" s="1140"/>
      <c r="L539" s="1143"/>
      <c r="M539" s="1098"/>
      <c r="N539" s="1099"/>
      <c r="O539" s="1099"/>
    </row>
    <row r="540" spans="2:15">
      <c r="B540" s="1129"/>
      <c r="C540" s="1098"/>
      <c r="D540" s="1099"/>
      <c r="E540" s="1098"/>
      <c r="F540" s="1136"/>
      <c r="G540" s="1099"/>
      <c r="H540" s="1098"/>
      <c r="I540" s="1099"/>
      <c r="J540" s="1140"/>
      <c r="K540" s="1140"/>
      <c r="L540" s="1143"/>
      <c r="M540" s="1098"/>
      <c r="N540" s="1099"/>
      <c r="O540" s="1099"/>
    </row>
    <row r="541" spans="2:15">
      <c r="B541" s="1129"/>
      <c r="C541" s="1098"/>
      <c r="D541" s="1099"/>
      <c r="E541" s="1098"/>
      <c r="F541" s="1136"/>
      <c r="G541" s="1099"/>
      <c r="H541" s="1098"/>
      <c r="I541" s="1099"/>
      <c r="J541" s="1140"/>
      <c r="K541" s="1140"/>
      <c r="L541" s="1143"/>
      <c r="M541" s="1098"/>
      <c r="N541" s="1099"/>
      <c r="O541" s="1099"/>
    </row>
    <row r="542" spans="2:15">
      <c r="B542" s="1129"/>
      <c r="C542" s="1098"/>
      <c r="D542" s="1099"/>
      <c r="E542" s="1098"/>
      <c r="F542" s="1136"/>
      <c r="G542" s="1099"/>
      <c r="H542" s="1098"/>
      <c r="I542" s="1099"/>
      <c r="J542" s="1140"/>
      <c r="K542" s="1140"/>
      <c r="L542" s="1143"/>
      <c r="M542" s="1098"/>
      <c r="N542" s="1099"/>
      <c r="O542" s="1099"/>
    </row>
    <row r="543" spans="2:15">
      <c r="B543" s="1129"/>
      <c r="C543" s="1098"/>
      <c r="D543" s="1099"/>
      <c r="E543" s="1098"/>
      <c r="F543" s="1136"/>
      <c r="G543" s="1099"/>
      <c r="H543" s="1098"/>
      <c r="I543" s="1099"/>
      <c r="J543" s="1140"/>
      <c r="K543" s="1140"/>
      <c r="L543" s="1143"/>
      <c r="M543" s="1098"/>
      <c r="N543" s="1099"/>
      <c r="O543" s="1099"/>
    </row>
    <row r="544" spans="2:15">
      <c r="B544" s="1129"/>
      <c r="C544" s="1098"/>
      <c r="D544" s="1099"/>
      <c r="E544" s="1098"/>
      <c r="F544" s="1136"/>
      <c r="G544" s="1099"/>
      <c r="H544" s="1098"/>
      <c r="I544" s="1099"/>
      <c r="J544" s="1140"/>
      <c r="K544" s="1140"/>
      <c r="L544" s="1143"/>
      <c r="M544" s="1098"/>
      <c r="N544" s="1099"/>
      <c r="O544" s="1099"/>
    </row>
    <row r="545" spans="2:15">
      <c r="B545" s="1129"/>
      <c r="C545" s="1098"/>
      <c r="D545" s="1099"/>
      <c r="E545" s="1098"/>
      <c r="F545" s="1136"/>
      <c r="G545" s="1099"/>
      <c r="H545" s="1098"/>
      <c r="I545" s="1099"/>
      <c r="J545" s="1140"/>
      <c r="K545" s="1140"/>
      <c r="L545" s="1143"/>
      <c r="M545" s="1098"/>
      <c r="N545" s="1099"/>
      <c r="O545" s="1099"/>
    </row>
    <row r="546" spans="2:15">
      <c r="B546" s="1129"/>
      <c r="C546" s="1098"/>
      <c r="D546" s="1099"/>
      <c r="E546" s="1098"/>
      <c r="F546" s="1136"/>
      <c r="G546" s="1099"/>
      <c r="H546" s="1098"/>
      <c r="I546" s="1099"/>
      <c r="J546" s="1140"/>
      <c r="K546" s="1140"/>
      <c r="L546" s="1143"/>
      <c r="M546" s="1098"/>
      <c r="N546" s="1099"/>
      <c r="O546" s="1099"/>
    </row>
    <row r="547" spans="2:15">
      <c r="B547" s="1129"/>
      <c r="C547" s="1098"/>
      <c r="D547" s="1099"/>
      <c r="E547" s="1098"/>
      <c r="F547" s="1136"/>
      <c r="G547" s="1099"/>
      <c r="H547" s="1098"/>
      <c r="I547" s="1099"/>
      <c r="J547" s="1140"/>
      <c r="K547" s="1140"/>
      <c r="L547" s="1143"/>
      <c r="M547" s="1098"/>
      <c r="N547" s="1099"/>
      <c r="O547" s="1099"/>
    </row>
    <row r="548" spans="2:15">
      <c r="B548" s="1129"/>
      <c r="C548" s="1098"/>
      <c r="D548" s="1099"/>
      <c r="E548" s="1098"/>
      <c r="F548" s="1136"/>
      <c r="G548" s="1099"/>
      <c r="H548" s="1098"/>
      <c r="I548" s="1099"/>
      <c r="J548" s="1140"/>
      <c r="K548" s="1140"/>
      <c r="L548" s="1143"/>
      <c r="M548" s="1098"/>
      <c r="N548" s="1099"/>
      <c r="O548" s="1099"/>
    </row>
    <row r="549" spans="2:15">
      <c r="B549" s="1129"/>
      <c r="C549" s="1098"/>
      <c r="D549" s="1099"/>
      <c r="E549" s="1098"/>
      <c r="F549" s="1136"/>
      <c r="G549" s="1099"/>
      <c r="H549" s="1098"/>
      <c r="I549" s="1099"/>
      <c r="J549" s="1140"/>
      <c r="K549" s="1140"/>
      <c r="L549" s="1143"/>
      <c r="M549" s="1098"/>
      <c r="N549" s="1099"/>
      <c r="O549" s="1099"/>
    </row>
    <row r="550" spans="2:15">
      <c r="B550" s="1129"/>
      <c r="C550" s="1098"/>
      <c r="D550" s="1099"/>
      <c r="E550" s="1098"/>
      <c r="F550" s="1136"/>
      <c r="G550" s="1099"/>
      <c r="H550" s="1098"/>
      <c r="I550" s="1099"/>
      <c r="J550" s="1140"/>
      <c r="K550" s="1140"/>
      <c r="L550" s="1143"/>
      <c r="M550" s="1098"/>
      <c r="N550" s="1099"/>
      <c r="O550" s="1099"/>
    </row>
    <row r="551" spans="2:15">
      <c r="B551" s="1129"/>
      <c r="C551" s="1098"/>
      <c r="D551" s="1099"/>
      <c r="E551" s="1098"/>
      <c r="F551" s="1136"/>
      <c r="G551" s="1099"/>
      <c r="H551" s="1098"/>
      <c r="I551" s="1099"/>
      <c r="J551" s="1140"/>
      <c r="K551" s="1140"/>
      <c r="L551" s="1143"/>
      <c r="M551" s="1098"/>
      <c r="N551" s="1099"/>
      <c r="O551" s="1099"/>
    </row>
    <row r="552" spans="2:15">
      <c r="B552" s="1129"/>
      <c r="C552" s="1098"/>
      <c r="D552" s="1099"/>
      <c r="E552" s="1098"/>
      <c r="F552" s="1136"/>
      <c r="G552" s="1099"/>
      <c r="H552" s="1098"/>
      <c r="I552" s="1099"/>
      <c r="J552" s="1140"/>
      <c r="K552" s="1140"/>
      <c r="L552" s="1143"/>
      <c r="M552" s="1098"/>
      <c r="N552" s="1099"/>
      <c r="O552" s="1099"/>
    </row>
    <row r="553" spans="2:15">
      <c r="B553" s="1129"/>
      <c r="C553" s="1098"/>
      <c r="D553" s="1099"/>
      <c r="E553" s="1098"/>
      <c r="F553" s="1136"/>
      <c r="G553" s="1099"/>
      <c r="H553" s="1098"/>
      <c r="I553" s="1099"/>
      <c r="J553" s="1140"/>
      <c r="K553" s="1140"/>
      <c r="L553" s="1143"/>
      <c r="M553" s="1098"/>
      <c r="N553" s="1099"/>
      <c r="O553" s="1099"/>
    </row>
    <row r="554" spans="2:15">
      <c r="B554" s="1129"/>
      <c r="C554" s="1098"/>
      <c r="D554" s="1099"/>
      <c r="E554" s="1098"/>
      <c r="F554" s="1136"/>
      <c r="G554" s="1099"/>
      <c r="H554" s="1098"/>
      <c r="I554" s="1099"/>
      <c r="J554" s="1140"/>
      <c r="K554" s="1140"/>
      <c r="L554" s="1143"/>
      <c r="M554" s="1098"/>
      <c r="N554" s="1099"/>
      <c r="O554" s="1099"/>
    </row>
    <row r="555" spans="2:15">
      <c r="B555" s="1129"/>
      <c r="C555" s="1098"/>
      <c r="D555" s="1099"/>
      <c r="E555" s="1098"/>
      <c r="F555" s="1136"/>
      <c r="G555" s="1099"/>
      <c r="H555" s="1098"/>
      <c r="I555" s="1099"/>
      <c r="J555" s="1140"/>
      <c r="K555" s="1140"/>
      <c r="L555" s="1143"/>
      <c r="M555" s="1098"/>
      <c r="N555" s="1099"/>
      <c r="O555" s="1099"/>
    </row>
    <row r="556" spans="2:15">
      <c r="B556" s="1129"/>
      <c r="C556" s="1098"/>
      <c r="D556" s="1099"/>
      <c r="E556" s="1098"/>
      <c r="F556" s="1136"/>
      <c r="G556" s="1099"/>
      <c r="H556" s="1098"/>
      <c r="I556" s="1099"/>
      <c r="J556" s="1140"/>
      <c r="K556" s="1140"/>
      <c r="L556" s="1143"/>
      <c r="M556" s="1098"/>
      <c r="N556" s="1099"/>
      <c r="O556" s="1099"/>
    </row>
    <row r="557" spans="2:15">
      <c r="B557" s="1129"/>
      <c r="C557" s="1098"/>
      <c r="D557" s="1099"/>
      <c r="E557" s="1098"/>
      <c r="F557" s="1136"/>
      <c r="G557" s="1099"/>
      <c r="H557" s="1098"/>
      <c r="I557" s="1099"/>
      <c r="J557" s="1140"/>
      <c r="K557" s="1140"/>
      <c r="L557" s="1143"/>
      <c r="M557" s="1098"/>
      <c r="N557" s="1099"/>
      <c r="O557" s="1099"/>
    </row>
    <row r="558" spans="2:15">
      <c r="B558" s="1129"/>
      <c r="C558" s="1098"/>
      <c r="D558" s="1099"/>
      <c r="E558" s="1098"/>
      <c r="F558" s="1136"/>
      <c r="G558" s="1099"/>
      <c r="H558" s="1098"/>
      <c r="I558" s="1099"/>
      <c r="J558" s="1140"/>
      <c r="K558" s="1140"/>
      <c r="L558" s="1143"/>
      <c r="M558" s="1098"/>
      <c r="N558" s="1099"/>
      <c r="O558" s="1099"/>
    </row>
    <row r="559" spans="2:15">
      <c r="B559" s="1129"/>
      <c r="C559" s="1098"/>
      <c r="D559" s="1099"/>
      <c r="E559" s="1098"/>
      <c r="F559" s="1136"/>
      <c r="G559" s="1099"/>
      <c r="H559" s="1098"/>
      <c r="I559" s="1099"/>
      <c r="J559" s="1140"/>
      <c r="K559" s="1140"/>
      <c r="L559" s="1143"/>
      <c r="M559" s="1098"/>
      <c r="N559" s="1099"/>
      <c r="O559" s="1099"/>
    </row>
    <row r="560" spans="2:15">
      <c r="B560" s="1129"/>
      <c r="C560" s="1098"/>
      <c r="D560" s="1099"/>
      <c r="E560" s="1098"/>
      <c r="F560" s="1136"/>
      <c r="G560" s="1099"/>
      <c r="H560" s="1098"/>
      <c r="I560" s="1099"/>
      <c r="J560" s="1140"/>
      <c r="K560" s="1140"/>
      <c r="L560" s="1143"/>
      <c r="M560" s="1098"/>
      <c r="N560" s="1099"/>
      <c r="O560" s="1099"/>
    </row>
    <row r="561" spans="2:15">
      <c r="B561" s="1129"/>
      <c r="C561" s="1098"/>
      <c r="D561" s="1099"/>
      <c r="E561" s="1098"/>
      <c r="F561" s="1136"/>
      <c r="G561" s="1099"/>
      <c r="H561" s="1098"/>
      <c r="I561" s="1099"/>
      <c r="J561" s="1140"/>
      <c r="K561" s="1140"/>
      <c r="L561" s="1143"/>
      <c r="M561" s="1098"/>
      <c r="N561" s="1099"/>
      <c r="O561" s="1099"/>
    </row>
    <row r="562" spans="2:15">
      <c r="B562" s="1129"/>
      <c r="C562" s="1098"/>
      <c r="D562" s="1099"/>
      <c r="E562" s="1098"/>
      <c r="F562" s="1136"/>
      <c r="G562" s="1099"/>
      <c r="H562" s="1098"/>
      <c r="I562" s="1099"/>
      <c r="J562" s="1140"/>
      <c r="K562" s="1140"/>
      <c r="L562" s="1143"/>
      <c r="M562" s="1098"/>
      <c r="N562" s="1099"/>
      <c r="O562" s="1099"/>
    </row>
    <row r="563" spans="2:15">
      <c r="B563" s="1129"/>
      <c r="C563" s="1098"/>
      <c r="D563" s="1099"/>
      <c r="E563" s="1098"/>
      <c r="F563" s="1136"/>
      <c r="G563" s="1099"/>
      <c r="H563" s="1098"/>
      <c r="I563" s="1099"/>
      <c r="J563" s="1140"/>
      <c r="K563" s="1140"/>
      <c r="L563" s="1143"/>
      <c r="M563" s="1098"/>
      <c r="N563" s="1099"/>
      <c r="O563" s="1099"/>
    </row>
    <row r="564" spans="2:15">
      <c r="B564" s="1129"/>
      <c r="C564" s="1098"/>
      <c r="D564" s="1099"/>
      <c r="E564" s="1098"/>
      <c r="F564" s="1136"/>
      <c r="G564" s="1099"/>
      <c r="H564" s="1098"/>
      <c r="I564" s="1099"/>
      <c r="J564" s="1140"/>
      <c r="K564" s="1140"/>
      <c r="L564" s="1143"/>
      <c r="M564" s="1098"/>
      <c r="N564" s="1099"/>
      <c r="O564" s="1099"/>
    </row>
    <row r="565" spans="2:15">
      <c r="B565" s="1129"/>
      <c r="C565" s="1098"/>
      <c r="D565" s="1099"/>
      <c r="E565" s="1098"/>
      <c r="F565" s="1136"/>
      <c r="G565" s="1099"/>
      <c r="H565" s="1098"/>
      <c r="I565" s="1099"/>
      <c r="J565" s="1140"/>
      <c r="K565" s="1140"/>
      <c r="L565" s="1143"/>
      <c r="M565" s="1098"/>
      <c r="N565" s="1099"/>
      <c r="O565" s="1099"/>
    </row>
    <row r="566" spans="2:15">
      <c r="B566" s="1129"/>
      <c r="C566" s="1098"/>
      <c r="D566" s="1099"/>
      <c r="E566" s="1098"/>
      <c r="F566" s="1136"/>
      <c r="G566" s="1099"/>
      <c r="H566" s="1098"/>
      <c r="I566" s="1099"/>
      <c r="J566" s="1140"/>
      <c r="K566" s="1140"/>
      <c r="L566" s="1143"/>
      <c r="M566" s="1098"/>
      <c r="N566" s="1099"/>
      <c r="O566" s="1099"/>
    </row>
    <row r="567" spans="2:15">
      <c r="B567" s="1129"/>
      <c r="C567" s="1098"/>
      <c r="D567" s="1099"/>
      <c r="E567" s="1098"/>
      <c r="F567" s="1136"/>
      <c r="G567" s="1099"/>
      <c r="H567" s="1098"/>
      <c r="I567" s="1099"/>
      <c r="J567" s="1140"/>
      <c r="K567" s="1140"/>
      <c r="L567" s="1143"/>
      <c r="M567" s="1098"/>
      <c r="N567" s="1099"/>
      <c r="O567" s="1099"/>
    </row>
    <row r="568" spans="2:15">
      <c r="B568" s="1129"/>
      <c r="C568" s="1098"/>
      <c r="D568" s="1099"/>
      <c r="E568" s="1098"/>
      <c r="F568" s="1136"/>
      <c r="G568" s="1099"/>
      <c r="H568" s="1098"/>
      <c r="I568" s="1099"/>
      <c r="J568" s="1140"/>
      <c r="K568" s="1140"/>
      <c r="L568" s="1143"/>
      <c r="M568" s="1098"/>
      <c r="N568" s="1099"/>
      <c r="O568" s="1099"/>
    </row>
    <row r="569" spans="2:15">
      <c r="B569" s="1129"/>
      <c r="C569" s="1098"/>
      <c r="D569" s="1099"/>
      <c r="E569" s="1098"/>
      <c r="F569" s="1136"/>
      <c r="G569" s="1099"/>
      <c r="H569" s="1098"/>
      <c r="I569" s="1099"/>
      <c r="J569" s="1140"/>
      <c r="K569" s="1140"/>
      <c r="L569" s="1143"/>
      <c r="M569" s="1098"/>
      <c r="N569" s="1099"/>
      <c r="O569" s="1099"/>
    </row>
    <row r="570" spans="2:15">
      <c r="B570" s="1129"/>
      <c r="C570" s="1098"/>
      <c r="D570" s="1099"/>
      <c r="E570" s="1098"/>
      <c r="F570" s="1136"/>
      <c r="G570" s="1099"/>
      <c r="H570" s="1098"/>
      <c r="I570" s="1099"/>
      <c r="J570" s="1140"/>
      <c r="K570" s="1140"/>
      <c r="L570" s="1143"/>
      <c r="M570" s="1098"/>
      <c r="N570" s="1099"/>
      <c r="O570" s="1099"/>
    </row>
    <row r="571" spans="2:15">
      <c r="B571" s="1129"/>
      <c r="C571" s="1098"/>
      <c r="D571" s="1099"/>
      <c r="E571" s="1098"/>
      <c r="F571" s="1136"/>
      <c r="G571" s="1099"/>
      <c r="H571" s="1098"/>
      <c r="I571" s="1099"/>
      <c r="J571" s="1140"/>
      <c r="K571" s="1140"/>
      <c r="L571" s="1143"/>
      <c r="M571" s="1098"/>
      <c r="N571" s="1099"/>
      <c r="O571" s="1099"/>
    </row>
    <row r="572" spans="2:15">
      <c r="B572" s="1129"/>
      <c r="C572" s="1098"/>
      <c r="D572" s="1099"/>
      <c r="E572" s="1098"/>
      <c r="F572" s="1136"/>
      <c r="G572" s="1099"/>
      <c r="H572" s="1098"/>
      <c r="I572" s="1099"/>
      <c r="J572" s="1140"/>
      <c r="K572" s="1140"/>
      <c r="L572" s="1143"/>
      <c r="M572" s="1098"/>
      <c r="N572" s="1099"/>
      <c r="O572" s="1099"/>
    </row>
    <row r="573" spans="2:15">
      <c r="B573" s="1129"/>
      <c r="C573" s="1098"/>
      <c r="D573" s="1099"/>
      <c r="E573" s="1098"/>
      <c r="F573" s="1136"/>
      <c r="G573" s="1099"/>
      <c r="H573" s="1098"/>
      <c r="I573" s="1099"/>
      <c r="J573" s="1140"/>
      <c r="K573" s="1140"/>
      <c r="L573" s="1143"/>
      <c r="M573" s="1098"/>
      <c r="N573" s="1099"/>
      <c r="O573" s="1099"/>
    </row>
    <row r="574" spans="2:15">
      <c r="B574" s="1129"/>
      <c r="C574" s="1098"/>
      <c r="D574" s="1099"/>
      <c r="E574" s="1098"/>
      <c r="F574" s="1136"/>
      <c r="G574" s="1099"/>
      <c r="H574" s="1098"/>
      <c r="I574" s="1099"/>
      <c r="J574" s="1140"/>
      <c r="K574" s="1140"/>
      <c r="L574" s="1143"/>
      <c r="M574" s="1098"/>
      <c r="N574" s="1099"/>
      <c r="O574" s="1099"/>
    </row>
    <row r="575" spans="2:15">
      <c r="B575" s="1129"/>
      <c r="C575" s="1098"/>
      <c r="D575" s="1099"/>
      <c r="E575" s="1098"/>
      <c r="F575" s="1136"/>
      <c r="G575" s="1099"/>
      <c r="H575" s="1098"/>
      <c r="I575" s="1099"/>
      <c r="J575" s="1140"/>
      <c r="K575" s="1140"/>
      <c r="L575" s="1143"/>
      <c r="M575" s="1098"/>
      <c r="N575" s="1099"/>
      <c r="O575" s="1099"/>
    </row>
    <row r="576" spans="2:15">
      <c r="B576" s="1129"/>
      <c r="C576" s="1098"/>
      <c r="D576" s="1099"/>
      <c r="E576" s="1098"/>
      <c r="F576" s="1136"/>
      <c r="G576" s="1099"/>
      <c r="H576" s="1098"/>
      <c r="I576" s="1099"/>
      <c r="J576" s="1140"/>
      <c r="K576" s="1140"/>
      <c r="L576" s="1143"/>
      <c r="M576" s="1098"/>
      <c r="N576" s="1099"/>
      <c r="O576" s="1099"/>
    </row>
    <row r="577" spans="2:15">
      <c r="B577" s="1129"/>
      <c r="C577" s="1098"/>
      <c r="D577" s="1099"/>
      <c r="E577" s="1098"/>
      <c r="F577" s="1136"/>
      <c r="G577" s="1099"/>
      <c r="H577" s="1098"/>
      <c r="I577" s="1099"/>
      <c r="J577" s="1140"/>
      <c r="K577" s="1140"/>
      <c r="L577" s="1143"/>
      <c r="M577" s="1098"/>
      <c r="N577" s="1099"/>
      <c r="O577" s="1099"/>
    </row>
    <row r="578" spans="2:15">
      <c r="B578" s="1129"/>
      <c r="C578" s="1098"/>
      <c r="D578" s="1099"/>
      <c r="E578" s="1098"/>
      <c r="F578" s="1136"/>
      <c r="G578" s="1099"/>
      <c r="H578" s="1098"/>
      <c r="I578" s="1099"/>
      <c r="J578" s="1140"/>
      <c r="K578" s="1140"/>
      <c r="L578" s="1143"/>
      <c r="M578" s="1098"/>
      <c r="N578" s="1099"/>
      <c r="O578" s="1099"/>
    </row>
    <row r="579" spans="2:15">
      <c r="B579" s="1129"/>
      <c r="C579" s="1098"/>
      <c r="D579" s="1099"/>
      <c r="E579" s="1098"/>
      <c r="F579" s="1136"/>
      <c r="G579" s="1099"/>
      <c r="H579" s="1098"/>
      <c r="I579" s="1099"/>
      <c r="J579" s="1140"/>
      <c r="K579" s="1140"/>
      <c r="L579" s="1143"/>
      <c r="M579" s="1098"/>
      <c r="N579" s="1099"/>
      <c r="O579" s="1099"/>
    </row>
    <row r="580" spans="2:15">
      <c r="B580" s="1129"/>
      <c r="C580" s="1098"/>
      <c r="D580" s="1099"/>
      <c r="E580" s="1098"/>
      <c r="F580" s="1136"/>
      <c r="G580" s="1099"/>
      <c r="H580" s="1098"/>
      <c r="I580" s="1099"/>
      <c r="J580" s="1140"/>
      <c r="K580" s="1140"/>
      <c r="L580" s="1143"/>
      <c r="M580" s="1098"/>
      <c r="N580" s="1099"/>
      <c r="O580" s="1099"/>
    </row>
    <row r="581" spans="2:15">
      <c r="B581" s="1129"/>
      <c r="C581" s="1098"/>
      <c r="D581" s="1099"/>
      <c r="E581" s="1098"/>
      <c r="F581" s="1136"/>
      <c r="G581" s="1099"/>
      <c r="H581" s="1098"/>
      <c r="I581" s="1099"/>
      <c r="J581" s="1140"/>
      <c r="K581" s="1140"/>
      <c r="L581" s="1143"/>
      <c r="M581" s="1098"/>
      <c r="N581" s="1099"/>
      <c r="O581" s="1099"/>
    </row>
    <row r="582" spans="2:15">
      <c r="B582" s="1129"/>
      <c r="C582" s="1098"/>
      <c r="D582" s="1099"/>
      <c r="E582" s="1098"/>
      <c r="F582" s="1136"/>
      <c r="G582" s="1099"/>
      <c r="H582" s="1098"/>
      <c r="I582" s="1099"/>
      <c r="J582" s="1140"/>
      <c r="K582" s="1140"/>
      <c r="L582" s="1143"/>
      <c r="M582" s="1098"/>
      <c r="N582" s="1099"/>
      <c r="O582" s="1099"/>
    </row>
    <row r="583" spans="2:15">
      <c r="B583" s="1129"/>
      <c r="C583" s="1098"/>
      <c r="D583" s="1099"/>
      <c r="E583" s="1098"/>
      <c r="F583" s="1136"/>
      <c r="G583" s="1099"/>
      <c r="H583" s="1098"/>
      <c r="I583" s="1099"/>
      <c r="J583" s="1140"/>
      <c r="K583" s="1140"/>
      <c r="L583" s="1143"/>
      <c r="M583" s="1098"/>
      <c r="N583" s="1099"/>
      <c r="O583" s="1099"/>
    </row>
    <row r="584" spans="2:15">
      <c r="B584" s="1129"/>
      <c r="C584" s="1098"/>
      <c r="D584" s="1099"/>
      <c r="E584" s="1098"/>
      <c r="F584" s="1136"/>
      <c r="G584" s="1099"/>
      <c r="H584" s="1098"/>
      <c r="I584" s="1099"/>
      <c r="J584" s="1140"/>
      <c r="K584" s="1140"/>
      <c r="L584" s="1143"/>
      <c r="M584" s="1098"/>
      <c r="N584" s="1099"/>
      <c r="O584" s="1099"/>
    </row>
    <row r="585" spans="2:15">
      <c r="B585" s="1129"/>
      <c r="C585" s="1098"/>
      <c r="D585" s="1099"/>
      <c r="E585" s="1098"/>
      <c r="F585" s="1136"/>
      <c r="G585" s="1099"/>
      <c r="H585" s="1098"/>
      <c r="I585" s="1099"/>
      <c r="J585" s="1140"/>
      <c r="K585" s="1140"/>
      <c r="L585" s="1143"/>
      <c r="M585" s="1098"/>
      <c r="N585" s="1099"/>
      <c r="O585" s="1099"/>
    </row>
    <row r="586" spans="2:15">
      <c r="B586" s="1129"/>
      <c r="C586" s="1098"/>
      <c r="D586" s="1099"/>
      <c r="E586" s="1098"/>
      <c r="F586" s="1136"/>
      <c r="G586" s="1099"/>
      <c r="H586" s="1098"/>
      <c r="I586" s="1099"/>
      <c r="J586" s="1140"/>
      <c r="K586" s="1140"/>
      <c r="L586" s="1143"/>
      <c r="M586" s="1098"/>
      <c r="N586" s="1099"/>
      <c r="O586" s="1099"/>
    </row>
    <row r="587" spans="2:15">
      <c r="B587" s="1129"/>
      <c r="C587" s="1098"/>
      <c r="D587" s="1099"/>
      <c r="E587" s="1098"/>
      <c r="F587" s="1136"/>
      <c r="G587" s="1099"/>
      <c r="H587" s="1098"/>
      <c r="I587" s="1099"/>
      <c r="J587" s="1140"/>
      <c r="K587" s="1140"/>
      <c r="L587" s="1143"/>
      <c r="M587" s="1098"/>
      <c r="N587" s="1099"/>
      <c r="O587" s="1099"/>
    </row>
    <row r="588" spans="2:15">
      <c r="B588" s="1129"/>
      <c r="C588" s="1098"/>
      <c r="D588" s="1099"/>
      <c r="E588" s="1098"/>
      <c r="F588" s="1136"/>
      <c r="G588" s="1099"/>
      <c r="H588" s="1098"/>
      <c r="I588" s="1099"/>
      <c r="J588" s="1140"/>
      <c r="K588" s="1140"/>
      <c r="L588" s="1143"/>
      <c r="M588" s="1098"/>
      <c r="N588" s="1099"/>
      <c r="O588" s="1099"/>
    </row>
    <row r="589" spans="2:15">
      <c r="B589" s="1129"/>
      <c r="C589" s="1098"/>
      <c r="D589" s="1099"/>
      <c r="E589" s="1098"/>
      <c r="F589" s="1136"/>
      <c r="G589" s="1099"/>
      <c r="H589" s="1098"/>
      <c r="I589" s="1099"/>
      <c r="J589" s="1140"/>
      <c r="K589" s="1140"/>
      <c r="L589" s="1143"/>
      <c r="M589" s="1098"/>
      <c r="N589" s="1099"/>
      <c r="O589" s="1099"/>
    </row>
    <row r="590" spans="2:15">
      <c r="B590" s="1129"/>
      <c r="C590" s="1098"/>
      <c r="D590" s="1099"/>
      <c r="E590" s="1098"/>
      <c r="F590" s="1136"/>
      <c r="G590" s="1099"/>
      <c r="H590" s="1098"/>
      <c r="I590" s="1099"/>
      <c r="J590" s="1140"/>
      <c r="K590" s="1140"/>
      <c r="L590" s="1143"/>
      <c r="M590" s="1098"/>
      <c r="N590" s="1099"/>
      <c r="O590" s="1099"/>
    </row>
    <row r="591" spans="2:15">
      <c r="B591" s="1129"/>
      <c r="C591" s="1098"/>
      <c r="D591" s="1099"/>
      <c r="E591" s="1098"/>
      <c r="F591" s="1136"/>
      <c r="G591" s="1099"/>
      <c r="H591" s="1098"/>
      <c r="I591" s="1099"/>
      <c r="J591" s="1140"/>
      <c r="K591" s="1140"/>
      <c r="L591" s="1143"/>
      <c r="M591" s="1098"/>
      <c r="N591" s="1099"/>
      <c r="O591" s="1099"/>
    </row>
    <row r="592" spans="2:15">
      <c r="B592" s="1129"/>
      <c r="C592" s="1098"/>
      <c r="D592" s="1099"/>
      <c r="E592" s="1098"/>
      <c r="F592" s="1136"/>
      <c r="G592" s="1099"/>
      <c r="H592" s="1098"/>
      <c r="I592" s="1099"/>
      <c r="J592" s="1140"/>
      <c r="K592" s="1140"/>
      <c r="L592" s="1143"/>
      <c r="M592" s="1098"/>
      <c r="N592" s="1099"/>
      <c r="O592" s="1099"/>
    </row>
    <row r="593" spans="2:15">
      <c r="B593" s="1129"/>
      <c r="C593" s="1098"/>
      <c r="D593" s="1099"/>
      <c r="E593" s="1098"/>
      <c r="F593" s="1136"/>
      <c r="G593" s="1099"/>
      <c r="H593" s="1098"/>
      <c r="I593" s="1099"/>
      <c r="J593" s="1140"/>
      <c r="K593" s="1140"/>
      <c r="L593" s="1143"/>
      <c r="M593" s="1098"/>
      <c r="N593" s="1099"/>
      <c r="O593" s="1099"/>
    </row>
    <row r="594" spans="2:15">
      <c r="B594" s="1129"/>
      <c r="C594" s="1098"/>
      <c r="D594" s="1099"/>
      <c r="E594" s="1098"/>
      <c r="F594" s="1136"/>
      <c r="G594" s="1099"/>
      <c r="H594" s="1098"/>
      <c r="I594" s="1099"/>
      <c r="J594" s="1140"/>
      <c r="K594" s="1140"/>
      <c r="L594" s="1143"/>
      <c r="M594" s="1098"/>
      <c r="N594" s="1099"/>
      <c r="O594" s="1099"/>
    </row>
    <row r="595" spans="2:15">
      <c r="B595" s="1129"/>
      <c r="C595" s="1098"/>
      <c r="D595" s="1099"/>
      <c r="E595" s="1098"/>
      <c r="F595" s="1136"/>
      <c r="G595" s="1099"/>
      <c r="H595" s="1098"/>
      <c r="I595" s="1099"/>
      <c r="J595" s="1140"/>
      <c r="K595" s="1140"/>
      <c r="L595" s="1143"/>
      <c r="M595" s="1098"/>
      <c r="N595" s="1099"/>
      <c r="O595" s="1099"/>
    </row>
    <row r="596" spans="2:15">
      <c r="B596" s="1129"/>
      <c r="C596" s="1098"/>
      <c r="D596" s="1099"/>
      <c r="E596" s="1098"/>
      <c r="F596" s="1136"/>
      <c r="G596" s="1099"/>
      <c r="H596" s="1098"/>
      <c r="I596" s="1099"/>
      <c r="J596" s="1140"/>
      <c r="K596" s="1140"/>
      <c r="L596" s="1143"/>
      <c r="M596" s="1098"/>
      <c r="N596" s="1099"/>
      <c r="O596" s="1099"/>
    </row>
    <row r="597" spans="2:15">
      <c r="B597" s="1129"/>
      <c r="C597" s="1098"/>
      <c r="D597" s="1099"/>
      <c r="E597" s="1098"/>
      <c r="F597" s="1136"/>
      <c r="G597" s="1099"/>
      <c r="H597" s="1098"/>
      <c r="I597" s="1099"/>
      <c r="J597" s="1140"/>
      <c r="K597" s="1140"/>
      <c r="L597" s="1143"/>
      <c r="M597" s="1098"/>
      <c r="N597" s="1099"/>
      <c r="O597" s="1099"/>
    </row>
    <row r="598" spans="2:15">
      <c r="B598" s="1129"/>
      <c r="C598" s="1098"/>
      <c r="D598" s="1099"/>
      <c r="E598" s="1098"/>
      <c r="F598" s="1136"/>
      <c r="G598" s="1099"/>
      <c r="H598" s="1098"/>
      <c r="I598" s="1099"/>
      <c r="J598" s="1140"/>
      <c r="K598" s="1140"/>
      <c r="L598" s="1143"/>
      <c r="M598" s="1098"/>
      <c r="N598" s="1099"/>
      <c r="O598" s="1099"/>
    </row>
    <row r="599" spans="2:15">
      <c r="B599" s="1129"/>
      <c r="C599" s="1098"/>
      <c r="D599" s="1099"/>
      <c r="E599" s="1098"/>
      <c r="F599" s="1136"/>
      <c r="G599" s="1099"/>
      <c r="H599" s="1098"/>
      <c r="I599" s="1099"/>
      <c r="J599" s="1140"/>
      <c r="K599" s="1140"/>
      <c r="L599" s="1143"/>
      <c r="M599" s="1098"/>
      <c r="N599" s="1099"/>
      <c r="O599" s="1099"/>
    </row>
    <row r="600" spans="2:15">
      <c r="B600" s="1129"/>
      <c r="C600" s="1098"/>
      <c r="D600" s="1099"/>
      <c r="E600" s="1098"/>
      <c r="F600" s="1136"/>
      <c r="G600" s="1099"/>
      <c r="H600" s="1098"/>
      <c r="I600" s="1099"/>
      <c r="J600" s="1140"/>
      <c r="K600" s="1140"/>
      <c r="L600" s="1143"/>
      <c r="M600" s="1098"/>
      <c r="N600" s="1099"/>
      <c r="O600" s="1099"/>
    </row>
    <row r="601" spans="2:15">
      <c r="B601" s="1129"/>
      <c r="C601" s="1098"/>
      <c r="D601" s="1099"/>
      <c r="E601" s="1098"/>
      <c r="F601" s="1136"/>
      <c r="G601" s="1099"/>
      <c r="H601" s="1098"/>
      <c r="I601" s="1099"/>
      <c r="J601" s="1140"/>
      <c r="K601" s="1140"/>
      <c r="L601" s="1143"/>
      <c r="M601" s="1098"/>
      <c r="N601" s="1099"/>
      <c r="O601" s="1099"/>
    </row>
    <row r="602" spans="2:15">
      <c r="B602" s="1129"/>
      <c r="C602" s="1098"/>
      <c r="D602" s="1099"/>
      <c r="E602" s="1098"/>
      <c r="F602" s="1136"/>
      <c r="G602" s="1099"/>
      <c r="H602" s="1098"/>
      <c r="I602" s="1099"/>
      <c r="J602" s="1140"/>
      <c r="K602" s="1140"/>
      <c r="L602" s="1143"/>
      <c r="M602" s="1098"/>
      <c r="N602" s="1099"/>
      <c r="O602" s="1099"/>
    </row>
    <row r="603" spans="2:15">
      <c r="B603" s="1129"/>
      <c r="C603" s="1098"/>
      <c r="D603" s="1099"/>
      <c r="E603" s="1098"/>
      <c r="F603" s="1136"/>
      <c r="G603" s="1099"/>
      <c r="H603" s="1098"/>
      <c r="I603" s="1099"/>
      <c r="J603" s="1140"/>
      <c r="K603" s="1140"/>
      <c r="L603" s="1143"/>
      <c r="M603" s="1098"/>
      <c r="N603" s="1099"/>
      <c r="O603" s="1099"/>
    </row>
    <row r="604" spans="2:15">
      <c r="B604" s="1129"/>
      <c r="C604" s="1098"/>
      <c r="D604" s="1099"/>
      <c r="E604" s="1098"/>
      <c r="F604" s="1136"/>
      <c r="G604" s="1099"/>
      <c r="H604" s="1098"/>
      <c r="I604" s="1099"/>
      <c r="J604" s="1140"/>
      <c r="K604" s="1140"/>
      <c r="L604" s="1143"/>
      <c r="M604" s="1098"/>
      <c r="N604" s="1099"/>
      <c r="O604" s="1099"/>
    </row>
    <row r="605" spans="2:15">
      <c r="B605" s="1129"/>
      <c r="C605" s="1098"/>
      <c r="D605" s="1099"/>
      <c r="E605" s="1098"/>
      <c r="F605" s="1136"/>
      <c r="G605" s="1099"/>
      <c r="H605" s="1098"/>
      <c r="I605" s="1099"/>
      <c r="J605" s="1140"/>
      <c r="K605" s="1140"/>
      <c r="L605" s="1143"/>
      <c r="M605" s="1098"/>
      <c r="N605" s="1099"/>
      <c r="O605" s="1099"/>
    </row>
    <row r="606" spans="2:15">
      <c r="B606" s="1129"/>
      <c r="C606" s="1098"/>
      <c r="D606" s="1099"/>
      <c r="E606" s="1098"/>
      <c r="F606" s="1136"/>
      <c r="G606" s="1099"/>
      <c r="H606" s="1098"/>
      <c r="I606" s="1099"/>
      <c r="J606" s="1140"/>
      <c r="K606" s="1140"/>
      <c r="L606" s="1143"/>
      <c r="M606" s="1098"/>
      <c r="N606" s="1099"/>
      <c r="O606" s="1099"/>
    </row>
    <row r="607" spans="2:15">
      <c r="B607" s="1129"/>
      <c r="C607" s="1098"/>
      <c r="D607" s="1099"/>
      <c r="E607" s="1098"/>
      <c r="F607" s="1136"/>
      <c r="G607" s="1099"/>
      <c r="H607" s="1098"/>
      <c r="I607" s="1099"/>
      <c r="J607" s="1140"/>
      <c r="K607" s="1140"/>
      <c r="L607" s="1143"/>
      <c r="M607" s="1098"/>
      <c r="N607" s="1099"/>
      <c r="O607" s="1099"/>
    </row>
    <row r="608" spans="2:15">
      <c r="B608" s="1129"/>
      <c r="C608" s="1098"/>
      <c r="D608" s="1099"/>
      <c r="E608" s="1098"/>
      <c r="F608" s="1136"/>
      <c r="G608" s="1099"/>
      <c r="H608" s="1098"/>
      <c r="I608" s="1099"/>
      <c r="J608" s="1140"/>
      <c r="K608" s="1140"/>
      <c r="L608" s="1143"/>
      <c r="M608" s="1098"/>
      <c r="N608" s="1099"/>
      <c r="O608" s="1099"/>
    </row>
    <row r="609" spans="2:15">
      <c r="B609" s="1129"/>
      <c r="C609" s="1098"/>
      <c r="D609" s="1099"/>
      <c r="E609" s="1098"/>
      <c r="F609" s="1136"/>
      <c r="G609" s="1099"/>
      <c r="H609" s="1098"/>
      <c r="I609" s="1099"/>
      <c r="J609" s="1140"/>
      <c r="K609" s="1140"/>
      <c r="L609" s="1143"/>
      <c r="M609" s="1098"/>
      <c r="N609" s="1099"/>
      <c r="O609" s="1099"/>
    </row>
    <row r="610" spans="2:15">
      <c r="B610" s="1129"/>
      <c r="C610" s="1098"/>
      <c r="D610" s="1099"/>
      <c r="E610" s="1098"/>
      <c r="F610" s="1136"/>
      <c r="G610" s="1099"/>
      <c r="H610" s="1098"/>
      <c r="I610" s="1099"/>
      <c r="J610" s="1140"/>
      <c r="K610" s="1140"/>
      <c r="L610" s="1143"/>
      <c r="M610" s="1098"/>
      <c r="N610" s="1099"/>
      <c r="O610" s="1099"/>
    </row>
    <row r="611" spans="2:15">
      <c r="B611" s="1129"/>
      <c r="C611" s="1098"/>
      <c r="D611" s="1099"/>
      <c r="E611" s="1098"/>
      <c r="F611" s="1136"/>
      <c r="G611" s="1099"/>
      <c r="H611" s="1098"/>
      <c r="I611" s="1099"/>
      <c r="J611" s="1140"/>
      <c r="K611" s="1140"/>
      <c r="L611" s="1143"/>
      <c r="M611" s="1098"/>
      <c r="N611" s="1099"/>
      <c r="O611" s="1099"/>
    </row>
    <row r="612" spans="2:15">
      <c r="B612" s="1129"/>
      <c r="C612" s="1098"/>
      <c r="D612" s="1099"/>
      <c r="E612" s="1098"/>
      <c r="F612" s="1136"/>
      <c r="G612" s="1099"/>
      <c r="H612" s="1098"/>
      <c r="I612" s="1099"/>
      <c r="J612" s="1140"/>
      <c r="K612" s="1140"/>
      <c r="L612" s="1143"/>
      <c r="M612" s="1098"/>
      <c r="N612" s="1099"/>
      <c r="O612" s="1099"/>
    </row>
    <row r="613" spans="2:15">
      <c r="B613" s="1129"/>
      <c r="C613" s="1098"/>
      <c r="D613" s="1099"/>
      <c r="E613" s="1098"/>
      <c r="F613" s="1136"/>
      <c r="G613" s="1099"/>
      <c r="H613" s="1098"/>
      <c r="I613" s="1099"/>
      <c r="J613" s="1140"/>
      <c r="K613" s="1140"/>
      <c r="L613" s="1143"/>
      <c r="M613" s="1098"/>
      <c r="N613" s="1099"/>
      <c r="O613" s="1099"/>
    </row>
    <row r="614" spans="2:15">
      <c r="B614" s="1129"/>
      <c r="C614" s="1098"/>
      <c r="D614" s="1099"/>
      <c r="E614" s="1098"/>
      <c r="F614" s="1136"/>
      <c r="G614" s="1099"/>
      <c r="H614" s="1098"/>
      <c r="I614" s="1099"/>
      <c r="J614" s="1140"/>
      <c r="K614" s="1140"/>
      <c r="L614" s="1143"/>
      <c r="M614" s="1098"/>
      <c r="N614" s="1099"/>
      <c r="O614" s="1099"/>
    </row>
    <row r="615" spans="2:15">
      <c r="B615" s="1129"/>
      <c r="C615" s="1098"/>
      <c r="D615" s="1099"/>
      <c r="E615" s="1098"/>
      <c r="F615" s="1136"/>
      <c r="G615" s="1099"/>
      <c r="H615" s="1098"/>
      <c r="I615" s="1099"/>
      <c r="J615" s="1140"/>
      <c r="K615" s="1140"/>
      <c r="L615" s="1143"/>
      <c r="M615" s="1098"/>
      <c r="N615" s="1099"/>
      <c r="O615" s="1099"/>
    </row>
    <row r="616" spans="2:15">
      <c r="B616" s="1129"/>
      <c r="C616" s="1098"/>
      <c r="D616" s="1099"/>
      <c r="E616" s="1098"/>
      <c r="F616" s="1136"/>
      <c r="G616" s="1099"/>
      <c r="H616" s="1098"/>
      <c r="I616" s="1099"/>
      <c r="J616" s="1140"/>
      <c r="K616" s="1140"/>
      <c r="L616" s="1143"/>
      <c r="M616" s="1098"/>
      <c r="N616" s="1099"/>
      <c r="O616" s="1099"/>
    </row>
    <row r="617" spans="2:15">
      <c r="B617" s="1129"/>
      <c r="C617" s="1098"/>
      <c r="D617" s="1099"/>
      <c r="E617" s="1098"/>
      <c r="F617" s="1136"/>
      <c r="G617" s="1099"/>
      <c r="H617" s="1098"/>
      <c r="I617" s="1099"/>
      <c r="J617" s="1140"/>
      <c r="K617" s="1140"/>
      <c r="L617" s="1143"/>
      <c r="M617" s="1098"/>
      <c r="N617" s="1099"/>
      <c r="O617" s="1099"/>
    </row>
    <row r="618" spans="2:15">
      <c r="B618" s="1129"/>
      <c r="C618" s="1098"/>
      <c r="D618" s="1099"/>
      <c r="E618" s="1098"/>
      <c r="F618" s="1136"/>
      <c r="G618" s="1099"/>
      <c r="H618" s="1098"/>
      <c r="I618" s="1099"/>
      <c r="J618" s="1140"/>
      <c r="K618" s="1140"/>
      <c r="L618" s="1143"/>
      <c r="M618" s="1098"/>
      <c r="N618" s="1099"/>
      <c r="O618" s="1099"/>
    </row>
    <row r="619" spans="2:15">
      <c r="B619" s="1129"/>
      <c r="C619" s="1098"/>
      <c r="D619" s="1099"/>
      <c r="E619" s="1098"/>
      <c r="F619" s="1136"/>
      <c r="G619" s="1099"/>
      <c r="H619" s="1098"/>
      <c r="I619" s="1099"/>
      <c r="J619" s="1140"/>
      <c r="K619" s="1140"/>
      <c r="L619" s="1143"/>
      <c r="M619" s="1098"/>
      <c r="N619" s="1099"/>
      <c r="O619" s="1099"/>
    </row>
    <row r="620" spans="2:15">
      <c r="B620" s="1129"/>
      <c r="C620" s="1098"/>
      <c r="D620" s="1099"/>
      <c r="E620" s="1098"/>
      <c r="F620" s="1136"/>
      <c r="G620" s="1099"/>
      <c r="H620" s="1098"/>
      <c r="I620" s="1099"/>
      <c r="J620" s="1140"/>
      <c r="K620" s="1140"/>
      <c r="L620" s="1143"/>
      <c r="M620" s="1098"/>
      <c r="N620" s="1099"/>
      <c r="O620" s="1099"/>
    </row>
    <row r="621" spans="2:15">
      <c r="B621" s="1129"/>
      <c r="C621" s="1098"/>
      <c r="D621" s="1099"/>
      <c r="E621" s="1098"/>
      <c r="F621" s="1136"/>
      <c r="G621" s="1099"/>
      <c r="H621" s="1098"/>
      <c r="I621" s="1099"/>
      <c r="J621" s="1140"/>
      <c r="K621" s="1140"/>
      <c r="L621" s="1143"/>
      <c r="M621" s="1098"/>
      <c r="N621" s="1099"/>
      <c r="O621" s="1099"/>
    </row>
    <row r="622" spans="2:15">
      <c r="B622" s="1129"/>
      <c r="C622" s="1098"/>
      <c r="D622" s="1099"/>
      <c r="E622" s="1098"/>
      <c r="F622" s="1136"/>
      <c r="G622" s="1099"/>
      <c r="H622" s="1098"/>
      <c r="I622" s="1099"/>
      <c r="J622" s="1140"/>
      <c r="K622" s="1140"/>
      <c r="L622" s="1143"/>
      <c r="M622" s="1098"/>
      <c r="N622" s="1099"/>
      <c r="O622" s="1099"/>
    </row>
    <row r="623" spans="2:15">
      <c r="B623" s="1129"/>
      <c r="C623" s="1098"/>
      <c r="D623" s="1099"/>
      <c r="E623" s="1098"/>
      <c r="F623" s="1136"/>
      <c r="G623" s="1099"/>
      <c r="H623" s="1098"/>
      <c r="I623" s="1099"/>
      <c r="J623" s="1140"/>
      <c r="K623" s="1140"/>
      <c r="L623" s="1143"/>
      <c r="M623" s="1098"/>
      <c r="N623" s="1099"/>
      <c r="O623" s="1099"/>
    </row>
    <row r="624" spans="2:15">
      <c r="B624" s="1129"/>
      <c r="C624" s="1098"/>
      <c r="D624" s="1099"/>
      <c r="E624" s="1098"/>
      <c r="F624" s="1136"/>
      <c r="G624" s="1099"/>
      <c r="H624" s="1098"/>
      <c r="I624" s="1099"/>
      <c r="J624" s="1140"/>
      <c r="K624" s="1140"/>
      <c r="L624" s="1143"/>
      <c r="M624" s="1098"/>
      <c r="N624" s="1099"/>
      <c r="O624" s="1099"/>
    </row>
    <row r="625" spans="2:15">
      <c r="B625" s="1129"/>
      <c r="C625" s="1098"/>
      <c r="D625" s="1099"/>
      <c r="E625" s="1098"/>
      <c r="F625" s="1136"/>
      <c r="G625" s="1099"/>
      <c r="H625" s="1098"/>
      <c r="I625" s="1099"/>
      <c r="J625" s="1140"/>
      <c r="K625" s="1140"/>
      <c r="L625" s="1143"/>
      <c r="M625" s="1098"/>
      <c r="N625" s="1099"/>
      <c r="O625" s="1099"/>
    </row>
    <row r="626" spans="2:15">
      <c r="B626" s="1129"/>
      <c r="C626" s="1098"/>
      <c r="D626" s="1099"/>
      <c r="E626" s="1098"/>
      <c r="F626" s="1136"/>
      <c r="G626" s="1099"/>
      <c r="H626" s="1098"/>
      <c r="I626" s="1099"/>
      <c r="J626" s="1140"/>
      <c r="K626" s="1140"/>
      <c r="L626" s="1143"/>
      <c r="M626" s="1098"/>
      <c r="N626" s="1099"/>
      <c r="O626" s="1099"/>
    </row>
    <row r="627" spans="2:15">
      <c r="B627" s="1129"/>
      <c r="C627" s="1098"/>
      <c r="D627" s="1099"/>
      <c r="E627" s="1098"/>
      <c r="F627" s="1136"/>
      <c r="G627" s="1099"/>
      <c r="H627" s="1098"/>
      <c r="I627" s="1099"/>
      <c r="J627" s="1140"/>
      <c r="K627" s="1140"/>
      <c r="L627" s="1143"/>
      <c r="M627" s="1098"/>
      <c r="N627" s="1099"/>
      <c r="O627" s="1099"/>
    </row>
    <row r="628" spans="2:15">
      <c r="B628" s="1129"/>
      <c r="C628" s="1098"/>
      <c r="D628" s="1099"/>
      <c r="E628" s="1098"/>
      <c r="F628" s="1136"/>
      <c r="G628" s="1099"/>
      <c r="H628" s="1098"/>
      <c r="I628" s="1099"/>
      <c r="J628" s="1140"/>
      <c r="K628" s="1140"/>
      <c r="L628" s="1143"/>
      <c r="M628" s="1098"/>
      <c r="N628" s="1099"/>
      <c r="O628" s="1099"/>
    </row>
    <row r="629" spans="2:15">
      <c r="B629" s="1129"/>
      <c r="C629" s="1098"/>
      <c r="D629" s="1099"/>
      <c r="E629" s="1098"/>
      <c r="F629" s="1136"/>
      <c r="G629" s="1099"/>
      <c r="H629" s="1098"/>
      <c r="I629" s="1099"/>
      <c r="J629" s="1140"/>
      <c r="K629" s="1140"/>
      <c r="L629" s="1143"/>
      <c r="M629" s="1098"/>
      <c r="N629" s="1099"/>
      <c r="O629" s="1099"/>
    </row>
    <row r="630" spans="2:15">
      <c r="B630" s="1129"/>
      <c r="C630" s="1098"/>
      <c r="D630" s="1099"/>
      <c r="E630" s="1098"/>
      <c r="F630" s="1136"/>
      <c r="G630" s="1099"/>
      <c r="H630" s="1098"/>
      <c r="I630" s="1099"/>
      <c r="J630" s="1140"/>
      <c r="K630" s="1140"/>
      <c r="L630" s="1143"/>
      <c r="M630" s="1098"/>
      <c r="N630" s="1099"/>
      <c r="O630" s="1099"/>
    </row>
    <row r="631" spans="2:15">
      <c r="B631" s="1129"/>
      <c r="C631" s="1098"/>
      <c r="D631" s="1099"/>
      <c r="E631" s="1098"/>
      <c r="F631" s="1136"/>
      <c r="G631" s="1099"/>
      <c r="H631" s="1098"/>
      <c r="I631" s="1099"/>
      <c r="J631" s="1140"/>
      <c r="K631" s="1140"/>
      <c r="L631" s="1143"/>
      <c r="M631" s="1098"/>
      <c r="N631" s="1099"/>
      <c r="O631" s="1099"/>
    </row>
    <row r="632" spans="2:15">
      <c r="B632" s="1129"/>
      <c r="C632" s="1098"/>
      <c r="D632" s="1099"/>
      <c r="E632" s="1098"/>
      <c r="F632" s="1136"/>
      <c r="G632" s="1099"/>
      <c r="H632" s="1098"/>
      <c r="I632" s="1099"/>
      <c r="J632" s="1140"/>
      <c r="K632" s="1140"/>
      <c r="L632" s="1143"/>
      <c r="M632" s="1098"/>
      <c r="N632" s="1099"/>
      <c r="O632" s="1099"/>
    </row>
    <row r="633" spans="2:15">
      <c r="B633" s="1129"/>
      <c r="C633" s="1098"/>
      <c r="D633" s="1099"/>
      <c r="E633" s="1098"/>
      <c r="F633" s="1136"/>
      <c r="G633" s="1099"/>
      <c r="H633" s="1098"/>
      <c r="I633" s="1099"/>
      <c r="J633" s="1140"/>
      <c r="K633" s="1140"/>
      <c r="L633" s="1143"/>
      <c r="M633" s="1098"/>
      <c r="N633" s="1099"/>
      <c r="O633" s="1099"/>
    </row>
    <row r="634" spans="2:15">
      <c r="B634" s="1129"/>
      <c r="C634" s="1098"/>
      <c r="D634" s="1099"/>
      <c r="E634" s="1098"/>
      <c r="F634" s="1136"/>
      <c r="G634" s="1099"/>
      <c r="H634" s="1098"/>
      <c r="I634" s="1099"/>
      <c r="J634" s="1140"/>
      <c r="K634" s="1140"/>
      <c r="L634" s="1143"/>
      <c r="M634" s="1098"/>
      <c r="N634" s="1099"/>
      <c r="O634" s="1099"/>
    </row>
    <row r="635" spans="2:15">
      <c r="B635" s="1129"/>
      <c r="C635" s="1098"/>
      <c r="D635" s="1099"/>
      <c r="E635" s="1098"/>
      <c r="F635" s="1136"/>
      <c r="G635" s="1099"/>
      <c r="H635" s="1098"/>
      <c r="I635" s="1099"/>
      <c r="J635" s="1140"/>
      <c r="K635" s="1140"/>
      <c r="L635" s="1143"/>
      <c r="M635" s="1098"/>
      <c r="N635" s="1099"/>
      <c r="O635" s="1099"/>
    </row>
    <row r="636" spans="2:15">
      <c r="B636" s="1129"/>
      <c r="C636" s="1098"/>
      <c r="D636" s="1099"/>
      <c r="E636" s="1098"/>
      <c r="F636" s="1136"/>
      <c r="G636" s="1099"/>
      <c r="H636" s="1098"/>
      <c r="I636" s="1099"/>
      <c r="J636" s="1140"/>
      <c r="K636" s="1140"/>
      <c r="L636" s="1143"/>
      <c r="M636" s="1098"/>
      <c r="N636" s="1099"/>
      <c r="O636" s="1099"/>
    </row>
    <row r="637" spans="2:15">
      <c r="B637" s="1129"/>
      <c r="C637" s="1098"/>
      <c r="D637" s="1099"/>
      <c r="E637" s="1098"/>
      <c r="F637" s="1136"/>
      <c r="G637" s="1099"/>
      <c r="H637" s="1098"/>
      <c r="I637" s="1099"/>
      <c r="J637" s="1140"/>
      <c r="K637" s="1140"/>
      <c r="L637" s="1143"/>
      <c r="M637" s="1098"/>
      <c r="N637" s="1099"/>
      <c r="O637" s="1099"/>
    </row>
    <row r="638" spans="2:15">
      <c r="B638" s="1129"/>
      <c r="C638" s="1098"/>
      <c r="D638" s="1099"/>
      <c r="E638" s="1098"/>
      <c r="F638" s="1136"/>
      <c r="G638" s="1099"/>
      <c r="H638" s="1098"/>
      <c r="I638" s="1099"/>
      <c r="J638" s="1140"/>
      <c r="K638" s="1140"/>
      <c r="L638" s="1143"/>
      <c r="M638" s="1098"/>
      <c r="N638" s="1099"/>
      <c r="O638" s="1099"/>
    </row>
    <row r="639" spans="2:15">
      <c r="B639" s="1129"/>
      <c r="C639" s="1098"/>
      <c r="D639" s="1099"/>
      <c r="E639" s="1098"/>
      <c r="F639" s="1136"/>
      <c r="G639" s="1099"/>
      <c r="H639" s="1098"/>
      <c r="I639" s="1099"/>
      <c r="J639" s="1140"/>
      <c r="K639" s="1140"/>
      <c r="L639" s="1143"/>
      <c r="M639" s="1098"/>
      <c r="N639" s="1099"/>
      <c r="O639" s="1099"/>
    </row>
    <row r="640" spans="2:15">
      <c r="B640" s="1129"/>
      <c r="C640" s="1098"/>
      <c r="D640" s="1099"/>
      <c r="E640" s="1098"/>
      <c r="F640" s="1136"/>
      <c r="G640" s="1099"/>
      <c r="H640" s="1098"/>
      <c r="I640" s="1099"/>
      <c r="J640" s="1140"/>
      <c r="K640" s="1140"/>
      <c r="L640" s="1143"/>
      <c r="M640" s="1098"/>
      <c r="N640" s="1099"/>
      <c r="O640" s="1099"/>
    </row>
    <row r="641" spans="2:15">
      <c r="B641" s="1129"/>
      <c r="C641" s="1098"/>
      <c r="D641" s="1099"/>
      <c r="E641" s="1098"/>
      <c r="F641" s="1136"/>
      <c r="G641" s="1099"/>
      <c r="H641" s="1098"/>
      <c r="I641" s="1099"/>
      <c r="J641" s="1140"/>
      <c r="K641" s="1140"/>
      <c r="L641" s="1143"/>
      <c r="M641" s="1098"/>
      <c r="N641" s="1099"/>
      <c r="O641" s="1099"/>
    </row>
    <row r="642" spans="2:15">
      <c r="B642" s="1129"/>
      <c r="C642" s="1098"/>
      <c r="D642" s="1099"/>
      <c r="E642" s="1098"/>
      <c r="F642" s="1136"/>
      <c r="G642" s="1099"/>
      <c r="H642" s="1098"/>
      <c r="I642" s="1099"/>
      <c r="J642" s="1140"/>
      <c r="K642" s="1140"/>
      <c r="L642" s="1143"/>
      <c r="M642" s="1098"/>
      <c r="N642" s="1099"/>
      <c r="O642" s="1099"/>
    </row>
    <row r="643" spans="2:15">
      <c r="B643" s="1129"/>
      <c r="C643" s="1098"/>
      <c r="D643" s="1099"/>
      <c r="E643" s="1098"/>
      <c r="F643" s="1136"/>
      <c r="G643" s="1099"/>
      <c r="H643" s="1098"/>
      <c r="I643" s="1099"/>
      <c r="J643" s="1140"/>
      <c r="K643" s="1140"/>
      <c r="L643" s="1143"/>
      <c r="M643" s="1098"/>
      <c r="N643" s="1099"/>
      <c r="O643" s="1099"/>
    </row>
    <row r="644" spans="2:15">
      <c r="B644" s="1129"/>
      <c r="C644" s="1098"/>
      <c r="D644" s="1099"/>
      <c r="E644" s="1098"/>
      <c r="F644" s="1136"/>
      <c r="G644" s="1099"/>
      <c r="H644" s="1098"/>
      <c r="I644" s="1099"/>
      <c r="J644" s="1140"/>
      <c r="K644" s="1140"/>
      <c r="L644" s="1143"/>
      <c r="M644" s="1098"/>
      <c r="N644" s="1099"/>
      <c r="O644" s="1099"/>
    </row>
    <row r="645" spans="2:15">
      <c r="B645" s="1129"/>
      <c r="C645" s="1098"/>
      <c r="D645" s="1099"/>
      <c r="E645" s="1098"/>
      <c r="F645" s="1136"/>
      <c r="G645" s="1099"/>
      <c r="H645" s="1098"/>
      <c r="I645" s="1099"/>
      <c r="J645" s="1140"/>
      <c r="K645" s="1140"/>
      <c r="L645" s="1143"/>
      <c r="M645" s="1098"/>
      <c r="N645" s="1099"/>
      <c r="O645" s="1099"/>
    </row>
    <row r="646" spans="2:15">
      <c r="B646" s="1129"/>
      <c r="C646" s="1098"/>
      <c r="D646" s="1099"/>
      <c r="E646" s="1098"/>
      <c r="F646" s="1136"/>
      <c r="G646" s="1099"/>
      <c r="H646" s="1098"/>
      <c r="I646" s="1099"/>
      <c r="J646" s="1140"/>
      <c r="K646" s="1140"/>
      <c r="L646" s="1143"/>
      <c r="M646" s="1098"/>
      <c r="N646" s="1099"/>
      <c r="O646" s="1099"/>
    </row>
    <row r="647" spans="2:15">
      <c r="B647" s="1129"/>
      <c r="C647" s="1098"/>
      <c r="D647" s="1099"/>
      <c r="E647" s="1098"/>
      <c r="F647" s="1136"/>
      <c r="G647" s="1099"/>
      <c r="H647" s="1098"/>
      <c r="I647" s="1099"/>
      <c r="J647" s="1140"/>
      <c r="K647" s="1140"/>
      <c r="L647" s="1143"/>
      <c r="M647" s="1098"/>
      <c r="N647" s="1099"/>
      <c r="O647" s="1099"/>
    </row>
    <row r="648" spans="2:15">
      <c r="B648" s="1129"/>
      <c r="C648" s="1098"/>
      <c r="D648" s="1099"/>
      <c r="E648" s="1098"/>
      <c r="F648" s="1136"/>
      <c r="G648" s="1099"/>
      <c r="H648" s="1098"/>
      <c r="I648" s="1099"/>
      <c r="J648" s="1140"/>
      <c r="K648" s="1140"/>
      <c r="L648" s="1143"/>
      <c r="M648" s="1098"/>
      <c r="N648" s="1099"/>
      <c r="O648" s="1099"/>
    </row>
    <row r="649" spans="2:15">
      <c r="B649" s="1129"/>
      <c r="C649" s="1098"/>
      <c r="D649" s="1099"/>
      <c r="E649" s="1098"/>
      <c r="F649" s="1136"/>
      <c r="G649" s="1099"/>
      <c r="H649" s="1098"/>
      <c r="I649" s="1099"/>
      <c r="J649" s="1140"/>
      <c r="K649" s="1140"/>
      <c r="L649" s="1143"/>
      <c r="M649" s="1098"/>
      <c r="N649" s="1099"/>
      <c r="O649" s="1099"/>
    </row>
    <row r="650" spans="2:15">
      <c r="B650" s="1129"/>
      <c r="C650" s="1098"/>
      <c r="D650" s="1099"/>
      <c r="E650" s="1098"/>
      <c r="F650" s="1136"/>
      <c r="G650" s="1099"/>
      <c r="H650" s="1098"/>
      <c r="I650" s="1099"/>
      <c r="J650" s="1140"/>
      <c r="K650" s="1140"/>
      <c r="L650" s="1143"/>
      <c r="M650" s="1098"/>
      <c r="N650" s="1099"/>
      <c r="O650" s="1099"/>
    </row>
    <row r="651" spans="2:15">
      <c r="B651" s="1129"/>
      <c r="C651" s="1098"/>
      <c r="D651" s="1099"/>
      <c r="E651" s="1098"/>
      <c r="F651" s="1136"/>
      <c r="G651" s="1099"/>
      <c r="H651" s="1098"/>
      <c r="I651" s="1099"/>
      <c r="J651" s="1140"/>
      <c r="K651" s="1140"/>
      <c r="L651" s="1143"/>
      <c r="M651" s="1098"/>
      <c r="N651" s="1099"/>
      <c r="O651" s="1099"/>
    </row>
    <row r="652" spans="2:15">
      <c r="B652" s="1129"/>
      <c r="C652" s="1098"/>
      <c r="D652" s="1099"/>
      <c r="E652" s="1098"/>
      <c r="F652" s="1136"/>
      <c r="G652" s="1099"/>
      <c r="H652" s="1098"/>
      <c r="I652" s="1099"/>
      <c r="J652" s="1140"/>
      <c r="K652" s="1140"/>
      <c r="L652" s="1143"/>
      <c r="M652" s="1098"/>
      <c r="N652" s="1099"/>
      <c r="O652" s="1099"/>
    </row>
    <row r="653" spans="2:15">
      <c r="B653" s="1129"/>
      <c r="C653" s="1098"/>
      <c r="D653" s="1099"/>
      <c r="E653" s="1098"/>
      <c r="F653" s="1136"/>
      <c r="G653" s="1099"/>
      <c r="H653" s="1098"/>
      <c r="I653" s="1099"/>
      <c r="J653" s="1140"/>
      <c r="K653" s="1140"/>
      <c r="L653" s="1143"/>
      <c r="M653" s="1098"/>
      <c r="N653" s="1099"/>
      <c r="O653" s="1099"/>
    </row>
    <row r="654" spans="2:15">
      <c r="B654" s="1129"/>
      <c r="C654" s="1098"/>
      <c r="D654" s="1099"/>
      <c r="E654" s="1098"/>
      <c r="F654" s="1136"/>
      <c r="G654" s="1099"/>
      <c r="H654" s="1098"/>
      <c r="I654" s="1099"/>
      <c r="J654" s="1140"/>
      <c r="K654" s="1140"/>
      <c r="L654" s="1143"/>
      <c r="M654" s="1098"/>
      <c r="N654" s="1099"/>
      <c r="O654" s="1099"/>
    </row>
    <row r="655" spans="2:15">
      <c r="B655" s="1129"/>
      <c r="C655" s="1098"/>
      <c r="D655" s="1099"/>
      <c r="E655" s="1098"/>
      <c r="F655" s="1136"/>
      <c r="G655" s="1099"/>
      <c r="H655" s="1098"/>
      <c r="I655" s="1099"/>
      <c r="J655" s="1140"/>
      <c r="K655" s="1140"/>
      <c r="L655" s="1143"/>
      <c r="M655" s="1098"/>
      <c r="N655" s="1099"/>
      <c r="O655" s="1099"/>
    </row>
    <row r="656" spans="2:15">
      <c r="B656" s="1129"/>
      <c r="C656" s="1098"/>
      <c r="D656" s="1099"/>
      <c r="E656" s="1098"/>
      <c r="F656" s="1136"/>
      <c r="G656" s="1099"/>
      <c r="H656" s="1098"/>
      <c r="I656" s="1099"/>
      <c r="J656" s="1140"/>
      <c r="K656" s="1140"/>
      <c r="L656" s="1143"/>
      <c r="M656" s="1098"/>
      <c r="N656" s="1099"/>
      <c r="O656" s="1099"/>
    </row>
    <row r="657" spans="2:15">
      <c r="B657" s="1129"/>
      <c r="C657" s="1098"/>
      <c r="D657" s="1099"/>
      <c r="E657" s="1098"/>
      <c r="F657" s="1136"/>
      <c r="G657" s="1099"/>
      <c r="H657" s="1098"/>
      <c r="I657" s="1099"/>
      <c r="J657" s="1140"/>
      <c r="K657" s="1140"/>
      <c r="L657" s="1143"/>
      <c r="M657" s="1098"/>
      <c r="N657" s="1099"/>
      <c r="O657" s="1099"/>
    </row>
    <row r="658" spans="2:15">
      <c r="B658" s="1129"/>
      <c r="C658" s="1098"/>
      <c r="D658" s="1099"/>
      <c r="E658" s="1098"/>
      <c r="F658" s="1136"/>
      <c r="G658" s="1099"/>
      <c r="H658" s="1098"/>
      <c r="I658" s="1099"/>
      <c r="J658" s="1140"/>
      <c r="K658" s="1140"/>
      <c r="L658" s="1143"/>
      <c r="M658" s="1098"/>
      <c r="N658" s="1099"/>
      <c r="O658" s="1099"/>
    </row>
    <row r="659" spans="2:15">
      <c r="B659" s="1129"/>
      <c r="C659" s="1098"/>
      <c r="D659" s="1099"/>
      <c r="E659" s="1098"/>
      <c r="F659" s="1136"/>
      <c r="G659" s="1099"/>
      <c r="H659" s="1098"/>
      <c r="I659" s="1099"/>
      <c r="J659" s="1140"/>
      <c r="K659" s="1140"/>
      <c r="L659" s="1143"/>
      <c r="M659" s="1098"/>
      <c r="N659" s="1099"/>
      <c r="O659" s="1099"/>
    </row>
    <row r="660" spans="2:15">
      <c r="B660" s="1129"/>
      <c r="C660" s="1098"/>
      <c r="D660" s="1099"/>
      <c r="E660" s="1098"/>
      <c r="F660" s="1136"/>
      <c r="G660" s="1099"/>
      <c r="H660" s="1098"/>
      <c r="I660" s="1099"/>
      <c r="J660" s="1140"/>
      <c r="K660" s="1140"/>
      <c r="L660" s="1143"/>
      <c r="M660" s="1098"/>
      <c r="N660" s="1099"/>
      <c r="O660" s="1099"/>
    </row>
    <row r="661" spans="2:15">
      <c r="B661" s="1129"/>
      <c r="C661" s="1098"/>
      <c r="D661" s="1099"/>
      <c r="E661" s="1098"/>
      <c r="F661" s="1136"/>
      <c r="G661" s="1099"/>
      <c r="H661" s="1098"/>
      <c r="I661" s="1099"/>
      <c r="J661" s="1140"/>
      <c r="K661" s="1140"/>
      <c r="L661" s="1143"/>
      <c r="M661" s="1098"/>
      <c r="N661" s="1099"/>
      <c r="O661" s="1099"/>
    </row>
    <row r="662" spans="2:15">
      <c r="B662" s="1129"/>
      <c r="C662" s="1098"/>
      <c r="D662" s="1099"/>
      <c r="E662" s="1098"/>
      <c r="F662" s="1136"/>
      <c r="G662" s="1099"/>
      <c r="H662" s="1098"/>
      <c r="I662" s="1099"/>
      <c r="J662" s="1140"/>
      <c r="K662" s="1140"/>
      <c r="L662" s="1143"/>
      <c r="M662" s="1098"/>
      <c r="N662" s="1099"/>
      <c r="O662" s="1099"/>
    </row>
    <row r="663" spans="2:15">
      <c r="B663" s="1129"/>
      <c r="C663" s="1098"/>
      <c r="D663" s="1099"/>
      <c r="E663" s="1098"/>
      <c r="F663" s="1136"/>
      <c r="G663" s="1099"/>
      <c r="H663" s="1098"/>
      <c r="I663" s="1099"/>
      <c r="J663" s="1140"/>
      <c r="K663" s="1140"/>
      <c r="L663" s="1143"/>
      <c r="M663" s="1098"/>
      <c r="N663" s="1099"/>
      <c r="O663" s="1099"/>
    </row>
    <row r="664" spans="2:15">
      <c r="B664" s="1129"/>
      <c r="C664" s="1098"/>
      <c r="D664" s="1099"/>
      <c r="E664" s="1098"/>
      <c r="F664" s="1136"/>
      <c r="G664" s="1099"/>
      <c r="H664" s="1098"/>
      <c r="I664" s="1099"/>
      <c r="J664" s="1140"/>
      <c r="K664" s="1140"/>
      <c r="L664" s="1143"/>
      <c r="M664" s="1098"/>
      <c r="N664" s="1099"/>
      <c r="O664" s="1099"/>
    </row>
    <row r="665" spans="2:15">
      <c r="B665" s="1129"/>
      <c r="C665" s="1098"/>
      <c r="D665" s="1099"/>
      <c r="E665" s="1098"/>
      <c r="F665" s="1136"/>
      <c r="G665" s="1099"/>
      <c r="H665" s="1098"/>
      <c r="I665" s="1099"/>
      <c r="J665" s="1140"/>
      <c r="K665" s="1140"/>
      <c r="L665" s="1143"/>
      <c r="M665" s="1098"/>
      <c r="N665" s="1099"/>
      <c r="O665" s="1099"/>
    </row>
    <row r="666" spans="2:15">
      <c r="B666" s="1129"/>
      <c r="C666" s="1098"/>
      <c r="D666" s="1099"/>
      <c r="E666" s="1098"/>
      <c r="F666" s="1136"/>
      <c r="G666" s="1099"/>
      <c r="H666" s="1098"/>
      <c r="I666" s="1099"/>
      <c r="J666" s="1140"/>
      <c r="K666" s="1140"/>
      <c r="L666" s="1143"/>
      <c r="M666" s="1098"/>
      <c r="N666" s="1099"/>
      <c r="O666" s="1099"/>
    </row>
    <row r="667" spans="2:15">
      <c r="B667" s="1129"/>
      <c r="C667" s="1098"/>
      <c r="D667" s="1099"/>
      <c r="E667" s="1098"/>
      <c r="F667" s="1136"/>
      <c r="G667" s="1099"/>
      <c r="H667" s="1098"/>
      <c r="I667" s="1099"/>
      <c r="J667" s="1140"/>
      <c r="K667" s="1140"/>
      <c r="L667" s="1143"/>
      <c r="M667" s="1098"/>
      <c r="N667" s="1099"/>
      <c r="O667" s="1099"/>
    </row>
    <row r="668" spans="2:15">
      <c r="B668" s="1129"/>
      <c r="C668" s="1098"/>
      <c r="D668" s="1099"/>
      <c r="E668" s="1098"/>
      <c r="F668" s="1136"/>
      <c r="G668" s="1099"/>
      <c r="H668" s="1098"/>
      <c r="I668" s="1099"/>
      <c r="J668" s="1140"/>
      <c r="K668" s="1140"/>
      <c r="L668" s="1143"/>
      <c r="M668" s="1098"/>
      <c r="N668" s="1099"/>
      <c r="O668" s="1099"/>
    </row>
    <row r="669" spans="2:15">
      <c r="B669" s="1129"/>
      <c r="C669" s="1098"/>
      <c r="D669" s="1099"/>
      <c r="E669" s="1098"/>
      <c r="F669" s="1136"/>
      <c r="G669" s="1099"/>
      <c r="H669" s="1098"/>
      <c r="I669" s="1099"/>
      <c r="J669" s="1140"/>
      <c r="K669" s="1140"/>
      <c r="L669" s="1143"/>
      <c r="M669" s="1098"/>
      <c r="N669" s="1099"/>
      <c r="O669" s="1099"/>
    </row>
    <row r="670" spans="2:15">
      <c r="B670" s="1129"/>
      <c r="C670" s="1098"/>
      <c r="D670" s="1099"/>
      <c r="E670" s="1098"/>
      <c r="F670" s="1136"/>
      <c r="G670" s="1099"/>
      <c r="H670" s="1098"/>
      <c r="I670" s="1099"/>
      <c r="J670" s="1140"/>
      <c r="K670" s="1140"/>
      <c r="L670" s="1143"/>
      <c r="M670" s="1098"/>
      <c r="N670" s="1099"/>
      <c r="O670" s="1099"/>
    </row>
    <row r="671" spans="2:15">
      <c r="B671" s="1129"/>
      <c r="C671" s="1098"/>
      <c r="D671" s="1099"/>
      <c r="E671" s="1098"/>
      <c r="F671" s="1136"/>
      <c r="G671" s="1099"/>
      <c r="H671" s="1098"/>
      <c r="I671" s="1099"/>
      <c r="J671" s="1140"/>
      <c r="K671" s="1140"/>
      <c r="L671" s="1143"/>
      <c r="M671" s="1098"/>
      <c r="N671" s="1099"/>
      <c r="O671" s="1099"/>
    </row>
    <row r="672" spans="2:15">
      <c r="B672" s="1129"/>
      <c r="C672" s="1098"/>
      <c r="D672" s="1099"/>
      <c r="E672" s="1098"/>
      <c r="F672" s="1136"/>
      <c r="G672" s="1099"/>
      <c r="H672" s="1098"/>
      <c r="I672" s="1099"/>
      <c r="J672" s="1140"/>
      <c r="K672" s="1140"/>
      <c r="L672" s="1143"/>
      <c r="M672" s="1098"/>
      <c r="N672" s="1099"/>
      <c r="O672" s="1099"/>
    </row>
    <row r="673" spans="2:15">
      <c r="B673" s="1129"/>
      <c r="C673" s="1098"/>
      <c r="D673" s="1099"/>
      <c r="E673" s="1098"/>
      <c r="F673" s="1136"/>
      <c r="G673" s="1099"/>
      <c r="H673" s="1098"/>
      <c r="I673" s="1099"/>
      <c r="J673" s="1140"/>
      <c r="K673" s="1140"/>
      <c r="L673" s="1143"/>
      <c r="M673" s="1098"/>
      <c r="N673" s="1099"/>
      <c r="O673" s="1099"/>
    </row>
    <row r="674" spans="2:15">
      <c r="B674" s="1129"/>
      <c r="C674" s="1098"/>
      <c r="D674" s="1099"/>
      <c r="E674" s="1098"/>
      <c r="F674" s="1136"/>
      <c r="G674" s="1099"/>
      <c r="H674" s="1098"/>
      <c r="I674" s="1099"/>
      <c r="J674" s="1140"/>
      <c r="K674" s="1140"/>
      <c r="L674" s="1143"/>
      <c r="M674" s="1098"/>
      <c r="N674" s="1099"/>
      <c r="O674" s="1099"/>
    </row>
    <row r="675" spans="2:15">
      <c r="B675" s="1129"/>
      <c r="C675" s="1098"/>
      <c r="D675" s="1099"/>
      <c r="E675" s="1098"/>
      <c r="F675" s="1136"/>
      <c r="G675" s="1099"/>
      <c r="H675" s="1098"/>
      <c r="I675" s="1099"/>
      <c r="J675" s="1140"/>
      <c r="K675" s="1140"/>
      <c r="L675" s="1143"/>
      <c r="M675" s="1098"/>
      <c r="N675" s="1099"/>
      <c r="O675" s="1099"/>
    </row>
    <row r="676" spans="2:15">
      <c r="B676" s="1129"/>
      <c r="C676" s="1098"/>
      <c r="D676" s="1099"/>
      <c r="E676" s="1098"/>
      <c r="F676" s="1136"/>
      <c r="G676" s="1099"/>
      <c r="H676" s="1098"/>
      <c r="I676" s="1099"/>
      <c r="J676" s="1140"/>
      <c r="K676" s="1140"/>
      <c r="L676" s="1143"/>
      <c r="M676" s="1098"/>
      <c r="N676" s="1099"/>
      <c r="O676" s="1099"/>
    </row>
    <row r="677" spans="2:15">
      <c r="B677" s="1129"/>
      <c r="C677" s="1098"/>
      <c r="D677" s="1099"/>
      <c r="E677" s="1098"/>
      <c r="F677" s="1136"/>
      <c r="G677" s="1099"/>
      <c r="H677" s="1098"/>
      <c r="I677" s="1099"/>
      <c r="J677" s="1140"/>
      <c r="K677" s="1140"/>
      <c r="L677" s="1143"/>
      <c r="M677" s="1098"/>
      <c r="N677" s="1099"/>
      <c r="O677" s="1099"/>
    </row>
    <row r="678" spans="2:15">
      <c r="B678" s="1129"/>
      <c r="C678" s="1098"/>
      <c r="D678" s="1099"/>
      <c r="E678" s="1098"/>
      <c r="F678" s="1136"/>
      <c r="G678" s="1099"/>
      <c r="H678" s="1098"/>
      <c r="I678" s="1099"/>
      <c r="J678" s="1140"/>
      <c r="K678" s="1140"/>
      <c r="L678" s="1143"/>
      <c r="M678" s="1098"/>
      <c r="N678" s="1099"/>
      <c r="O678" s="1099"/>
    </row>
    <row r="679" spans="2:15">
      <c r="B679" s="1129"/>
      <c r="C679" s="1098"/>
      <c r="D679" s="1099"/>
      <c r="E679" s="1098"/>
      <c r="F679" s="1136"/>
      <c r="G679" s="1099"/>
      <c r="H679" s="1098"/>
      <c r="I679" s="1099"/>
      <c r="J679" s="1140"/>
      <c r="K679" s="1140"/>
      <c r="L679" s="1143"/>
      <c r="M679" s="1098"/>
      <c r="N679" s="1099"/>
      <c r="O679" s="1099"/>
    </row>
    <row r="680" spans="2:15">
      <c r="B680" s="1129"/>
      <c r="C680" s="1098"/>
      <c r="D680" s="1099"/>
      <c r="E680" s="1098"/>
      <c r="F680" s="1136"/>
      <c r="G680" s="1099"/>
      <c r="H680" s="1098"/>
      <c r="I680" s="1099"/>
      <c r="J680" s="1140"/>
      <c r="K680" s="1140"/>
      <c r="L680" s="1143"/>
      <c r="M680" s="1098"/>
      <c r="N680" s="1099"/>
      <c r="O680" s="1099"/>
    </row>
    <row r="681" spans="2:15">
      <c r="B681" s="1129"/>
      <c r="C681" s="1098"/>
      <c r="D681" s="1099"/>
      <c r="E681" s="1098"/>
      <c r="F681" s="1136"/>
      <c r="G681" s="1099"/>
      <c r="H681" s="1098"/>
      <c r="I681" s="1099"/>
      <c r="J681" s="1140"/>
      <c r="K681" s="1140"/>
      <c r="L681" s="1143"/>
      <c r="M681" s="1098"/>
      <c r="N681" s="1099"/>
      <c r="O681" s="1099"/>
    </row>
    <row r="682" spans="2:15">
      <c r="B682" s="1129"/>
      <c r="C682" s="1098"/>
      <c r="D682" s="1099"/>
      <c r="E682" s="1098"/>
      <c r="F682" s="1136"/>
      <c r="G682" s="1099"/>
      <c r="H682" s="1098"/>
      <c r="I682" s="1099"/>
      <c r="J682" s="1140"/>
      <c r="K682" s="1140"/>
      <c r="L682" s="1143"/>
      <c r="M682" s="1098"/>
      <c r="N682" s="1099"/>
      <c r="O682" s="1099"/>
    </row>
    <row r="683" spans="2:15">
      <c r="B683" s="1129"/>
      <c r="C683" s="1098"/>
      <c r="D683" s="1099"/>
      <c r="E683" s="1098"/>
      <c r="F683" s="1136"/>
      <c r="G683" s="1099"/>
      <c r="H683" s="1098"/>
      <c r="I683" s="1099"/>
      <c r="J683" s="1140"/>
      <c r="K683" s="1140"/>
      <c r="L683" s="1143"/>
      <c r="M683" s="1098"/>
      <c r="N683" s="1099"/>
      <c r="O683" s="1099"/>
    </row>
    <row r="684" spans="2:15">
      <c r="B684" s="1129"/>
      <c r="C684" s="1098"/>
      <c r="D684" s="1099"/>
      <c r="E684" s="1098"/>
      <c r="F684" s="1136"/>
      <c r="G684" s="1099"/>
      <c r="H684" s="1098"/>
      <c r="I684" s="1099"/>
      <c r="J684" s="1140"/>
      <c r="K684" s="1140"/>
      <c r="L684" s="1143"/>
      <c r="M684" s="1098"/>
      <c r="N684" s="1099"/>
      <c r="O684" s="1099"/>
    </row>
    <row r="685" spans="2:15">
      <c r="B685" s="1129"/>
      <c r="C685" s="1098"/>
      <c r="D685" s="1099"/>
      <c r="E685" s="1098"/>
      <c r="F685" s="1136"/>
      <c r="G685" s="1099"/>
      <c r="H685" s="1098"/>
      <c r="I685" s="1099"/>
      <c r="J685" s="1140"/>
      <c r="K685" s="1140"/>
      <c r="L685" s="1143"/>
      <c r="M685" s="1098"/>
      <c r="N685" s="1099"/>
      <c r="O685" s="1099"/>
    </row>
    <row r="686" spans="2:15">
      <c r="B686" s="1129"/>
      <c r="C686" s="1098"/>
      <c r="D686" s="1099"/>
      <c r="E686" s="1098"/>
      <c r="F686" s="1136"/>
      <c r="G686" s="1099"/>
      <c r="H686" s="1098"/>
      <c r="I686" s="1099"/>
      <c r="J686" s="1140"/>
      <c r="K686" s="1140"/>
      <c r="L686" s="1143"/>
      <c r="M686" s="1098"/>
      <c r="N686" s="1099"/>
      <c r="O686" s="1099"/>
    </row>
    <row r="687" spans="2:15">
      <c r="B687" s="1129"/>
      <c r="C687" s="1098"/>
      <c r="D687" s="1099"/>
      <c r="E687" s="1098"/>
      <c r="F687" s="1136"/>
      <c r="G687" s="1099"/>
      <c r="H687" s="1098"/>
      <c r="I687" s="1099"/>
      <c r="J687" s="1140"/>
      <c r="K687" s="1140"/>
      <c r="L687" s="1143"/>
      <c r="M687" s="1098"/>
      <c r="N687" s="1099"/>
      <c r="O687" s="1099"/>
    </row>
    <row r="688" spans="2:15">
      <c r="B688" s="1129"/>
      <c r="C688" s="1098"/>
      <c r="D688" s="1099"/>
      <c r="E688" s="1098"/>
      <c r="F688" s="1136"/>
      <c r="G688" s="1099"/>
      <c r="H688" s="1098"/>
      <c r="I688" s="1099"/>
      <c r="J688" s="1140"/>
      <c r="K688" s="1140"/>
      <c r="L688" s="1143"/>
      <c r="M688" s="1098"/>
      <c r="N688" s="1099"/>
      <c r="O688" s="1099"/>
    </row>
    <row r="689" spans="2:15">
      <c r="B689" s="1129"/>
      <c r="C689" s="1098"/>
      <c r="D689" s="1099"/>
      <c r="E689" s="1098"/>
      <c r="F689" s="1136"/>
      <c r="G689" s="1099"/>
      <c r="H689" s="1098"/>
      <c r="I689" s="1099"/>
      <c r="J689" s="1140"/>
      <c r="K689" s="1140"/>
      <c r="L689" s="1143"/>
      <c r="M689" s="1098"/>
      <c r="N689" s="1099"/>
      <c r="O689" s="1099"/>
    </row>
    <row r="690" spans="2:15">
      <c r="B690" s="1129"/>
      <c r="C690" s="1098"/>
      <c r="D690" s="1099"/>
      <c r="E690" s="1098"/>
      <c r="F690" s="1136"/>
      <c r="G690" s="1099"/>
      <c r="H690" s="1098"/>
      <c r="I690" s="1099"/>
      <c r="J690" s="1140"/>
      <c r="K690" s="1140"/>
      <c r="L690" s="1143"/>
      <c r="M690" s="1098"/>
      <c r="N690" s="1099"/>
      <c r="O690" s="1099"/>
    </row>
    <row r="691" spans="2:15">
      <c r="B691" s="1129"/>
      <c r="C691" s="1098"/>
      <c r="D691" s="1099"/>
      <c r="E691" s="1098"/>
      <c r="F691" s="1136"/>
      <c r="G691" s="1099"/>
      <c r="H691" s="1098"/>
      <c r="I691" s="1099"/>
      <c r="J691" s="1140"/>
      <c r="K691" s="1140"/>
      <c r="L691" s="1143"/>
      <c r="M691" s="1098"/>
      <c r="N691" s="1099"/>
      <c r="O691" s="1099"/>
    </row>
    <row r="692" spans="2:15">
      <c r="B692" s="1129"/>
      <c r="C692" s="1098"/>
      <c r="D692" s="1099"/>
      <c r="E692" s="1098"/>
      <c r="F692" s="1136"/>
      <c r="G692" s="1099"/>
      <c r="H692" s="1098"/>
      <c r="I692" s="1099"/>
      <c r="J692" s="1140"/>
      <c r="K692" s="1140"/>
      <c r="L692" s="1143"/>
      <c r="M692" s="1098"/>
      <c r="N692" s="1099"/>
      <c r="O692" s="1099"/>
    </row>
    <row r="693" spans="2:15">
      <c r="B693" s="1129"/>
      <c r="C693" s="1098"/>
      <c r="D693" s="1099"/>
      <c r="E693" s="1098"/>
      <c r="F693" s="1136"/>
      <c r="G693" s="1099"/>
      <c r="H693" s="1098"/>
      <c r="I693" s="1099"/>
      <c r="J693" s="1140"/>
      <c r="K693" s="1140"/>
      <c r="L693" s="1143"/>
      <c r="M693" s="1098"/>
      <c r="N693" s="1099"/>
      <c r="O693" s="1099"/>
    </row>
    <row r="694" spans="2:15">
      <c r="B694" s="1129"/>
      <c r="C694" s="1098"/>
      <c r="D694" s="1099"/>
      <c r="E694" s="1098"/>
      <c r="F694" s="1136"/>
      <c r="G694" s="1099"/>
      <c r="H694" s="1098"/>
      <c r="I694" s="1099"/>
      <c r="J694" s="1140"/>
      <c r="K694" s="1140"/>
      <c r="L694" s="1143"/>
      <c r="M694" s="1098"/>
      <c r="N694" s="1099"/>
      <c r="O694" s="1099"/>
    </row>
    <row r="695" spans="2:15">
      <c r="B695" s="1129"/>
      <c r="C695" s="1098"/>
      <c r="D695" s="1099"/>
      <c r="E695" s="1098"/>
      <c r="F695" s="1136"/>
      <c r="G695" s="1099"/>
      <c r="H695" s="1098"/>
      <c r="I695" s="1099"/>
      <c r="J695" s="1140"/>
      <c r="K695" s="1140"/>
      <c r="L695" s="1143"/>
      <c r="M695" s="1098"/>
      <c r="N695" s="1099"/>
      <c r="O695" s="1099"/>
    </row>
    <row r="696" spans="2:15">
      <c r="B696" s="1129"/>
      <c r="C696" s="1098"/>
      <c r="D696" s="1099"/>
      <c r="E696" s="1098"/>
      <c r="F696" s="1136"/>
      <c r="G696" s="1099"/>
      <c r="H696" s="1098"/>
      <c r="I696" s="1099"/>
      <c r="J696" s="1140"/>
      <c r="K696" s="1140"/>
      <c r="L696" s="1143"/>
      <c r="M696" s="1098"/>
      <c r="N696" s="1099"/>
      <c r="O696" s="1099"/>
    </row>
    <row r="697" spans="2:15">
      <c r="B697" s="1129"/>
      <c r="C697" s="1098"/>
      <c r="D697" s="1099"/>
      <c r="E697" s="1098"/>
      <c r="F697" s="1136"/>
      <c r="G697" s="1099"/>
      <c r="H697" s="1098"/>
      <c r="I697" s="1099"/>
      <c r="J697" s="1140"/>
      <c r="K697" s="1140"/>
      <c r="L697" s="1143"/>
      <c r="M697" s="1098"/>
      <c r="N697" s="1099"/>
      <c r="O697" s="1099"/>
    </row>
    <row r="698" spans="2:15">
      <c r="B698" s="1129"/>
      <c r="C698" s="1098"/>
      <c r="D698" s="1099"/>
      <c r="E698" s="1098"/>
      <c r="F698" s="1136"/>
      <c r="G698" s="1099"/>
      <c r="H698" s="1098"/>
      <c r="I698" s="1099"/>
      <c r="J698" s="1140"/>
      <c r="K698" s="1140"/>
      <c r="L698" s="1143"/>
      <c r="M698" s="1098"/>
      <c r="N698" s="1099"/>
      <c r="O698" s="1099"/>
    </row>
    <row r="699" spans="2:15">
      <c r="B699" s="1129"/>
      <c r="C699" s="1098"/>
      <c r="D699" s="1099"/>
      <c r="E699" s="1098"/>
      <c r="F699" s="1136"/>
      <c r="G699" s="1099"/>
      <c r="H699" s="1098"/>
      <c r="I699" s="1099"/>
      <c r="J699" s="1140"/>
      <c r="K699" s="1140"/>
      <c r="L699" s="1143"/>
      <c r="M699" s="1098"/>
      <c r="N699" s="1099"/>
      <c r="O699" s="1099"/>
    </row>
    <row r="700" spans="2:15">
      <c r="B700" s="1129"/>
      <c r="C700" s="1098"/>
      <c r="D700" s="1099"/>
      <c r="E700" s="1098"/>
      <c r="F700" s="1136"/>
      <c r="G700" s="1099"/>
      <c r="H700" s="1098"/>
      <c r="I700" s="1099"/>
      <c r="J700" s="1140"/>
      <c r="K700" s="1140"/>
      <c r="L700" s="1143"/>
      <c r="M700" s="1098"/>
      <c r="N700" s="1099"/>
      <c r="O700" s="1099"/>
    </row>
    <row r="701" spans="2:15">
      <c r="B701" s="1129"/>
      <c r="C701" s="1098"/>
      <c r="D701" s="1099"/>
      <c r="E701" s="1098"/>
      <c r="F701" s="1136"/>
      <c r="G701" s="1099"/>
      <c r="H701" s="1098"/>
      <c r="I701" s="1099"/>
      <c r="J701" s="1140"/>
      <c r="K701" s="1140"/>
      <c r="L701" s="1143"/>
      <c r="M701" s="1098"/>
      <c r="N701" s="1099"/>
      <c r="O701" s="1099"/>
    </row>
    <row r="702" spans="2:15">
      <c r="B702" s="1129"/>
      <c r="C702" s="1098"/>
      <c r="D702" s="1099"/>
      <c r="E702" s="1098"/>
      <c r="F702" s="1136"/>
      <c r="G702" s="1099"/>
      <c r="H702" s="1098"/>
      <c r="I702" s="1099"/>
      <c r="J702" s="1140"/>
      <c r="K702" s="1140"/>
      <c r="L702" s="1143"/>
      <c r="M702" s="1098"/>
      <c r="N702" s="1099"/>
      <c r="O702" s="1099"/>
    </row>
    <row r="703" spans="2:15">
      <c r="B703" s="1129"/>
      <c r="C703" s="1098"/>
      <c r="D703" s="1099"/>
      <c r="E703" s="1098"/>
      <c r="F703" s="1136"/>
      <c r="G703" s="1099"/>
      <c r="H703" s="1098"/>
      <c r="I703" s="1099"/>
      <c r="J703" s="1140"/>
      <c r="K703" s="1140"/>
      <c r="L703" s="1143"/>
      <c r="M703" s="1098"/>
      <c r="N703" s="1099"/>
      <c r="O703" s="1099"/>
    </row>
    <row r="704" spans="2:15">
      <c r="B704" s="1129"/>
      <c r="C704" s="1098"/>
      <c r="D704" s="1099"/>
      <c r="E704" s="1098"/>
      <c r="F704" s="1136"/>
      <c r="G704" s="1099"/>
      <c r="H704" s="1098"/>
      <c r="I704" s="1099"/>
      <c r="J704" s="1140"/>
      <c r="K704" s="1140"/>
      <c r="L704" s="1143"/>
      <c r="M704" s="1098"/>
      <c r="N704" s="1099"/>
      <c r="O704" s="1099"/>
    </row>
    <row r="705" spans="2:15">
      <c r="B705" s="1129"/>
      <c r="C705" s="1098"/>
      <c r="D705" s="1099"/>
      <c r="E705" s="1098"/>
      <c r="F705" s="1136"/>
      <c r="G705" s="1099"/>
      <c r="H705" s="1098"/>
      <c r="I705" s="1099"/>
      <c r="J705" s="1140"/>
      <c r="K705" s="1140"/>
      <c r="L705" s="1143"/>
      <c r="M705" s="1098"/>
      <c r="N705" s="1099"/>
      <c r="O705" s="1099"/>
    </row>
    <row r="706" spans="2:15">
      <c r="B706" s="1129"/>
      <c r="C706" s="1098"/>
      <c r="D706" s="1099"/>
      <c r="E706" s="1098"/>
      <c r="F706" s="1136"/>
      <c r="G706" s="1099"/>
      <c r="H706" s="1098"/>
      <c r="I706" s="1099"/>
      <c r="J706" s="1140"/>
      <c r="K706" s="1140"/>
      <c r="L706" s="1143"/>
      <c r="M706" s="1098"/>
      <c r="N706" s="1099"/>
      <c r="O706" s="1099"/>
    </row>
    <row r="707" spans="2:15">
      <c r="B707" s="1129"/>
      <c r="C707" s="1098"/>
      <c r="D707" s="1099"/>
      <c r="E707" s="1098"/>
      <c r="F707" s="1136"/>
      <c r="G707" s="1099"/>
      <c r="H707" s="1098"/>
      <c r="I707" s="1099"/>
      <c r="J707" s="1140"/>
      <c r="K707" s="1140"/>
      <c r="L707" s="1143"/>
      <c r="M707" s="1098"/>
      <c r="N707" s="1099"/>
      <c r="O707" s="1099"/>
    </row>
    <row r="708" spans="2:15">
      <c r="B708" s="1129"/>
      <c r="C708" s="1098"/>
      <c r="D708" s="1099"/>
      <c r="E708" s="1098"/>
      <c r="F708" s="1136"/>
      <c r="G708" s="1099"/>
      <c r="H708" s="1098"/>
      <c r="I708" s="1099"/>
      <c r="J708" s="1140"/>
      <c r="K708" s="1140"/>
      <c r="L708" s="1143"/>
      <c r="M708" s="1098"/>
      <c r="N708" s="1099"/>
      <c r="O708" s="1099"/>
    </row>
    <row r="709" spans="2:15">
      <c r="B709" s="1129"/>
      <c r="C709" s="1098"/>
      <c r="D709" s="1099"/>
      <c r="E709" s="1098"/>
      <c r="F709" s="1136"/>
      <c r="G709" s="1099"/>
      <c r="H709" s="1098"/>
      <c r="I709" s="1099"/>
      <c r="J709" s="1140"/>
      <c r="K709" s="1140"/>
      <c r="L709" s="1143"/>
      <c r="M709" s="1098"/>
      <c r="N709" s="1099"/>
      <c r="O709" s="1099"/>
    </row>
    <row r="710" spans="2:15">
      <c r="B710" s="1129"/>
      <c r="C710" s="1098"/>
      <c r="D710" s="1099"/>
      <c r="E710" s="1098"/>
      <c r="F710" s="1136"/>
      <c r="G710" s="1099"/>
      <c r="H710" s="1098"/>
      <c r="I710" s="1099"/>
      <c r="J710" s="1140"/>
      <c r="K710" s="1140"/>
      <c r="L710" s="1143"/>
      <c r="M710" s="1098"/>
      <c r="N710" s="1099"/>
      <c r="O710" s="1099"/>
    </row>
    <row r="711" spans="2:15">
      <c r="B711" s="1129"/>
      <c r="C711" s="1098"/>
      <c r="D711" s="1099"/>
      <c r="E711" s="1098"/>
      <c r="F711" s="1136"/>
      <c r="G711" s="1099"/>
      <c r="H711" s="1098"/>
      <c r="I711" s="1099"/>
      <c r="J711" s="1140"/>
      <c r="K711" s="1140"/>
      <c r="L711" s="1143"/>
      <c r="M711" s="1098"/>
      <c r="N711" s="1099"/>
      <c r="O711" s="1099"/>
    </row>
    <row r="712" spans="2:15">
      <c r="B712" s="1129"/>
      <c r="C712" s="1098"/>
      <c r="D712" s="1099"/>
      <c r="E712" s="1098"/>
      <c r="F712" s="1136"/>
      <c r="G712" s="1099"/>
      <c r="H712" s="1098"/>
      <c r="I712" s="1099"/>
      <c r="J712" s="1140"/>
      <c r="K712" s="1140"/>
      <c r="L712" s="1143"/>
      <c r="M712" s="1098"/>
      <c r="N712" s="1099"/>
      <c r="O712" s="1099"/>
    </row>
    <row r="713" spans="2:15">
      <c r="B713" s="1129"/>
      <c r="C713" s="1098"/>
      <c r="D713" s="1099"/>
      <c r="E713" s="1098"/>
      <c r="F713" s="1136"/>
      <c r="G713" s="1099"/>
      <c r="H713" s="1098"/>
      <c r="I713" s="1099"/>
      <c r="J713" s="1140"/>
      <c r="K713" s="1140"/>
      <c r="L713" s="1143"/>
      <c r="M713" s="1098"/>
      <c r="N713" s="1099"/>
      <c r="O713" s="1099"/>
    </row>
    <row r="714" spans="2:15">
      <c r="B714" s="1129"/>
      <c r="C714" s="1098"/>
      <c r="D714" s="1099"/>
      <c r="E714" s="1098"/>
      <c r="F714" s="1136"/>
      <c r="G714" s="1099"/>
      <c r="H714" s="1098"/>
      <c r="I714" s="1099"/>
      <c r="J714" s="1140"/>
      <c r="K714" s="1140"/>
      <c r="L714" s="1143"/>
      <c r="M714" s="1098"/>
      <c r="N714" s="1099"/>
      <c r="O714" s="1099"/>
    </row>
    <row r="715" spans="2:15">
      <c r="B715" s="1129"/>
      <c r="C715" s="1098"/>
      <c r="D715" s="1099"/>
      <c r="E715" s="1098"/>
      <c r="F715" s="1136"/>
      <c r="G715" s="1099"/>
      <c r="H715" s="1098"/>
      <c r="I715" s="1099"/>
      <c r="J715" s="1140"/>
      <c r="K715" s="1140"/>
      <c r="L715" s="1143"/>
      <c r="M715" s="1098"/>
      <c r="N715" s="1099"/>
      <c r="O715" s="1099"/>
    </row>
    <row r="716" spans="2:15">
      <c r="B716" s="1129"/>
      <c r="C716" s="1098"/>
      <c r="D716" s="1099"/>
      <c r="E716" s="1098"/>
      <c r="F716" s="1136"/>
      <c r="G716" s="1099"/>
      <c r="H716" s="1098"/>
      <c r="I716" s="1099"/>
      <c r="J716" s="1140"/>
      <c r="K716" s="1140"/>
      <c r="L716" s="1143"/>
      <c r="M716" s="1098"/>
      <c r="N716" s="1099"/>
      <c r="O716" s="1099"/>
    </row>
    <row r="717" spans="2:15">
      <c r="B717" s="1129"/>
      <c r="C717" s="1098"/>
      <c r="D717" s="1099"/>
      <c r="E717" s="1098"/>
      <c r="F717" s="1136"/>
      <c r="G717" s="1099"/>
      <c r="H717" s="1098"/>
      <c r="I717" s="1099"/>
      <c r="J717" s="1140"/>
      <c r="K717" s="1140"/>
      <c r="L717" s="1143"/>
      <c r="M717" s="1098"/>
      <c r="N717" s="1099"/>
      <c r="O717" s="1099"/>
    </row>
    <row r="718" spans="2:15">
      <c r="B718" s="1129"/>
      <c r="C718" s="1098"/>
      <c r="D718" s="1099"/>
      <c r="E718" s="1098"/>
      <c r="F718" s="1136"/>
      <c r="G718" s="1099"/>
      <c r="H718" s="1098"/>
      <c r="I718" s="1099"/>
      <c r="J718" s="1140"/>
      <c r="K718" s="1140"/>
      <c r="L718" s="1143"/>
      <c r="M718" s="1098"/>
      <c r="N718" s="1099"/>
      <c r="O718" s="1099"/>
    </row>
    <row r="719" spans="2:15">
      <c r="B719" s="1129"/>
      <c r="C719" s="1098"/>
      <c r="D719" s="1099"/>
      <c r="E719" s="1098"/>
      <c r="F719" s="1136"/>
      <c r="G719" s="1099"/>
      <c r="H719" s="1098"/>
      <c r="I719" s="1099"/>
      <c r="J719" s="1140"/>
      <c r="K719" s="1140"/>
      <c r="L719" s="1143"/>
      <c r="M719" s="1098"/>
      <c r="N719" s="1099"/>
      <c r="O719" s="1099"/>
    </row>
    <row r="720" spans="2:15">
      <c r="B720" s="1129"/>
      <c r="C720" s="1098"/>
      <c r="D720" s="1099"/>
      <c r="E720" s="1098"/>
      <c r="F720" s="1136"/>
      <c r="G720" s="1099"/>
      <c r="H720" s="1098"/>
      <c r="I720" s="1099"/>
      <c r="J720" s="1140"/>
      <c r="K720" s="1140"/>
      <c r="L720" s="1143"/>
      <c r="M720" s="1098"/>
      <c r="N720" s="1099"/>
      <c r="O720" s="1099"/>
    </row>
    <row r="721" spans="2:15">
      <c r="B721" s="1129"/>
      <c r="C721" s="1098"/>
      <c r="D721" s="1099"/>
      <c r="E721" s="1098"/>
      <c r="F721" s="1136"/>
      <c r="G721" s="1099"/>
      <c r="H721" s="1098"/>
      <c r="I721" s="1099"/>
      <c r="J721" s="1140"/>
      <c r="K721" s="1140"/>
      <c r="L721" s="1143"/>
      <c r="M721" s="1098"/>
      <c r="N721" s="1099"/>
      <c r="O721" s="1099"/>
    </row>
    <row r="722" spans="2:15">
      <c r="B722" s="1129"/>
      <c r="C722" s="1098"/>
      <c r="D722" s="1099"/>
      <c r="E722" s="1098"/>
      <c r="F722" s="1136"/>
      <c r="G722" s="1099"/>
      <c r="H722" s="1098"/>
      <c r="I722" s="1099"/>
      <c r="J722" s="1140"/>
      <c r="K722" s="1140"/>
      <c r="L722" s="1143"/>
      <c r="M722" s="1098"/>
      <c r="N722" s="1099"/>
      <c r="O722" s="1099"/>
    </row>
    <row r="723" spans="2:15">
      <c r="B723" s="1129"/>
      <c r="C723" s="1098"/>
      <c r="D723" s="1099"/>
      <c r="E723" s="1098"/>
      <c r="F723" s="1136"/>
      <c r="G723" s="1099"/>
      <c r="H723" s="1098"/>
      <c r="I723" s="1099"/>
      <c r="J723" s="1140"/>
      <c r="K723" s="1140"/>
      <c r="L723" s="1143"/>
      <c r="M723" s="1098"/>
      <c r="N723" s="1099"/>
      <c r="O723" s="1099"/>
    </row>
    <row r="724" spans="2:15">
      <c r="B724" s="1129"/>
      <c r="C724" s="1098"/>
      <c r="D724" s="1099"/>
      <c r="E724" s="1098"/>
      <c r="F724" s="1136"/>
      <c r="G724" s="1099"/>
      <c r="H724" s="1098"/>
      <c r="I724" s="1099"/>
      <c r="J724" s="1140"/>
      <c r="K724" s="1140"/>
      <c r="L724" s="1143"/>
      <c r="M724" s="1098"/>
      <c r="N724" s="1099"/>
      <c r="O724" s="1099"/>
    </row>
    <row r="725" spans="2:15">
      <c r="B725" s="1129"/>
      <c r="C725" s="1098"/>
      <c r="D725" s="1099"/>
      <c r="E725" s="1098"/>
      <c r="F725" s="1136"/>
      <c r="G725" s="1099"/>
      <c r="H725" s="1098"/>
      <c r="I725" s="1099"/>
      <c r="J725" s="1140"/>
      <c r="K725" s="1140"/>
      <c r="L725" s="1143"/>
      <c r="M725" s="1098"/>
      <c r="N725" s="1099"/>
      <c r="O725" s="1099"/>
    </row>
    <row r="726" spans="2:15">
      <c r="B726" s="1129"/>
      <c r="C726" s="1098"/>
      <c r="D726" s="1099"/>
      <c r="E726" s="1098"/>
      <c r="F726" s="1136"/>
      <c r="G726" s="1099"/>
      <c r="H726" s="1098"/>
      <c r="I726" s="1099"/>
      <c r="J726" s="1140"/>
      <c r="K726" s="1140"/>
      <c r="L726" s="1143"/>
      <c r="M726" s="1098"/>
      <c r="N726" s="1099"/>
      <c r="O726" s="1099"/>
    </row>
    <row r="727" spans="2:15">
      <c r="B727" s="1129"/>
      <c r="C727" s="1098"/>
      <c r="D727" s="1099"/>
      <c r="E727" s="1098"/>
      <c r="F727" s="1136"/>
      <c r="G727" s="1099"/>
      <c r="H727" s="1098"/>
      <c r="I727" s="1099"/>
      <c r="J727" s="1140"/>
      <c r="K727" s="1140"/>
      <c r="L727" s="1143"/>
      <c r="M727" s="1098"/>
      <c r="N727" s="1099"/>
      <c r="O727" s="1099"/>
    </row>
    <row r="728" spans="2:15">
      <c r="B728" s="1129"/>
      <c r="C728" s="1098"/>
      <c r="D728" s="1099"/>
      <c r="E728" s="1098"/>
      <c r="F728" s="1136"/>
      <c r="G728" s="1099"/>
      <c r="H728" s="1098"/>
      <c r="I728" s="1099"/>
      <c r="J728" s="1140"/>
      <c r="K728" s="1140"/>
      <c r="L728" s="1143"/>
      <c r="M728" s="1098"/>
      <c r="N728" s="1099"/>
      <c r="O728" s="1099"/>
    </row>
    <row r="729" spans="2:15">
      <c r="B729" s="1129"/>
      <c r="C729" s="1098"/>
      <c r="D729" s="1099"/>
      <c r="E729" s="1098"/>
      <c r="F729" s="1136"/>
      <c r="G729" s="1099"/>
      <c r="H729" s="1098"/>
      <c r="I729" s="1099"/>
      <c r="J729" s="1140"/>
      <c r="K729" s="1140"/>
      <c r="L729" s="1143"/>
      <c r="M729" s="1098"/>
      <c r="N729" s="1099"/>
      <c r="O729" s="1099"/>
    </row>
    <row r="730" spans="2:15">
      <c r="B730" s="1129"/>
      <c r="C730" s="1098"/>
      <c r="D730" s="1099"/>
      <c r="E730" s="1098"/>
      <c r="F730" s="1136"/>
      <c r="G730" s="1099"/>
      <c r="H730" s="1098"/>
      <c r="I730" s="1099"/>
      <c r="J730" s="1140"/>
      <c r="K730" s="1140"/>
      <c r="L730" s="1143"/>
      <c r="M730" s="1098"/>
      <c r="N730" s="1099"/>
      <c r="O730" s="1099"/>
    </row>
    <row r="731" spans="2:15">
      <c r="B731" s="1129"/>
      <c r="C731" s="1098"/>
      <c r="D731" s="1099"/>
      <c r="E731" s="1098"/>
      <c r="F731" s="1136"/>
      <c r="G731" s="1099"/>
      <c r="H731" s="1098"/>
      <c r="I731" s="1099"/>
      <c r="J731" s="1140"/>
      <c r="K731" s="1140"/>
      <c r="L731" s="1143"/>
      <c r="M731" s="1098"/>
      <c r="N731" s="1099"/>
      <c r="O731" s="1099"/>
    </row>
    <row r="732" spans="2:15">
      <c r="B732" s="1129"/>
      <c r="C732" s="1098"/>
      <c r="D732" s="1099"/>
      <c r="E732" s="1098"/>
      <c r="F732" s="1136"/>
      <c r="G732" s="1099"/>
      <c r="H732" s="1098"/>
      <c r="I732" s="1099"/>
      <c r="J732" s="1140"/>
      <c r="K732" s="1140"/>
      <c r="L732" s="1143"/>
      <c r="M732" s="1098"/>
      <c r="N732" s="1099"/>
      <c r="O732" s="1099"/>
    </row>
    <row r="733" spans="2:15">
      <c r="B733" s="1129"/>
      <c r="C733" s="1098"/>
      <c r="D733" s="1099"/>
      <c r="E733" s="1098"/>
      <c r="F733" s="1136"/>
      <c r="G733" s="1099"/>
      <c r="H733" s="1098"/>
      <c r="I733" s="1099"/>
      <c r="J733" s="1140"/>
      <c r="K733" s="1140"/>
      <c r="L733" s="1143"/>
      <c r="M733" s="1098"/>
      <c r="N733" s="1099"/>
      <c r="O733" s="1099"/>
    </row>
    <row r="734" spans="2:15">
      <c r="B734" s="1129"/>
      <c r="C734" s="1098"/>
      <c r="D734" s="1099"/>
      <c r="E734" s="1098"/>
      <c r="F734" s="1136"/>
      <c r="G734" s="1099"/>
      <c r="H734" s="1098"/>
      <c r="I734" s="1099"/>
      <c r="J734" s="1140"/>
      <c r="K734" s="1140"/>
      <c r="L734" s="1143"/>
      <c r="M734" s="1098"/>
      <c r="N734" s="1099"/>
      <c r="O734" s="1099"/>
    </row>
    <row r="735" spans="2:15">
      <c r="B735" s="1129"/>
      <c r="C735" s="1098"/>
      <c r="D735" s="1099"/>
      <c r="E735" s="1098"/>
      <c r="F735" s="1136"/>
      <c r="G735" s="1099"/>
      <c r="H735" s="1098"/>
      <c r="I735" s="1099"/>
      <c r="J735" s="1140"/>
      <c r="K735" s="1140"/>
      <c r="L735" s="1143"/>
      <c r="M735" s="1098"/>
      <c r="N735" s="1099"/>
      <c r="O735" s="1099"/>
    </row>
    <row r="736" spans="2:15">
      <c r="B736" s="1129"/>
      <c r="C736" s="1098"/>
      <c r="D736" s="1099"/>
      <c r="E736" s="1098"/>
      <c r="F736" s="1136"/>
      <c r="G736" s="1099"/>
      <c r="H736" s="1098"/>
      <c r="I736" s="1099"/>
      <c r="J736" s="1140"/>
      <c r="K736" s="1140"/>
      <c r="L736" s="1143"/>
      <c r="M736" s="1098"/>
      <c r="N736" s="1099"/>
      <c r="O736" s="1099"/>
    </row>
    <row r="737" spans="2:15">
      <c r="B737" s="1129"/>
      <c r="C737" s="1098"/>
      <c r="D737" s="1099"/>
      <c r="E737" s="1098"/>
      <c r="F737" s="1136"/>
      <c r="G737" s="1099"/>
      <c r="H737" s="1098"/>
      <c r="I737" s="1099"/>
      <c r="J737" s="1140"/>
      <c r="K737" s="1140"/>
      <c r="L737" s="1143"/>
      <c r="M737" s="1098"/>
      <c r="N737" s="1099"/>
      <c r="O737" s="1099"/>
    </row>
    <row r="738" spans="2:15">
      <c r="B738" s="1129"/>
      <c r="C738" s="1098"/>
      <c r="D738" s="1099"/>
      <c r="E738" s="1098"/>
      <c r="F738" s="1136"/>
      <c r="G738" s="1099"/>
      <c r="H738" s="1098"/>
      <c r="I738" s="1099"/>
      <c r="J738" s="1140"/>
      <c r="K738" s="1140"/>
      <c r="L738" s="1143"/>
      <c r="M738" s="1098"/>
      <c r="N738" s="1099"/>
      <c r="O738" s="1099"/>
    </row>
    <row r="739" spans="2:15">
      <c r="B739" s="1129"/>
      <c r="C739" s="1098"/>
      <c r="D739" s="1099"/>
      <c r="E739" s="1098"/>
      <c r="F739" s="1136"/>
      <c r="G739" s="1099"/>
      <c r="H739" s="1098"/>
      <c r="I739" s="1099"/>
      <c r="J739" s="1140"/>
      <c r="K739" s="1140"/>
      <c r="L739" s="1143"/>
      <c r="M739" s="1098"/>
      <c r="N739" s="1099"/>
      <c r="O739" s="1099"/>
    </row>
    <row r="740" spans="2:15">
      <c r="B740" s="1129"/>
      <c r="C740" s="1098"/>
      <c r="D740" s="1099"/>
      <c r="E740" s="1098"/>
      <c r="F740" s="1136"/>
      <c r="G740" s="1099"/>
      <c r="H740" s="1098"/>
      <c r="I740" s="1099"/>
      <c r="J740" s="1140"/>
      <c r="K740" s="1140"/>
      <c r="L740" s="1143"/>
      <c r="M740" s="1098"/>
      <c r="N740" s="1099"/>
      <c r="O740" s="1099"/>
    </row>
    <row r="741" spans="2:15">
      <c r="B741" s="1129"/>
      <c r="C741" s="1098"/>
      <c r="D741" s="1099"/>
      <c r="E741" s="1098"/>
      <c r="F741" s="1136"/>
      <c r="G741" s="1099"/>
      <c r="H741" s="1098"/>
      <c r="I741" s="1099"/>
      <c r="J741" s="1140"/>
      <c r="K741" s="1140"/>
      <c r="L741" s="1143"/>
      <c r="M741" s="1098"/>
      <c r="N741" s="1099"/>
      <c r="O741" s="1099"/>
    </row>
    <row r="742" spans="2:15">
      <c r="B742" s="1129"/>
      <c r="C742" s="1098"/>
      <c r="D742" s="1099"/>
      <c r="E742" s="1098"/>
      <c r="F742" s="1136"/>
      <c r="G742" s="1099"/>
      <c r="H742" s="1098"/>
      <c r="I742" s="1099"/>
      <c r="J742" s="1140"/>
      <c r="K742" s="1140"/>
      <c r="L742" s="1143"/>
      <c r="M742" s="1098"/>
      <c r="N742" s="1099"/>
      <c r="O742" s="1099"/>
    </row>
    <row r="743" spans="2:15">
      <c r="B743" s="1129"/>
      <c r="C743" s="1098"/>
      <c r="D743" s="1099"/>
      <c r="E743" s="1098"/>
      <c r="F743" s="1136"/>
      <c r="G743" s="1099"/>
      <c r="H743" s="1098"/>
      <c r="I743" s="1099"/>
      <c r="J743" s="1140"/>
      <c r="K743" s="1140"/>
      <c r="L743" s="1143"/>
      <c r="M743" s="1098"/>
      <c r="N743" s="1099"/>
      <c r="O743" s="1099"/>
    </row>
    <row r="744" spans="2:15">
      <c r="B744" s="1129"/>
      <c r="C744" s="1098"/>
      <c r="D744" s="1099"/>
      <c r="E744" s="1098"/>
      <c r="F744" s="1136"/>
      <c r="G744" s="1099"/>
      <c r="H744" s="1098"/>
      <c r="I744" s="1099"/>
      <c r="J744" s="1140"/>
      <c r="K744" s="1140"/>
      <c r="L744" s="1143"/>
      <c r="M744" s="1098"/>
      <c r="N744" s="1099"/>
      <c r="O744" s="1099"/>
    </row>
    <row r="745" spans="2:15">
      <c r="B745" s="1129"/>
      <c r="C745" s="1098"/>
      <c r="D745" s="1099"/>
      <c r="E745" s="1098"/>
      <c r="F745" s="1136"/>
      <c r="G745" s="1099"/>
      <c r="H745" s="1098"/>
      <c r="I745" s="1099"/>
      <c r="J745" s="1140"/>
      <c r="K745" s="1140"/>
      <c r="L745" s="1143"/>
      <c r="M745" s="1098"/>
      <c r="N745" s="1099"/>
      <c r="O745" s="1099"/>
    </row>
    <row r="746" spans="2:15">
      <c r="B746" s="1129"/>
      <c r="C746" s="1098"/>
      <c r="D746" s="1099"/>
      <c r="E746" s="1098"/>
      <c r="F746" s="1136"/>
      <c r="G746" s="1099"/>
      <c r="H746" s="1098"/>
      <c r="I746" s="1099"/>
      <c r="J746" s="1140"/>
      <c r="K746" s="1140"/>
      <c r="L746" s="1143"/>
      <c r="M746" s="1098"/>
      <c r="N746" s="1099"/>
      <c r="O746" s="1099"/>
    </row>
    <row r="747" spans="2:15">
      <c r="B747" s="1129"/>
      <c r="C747" s="1098"/>
      <c r="D747" s="1099"/>
      <c r="E747" s="1098"/>
      <c r="F747" s="1136"/>
      <c r="G747" s="1099"/>
      <c r="H747" s="1098"/>
      <c r="I747" s="1099"/>
      <c r="J747" s="1140"/>
      <c r="K747" s="1140"/>
      <c r="L747" s="1143"/>
      <c r="M747" s="1098"/>
      <c r="N747" s="1099"/>
      <c r="O747" s="1099"/>
    </row>
    <row r="748" spans="2:15">
      <c r="B748" s="1129"/>
      <c r="C748" s="1098"/>
      <c r="D748" s="1099"/>
      <c r="E748" s="1098"/>
      <c r="F748" s="1136"/>
      <c r="G748" s="1099"/>
      <c r="H748" s="1098"/>
      <c r="I748" s="1099"/>
      <c r="J748" s="1140"/>
      <c r="K748" s="1140"/>
      <c r="L748" s="1143"/>
      <c r="M748" s="1098"/>
      <c r="N748" s="1099"/>
      <c r="O748" s="1099"/>
    </row>
    <row r="749" spans="2:15">
      <c r="B749" s="1129"/>
      <c r="C749" s="1098"/>
      <c r="D749" s="1099"/>
      <c r="E749" s="1098"/>
      <c r="F749" s="1136"/>
      <c r="G749" s="1099"/>
      <c r="H749" s="1098"/>
      <c r="I749" s="1099"/>
      <c r="J749" s="1140"/>
      <c r="K749" s="1140"/>
      <c r="L749" s="1143"/>
      <c r="M749" s="1098"/>
      <c r="N749" s="1099"/>
      <c r="O749" s="1099"/>
    </row>
    <row r="750" spans="2:15">
      <c r="B750" s="1129"/>
      <c r="C750" s="1098"/>
      <c r="D750" s="1099"/>
      <c r="E750" s="1098"/>
      <c r="F750" s="1136"/>
      <c r="G750" s="1099"/>
      <c r="H750" s="1098"/>
      <c r="I750" s="1099"/>
      <c r="J750" s="1140"/>
      <c r="K750" s="1140"/>
      <c r="L750" s="1143"/>
      <c r="M750" s="1098"/>
      <c r="N750" s="1099"/>
      <c r="O750" s="1099"/>
    </row>
    <row r="751" spans="2:15">
      <c r="B751" s="1129"/>
      <c r="C751" s="1098"/>
      <c r="D751" s="1099"/>
      <c r="E751" s="1098"/>
      <c r="F751" s="1136"/>
      <c r="G751" s="1099"/>
      <c r="H751" s="1098"/>
      <c r="I751" s="1099"/>
      <c r="J751" s="1140"/>
      <c r="K751" s="1140"/>
      <c r="L751" s="1143"/>
      <c r="M751" s="1098"/>
      <c r="N751" s="1099"/>
      <c r="O751" s="1099"/>
    </row>
    <row r="752" spans="2:15">
      <c r="B752" s="1129"/>
      <c r="C752" s="1098"/>
      <c r="D752" s="1099"/>
      <c r="E752" s="1098"/>
      <c r="F752" s="1136"/>
      <c r="G752" s="1099"/>
      <c r="H752" s="1098"/>
      <c r="I752" s="1099"/>
      <c r="J752" s="1140"/>
      <c r="K752" s="1140"/>
      <c r="L752" s="1143"/>
      <c r="M752" s="1098"/>
      <c r="N752" s="1099"/>
      <c r="O752" s="1099"/>
    </row>
    <row r="753" spans="2:15">
      <c r="B753" s="1129"/>
      <c r="C753" s="1098"/>
      <c r="D753" s="1099"/>
      <c r="E753" s="1098"/>
      <c r="F753" s="1136"/>
      <c r="G753" s="1099"/>
      <c r="H753" s="1098"/>
      <c r="I753" s="1099"/>
      <c r="J753" s="1140"/>
      <c r="K753" s="1140"/>
      <c r="L753" s="1143"/>
      <c r="M753" s="1098"/>
      <c r="N753" s="1099"/>
      <c r="O753" s="1099"/>
    </row>
    <row r="754" spans="2:15">
      <c r="B754" s="1129"/>
      <c r="C754" s="1098"/>
      <c r="D754" s="1099"/>
      <c r="E754" s="1098"/>
      <c r="F754" s="1136"/>
      <c r="G754" s="1099"/>
      <c r="H754" s="1098"/>
      <c r="I754" s="1099"/>
      <c r="J754" s="1140"/>
      <c r="K754" s="1140"/>
      <c r="L754" s="1143"/>
      <c r="M754" s="1098"/>
      <c r="N754" s="1099"/>
      <c r="O754" s="1099"/>
    </row>
    <row r="755" spans="2:15">
      <c r="B755" s="1129"/>
      <c r="C755" s="1098"/>
      <c r="D755" s="1099"/>
      <c r="E755" s="1098"/>
      <c r="F755" s="1136"/>
      <c r="G755" s="1099"/>
      <c r="H755" s="1098"/>
      <c r="I755" s="1099"/>
      <c r="J755" s="1140"/>
      <c r="K755" s="1140"/>
      <c r="L755" s="1143"/>
      <c r="M755" s="1098"/>
      <c r="N755" s="1099"/>
      <c r="O755" s="1099"/>
    </row>
    <row r="756" spans="2:15">
      <c r="B756" s="1129"/>
      <c r="C756" s="1098"/>
      <c r="D756" s="1099"/>
      <c r="E756" s="1098"/>
      <c r="F756" s="1136"/>
      <c r="G756" s="1099"/>
      <c r="H756" s="1098"/>
      <c r="I756" s="1099"/>
      <c r="J756" s="1140"/>
      <c r="K756" s="1140"/>
      <c r="L756" s="1143"/>
      <c r="M756" s="1098"/>
      <c r="N756" s="1099"/>
      <c r="O756" s="1099"/>
    </row>
    <row r="757" spans="2:15">
      <c r="B757" s="1129"/>
      <c r="C757" s="1098"/>
      <c r="D757" s="1099"/>
      <c r="E757" s="1098"/>
      <c r="F757" s="1136"/>
      <c r="G757" s="1099"/>
      <c r="H757" s="1098"/>
      <c r="I757" s="1099"/>
      <c r="J757" s="1140"/>
      <c r="K757" s="1140"/>
      <c r="L757" s="1143"/>
      <c r="M757" s="1098"/>
      <c r="N757" s="1099"/>
      <c r="O757" s="1099"/>
    </row>
    <row r="758" spans="2:15">
      <c r="B758" s="1129"/>
      <c r="C758" s="1098"/>
      <c r="D758" s="1099"/>
      <c r="E758" s="1098"/>
      <c r="F758" s="1136"/>
      <c r="G758" s="1099"/>
      <c r="H758" s="1098"/>
      <c r="I758" s="1099"/>
      <c r="J758" s="1140"/>
      <c r="K758" s="1140"/>
      <c r="L758" s="1143"/>
      <c r="M758" s="1098"/>
      <c r="N758" s="1099"/>
      <c r="O758" s="1099"/>
    </row>
    <row r="759" spans="2:15">
      <c r="B759" s="1129"/>
      <c r="C759" s="1098"/>
      <c r="D759" s="1099"/>
      <c r="E759" s="1098"/>
      <c r="F759" s="1136"/>
      <c r="G759" s="1099"/>
      <c r="H759" s="1098"/>
      <c r="I759" s="1099"/>
      <c r="J759" s="1140"/>
      <c r="K759" s="1140"/>
      <c r="L759" s="1143"/>
      <c r="M759" s="1098"/>
      <c r="N759" s="1099"/>
      <c r="O759" s="1099"/>
    </row>
    <row r="760" spans="2:15">
      <c r="B760" s="1129"/>
      <c r="C760" s="1098"/>
      <c r="D760" s="1099"/>
      <c r="E760" s="1098"/>
      <c r="F760" s="1136"/>
      <c r="G760" s="1099"/>
      <c r="H760" s="1098"/>
      <c r="I760" s="1099"/>
      <c r="J760" s="1140"/>
      <c r="K760" s="1140"/>
      <c r="L760" s="1143"/>
      <c r="M760" s="1098"/>
      <c r="N760" s="1099"/>
      <c r="O760" s="1099"/>
    </row>
    <row r="761" spans="2:15">
      <c r="B761" s="1129"/>
      <c r="C761" s="1098"/>
      <c r="D761" s="1099"/>
      <c r="E761" s="1098"/>
      <c r="F761" s="1136"/>
      <c r="G761" s="1099"/>
      <c r="H761" s="1098"/>
      <c r="I761" s="1099"/>
      <c r="J761" s="1140"/>
      <c r="K761" s="1140"/>
      <c r="L761" s="1143"/>
      <c r="M761" s="1098"/>
      <c r="N761" s="1099"/>
      <c r="O761" s="1099"/>
    </row>
    <row r="762" spans="2:15">
      <c r="B762" s="1129"/>
      <c r="C762" s="1098"/>
      <c r="D762" s="1099"/>
      <c r="E762" s="1098"/>
      <c r="F762" s="1136"/>
      <c r="G762" s="1099"/>
      <c r="H762" s="1098"/>
      <c r="I762" s="1099"/>
      <c r="J762" s="1140"/>
      <c r="K762" s="1140"/>
      <c r="L762" s="1143"/>
      <c r="M762" s="1098"/>
      <c r="N762" s="1099"/>
      <c r="O762" s="1099"/>
    </row>
    <row r="763" spans="2:15">
      <c r="B763" s="1129"/>
      <c r="C763" s="1098"/>
      <c r="D763" s="1099"/>
      <c r="E763" s="1098"/>
      <c r="F763" s="1136"/>
      <c r="G763" s="1099"/>
      <c r="H763" s="1098"/>
      <c r="I763" s="1099"/>
      <c r="J763" s="1140"/>
      <c r="K763" s="1140"/>
      <c r="L763" s="1143"/>
      <c r="M763" s="1098"/>
      <c r="N763" s="1099"/>
      <c r="O763" s="1099"/>
    </row>
    <row r="764" spans="2:15">
      <c r="B764" s="1129"/>
      <c r="C764" s="1098"/>
      <c r="D764" s="1099"/>
      <c r="E764" s="1098"/>
      <c r="F764" s="1136"/>
      <c r="G764" s="1099"/>
      <c r="H764" s="1098"/>
      <c r="I764" s="1099"/>
      <c r="J764" s="1140"/>
      <c r="K764" s="1140"/>
      <c r="L764" s="1143"/>
      <c r="M764" s="1098"/>
      <c r="N764" s="1099"/>
      <c r="O764" s="1099"/>
    </row>
    <row r="765" spans="2:15">
      <c r="B765" s="1129"/>
      <c r="C765" s="1098"/>
      <c r="D765" s="1099"/>
      <c r="E765" s="1098"/>
      <c r="F765" s="1136"/>
      <c r="G765" s="1099"/>
      <c r="H765" s="1098"/>
      <c r="I765" s="1099"/>
      <c r="J765" s="1140"/>
      <c r="K765" s="1140"/>
      <c r="L765" s="1143"/>
      <c r="M765" s="1098"/>
      <c r="N765" s="1099"/>
      <c r="O765" s="1099"/>
    </row>
    <row r="766" spans="2:15">
      <c r="B766" s="1129"/>
      <c r="C766" s="1098"/>
      <c r="D766" s="1099"/>
      <c r="E766" s="1098"/>
      <c r="F766" s="1136"/>
      <c r="G766" s="1099"/>
      <c r="H766" s="1098"/>
      <c r="I766" s="1099"/>
      <c r="J766" s="1140"/>
      <c r="K766" s="1140"/>
      <c r="L766" s="1143"/>
      <c r="M766" s="1098"/>
      <c r="N766" s="1099"/>
      <c r="O766" s="1099"/>
    </row>
    <row r="767" spans="2:15">
      <c r="B767" s="1129"/>
      <c r="C767" s="1098"/>
      <c r="D767" s="1099"/>
      <c r="E767" s="1098"/>
      <c r="F767" s="1136"/>
      <c r="G767" s="1099"/>
      <c r="H767" s="1098"/>
      <c r="I767" s="1099"/>
      <c r="J767" s="1140"/>
      <c r="K767" s="1140"/>
      <c r="L767" s="1143"/>
      <c r="M767" s="1098"/>
      <c r="N767" s="1099"/>
      <c r="O767" s="1099"/>
    </row>
    <row r="768" spans="2:15">
      <c r="B768" s="1129"/>
      <c r="C768" s="1098"/>
      <c r="D768" s="1099"/>
      <c r="E768" s="1098"/>
      <c r="F768" s="1136"/>
      <c r="G768" s="1099"/>
      <c r="H768" s="1098"/>
      <c r="I768" s="1099"/>
      <c r="J768" s="1140"/>
      <c r="K768" s="1140"/>
      <c r="L768" s="1143"/>
      <c r="M768" s="1098"/>
      <c r="N768" s="1099"/>
      <c r="O768" s="1099"/>
    </row>
    <row r="769" spans="2:15">
      <c r="B769" s="1129"/>
      <c r="C769" s="1098"/>
      <c r="D769" s="1099"/>
      <c r="E769" s="1098"/>
      <c r="F769" s="1136"/>
      <c r="G769" s="1099"/>
      <c r="H769" s="1098"/>
      <c r="I769" s="1099"/>
      <c r="J769" s="1140"/>
      <c r="K769" s="1140"/>
      <c r="L769" s="1143"/>
      <c r="M769" s="1098"/>
      <c r="N769" s="1099"/>
      <c r="O769" s="1099"/>
    </row>
    <row r="770" spans="2:15">
      <c r="B770" s="1129"/>
      <c r="C770" s="1098"/>
      <c r="D770" s="1099"/>
      <c r="E770" s="1098"/>
      <c r="F770" s="1136"/>
      <c r="G770" s="1099"/>
      <c r="H770" s="1098"/>
      <c r="I770" s="1099"/>
      <c r="J770" s="1140"/>
      <c r="K770" s="1140"/>
      <c r="L770" s="1143"/>
      <c r="M770" s="1098"/>
      <c r="N770" s="1099"/>
      <c r="O770" s="1099"/>
    </row>
    <row r="771" spans="2:15">
      <c r="B771" s="1129"/>
      <c r="C771" s="1098"/>
      <c r="D771" s="1099"/>
      <c r="E771" s="1098"/>
      <c r="F771" s="1136"/>
      <c r="G771" s="1099"/>
      <c r="H771" s="1098"/>
      <c r="I771" s="1099"/>
      <c r="J771" s="1140"/>
      <c r="K771" s="1140"/>
      <c r="L771" s="1143"/>
      <c r="M771" s="1098"/>
      <c r="N771" s="1099"/>
      <c r="O771" s="1099"/>
    </row>
    <row r="772" spans="2:15">
      <c r="B772" s="1129"/>
      <c r="C772" s="1098"/>
      <c r="D772" s="1099"/>
      <c r="E772" s="1098"/>
      <c r="F772" s="1136"/>
      <c r="G772" s="1099"/>
      <c r="H772" s="1098"/>
      <c r="I772" s="1099"/>
      <c r="J772" s="1140"/>
      <c r="K772" s="1140"/>
      <c r="L772" s="1143"/>
      <c r="M772" s="1098"/>
      <c r="N772" s="1099"/>
      <c r="O772" s="1099"/>
    </row>
    <row r="773" spans="2:15">
      <c r="B773" s="1129"/>
      <c r="C773" s="1098"/>
      <c r="D773" s="1099"/>
      <c r="E773" s="1098"/>
      <c r="F773" s="1136"/>
      <c r="G773" s="1099"/>
      <c r="H773" s="1098"/>
      <c r="I773" s="1099"/>
      <c r="J773" s="1140"/>
      <c r="K773" s="1140"/>
      <c r="L773" s="1143"/>
      <c r="M773" s="1098"/>
      <c r="N773" s="1099"/>
      <c r="O773" s="1099"/>
    </row>
    <row r="774" spans="2:15">
      <c r="B774" s="1129"/>
      <c r="C774" s="1098"/>
      <c r="D774" s="1099"/>
      <c r="E774" s="1098"/>
      <c r="F774" s="1136"/>
      <c r="G774" s="1099"/>
      <c r="H774" s="1098"/>
      <c r="I774" s="1099"/>
      <c r="J774" s="1140"/>
      <c r="K774" s="1140"/>
      <c r="L774" s="1143"/>
      <c r="M774" s="1098"/>
      <c r="N774" s="1099"/>
      <c r="O774" s="1099"/>
    </row>
    <row r="775" spans="2:15">
      <c r="B775" s="1129"/>
      <c r="C775" s="1098"/>
      <c r="D775" s="1099"/>
      <c r="E775" s="1098"/>
      <c r="F775" s="1136"/>
      <c r="G775" s="1099"/>
      <c r="H775" s="1098"/>
      <c r="I775" s="1099"/>
      <c r="J775" s="1140"/>
      <c r="K775" s="1140"/>
      <c r="L775" s="1143"/>
      <c r="M775" s="1098"/>
      <c r="N775" s="1099"/>
      <c r="O775" s="1099"/>
    </row>
    <row r="776" spans="2:15">
      <c r="B776" s="1129"/>
      <c r="C776" s="1098"/>
      <c r="D776" s="1099"/>
      <c r="E776" s="1098"/>
      <c r="F776" s="1136"/>
      <c r="G776" s="1099"/>
      <c r="H776" s="1098"/>
      <c r="I776" s="1099"/>
      <c r="J776" s="1140"/>
      <c r="K776" s="1140"/>
      <c r="L776" s="1143"/>
      <c r="M776" s="1098"/>
      <c r="N776" s="1099"/>
      <c r="O776" s="1099"/>
    </row>
    <row r="777" spans="2:15">
      <c r="B777" s="1129"/>
      <c r="C777" s="1098"/>
      <c r="D777" s="1099"/>
      <c r="E777" s="1098"/>
      <c r="F777" s="1136"/>
      <c r="G777" s="1099"/>
      <c r="H777" s="1098"/>
      <c r="I777" s="1099"/>
      <c r="J777" s="1140"/>
      <c r="K777" s="1140"/>
      <c r="L777" s="1143"/>
      <c r="M777" s="1098"/>
      <c r="N777" s="1099"/>
      <c r="O777" s="1099"/>
    </row>
    <row r="778" spans="2:15">
      <c r="B778" s="1129"/>
      <c r="C778" s="1098"/>
      <c r="D778" s="1099"/>
      <c r="E778" s="1098"/>
      <c r="F778" s="1136"/>
      <c r="G778" s="1099"/>
      <c r="H778" s="1098"/>
      <c r="I778" s="1099"/>
      <c r="J778" s="1140"/>
      <c r="K778" s="1140"/>
      <c r="L778" s="1143"/>
      <c r="M778" s="1098"/>
      <c r="N778" s="1099"/>
      <c r="O778" s="1099"/>
    </row>
    <row r="779" spans="2:15">
      <c r="B779" s="1129"/>
      <c r="C779" s="1098"/>
      <c r="D779" s="1099"/>
      <c r="E779" s="1098"/>
      <c r="F779" s="1136"/>
      <c r="G779" s="1099"/>
      <c r="H779" s="1098"/>
      <c r="I779" s="1099"/>
      <c r="J779" s="1140"/>
      <c r="K779" s="1140"/>
      <c r="L779" s="1143"/>
      <c r="M779" s="1098"/>
      <c r="N779" s="1099"/>
      <c r="O779" s="1099"/>
    </row>
    <row r="780" spans="2:15">
      <c r="B780" s="1129"/>
      <c r="C780" s="1098"/>
      <c r="D780" s="1099"/>
      <c r="E780" s="1098"/>
      <c r="F780" s="1136"/>
      <c r="G780" s="1099"/>
      <c r="H780" s="1098"/>
      <c r="I780" s="1099"/>
      <c r="J780" s="1140"/>
      <c r="K780" s="1140"/>
      <c r="L780" s="1143"/>
      <c r="M780" s="1098"/>
      <c r="N780" s="1099"/>
      <c r="O780" s="1099"/>
    </row>
    <row r="781" spans="2:15">
      <c r="B781" s="1129"/>
      <c r="C781" s="1098"/>
      <c r="D781" s="1099"/>
      <c r="E781" s="1098"/>
      <c r="F781" s="1136"/>
      <c r="G781" s="1099"/>
      <c r="H781" s="1098"/>
      <c r="I781" s="1099"/>
      <c r="J781" s="1140"/>
      <c r="K781" s="1140"/>
      <c r="L781" s="1143"/>
      <c r="M781" s="1098"/>
      <c r="N781" s="1099"/>
      <c r="O781" s="1099"/>
    </row>
    <row r="782" spans="2:15">
      <c r="B782" s="1129"/>
      <c r="C782" s="1098"/>
      <c r="D782" s="1099"/>
      <c r="E782" s="1098"/>
      <c r="F782" s="1136"/>
      <c r="G782" s="1099"/>
      <c r="H782" s="1098"/>
      <c r="I782" s="1099"/>
      <c r="J782" s="1140"/>
      <c r="K782" s="1140"/>
      <c r="L782" s="1143"/>
      <c r="M782" s="1098"/>
      <c r="N782" s="1099"/>
      <c r="O782" s="1099"/>
    </row>
    <row r="783" spans="2:15">
      <c r="B783" s="1129"/>
      <c r="C783" s="1098"/>
      <c r="D783" s="1099"/>
      <c r="E783" s="1098"/>
      <c r="F783" s="1136"/>
      <c r="G783" s="1099"/>
      <c r="H783" s="1098"/>
      <c r="I783" s="1099"/>
      <c r="J783" s="1140"/>
      <c r="K783" s="1140"/>
      <c r="L783" s="1143"/>
      <c r="M783" s="1098"/>
      <c r="N783" s="1099"/>
      <c r="O783" s="1099"/>
    </row>
    <row r="784" spans="2:15">
      <c r="B784" s="1129"/>
      <c r="C784" s="1098"/>
      <c r="D784" s="1099"/>
      <c r="E784" s="1098"/>
      <c r="F784" s="1136"/>
      <c r="G784" s="1099"/>
      <c r="H784" s="1098"/>
      <c r="I784" s="1099"/>
      <c r="J784" s="1140"/>
      <c r="K784" s="1140"/>
      <c r="L784" s="1143"/>
      <c r="M784" s="1098"/>
      <c r="N784" s="1099"/>
      <c r="O784" s="1099"/>
    </row>
    <row r="785" spans="2:15">
      <c r="B785" s="1129"/>
      <c r="C785" s="1098"/>
      <c r="D785" s="1099"/>
      <c r="E785" s="1098"/>
      <c r="F785" s="1136"/>
      <c r="G785" s="1099"/>
      <c r="H785" s="1098"/>
      <c r="I785" s="1099"/>
      <c r="J785" s="1140"/>
      <c r="K785" s="1140"/>
      <c r="L785" s="1143"/>
      <c r="M785" s="1098"/>
      <c r="N785" s="1099"/>
      <c r="O785" s="1099"/>
    </row>
    <row r="786" spans="2:15">
      <c r="B786" s="1129"/>
      <c r="C786" s="1098"/>
      <c r="D786" s="1099"/>
      <c r="E786" s="1098"/>
      <c r="F786" s="1136"/>
      <c r="G786" s="1099"/>
      <c r="H786" s="1098"/>
      <c r="I786" s="1099"/>
      <c r="J786" s="1140"/>
      <c r="K786" s="1140"/>
      <c r="L786" s="1143"/>
      <c r="M786" s="1098"/>
      <c r="N786" s="1099"/>
      <c r="O786" s="1099"/>
    </row>
    <row r="787" spans="2:15">
      <c r="B787" s="1129"/>
      <c r="C787" s="1098"/>
      <c r="D787" s="1099"/>
      <c r="E787" s="1098"/>
      <c r="F787" s="1136"/>
      <c r="G787" s="1099"/>
      <c r="H787" s="1098"/>
      <c r="I787" s="1099"/>
      <c r="J787" s="1140"/>
      <c r="K787" s="1140"/>
      <c r="L787" s="1143"/>
      <c r="M787" s="1098"/>
      <c r="N787" s="1099"/>
      <c r="O787" s="1099"/>
    </row>
    <row r="788" spans="2:15">
      <c r="B788" s="1129"/>
      <c r="C788" s="1098"/>
      <c r="D788" s="1099"/>
      <c r="E788" s="1098"/>
      <c r="F788" s="1136"/>
      <c r="G788" s="1099"/>
      <c r="H788" s="1098"/>
      <c r="I788" s="1099"/>
      <c r="J788" s="1140"/>
      <c r="K788" s="1140"/>
      <c r="L788" s="1143"/>
      <c r="M788" s="1098"/>
      <c r="N788" s="1099"/>
      <c r="O788" s="1099"/>
    </row>
    <row r="789" spans="2:15">
      <c r="B789" s="1129"/>
      <c r="C789" s="1098"/>
      <c r="D789" s="1099"/>
      <c r="E789" s="1098"/>
      <c r="F789" s="1136"/>
      <c r="G789" s="1099"/>
      <c r="H789" s="1098"/>
      <c r="I789" s="1099"/>
      <c r="J789" s="1140"/>
      <c r="K789" s="1140"/>
      <c r="L789" s="1143"/>
      <c r="M789" s="1098"/>
      <c r="N789" s="1099"/>
      <c r="O789" s="1099"/>
    </row>
    <row r="790" spans="2:15">
      <c r="B790" s="1129"/>
      <c r="C790" s="1098"/>
      <c r="D790" s="1099"/>
      <c r="E790" s="1098"/>
      <c r="F790" s="1136"/>
      <c r="G790" s="1099"/>
      <c r="H790" s="1098"/>
      <c r="I790" s="1099"/>
      <c r="J790" s="1140"/>
      <c r="K790" s="1140"/>
      <c r="L790" s="1143"/>
      <c r="M790" s="1098"/>
      <c r="N790" s="1099"/>
      <c r="O790" s="1099"/>
    </row>
    <row r="791" spans="2:15">
      <c r="B791" s="1129"/>
      <c r="C791" s="1098"/>
      <c r="D791" s="1099"/>
      <c r="E791" s="1098"/>
      <c r="F791" s="1136"/>
      <c r="G791" s="1099"/>
      <c r="H791" s="1098"/>
      <c r="I791" s="1099"/>
      <c r="J791" s="1140"/>
      <c r="K791" s="1140"/>
      <c r="L791" s="1143"/>
      <c r="M791" s="1098"/>
      <c r="N791" s="1099"/>
      <c r="O791" s="1099"/>
    </row>
    <row r="792" spans="2:15">
      <c r="B792" s="1129"/>
      <c r="C792" s="1098"/>
      <c r="D792" s="1099"/>
      <c r="E792" s="1098"/>
      <c r="F792" s="1136"/>
      <c r="G792" s="1099"/>
      <c r="H792" s="1098"/>
      <c r="I792" s="1099"/>
      <c r="J792" s="1140"/>
      <c r="K792" s="1140"/>
      <c r="L792" s="1143"/>
      <c r="M792" s="1098"/>
      <c r="N792" s="1099"/>
      <c r="O792" s="1099"/>
    </row>
    <row r="793" spans="2:15">
      <c r="B793" s="1129"/>
      <c r="C793" s="1098"/>
      <c r="D793" s="1099"/>
      <c r="E793" s="1098"/>
      <c r="F793" s="1136"/>
      <c r="G793" s="1099"/>
      <c r="H793" s="1098"/>
      <c r="I793" s="1099"/>
      <c r="J793" s="1140"/>
      <c r="K793" s="1140"/>
      <c r="L793" s="1143"/>
      <c r="M793" s="1098"/>
      <c r="N793" s="1099"/>
      <c r="O793" s="1099"/>
    </row>
    <row r="794" spans="2:15">
      <c r="B794" s="1129"/>
      <c r="C794" s="1098"/>
      <c r="D794" s="1099"/>
      <c r="E794" s="1098"/>
      <c r="F794" s="1136"/>
      <c r="G794" s="1099"/>
      <c r="H794" s="1098"/>
      <c r="I794" s="1099"/>
      <c r="J794" s="1140"/>
      <c r="K794" s="1140"/>
      <c r="L794" s="1143"/>
      <c r="M794" s="1098"/>
      <c r="N794" s="1099"/>
      <c r="O794" s="1099"/>
    </row>
    <row r="795" spans="2:15">
      <c r="B795" s="1129"/>
      <c r="C795" s="1098"/>
      <c r="D795" s="1099"/>
      <c r="E795" s="1098"/>
      <c r="F795" s="1136"/>
      <c r="G795" s="1099"/>
      <c r="H795" s="1098"/>
      <c r="I795" s="1099"/>
      <c r="J795" s="1140"/>
      <c r="K795" s="1140"/>
      <c r="L795" s="1143"/>
      <c r="M795" s="1098"/>
      <c r="N795" s="1099"/>
      <c r="O795" s="1099"/>
    </row>
    <row r="796" spans="2:15">
      <c r="B796" s="1129"/>
      <c r="C796" s="1098"/>
      <c r="D796" s="1099"/>
      <c r="E796" s="1098"/>
      <c r="F796" s="1136"/>
      <c r="G796" s="1099"/>
      <c r="H796" s="1098"/>
      <c r="I796" s="1099"/>
      <c r="J796" s="1140"/>
      <c r="K796" s="1140"/>
      <c r="L796" s="1143"/>
      <c r="M796" s="1098"/>
      <c r="N796" s="1099"/>
      <c r="O796" s="1099"/>
    </row>
    <row r="797" spans="2:15">
      <c r="B797" s="1129"/>
      <c r="C797" s="1098"/>
      <c r="D797" s="1099"/>
      <c r="E797" s="1098"/>
      <c r="F797" s="1136"/>
      <c r="G797" s="1099"/>
      <c r="H797" s="1098"/>
      <c r="I797" s="1099"/>
      <c r="J797" s="1140"/>
      <c r="K797" s="1140"/>
      <c r="L797" s="1143"/>
      <c r="M797" s="1098"/>
      <c r="N797" s="1099"/>
      <c r="O797" s="1099"/>
    </row>
    <row r="798" spans="2:15">
      <c r="B798" s="1129"/>
      <c r="C798" s="1098"/>
      <c r="D798" s="1099"/>
      <c r="E798" s="1098"/>
      <c r="F798" s="1136"/>
      <c r="G798" s="1099"/>
      <c r="H798" s="1098"/>
      <c r="I798" s="1099"/>
      <c r="J798" s="1140"/>
      <c r="K798" s="1140"/>
      <c r="L798" s="1143"/>
      <c r="M798" s="1098"/>
      <c r="N798" s="1099"/>
      <c r="O798" s="1099"/>
    </row>
    <row r="799" spans="2:15">
      <c r="B799" s="1129"/>
      <c r="C799" s="1098"/>
      <c r="D799" s="1099"/>
      <c r="E799" s="1098"/>
      <c r="F799" s="1136"/>
      <c r="G799" s="1099"/>
      <c r="H799" s="1098"/>
      <c r="I799" s="1099"/>
      <c r="J799" s="1140"/>
      <c r="K799" s="1140"/>
      <c r="L799" s="1143"/>
      <c r="M799" s="1098"/>
      <c r="N799" s="1099"/>
      <c r="O799" s="1099"/>
    </row>
    <row r="800" spans="2:15">
      <c r="B800" s="1129"/>
      <c r="C800" s="1098"/>
      <c r="D800" s="1099"/>
      <c r="E800" s="1098"/>
      <c r="F800" s="1136"/>
      <c r="G800" s="1099"/>
      <c r="H800" s="1098"/>
      <c r="I800" s="1099"/>
      <c r="J800" s="1140"/>
      <c r="K800" s="1140"/>
      <c r="L800" s="1143"/>
      <c r="M800" s="1098"/>
      <c r="N800" s="1099"/>
      <c r="O800" s="1099"/>
    </row>
    <row r="801" spans="2:15">
      <c r="B801" s="1129"/>
      <c r="C801" s="1098"/>
      <c r="D801" s="1099"/>
      <c r="E801" s="1098"/>
      <c r="F801" s="1136"/>
      <c r="G801" s="1099"/>
      <c r="H801" s="1098"/>
      <c r="I801" s="1099"/>
      <c r="J801" s="1140"/>
      <c r="K801" s="1140"/>
      <c r="L801" s="1143"/>
      <c r="M801" s="1098"/>
      <c r="N801" s="1099"/>
      <c r="O801" s="1099"/>
    </row>
    <row r="802" spans="2:15">
      <c r="B802" s="1129"/>
      <c r="C802" s="1098"/>
      <c r="D802" s="1099"/>
      <c r="E802" s="1098"/>
      <c r="F802" s="1136"/>
      <c r="G802" s="1099"/>
      <c r="H802" s="1098"/>
      <c r="I802" s="1099"/>
      <c r="J802" s="1140"/>
      <c r="K802" s="1140"/>
      <c r="L802" s="1143"/>
      <c r="M802" s="1098"/>
      <c r="N802" s="1099"/>
      <c r="O802" s="1099"/>
    </row>
    <row r="803" spans="2:15">
      <c r="B803" s="1129"/>
      <c r="C803" s="1098"/>
      <c r="D803" s="1099"/>
      <c r="E803" s="1098"/>
      <c r="F803" s="1136"/>
      <c r="G803" s="1099"/>
      <c r="H803" s="1098"/>
      <c r="I803" s="1099"/>
      <c r="J803" s="1140"/>
      <c r="K803" s="1140"/>
      <c r="L803" s="1143"/>
      <c r="M803" s="1098"/>
      <c r="N803" s="1099"/>
      <c r="O803" s="1099"/>
    </row>
    <row r="804" spans="2:15">
      <c r="B804" s="1129"/>
      <c r="C804" s="1098"/>
      <c r="D804" s="1099"/>
      <c r="E804" s="1098"/>
      <c r="F804" s="1136"/>
      <c r="G804" s="1099"/>
      <c r="H804" s="1098"/>
      <c r="I804" s="1099"/>
      <c r="J804" s="1140"/>
      <c r="K804" s="1140"/>
      <c r="L804" s="1143"/>
      <c r="M804" s="1098"/>
      <c r="N804" s="1099"/>
      <c r="O804" s="1099"/>
    </row>
    <row r="805" spans="2:15">
      <c r="B805" s="1129"/>
      <c r="C805" s="1098"/>
      <c r="D805" s="1099"/>
      <c r="E805" s="1098"/>
      <c r="F805" s="1136"/>
      <c r="G805" s="1099"/>
      <c r="H805" s="1098"/>
      <c r="I805" s="1099"/>
      <c r="J805" s="1140"/>
      <c r="K805" s="1140"/>
      <c r="L805" s="1143"/>
      <c r="M805" s="1098"/>
      <c r="N805" s="1099"/>
      <c r="O805" s="1099"/>
    </row>
    <row r="806" spans="2:15">
      <c r="B806" s="1129"/>
      <c r="C806" s="1098"/>
      <c r="D806" s="1099"/>
      <c r="E806" s="1098"/>
      <c r="F806" s="1136"/>
      <c r="G806" s="1099"/>
      <c r="H806" s="1098"/>
      <c r="I806" s="1099"/>
      <c r="J806" s="1140"/>
      <c r="K806" s="1140"/>
      <c r="L806" s="1143"/>
      <c r="M806" s="1098"/>
      <c r="N806" s="1099"/>
      <c r="O806" s="1099"/>
    </row>
    <row r="807" spans="2:15">
      <c r="B807" s="1129"/>
      <c r="C807" s="1098"/>
      <c r="D807" s="1099"/>
      <c r="E807" s="1098"/>
      <c r="F807" s="1136"/>
      <c r="G807" s="1099"/>
      <c r="H807" s="1098"/>
      <c r="I807" s="1099"/>
      <c r="J807" s="1140"/>
      <c r="K807" s="1140"/>
      <c r="L807" s="1143"/>
      <c r="M807" s="1098"/>
      <c r="N807" s="1099"/>
      <c r="O807" s="1099"/>
    </row>
    <row r="808" spans="2:15">
      <c r="B808" s="1129"/>
      <c r="C808" s="1098"/>
      <c r="D808" s="1099"/>
      <c r="E808" s="1098"/>
      <c r="F808" s="1136"/>
      <c r="G808" s="1099"/>
      <c r="H808" s="1098"/>
      <c r="I808" s="1099"/>
      <c r="J808" s="1140"/>
      <c r="K808" s="1140"/>
      <c r="L808" s="1143"/>
      <c r="M808" s="1098"/>
      <c r="N808" s="1099"/>
      <c r="O808" s="1099"/>
    </row>
    <row r="809" spans="2:15">
      <c r="B809" s="1129"/>
      <c r="C809" s="1098"/>
      <c r="D809" s="1099"/>
      <c r="E809" s="1098"/>
      <c r="F809" s="1136"/>
      <c r="G809" s="1099"/>
      <c r="H809" s="1098"/>
      <c r="I809" s="1099"/>
      <c r="J809" s="1140"/>
      <c r="K809" s="1140"/>
      <c r="L809" s="1143"/>
      <c r="M809" s="1098"/>
      <c r="N809" s="1099"/>
      <c r="O809" s="1099"/>
    </row>
    <row r="810" spans="2:15">
      <c r="B810" s="1129"/>
      <c r="C810" s="1098"/>
      <c r="D810" s="1099"/>
      <c r="E810" s="1098"/>
      <c r="F810" s="1136"/>
      <c r="G810" s="1099"/>
      <c r="H810" s="1098"/>
      <c r="I810" s="1099"/>
      <c r="J810" s="1140"/>
      <c r="K810" s="1140"/>
      <c r="L810" s="1143"/>
      <c r="M810" s="1098"/>
      <c r="N810" s="1099"/>
      <c r="O810" s="1099"/>
    </row>
    <row r="811" spans="2:15">
      <c r="B811" s="1129"/>
      <c r="C811" s="1098"/>
      <c r="D811" s="1099"/>
      <c r="E811" s="1098"/>
      <c r="F811" s="1136"/>
      <c r="G811" s="1099"/>
      <c r="H811" s="1098"/>
      <c r="I811" s="1099"/>
      <c r="J811" s="1140"/>
      <c r="K811" s="1140"/>
      <c r="L811" s="1143"/>
      <c r="M811" s="1098"/>
      <c r="N811" s="1099"/>
      <c r="O811" s="1099"/>
    </row>
    <row r="812" spans="2:15">
      <c r="B812" s="1129"/>
      <c r="C812" s="1098"/>
      <c r="D812" s="1099"/>
      <c r="E812" s="1098"/>
      <c r="F812" s="1136"/>
      <c r="G812" s="1099"/>
      <c r="H812" s="1098"/>
      <c r="I812" s="1099"/>
      <c r="J812" s="1140"/>
      <c r="K812" s="1140"/>
      <c r="L812" s="1143"/>
      <c r="M812" s="1098"/>
      <c r="N812" s="1099"/>
      <c r="O812" s="1099"/>
    </row>
    <row r="813" spans="2:15">
      <c r="B813" s="1129"/>
      <c r="C813" s="1098"/>
      <c r="D813" s="1099"/>
      <c r="E813" s="1098"/>
      <c r="F813" s="1136"/>
      <c r="G813" s="1099"/>
      <c r="H813" s="1098"/>
      <c r="I813" s="1099"/>
      <c r="J813" s="1140"/>
      <c r="K813" s="1140"/>
      <c r="L813" s="1143"/>
      <c r="M813" s="1098"/>
      <c r="N813" s="1099"/>
      <c r="O813" s="1099"/>
    </row>
    <row r="814" spans="2:15">
      <c r="B814" s="1129"/>
      <c r="C814" s="1098"/>
      <c r="D814" s="1099"/>
      <c r="E814" s="1098"/>
      <c r="F814" s="1136"/>
      <c r="G814" s="1099"/>
      <c r="H814" s="1098"/>
      <c r="I814" s="1099"/>
      <c r="J814" s="1140"/>
      <c r="K814" s="1140"/>
      <c r="L814" s="1143"/>
      <c r="M814" s="1098"/>
      <c r="N814" s="1099"/>
      <c r="O814" s="1099"/>
    </row>
    <row r="815" spans="2:15">
      <c r="B815" s="1129"/>
      <c r="C815" s="1098"/>
      <c r="D815" s="1099"/>
      <c r="E815" s="1098"/>
      <c r="F815" s="1136"/>
      <c r="G815" s="1099"/>
      <c r="H815" s="1098"/>
      <c r="I815" s="1099"/>
      <c r="J815" s="1140"/>
      <c r="K815" s="1140"/>
      <c r="L815" s="1143"/>
      <c r="M815" s="1098"/>
      <c r="N815" s="1099"/>
      <c r="O815" s="1099"/>
    </row>
    <row r="816" spans="2:15">
      <c r="B816" s="1129"/>
      <c r="C816" s="1098"/>
      <c r="D816" s="1099"/>
      <c r="E816" s="1098"/>
      <c r="F816" s="1136"/>
      <c r="G816" s="1099"/>
      <c r="H816" s="1098"/>
      <c r="I816" s="1099"/>
      <c r="J816" s="1140"/>
      <c r="K816" s="1140"/>
      <c r="L816" s="1143"/>
      <c r="M816" s="1098"/>
      <c r="N816" s="1099"/>
      <c r="O816" s="1099"/>
    </row>
    <row r="817" spans="2:15">
      <c r="B817" s="1129"/>
      <c r="C817" s="1098"/>
      <c r="D817" s="1099"/>
      <c r="E817" s="1098"/>
      <c r="F817" s="1136"/>
      <c r="G817" s="1099"/>
      <c r="H817" s="1098"/>
      <c r="I817" s="1099"/>
      <c r="J817" s="1140"/>
      <c r="K817" s="1140"/>
      <c r="L817" s="1143"/>
      <c r="M817" s="1098"/>
      <c r="N817" s="1099"/>
      <c r="O817" s="1099"/>
    </row>
    <row r="818" spans="2:15">
      <c r="B818" s="1129"/>
      <c r="C818" s="1098"/>
      <c r="D818" s="1099"/>
      <c r="E818" s="1098"/>
      <c r="F818" s="1136"/>
      <c r="G818" s="1099"/>
      <c r="H818" s="1098"/>
      <c r="I818" s="1099"/>
      <c r="J818" s="1140"/>
      <c r="K818" s="1140"/>
      <c r="L818" s="1143"/>
      <c r="M818" s="1098"/>
      <c r="N818" s="1099"/>
      <c r="O818" s="1099"/>
    </row>
    <row r="819" spans="2:15">
      <c r="B819" s="1129"/>
      <c r="C819" s="1098"/>
      <c r="D819" s="1099"/>
      <c r="E819" s="1098"/>
      <c r="F819" s="1136"/>
      <c r="G819" s="1099"/>
      <c r="H819" s="1098"/>
      <c r="I819" s="1099"/>
      <c r="J819" s="1140"/>
      <c r="K819" s="1140"/>
      <c r="L819" s="1143"/>
      <c r="M819" s="1098"/>
      <c r="N819" s="1099"/>
      <c r="O819" s="1099"/>
    </row>
    <row r="820" spans="2:15">
      <c r="B820" s="1129"/>
      <c r="C820" s="1098"/>
      <c r="D820" s="1099"/>
      <c r="E820" s="1098"/>
      <c r="F820" s="1136"/>
      <c r="G820" s="1099"/>
      <c r="H820" s="1098"/>
      <c r="I820" s="1099"/>
      <c r="J820" s="1140"/>
      <c r="K820" s="1140"/>
      <c r="L820" s="1143"/>
      <c r="M820" s="1098"/>
      <c r="N820" s="1099"/>
      <c r="O820" s="1099"/>
    </row>
    <row r="821" spans="2:15">
      <c r="B821" s="1129"/>
      <c r="C821" s="1098"/>
      <c r="D821" s="1099"/>
      <c r="E821" s="1098"/>
      <c r="F821" s="1136"/>
      <c r="G821" s="1099"/>
      <c r="H821" s="1098"/>
      <c r="I821" s="1099"/>
      <c r="J821" s="1140"/>
      <c r="K821" s="1140"/>
      <c r="L821" s="1143"/>
      <c r="M821" s="1098"/>
      <c r="N821" s="1099"/>
      <c r="O821" s="1099"/>
    </row>
    <row r="822" spans="2:15">
      <c r="B822" s="1129"/>
      <c r="C822" s="1098"/>
      <c r="D822" s="1099"/>
      <c r="E822" s="1098"/>
      <c r="F822" s="1136"/>
      <c r="G822" s="1099"/>
      <c r="H822" s="1098"/>
      <c r="I822" s="1099"/>
      <c r="J822" s="1140"/>
      <c r="K822" s="1140"/>
      <c r="L822" s="1143"/>
      <c r="M822" s="1098"/>
      <c r="N822" s="1099"/>
      <c r="O822" s="1099"/>
    </row>
    <row r="823" spans="2:15">
      <c r="B823" s="1129"/>
      <c r="C823" s="1098"/>
      <c r="D823" s="1099"/>
      <c r="E823" s="1098"/>
      <c r="F823" s="1136"/>
      <c r="G823" s="1099"/>
      <c r="H823" s="1098"/>
      <c r="I823" s="1099"/>
      <c r="J823" s="1140"/>
      <c r="K823" s="1140"/>
      <c r="L823" s="1143"/>
      <c r="M823" s="1098"/>
      <c r="N823" s="1099"/>
      <c r="O823" s="1099"/>
    </row>
    <row r="824" spans="2:15">
      <c r="B824" s="1129"/>
      <c r="C824" s="1098"/>
      <c r="D824" s="1099"/>
      <c r="E824" s="1098"/>
      <c r="F824" s="1136"/>
      <c r="G824" s="1099"/>
      <c r="H824" s="1098"/>
      <c r="I824" s="1099"/>
      <c r="J824" s="1140"/>
      <c r="K824" s="1140"/>
      <c r="L824" s="1143"/>
      <c r="M824" s="1098"/>
      <c r="N824" s="1099"/>
      <c r="O824" s="1099"/>
    </row>
    <row r="825" spans="2:15">
      <c r="B825" s="1129"/>
      <c r="C825" s="1098"/>
      <c r="D825" s="1099"/>
      <c r="E825" s="1098"/>
      <c r="F825" s="1136"/>
      <c r="G825" s="1099"/>
      <c r="H825" s="1098"/>
      <c r="I825" s="1099"/>
      <c r="J825" s="1140"/>
      <c r="K825" s="1140"/>
      <c r="L825" s="1143"/>
      <c r="M825" s="1098"/>
      <c r="N825" s="1099"/>
      <c r="O825" s="1099"/>
    </row>
    <row r="826" spans="2:15">
      <c r="B826" s="1129"/>
      <c r="C826" s="1098"/>
      <c r="D826" s="1099"/>
      <c r="E826" s="1098"/>
      <c r="F826" s="1136"/>
      <c r="G826" s="1099"/>
      <c r="H826" s="1098"/>
      <c r="I826" s="1099"/>
      <c r="J826" s="1140"/>
      <c r="K826" s="1140"/>
      <c r="L826" s="1143"/>
      <c r="M826" s="1098"/>
      <c r="N826" s="1099"/>
      <c r="O826" s="1099"/>
    </row>
    <row r="827" spans="2:15">
      <c r="B827" s="1129"/>
      <c r="C827" s="1098"/>
      <c r="D827" s="1099"/>
      <c r="E827" s="1098"/>
      <c r="F827" s="1136"/>
      <c r="G827" s="1099"/>
      <c r="H827" s="1098"/>
      <c r="I827" s="1099"/>
      <c r="J827" s="1140"/>
      <c r="K827" s="1140"/>
      <c r="L827" s="1143"/>
      <c r="M827" s="1098"/>
      <c r="N827" s="1099"/>
      <c r="O827" s="1099"/>
    </row>
    <row r="828" spans="2:15">
      <c r="B828" s="1129"/>
      <c r="C828" s="1098"/>
      <c r="D828" s="1099"/>
      <c r="E828" s="1098"/>
      <c r="F828" s="1136"/>
      <c r="G828" s="1099"/>
      <c r="H828" s="1098"/>
      <c r="I828" s="1099"/>
      <c r="J828" s="1140"/>
      <c r="K828" s="1140"/>
      <c r="L828" s="1143"/>
      <c r="M828" s="1098"/>
      <c r="N828" s="1099"/>
      <c r="O828" s="1099"/>
    </row>
    <row r="829" spans="2:15">
      <c r="B829" s="1129"/>
      <c r="C829" s="1098"/>
      <c r="D829" s="1099"/>
      <c r="E829" s="1098"/>
      <c r="F829" s="1136"/>
      <c r="G829" s="1099"/>
      <c r="H829" s="1098"/>
      <c r="I829" s="1099"/>
      <c r="J829" s="1140"/>
      <c r="K829" s="1140"/>
      <c r="L829" s="1143"/>
      <c r="M829" s="1098"/>
      <c r="N829" s="1099"/>
      <c r="O829" s="1099"/>
    </row>
    <row r="830" spans="2:15">
      <c r="B830" s="1129"/>
      <c r="C830" s="1098"/>
      <c r="D830" s="1099"/>
      <c r="E830" s="1098"/>
      <c r="F830" s="1136"/>
      <c r="G830" s="1099"/>
      <c r="H830" s="1098"/>
      <c r="I830" s="1099"/>
      <c r="J830" s="1140"/>
      <c r="K830" s="1140"/>
      <c r="L830" s="1143"/>
      <c r="M830" s="1098"/>
      <c r="N830" s="1099"/>
      <c r="O830" s="1099"/>
    </row>
    <row r="831" spans="2:15">
      <c r="B831" s="1129"/>
      <c r="C831" s="1098"/>
      <c r="D831" s="1099"/>
      <c r="E831" s="1098"/>
      <c r="F831" s="1136"/>
      <c r="G831" s="1099"/>
      <c r="H831" s="1098"/>
      <c r="I831" s="1099"/>
      <c r="J831" s="1140"/>
      <c r="K831" s="1140"/>
      <c r="L831" s="1143"/>
      <c r="M831" s="1098"/>
      <c r="N831" s="1099"/>
      <c r="O831" s="1099"/>
    </row>
    <row r="832" spans="2:15">
      <c r="B832" s="1129"/>
      <c r="C832" s="1098"/>
      <c r="D832" s="1099"/>
      <c r="E832" s="1098"/>
      <c r="F832" s="1136"/>
      <c r="G832" s="1099"/>
      <c r="H832" s="1098"/>
      <c r="I832" s="1099"/>
      <c r="J832" s="1140"/>
      <c r="K832" s="1140"/>
      <c r="L832" s="1143"/>
      <c r="M832" s="1098"/>
      <c r="N832" s="1099"/>
      <c r="O832" s="1099"/>
    </row>
    <row r="833" spans="2:15">
      <c r="B833" s="1129"/>
      <c r="C833" s="1098"/>
      <c r="D833" s="1099"/>
      <c r="E833" s="1098"/>
      <c r="F833" s="1136"/>
      <c r="G833" s="1099"/>
      <c r="H833" s="1098"/>
      <c r="I833" s="1099"/>
      <c r="J833" s="1140"/>
      <c r="K833" s="1140"/>
      <c r="L833" s="1143"/>
      <c r="M833" s="1098"/>
      <c r="N833" s="1099"/>
      <c r="O833" s="1099"/>
    </row>
    <row r="834" spans="2:15">
      <c r="B834" s="1129"/>
      <c r="C834" s="1098"/>
      <c r="D834" s="1099"/>
      <c r="E834" s="1098"/>
      <c r="F834" s="1136"/>
      <c r="G834" s="1099"/>
      <c r="H834" s="1098"/>
      <c r="I834" s="1099"/>
      <c r="J834" s="1140"/>
      <c r="K834" s="1140"/>
      <c r="L834" s="1143"/>
      <c r="M834" s="1098"/>
      <c r="N834" s="1099"/>
      <c r="O834" s="1099"/>
    </row>
    <row r="835" spans="2:15">
      <c r="B835" s="1129"/>
      <c r="C835" s="1098"/>
      <c r="D835" s="1099"/>
      <c r="E835" s="1098"/>
      <c r="F835" s="1136"/>
      <c r="G835" s="1099"/>
      <c r="H835" s="1098"/>
      <c r="I835" s="1099"/>
      <c r="J835" s="1140"/>
      <c r="K835" s="1140"/>
      <c r="L835" s="1143"/>
      <c r="M835" s="1098"/>
      <c r="N835" s="1099"/>
      <c r="O835" s="1099"/>
    </row>
    <row r="836" spans="2:15">
      <c r="B836" s="1129"/>
      <c r="C836" s="1098"/>
      <c r="D836" s="1099"/>
      <c r="E836" s="1098"/>
      <c r="F836" s="1136"/>
      <c r="G836" s="1099"/>
      <c r="H836" s="1098"/>
      <c r="I836" s="1099"/>
      <c r="J836" s="1140"/>
      <c r="K836" s="1140"/>
      <c r="L836" s="1143"/>
      <c r="M836" s="1098"/>
      <c r="N836" s="1099"/>
      <c r="O836" s="1099"/>
    </row>
    <row r="837" spans="2:15">
      <c r="B837" s="1129"/>
      <c r="C837" s="1098"/>
      <c r="D837" s="1099"/>
      <c r="E837" s="1098"/>
      <c r="F837" s="1136"/>
      <c r="G837" s="1099"/>
      <c r="H837" s="1098"/>
      <c r="I837" s="1099"/>
      <c r="J837" s="1140"/>
      <c r="K837" s="1140"/>
      <c r="L837" s="1143"/>
      <c r="M837" s="1098"/>
      <c r="N837" s="1099"/>
      <c r="O837" s="1099"/>
    </row>
    <row r="838" spans="2:15">
      <c r="B838" s="1129"/>
      <c r="C838" s="1098"/>
      <c r="D838" s="1099"/>
      <c r="E838" s="1098"/>
      <c r="F838" s="1136"/>
      <c r="G838" s="1099"/>
      <c r="H838" s="1098"/>
      <c r="I838" s="1099"/>
      <c r="J838" s="1140"/>
      <c r="K838" s="1140"/>
      <c r="L838" s="1143"/>
      <c r="M838" s="1098"/>
      <c r="N838" s="1099"/>
      <c r="O838" s="1099"/>
    </row>
    <row r="839" spans="2:15">
      <c r="B839" s="1129"/>
      <c r="C839" s="1098"/>
      <c r="D839" s="1099"/>
      <c r="E839" s="1098"/>
      <c r="F839" s="1136"/>
      <c r="G839" s="1099"/>
      <c r="H839" s="1098"/>
      <c r="I839" s="1099"/>
      <c r="J839" s="1140"/>
      <c r="K839" s="1140"/>
      <c r="L839" s="1143"/>
      <c r="M839" s="1098"/>
      <c r="N839" s="1099"/>
      <c r="O839" s="1099"/>
    </row>
    <row r="840" spans="2:15">
      <c r="B840" s="1129"/>
      <c r="C840" s="1098"/>
      <c r="D840" s="1099"/>
      <c r="E840" s="1098"/>
      <c r="F840" s="1136"/>
      <c r="G840" s="1099"/>
      <c r="H840" s="1098"/>
      <c r="I840" s="1099"/>
      <c r="J840" s="1140"/>
      <c r="K840" s="1140"/>
      <c r="L840" s="1143"/>
      <c r="M840" s="1098"/>
      <c r="N840" s="1099"/>
      <c r="O840" s="1099"/>
    </row>
    <row r="841" spans="2:15">
      <c r="B841" s="1129"/>
      <c r="C841" s="1098"/>
      <c r="D841" s="1099"/>
      <c r="E841" s="1098"/>
      <c r="F841" s="1136"/>
      <c r="G841" s="1099"/>
      <c r="H841" s="1098"/>
      <c r="I841" s="1099"/>
      <c r="J841" s="1140"/>
      <c r="K841" s="1140"/>
      <c r="L841" s="1143"/>
      <c r="M841" s="1098"/>
      <c r="N841" s="1099"/>
      <c r="O841" s="1099"/>
    </row>
    <row r="842" spans="2:15">
      <c r="B842" s="1129"/>
      <c r="C842" s="1098"/>
      <c r="D842" s="1099"/>
      <c r="E842" s="1098"/>
      <c r="F842" s="1136"/>
      <c r="G842" s="1099"/>
      <c r="H842" s="1098"/>
      <c r="I842" s="1099"/>
      <c r="J842" s="1140"/>
      <c r="K842" s="1140"/>
      <c r="L842" s="1143"/>
      <c r="M842" s="1098"/>
      <c r="N842" s="1099"/>
      <c r="O842" s="1099"/>
    </row>
    <row r="843" spans="2:15">
      <c r="B843" s="1129"/>
      <c r="C843" s="1098"/>
      <c r="D843" s="1099"/>
      <c r="E843" s="1098"/>
      <c r="F843" s="1136"/>
      <c r="G843" s="1099"/>
      <c r="H843" s="1098"/>
      <c r="I843" s="1099"/>
      <c r="J843" s="1140"/>
      <c r="K843" s="1140"/>
      <c r="L843" s="1143"/>
      <c r="M843" s="1098"/>
      <c r="N843" s="1099"/>
      <c r="O843" s="1099"/>
    </row>
    <row r="844" spans="2:15">
      <c r="B844" s="1129"/>
      <c r="C844" s="1098"/>
      <c r="D844" s="1099"/>
      <c r="E844" s="1098"/>
      <c r="F844" s="1136"/>
      <c r="G844" s="1099"/>
      <c r="H844" s="1098"/>
      <c r="I844" s="1099"/>
      <c r="J844" s="1140"/>
      <c r="K844" s="1140"/>
      <c r="L844" s="1143"/>
      <c r="M844" s="1098"/>
      <c r="N844" s="1099"/>
      <c r="O844" s="1099"/>
    </row>
    <row r="845" spans="2:15">
      <c r="B845" s="1129"/>
      <c r="C845" s="1098"/>
      <c r="D845" s="1099"/>
      <c r="E845" s="1098"/>
      <c r="F845" s="1136"/>
      <c r="G845" s="1099"/>
      <c r="H845" s="1098"/>
      <c r="I845" s="1099"/>
      <c r="J845" s="1140"/>
      <c r="K845" s="1140"/>
      <c r="L845" s="1143"/>
      <c r="M845" s="1098"/>
      <c r="N845" s="1099"/>
      <c r="O845" s="1099"/>
    </row>
    <row r="846" spans="2:15">
      <c r="B846" s="1129"/>
      <c r="C846" s="1098"/>
      <c r="D846" s="1099"/>
      <c r="E846" s="1098"/>
      <c r="F846" s="1136"/>
      <c r="G846" s="1099"/>
      <c r="H846" s="1098"/>
      <c r="I846" s="1099"/>
      <c r="J846" s="1140"/>
      <c r="K846" s="1140"/>
      <c r="L846" s="1143"/>
      <c r="M846" s="1098"/>
      <c r="N846" s="1099"/>
      <c r="O846" s="1099"/>
    </row>
    <row r="847" spans="2:15">
      <c r="B847" s="1129"/>
      <c r="C847" s="1098"/>
      <c r="D847" s="1099"/>
      <c r="E847" s="1098"/>
      <c r="F847" s="1136"/>
      <c r="G847" s="1099"/>
      <c r="H847" s="1098"/>
      <c r="I847" s="1099"/>
      <c r="J847" s="1140"/>
      <c r="K847" s="1140"/>
      <c r="L847" s="1143"/>
      <c r="M847" s="1098"/>
      <c r="N847" s="1099"/>
      <c r="O847" s="1099"/>
    </row>
    <row r="848" spans="2:15">
      <c r="B848" s="1129"/>
      <c r="C848" s="1098"/>
      <c r="D848" s="1099"/>
      <c r="E848" s="1098"/>
      <c r="F848" s="1136"/>
      <c r="G848" s="1099"/>
      <c r="H848" s="1098"/>
      <c r="I848" s="1099"/>
      <c r="J848" s="1140"/>
      <c r="K848" s="1140"/>
      <c r="L848" s="1143"/>
      <c r="M848" s="1098"/>
      <c r="N848" s="1099"/>
      <c r="O848" s="1099"/>
    </row>
    <row r="849" spans="2:15">
      <c r="B849" s="1129"/>
      <c r="C849" s="1098"/>
      <c r="D849" s="1099"/>
      <c r="E849" s="1098"/>
      <c r="F849" s="1136"/>
      <c r="G849" s="1099"/>
      <c r="H849" s="1098"/>
      <c r="I849" s="1099"/>
      <c r="J849" s="1140"/>
      <c r="K849" s="1140"/>
      <c r="L849" s="1143"/>
      <c r="M849" s="1098"/>
      <c r="N849" s="1099"/>
      <c r="O849" s="1099"/>
    </row>
    <row r="850" spans="2:15">
      <c r="B850" s="1129"/>
      <c r="C850" s="1098"/>
      <c r="D850" s="1099"/>
      <c r="E850" s="1098"/>
      <c r="F850" s="1136"/>
      <c r="G850" s="1099"/>
      <c r="H850" s="1098"/>
      <c r="I850" s="1099"/>
      <c r="J850" s="1140"/>
      <c r="K850" s="1140"/>
      <c r="L850" s="1143"/>
      <c r="M850" s="1098"/>
      <c r="N850" s="1099"/>
      <c r="O850" s="1099"/>
    </row>
    <row r="851" spans="2:15">
      <c r="B851" s="1129"/>
      <c r="C851" s="1098"/>
      <c r="D851" s="1099"/>
      <c r="E851" s="1098"/>
      <c r="F851" s="1136"/>
      <c r="G851" s="1099"/>
      <c r="H851" s="1098"/>
      <c r="I851" s="1099"/>
      <c r="J851" s="1140"/>
      <c r="K851" s="1140"/>
      <c r="L851" s="1143"/>
      <c r="M851" s="1098"/>
      <c r="N851" s="1099"/>
      <c r="O851" s="1099"/>
    </row>
    <row r="852" spans="2:15">
      <c r="B852" s="1129"/>
      <c r="C852" s="1098"/>
      <c r="D852" s="1099"/>
      <c r="E852" s="1098"/>
      <c r="F852" s="1136"/>
      <c r="G852" s="1099"/>
      <c r="H852" s="1098"/>
      <c r="I852" s="1099"/>
      <c r="J852" s="1140"/>
      <c r="K852" s="1140"/>
      <c r="L852" s="1143"/>
      <c r="M852" s="1098"/>
      <c r="N852" s="1099"/>
      <c r="O852" s="1099"/>
    </row>
    <row r="853" spans="2:15">
      <c r="B853" s="1129"/>
      <c r="C853" s="1098"/>
      <c r="D853" s="1099"/>
      <c r="E853" s="1098"/>
      <c r="F853" s="1136"/>
      <c r="G853" s="1099"/>
      <c r="H853" s="1098"/>
      <c r="I853" s="1099"/>
      <c r="J853" s="1140"/>
      <c r="K853" s="1140"/>
      <c r="L853" s="1143"/>
      <c r="M853" s="1098"/>
      <c r="N853" s="1099"/>
      <c r="O853" s="1099"/>
    </row>
    <row r="854" spans="2:15">
      <c r="B854" s="1129"/>
      <c r="C854" s="1098"/>
      <c r="D854" s="1099"/>
      <c r="E854" s="1098"/>
      <c r="F854" s="1136"/>
      <c r="G854" s="1099"/>
      <c r="H854" s="1098"/>
      <c r="I854" s="1099"/>
      <c r="J854" s="1140"/>
      <c r="K854" s="1140"/>
      <c r="L854" s="1143"/>
      <c r="M854" s="1098"/>
      <c r="N854" s="1099"/>
      <c r="O854" s="1099"/>
    </row>
    <row r="855" spans="2:15">
      <c r="B855" s="1129"/>
      <c r="C855" s="1098"/>
      <c r="D855" s="1099"/>
      <c r="E855" s="1098"/>
      <c r="F855" s="1136"/>
      <c r="G855" s="1099"/>
      <c r="H855" s="1098"/>
      <c r="I855" s="1099"/>
      <c r="J855" s="1140"/>
      <c r="K855" s="1140"/>
      <c r="L855" s="1143"/>
      <c r="M855" s="1098"/>
      <c r="N855" s="1099"/>
      <c r="O855" s="1099"/>
    </row>
    <row r="856" spans="2:15">
      <c r="B856" s="1129"/>
      <c r="C856" s="1098"/>
      <c r="D856" s="1099"/>
      <c r="E856" s="1098"/>
      <c r="F856" s="1136"/>
      <c r="G856" s="1099"/>
      <c r="H856" s="1098"/>
      <c r="I856" s="1099"/>
      <c r="J856" s="1140"/>
      <c r="K856" s="1140"/>
      <c r="L856" s="1143"/>
      <c r="M856" s="1098"/>
      <c r="N856" s="1099"/>
      <c r="O856" s="1099"/>
    </row>
    <row r="857" spans="2:15">
      <c r="B857" s="1129"/>
      <c r="C857" s="1098"/>
      <c r="D857" s="1099"/>
      <c r="E857" s="1098"/>
      <c r="F857" s="1136"/>
      <c r="G857" s="1099"/>
      <c r="H857" s="1098"/>
      <c r="I857" s="1099"/>
      <c r="J857" s="1140"/>
      <c r="K857" s="1140"/>
      <c r="L857" s="1143"/>
      <c r="M857" s="1098"/>
      <c r="N857" s="1099"/>
      <c r="O857" s="1099"/>
    </row>
    <row r="858" spans="2:15">
      <c r="B858" s="1129"/>
      <c r="C858" s="1098"/>
      <c r="D858" s="1099"/>
      <c r="E858" s="1098"/>
      <c r="F858" s="1136"/>
      <c r="G858" s="1099"/>
      <c r="H858" s="1098"/>
      <c r="I858" s="1099"/>
      <c r="J858" s="1140"/>
      <c r="K858" s="1140"/>
      <c r="L858" s="1143"/>
      <c r="M858" s="1098"/>
      <c r="N858" s="1099"/>
      <c r="O858" s="1099"/>
    </row>
    <row r="859" spans="2:15">
      <c r="B859" s="1129"/>
      <c r="C859" s="1098"/>
      <c r="D859" s="1099"/>
      <c r="E859" s="1098"/>
      <c r="F859" s="1136"/>
      <c r="G859" s="1099"/>
      <c r="H859" s="1098"/>
      <c r="I859" s="1099"/>
      <c r="J859" s="1140"/>
      <c r="K859" s="1140"/>
      <c r="L859" s="1143"/>
      <c r="M859" s="1098"/>
      <c r="N859" s="1099"/>
      <c r="O859" s="1099"/>
    </row>
    <row r="860" spans="2:15">
      <c r="B860" s="1129"/>
      <c r="C860" s="1098"/>
      <c r="D860" s="1099"/>
      <c r="E860" s="1098"/>
      <c r="F860" s="1136"/>
      <c r="G860" s="1099"/>
      <c r="H860" s="1098"/>
      <c r="I860" s="1099"/>
      <c r="J860" s="1140"/>
      <c r="K860" s="1140"/>
      <c r="L860" s="1143"/>
      <c r="M860" s="1098"/>
      <c r="N860" s="1099"/>
      <c r="O860" s="1099"/>
    </row>
    <row r="861" spans="2:15">
      <c r="B861" s="1129"/>
      <c r="C861" s="1098"/>
      <c r="D861" s="1099"/>
      <c r="E861" s="1098"/>
      <c r="F861" s="1136"/>
      <c r="G861" s="1099"/>
      <c r="H861" s="1098"/>
      <c r="I861" s="1099"/>
      <c r="J861" s="1140"/>
      <c r="K861" s="1140"/>
      <c r="L861" s="1143"/>
      <c r="M861" s="1098"/>
      <c r="N861" s="1099"/>
      <c r="O861" s="1099"/>
    </row>
    <row r="862" spans="2:15">
      <c r="B862" s="1129"/>
      <c r="C862" s="1098"/>
      <c r="D862" s="1099"/>
      <c r="E862" s="1098"/>
      <c r="F862" s="1136"/>
      <c r="G862" s="1099"/>
      <c r="H862" s="1098"/>
      <c r="I862" s="1099"/>
      <c r="J862" s="1140"/>
      <c r="K862" s="1140"/>
      <c r="L862" s="1143"/>
      <c r="M862" s="1098"/>
      <c r="N862" s="1099"/>
      <c r="O862" s="1099"/>
    </row>
    <row r="863" spans="2:15">
      <c r="B863" s="1129"/>
      <c r="C863" s="1098"/>
      <c r="D863" s="1099"/>
      <c r="E863" s="1098"/>
      <c r="F863" s="1136"/>
      <c r="G863" s="1099"/>
      <c r="H863" s="1098"/>
      <c r="I863" s="1099"/>
      <c r="J863" s="1140"/>
      <c r="K863" s="1140"/>
      <c r="L863" s="1143"/>
      <c r="M863" s="1098"/>
      <c r="N863" s="1099"/>
      <c r="O863" s="1099"/>
    </row>
    <row r="864" spans="2:15">
      <c r="B864" s="1129"/>
      <c r="C864" s="1098"/>
      <c r="D864" s="1099"/>
      <c r="E864" s="1098"/>
      <c r="F864" s="1136"/>
      <c r="G864" s="1099"/>
      <c r="H864" s="1098"/>
      <c r="I864" s="1099"/>
      <c r="J864" s="1140"/>
      <c r="K864" s="1140"/>
      <c r="L864" s="1143"/>
      <c r="M864" s="1098"/>
      <c r="N864" s="1099"/>
      <c r="O864" s="1099"/>
    </row>
    <row r="865" spans="2:15">
      <c r="B865" s="1129"/>
      <c r="C865" s="1098"/>
      <c r="D865" s="1099"/>
      <c r="E865" s="1098"/>
      <c r="F865" s="1136"/>
      <c r="G865" s="1099"/>
      <c r="H865" s="1098"/>
      <c r="I865" s="1099"/>
      <c r="J865" s="1140"/>
      <c r="K865" s="1140"/>
      <c r="L865" s="1143"/>
      <c r="M865" s="1098"/>
      <c r="N865" s="1099"/>
      <c r="O865" s="1099"/>
    </row>
    <row r="866" spans="2:15">
      <c r="B866" s="1129"/>
      <c r="C866" s="1098"/>
      <c r="D866" s="1099"/>
      <c r="E866" s="1098"/>
      <c r="F866" s="1136"/>
      <c r="G866" s="1099"/>
      <c r="H866" s="1098"/>
      <c r="I866" s="1099"/>
      <c r="J866" s="1140"/>
      <c r="K866" s="1140"/>
      <c r="L866" s="1143"/>
      <c r="M866" s="1098"/>
      <c r="N866" s="1099"/>
      <c r="O866" s="1099"/>
    </row>
    <row r="867" spans="2:15">
      <c r="B867" s="1129"/>
      <c r="C867" s="1098"/>
      <c r="D867" s="1099"/>
      <c r="E867" s="1098"/>
      <c r="F867" s="1136"/>
      <c r="G867" s="1099"/>
      <c r="H867" s="1098"/>
      <c r="I867" s="1099"/>
      <c r="J867" s="1140"/>
      <c r="K867" s="1140"/>
      <c r="L867" s="1143"/>
      <c r="M867" s="1098"/>
      <c r="N867" s="1099"/>
      <c r="O867" s="1099"/>
    </row>
    <row r="868" spans="2:15">
      <c r="B868" s="1129"/>
      <c r="C868" s="1098"/>
      <c r="D868" s="1099"/>
      <c r="E868" s="1098"/>
      <c r="F868" s="1136"/>
      <c r="G868" s="1099"/>
      <c r="H868" s="1098"/>
      <c r="I868" s="1099"/>
      <c r="J868" s="1140"/>
      <c r="K868" s="1140"/>
      <c r="L868" s="1143"/>
      <c r="M868" s="1098"/>
      <c r="N868" s="1099"/>
      <c r="O868" s="1099"/>
    </row>
    <row r="869" spans="2:15">
      <c r="B869" s="1129"/>
      <c r="C869" s="1098"/>
      <c r="D869" s="1099"/>
      <c r="E869" s="1098"/>
      <c r="F869" s="1136"/>
      <c r="G869" s="1099"/>
      <c r="H869" s="1098"/>
      <c r="I869" s="1099"/>
      <c r="J869" s="1140"/>
      <c r="K869" s="1140"/>
      <c r="L869" s="1143"/>
      <c r="M869" s="1098"/>
      <c r="N869" s="1099"/>
      <c r="O869" s="1099"/>
    </row>
    <row r="870" spans="2:15">
      <c r="B870" s="1129"/>
      <c r="C870" s="1098"/>
      <c r="D870" s="1099"/>
      <c r="E870" s="1098"/>
      <c r="F870" s="1136"/>
      <c r="G870" s="1099"/>
      <c r="H870" s="1098"/>
      <c r="I870" s="1099"/>
      <c r="J870" s="1140"/>
      <c r="K870" s="1140"/>
      <c r="L870" s="1143"/>
      <c r="M870" s="1098"/>
      <c r="N870" s="1099"/>
      <c r="O870" s="1099"/>
    </row>
    <row r="871" spans="2:15">
      <c r="B871" s="1129"/>
      <c r="C871" s="1098"/>
      <c r="D871" s="1099"/>
      <c r="E871" s="1098"/>
      <c r="F871" s="1136"/>
      <c r="G871" s="1099"/>
      <c r="H871" s="1098"/>
      <c r="I871" s="1099"/>
      <c r="J871" s="1140"/>
      <c r="K871" s="1140"/>
      <c r="L871" s="1143"/>
      <c r="M871" s="1098"/>
      <c r="N871" s="1099"/>
      <c r="O871" s="1099"/>
    </row>
    <row r="872" spans="2:15">
      <c r="B872" s="1129"/>
      <c r="C872" s="1098"/>
      <c r="D872" s="1099"/>
      <c r="E872" s="1098"/>
      <c r="F872" s="1136"/>
      <c r="G872" s="1099"/>
      <c r="H872" s="1098"/>
      <c r="I872" s="1099"/>
      <c r="J872" s="1140"/>
      <c r="K872" s="1140"/>
      <c r="L872" s="1143"/>
      <c r="M872" s="1098"/>
      <c r="N872" s="1099"/>
      <c r="O872" s="1099"/>
    </row>
    <row r="873" spans="2:15">
      <c r="B873" s="1129"/>
      <c r="C873" s="1098"/>
      <c r="D873" s="1099"/>
      <c r="E873" s="1098"/>
      <c r="F873" s="1136"/>
      <c r="G873" s="1099"/>
      <c r="H873" s="1098"/>
      <c r="I873" s="1099"/>
      <c r="J873" s="1140"/>
      <c r="K873" s="1140"/>
      <c r="L873" s="1143"/>
      <c r="M873" s="1098"/>
      <c r="N873" s="1099"/>
      <c r="O873" s="1099"/>
    </row>
    <row r="874" spans="2:15">
      <c r="B874" s="1129"/>
      <c r="C874" s="1098"/>
      <c r="D874" s="1099"/>
      <c r="E874" s="1098"/>
      <c r="F874" s="1136"/>
      <c r="G874" s="1099"/>
      <c r="H874" s="1098"/>
      <c r="I874" s="1099"/>
      <c r="J874" s="1140"/>
      <c r="K874" s="1140"/>
      <c r="L874" s="1143"/>
      <c r="M874" s="1098"/>
      <c r="N874" s="1099"/>
      <c r="O874" s="1099"/>
    </row>
    <row r="875" spans="2:15">
      <c r="B875" s="1129"/>
      <c r="C875" s="1098"/>
      <c r="D875" s="1099"/>
      <c r="E875" s="1098"/>
      <c r="F875" s="1136"/>
      <c r="G875" s="1099"/>
      <c r="H875" s="1098"/>
      <c r="I875" s="1099"/>
      <c r="J875" s="1140"/>
      <c r="K875" s="1140"/>
      <c r="L875" s="1143"/>
      <c r="M875" s="1098"/>
      <c r="N875" s="1099"/>
      <c r="O875" s="1099"/>
    </row>
    <row r="876" spans="2:15">
      <c r="B876" s="1129"/>
      <c r="C876" s="1098"/>
      <c r="D876" s="1099"/>
      <c r="E876" s="1098"/>
      <c r="F876" s="1136"/>
      <c r="G876" s="1099"/>
      <c r="H876" s="1098"/>
      <c r="I876" s="1099"/>
      <c r="J876" s="1140"/>
      <c r="K876" s="1140"/>
      <c r="L876" s="1143"/>
      <c r="M876" s="1098"/>
      <c r="N876" s="1099"/>
      <c r="O876" s="1099"/>
    </row>
    <row r="877" spans="2:15">
      <c r="B877" s="1129"/>
      <c r="C877" s="1098"/>
      <c r="D877" s="1099"/>
      <c r="E877" s="1098"/>
      <c r="F877" s="1136"/>
      <c r="G877" s="1099"/>
      <c r="H877" s="1098"/>
      <c r="I877" s="1099"/>
      <c r="J877" s="1140"/>
      <c r="K877" s="1140"/>
      <c r="L877" s="1143"/>
      <c r="M877" s="1098"/>
      <c r="N877" s="1099"/>
      <c r="O877" s="1099"/>
    </row>
    <row r="878" spans="2:15">
      <c r="B878" s="1129"/>
      <c r="C878" s="1098"/>
      <c r="D878" s="1099"/>
      <c r="E878" s="1098"/>
      <c r="F878" s="1136"/>
      <c r="G878" s="1099"/>
      <c r="H878" s="1098"/>
      <c r="I878" s="1099"/>
      <c r="J878" s="1140"/>
      <c r="K878" s="1140"/>
      <c r="L878" s="1143"/>
      <c r="M878" s="1098"/>
      <c r="N878" s="1099"/>
      <c r="O878" s="1099"/>
    </row>
    <row r="879" spans="2:15">
      <c r="B879" s="1129"/>
      <c r="C879" s="1098"/>
      <c r="D879" s="1099"/>
      <c r="E879" s="1098"/>
      <c r="F879" s="1136"/>
      <c r="G879" s="1099"/>
      <c r="H879" s="1098"/>
      <c r="I879" s="1099"/>
      <c r="J879" s="1140"/>
      <c r="K879" s="1140"/>
      <c r="L879" s="1143"/>
      <c r="M879" s="1098"/>
      <c r="N879" s="1099"/>
      <c r="O879" s="1099"/>
    </row>
    <row r="880" spans="2:15">
      <c r="B880" s="1129"/>
      <c r="C880" s="1098"/>
      <c r="D880" s="1099"/>
      <c r="E880" s="1098"/>
      <c r="F880" s="1136"/>
      <c r="G880" s="1099"/>
      <c r="H880" s="1098"/>
      <c r="I880" s="1099"/>
      <c r="J880" s="1140"/>
      <c r="K880" s="1140"/>
      <c r="L880" s="1143"/>
      <c r="M880" s="1098"/>
      <c r="N880" s="1099"/>
      <c r="O880" s="1099"/>
    </row>
    <row r="881" spans="2:15">
      <c r="B881" s="1129"/>
      <c r="C881" s="1098"/>
      <c r="D881" s="1099"/>
      <c r="E881" s="1098"/>
      <c r="F881" s="1136"/>
      <c r="G881" s="1099"/>
      <c r="H881" s="1098"/>
      <c r="I881" s="1099"/>
      <c r="J881" s="1140"/>
      <c r="K881" s="1140"/>
      <c r="L881" s="1143"/>
      <c r="M881" s="1098"/>
      <c r="N881" s="1099"/>
      <c r="O881" s="1099"/>
    </row>
    <row r="882" spans="2:15">
      <c r="B882" s="1129"/>
      <c r="C882" s="1098"/>
      <c r="D882" s="1099"/>
      <c r="E882" s="1098"/>
      <c r="F882" s="1136"/>
      <c r="G882" s="1099"/>
      <c r="H882" s="1098"/>
      <c r="I882" s="1099"/>
      <c r="J882" s="1140"/>
      <c r="K882" s="1140"/>
      <c r="L882" s="1143"/>
      <c r="M882" s="1098"/>
      <c r="N882" s="1099"/>
      <c r="O882" s="1099"/>
    </row>
    <row r="883" spans="2:15">
      <c r="B883" s="1129"/>
      <c r="C883" s="1098"/>
      <c r="D883" s="1099"/>
      <c r="E883" s="1098"/>
      <c r="F883" s="1136"/>
      <c r="G883" s="1099"/>
      <c r="H883" s="1098"/>
      <c r="I883" s="1099"/>
      <c r="J883" s="1140"/>
      <c r="K883" s="1140"/>
      <c r="L883" s="1143"/>
      <c r="M883" s="1098"/>
      <c r="N883" s="1099"/>
      <c r="O883" s="1099"/>
    </row>
    <row r="884" spans="2:15">
      <c r="B884" s="1129"/>
      <c r="C884" s="1098"/>
      <c r="D884" s="1099"/>
      <c r="E884" s="1098"/>
      <c r="F884" s="1136"/>
      <c r="G884" s="1099"/>
      <c r="H884" s="1098"/>
      <c r="I884" s="1099"/>
      <c r="J884" s="1140"/>
      <c r="K884" s="1140"/>
      <c r="L884" s="1143"/>
      <c r="M884" s="1098"/>
      <c r="N884" s="1099"/>
      <c r="O884" s="1099"/>
    </row>
    <row r="885" spans="2:15">
      <c r="B885" s="1129"/>
      <c r="C885" s="1098"/>
      <c r="D885" s="1099"/>
      <c r="E885" s="1098"/>
      <c r="F885" s="1136"/>
      <c r="G885" s="1099"/>
      <c r="H885" s="1098"/>
      <c r="I885" s="1099"/>
      <c r="J885" s="1140"/>
      <c r="K885" s="1140"/>
      <c r="L885" s="1143"/>
      <c r="M885" s="1098"/>
      <c r="N885" s="1099"/>
      <c r="O885" s="1099"/>
    </row>
    <row r="886" spans="2:15">
      <c r="B886" s="1129"/>
      <c r="C886" s="1098"/>
      <c r="D886" s="1099"/>
      <c r="E886" s="1098"/>
      <c r="F886" s="1136"/>
      <c r="G886" s="1099"/>
      <c r="H886" s="1098"/>
      <c r="I886" s="1099"/>
      <c r="J886" s="1140"/>
      <c r="K886" s="1140"/>
      <c r="L886" s="1143"/>
      <c r="M886" s="1098"/>
      <c r="N886" s="1099"/>
      <c r="O886" s="1099"/>
    </row>
    <row r="887" spans="2:15">
      <c r="B887" s="1129"/>
      <c r="C887" s="1098"/>
      <c r="D887" s="1099"/>
      <c r="E887" s="1098"/>
      <c r="F887" s="1136"/>
      <c r="G887" s="1099"/>
      <c r="H887" s="1098"/>
      <c r="I887" s="1099"/>
      <c r="J887" s="1140"/>
      <c r="K887" s="1140"/>
      <c r="L887" s="1143"/>
      <c r="M887" s="1098"/>
      <c r="N887" s="1099"/>
      <c r="O887" s="1099"/>
    </row>
    <row r="888" spans="2:15">
      <c r="B888" s="1129"/>
      <c r="C888" s="1098"/>
      <c r="D888" s="1099"/>
      <c r="E888" s="1098"/>
      <c r="F888" s="1136"/>
      <c r="G888" s="1099"/>
      <c r="H888" s="1098"/>
      <c r="I888" s="1099"/>
      <c r="J888" s="1140"/>
      <c r="K888" s="1140"/>
      <c r="L888" s="1143"/>
      <c r="M888" s="1098"/>
      <c r="N888" s="1099"/>
      <c r="O888" s="1099"/>
    </row>
    <row r="889" spans="2:15">
      <c r="B889" s="1129"/>
      <c r="C889" s="1098"/>
      <c r="D889" s="1099"/>
      <c r="E889" s="1098"/>
      <c r="F889" s="1136"/>
      <c r="G889" s="1099"/>
      <c r="H889" s="1098"/>
      <c r="I889" s="1099"/>
      <c r="J889" s="1140"/>
      <c r="K889" s="1140"/>
      <c r="L889" s="1143"/>
      <c r="M889" s="1098"/>
      <c r="N889" s="1099"/>
      <c r="O889" s="1099"/>
    </row>
    <row r="890" spans="2:15">
      <c r="B890" s="1129"/>
      <c r="C890" s="1098"/>
      <c r="D890" s="1099"/>
      <c r="E890" s="1098"/>
      <c r="F890" s="1136"/>
      <c r="G890" s="1099"/>
      <c r="H890" s="1098"/>
      <c r="I890" s="1099"/>
      <c r="J890" s="1140"/>
      <c r="K890" s="1140"/>
      <c r="L890" s="1143"/>
      <c r="M890" s="1098"/>
      <c r="N890" s="1099"/>
      <c r="O890" s="1099"/>
    </row>
    <row r="891" spans="2:15">
      <c r="B891" s="1129"/>
      <c r="C891" s="1098"/>
      <c r="D891" s="1099"/>
      <c r="E891" s="1098"/>
      <c r="F891" s="1136"/>
      <c r="G891" s="1099"/>
      <c r="H891" s="1098"/>
      <c r="I891" s="1099"/>
      <c r="J891" s="1140"/>
      <c r="K891" s="1140"/>
      <c r="L891" s="1143"/>
      <c r="M891" s="1098"/>
      <c r="N891" s="1099"/>
      <c r="O891" s="1099"/>
    </row>
    <row r="892" spans="2:15">
      <c r="B892" s="1129"/>
      <c r="C892" s="1098"/>
      <c r="D892" s="1099"/>
      <c r="E892" s="1098"/>
      <c r="F892" s="1136"/>
      <c r="G892" s="1099"/>
      <c r="H892" s="1098"/>
      <c r="I892" s="1099"/>
      <c r="J892" s="1140"/>
      <c r="K892" s="1140"/>
      <c r="L892" s="1143"/>
      <c r="M892" s="1098"/>
      <c r="N892" s="1099"/>
      <c r="O892" s="1099"/>
    </row>
    <row r="893" spans="2:15">
      <c r="B893" s="1129"/>
      <c r="C893" s="1098"/>
      <c r="D893" s="1099"/>
      <c r="E893" s="1098"/>
      <c r="F893" s="1136"/>
      <c r="G893" s="1099"/>
      <c r="H893" s="1098"/>
      <c r="I893" s="1099"/>
      <c r="J893" s="1140"/>
      <c r="K893" s="1140"/>
      <c r="L893" s="1143"/>
      <c r="M893" s="1098"/>
      <c r="N893" s="1099"/>
      <c r="O893" s="1099"/>
    </row>
    <row r="894" spans="2:15">
      <c r="B894" s="1129"/>
      <c r="C894" s="1098"/>
      <c r="D894" s="1099"/>
      <c r="E894" s="1098"/>
      <c r="F894" s="1136"/>
      <c r="G894" s="1099"/>
      <c r="H894" s="1098"/>
      <c r="I894" s="1099"/>
      <c r="J894" s="1140"/>
      <c r="K894" s="1140"/>
      <c r="L894" s="1143"/>
      <c r="M894" s="1098"/>
      <c r="N894" s="1099"/>
      <c r="O894" s="1099"/>
    </row>
    <row r="895" spans="2:15">
      <c r="B895" s="1129"/>
      <c r="C895" s="1098"/>
      <c r="D895" s="1099"/>
      <c r="E895" s="1098"/>
      <c r="F895" s="1136"/>
      <c r="G895" s="1099"/>
      <c r="H895" s="1098"/>
      <c r="I895" s="1099"/>
      <c r="J895" s="1140"/>
      <c r="K895" s="1140"/>
      <c r="L895" s="1143"/>
      <c r="M895" s="1098"/>
      <c r="N895" s="1099"/>
      <c r="O895" s="1099"/>
    </row>
    <row r="896" spans="2:15">
      <c r="B896" s="1129"/>
      <c r="C896" s="1098"/>
      <c r="D896" s="1099"/>
      <c r="E896" s="1098"/>
      <c r="F896" s="1136"/>
      <c r="G896" s="1099"/>
      <c r="H896" s="1098"/>
      <c r="I896" s="1099"/>
      <c r="J896" s="1140"/>
      <c r="K896" s="1140"/>
      <c r="L896" s="1143"/>
      <c r="M896" s="1098"/>
      <c r="N896" s="1099"/>
      <c r="O896" s="1099"/>
    </row>
    <row r="897" spans="2:15">
      <c r="B897" s="1129"/>
      <c r="C897" s="1098"/>
      <c r="D897" s="1099"/>
      <c r="E897" s="1098"/>
      <c r="F897" s="1136"/>
      <c r="G897" s="1099"/>
      <c r="H897" s="1098"/>
      <c r="I897" s="1099"/>
      <c r="J897" s="1140"/>
      <c r="K897" s="1140"/>
      <c r="L897" s="1143"/>
      <c r="M897" s="1098"/>
      <c r="N897" s="1099"/>
      <c r="O897" s="1099"/>
    </row>
    <row r="898" spans="2:15">
      <c r="B898" s="1129"/>
      <c r="C898" s="1098"/>
      <c r="D898" s="1099"/>
      <c r="E898" s="1098"/>
      <c r="F898" s="1136"/>
      <c r="G898" s="1099"/>
      <c r="H898" s="1098"/>
      <c r="I898" s="1099"/>
      <c r="J898" s="1140"/>
      <c r="K898" s="1140"/>
      <c r="L898" s="1143"/>
      <c r="M898" s="1098"/>
      <c r="N898" s="1099"/>
      <c r="O898" s="1099"/>
    </row>
    <row r="899" spans="2:15">
      <c r="B899" s="1129"/>
      <c r="C899" s="1098"/>
      <c r="D899" s="1099"/>
      <c r="E899" s="1098"/>
      <c r="F899" s="1136"/>
      <c r="G899" s="1099"/>
      <c r="H899" s="1098"/>
      <c r="I899" s="1099"/>
      <c r="J899" s="1140"/>
      <c r="K899" s="1140"/>
      <c r="L899" s="1143"/>
      <c r="M899" s="1098"/>
      <c r="N899" s="1099"/>
      <c r="O899" s="1099"/>
    </row>
    <row r="900" spans="2:15">
      <c r="B900" s="1129"/>
      <c r="C900" s="1098"/>
      <c r="D900" s="1099"/>
      <c r="E900" s="1098"/>
      <c r="F900" s="1136"/>
      <c r="G900" s="1099"/>
      <c r="H900" s="1098"/>
      <c r="I900" s="1099"/>
      <c r="J900" s="1140"/>
      <c r="K900" s="1140"/>
      <c r="L900" s="1143"/>
      <c r="M900" s="1098"/>
      <c r="N900" s="1099"/>
      <c r="O900" s="1099"/>
    </row>
    <row r="901" spans="2:15">
      <c r="B901" s="1129"/>
      <c r="C901" s="1098"/>
      <c r="D901" s="1099"/>
      <c r="E901" s="1098"/>
      <c r="F901" s="1136"/>
      <c r="G901" s="1099"/>
      <c r="H901" s="1098"/>
      <c r="I901" s="1099"/>
      <c r="J901" s="1140"/>
      <c r="K901" s="1140"/>
      <c r="L901" s="1143"/>
      <c r="M901" s="1098"/>
      <c r="N901" s="1099"/>
      <c r="O901" s="1099"/>
    </row>
    <row r="902" spans="2:15">
      <c r="B902" s="1129"/>
      <c r="C902" s="1098"/>
      <c r="D902" s="1099"/>
      <c r="E902" s="1098"/>
      <c r="F902" s="1136"/>
      <c r="G902" s="1099"/>
      <c r="H902" s="1098"/>
      <c r="I902" s="1099"/>
      <c r="J902" s="1140"/>
      <c r="K902" s="1140"/>
      <c r="L902" s="1143"/>
      <c r="M902" s="1098"/>
      <c r="N902" s="1099"/>
      <c r="O902" s="1099"/>
    </row>
    <row r="903" spans="2:15">
      <c r="B903" s="1129"/>
      <c r="C903" s="1098"/>
      <c r="D903" s="1099"/>
      <c r="E903" s="1098"/>
      <c r="F903" s="1136"/>
      <c r="G903" s="1099"/>
      <c r="H903" s="1098"/>
      <c r="I903" s="1099"/>
      <c r="J903" s="1140"/>
      <c r="K903" s="1140"/>
      <c r="L903" s="1143"/>
      <c r="M903" s="1098"/>
      <c r="N903" s="1099"/>
      <c r="O903" s="1099"/>
    </row>
    <row r="904" spans="2:15">
      <c r="B904" s="1129"/>
      <c r="C904" s="1098"/>
      <c r="D904" s="1099"/>
      <c r="E904" s="1098"/>
      <c r="F904" s="1136"/>
      <c r="G904" s="1099"/>
      <c r="H904" s="1098"/>
      <c r="I904" s="1099"/>
      <c r="J904" s="1140"/>
      <c r="K904" s="1140"/>
      <c r="L904" s="1143"/>
      <c r="M904" s="1098"/>
      <c r="N904" s="1099"/>
      <c r="O904" s="1099"/>
    </row>
    <row r="905" spans="2:15">
      <c r="B905" s="1129"/>
      <c r="C905" s="1098"/>
      <c r="D905" s="1099"/>
      <c r="E905" s="1098"/>
      <c r="F905" s="1136"/>
      <c r="G905" s="1099"/>
      <c r="H905" s="1098"/>
      <c r="I905" s="1099"/>
      <c r="J905" s="1140"/>
      <c r="K905" s="1140"/>
      <c r="L905" s="1143"/>
      <c r="M905" s="1098"/>
      <c r="N905" s="1099"/>
      <c r="O905" s="1099"/>
    </row>
    <row r="906" spans="2:15">
      <c r="B906" s="1129"/>
      <c r="C906" s="1098"/>
      <c r="D906" s="1099"/>
      <c r="E906" s="1098"/>
      <c r="F906" s="1136"/>
      <c r="G906" s="1099"/>
      <c r="H906" s="1098"/>
      <c r="I906" s="1099"/>
      <c r="J906" s="1140"/>
      <c r="K906" s="1140"/>
      <c r="L906" s="1143"/>
      <c r="M906" s="1098"/>
      <c r="N906" s="1099"/>
      <c r="O906" s="1099"/>
    </row>
    <row r="907" spans="2:15">
      <c r="B907" s="1129"/>
      <c r="C907" s="1098"/>
      <c r="D907" s="1099"/>
      <c r="E907" s="1098"/>
      <c r="F907" s="1136"/>
      <c r="G907" s="1099"/>
      <c r="H907" s="1098"/>
      <c r="I907" s="1099"/>
      <c r="J907" s="1140"/>
      <c r="K907" s="1140"/>
      <c r="L907" s="1143"/>
      <c r="M907" s="1098"/>
      <c r="N907" s="1099"/>
      <c r="O907" s="1099"/>
    </row>
    <row r="908" spans="2:15">
      <c r="B908" s="1129"/>
      <c r="C908" s="1098"/>
      <c r="D908" s="1099"/>
      <c r="E908" s="1098"/>
      <c r="F908" s="1136"/>
      <c r="G908" s="1099"/>
      <c r="H908" s="1098"/>
      <c r="I908" s="1099"/>
      <c r="J908" s="1140"/>
      <c r="K908" s="1140"/>
      <c r="L908" s="1143"/>
      <c r="M908" s="1098"/>
      <c r="N908" s="1099"/>
      <c r="O908" s="1099"/>
    </row>
    <row r="909" spans="2:15">
      <c r="B909" s="1129"/>
      <c r="C909" s="1098"/>
      <c r="D909" s="1099"/>
      <c r="E909" s="1098"/>
      <c r="F909" s="1136"/>
      <c r="G909" s="1099"/>
      <c r="H909" s="1098"/>
      <c r="I909" s="1099"/>
      <c r="J909" s="1140"/>
      <c r="K909" s="1140"/>
      <c r="L909" s="1143"/>
      <c r="M909" s="1098"/>
      <c r="N909" s="1099"/>
      <c r="O909" s="1099"/>
    </row>
    <row r="910" spans="2:15">
      <c r="B910" s="1129"/>
      <c r="C910" s="1098"/>
      <c r="D910" s="1099"/>
      <c r="E910" s="1098"/>
      <c r="F910" s="1136"/>
      <c r="G910" s="1099"/>
      <c r="H910" s="1098"/>
      <c r="I910" s="1099"/>
      <c r="J910" s="1140"/>
      <c r="K910" s="1140"/>
      <c r="L910" s="1143"/>
      <c r="M910" s="1098"/>
      <c r="N910" s="1099"/>
      <c r="O910" s="1099"/>
    </row>
    <row r="911" spans="2:15">
      <c r="B911" s="1129"/>
      <c r="C911" s="1098"/>
      <c r="D911" s="1099"/>
      <c r="E911" s="1098"/>
      <c r="F911" s="1136"/>
      <c r="G911" s="1099"/>
      <c r="H911" s="1098"/>
      <c r="I911" s="1099"/>
      <c r="J911" s="1140"/>
      <c r="K911" s="1140"/>
      <c r="L911" s="1143"/>
      <c r="M911" s="1098"/>
      <c r="N911" s="1099"/>
      <c r="O911" s="1099"/>
    </row>
    <row r="912" spans="2:15">
      <c r="B912" s="1129"/>
      <c r="C912" s="1098"/>
      <c r="D912" s="1099"/>
      <c r="E912" s="1098"/>
      <c r="F912" s="1136"/>
      <c r="G912" s="1099"/>
      <c r="H912" s="1098"/>
      <c r="I912" s="1099"/>
      <c r="J912" s="1140"/>
      <c r="K912" s="1140"/>
      <c r="L912" s="1143"/>
      <c r="M912" s="1098"/>
      <c r="N912" s="1099"/>
      <c r="O912" s="1099"/>
    </row>
    <row r="913" spans="2:15">
      <c r="B913" s="1129"/>
      <c r="C913" s="1098"/>
      <c r="D913" s="1099"/>
      <c r="E913" s="1098"/>
      <c r="F913" s="1136"/>
      <c r="G913" s="1099"/>
      <c r="H913" s="1098"/>
      <c r="I913" s="1099"/>
      <c r="J913" s="1140"/>
      <c r="K913" s="1140"/>
      <c r="L913" s="1143"/>
      <c r="M913" s="1098"/>
      <c r="N913" s="1099"/>
      <c r="O913" s="1099"/>
    </row>
    <row r="914" spans="2:15">
      <c r="B914" s="1129"/>
      <c r="C914" s="1098"/>
      <c r="D914" s="1099"/>
      <c r="E914" s="1098"/>
      <c r="F914" s="1136"/>
      <c r="G914" s="1099"/>
      <c r="H914" s="1098"/>
      <c r="I914" s="1099"/>
      <c r="J914" s="1140"/>
      <c r="K914" s="1140"/>
      <c r="L914" s="1143"/>
      <c r="M914" s="1098"/>
      <c r="N914" s="1099"/>
      <c r="O914" s="1099"/>
    </row>
    <row r="915" spans="2:15">
      <c r="B915" s="1129"/>
      <c r="C915" s="1098"/>
      <c r="D915" s="1099"/>
      <c r="E915" s="1098"/>
      <c r="F915" s="1136"/>
      <c r="G915" s="1099"/>
      <c r="H915" s="1098"/>
      <c r="I915" s="1099"/>
      <c r="J915" s="1140"/>
      <c r="K915" s="1140"/>
      <c r="L915" s="1143"/>
      <c r="M915" s="1098"/>
      <c r="N915" s="1099"/>
      <c r="O915" s="1099"/>
    </row>
    <row r="916" spans="2:15">
      <c r="B916" s="1129"/>
      <c r="C916" s="1098"/>
      <c r="D916" s="1099"/>
      <c r="E916" s="1098"/>
      <c r="F916" s="1136"/>
      <c r="G916" s="1099"/>
      <c r="H916" s="1098"/>
      <c r="I916" s="1099"/>
      <c r="J916" s="1140"/>
      <c r="K916" s="1140"/>
      <c r="L916" s="1143"/>
      <c r="M916" s="1098"/>
      <c r="N916" s="1099"/>
      <c r="O916" s="1099"/>
    </row>
    <row r="917" spans="2:15">
      <c r="B917" s="1129"/>
      <c r="C917" s="1098"/>
      <c r="D917" s="1099"/>
      <c r="E917" s="1098"/>
      <c r="F917" s="1136"/>
      <c r="G917" s="1099"/>
      <c r="H917" s="1098"/>
      <c r="I917" s="1099"/>
      <c r="J917" s="1140"/>
      <c r="K917" s="1140"/>
      <c r="L917" s="1143"/>
      <c r="M917" s="1098"/>
      <c r="N917" s="1099"/>
      <c r="O917" s="1099"/>
    </row>
    <row r="918" spans="2:15">
      <c r="B918" s="1129"/>
      <c r="C918" s="1098"/>
      <c r="D918" s="1099"/>
      <c r="E918" s="1098"/>
      <c r="F918" s="1136"/>
      <c r="G918" s="1099"/>
      <c r="H918" s="1098"/>
      <c r="I918" s="1099"/>
      <c r="J918" s="1140"/>
      <c r="K918" s="1140"/>
      <c r="L918" s="1143"/>
      <c r="M918" s="1098"/>
      <c r="N918" s="1099"/>
      <c r="O918" s="1099"/>
    </row>
    <row r="919" spans="2:15">
      <c r="B919" s="1129"/>
      <c r="C919" s="1098"/>
      <c r="D919" s="1099"/>
      <c r="E919" s="1098"/>
      <c r="F919" s="1136"/>
      <c r="G919" s="1099"/>
      <c r="H919" s="1098"/>
      <c r="I919" s="1099"/>
      <c r="J919" s="1140"/>
      <c r="K919" s="1140"/>
      <c r="L919" s="1143"/>
      <c r="M919" s="1098"/>
      <c r="N919" s="1099"/>
      <c r="O919" s="1099"/>
    </row>
    <row r="920" spans="2:15">
      <c r="B920" s="1129"/>
      <c r="C920" s="1098"/>
      <c r="D920" s="1099"/>
      <c r="E920" s="1098"/>
      <c r="F920" s="1136"/>
      <c r="G920" s="1099"/>
      <c r="H920" s="1098"/>
      <c r="I920" s="1099"/>
      <c r="J920" s="1140"/>
      <c r="K920" s="1140"/>
      <c r="L920" s="1143"/>
      <c r="M920" s="1098"/>
      <c r="N920" s="1099"/>
      <c r="O920" s="1099"/>
    </row>
    <row r="921" spans="2:15">
      <c r="B921" s="1129"/>
      <c r="C921" s="1098"/>
      <c r="D921" s="1099"/>
      <c r="E921" s="1098"/>
      <c r="F921" s="1136"/>
      <c r="G921" s="1099"/>
      <c r="H921" s="1098"/>
      <c r="I921" s="1099"/>
      <c r="J921" s="1140"/>
      <c r="K921" s="1140"/>
      <c r="L921" s="1143"/>
      <c r="M921" s="1098"/>
      <c r="N921" s="1099"/>
      <c r="O921" s="1099"/>
    </row>
    <row r="922" spans="2:15">
      <c r="B922" s="1129"/>
      <c r="C922" s="1098"/>
      <c r="D922" s="1099"/>
      <c r="E922" s="1098"/>
      <c r="F922" s="1136"/>
      <c r="G922" s="1099"/>
      <c r="H922" s="1098"/>
      <c r="I922" s="1099"/>
      <c r="J922" s="1140"/>
      <c r="K922" s="1140"/>
      <c r="L922" s="1143"/>
      <c r="M922" s="1098"/>
      <c r="N922" s="1099"/>
      <c r="O922" s="1099"/>
    </row>
    <row r="923" spans="2:15">
      <c r="B923" s="1129"/>
      <c r="C923" s="1098"/>
      <c r="D923" s="1099"/>
      <c r="E923" s="1098"/>
      <c r="F923" s="1136"/>
      <c r="G923" s="1099"/>
      <c r="H923" s="1098"/>
      <c r="I923" s="1099"/>
      <c r="J923" s="1140"/>
      <c r="K923" s="1140"/>
      <c r="L923" s="1143"/>
      <c r="M923" s="1098"/>
      <c r="N923" s="1099"/>
      <c r="O923" s="1099"/>
    </row>
    <row r="924" spans="2:15">
      <c r="B924" s="1129"/>
      <c r="C924" s="1098"/>
      <c r="D924" s="1099"/>
      <c r="E924" s="1098"/>
      <c r="F924" s="1136"/>
      <c r="G924" s="1099"/>
      <c r="H924" s="1098"/>
      <c r="I924" s="1099"/>
      <c r="J924" s="1140"/>
      <c r="K924" s="1140"/>
      <c r="L924" s="1143"/>
      <c r="M924" s="1098"/>
      <c r="N924" s="1099"/>
      <c r="O924" s="1099"/>
    </row>
    <row r="925" spans="2:15">
      <c r="B925" s="1129"/>
      <c r="C925" s="1098"/>
      <c r="D925" s="1099"/>
      <c r="E925" s="1098"/>
      <c r="F925" s="1136"/>
      <c r="G925" s="1099"/>
      <c r="H925" s="1098"/>
      <c r="I925" s="1099"/>
      <c r="J925" s="1140"/>
      <c r="K925" s="1140"/>
      <c r="L925" s="1143"/>
      <c r="M925" s="1098"/>
      <c r="N925" s="1099"/>
      <c r="O925" s="1099"/>
    </row>
    <row r="926" spans="2:15">
      <c r="B926" s="1129"/>
      <c r="C926" s="1098"/>
      <c r="D926" s="1099"/>
      <c r="E926" s="1098"/>
      <c r="F926" s="1136"/>
      <c r="G926" s="1099"/>
      <c r="H926" s="1098"/>
      <c r="I926" s="1099"/>
      <c r="J926" s="1140"/>
      <c r="K926" s="1140"/>
      <c r="L926" s="1143"/>
      <c r="M926" s="1098"/>
      <c r="N926" s="1099"/>
      <c r="O926" s="1099"/>
    </row>
    <row r="927" spans="2:15">
      <c r="B927" s="1129"/>
      <c r="C927" s="1098"/>
      <c r="D927" s="1099"/>
      <c r="E927" s="1098"/>
      <c r="F927" s="1136"/>
      <c r="G927" s="1099"/>
      <c r="H927" s="1098"/>
      <c r="I927" s="1099"/>
      <c r="J927" s="1140"/>
      <c r="K927" s="1140"/>
      <c r="L927" s="1143"/>
      <c r="M927" s="1098"/>
      <c r="N927" s="1099"/>
      <c r="O927" s="1099"/>
    </row>
    <row r="928" spans="2:15">
      <c r="B928" s="1129"/>
      <c r="C928" s="1098"/>
      <c r="D928" s="1099"/>
      <c r="E928" s="1098"/>
      <c r="F928" s="1136"/>
      <c r="G928" s="1099"/>
      <c r="H928" s="1098"/>
      <c r="I928" s="1099"/>
      <c r="J928" s="1140"/>
      <c r="K928" s="1140"/>
      <c r="L928" s="1143"/>
      <c r="M928" s="1098"/>
      <c r="N928" s="1099"/>
      <c r="O928" s="1099"/>
    </row>
    <row r="929" spans="2:15">
      <c r="B929" s="1129"/>
      <c r="C929" s="1098"/>
      <c r="D929" s="1099"/>
      <c r="E929" s="1098"/>
      <c r="F929" s="1136"/>
      <c r="G929" s="1099"/>
      <c r="H929" s="1098"/>
      <c r="I929" s="1099"/>
      <c r="J929" s="1140"/>
      <c r="K929" s="1140"/>
      <c r="L929" s="1143"/>
      <c r="M929" s="1098"/>
      <c r="N929" s="1099"/>
      <c r="O929" s="1099"/>
    </row>
    <row r="930" spans="2:15">
      <c r="B930" s="1129"/>
      <c r="C930" s="1098"/>
      <c r="D930" s="1099"/>
      <c r="E930" s="1098"/>
      <c r="F930" s="1136"/>
      <c r="G930" s="1099"/>
      <c r="H930" s="1098"/>
      <c r="I930" s="1099"/>
      <c r="J930" s="1140"/>
      <c r="K930" s="1140"/>
      <c r="L930" s="1143"/>
      <c r="M930" s="1098"/>
      <c r="N930" s="1099"/>
      <c r="O930" s="1099"/>
    </row>
    <row r="931" spans="2:15">
      <c r="B931" s="1129"/>
      <c r="C931" s="1098"/>
      <c r="D931" s="1099"/>
      <c r="E931" s="1098"/>
      <c r="F931" s="1136"/>
      <c r="G931" s="1099"/>
      <c r="H931" s="1098"/>
      <c r="I931" s="1099"/>
      <c r="J931" s="1140"/>
      <c r="K931" s="1140"/>
      <c r="L931" s="1143"/>
      <c r="M931" s="1098"/>
      <c r="N931" s="1099"/>
      <c r="O931" s="1099"/>
    </row>
    <row r="932" spans="2:15">
      <c r="B932" s="1129"/>
      <c r="C932" s="1098"/>
      <c r="D932" s="1099"/>
      <c r="E932" s="1098"/>
      <c r="F932" s="1136"/>
      <c r="G932" s="1099"/>
      <c r="H932" s="1098"/>
      <c r="I932" s="1099"/>
      <c r="J932" s="1140"/>
      <c r="K932" s="1140"/>
      <c r="L932" s="1143"/>
      <c r="M932" s="1098"/>
      <c r="N932" s="1099"/>
      <c r="O932" s="1099"/>
    </row>
    <row r="933" spans="2:15">
      <c r="B933" s="1129"/>
      <c r="C933" s="1098"/>
      <c r="D933" s="1099"/>
      <c r="E933" s="1098"/>
      <c r="F933" s="1136"/>
      <c r="G933" s="1099"/>
      <c r="H933" s="1098"/>
      <c r="I933" s="1099"/>
      <c r="J933" s="1140"/>
      <c r="K933" s="1140"/>
      <c r="L933" s="1143"/>
      <c r="M933" s="1098"/>
      <c r="N933" s="1099"/>
      <c r="O933" s="1099"/>
    </row>
    <row r="934" spans="2:15">
      <c r="B934" s="1129"/>
      <c r="C934" s="1098"/>
      <c r="D934" s="1099"/>
      <c r="E934" s="1098"/>
      <c r="F934" s="1136"/>
      <c r="G934" s="1099"/>
      <c r="H934" s="1098"/>
      <c r="I934" s="1099"/>
      <c r="J934" s="1140"/>
      <c r="K934" s="1140"/>
      <c r="L934" s="1143"/>
      <c r="M934" s="1098"/>
      <c r="N934" s="1099"/>
      <c r="O934" s="1099"/>
    </row>
    <row r="935" spans="2:15">
      <c r="B935" s="1129"/>
      <c r="C935" s="1098"/>
      <c r="D935" s="1099"/>
      <c r="E935" s="1098"/>
      <c r="F935" s="1136"/>
      <c r="G935" s="1099"/>
      <c r="H935" s="1098"/>
      <c r="I935" s="1099"/>
      <c r="J935" s="1140"/>
      <c r="K935" s="1140"/>
      <c r="L935" s="1143"/>
      <c r="M935" s="1098"/>
      <c r="N935" s="1099"/>
      <c r="O935" s="1099"/>
    </row>
    <row r="936" spans="2:15">
      <c r="B936" s="1129"/>
      <c r="C936" s="1098"/>
      <c r="D936" s="1099"/>
      <c r="E936" s="1098"/>
      <c r="F936" s="1136"/>
      <c r="G936" s="1099"/>
      <c r="H936" s="1098"/>
      <c r="I936" s="1099"/>
      <c r="J936" s="1140"/>
      <c r="K936" s="1140"/>
      <c r="L936" s="1143"/>
      <c r="M936" s="1098"/>
      <c r="N936" s="1099"/>
      <c r="O936" s="1099"/>
    </row>
    <row r="937" spans="2:15">
      <c r="B937" s="1129"/>
      <c r="C937" s="1098"/>
      <c r="D937" s="1099"/>
      <c r="E937" s="1098"/>
      <c r="F937" s="1136"/>
      <c r="G937" s="1099"/>
      <c r="H937" s="1098"/>
      <c r="I937" s="1099"/>
      <c r="J937" s="1140"/>
      <c r="K937" s="1140"/>
      <c r="L937" s="1143"/>
      <c r="M937" s="1098"/>
      <c r="N937" s="1099"/>
      <c r="O937" s="1099"/>
    </row>
    <row r="938" spans="2:15">
      <c r="B938" s="1129"/>
      <c r="C938" s="1098"/>
      <c r="D938" s="1099"/>
      <c r="E938" s="1098"/>
      <c r="F938" s="1136"/>
      <c r="G938" s="1099"/>
      <c r="H938" s="1098"/>
      <c r="I938" s="1099"/>
      <c r="J938" s="1140"/>
      <c r="K938" s="1140"/>
      <c r="L938" s="1143"/>
      <c r="M938" s="1098"/>
      <c r="N938" s="1099"/>
      <c r="O938" s="1099"/>
    </row>
    <row r="939" spans="2:15">
      <c r="B939" s="1129"/>
      <c r="C939" s="1098"/>
      <c r="D939" s="1099"/>
      <c r="E939" s="1098"/>
      <c r="F939" s="1136"/>
      <c r="G939" s="1099"/>
      <c r="H939" s="1098"/>
      <c r="I939" s="1099"/>
      <c r="J939" s="1140"/>
      <c r="K939" s="1140"/>
      <c r="L939" s="1143"/>
      <c r="M939" s="1098"/>
      <c r="N939" s="1099"/>
      <c r="O939" s="1099"/>
    </row>
    <row r="940" spans="2:15">
      <c r="B940" s="1129"/>
      <c r="C940" s="1098"/>
      <c r="D940" s="1099"/>
      <c r="E940" s="1098"/>
      <c r="F940" s="1136"/>
      <c r="G940" s="1099"/>
      <c r="H940" s="1098"/>
      <c r="I940" s="1099"/>
      <c r="J940" s="1140"/>
      <c r="K940" s="1140"/>
      <c r="L940" s="1143"/>
      <c r="M940" s="1098"/>
      <c r="N940" s="1099"/>
      <c r="O940" s="1099"/>
    </row>
    <row r="941" spans="2:15">
      <c r="B941" s="1129"/>
      <c r="C941" s="1098"/>
      <c r="D941" s="1099"/>
      <c r="E941" s="1098"/>
      <c r="F941" s="1136"/>
      <c r="G941" s="1099"/>
      <c r="H941" s="1098"/>
      <c r="I941" s="1099"/>
      <c r="J941" s="1140"/>
      <c r="K941" s="1140"/>
      <c r="L941" s="1143"/>
      <c r="M941" s="1098"/>
      <c r="N941" s="1099"/>
      <c r="O941" s="1099"/>
    </row>
    <row r="942" spans="2:15">
      <c r="B942" s="1129"/>
      <c r="C942" s="1098"/>
      <c r="D942" s="1099"/>
      <c r="E942" s="1098"/>
      <c r="F942" s="1136"/>
      <c r="G942" s="1099"/>
      <c r="H942" s="1098"/>
      <c r="I942" s="1099"/>
      <c r="J942" s="1140"/>
      <c r="K942" s="1140"/>
      <c r="L942" s="1143"/>
      <c r="M942" s="1098"/>
      <c r="N942" s="1099"/>
      <c r="O942" s="1099"/>
    </row>
    <row r="943" spans="2:15">
      <c r="B943" s="1129"/>
      <c r="C943" s="1098"/>
      <c r="D943" s="1099"/>
      <c r="E943" s="1098"/>
      <c r="F943" s="1136"/>
      <c r="G943" s="1099"/>
      <c r="H943" s="1098"/>
      <c r="I943" s="1099"/>
      <c r="J943" s="1140"/>
      <c r="K943" s="1140"/>
      <c r="L943" s="1143"/>
      <c r="M943" s="1098"/>
      <c r="N943" s="1099"/>
      <c r="O943" s="1099"/>
    </row>
    <row r="944" spans="2:15">
      <c r="B944" s="1129"/>
      <c r="C944" s="1098"/>
      <c r="D944" s="1099"/>
      <c r="E944" s="1098"/>
      <c r="F944" s="1136"/>
      <c r="G944" s="1099"/>
      <c r="H944" s="1098"/>
      <c r="I944" s="1099"/>
      <c r="J944" s="1140"/>
      <c r="K944" s="1140"/>
      <c r="L944" s="1143"/>
      <c r="M944" s="1098"/>
      <c r="N944" s="1099"/>
      <c r="O944" s="1099"/>
    </row>
    <row r="945" spans="2:15">
      <c r="B945" s="1129"/>
      <c r="C945" s="1098"/>
      <c r="D945" s="1099"/>
      <c r="E945" s="1098"/>
      <c r="F945" s="1136"/>
      <c r="G945" s="1099"/>
      <c r="H945" s="1098"/>
      <c r="I945" s="1099"/>
      <c r="J945" s="1140"/>
      <c r="K945" s="1140"/>
      <c r="L945" s="1143"/>
      <c r="M945" s="1098"/>
      <c r="N945" s="1099"/>
      <c r="O945" s="1099"/>
    </row>
    <row r="946" spans="2:15">
      <c r="B946" s="1129"/>
      <c r="C946" s="1098"/>
      <c r="D946" s="1099"/>
      <c r="E946" s="1098"/>
      <c r="F946" s="1136"/>
      <c r="G946" s="1099"/>
      <c r="H946" s="1098"/>
      <c r="I946" s="1099"/>
      <c r="J946" s="1140"/>
      <c r="K946" s="1140"/>
      <c r="L946" s="1143"/>
      <c r="M946" s="1098"/>
      <c r="N946" s="1099"/>
      <c r="O946" s="1099"/>
    </row>
    <row r="947" spans="2:15">
      <c r="B947" s="1129"/>
      <c r="C947" s="1098"/>
      <c r="D947" s="1099"/>
      <c r="E947" s="1098"/>
      <c r="F947" s="1136"/>
      <c r="G947" s="1099"/>
      <c r="H947" s="1098"/>
      <c r="I947" s="1099"/>
      <c r="J947" s="1140"/>
      <c r="K947" s="1140"/>
      <c r="L947" s="1143"/>
      <c r="M947" s="1098"/>
      <c r="N947" s="1099"/>
      <c r="O947" s="1099"/>
    </row>
    <row r="948" spans="2:15">
      <c r="B948" s="1129"/>
      <c r="C948" s="1098"/>
      <c r="D948" s="1099"/>
      <c r="E948" s="1098"/>
      <c r="F948" s="1136"/>
      <c r="G948" s="1099"/>
      <c r="H948" s="1098"/>
      <c r="I948" s="1099"/>
      <c r="J948" s="1140"/>
      <c r="K948" s="1140"/>
      <c r="L948" s="1143"/>
      <c r="M948" s="1098"/>
      <c r="N948" s="1099"/>
      <c r="O948" s="1099"/>
    </row>
    <row r="949" spans="2:15">
      <c r="B949" s="1129"/>
      <c r="C949" s="1098"/>
      <c r="D949" s="1099"/>
      <c r="E949" s="1098"/>
      <c r="F949" s="1136"/>
      <c r="G949" s="1099"/>
      <c r="H949" s="1098"/>
      <c r="I949" s="1099"/>
      <c r="J949" s="1140"/>
      <c r="K949" s="1140"/>
      <c r="L949" s="1143"/>
      <c r="M949" s="1098"/>
      <c r="N949" s="1099"/>
      <c r="O949" s="1099"/>
    </row>
    <row r="950" spans="2:15">
      <c r="B950" s="1129"/>
      <c r="C950" s="1098"/>
      <c r="D950" s="1099"/>
      <c r="E950" s="1098"/>
      <c r="F950" s="1136"/>
      <c r="G950" s="1099"/>
      <c r="H950" s="1098"/>
      <c r="I950" s="1099"/>
      <c r="J950" s="1140"/>
      <c r="K950" s="1140"/>
      <c r="L950" s="1143"/>
      <c r="M950" s="1098"/>
      <c r="N950" s="1099"/>
      <c r="O950" s="1099"/>
    </row>
    <row r="951" spans="2:15">
      <c r="B951" s="1129"/>
      <c r="C951" s="1098"/>
      <c r="D951" s="1099"/>
      <c r="E951" s="1098"/>
      <c r="F951" s="1136"/>
      <c r="G951" s="1099"/>
      <c r="H951" s="1098"/>
      <c r="I951" s="1099"/>
      <c r="J951" s="1140"/>
      <c r="K951" s="1140"/>
      <c r="L951" s="1143"/>
      <c r="M951" s="1098"/>
      <c r="N951" s="1099"/>
      <c r="O951" s="1099"/>
    </row>
    <row r="952" spans="2:15">
      <c r="B952" s="1129"/>
      <c r="C952" s="1098"/>
      <c r="D952" s="1099"/>
      <c r="E952" s="1098"/>
      <c r="F952" s="1136"/>
      <c r="G952" s="1099"/>
      <c r="H952" s="1098"/>
      <c r="I952" s="1099"/>
      <c r="J952" s="1140"/>
      <c r="K952" s="1140"/>
      <c r="L952" s="1143"/>
      <c r="M952" s="1098"/>
      <c r="N952" s="1099"/>
      <c r="O952" s="1099"/>
    </row>
    <row r="953" spans="2:15">
      <c r="B953" s="1129"/>
      <c r="C953" s="1098"/>
      <c r="D953" s="1099"/>
      <c r="E953" s="1098"/>
      <c r="F953" s="1136"/>
      <c r="G953" s="1099"/>
      <c r="H953" s="1098"/>
      <c r="I953" s="1099"/>
      <c r="J953" s="1140"/>
      <c r="K953" s="1140"/>
      <c r="L953" s="1143"/>
      <c r="M953" s="1098"/>
      <c r="N953" s="1099"/>
      <c r="O953" s="1099"/>
    </row>
    <row r="954" spans="2:15">
      <c r="B954" s="1129"/>
      <c r="C954" s="1098"/>
      <c r="D954" s="1099"/>
      <c r="E954" s="1098"/>
      <c r="F954" s="1136"/>
      <c r="G954" s="1099"/>
      <c r="H954" s="1098"/>
      <c r="I954" s="1099"/>
      <c r="J954" s="1140"/>
      <c r="K954" s="1140"/>
      <c r="L954" s="1143"/>
      <c r="M954" s="1098"/>
      <c r="N954" s="1099"/>
      <c r="O954" s="1099"/>
    </row>
    <row r="955" spans="2:15">
      <c r="B955" s="1129"/>
      <c r="C955" s="1098"/>
      <c r="D955" s="1099"/>
      <c r="E955" s="1098"/>
      <c r="F955" s="1136"/>
      <c r="G955" s="1099"/>
      <c r="H955" s="1098"/>
      <c r="I955" s="1099"/>
      <c r="J955" s="1140"/>
      <c r="K955" s="1140"/>
      <c r="L955" s="1143"/>
      <c r="M955" s="1098"/>
      <c r="N955" s="1099"/>
      <c r="O955" s="1099"/>
    </row>
    <row r="956" spans="2:15">
      <c r="B956" s="1129"/>
      <c r="C956" s="1098"/>
      <c r="D956" s="1099"/>
      <c r="E956" s="1098"/>
      <c r="F956" s="1136"/>
      <c r="G956" s="1099"/>
      <c r="H956" s="1098"/>
      <c r="I956" s="1099"/>
      <c r="J956" s="1140"/>
      <c r="K956" s="1140"/>
      <c r="L956" s="1143"/>
      <c r="M956" s="1098"/>
      <c r="N956" s="1099"/>
      <c r="O956" s="1099"/>
    </row>
    <row r="957" spans="2:15">
      <c r="B957" s="1129"/>
      <c r="C957" s="1098"/>
      <c r="D957" s="1099"/>
      <c r="E957" s="1098"/>
      <c r="F957" s="1136"/>
      <c r="G957" s="1099"/>
      <c r="H957" s="1098"/>
      <c r="I957" s="1099"/>
      <c r="J957" s="1140"/>
      <c r="K957" s="1140"/>
      <c r="L957" s="1143"/>
      <c r="M957" s="1098"/>
      <c r="N957" s="1099"/>
      <c r="O957" s="1099"/>
    </row>
    <row r="958" spans="2:15">
      <c r="B958" s="1129"/>
      <c r="C958" s="1098"/>
      <c r="D958" s="1099"/>
      <c r="E958" s="1098"/>
      <c r="F958" s="1136"/>
      <c r="G958" s="1099"/>
      <c r="H958" s="1098"/>
      <c r="I958" s="1099"/>
      <c r="J958" s="1140"/>
      <c r="K958" s="1140"/>
      <c r="L958" s="1143"/>
      <c r="M958" s="1098"/>
      <c r="N958" s="1099"/>
      <c r="O958" s="1099"/>
    </row>
    <row r="959" spans="2:15">
      <c r="B959" s="1129"/>
      <c r="C959" s="1098"/>
      <c r="D959" s="1099"/>
      <c r="E959" s="1098"/>
      <c r="F959" s="1136"/>
      <c r="G959" s="1099"/>
      <c r="H959" s="1098"/>
      <c r="I959" s="1099"/>
      <c r="J959" s="1140"/>
      <c r="K959" s="1140"/>
      <c r="L959" s="1143"/>
      <c r="M959" s="1098"/>
      <c r="N959" s="1099"/>
      <c r="O959" s="1099"/>
    </row>
    <row r="960" spans="2:15">
      <c r="B960" s="1129"/>
      <c r="C960" s="1098"/>
      <c r="D960" s="1099"/>
      <c r="E960" s="1098"/>
      <c r="F960" s="1136"/>
      <c r="G960" s="1099"/>
      <c r="H960" s="1098"/>
      <c r="I960" s="1099"/>
      <c r="J960" s="1140"/>
      <c r="K960" s="1140"/>
      <c r="L960" s="1143"/>
      <c r="M960" s="1098"/>
      <c r="N960" s="1099"/>
      <c r="O960" s="1099"/>
    </row>
    <row r="961" spans="2:15">
      <c r="B961" s="1129"/>
      <c r="C961" s="1098"/>
      <c r="D961" s="1099"/>
      <c r="E961" s="1098"/>
      <c r="F961" s="1136"/>
      <c r="G961" s="1099"/>
      <c r="H961" s="1098"/>
      <c r="I961" s="1099"/>
      <c r="J961" s="1140"/>
      <c r="K961" s="1140"/>
      <c r="L961" s="1143"/>
      <c r="M961" s="1098"/>
      <c r="N961" s="1099"/>
      <c r="O961" s="1099"/>
    </row>
    <row r="962" spans="2:15">
      <c r="B962" s="1129"/>
      <c r="C962" s="1098"/>
      <c r="D962" s="1099"/>
      <c r="E962" s="1098"/>
      <c r="F962" s="1136"/>
      <c r="G962" s="1099"/>
      <c r="H962" s="1098"/>
      <c r="I962" s="1099"/>
      <c r="J962" s="1140"/>
      <c r="K962" s="1140"/>
      <c r="L962" s="1143"/>
      <c r="M962" s="1098"/>
      <c r="N962" s="1099"/>
      <c r="O962" s="1099"/>
    </row>
    <row r="963" spans="2:15">
      <c r="B963" s="1129"/>
      <c r="C963" s="1098"/>
      <c r="D963" s="1099"/>
      <c r="E963" s="1098"/>
      <c r="F963" s="1136"/>
      <c r="G963" s="1099"/>
      <c r="H963" s="1098"/>
      <c r="I963" s="1099"/>
      <c r="J963" s="1140"/>
      <c r="K963" s="1140"/>
      <c r="L963" s="1143"/>
      <c r="M963" s="1098"/>
      <c r="N963" s="1099"/>
      <c r="O963" s="1099"/>
    </row>
    <row r="964" spans="2:15">
      <c r="B964" s="1129"/>
      <c r="C964" s="1098"/>
      <c r="D964" s="1099"/>
      <c r="E964" s="1098"/>
      <c r="F964" s="1136"/>
      <c r="G964" s="1099"/>
      <c r="H964" s="1098"/>
      <c r="I964" s="1099"/>
      <c r="J964" s="1140"/>
      <c r="K964" s="1140"/>
      <c r="L964" s="1143"/>
      <c r="M964" s="1098"/>
      <c r="N964" s="1099"/>
      <c r="O964" s="1099"/>
    </row>
    <row r="965" spans="2:15">
      <c r="B965" s="1129"/>
      <c r="C965" s="1098"/>
      <c r="D965" s="1099"/>
      <c r="E965" s="1098"/>
      <c r="F965" s="1136"/>
      <c r="G965" s="1099"/>
      <c r="H965" s="1098"/>
      <c r="I965" s="1099"/>
      <c r="J965" s="1140"/>
      <c r="K965" s="1140"/>
      <c r="L965" s="1143"/>
      <c r="M965" s="1098"/>
      <c r="N965" s="1099"/>
      <c r="O965" s="1099"/>
    </row>
    <row r="966" spans="2:15">
      <c r="B966" s="1129"/>
      <c r="C966" s="1098"/>
      <c r="D966" s="1099"/>
      <c r="E966" s="1098"/>
      <c r="F966" s="1136"/>
      <c r="G966" s="1099"/>
      <c r="H966" s="1098"/>
      <c r="I966" s="1099"/>
      <c r="J966" s="1140"/>
      <c r="K966" s="1140"/>
      <c r="L966" s="1143"/>
      <c r="M966" s="1098"/>
      <c r="N966" s="1099"/>
      <c r="O966" s="1099"/>
    </row>
    <row r="967" spans="2:15">
      <c r="B967" s="1129"/>
      <c r="C967" s="1098"/>
      <c r="D967" s="1099"/>
      <c r="E967" s="1098"/>
      <c r="F967" s="1136"/>
      <c r="G967" s="1099"/>
      <c r="H967" s="1098"/>
      <c r="I967" s="1099"/>
      <c r="J967" s="1140"/>
      <c r="K967" s="1140"/>
      <c r="L967" s="1143"/>
      <c r="M967" s="1098"/>
      <c r="N967" s="1099"/>
      <c r="O967" s="1099"/>
    </row>
    <row r="968" spans="2:15">
      <c r="B968" s="1129"/>
      <c r="C968" s="1098"/>
      <c r="D968" s="1099"/>
      <c r="E968" s="1098"/>
      <c r="F968" s="1136"/>
      <c r="G968" s="1099"/>
      <c r="H968" s="1098"/>
      <c r="I968" s="1099"/>
      <c r="J968" s="1140"/>
      <c r="K968" s="1140"/>
      <c r="L968" s="1143"/>
      <c r="M968" s="1098"/>
      <c r="N968" s="1099"/>
      <c r="O968" s="1099"/>
    </row>
    <row r="969" spans="2:15">
      <c r="B969" s="1129"/>
      <c r="C969" s="1098"/>
      <c r="D969" s="1099"/>
      <c r="E969" s="1098"/>
      <c r="F969" s="1136"/>
      <c r="G969" s="1099"/>
      <c r="H969" s="1098"/>
      <c r="I969" s="1099"/>
      <c r="J969" s="1140"/>
      <c r="K969" s="1140"/>
      <c r="L969" s="1143"/>
      <c r="M969" s="1098"/>
      <c r="N969" s="1099"/>
      <c r="O969" s="1099"/>
    </row>
    <row r="970" spans="2:15">
      <c r="B970" s="1129"/>
      <c r="C970" s="1098"/>
      <c r="D970" s="1099"/>
      <c r="E970" s="1098"/>
      <c r="F970" s="1136"/>
      <c r="G970" s="1099"/>
      <c r="H970" s="1098"/>
      <c r="I970" s="1099"/>
      <c r="J970" s="1140"/>
      <c r="K970" s="1140"/>
      <c r="L970" s="1143"/>
      <c r="M970" s="1098"/>
      <c r="N970" s="1099"/>
      <c r="O970" s="1099"/>
    </row>
    <row r="971" spans="2:15">
      <c r="B971" s="1129"/>
      <c r="C971" s="1098"/>
      <c r="D971" s="1099"/>
      <c r="E971" s="1098"/>
      <c r="F971" s="1136"/>
      <c r="G971" s="1099"/>
      <c r="H971" s="1098"/>
      <c r="I971" s="1099"/>
      <c r="J971" s="1140"/>
      <c r="K971" s="1140"/>
      <c r="L971" s="1143"/>
      <c r="M971" s="1098"/>
      <c r="N971" s="1099"/>
      <c r="O971" s="1099"/>
    </row>
    <row r="972" spans="2:15">
      <c r="B972" s="1129"/>
      <c r="C972" s="1098"/>
      <c r="D972" s="1099"/>
      <c r="E972" s="1098"/>
      <c r="F972" s="1136"/>
      <c r="G972" s="1099"/>
      <c r="H972" s="1098"/>
      <c r="I972" s="1099"/>
      <c r="J972" s="1140"/>
      <c r="K972" s="1140"/>
      <c r="L972" s="1143"/>
      <c r="M972" s="1098"/>
      <c r="N972" s="1099"/>
      <c r="O972" s="1099"/>
    </row>
    <row r="973" spans="2:15">
      <c r="B973" s="1129"/>
      <c r="C973" s="1098"/>
      <c r="D973" s="1099"/>
      <c r="E973" s="1098"/>
      <c r="F973" s="1136"/>
      <c r="G973" s="1099"/>
      <c r="H973" s="1098"/>
      <c r="I973" s="1099"/>
      <c r="J973" s="1140"/>
      <c r="K973" s="1140"/>
      <c r="L973" s="1143"/>
      <c r="M973" s="1098"/>
      <c r="N973" s="1099"/>
      <c r="O973" s="1099"/>
    </row>
    <row r="974" spans="2:15">
      <c r="B974" s="1129"/>
      <c r="C974" s="1098"/>
      <c r="D974" s="1099"/>
      <c r="E974" s="1098"/>
      <c r="F974" s="1136"/>
      <c r="G974" s="1099"/>
      <c r="H974" s="1098"/>
      <c r="I974" s="1099"/>
      <c r="J974" s="1140"/>
      <c r="K974" s="1140"/>
      <c r="L974" s="1143"/>
      <c r="M974" s="1098"/>
      <c r="N974" s="1099"/>
      <c r="O974" s="1099"/>
    </row>
    <row r="975" spans="2:15">
      <c r="B975" s="1129"/>
      <c r="C975" s="1098"/>
      <c r="D975" s="1099"/>
      <c r="E975" s="1098"/>
      <c r="F975" s="1136"/>
      <c r="G975" s="1099"/>
      <c r="H975" s="1098"/>
      <c r="I975" s="1099"/>
      <c r="J975" s="1140"/>
      <c r="K975" s="1140"/>
      <c r="L975" s="1143"/>
      <c r="M975" s="1098"/>
      <c r="N975" s="1099"/>
      <c r="O975" s="1099"/>
    </row>
    <row r="976" spans="2:15">
      <c r="B976" s="1129"/>
      <c r="C976" s="1098"/>
      <c r="D976" s="1099"/>
      <c r="E976" s="1098"/>
      <c r="F976" s="1136"/>
      <c r="G976" s="1099"/>
      <c r="H976" s="1098"/>
      <c r="I976" s="1099"/>
      <c r="J976" s="1140"/>
      <c r="K976" s="1140"/>
      <c r="L976" s="1143"/>
      <c r="M976" s="1098"/>
      <c r="N976" s="1099"/>
      <c r="O976" s="1099"/>
    </row>
    <row r="977" spans="2:15">
      <c r="B977" s="1129"/>
      <c r="C977" s="1098"/>
      <c r="D977" s="1099"/>
      <c r="E977" s="1098"/>
      <c r="F977" s="1136"/>
      <c r="G977" s="1099"/>
      <c r="H977" s="1098"/>
      <c r="I977" s="1099"/>
      <c r="J977" s="1140"/>
      <c r="K977" s="1140"/>
      <c r="L977" s="1143"/>
      <c r="M977" s="1098"/>
      <c r="N977" s="1099"/>
      <c r="O977" s="1099"/>
    </row>
    <row r="978" spans="2:15">
      <c r="B978" s="1129"/>
      <c r="C978" s="1098"/>
      <c r="D978" s="1099"/>
      <c r="E978" s="1098"/>
      <c r="F978" s="1136"/>
      <c r="G978" s="1099"/>
      <c r="H978" s="1098"/>
      <c r="I978" s="1099"/>
      <c r="J978" s="1140"/>
      <c r="K978" s="1140"/>
      <c r="L978" s="1143"/>
      <c r="M978" s="1098"/>
      <c r="N978" s="1099"/>
      <c r="O978" s="1099"/>
    </row>
    <row r="979" spans="2:15">
      <c r="B979" s="1129"/>
      <c r="C979" s="1098"/>
      <c r="D979" s="1099"/>
      <c r="E979" s="1098"/>
      <c r="F979" s="1136"/>
      <c r="G979" s="1099"/>
      <c r="H979" s="1098"/>
      <c r="I979" s="1099"/>
      <c r="J979" s="1140"/>
      <c r="K979" s="1140"/>
      <c r="L979" s="1143"/>
      <c r="M979" s="1098"/>
      <c r="N979" s="1099"/>
      <c r="O979" s="1099"/>
    </row>
    <row r="980" spans="2:15">
      <c r="B980" s="1129"/>
      <c r="C980" s="1098"/>
      <c r="D980" s="1099"/>
      <c r="E980" s="1098"/>
      <c r="F980" s="1136"/>
      <c r="G980" s="1099"/>
      <c r="H980" s="1098"/>
      <c r="I980" s="1099"/>
      <c r="J980" s="1140"/>
      <c r="K980" s="1140"/>
      <c r="L980" s="1143"/>
      <c r="M980" s="1098"/>
      <c r="N980" s="1099"/>
      <c r="O980" s="1099"/>
    </row>
    <row r="981" spans="2:15">
      <c r="B981" s="1129"/>
      <c r="C981" s="1098"/>
      <c r="D981" s="1099"/>
      <c r="E981" s="1098"/>
      <c r="F981" s="1136"/>
      <c r="G981" s="1099"/>
      <c r="H981" s="1098"/>
      <c r="I981" s="1099"/>
      <c r="J981" s="1140"/>
      <c r="K981" s="1140"/>
      <c r="L981" s="1143"/>
      <c r="M981" s="1098"/>
      <c r="N981" s="1099"/>
      <c r="O981" s="1099"/>
    </row>
    <row r="982" spans="2:15">
      <c r="B982" s="1129"/>
      <c r="C982" s="1098"/>
      <c r="D982" s="1099"/>
      <c r="E982" s="1098"/>
      <c r="F982" s="1136"/>
      <c r="G982" s="1099"/>
      <c r="H982" s="1098"/>
      <c r="I982" s="1099"/>
      <c r="J982" s="1140"/>
      <c r="K982" s="1140"/>
      <c r="L982" s="1143"/>
      <c r="M982" s="1098"/>
      <c r="N982" s="1099"/>
      <c r="O982" s="1099"/>
    </row>
    <row r="983" spans="2:15">
      <c r="B983" s="1129"/>
      <c r="C983" s="1098"/>
      <c r="D983" s="1099"/>
      <c r="E983" s="1098"/>
      <c r="F983" s="1136"/>
      <c r="G983" s="1099"/>
      <c r="H983" s="1098"/>
      <c r="I983" s="1099"/>
      <c r="J983" s="1140"/>
      <c r="K983" s="1140"/>
      <c r="L983" s="1143"/>
      <c r="M983" s="1098"/>
      <c r="N983" s="1099"/>
      <c r="O983" s="1099"/>
    </row>
    <row r="984" spans="2:15">
      <c r="B984" s="1129"/>
      <c r="C984" s="1098"/>
      <c r="D984" s="1099"/>
      <c r="E984" s="1098"/>
      <c r="F984" s="1136"/>
      <c r="G984" s="1099"/>
      <c r="H984" s="1098"/>
      <c r="I984" s="1099"/>
      <c r="J984" s="1140"/>
      <c r="K984" s="1140"/>
      <c r="L984" s="1143"/>
      <c r="M984" s="1098"/>
      <c r="N984" s="1099"/>
      <c r="O984" s="1099"/>
    </row>
    <row r="985" spans="2:15">
      <c r="B985" s="1129"/>
      <c r="C985" s="1098"/>
      <c r="D985" s="1099"/>
      <c r="E985" s="1098"/>
      <c r="F985" s="1136"/>
      <c r="G985" s="1099"/>
      <c r="H985" s="1098"/>
      <c r="I985" s="1099"/>
      <c r="J985" s="1140"/>
      <c r="K985" s="1140"/>
      <c r="L985" s="1143"/>
      <c r="M985" s="1098"/>
      <c r="N985" s="1099"/>
      <c r="O985" s="1099"/>
    </row>
    <row r="986" spans="2:15">
      <c r="B986" s="1129"/>
      <c r="C986" s="1098"/>
      <c r="D986" s="1099"/>
      <c r="E986" s="1098"/>
      <c r="F986" s="1136"/>
      <c r="G986" s="1099"/>
      <c r="H986" s="1098"/>
      <c r="I986" s="1099"/>
      <c r="J986" s="1140"/>
      <c r="K986" s="1140"/>
      <c r="L986" s="1143"/>
      <c r="M986" s="1098"/>
      <c r="N986" s="1099"/>
      <c r="O986" s="1099"/>
    </row>
    <row r="987" spans="2:15">
      <c r="B987" s="1129"/>
      <c r="C987" s="1098"/>
      <c r="D987" s="1099"/>
      <c r="E987" s="1098"/>
      <c r="F987" s="1136"/>
      <c r="G987" s="1099"/>
      <c r="H987" s="1098"/>
      <c r="I987" s="1099"/>
      <c r="J987" s="1140"/>
      <c r="K987" s="1140"/>
      <c r="L987" s="1143"/>
      <c r="M987" s="1098"/>
      <c r="N987" s="1099"/>
      <c r="O987" s="1099"/>
    </row>
    <row r="988" spans="2:15">
      <c r="B988" s="1129"/>
      <c r="C988" s="1098"/>
      <c r="D988" s="1099"/>
      <c r="E988" s="1098"/>
      <c r="F988" s="1136"/>
      <c r="G988" s="1099"/>
      <c r="H988" s="1098"/>
      <c r="I988" s="1099"/>
      <c r="J988" s="1140"/>
      <c r="K988" s="1140"/>
      <c r="L988" s="1143"/>
      <c r="M988" s="1098"/>
      <c r="N988" s="1099"/>
      <c r="O988" s="1099"/>
    </row>
    <row r="989" spans="2:15">
      <c r="B989" s="1129"/>
      <c r="C989" s="1098"/>
      <c r="D989" s="1099"/>
      <c r="E989" s="1098"/>
      <c r="F989" s="1136"/>
      <c r="G989" s="1099"/>
      <c r="H989" s="1098"/>
      <c r="I989" s="1099"/>
      <c r="J989" s="1140"/>
      <c r="K989" s="1140"/>
      <c r="L989" s="1143"/>
      <c r="M989" s="1098"/>
      <c r="N989" s="1099"/>
      <c r="O989" s="1099"/>
    </row>
    <row r="990" spans="2:15">
      <c r="B990" s="1129"/>
      <c r="C990" s="1098"/>
      <c r="D990" s="1099"/>
      <c r="E990" s="1098"/>
      <c r="F990" s="1136"/>
      <c r="G990" s="1099"/>
      <c r="H990" s="1098"/>
      <c r="I990" s="1099"/>
      <c r="J990" s="1140"/>
      <c r="K990" s="1140"/>
      <c r="L990" s="1143"/>
      <c r="M990" s="1098"/>
      <c r="N990" s="1099"/>
      <c r="O990" s="1099"/>
    </row>
    <row r="991" spans="2:15">
      <c r="B991" s="1129"/>
      <c r="C991" s="1098"/>
      <c r="D991" s="1099"/>
      <c r="E991" s="1098"/>
      <c r="F991" s="1136"/>
      <c r="G991" s="1099"/>
      <c r="H991" s="1098"/>
      <c r="I991" s="1099"/>
      <c r="J991" s="1140"/>
      <c r="K991" s="1140"/>
      <c r="L991" s="1143"/>
      <c r="M991" s="1098"/>
      <c r="N991" s="1099"/>
      <c r="O991" s="1099"/>
    </row>
    <row r="992" spans="2:15">
      <c r="B992" s="1129"/>
      <c r="C992" s="1098"/>
      <c r="D992" s="1099"/>
      <c r="E992" s="1098"/>
      <c r="F992" s="1136"/>
      <c r="G992" s="1099"/>
      <c r="H992" s="1098"/>
      <c r="I992" s="1099"/>
      <c r="J992" s="1140"/>
      <c r="K992" s="1140"/>
      <c r="L992" s="1143"/>
      <c r="M992" s="1098"/>
      <c r="N992" s="1099"/>
      <c r="O992" s="1099"/>
    </row>
    <row r="993" spans="2:15">
      <c r="B993" s="1129"/>
      <c r="C993" s="1098"/>
      <c r="D993" s="1099"/>
      <c r="E993" s="1098"/>
      <c r="F993" s="1136"/>
      <c r="G993" s="1099"/>
      <c r="H993" s="1098"/>
      <c r="I993" s="1099"/>
      <c r="J993" s="1140"/>
      <c r="K993" s="1140"/>
      <c r="L993" s="1143"/>
      <c r="M993" s="1098"/>
      <c r="N993" s="1099"/>
      <c r="O993" s="1099"/>
    </row>
    <row r="994" spans="2:15">
      <c r="B994" s="1129"/>
      <c r="C994" s="1098"/>
      <c r="D994" s="1099"/>
      <c r="E994" s="1098"/>
      <c r="F994" s="1136"/>
      <c r="G994" s="1099"/>
      <c r="H994" s="1098"/>
      <c r="I994" s="1099"/>
      <c r="J994" s="1140"/>
      <c r="K994" s="1140"/>
      <c r="L994" s="1143"/>
      <c r="M994" s="1098"/>
      <c r="N994" s="1099"/>
      <c r="O994" s="1099"/>
    </row>
    <row r="995" spans="2:15">
      <c r="B995" s="1129"/>
      <c r="C995" s="1098"/>
      <c r="D995" s="1099"/>
      <c r="E995" s="1098"/>
      <c r="F995" s="1136"/>
      <c r="G995" s="1099"/>
      <c r="H995" s="1098"/>
      <c r="I995" s="1099"/>
      <c r="J995" s="1140"/>
      <c r="K995" s="1140"/>
      <c r="L995" s="1143"/>
      <c r="M995" s="1098"/>
      <c r="N995" s="1099"/>
      <c r="O995" s="1099"/>
    </row>
    <row r="996" spans="2:15">
      <c r="B996" s="1129"/>
      <c r="C996" s="1098"/>
      <c r="D996" s="1099"/>
      <c r="E996" s="1098"/>
      <c r="F996" s="1136"/>
      <c r="G996" s="1099"/>
      <c r="H996" s="1098"/>
      <c r="I996" s="1099"/>
      <c r="J996" s="1140"/>
      <c r="K996" s="1140"/>
      <c r="L996" s="1143"/>
      <c r="M996" s="1098"/>
      <c r="N996" s="1099"/>
      <c r="O996" s="1099"/>
    </row>
    <row r="997" spans="2:15">
      <c r="B997" s="1129"/>
      <c r="C997" s="1098"/>
      <c r="D997" s="1099"/>
      <c r="E997" s="1098"/>
      <c r="F997" s="1136"/>
      <c r="G997" s="1099"/>
      <c r="H997" s="1098"/>
      <c r="I997" s="1099"/>
      <c r="J997" s="1140"/>
      <c r="K997" s="1140"/>
      <c r="L997" s="1143"/>
      <c r="M997" s="1098"/>
      <c r="N997" s="1099"/>
      <c r="O997" s="1099"/>
    </row>
    <row r="998" spans="2:15">
      <c r="B998" s="1129"/>
      <c r="C998" s="1098"/>
      <c r="D998" s="1099"/>
      <c r="E998" s="1098"/>
      <c r="F998" s="1136"/>
      <c r="G998" s="1099"/>
      <c r="H998" s="1098"/>
      <c r="I998" s="1099"/>
      <c r="J998" s="1140"/>
      <c r="K998" s="1140"/>
      <c r="L998" s="1143"/>
      <c r="M998" s="1098"/>
      <c r="N998" s="1099"/>
      <c r="O998" s="1099"/>
    </row>
    <row r="999" spans="2:15">
      <c r="B999" s="1129"/>
      <c r="C999" s="1098"/>
      <c r="D999" s="1099"/>
      <c r="E999" s="1098"/>
      <c r="F999" s="1136"/>
      <c r="G999" s="1099"/>
      <c r="H999" s="1098"/>
      <c r="I999" s="1099"/>
      <c r="J999" s="1140"/>
      <c r="K999" s="1140"/>
      <c r="L999" s="1143"/>
      <c r="M999" s="1098"/>
      <c r="N999" s="1099"/>
      <c r="O999" s="1099"/>
    </row>
    <row r="1000" spans="2:15">
      <c r="B1000" s="1129"/>
      <c r="C1000" s="1098"/>
      <c r="D1000" s="1099"/>
      <c r="E1000" s="1098"/>
      <c r="F1000" s="1136"/>
      <c r="G1000" s="1099"/>
      <c r="H1000" s="1098"/>
      <c r="I1000" s="1099"/>
      <c r="J1000" s="1140"/>
      <c r="K1000" s="1140"/>
      <c r="L1000" s="1143"/>
      <c r="M1000" s="1098"/>
      <c r="N1000" s="1099"/>
      <c r="O1000" s="1099"/>
    </row>
    <row r="1001" spans="2:15">
      <c r="B1001" s="1129"/>
      <c r="C1001" s="1098"/>
      <c r="D1001" s="1099"/>
      <c r="E1001" s="1098"/>
      <c r="F1001" s="1136"/>
      <c r="G1001" s="1099"/>
      <c r="H1001" s="1098"/>
      <c r="I1001" s="1099"/>
      <c r="J1001" s="1140"/>
      <c r="K1001" s="1140"/>
      <c r="L1001" s="1143"/>
      <c r="M1001" s="1098"/>
      <c r="N1001" s="1099"/>
      <c r="O1001" s="1099"/>
    </row>
    <row r="1002" spans="2:15">
      <c r="B1002" s="1129"/>
      <c r="C1002" s="1098"/>
      <c r="D1002" s="1099"/>
      <c r="E1002" s="1098"/>
      <c r="F1002" s="1136"/>
      <c r="G1002" s="1099"/>
      <c r="H1002" s="1098"/>
      <c r="I1002" s="1099"/>
      <c r="J1002" s="1140"/>
      <c r="K1002" s="1140"/>
      <c r="L1002" s="1143"/>
      <c r="M1002" s="1098"/>
      <c r="N1002" s="1099"/>
      <c r="O1002" s="1099"/>
    </row>
    <row r="1003" spans="2:15">
      <c r="B1003" s="1129"/>
      <c r="C1003" s="1098"/>
      <c r="D1003" s="1099"/>
      <c r="E1003" s="1098"/>
      <c r="F1003" s="1136"/>
      <c r="G1003" s="1099"/>
      <c r="H1003" s="1098"/>
      <c r="I1003" s="1099"/>
      <c r="J1003" s="1140"/>
      <c r="K1003" s="1140"/>
      <c r="L1003" s="1143"/>
      <c r="M1003" s="1098"/>
      <c r="N1003" s="1099"/>
      <c r="O1003" s="1099"/>
    </row>
    <row r="1004" spans="2:15">
      <c r="B1004" s="1129"/>
      <c r="C1004" s="1098"/>
      <c r="D1004" s="1099"/>
      <c r="E1004" s="1098"/>
      <c r="F1004" s="1136"/>
      <c r="G1004" s="1099"/>
      <c r="H1004" s="1098"/>
      <c r="I1004" s="1099"/>
      <c r="J1004" s="1140"/>
      <c r="K1004" s="1140"/>
      <c r="L1004" s="1143"/>
      <c r="M1004" s="1098"/>
      <c r="N1004" s="1099"/>
      <c r="O1004" s="1099"/>
    </row>
    <row r="1005" spans="2:15">
      <c r="B1005" s="1129"/>
      <c r="C1005" s="1098"/>
      <c r="D1005" s="1099"/>
      <c r="E1005" s="1098"/>
      <c r="F1005" s="1136"/>
      <c r="G1005" s="1099"/>
      <c r="H1005" s="1098"/>
      <c r="I1005" s="1099"/>
      <c r="J1005" s="1140"/>
      <c r="K1005" s="1140"/>
      <c r="L1005" s="1143"/>
      <c r="M1005" s="1098"/>
      <c r="N1005" s="1099"/>
      <c r="O1005" s="1099"/>
    </row>
    <row r="1006" spans="2:15">
      <c r="B1006" s="1129"/>
      <c r="C1006" s="1098"/>
      <c r="D1006" s="1099"/>
      <c r="E1006" s="1098"/>
      <c r="F1006" s="1136"/>
      <c r="G1006" s="1099"/>
      <c r="H1006" s="1098"/>
      <c r="I1006" s="1099"/>
      <c r="J1006" s="1140"/>
      <c r="K1006" s="1140"/>
      <c r="L1006" s="1143"/>
      <c r="M1006" s="1098"/>
      <c r="N1006" s="1099"/>
      <c r="O1006" s="1099"/>
    </row>
    <row r="1007" spans="2:15">
      <c r="B1007" s="1129"/>
      <c r="C1007" s="1098"/>
      <c r="D1007" s="1099"/>
      <c r="E1007" s="1098"/>
      <c r="F1007" s="1136"/>
      <c r="G1007" s="1099"/>
      <c r="H1007" s="1098"/>
      <c r="I1007" s="1099"/>
      <c r="J1007" s="1140"/>
      <c r="K1007" s="1140"/>
      <c r="L1007" s="1143"/>
      <c r="M1007" s="1098"/>
      <c r="N1007" s="1099"/>
      <c r="O1007" s="1099"/>
    </row>
    <row r="1008" spans="2:15">
      <c r="B1008" s="1129"/>
      <c r="C1008" s="1098"/>
      <c r="D1008" s="1099"/>
      <c r="E1008" s="1098"/>
      <c r="F1008" s="1136"/>
      <c r="G1008" s="1099"/>
      <c r="H1008" s="1098"/>
      <c r="I1008" s="1099"/>
      <c r="J1008" s="1140"/>
      <c r="K1008" s="1140"/>
      <c r="L1008" s="1143"/>
      <c r="M1008" s="1098"/>
      <c r="N1008" s="1099"/>
      <c r="O1008" s="1099"/>
    </row>
    <row r="1009" spans="2:15">
      <c r="B1009" s="1129"/>
      <c r="C1009" s="1098"/>
      <c r="D1009" s="1099"/>
      <c r="E1009" s="1098"/>
      <c r="F1009" s="1136"/>
      <c r="G1009" s="1099"/>
      <c r="H1009" s="1098"/>
      <c r="I1009" s="1099"/>
      <c r="J1009" s="1140"/>
      <c r="K1009" s="1140"/>
      <c r="L1009" s="1143"/>
      <c r="M1009" s="1098"/>
      <c r="N1009" s="1099"/>
      <c r="O1009" s="1099"/>
    </row>
    <row r="1010" spans="2:15">
      <c r="B1010" s="1129"/>
      <c r="C1010" s="1098"/>
      <c r="D1010" s="1099"/>
      <c r="E1010" s="1098"/>
      <c r="F1010" s="1136"/>
      <c r="G1010" s="1099"/>
      <c r="H1010" s="1098"/>
      <c r="I1010" s="1099"/>
      <c r="J1010" s="1140"/>
      <c r="K1010" s="1140"/>
      <c r="L1010" s="1143"/>
      <c r="M1010" s="1098"/>
      <c r="N1010" s="1099"/>
      <c r="O1010" s="1099"/>
    </row>
    <row r="1011" spans="2:15">
      <c r="B1011" s="1129"/>
      <c r="C1011" s="1098"/>
      <c r="D1011" s="1099"/>
      <c r="E1011" s="1098"/>
      <c r="F1011" s="1136"/>
      <c r="G1011" s="1099"/>
      <c r="H1011" s="1098"/>
      <c r="I1011" s="1099"/>
      <c r="J1011" s="1140"/>
      <c r="K1011" s="1140"/>
      <c r="L1011" s="1143"/>
      <c r="M1011" s="1098"/>
      <c r="N1011" s="1099"/>
      <c r="O1011" s="1099"/>
    </row>
    <row r="1012" spans="2:15">
      <c r="B1012" s="1129"/>
      <c r="C1012" s="1098"/>
      <c r="D1012" s="1099"/>
      <c r="E1012" s="1098"/>
      <c r="F1012" s="1136"/>
      <c r="G1012" s="1099"/>
      <c r="H1012" s="1098"/>
      <c r="I1012" s="1099"/>
      <c r="J1012" s="1140"/>
      <c r="K1012" s="1140"/>
      <c r="L1012" s="1143"/>
      <c r="M1012" s="1098"/>
      <c r="N1012" s="1099"/>
      <c r="O1012" s="1099"/>
    </row>
    <row r="1013" spans="2:15">
      <c r="B1013" s="1129"/>
      <c r="C1013" s="1098"/>
      <c r="D1013" s="1099"/>
      <c r="E1013" s="1098"/>
      <c r="F1013" s="1136"/>
      <c r="G1013" s="1099"/>
      <c r="H1013" s="1098"/>
      <c r="I1013" s="1099"/>
      <c r="J1013" s="1140"/>
      <c r="K1013" s="1140"/>
      <c r="L1013" s="1143"/>
      <c r="M1013" s="1098"/>
      <c r="N1013" s="1099"/>
      <c r="O1013" s="1099"/>
    </row>
    <row r="1014" spans="2:15">
      <c r="B1014" s="1129"/>
      <c r="C1014" s="1098"/>
      <c r="D1014" s="1099"/>
      <c r="E1014" s="1098"/>
      <c r="F1014" s="1136"/>
      <c r="G1014" s="1099"/>
      <c r="H1014" s="1098"/>
      <c r="I1014" s="1099"/>
      <c r="J1014" s="1140"/>
      <c r="K1014" s="1140"/>
      <c r="L1014" s="1143"/>
      <c r="M1014" s="1098"/>
      <c r="N1014" s="1099"/>
      <c r="O1014" s="1099"/>
    </row>
    <row r="1015" spans="2:15">
      <c r="B1015" s="1129"/>
      <c r="C1015" s="1098"/>
      <c r="D1015" s="1099"/>
      <c r="E1015" s="1098"/>
      <c r="F1015" s="1136"/>
      <c r="G1015" s="1099"/>
      <c r="H1015" s="1098"/>
      <c r="I1015" s="1099"/>
      <c r="J1015" s="1140"/>
      <c r="K1015" s="1140"/>
      <c r="L1015" s="1143"/>
      <c r="M1015" s="1098"/>
      <c r="N1015" s="1099"/>
      <c r="O1015" s="1099"/>
    </row>
    <row r="1016" spans="2:15">
      <c r="B1016" s="1129"/>
      <c r="C1016" s="1098"/>
      <c r="D1016" s="1099"/>
      <c r="E1016" s="1098"/>
      <c r="F1016" s="1136"/>
      <c r="G1016" s="1099"/>
      <c r="H1016" s="1098"/>
      <c r="I1016" s="1099"/>
      <c r="J1016" s="1140"/>
      <c r="K1016" s="1140"/>
      <c r="L1016" s="1143"/>
      <c r="M1016" s="1098"/>
      <c r="N1016" s="1099"/>
      <c r="O1016" s="1099"/>
    </row>
    <row r="1017" spans="2:15">
      <c r="B1017" s="1129"/>
      <c r="C1017" s="1098"/>
      <c r="D1017" s="1099"/>
      <c r="E1017" s="1098"/>
      <c r="F1017" s="1136"/>
      <c r="G1017" s="1099"/>
      <c r="H1017" s="1098"/>
      <c r="I1017" s="1099"/>
      <c r="J1017" s="1140"/>
      <c r="K1017" s="1140"/>
      <c r="L1017" s="1143"/>
      <c r="M1017" s="1098"/>
      <c r="N1017" s="1099"/>
      <c r="O1017" s="1099"/>
    </row>
    <row r="1018" spans="2:15">
      <c r="B1018" s="1129"/>
      <c r="C1018" s="1098"/>
      <c r="D1018" s="1099"/>
      <c r="E1018" s="1098"/>
      <c r="F1018" s="1136"/>
      <c r="G1018" s="1099"/>
      <c r="H1018" s="1098"/>
      <c r="I1018" s="1099"/>
      <c r="J1018" s="1140"/>
      <c r="K1018" s="1140"/>
      <c r="L1018" s="1143"/>
      <c r="M1018" s="1098"/>
      <c r="N1018" s="1099"/>
      <c r="O1018" s="1099"/>
    </row>
    <row r="1019" spans="2:15">
      <c r="B1019" s="1129"/>
      <c r="C1019" s="1098"/>
      <c r="D1019" s="1099"/>
      <c r="E1019" s="1098"/>
      <c r="F1019" s="1136"/>
      <c r="G1019" s="1099"/>
      <c r="H1019" s="1098"/>
      <c r="I1019" s="1099"/>
      <c r="J1019" s="1140"/>
      <c r="K1019" s="1140"/>
      <c r="L1019" s="1143"/>
      <c r="M1019" s="1098"/>
      <c r="N1019" s="1099"/>
      <c r="O1019" s="1099"/>
    </row>
    <row r="1020" spans="2:15">
      <c r="B1020" s="1129"/>
      <c r="C1020" s="1098"/>
      <c r="D1020" s="1099"/>
      <c r="E1020" s="1098"/>
      <c r="F1020" s="1136"/>
      <c r="G1020" s="1099"/>
      <c r="H1020" s="1098"/>
      <c r="I1020" s="1099"/>
      <c r="J1020" s="1140"/>
      <c r="K1020" s="1140"/>
      <c r="L1020" s="1143"/>
      <c r="M1020" s="1098"/>
      <c r="N1020" s="1099"/>
      <c r="O1020" s="1099"/>
    </row>
    <row r="1021" spans="2:15">
      <c r="B1021" s="1129"/>
      <c r="C1021" s="1098"/>
      <c r="D1021" s="1099"/>
      <c r="E1021" s="1098"/>
      <c r="F1021" s="1136"/>
      <c r="G1021" s="1099"/>
      <c r="H1021" s="1098"/>
      <c r="I1021" s="1099"/>
      <c r="J1021" s="1140"/>
      <c r="K1021" s="1140"/>
      <c r="L1021" s="1143"/>
      <c r="M1021" s="1098"/>
      <c r="N1021" s="1099"/>
      <c r="O1021" s="1099"/>
    </row>
    <row r="1022" spans="2:15">
      <c r="B1022" s="1129"/>
      <c r="C1022" s="1098"/>
      <c r="D1022" s="1099"/>
      <c r="E1022" s="1098"/>
      <c r="F1022" s="1136"/>
      <c r="G1022" s="1099"/>
      <c r="H1022" s="1098"/>
      <c r="I1022" s="1099"/>
      <c r="J1022" s="1140"/>
      <c r="K1022" s="1140"/>
      <c r="L1022" s="1143"/>
      <c r="M1022" s="1098"/>
      <c r="N1022" s="1099"/>
      <c r="O1022" s="1099"/>
    </row>
    <row r="1023" spans="2:15">
      <c r="B1023" s="1129"/>
      <c r="C1023" s="1098"/>
      <c r="D1023" s="1099"/>
      <c r="E1023" s="1098"/>
      <c r="F1023" s="1136"/>
      <c r="G1023" s="1099"/>
      <c r="H1023" s="1098"/>
      <c r="I1023" s="1099"/>
      <c r="J1023" s="1140"/>
      <c r="K1023" s="1140"/>
      <c r="L1023" s="1143"/>
      <c r="M1023" s="1098"/>
      <c r="N1023" s="1099"/>
      <c r="O1023" s="1099"/>
    </row>
    <row r="1024" spans="2:15">
      <c r="B1024" s="1129"/>
      <c r="C1024" s="1098"/>
      <c r="D1024" s="1099"/>
      <c r="E1024" s="1098"/>
      <c r="F1024" s="1136"/>
      <c r="G1024" s="1099"/>
      <c r="H1024" s="1098"/>
      <c r="I1024" s="1099"/>
      <c r="J1024" s="1140"/>
      <c r="K1024" s="1140"/>
      <c r="L1024" s="1143"/>
      <c r="M1024" s="1098"/>
      <c r="N1024" s="1099"/>
      <c r="O1024" s="1099"/>
    </row>
    <row r="1025" spans="2:15">
      <c r="B1025" s="1129"/>
      <c r="C1025" s="1098"/>
      <c r="D1025" s="1099"/>
      <c r="E1025" s="1098"/>
      <c r="F1025" s="1136"/>
      <c r="G1025" s="1099"/>
      <c r="H1025" s="1098"/>
      <c r="I1025" s="1099"/>
      <c r="J1025" s="1140"/>
      <c r="K1025" s="1140"/>
      <c r="L1025" s="1143"/>
      <c r="M1025" s="1098"/>
      <c r="N1025" s="1099"/>
      <c r="O1025" s="1099"/>
    </row>
    <row r="1026" spans="2:15">
      <c r="B1026" s="1129"/>
      <c r="C1026" s="1098"/>
      <c r="D1026" s="1099"/>
      <c r="E1026" s="1098"/>
      <c r="F1026" s="1136"/>
      <c r="G1026" s="1099"/>
      <c r="H1026" s="1098"/>
      <c r="I1026" s="1099"/>
      <c r="J1026" s="1140"/>
      <c r="K1026" s="1140"/>
      <c r="L1026" s="1143"/>
      <c r="M1026" s="1098"/>
      <c r="N1026" s="1099"/>
      <c r="O1026" s="1099"/>
    </row>
    <row r="1027" spans="2:15">
      <c r="B1027" s="1129"/>
      <c r="C1027" s="1098"/>
      <c r="D1027" s="1099"/>
      <c r="E1027" s="1098"/>
      <c r="F1027" s="1136"/>
      <c r="G1027" s="1099"/>
      <c r="H1027" s="1098"/>
      <c r="I1027" s="1099"/>
      <c r="J1027" s="1140"/>
      <c r="K1027" s="1140"/>
      <c r="L1027" s="1143"/>
      <c r="M1027" s="1098"/>
      <c r="N1027" s="1099"/>
      <c r="O1027" s="1099"/>
    </row>
    <row r="1028" spans="2:15">
      <c r="B1028" s="1129"/>
      <c r="C1028" s="1098"/>
      <c r="D1028" s="1099"/>
      <c r="E1028" s="1098"/>
      <c r="F1028" s="1136"/>
      <c r="G1028" s="1099"/>
      <c r="H1028" s="1098"/>
      <c r="I1028" s="1099"/>
      <c r="J1028" s="1140"/>
      <c r="K1028" s="1140"/>
      <c r="L1028" s="1143"/>
      <c r="M1028" s="1098"/>
      <c r="N1028" s="1099"/>
      <c r="O1028" s="1099"/>
    </row>
    <row r="1029" spans="2:15">
      <c r="B1029" s="1129"/>
      <c r="C1029" s="1098"/>
      <c r="D1029" s="1099"/>
      <c r="E1029" s="1098"/>
      <c r="F1029" s="1136"/>
      <c r="G1029" s="1099"/>
      <c r="H1029" s="1098"/>
      <c r="I1029" s="1099"/>
      <c r="J1029" s="1140"/>
      <c r="K1029" s="1140"/>
      <c r="L1029" s="1143"/>
      <c r="M1029" s="1098"/>
      <c r="N1029" s="1099"/>
      <c r="O1029" s="1099"/>
    </row>
    <row r="1030" spans="2:15">
      <c r="B1030" s="1129"/>
      <c r="C1030" s="1098"/>
      <c r="D1030" s="1099"/>
      <c r="E1030" s="1098"/>
      <c r="F1030" s="1136"/>
      <c r="G1030" s="1099"/>
      <c r="H1030" s="1098"/>
      <c r="I1030" s="1099"/>
      <c r="J1030" s="1140"/>
      <c r="K1030" s="1140"/>
      <c r="L1030" s="1143"/>
      <c r="M1030" s="1098"/>
      <c r="N1030" s="1099"/>
      <c r="O1030" s="1099"/>
    </row>
    <row r="1031" spans="2:15">
      <c r="B1031" s="1129"/>
      <c r="C1031" s="1098"/>
      <c r="D1031" s="1099"/>
      <c r="E1031" s="1098"/>
      <c r="F1031" s="1136"/>
      <c r="G1031" s="1099"/>
      <c r="H1031" s="1098"/>
      <c r="I1031" s="1099"/>
      <c r="J1031" s="1140"/>
      <c r="K1031" s="1140"/>
      <c r="L1031" s="1143"/>
      <c r="M1031" s="1098"/>
      <c r="N1031" s="1099"/>
      <c r="O1031" s="1099"/>
    </row>
    <row r="1032" spans="2:15">
      <c r="B1032" s="1129"/>
      <c r="C1032" s="1098"/>
      <c r="D1032" s="1099"/>
      <c r="E1032" s="1098"/>
      <c r="F1032" s="1136"/>
      <c r="G1032" s="1099"/>
      <c r="H1032" s="1098"/>
      <c r="I1032" s="1099"/>
      <c r="J1032" s="1140"/>
      <c r="K1032" s="1140"/>
      <c r="L1032" s="1143"/>
      <c r="M1032" s="1098"/>
      <c r="N1032" s="1099"/>
      <c r="O1032" s="1099"/>
    </row>
    <row r="1033" spans="2:15">
      <c r="B1033" s="1129"/>
      <c r="C1033" s="1098"/>
      <c r="D1033" s="1099"/>
      <c r="E1033" s="1098"/>
      <c r="F1033" s="1136"/>
      <c r="G1033" s="1099"/>
      <c r="H1033" s="1098"/>
      <c r="I1033" s="1099"/>
      <c r="J1033" s="1140"/>
      <c r="K1033" s="1140"/>
      <c r="L1033" s="1143"/>
      <c r="M1033" s="1098"/>
      <c r="N1033" s="1099"/>
      <c r="O1033" s="1099"/>
    </row>
    <row r="1034" spans="2:15">
      <c r="B1034" s="1129"/>
      <c r="C1034" s="1098"/>
      <c r="D1034" s="1099"/>
      <c r="E1034" s="1098"/>
      <c r="F1034" s="1136"/>
      <c r="G1034" s="1099"/>
      <c r="H1034" s="1098"/>
      <c r="I1034" s="1099"/>
      <c r="J1034" s="1140"/>
      <c r="K1034" s="1140"/>
      <c r="L1034" s="1143"/>
      <c r="M1034" s="1098"/>
      <c r="N1034" s="1099"/>
      <c r="O1034" s="1099"/>
    </row>
    <row r="1035" spans="2:15">
      <c r="B1035" s="1129"/>
      <c r="C1035" s="1098"/>
      <c r="D1035" s="1099"/>
      <c r="E1035" s="1098"/>
      <c r="F1035" s="1136"/>
      <c r="G1035" s="1099"/>
      <c r="H1035" s="1098"/>
      <c r="I1035" s="1099"/>
      <c r="J1035" s="1140"/>
      <c r="K1035" s="1140"/>
      <c r="L1035" s="1143"/>
      <c r="M1035" s="1098"/>
      <c r="N1035" s="1099"/>
      <c r="O1035" s="1099"/>
    </row>
    <row r="1036" spans="2:15">
      <c r="B1036" s="1129"/>
      <c r="C1036" s="1098"/>
      <c r="D1036" s="1099"/>
      <c r="E1036" s="1098"/>
      <c r="F1036" s="1136"/>
      <c r="G1036" s="1099"/>
      <c r="H1036" s="1098"/>
      <c r="I1036" s="1099"/>
      <c r="J1036" s="1140"/>
      <c r="K1036" s="1140"/>
      <c r="L1036" s="1143"/>
      <c r="M1036" s="1098"/>
      <c r="N1036" s="1099"/>
      <c r="O1036" s="1099"/>
    </row>
    <row r="1037" spans="2:15">
      <c r="B1037" s="1129"/>
      <c r="C1037" s="1098"/>
      <c r="D1037" s="1099"/>
      <c r="E1037" s="1098"/>
      <c r="F1037" s="1136"/>
      <c r="G1037" s="1099"/>
      <c r="H1037" s="1098"/>
      <c r="I1037" s="1099"/>
      <c r="J1037" s="1140"/>
      <c r="K1037" s="1140"/>
      <c r="L1037" s="1143"/>
      <c r="M1037" s="1098"/>
      <c r="N1037" s="1099"/>
      <c r="O1037" s="1099"/>
    </row>
    <row r="1038" spans="2:15">
      <c r="B1038" s="1129"/>
      <c r="C1038" s="1098"/>
      <c r="D1038" s="1099"/>
      <c r="E1038" s="1098"/>
      <c r="F1038" s="1136"/>
      <c r="G1038" s="1099"/>
      <c r="H1038" s="1098"/>
      <c r="I1038" s="1099"/>
      <c r="J1038" s="1140"/>
      <c r="K1038" s="1140"/>
      <c r="L1038" s="1143"/>
      <c r="M1038" s="1098"/>
      <c r="N1038" s="1099"/>
      <c r="O1038" s="1099"/>
    </row>
    <row r="1039" spans="2:15">
      <c r="B1039" s="1129"/>
      <c r="C1039" s="1098"/>
      <c r="D1039" s="1099"/>
      <c r="E1039" s="1098"/>
      <c r="F1039" s="1136"/>
      <c r="G1039" s="1099"/>
      <c r="H1039" s="1098"/>
      <c r="I1039" s="1099"/>
      <c r="J1039" s="1140"/>
      <c r="K1039" s="1140"/>
      <c r="L1039" s="1143"/>
      <c r="M1039" s="1098"/>
      <c r="N1039" s="1099"/>
      <c r="O1039" s="1099"/>
    </row>
    <row r="1040" spans="2:15">
      <c r="B1040" s="1129"/>
      <c r="C1040" s="1098"/>
      <c r="D1040" s="1099"/>
      <c r="E1040" s="1098"/>
      <c r="F1040" s="1136"/>
      <c r="G1040" s="1099"/>
      <c r="H1040" s="1098"/>
      <c r="I1040" s="1099"/>
      <c r="J1040" s="1140"/>
      <c r="K1040" s="1140"/>
      <c r="L1040" s="1143"/>
      <c r="M1040" s="1098"/>
      <c r="N1040" s="1099"/>
      <c r="O1040" s="1099"/>
    </row>
    <row r="1041" spans="2:15">
      <c r="B1041" s="1129"/>
      <c r="C1041" s="1098"/>
      <c r="D1041" s="1099"/>
      <c r="E1041" s="1098"/>
      <c r="F1041" s="1136"/>
      <c r="G1041" s="1099"/>
      <c r="H1041" s="1098"/>
      <c r="I1041" s="1099"/>
      <c r="J1041" s="1140"/>
      <c r="K1041" s="1140"/>
      <c r="L1041" s="1143"/>
      <c r="M1041" s="1098"/>
      <c r="N1041" s="1099"/>
      <c r="O1041" s="1099"/>
    </row>
    <row r="1042" spans="2:15">
      <c r="B1042" s="1129"/>
      <c r="C1042" s="1098"/>
      <c r="D1042" s="1099"/>
      <c r="E1042" s="1098"/>
      <c r="F1042" s="1136"/>
      <c r="G1042" s="1099"/>
      <c r="H1042" s="1098"/>
      <c r="I1042" s="1099"/>
      <c r="J1042" s="1140"/>
      <c r="K1042" s="1140"/>
      <c r="L1042" s="1143"/>
      <c r="M1042" s="1098"/>
      <c r="N1042" s="1099"/>
      <c r="O1042" s="1099"/>
    </row>
    <row r="1043" spans="2:15">
      <c r="B1043" s="1129"/>
      <c r="C1043" s="1098"/>
      <c r="D1043" s="1099"/>
      <c r="E1043" s="1098"/>
      <c r="F1043" s="1136"/>
      <c r="G1043" s="1099"/>
      <c r="H1043" s="1098"/>
      <c r="I1043" s="1099"/>
      <c r="J1043" s="1140"/>
      <c r="K1043" s="1140"/>
      <c r="L1043" s="1143"/>
      <c r="M1043" s="1098"/>
      <c r="N1043" s="1099"/>
      <c r="O1043" s="1099"/>
    </row>
    <row r="1044" spans="2:15">
      <c r="B1044" s="1129"/>
      <c r="C1044" s="1098"/>
      <c r="D1044" s="1099"/>
      <c r="E1044" s="1098"/>
      <c r="F1044" s="1136"/>
      <c r="G1044" s="1099"/>
      <c r="H1044" s="1098"/>
      <c r="I1044" s="1099"/>
      <c r="J1044" s="1140"/>
      <c r="K1044" s="1140"/>
      <c r="L1044" s="1143"/>
      <c r="M1044" s="1098"/>
      <c r="N1044" s="1099"/>
      <c r="O1044" s="1099"/>
    </row>
    <row r="1045" spans="2:15">
      <c r="B1045" s="1129"/>
      <c r="C1045" s="1098"/>
      <c r="D1045" s="1099"/>
      <c r="E1045" s="1098"/>
      <c r="F1045" s="1136"/>
      <c r="G1045" s="1099"/>
      <c r="H1045" s="1098"/>
      <c r="I1045" s="1099"/>
      <c r="J1045" s="1140"/>
      <c r="K1045" s="1140"/>
      <c r="L1045" s="1143"/>
      <c r="M1045" s="1098"/>
      <c r="N1045" s="1099"/>
      <c r="O1045" s="1099"/>
    </row>
    <row r="1046" spans="2:15">
      <c r="B1046" s="1129"/>
      <c r="C1046" s="1098"/>
      <c r="D1046" s="1099"/>
      <c r="E1046" s="1098"/>
      <c r="F1046" s="1136"/>
      <c r="G1046" s="1099"/>
      <c r="H1046" s="1098"/>
      <c r="I1046" s="1099"/>
      <c r="J1046" s="1140"/>
      <c r="K1046" s="1140"/>
      <c r="L1046" s="1143"/>
      <c r="M1046" s="1098"/>
      <c r="N1046" s="1099"/>
      <c r="O1046" s="1099"/>
    </row>
    <row r="1047" spans="2:15">
      <c r="B1047" s="1129"/>
      <c r="C1047" s="1098"/>
      <c r="D1047" s="1099"/>
      <c r="E1047" s="1098"/>
      <c r="F1047" s="1136"/>
      <c r="G1047" s="1099"/>
      <c r="H1047" s="1098"/>
      <c r="I1047" s="1099"/>
      <c r="J1047" s="1140"/>
      <c r="K1047" s="1140"/>
      <c r="L1047" s="1143"/>
      <c r="M1047" s="1098"/>
      <c r="N1047" s="1099"/>
      <c r="O1047" s="1099"/>
    </row>
    <row r="1048" spans="2:15">
      <c r="B1048" s="1129"/>
      <c r="C1048" s="1098"/>
      <c r="D1048" s="1099"/>
      <c r="E1048" s="1098"/>
      <c r="F1048" s="1136"/>
      <c r="G1048" s="1099"/>
      <c r="H1048" s="1098"/>
      <c r="I1048" s="1099"/>
      <c r="J1048" s="1140"/>
      <c r="K1048" s="1140"/>
      <c r="L1048" s="1143"/>
      <c r="M1048" s="1098"/>
      <c r="N1048" s="1099"/>
      <c r="O1048" s="1099"/>
    </row>
    <row r="1049" spans="2:15">
      <c r="B1049" s="1129"/>
      <c r="C1049" s="1098"/>
      <c r="D1049" s="1099"/>
      <c r="E1049" s="1098"/>
      <c r="F1049" s="1136"/>
      <c r="G1049" s="1099"/>
      <c r="H1049" s="1098"/>
      <c r="I1049" s="1099"/>
      <c r="J1049" s="1140"/>
      <c r="K1049" s="1140"/>
      <c r="L1049" s="1143"/>
      <c r="M1049" s="1098"/>
      <c r="N1049" s="1099"/>
      <c r="O1049" s="1099"/>
    </row>
    <row r="1050" spans="2:15">
      <c r="B1050" s="1129"/>
      <c r="C1050" s="1098"/>
      <c r="D1050" s="1099"/>
      <c r="E1050" s="1098"/>
      <c r="F1050" s="1136"/>
      <c r="G1050" s="1099"/>
      <c r="H1050" s="1098"/>
      <c r="I1050" s="1099"/>
      <c r="J1050" s="1140"/>
      <c r="K1050" s="1140"/>
      <c r="L1050" s="1143"/>
      <c r="M1050" s="1098"/>
      <c r="N1050" s="1099"/>
      <c r="O1050" s="1099"/>
    </row>
    <row r="1051" spans="2:15">
      <c r="B1051" s="1129"/>
      <c r="C1051" s="1098"/>
      <c r="D1051" s="1099"/>
      <c r="E1051" s="1098"/>
      <c r="F1051" s="1136"/>
      <c r="G1051" s="1099"/>
      <c r="H1051" s="1098"/>
      <c r="I1051" s="1099"/>
      <c r="J1051" s="1140"/>
      <c r="K1051" s="1140"/>
      <c r="L1051" s="1143"/>
      <c r="M1051" s="1098"/>
      <c r="N1051" s="1099"/>
      <c r="O1051" s="1099"/>
    </row>
    <row r="1052" spans="2:15">
      <c r="B1052" s="1129"/>
      <c r="C1052" s="1098"/>
      <c r="D1052" s="1099"/>
      <c r="E1052" s="1098"/>
      <c r="F1052" s="1136"/>
      <c r="G1052" s="1099"/>
      <c r="H1052" s="1098"/>
      <c r="I1052" s="1099"/>
      <c r="J1052" s="1140"/>
      <c r="K1052" s="1140"/>
      <c r="L1052" s="1143"/>
      <c r="M1052" s="1098"/>
      <c r="N1052" s="1099"/>
      <c r="O1052" s="1099"/>
    </row>
    <row r="1053" spans="2:15">
      <c r="B1053" s="1129"/>
      <c r="C1053" s="1098"/>
      <c r="D1053" s="1099"/>
      <c r="E1053" s="1098"/>
      <c r="F1053" s="1136"/>
      <c r="G1053" s="1099"/>
      <c r="H1053" s="1098"/>
      <c r="I1053" s="1099"/>
      <c r="J1053" s="1140"/>
      <c r="K1053" s="1140"/>
      <c r="L1053" s="1143"/>
      <c r="M1053" s="1098"/>
      <c r="N1053" s="1099"/>
      <c r="O1053" s="1099"/>
    </row>
    <row r="1054" spans="2:15">
      <c r="B1054" s="1129"/>
      <c r="C1054" s="1098"/>
      <c r="D1054" s="1099"/>
      <c r="E1054" s="1098"/>
      <c r="F1054" s="1136"/>
      <c r="G1054" s="1099"/>
      <c r="H1054" s="1098"/>
      <c r="I1054" s="1099"/>
      <c r="J1054" s="1140"/>
      <c r="K1054" s="1140"/>
      <c r="L1054" s="1143"/>
      <c r="M1054" s="1098"/>
      <c r="N1054" s="1099"/>
      <c r="O1054" s="1099"/>
    </row>
    <row r="1055" spans="2:15">
      <c r="B1055" s="1129"/>
      <c r="C1055" s="1098"/>
      <c r="D1055" s="1099"/>
      <c r="E1055" s="1098"/>
      <c r="F1055" s="1136"/>
      <c r="G1055" s="1099"/>
      <c r="H1055" s="1098"/>
      <c r="I1055" s="1099"/>
      <c r="J1055" s="1140"/>
      <c r="K1055" s="1140"/>
      <c r="L1055" s="1143"/>
      <c r="M1055" s="1098"/>
      <c r="N1055" s="1099"/>
      <c r="O1055" s="1099"/>
    </row>
    <row r="1056" spans="2:15">
      <c r="B1056" s="1129"/>
      <c r="C1056" s="1098"/>
      <c r="D1056" s="1099"/>
      <c r="E1056" s="1098"/>
      <c r="F1056" s="1136"/>
      <c r="G1056" s="1099"/>
      <c r="H1056" s="1098"/>
      <c r="I1056" s="1099"/>
      <c r="J1056" s="1140"/>
      <c r="K1056" s="1140"/>
      <c r="L1056" s="1143"/>
      <c r="M1056" s="1098"/>
      <c r="N1056" s="1099"/>
      <c r="O1056" s="1099"/>
    </row>
    <row r="1057" spans="2:15">
      <c r="B1057" s="1129"/>
      <c r="C1057" s="1098"/>
      <c r="D1057" s="1099"/>
      <c r="E1057" s="1098"/>
      <c r="F1057" s="1136"/>
      <c r="G1057" s="1099"/>
      <c r="H1057" s="1098"/>
      <c r="I1057" s="1099"/>
      <c r="J1057" s="1140"/>
      <c r="K1057" s="1140"/>
      <c r="L1057" s="1143"/>
      <c r="M1057" s="1098"/>
      <c r="N1057" s="1099"/>
      <c r="O1057" s="1099"/>
    </row>
    <row r="1058" spans="2:15">
      <c r="B1058" s="1129"/>
      <c r="C1058" s="1098"/>
      <c r="D1058" s="1099"/>
      <c r="E1058" s="1098"/>
      <c r="F1058" s="1136"/>
      <c r="G1058" s="1099"/>
      <c r="H1058" s="1098"/>
      <c r="I1058" s="1099"/>
      <c r="J1058" s="1140"/>
      <c r="K1058" s="1140"/>
      <c r="L1058" s="1143"/>
      <c r="M1058" s="1098"/>
      <c r="N1058" s="1099"/>
      <c r="O1058" s="1099"/>
    </row>
    <row r="1059" spans="2:15">
      <c r="B1059" s="1129"/>
      <c r="C1059" s="1098"/>
      <c r="D1059" s="1099"/>
      <c r="E1059" s="1098"/>
      <c r="F1059" s="1136"/>
      <c r="G1059" s="1099"/>
      <c r="H1059" s="1098"/>
      <c r="I1059" s="1099"/>
      <c r="J1059" s="1140"/>
      <c r="K1059" s="1140"/>
      <c r="L1059" s="1143"/>
      <c r="M1059" s="1098"/>
      <c r="N1059" s="1099"/>
      <c r="O1059" s="1099"/>
    </row>
    <row r="1060" spans="2:15">
      <c r="B1060" s="1129"/>
      <c r="C1060" s="1098"/>
      <c r="D1060" s="1099"/>
      <c r="E1060" s="1098"/>
      <c r="F1060" s="1136"/>
      <c r="G1060" s="1099"/>
      <c r="H1060" s="1098"/>
      <c r="I1060" s="1099"/>
      <c r="J1060" s="1140"/>
      <c r="K1060" s="1140"/>
      <c r="L1060" s="1143"/>
      <c r="M1060" s="1098"/>
      <c r="N1060" s="1099"/>
      <c r="O1060" s="1099"/>
    </row>
    <row r="1061" spans="2:15">
      <c r="B1061" s="1129"/>
      <c r="C1061" s="1098"/>
      <c r="D1061" s="1099"/>
      <c r="E1061" s="1098"/>
      <c r="F1061" s="1136"/>
      <c r="G1061" s="1099"/>
      <c r="H1061" s="1098"/>
      <c r="I1061" s="1099"/>
      <c r="J1061" s="1140"/>
      <c r="K1061" s="1140"/>
      <c r="L1061" s="1143"/>
      <c r="M1061" s="1098"/>
      <c r="N1061" s="1099"/>
      <c r="O1061" s="1099"/>
    </row>
    <row r="1062" spans="2:15">
      <c r="B1062" s="1129"/>
      <c r="C1062" s="1098"/>
      <c r="D1062" s="1099"/>
      <c r="E1062" s="1098"/>
      <c r="F1062" s="1136"/>
      <c r="G1062" s="1099"/>
      <c r="H1062" s="1098"/>
      <c r="I1062" s="1099"/>
      <c r="J1062" s="1140"/>
      <c r="K1062" s="1140"/>
      <c r="L1062" s="1143"/>
      <c r="M1062" s="1098"/>
      <c r="N1062" s="1099"/>
      <c r="O1062" s="1099"/>
    </row>
    <row r="1063" spans="2:15">
      <c r="B1063" s="1129"/>
      <c r="C1063" s="1098"/>
      <c r="D1063" s="1099"/>
      <c r="E1063" s="1098"/>
      <c r="F1063" s="1136"/>
      <c r="G1063" s="1099"/>
      <c r="H1063" s="1098"/>
      <c r="I1063" s="1099"/>
      <c r="J1063" s="1140"/>
      <c r="K1063" s="1140"/>
      <c r="L1063" s="1143"/>
      <c r="M1063" s="1098"/>
      <c r="N1063" s="1099"/>
      <c r="O1063" s="1099"/>
    </row>
    <row r="1064" spans="2:15">
      <c r="B1064" s="1129"/>
      <c r="C1064" s="1098"/>
      <c r="D1064" s="1099"/>
      <c r="E1064" s="1098"/>
      <c r="F1064" s="1136"/>
      <c r="G1064" s="1099"/>
      <c r="H1064" s="1098"/>
      <c r="I1064" s="1099"/>
      <c r="J1064" s="1140"/>
      <c r="K1064" s="1140"/>
      <c r="L1064" s="1143"/>
      <c r="M1064" s="1098"/>
      <c r="N1064" s="1099"/>
      <c r="O1064" s="1099"/>
    </row>
    <row r="1065" spans="2:15">
      <c r="B1065" s="1129"/>
      <c r="C1065" s="1098"/>
      <c r="D1065" s="1099"/>
      <c r="E1065" s="1098"/>
      <c r="F1065" s="1136"/>
      <c r="G1065" s="1099"/>
      <c r="H1065" s="1098"/>
      <c r="I1065" s="1099"/>
      <c r="J1065" s="1140"/>
      <c r="K1065" s="1140"/>
      <c r="L1065" s="1143"/>
      <c r="M1065" s="1098"/>
      <c r="N1065" s="1099"/>
      <c r="O1065" s="1099"/>
    </row>
    <row r="1066" spans="2:15">
      <c r="B1066" s="1129"/>
      <c r="C1066" s="1098"/>
      <c r="D1066" s="1099"/>
      <c r="E1066" s="1098"/>
      <c r="F1066" s="1136"/>
      <c r="G1066" s="1099"/>
      <c r="H1066" s="1098"/>
      <c r="I1066" s="1099"/>
      <c r="J1066" s="1140"/>
      <c r="K1066" s="1140"/>
      <c r="L1066" s="1143"/>
      <c r="M1066" s="1098"/>
      <c r="N1066" s="1099"/>
      <c r="O1066" s="1099"/>
    </row>
    <row r="1067" spans="2:15">
      <c r="B1067" s="1129"/>
      <c r="C1067" s="1098"/>
      <c r="D1067" s="1099"/>
      <c r="E1067" s="1098"/>
      <c r="F1067" s="1136"/>
      <c r="G1067" s="1099"/>
      <c r="H1067" s="1098"/>
      <c r="I1067" s="1099"/>
      <c r="J1067" s="1140"/>
      <c r="K1067" s="1140"/>
      <c r="L1067" s="1143"/>
      <c r="M1067" s="1098"/>
      <c r="N1067" s="1099"/>
      <c r="O1067" s="1099"/>
    </row>
    <row r="1068" spans="2:15">
      <c r="B1068" s="1129"/>
      <c r="C1068" s="1098"/>
      <c r="D1068" s="1099"/>
      <c r="E1068" s="1098"/>
      <c r="F1068" s="1136"/>
      <c r="G1068" s="1099"/>
      <c r="H1068" s="1098"/>
      <c r="I1068" s="1099"/>
      <c r="J1068" s="1140"/>
      <c r="K1068" s="1140"/>
      <c r="L1068" s="1143"/>
      <c r="M1068" s="1098"/>
      <c r="N1068" s="1099"/>
      <c r="O1068" s="1099"/>
    </row>
    <row r="1069" spans="2:15">
      <c r="B1069" s="1129"/>
      <c r="C1069" s="1098"/>
      <c r="D1069" s="1099"/>
      <c r="E1069" s="1098"/>
      <c r="F1069" s="1136"/>
      <c r="G1069" s="1099"/>
      <c r="H1069" s="1098"/>
      <c r="I1069" s="1099"/>
      <c r="J1069" s="1140"/>
      <c r="K1069" s="1140"/>
      <c r="L1069" s="1143"/>
      <c r="M1069" s="1098"/>
      <c r="N1069" s="1099"/>
      <c r="O1069" s="1099"/>
    </row>
    <row r="1070" spans="2:15">
      <c r="B1070" s="1129"/>
      <c r="C1070" s="1098"/>
      <c r="D1070" s="1099"/>
      <c r="E1070" s="1098"/>
      <c r="F1070" s="1136"/>
      <c r="G1070" s="1099"/>
      <c r="H1070" s="1098"/>
      <c r="I1070" s="1099"/>
      <c r="J1070" s="1140"/>
      <c r="K1070" s="1140"/>
      <c r="L1070" s="1143"/>
      <c r="M1070" s="1098"/>
      <c r="N1070" s="1099"/>
      <c r="O1070" s="1099"/>
    </row>
    <row r="1071" spans="2:15">
      <c r="B1071" s="1129"/>
      <c r="C1071" s="1098"/>
      <c r="D1071" s="1099"/>
      <c r="E1071" s="1098"/>
      <c r="F1071" s="1136"/>
      <c r="G1071" s="1099"/>
      <c r="H1071" s="1098"/>
      <c r="I1071" s="1099"/>
      <c r="J1071" s="1140"/>
      <c r="K1071" s="1140"/>
      <c r="L1071" s="1143"/>
      <c r="M1071" s="1098"/>
      <c r="N1071" s="1099"/>
      <c r="O1071" s="1099"/>
    </row>
    <row r="1072" spans="2:15">
      <c r="B1072" s="1129"/>
      <c r="C1072" s="1098"/>
      <c r="D1072" s="1099"/>
      <c r="E1072" s="1098"/>
      <c r="F1072" s="1136"/>
      <c r="G1072" s="1099"/>
      <c r="H1072" s="1098"/>
      <c r="I1072" s="1099"/>
      <c r="J1072" s="1140"/>
      <c r="K1072" s="1140"/>
      <c r="L1072" s="1143"/>
      <c r="M1072" s="1098"/>
      <c r="N1072" s="1099"/>
      <c r="O1072" s="1099"/>
    </row>
    <row r="1073" spans="2:15">
      <c r="B1073" s="1129"/>
      <c r="C1073" s="1098"/>
      <c r="D1073" s="1099"/>
      <c r="E1073" s="1098"/>
      <c r="F1073" s="1136"/>
      <c r="G1073" s="1099"/>
      <c r="H1073" s="1098"/>
      <c r="I1073" s="1099"/>
      <c r="J1073" s="1140"/>
      <c r="K1073" s="1140"/>
      <c r="L1073" s="1143"/>
      <c r="M1073" s="1098"/>
      <c r="N1073" s="1099"/>
      <c r="O1073" s="1099"/>
    </row>
    <row r="1074" spans="2:15">
      <c r="B1074" s="1129"/>
      <c r="C1074" s="1098"/>
      <c r="D1074" s="1099"/>
      <c r="E1074" s="1098"/>
      <c r="F1074" s="1136"/>
      <c r="G1074" s="1099"/>
      <c r="H1074" s="1098"/>
      <c r="I1074" s="1099"/>
      <c r="J1074" s="1140"/>
      <c r="K1074" s="1140"/>
      <c r="L1074" s="1143"/>
      <c r="M1074" s="1098"/>
      <c r="N1074" s="1099"/>
      <c r="O1074" s="1099"/>
    </row>
    <row r="1075" spans="2:15">
      <c r="B1075" s="1129"/>
      <c r="C1075" s="1098"/>
      <c r="D1075" s="1099"/>
      <c r="E1075" s="1098"/>
      <c r="F1075" s="1136"/>
      <c r="G1075" s="1099"/>
      <c r="H1075" s="1098"/>
      <c r="I1075" s="1099"/>
      <c r="J1075" s="1140"/>
      <c r="K1075" s="1140"/>
      <c r="L1075" s="1143"/>
      <c r="M1075" s="1098"/>
      <c r="N1075" s="1099"/>
      <c r="O1075" s="1099"/>
    </row>
    <row r="1076" spans="2:15">
      <c r="B1076" s="1129"/>
      <c r="C1076" s="1098"/>
      <c r="D1076" s="1099"/>
      <c r="E1076" s="1098"/>
      <c r="F1076" s="1136"/>
      <c r="G1076" s="1099"/>
      <c r="H1076" s="1098"/>
      <c r="I1076" s="1099"/>
      <c r="J1076" s="1140"/>
      <c r="K1076" s="1140"/>
      <c r="L1076" s="1143"/>
      <c r="M1076" s="1098"/>
      <c r="N1076" s="1099"/>
      <c r="O1076" s="1099"/>
    </row>
    <row r="1077" spans="2:15">
      <c r="B1077" s="1129"/>
      <c r="C1077" s="1098"/>
      <c r="D1077" s="1099"/>
      <c r="E1077" s="1098"/>
      <c r="F1077" s="1136"/>
      <c r="G1077" s="1099"/>
      <c r="H1077" s="1098"/>
      <c r="I1077" s="1099"/>
      <c r="J1077" s="1140"/>
      <c r="K1077" s="1140"/>
      <c r="L1077" s="1143"/>
      <c r="M1077" s="1098"/>
      <c r="N1077" s="1099"/>
      <c r="O1077" s="1099"/>
    </row>
    <row r="1078" spans="2:15">
      <c r="B1078" s="1129"/>
      <c r="C1078" s="1098"/>
      <c r="D1078" s="1099"/>
      <c r="E1078" s="1098"/>
      <c r="F1078" s="1136"/>
      <c r="G1078" s="1099"/>
      <c r="H1078" s="1098"/>
      <c r="I1078" s="1099"/>
      <c r="J1078" s="1140"/>
      <c r="K1078" s="1140"/>
      <c r="L1078" s="1143"/>
      <c r="M1078" s="1098"/>
      <c r="N1078" s="1099"/>
      <c r="O1078" s="1099"/>
    </row>
    <row r="1079" spans="2:15">
      <c r="B1079" s="1129"/>
      <c r="C1079" s="1098"/>
      <c r="D1079" s="1099"/>
      <c r="E1079" s="1098"/>
      <c r="F1079" s="1136"/>
      <c r="G1079" s="1099"/>
      <c r="H1079" s="1098"/>
      <c r="I1079" s="1099"/>
      <c r="J1079" s="1140"/>
      <c r="K1079" s="1140"/>
      <c r="L1079" s="1143"/>
      <c r="M1079" s="1098"/>
      <c r="N1079" s="1099"/>
      <c r="O1079" s="1099"/>
    </row>
    <row r="1080" spans="2:15">
      <c r="B1080" s="1129"/>
      <c r="C1080" s="1098"/>
      <c r="D1080" s="1099"/>
      <c r="E1080" s="1098"/>
      <c r="F1080" s="1136"/>
      <c r="G1080" s="1099"/>
      <c r="H1080" s="1098"/>
      <c r="I1080" s="1099"/>
      <c r="J1080" s="1140"/>
      <c r="K1080" s="1140"/>
      <c r="L1080" s="1143"/>
      <c r="M1080" s="1098"/>
      <c r="N1080" s="1099"/>
      <c r="O1080" s="1099"/>
    </row>
    <row r="1081" spans="2:15">
      <c r="B1081" s="1129"/>
      <c r="C1081" s="1098"/>
      <c r="D1081" s="1099"/>
      <c r="E1081" s="1098"/>
      <c r="F1081" s="1136"/>
      <c r="G1081" s="1099"/>
      <c r="H1081" s="1098"/>
      <c r="I1081" s="1099"/>
      <c r="J1081" s="1140"/>
      <c r="K1081" s="1140"/>
      <c r="L1081" s="1143"/>
      <c r="M1081" s="1098"/>
      <c r="N1081" s="1099"/>
      <c r="O1081" s="1099"/>
    </row>
    <row r="1082" spans="2:15">
      <c r="B1082" s="1129"/>
      <c r="C1082" s="1098"/>
      <c r="D1082" s="1099"/>
      <c r="E1082" s="1098"/>
      <c r="F1082" s="1136"/>
      <c r="G1082" s="1099"/>
      <c r="H1082" s="1098"/>
      <c r="I1082" s="1099"/>
      <c r="J1082" s="1140"/>
      <c r="K1082" s="1140"/>
      <c r="L1082" s="1143"/>
      <c r="M1082" s="1098"/>
      <c r="N1082" s="1099"/>
      <c r="O1082" s="1099"/>
    </row>
    <row r="1083" spans="2:15">
      <c r="B1083" s="1129"/>
      <c r="C1083" s="1098"/>
      <c r="D1083" s="1099"/>
      <c r="E1083" s="1098"/>
      <c r="F1083" s="1136"/>
      <c r="G1083" s="1099"/>
      <c r="H1083" s="1098"/>
      <c r="I1083" s="1099"/>
      <c r="J1083" s="1140"/>
      <c r="K1083" s="1140"/>
      <c r="L1083" s="1143"/>
      <c r="M1083" s="1098"/>
      <c r="N1083" s="1099"/>
      <c r="O1083" s="1099"/>
    </row>
    <row r="1084" spans="2:15">
      <c r="B1084" s="1129"/>
      <c r="C1084" s="1098"/>
      <c r="D1084" s="1099"/>
      <c r="E1084" s="1098"/>
      <c r="F1084" s="1136"/>
      <c r="G1084" s="1099"/>
      <c r="H1084" s="1098"/>
      <c r="I1084" s="1099"/>
      <c r="J1084" s="1140"/>
      <c r="K1084" s="1140"/>
      <c r="L1084" s="1143"/>
      <c r="M1084" s="1098"/>
      <c r="N1084" s="1099"/>
      <c r="O1084" s="1099"/>
    </row>
    <row r="1085" spans="2:15">
      <c r="B1085" s="1129"/>
      <c r="C1085" s="1098"/>
      <c r="D1085" s="1099"/>
      <c r="E1085" s="1098"/>
      <c r="F1085" s="1136"/>
      <c r="G1085" s="1099"/>
      <c r="H1085" s="1098"/>
      <c r="I1085" s="1099"/>
      <c r="J1085" s="1140"/>
      <c r="K1085" s="1140"/>
      <c r="L1085" s="1143"/>
      <c r="M1085" s="1098"/>
      <c r="N1085" s="1099"/>
      <c r="O1085" s="1099"/>
    </row>
    <row r="1086" spans="2:15">
      <c r="B1086" s="1129"/>
      <c r="C1086" s="1098"/>
      <c r="D1086" s="1099"/>
      <c r="E1086" s="1098"/>
      <c r="F1086" s="1136"/>
      <c r="G1086" s="1099"/>
      <c r="H1086" s="1098"/>
      <c r="I1086" s="1099"/>
      <c r="J1086" s="1140"/>
      <c r="K1086" s="1140"/>
      <c r="L1086" s="1143"/>
      <c r="M1086" s="1098"/>
      <c r="N1086" s="1099"/>
      <c r="O1086" s="1099"/>
    </row>
    <row r="1087" spans="2:15">
      <c r="B1087" s="1129"/>
      <c r="C1087" s="1098"/>
      <c r="D1087" s="1099"/>
      <c r="E1087" s="1098"/>
      <c r="F1087" s="1136"/>
      <c r="G1087" s="1099"/>
      <c r="H1087" s="1098"/>
      <c r="I1087" s="1099"/>
      <c r="J1087" s="1140"/>
      <c r="K1087" s="1140"/>
      <c r="L1087" s="1143"/>
      <c r="M1087" s="1098"/>
      <c r="N1087" s="1099"/>
      <c r="O1087" s="1099"/>
    </row>
    <row r="1088" spans="2:15">
      <c r="B1088" s="1129"/>
      <c r="C1088" s="1098"/>
      <c r="D1088" s="1099"/>
      <c r="E1088" s="1098"/>
      <c r="F1088" s="1136"/>
      <c r="G1088" s="1099"/>
      <c r="H1088" s="1098"/>
      <c r="I1088" s="1099"/>
      <c r="J1088" s="1140"/>
      <c r="K1088" s="1140"/>
      <c r="L1088" s="1143"/>
      <c r="M1088" s="1098"/>
      <c r="N1088" s="1099"/>
      <c r="O1088" s="1099"/>
    </row>
    <row r="1089" spans="2:15">
      <c r="B1089" s="1129"/>
      <c r="C1089" s="1098"/>
      <c r="D1089" s="1099"/>
      <c r="E1089" s="1098"/>
      <c r="F1089" s="1136"/>
      <c r="G1089" s="1099"/>
      <c r="H1089" s="1098"/>
      <c r="I1089" s="1099"/>
      <c r="J1089" s="1140"/>
      <c r="K1089" s="1140"/>
      <c r="L1089" s="1143"/>
      <c r="M1089" s="1098"/>
      <c r="N1089" s="1099"/>
      <c r="O1089" s="1099"/>
    </row>
    <row r="1090" spans="2:15">
      <c r="B1090" s="1129"/>
      <c r="C1090" s="1098"/>
      <c r="D1090" s="1099"/>
      <c r="E1090" s="1098"/>
      <c r="F1090" s="1136"/>
      <c r="G1090" s="1099"/>
      <c r="H1090" s="1098"/>
      <c r="I1090" s="1099"/>
      <c r="J1090" s="1140"/>
      <c r="K1090" s="1140"/>
      <c r="L1090" s="1143"/>
      <c r="M1090" s="1098"/>
      <c r="N1090" s="1099"/>
      <c r="O1090" s="1099"/>
    </row>
    <row r="1091" spans="2:15">
      <c r="B1091" s="1129"/>
      <c r="C1091" s="1098"/>
      <c r="D1091" s="1099"/>
      <c r="E1091" s="1098"/>
      <c r="F1091" s="1136"/>
      <c r="G1091" s="1099"/>
      <c r="H1091" s="1098"/>
      <c r="I1091" s="1099"/>
      <c r="J1091" s="1140"/>
      <c r="K1091" s="1140"/>
      <c r="L1091" s="1143"/>
      <c r="M1091" s="1098"/>
      <c r="N1091" s="1099"/>
      <c r="O1091" s="1099"/>
    </row>
    <row r="1092" spans="2:15">
      <c r="B1092" s="1129"/>
      <c r="C1092" s="1098"/>
      <c r="D1092" s="1099"/>
      <c r="E1092" s="1098"/>
      <c r="F1092" s="1136"/>
      <c r="G1092" s="1099"/>
      <c r="H1092" s="1098"/>
      <c r="I1092" s="1099"/>
      <c r="J1092" s="1140"/>
      <c r="K1092" s="1140"/>
      <c r="L1092" s="1143"/>
      <c r="M1092" s="1098"/>
      <c r="N1092" s="1099"/>
      <c r="O1092" s="1099"/>
    </row>
    <row r="1093" spans="2:15">
      <c r="B1093" s="1129"/>
      <c r="C1093" s="1098"/>
      <c r="D1093" s="1099"/>
      <c r="E1093" s="1098"/>
      <c r="F1093" s="1136"/>
      <c r="G1093" s="1099"/>
      <c r="H1093" s="1098"/>
      <c r="I1093" s="1099"/>
      <c r="J1093" s="1140"/>
      <c r="K1093" s="1140"/>
      <c r="L1093" s="1143"/>
      <c r="M1093" s="1098"/>
      <c r="N1093" s="1099"/>
      <c r="O1093" s="1099"/>
    </row>
    <row r="1094" spans="2:15">
      <c r="B1094" s="1129"/>
      <c r="C1094" s="1098"/>
      <c r="D1094" s="1099"/>
      <c r="E1094" s="1098"/>
      <c r="F1094" s="1136"/>
      <c r="G1094" s="1099"/>
      <c r="H1094" s="1098"/>
      <c r="I1094" s="1099"/>
      <c r="J1094" s="1140"/>
      <c r="K1094" s="1140"/>
      <c r="L1094" s="1143"/>
      <c r="M1094" s="1098"/>
      <c r="N1094" s="1099"/>
      <c r="O1094" s="1099"/>
    </row>
    <row r="1095" spans="2:15">
      <c r="B1095" s="1129"/>
      <c r="C1095" s="1098"/>
      <c r="D1095" s="1099"/>
      <c r="E1095" s="1098"/>
      <c r="F1095" s="1136"/>
      <c r="G1095" s="1099"/>
      <c r="H1095" s="1098"/>
      <c r="I1095" s="1099"/>
      <c r="J1095" s="1140"/>
      <c r="K1095" s="1140"/>
      <c r="L1095" s="1143"/>
      <c r="M1095" s="1098"/>
      <c r="N1095" s="1099"/>
      <c r="O1095" s="1099"/>
    </row>
    <row r="1096" spans="2:15">
      <c r="B1096" s="1129"/>
      <c r="C1096" s="1098"/>
      <c r="D1096" s="1099"/>
      <c r="E1096" s="1098"/>
      <c r="F1096" s="1136"/>
      <c r="G1096" s="1099"/>
      <c r="H1096" s="1098"/>
      <c r="I1096" s="1099"/>
      <c r="J1096" s="1140"/>
      <c r="K1096" s="1140"/>
      <c r="L1096" s="1143"/>
      <c r="M1096" s="1098"/>
      <c r="N1096" s="1099"/>
      <c r="O1096" s="1099"/>
    </row>
    <row r="1097" spans="2:15">
      <c r="B1097" s="1129"/>
      <c r="C1097" s="1098"/>
      <c r="D1097" s="1099"/>
      <c r="E1097" s="1098"/>
      <c r="F1097" s="1136"/>
      <c r="G1097" s="1099"/>
      <c r="H1097" s="1098"/>
      <c r="I1097" s="1099"/>
      <c r="J1097" s="1140"/>
      <c r="K1097" s="1140"/>
      <c r="L1097" s="1143"/>
      <c r="M1097" s="1098"/>
      <c r="N1097" s="1099"/>
      <c r="O1097" s="1099"/>
    </row>
    <row r="1098" spans="2:15">
      <c r="B1098" s="1129"/>
      <c r="C1098" s="1098"/>
      <c r="D1098" s="1099"/>
      <c r="E1098" s="1098"/>
      <c r="F1098" s="1136"/>
      <c r="G1098" s="1099"/>
      <c r="H1098" s="1098"/>
      <c r="I1098" s="1099"/>
      <c r="J1098" s="1140"/>
      <c r="K1098" s="1140"/>
      <c r="L1098" s="1143"/>
      <c r="M1098" s="1098"/>
      <c r="N1098" s="1099"/>
      <c r="O1098" s="1099"/>
    </row>
    <row r="1099" spans="2:15">
      <c r="B1099" s="1129"/>
      <c r="C1099" s="1098"/>
      <c r="D1099" s="1099"/>
      <c r="E1099" s="1098"/>
      <c r="F1099" s="1136"/>
      <c r="G1099" s="1099"/>
      <c r="H1099" s="1098"/>
      <c r="I1099" s="1099"/>
      <c r="J1099" s="1140"/>
      <c r="K1099" s="1140"/>
      <c r="L1099" s="1143"/>
      <c r="M1099" s="1098"/>
      <c r="N1099" s="1099"/>
      <c r="O1099" s="1099"/>
    </row>
    <row r="1100" spans="2:15">
      <c r="B1100" s="1129"/>
      <c r="C1100" s="1098"/>
      <c r="D1100" s="1099"/>
      <c r="E1100" s="1098"/>
      <c r="F1100" s="1136"/>
      <c r="G1100" s="1099"/>
      <c r="H1100" s="1098"/>
      <c r="I1100" s="1099"/>
      <c r="J1100" s="1140"/>
      <c r="K1100" s="1140"/>
      <c r="L1100" s="1143"/>
      <c r="M1100" s="1098"/>
      <c r="N1100" s="1099"/>
      <c r="O1100" s="1099"/>
    </row>
    <row r="1101" spans="2:15">
      <c r="B1101" s="1129"/>
      <c r="C1101" s="1098"/>
      <c r="D1101" s="1099"/>
      <c r="E1101" s="1098"/>
      <c r="F1101" s="1136"/>
      <c r="G1101" s="1099"/>
      <c r="H1101" s="1098"/>
      <c r="I1101" s="1099"/>
      <c r="J1101" s="1140"/>
      <c r="K1101" s="1140"/>
      <c r="L1101" s="1143"/>
      <c r="M1101" s="1098"/>
      <c r="N1101" s="1099"/>
      <c r="O1101" s="1099"/>
    </row>
    <row r="1102" spans="2:15">
      <c r="B1102" s="1129"/>
      <c r="C1102" s="1098"/>
      <c r="D1102" s="1099"/>
      <c r="E1102" s="1098"/>
      <c r="F1102" s="1136"/>
      <c r="G1102" s="1099"/>
      <c r="H1102" s="1098"/>
      <c r="I1102" s="1099"/>
      <c r="J1102" s="1140"/>
      <c r="K1102" s="1140"/>
      <c r="L1102" s="1143"/>
      <c r="M1102" s="1098"/>
      <c r="N1102" s="1099"/>
      <c r="O1102" s="1099"/>
    </row>
    <row r="1103" spans="2:15">
      <c r="B1103" s="1129"/>
      <c r="C1103" s="1098"/>
      <c r="D1103" s="1099"/>
      <c r="E1103" s="1098"/>
      <c r="F1103" s="1136"/>
      <c r="G1103" s="1099"/>
      <c r="H1103" s="1098"/>
      <c r="I1103" s="1099"/>
      <c r="J1103" s="1140"/>
      <c r="K1103" s="1140"/>
      <c r="L1103" s="1143"/>
      <c r="M1103" s="1098"/>
      <c r="N1103" s="1099"/>
      <c r="O1103" s="1099"/>
    </row>
    <row r="1104" spans="2:15">
      <c r="B1104" s="1129"/>
      <c r="C1104" s="1098"/>
      <c r="D1104" s="1099"/>
      <c r="E1104" s="1098"/>
      <c r="F1104" s="1136"/>
      <c r="G1104" s="1099"/>
      <c r="H1104" s="1098"/>
      <c r="I1104" s="1099"/>
      <c r="J1104" s="1140"/>
      <c r="K1104" s="1140"/>
      <c r="L1104" s="1143"/>
      <c r="M1104" s="1098"/>
      <c r="N1104" s="1099"/>
      <c r="O1104" s="1099"/>
    </row>
    <row r="1105" spans="2:15">
      <c r="B1105" s="1129"/>
      <c r="C1105" s="1098"/>
      <c r="D1105" s="1099"/>
      <c r="E1105" s="1098"/>
      <c r="F1105" s="1136"/>
      <c r="G1105" s="1099"/>
      <c r="H1105" s="1098"/>
      <c r="I1105" s="1099"/>
      <c r="J1105" s="1140"/>
      <c r="K1105" s="1140"/>
      <c r="L1105" s="1143"/>
      <c r="M1105" s="1098"/>
      <c r="N1105" s="1099"/>
      <c r="O1105" s="1099"/>
    </row>
    <row r="1106" spans="2:15">
      <c r="B1106" s="1129"/>
      <c r="C1106" s="1098"/>
      <c r="D1106" s="1099"/>
      <c r="E1106" s="1098"/>
      <c r="F1106" s="1136"/>
      <c r="G1106" s="1099"/>
      <c r="H1106" s="1098"/>
      <c r="I1106" s="1099"/>
      <c r="J1106" s="1140"/>
      <c r="K1106" s="1140"/>
      <c r="L1106" s="1143"/>
      <c r="M1106" s="1098"/>
      <c r="N1106" s="1099"/>
      <c r="O1106" s="1099"/>
    </row>
    <row r="1107" spans="2:15">
      <c r="B1107" s="1129"/>
      <c r="C1107" s="1098"/>
      <c r="D1107" s="1099"/>
      <c r="E1107" s="1098"/>
      <c r="F1107" s="1136"/>
      <c r="G1107" s="1099"/>
      <c r="H1107" s="1098"/>
      <c r="I1107" s="1099"/>
      <c r="J1107" s="1140"/>
      <c r="K1107" s="1140"/>
      <c r="L1107" s="1143"/>
      <c r="M1107" s="1098"/>
      <c r="N1107" s="1099"/>
      <c r="O1107" s="1099"/>
    </row>
    <row r="1108" spans="2:15">
      <c r="B1108" s="1129"/>
      <c r="C1108" s="1098"/>
      <c r="D1108" s="1099"/>
      <c r="E1108" s="1098"/>
      <c r="F1108" s="1136"/>
      <c r="G1108" s="1099"/>
      <c r="H1108" s="1098"/>
      <c r="I1108" s="1099"/>
      <c r="J1108" s="1140"/>
      <c r="K1108" s="1140"/>
      <c r="L1108" s="1143"/>
      <c r="M1108" s="1098"/>
      <c r="N1108" s="1099"/>
      <c r="O1108" s="1099"/>
    </row>
    <row r="1109" spans="2:15">
      <c r="B1109" s="1129"/>
      <c r="C1109" s="1098"/>
      <c r="D1109" s="1099"/>
      <c r="E1109" s="1098"/>
      <c r="F1109" s="1136"/>
      <c r="G1109" s="1099"/>
      <c r="H1109" s="1098"/>
      <c r="I1109" s="1099"/>
      <c r="J1109" s="1140"/>
      <c r="K1109" s="1140"/>
      <c r="L1109" s="1143"/>
      <c r="M1109" s="1098"/>
      <c r="N1109" s="1099"/>
      <c r="O1109" s="1099"/>
    </row>
    <row r="1110" spans="2:15">
      <c r="B1110" s="1129"/>
      <c r="C1110" s="1098"/>
      <c r="D1110" s="1099"/>
      <c r="E1110" s="1098"/>
      <c r="F1110" s="1136"/>
      <c r="G1110" s="1099"/>
      <c r="H1110" s="1098"/>
      <c r="I1110" s="1099"/>
      <c r="J1110" s="1140"/>
      <c r="K1110" s="1140"/>
      <c r="L1110" s="1143"/>
      <c r="M1110" s="1098"/>
      <c r="N1110" s="1099"/>
      <c r="O1110" s="1099"/>
    </row>
    <row r="1111" spans="2:15">
      <c r="B1111" s="1129"/>
      <c r="C1111" s="1098"/>
      <c r="D1111" s="1099"/>
      <c r="E1111" s="1098"/>
      <c r="F1111" s="1136"/>
      <c r="G1111" s="1099"/>
      <c r="H1111" s="1098"/>
      <c r="I1111" s="1099"/>
      <c r="J1111" s="1140"/>
      <c r="K1111" s="1140"/>
      <c r="L1111" s="1143"/>
      <c r="M1111" s="1098"/>
      <c r="N1111" s="1099"/>
      <c r="O1111" s="1099"/>
    </row>
    <row r="1112" spans="2:15">
      <c r="B1112" s="1129"/>
      <c r="C1112" s="1098"/>
      <c r="D1112" s="1099"/>
      <c r="E1112" s="1098"/>
      <c r="F1112" s="1136"/>
      <c r="G1112" s="1099"/>
      <c r="H1112" s="1098"/>
      <c r="I1112" s="1099"/>
      <c r="J1112" s="1140"/>
      <c r="K1112" s="1140"/>
      <c r="L1112" s="1143"/>
      <c r="M1112" s="1098"/>
      <c r="N1112" s="1099"/>
      <c r="O1112" s="1099"/>
    </row>
    <row r="1113" spans="2:15">
      <c r="B1113" s="1129"/>
      <c r="C1113" s="1098"/>
      <c r="D1113" s="1099"/>
      <c r="E1113" s="1098"/>
      <c r="F1113" s="1136"/>
      <c r="G1113" s="1099"/>
      <c r="H1113" s="1098"/>
      <c r="I1113" s="1099"/>
      <c r="J1113" s="1140"/>
      <c r="K1113" s="1140"/>
      <c r="L1113" s="1143"/>
      <c r="M1113" s="1098"/>
      <c r="N1113" s="1099"/>
      <c r="O1113" s="1099"/>
    </row>
    <row r="1114" spans="2:15">
      <c r="B1114" s="1129"/>
      <c r="C1114" s="1098"/>
      <c r="D1114" s="1099"/>
      <c r="E1114" s="1098"/>
      <c r="F1114" s="1136"/>
      <c r="G1114" s="1099"/>
      <c r="H1114" s="1098"/>
      <c r="I1114" s="1099"/>
      <c r="J1114" s="1140"/>
      <c r="K1114" s="1140"/>
      <c r="L1114" s="1143"/>
      <c r="M1114" s="1098"/>
      <c r="N1114" s="1099"/>
      <c r="O1114" s="1099"/>
    </row>
    <row r="1115" spans="2:15">
      <c r="B1115" s="1129"/>
      <c r="C1115" s="1098"/>
      <c r="D1115" s="1099"/>
      <c r="E1115" s="1098"/>
      <c r="F1115" s="1136"/>
      <c r="G1115" s="1099"/>
      <c r="H1115" s="1098"/>
      <c r="I1115" s="1099"/>
      <c r="J1115" s="1140"/>
      <c r="K1115" s="1140"/>
      <c r="L1115" s="1143"/>
      <c r="M1115" s="1098"/>
      <c r="N1115" s="1099"/>
      <c r="O1115" s="1099"/>
    </row>
    <row r="1116" spans="2:15">
      <c r="B1116" s="1129"/>
      <c r="C1116" s="1098"/>
      <c r="D1116" s="1099"/>
      <c r="E1116" s="1098"/>
      <c r="F1116" s="1136"/>
      <c r="G1116" s="1099"/>
      <c r="H1116" s="1098"/>
      <c r="I1116" s="1099"/>
      <c r="J1116" s="1140"/>
      <c r="K1116" s="1140"/>
      <c r="L1116" s="1143"/>
      <c r="M1116" s="1098"/>
      <c r="N1116" s="1099"/>
      <c r="O1116" s="1099"/>
    </row>
    <row r="1117" spans="2:15">
      <c r="B1117" s="1129"/>
      <c r="C1117" s="1098"/>
      <c r="D1117" s="1099"/>
      <c r="E1117" s="1098"/>
      <c r="F1117" s="1136"/>
      <c r="G1117" s="1099"/>
      <c r="H1117" s="1098"/>
      <c r="I1117" s="1099"/>
      <c r="J1117" s="1140"/>
      <c r="K1117" s="1140"/>
      <c r="L1117" s="1143"/>
      <c r="M1117" s="1098"/>
      <c r="N1117" s="1099"/>
      <c r="O1117" s="1099"/>
    </row>
    <row r="1118" spans="2:15">
      <c r="B1118" s="1129"/>
      <c r="C1118" s="1098"/>
      <c r="D1118" s="1099"/>
      <c r="E1118" s="1098"/>
      <c r="F1118" s="1136"/>
      <c r="G1118" s="1099"/>
      <c r="H1118" s="1098"/>
      <c r="I1118" s="1099"/>
      <c r="J1118" s="1140"/>
      <c r="K1118" s="1140"/>
      <c r="L1118" s="1143"/>
      <c r="M1118" s="1098"/>
      <c r="N1118" s="1099"/>
      <c r="O1118" s="1099"/>
    </row>
    <row r="1119" spans="2:15">
      <c r="B1119" s="1129"/>
      <c r="C1119" s="1098"/>
      <c r="D1119" s="1099"/>
      <c r="E1119" s="1098"/>
      <c r="F1119" s="1136"/>
      <c r="G1119" s="1099"/>
      <c r="H1119" s="1098"/>
      <c r="I1119" s="1099"/>
      <c r="J1119" s="1140"/>
      <c r="K1119" s="1140"/>
      <c r="L1119" s="1143"/>
      <c r="M1119" s="1098"/>
      <c r="N1119" s="1099"/>
      <c r="O1119" s="1099"/>
    </row>
    <row r="1120" spans="2:15">
      <c r="B1120" s="1129"/>
      <c r="C1120" s="1098"/>
      <c r="D1120" s="1099"/>
      <c r="E1120" s="1098"/>
      <c r="F1120" s="1136"/>
      <c r="G1120" s="1099"/>
      <c r="H1120" s="1098"/>
      <c r="I1120" s="1099"/>
      <c r="J1120" s="1140"/>
      <c r="K1120" s="1140"/>
      <c r="L1120" s="1143"/>
      <c r="M1120" s="1098"/>
      <c r="N1120" s="1099"/>
      <c r="O1120" s="1099"/>
    </row>
    <row r="1121" spans="2:15">
      <c r="B1121" s="1129"/>
      <c r="C1121" s="1098"/>
      <c r="D1121" s="1099"/>
      <c r="E1121" s="1098"/>
      <c r="F1121" s="1136"/>
      <c r="G1121" s="1099"/>
      <c r="H1121" s="1098"/>
      <c r="I1121" s="1099"/>
      <c r="J1121" s="1140"/>
      <c r="K1121" s="1140"/>
      <c r="L1121" s="1143"/>
      <c r="M1121" s="1098"/>
      <c r="N1121" s="1099"/>
      <c r="O1121" s="1099"/>
    </row>
    <row r="1122" spans="2:15">
      <c r="B1122" s="1129"/>
      <c r="C1122" s="1098"/>
      <c r="D1122" s="1099"/>
      <c r="E1122" s="1098"/>
      <c r="F1122" s="1136"/>
      <c r="G1122" s="1099"/>
      <c r="H1122" s="1098"/>
      <c r="I1122" s="1099"/>
      <c r="J1122" s="1140"/>
      <c r="K1122" s="1140"/>
      <c r="L1122" s="1143"/>
      <c r="M1122" s="1098"/>
      <c r="N1122" s="1099"/>
      <c r="O1122" s="1099"/>
    </row>
    <row r="1123" spans="2:15">
      <c r="B1123" s="1129"/>
      <c r="C1123" s="1098"/>
      <c r="D1123" s="1099"/>
      <c r="E1123" s="1098"/>
      <c r="F1123" s="1136"/>
      <c r="G1123" s="1099"/>
      <c r="H1123" s="1098"/>
      <c r="I1123" s="1099"/>
      <c r="J1123" s="1140"/>
      <c r="K1123" s="1140"/>
      <c r="L1123" s="1143"/>
      <c r="M1123" s="1098"/>
      <c r="N1123" s="1099"/>
      <c r="O1123" s="1099"/>
    </row>
    <row r="1124" spans="2:15">
      <c r="B1124" s="1129"/>
      <c r="C1124" s="1098"/>
      <c r="D1124" s="1099"/>
      <c r="E1124" s="1098"/>
      <c r="F1124" s="1136"/>
      <c r="G1124" s="1099"/>
      <c r="H1124" s="1098"/>
      <c r="I1124" s="1099"/>
      <c r="J1124" s="1140"/>
      <c r="K1124" s="1140"/>
      <c r="L1124" s="1143"/>
      <c r="M1124" s="1098"/>
      <c r="N1124" s="1099"/>
      <c r="O1124" s="1099"/>
    </row>
    <row r="1125" spans="2:15">
      <c r="B1125" s="1129"/>
      <c r="C1125" s="1098"/>
      <c r="D1125" s="1099"/>
      <c r="E1125" s="1098"/>
      <c r="F1125" s="1136"/>
      <c r="G1125" s="1099"/>
      <c r="H1125" s="1098"/>
      <c r="I1125" s="1099"/>
      <c r="J1125" s="1140"/>
      <c r="K1125" s="1140"/>
      <c r="L1125" s="1143"/>
      <c r="M1125" s="1098"/>
      <c r="N1125" s="1099"/>
      <c r="O1125" s="1099"/>
    </row>
    <row r="1126" spans="2:15">
      <c r="B1126" s="1129"/>
      <c r="C1126" s="1098"/>
      <c r="D1126" s="1099"/>
      <c r="E1126" s="1098"/>
      <c r="F1126" s="1136"/>
      <c r="G1126" s="1099"/>
      <c r="H1126" s="1098"/>
      <c r="I1126" s="1099"/>
      <c r="J1126" s="1140"/>
      <c r="K1126" s="1140"/>
      <c r="L1126" s="1143"/>
      <c r="M1126" s="1098"/>
      <c r="N1126" s="1099"/>
      <c r="O1126" s="1099"/>
    </row>
    <row r="1127" spans="2:15">
      <c r="B1127" s="1129"/>
      <c r="C1127" s="1098"/>
      <c r="D1127" s="1099"/>
      <c r="E1127" s="1098"/>
      <c r="F1127" s="1136"/>
      <c r="G1127" s="1099"/>
      <c r="H1127" s="1098"/>
      <c r="I1127" s="1099"/>
      <c r="J1127" s="1140"/>
      <c r="K1127" s="1140"/>
      <c r="L1127" s="1143"/>
      <c r="M1127" s="1098"/>
      <c r="N1127" s="1099"/>
      <c r="O1127" s="1099"/>
    </row>
    <row r="1128" spans="2:15">
      <c r="B1128" s="1129"/>
      <c r="C1128" s="1098"/>
      <c r="D1128" s="1099"/>
      <c r="E1128" s="1098"/>
      <c r="F1128" s="1136"/>
      <c r="G1128" s="1099"/>
      <c r="H1128" s="1098"/>
      <c r="I1128" s="1099"/>
      <c r="J1128" s="1140"/>
      <c r="K1128" s="1140"/>
      <c r="L1128" s="1143"/>
      <c r="M1128" s="1098"/>
      <c r="N1128" s="1099"/>
      <c r="O1128" s="1099"/>
    </row>
    <row r="1129" spans="2:15">
      <c r="B1129" s="1129"/>
      <c r="C1129" s="1098"/>
      <c r="D1129" s="1099"/>
      <c r="E1129" s="1098"/>
      <c r="F1129" s="1136"/>
      <c r="G1129" s="1099"/>
      <c r="H1129" s="1098"/>
      <c r="I1129" s="1099"/>
      <c r="J1129" s="1140"/>
      <c r="K1129" s="1140"/>
      <c r="L1129" s="1143"/>
      <c r="M1129" s="1098"/>
      <c r="N1129" s="1099"/>
      <c r="O1129" s="1099"/>
    </row>
    <row r="1130" spans="2:15">
      <c r="B1130" s="1129"/>
      <c r="C1130" s="1098"/>
      <c r="D1130" s="1099"/>
      <c r="E1130" s="1098"/>
      <c r="F1130" s="1136"/>
      <c r="G1130" s="1099"/>
      <c r="H1130" s="1098"/>
      <c r="I1130" s="1099"/>
      <c r="J1130" s="1140"/>
      <c r="K1130" s="1140"/>
      <c r="L1130" s="1143"/>
      <c r="M1130" s="1098"/>
      <c r="N1130" s="1099"/>
      <c r="O1130" s="1099"/>
    </row>
    <row r="1131" spans="2:15">
      <c r="B1131" s="1129"/>
      <c r="C1131" s="1098"/>
      <c r="D1131" s="1099"/>
      <c r="E1131" s="1098"/>
      <c r="F1131" s="1136"/>
      <c r="G1131" s="1099"/>
      <c r="H1131" s="1098"/>
      <c r="I1131" s="1099"/>
      <c r="J1131" s="1140"/>
      <c r="K1131" s="1140"/>
      <c r="L1131" s="1143"/>
      <c r="M1131" s="1098"/>
      <c r="N1131" s="1099"/>
      <c r="O1131" s="1099"/>
    </row>
    <row r="1132" spans="2:15">
      <c r="B1132" s="1129"/>
      <c r="C1132" s="1098"/>
      <c r="D1132" s="1099"/>
      <c r="E1132" s="1098"/>
      <c r="F1132" s="1136"/>
      <c r="G1132" s="1099"/>
      <c r="H1132" s="1098"/>
      <c r="I1132" s="1099"/>
      <c r="J1132" s="1140"/>
      <c r="K1132" s="1140"/>
      <c r="L1132" s="1143"/>
      <c r="M1132" s="1098"/>
      <c r="N1132" s="1099"/>
      <c r="O1132" s="1099"/>
    </row>
    <row r="1133" spans="2:15">
      <c r="B1133" s="1129"/>
      <c r="C1133" s="1098"/>
      <c r="D1133" s="1099"/>
      <c r="E1133" s="1098"/>
      <c r="F1133" s="1136"/>
      <c r="G1133" s="1099"/>
      <c r="H1133" s="1098"/>
      <c r="I1133" s="1099"/>
      <c r="J1133" s="1140"/>
      <c r="K1133" s="1140"/>
      <c r="L1133" s="1143"/>
      <c r="M1133" s="1098"/>
      <c r="N1133" s="1099"/>
      <c r="O1133" s="1099"/>
    </row>
    <row r="1134" spans="2:15">
      <c r="B1134" s="1129"/>
      <c r="C1134" s="1098"/>
      <c r="D1134" s="1099"/>
      <c r="E1134" s="1098"/>
      <c r="F1134" s="1136"/>
      <c r="G1134" s="1099"/>
      <c r="H1134" s="1098"/>
      <c r="I1134" s="1099"/>
      <c r="J1134" s="1140"/>
      <c r="K1134" s="1140"/>
      <c r="L1134" s="1143"/>
      <c r="M1134" s="1098"/>
      <c r="N1134" s="1099"/>
      <c r="O1134" s="1099"/>
    </row>
    <row r="1135" spans="2:15">
      <c r="B1135" s="1129"/>
      <c r="C1135" s="1098"/>
      <c r="D1135" s="1099"/>
      <c r="E1135" s="1098"/>
      <c r="F1135" s="1136"/>
      <c r="G1135" s="1099"/>
      <c r="H1135" s="1098"/>
      <c r="I1135" s="1099"/>
      <c r="J1135" s="1140"/>
      <c r="K1135" s="1140"/>
      <c r="L1135" s="1143"/>
      <c r="M1135" s="1098"/>
      <c r="N1135" s="1099"/>
      <c r="O1135" s="1099"/>
    </row>
    <row r="1136" spans="2:15">
      <c r="B1136" s="1129"/>
      <c r="C1136" s="1098"/>
      <c r="D1136" s="1099"/>
      <c r="E1136" s="1098"/>
      <c r="F1136" s="1136"/>
      <c r="G1136" s="1099"/>
      <c r="H1136" s="1098"/>
      <c r="I1136" s="1099"/>
      <c r="J1136" s="1140"/>
      <c r="K1136" s="1140"/>
      <c r="L1136" s="1143"/>
      <c r="M1136" s="1098"/>
      <c r="N1136" s="1099"/>
      <c r="O1136" s="1099"/>
    </row>
    <row r="1137" spans="2:15">
      <c r="B1137" s="1129"/>
      <c r="C1137" s="1098"/>
      <c r="D1137" s="1099"/>
      <c r="E1137" s="1098"/>
      <c r="F1137" s="1136"/>
      <c r="G1137" s="1099"/>
      <c r="H1137" s="1098"/>
      <c r="I1137" s="1099"/>
      <c r="J1137" s="1140"/>
      <c r="K1137" s="1140"/>
      <c r="L1137" s="1143"/>
      <c r="M1137" s="1098"/>
      <c r="N1137" s="1099"/>
      <c r="O1137" s="1099"/>
    </row>
    <row r="1138" spans="2:15">
      <c r="B1138" s="1129"/>
      <c r="C1138" s="1098"/>
      <c r="D1138" s="1099"/>
      <c r="E1138" s="1098"/>
      <c r="F1138" s="1136"/>
      <c r="G1138" s="1099"/>
      <c r="H1138" s="1098"/>
      <c r="I1138" s="1099"/>
      <c r="J1138" s="1140"/>
      <c r="K1138" s="1140"/>
      <c r="L1138" s="1143"/>
      <c r="M1138" s="1098"/>
      <c r="N1138" s="1099"/>
      <c r="O1138" s="1099"/>
    </row>
    <row r="1139" spans="2:15">
      <c r="B1139" s="1129"/>
      <c r="C1139" s="1098"/>
      <c r="D1139" s="1099"/>
      <c r="E1139" s="1098"/>
      <c r="F1139" s="1136"/>
      <c r="G1139" s="1099"/>
      <c r="H1139" s="1098"/>
      <c r="I1139" s="1099"/>
      <c r="J1139" s="1140"/>
      <c r="K1139" s="1140"/>
      <c r="L1139" s="1143"/>
      <c r="M1139" s="1098"/>
      <c r="N1139" s="1099"/>
      <c r="O1139" s="1099"/>
    </row>
    <row r="1140" spans="2:15">
      <c r="B1140" s="1129"/>
      <c r="C1140" s="1098"/>
      <c r="D1140" s="1099"/>
      <c r="E1140" s="1098"/>
      <c r="F1140" s="1136"/>
      <c r="G1140" s="1099"/>
      <c r="H1140" s="1098"/>
      <c r="I1140" s="1099"/>
      <c r="J1140" s="1140"/>
      <c r="K1140" s="1140"/>
      <c r="L1140" s="1143"/>
      <c r="M1140" s="1098"/>
      <c r="N1140" s="1099"/>
      <c r="O1140" s="1099"/>
    </row>
    <row r="1141" spans="2:15">
      <c r="B1141" s="1129"/>
      <c r="C1141" s="1098"/>
      <c r="D1141" s="1099"/>
      <c r="E1141" s="1098"/>
      <c r="F1141" s="1136"/>
      <c r="G1141" s="1099"/>
      <c r="H1141" s="1098"/>
      <c r="I1141" s="1099"/>
      <c r="J1141" s="1140"/>
      <c r="K1141" s="1140"/>
      <c r="L1141" s="1143"/>
      <c r="M1141" s="1098"/>
      <c r="N1141" s="1099"/>
      <c r="O1141" s="1099"/>
    </row>
    <row r="1142" spans="2:15">
      <c r="B1142" s="1129"/>
      <c r="C1142" s="1098"/>
      <c r="D1142" s="1099"/>
      <c r="E1142" s="1098"/>
      <c r="F1142" s="1136"/>
      <c r="G1142" s="1099"/>
      <c r="H1142" s="1098"/>
      <c r="I1142" s="1099"/>
      <c r="J1142" s="1140"/>
      <c r="K1142" s="1140"/>
      <c r="L1142" s="1143"/>
      <c r="M1142" s="1098"/>
      <c r="N1142" s="1099"/>
      <c r="O1142" s="1099"/>
    </row>
    <row r="1143" spans="2:15">
      <c r="B1143" s="1129"/>
      <c r="C1143" s="1098"/>
      <c r="D1143" s="1099"/>
      <c r="E1143" s="1098"/>
      <c r="F1143" s="1136"/>
      <c r="G1143" s="1099"/>
      <c r="H1143" s="1098"/>
      <c r="I1143" s="1099"/>
      <c r="J1143" s="1140"/>
      <c r="K1143" s="1140"/>
      <c r="L1143" s="1143"/>
      <c r="M1143" s="1098"/>
      <c r="N1143" s="1099"/>
      <c r="O1143" s="1099"/>
    </row>
    <row r="1144" spans="2:15">
      <c r="B1144" s="1129"/>
      <c r="C1144" s="1098"/>
      <c r="D1144" s="1099"/>
      <c r="E1144" s="1098"/>
      <c r="F1144" s="1136"/>
      <c r="G1144" s="1099"/>
      <c r="H1144" s="1098"/>
      <c r="I1144" s="1099"/>
      <c r="J1144" s="1140"/>
      <c r="K1144" s="1140"/>
      <c r="L1144" s="1143"/>
      <c r="M1144" s="1098"/>
      <c r="N1144" s="1099"/>
      <c r="O1144" s="1099"/>
    </row>
    <row r="1145" spans="2:15">
      <c r="B1145" s="1129"/>
      <c r="C1145" s="1098"/>
      <c r="D1145" s="1099"/>
      <c r="E1145" s="1098"/>
      <c r="F1145" s="1136"/>
      <c r="G1145" s="1099"/>
      <c r="H1145" s="1098"/>
      <c r="I1145" s="1099"/>
      <c r="J1145" s="1140"/>
      <c r="K1145" s="1140"/>
      <c r="L1145" s="1143"/>
      <c r="M1145" s="1098"/>
      <c r="N1145" s="1099"/>
      <c r="O1145" s="1099"/>
    </row>
    <row r="1146" spans="2:15">
      <c r="B1146" s="1129"/>
      <c r="C1146" s="1098"/>
      <c r="D1146" s="1099"/>
      <c r="E1146" s="1098"/>
      <c r="F1146" s="1136"/>
      <c r="G1146" s="1099"/>
      <c r="H1146" s="1098"/>
      <c r="I1146" s="1099"/>
      <c r="J1146" s="1140"/>
      <c r="K1146" s="1140"/>
      <c r="L1146" s="1143"/>
      <c r="M1146" s="1098"/>
      <c r="N1146" s="1099"/>
      <c r="O1146" s="1099"/>
    </row>
    <row r="1147" spans="2:15">
      <c r="B1147" s="1129"/>
      <c r="C1147" s="1098"/>
      <c r="D1147" s="1099"/>
      <c r="E1147" s="1098"/>
      <c r="F1147" s="1136"/>
      <c r="G1147" s="1099"/>
      <c r="H1147" s="1098"/>
      <c r="I1147" s="1099"/>
      <c r="J1147" s="1140"/>
      <c r="K1147" s="1140"/>
      <c r="L1147" s="1143"/>
      <c r="M1147" s="1098"/>
      <c r="N1147" s="1099"/>
      <c r="O1147" s="1099"/>
    </row>
    <row r="1148" spans="2:15">
      <c r="B1148" s="1129"/>
      <c r="C1148" s="1098"/>
      <c r="D1148" s="1099"/>
      <c r="E1148" s="1098"/>
      <c r="F1148" s="1136"/>
      <c r="G1148" s="1099"/>
      <c r="H1148" s="1098"/>
      <c r="I1148" s="1099"/>
      <c r="J1148" s="1140"/>
      <c r="K1148" s="1140"/>
      <c r="L1148" s="1143"/>
      <c r="M1148" s="1098"/>
      <c r="N1148" s="1099"/>
      <c r="O1148" s="1099"/>
    </row>
    <row r="1149" spans="2:15">
      <c r="B1149" s="1129"/>
      <c r="C1149" s="1098"/>
      <c r="D1149" s="1099"/>
      <c r="E1149" s="1098"/>
      <c r="F1149" s="1136"/>
      <c r="G1149" s="1099"/>
      <c r="H1149" s="1098"/>
      <c r="I1149" s="1099"/>
      <c r="J1149" s="1140"/>
      <c r="K1149" s="1140"/>
      <c r="L1149" s="1143"/>
      <c r="M1149" s="1098"/>
      <c r="N1149" s="1099"/>
      <c r="O1149" s="1099"/>
    </row>
    <row r="1150" spans="2:15">
      <c r="B1150" s="1129"/>
      <c r="C1150" s="1098"/>
      <c r="D1150" s="1099"/>
      <c r="E1150" s="1098"/>
      <c r="F1150" s="1136"/>
      <c r="G1150" s="1099"/>
      <c r="H1150" s="1098"/>
      <c r="I1150" s="1099"/>
      <c r="J1150" s="1140"/>
      <c r="K1150" s="1140"/>
      <c r="L1150" s="1143"/>
      <c r="M1150" s="1098"/>
      <c r="N1150" s="1099"/>
      <c r="O1150" s="1099"/>
    </row>
    <row r="1151" spans="2:15">
      <c r="B1151" s="1129"/>
      <c r="C1151" s="1098"/>
      <c r="D1151" s="1099"/>
      <c r="E1151" s="1098"/>
      <c r="F1151" s="1136"/>
      <c r="G1151" s="1099"/>
      <c r="H1151" s="1098"/>
      <c r="I1151" s="1099"/>
      <c r="J1151" s="1140"/>
      <c r="K1151" s="1140"/>
      <c r="L1151" s="1143"/>
      <c r="M1151" s="1098"/>
      <c r="N1151" s="1099"/>
      <c r="O1151" s="1099"/>
    </row>
    <row r="1152" spans="2:15">
      <c r="B1152" s="1129"/>
      <c r="C1152" s="1098"/>
      <c r="D1152" s="1099"/>
      <c r="E1152" s="1098"/>
      <c r="F1152" s="1136"/>
      <c r="G1152" s="1099"/>
      <c r="H1152" s="1098"/>
      <c r="I1152" s="1099"/>
      <c r="J1152" s="1140"/>
      <c r="K1152" s="1140"/>
      <c r="L1152" s="1143"/>
      <c r="M1152" s="1098"/>
      <c r="N1152" s="1099"/>
      <c r="O1152" s="1099"/>
    </row>
    <row r="1153" spans="2:15">
      <c r="B1153" s="1129"/>
      <c r="C1153" s="1098"/>
      <c r="D1153" s="1099"/>
      <c r="E1153" s="1098"/>
      <c r="F1153" s="1136"/>
      <c r="G1153" s="1099"/>
      <c r="H1153" s="1098"/>
      <c r="I1153" s="1099"/>
      <c r="J1153" s="1140"/>
      <c r="K1153" s="1140"/>
      <c r="L1153" s="1143"/>
      <c r="M1153" s="1098"/>
      <c r="N1153" s="1099"/>
      <c r="O1153" s="1099"/>
    </row>
    <row r="1154" spans="2:15">
      <c r="B1154" s="1129"/>
      <c r="C1154" s="1098"/>
      <c r="D1154" s="1099"/>
      <c r="E1154" s="1098"/>
      <c r="F1154" s="1136"/>
      <c r="G1154" s="1099"/>
      <c r="H1154" s="1098"/>
      <c r="I1154" s="1099"/>
      <c r="J1154" s="1140"/>
      <c r="K1154" s="1140"/>
      <c r="L1154" s="1143"/>
      <c r="M1154" s="1098"/>
      <c r="N1154" s="1099"/>
      <c r="O1154" s="1099"/>
    </row>
    <row r="1155" spans="2:15">
      <c r="B1155" s="1129"/>
      <c r="C1155" s="1098"/>
      <c r="D1155" s="1099"/>
      <c r="E1155" s="1098"/>
      <c r="F1155" s="1136"/>
      <c r="G1155" s="1099"/>
      <c r="H1155" s="1098"/>
      <c r="I1155" s="1099"/>
      <c r="J1155" s="1140"/>
      <c r="K1155" s="1140"/>
      <c r="L1155" s="1143"/>
      <c r="M1155" s="1098"/>
      <c r="N1155" s="1099"/>
      <c r="O1155" s="1099"/>
    </row>
    <row r="1156" spans="2:15">
      <c r="B1156" s="1129"/>
      <c r="C1156" s="1098"/>
      <c r="D1156" s="1099"/>
      <c r="E1156" s="1098"/>
      <c r="F1156" s="1136"/>
      <c r="G1156" s="1099"/>
      <c r="H1156" s="1098"/>
      <c r="I1156" s="1099"/>
      <c r="J1156" s="1140"/>
      <c r="K1156" s="1140"/>
      <c r="L1156" s="1143"/>
      <c r="M1156" s="1098"/>
      <c r="N1156" s="1099"/>
      <c r="O1156" s="1099"/>
    </row>
    <row r="1157" spans="2:15">
      <c r="B1157" s="1129"/>
      <c r="C1157" s="1098"/>
      <c r="D1157" s="1099"/>
      <c r="E1157" s="1098"/>
      <c r="F1157" s="1136"/>
      <c r="G1157" s="1099"/>
      <c r="H1157" s="1098"/>
      <c r="I1157" s="1099"/>
      <c r="J1157" s="1140"/>
      <c r="K1157" s="1140"/>
      <c r="L1157" s="1143"/>
      <c r="M1157" s="1098"/>
      <c r="N1157" s="1099"/>
      <c r="O1157" s="1099"/>
    </row>
    <row r="1158" spans="2:15">
      <c r="B1158" s="1129"/>
      <c r="C1158" s="1098"/>
      <c r="D1158" s="1099"/>
      <c r="E1158" s="1098"/>
      <c r="F1158" s="1136"/>
      <c r="G1158" s="1099"/>
      <c r="H1158" s="1098"/>
      <c r="I1158" s="1099"/>
      <c r="J1158" s="1140"/>
      <c r="K1158" s="1140"/>
      <c r="L1158" s="1143"/>
      <c r="M1158" s="1098"/>
      <c r="N1158" s="1099"/>
      <c r="O1158" s="1099"/>
    </row>
    <row r="1159" spans="2:15">
      <c r="B1159" s="1129"/>
      <c r="C1159" s="1098"/>
      <c r="D1159" s="1099"/>
      <c r="E1159" s="1098"/>
      <c r="F1159" s="1136"/>
      <c r="G1159" s="1099"/>
      <c r="H1159" s="1098"/>
      <c r="I1159" s="1099"/>
      <c r="J1159" s="1140"/>
      <c r="K1159" s="1140"/>
      <c r="L1159" s="1143"/>
      <c r="M1159" s="1098"/>
      <c r="N1159" s="1099"/>
      <c r="O1159" s="1099"/>
    </row>
    <row r="1160" spans="2:15">
      <c r="B1160" s="1129"/>
      <c r="C1160" s="1098"/>
      <c r="D1160" s="1099"/>
      <c r="E1160" s="1098"/>
      <c r="F1160" s="1136"/>
      <c r="G1160" s="1099"/>
      <c r="H1160" s="1098"/>
      <c r="I1160" s="1099"/>
      <c r="J1160" s="1140"/>
      <c r="K1160" s="1140"/>
      <c r="L1160" s="1143"/>
      <c r="M1160" s="1098"/>
      <c r="N1160" s="1099"/>
      <c r="O1160" s="1099"/>
    </row>
    <row r="1161" spans="2:15">
      <c r="B1161" s="1129"/>
      <c r="C1161" s="1098"/>
      <c r="D1161" s="1099"/>
      <c r="E1161" s="1098"/>
      <c r="F1161" s="1136"/>
      <c r="G1161" s="1099"/>
      <c r="H1161" s="1098"/>
      <c r="I1161" s="1099"/>
      <c r="J1161" s="1140"/>
      <c r="K1161" s="1140"/>
      <c r="L1161" s="1143"/>
      <c r="M1161" s="1098"/>
      <c r="N1161" s="1099"/>
      <c r="O1161" s="1099"/>
    </row>
    <row r="1162" spans="2:15">
      <c r="B1162" s="1129"/>
      <c r="C1162" s="1098"/>
      <c r="D1162" s="1099"/>
      <c r="E1162" s="1098"/>
      <c r="F1162" s="1136"/>
      <c r="G1162" s="1099"/>
      <c r="H1162" s="1098"/>
      <c r="I1162" s="1099"/>
      <c r="J1162" s="1140"/>
      <c r="K1162" s="1140"/>
      <c r="L1162" s="1143"/>
      <c r="M1162" s="1098"/>
      <c r="N1162" s="1099"/>
      <c r="O1162" s="1099"/>
    </row>
    <row r="1163" spans="2:15">
      <c r="B1163" s="1129"/>
      <c r="C1163" s="1098"/>
      <c r="D1163" s="1099"/>
      <c r="E1163" s="1098"/>
      <c r="F1163" s="1136"/>
      <c r="G1163" s="1099"/>
      <c r="H1163" s="1098"/>
      <c r="I1163" s="1099"/>
      <c r="J1163" s="1140"/>
      <c r="K1163" s="1140"/>
      <c r="L1163" s="1143"/>
      <c r="M1163" s="1098"/>
      <c r="N1163" s="1099"/>
      <c r="O1163" s="1099"/>
    </row>
    <row r="1164" spans="2:15">
      <c r="B1164" s="1129"/>
      <c r="C1164" s="1098"/>
      <c r="D1164" s="1099"/>
      <c r="E1164" s="1098"/>
      <c r="F1164" s="1136"/>
      <c r="G1164" s="1099"/>
      <c r="H1164" s="1098"/>
      <c r="I1164" s="1099"/>
      <c r="J1164" s="1140"/>
      <c r="K1164" s="1140"/>
      <c r="L1164" s="1143"/>
      <c r="M1164" s="1098"/>
      <c r="N1164" s="1099"/>
      <c r="O1164" s="1099"/>
    </row>
    <row r="1165" spans="2:15">
      <c r="B1165" s="1129"/>
      <c r="C1165" s="1098"/>
      <c r="D1165" s="1099"/>
      <c r="E1165" s="1098"/>
      <c r="F1165" s="1136"/>
      <c r="G1165" s="1099"/>
      <c r="H1165" s="1098"/>
      <c r="I1165" s="1099"/>
      <c r="J1165" s="1140"/>
      <c r="K1165" s="1140"/>
      <c r="L1165" s="1143"/>
      <c r="M1165" s="1098"/>
      <c r="N1165" s="1099"/>
      <c r="O1165" s="1099"/>
    </row>
    <row r="1166" spans="2:15">
      <c r="B1166" s="1129"/>
      <c r="C1166" s="1098"/>
      <c r="D1166" s="1099"/>
      <c r="E1166" s="1098"/>
      <c r="F1166" s="1136"/>
      <c r="G1166" s="1099"/>
      <c r="H1166" s="1098"/>
      <c r="I1166" s="1099"/>
      <c r="J1166" s="1140"/>
      <c r="K1166" s="1140"/>
      <c r="L1166" s="1143"/>
      <c r="M1166" s="1098"/>
      <c r="N1166" s="1099"/>
      <c r="O1166" s="1099"/>
    </row>
    <row r="1167" spans="2:15">
      <c r="B1167" s="1129"/>
      <c r="C1167" s="1098"/>
      <c r="D1167" s="1099"/>
      <c r="E1167" s="1098"/>
      <c r="F1167" s="1136"/>
      <c r="G1167" s="1099"/>
      <c r="H1167" s="1098"/>
      <c r="I1167" s="1099"/>
      <c r="J1167" s="1140"/>
      <c r="K1167" s="1140"/>
      <c r="L1167" s="1143"/>
      <c r="M1167" s="1098"/>
      <c r="N1167" s="1099"/>
      <c r="O1167" s="1099"/>
    </row>
    <row r="1168" spans="2:15">
      <c r="B1168" s="1129"/>
      <c r="C1168" s="1098"/>
      <c r="D1168" s="1099"/>
      <c r="E1168" s="1098"/>
      <c r="F1168" s="1136"/>
      <c r="G1168" s="1099"/>
      <c r="H1168" s="1098"/>
      <c r="I1168" s="1099"/>
      <c r="J1168" s="1140"/>
      <c r="K1168" s="1140"/>
      <c r="L1168" s="1143"/>
      <c r="M1168" s="1098"/>
      <c r="N1168" s="1099"/>
      <c r="O1168" s="1099"/>
    </row>
    <row r="1169" spans="2:15">
      <c r="B1169" s="1129"/>
      <c r="C1169" s="1098"/>
      <c r="D1169" s="1099"/>
      <c r="E1169" s="1098"/>
      <c r="F1169" s="1136"/>
      <c r="G1169" s="1099"/>
      <c r="H1169" s="1098"/>
      <c r="I1169" s="1099"/>
      <c r="J1169" s="1140"/>
      <c r="K1169" s="1140"/>
      <c r="L1169" s="1143"/>
      <c r="M1169" s="1098"/>
      <c r="N1169" s="1099"/>
      <c r="O1169" s="1099"/>
    </row>
    <row r="1170" spans="2:15">
      <c r="B1170" s="1129"/>
      <c r="C1170" s="1098"/>
      <c r="D1170" s="1099"/>
      <c r="E1170" s="1098"/>
      <c r="F1170" s="1136"/>
      <c r="G1170" s="1099"/>
      <c r="H1170" s="1098"/>
      <c r="I1170" s="1099"/>
      <c r="J1170" s="1140"/>
      <c r="K1170" s="1140"/>
      <c r="L1170" s="1143"/>
      <c r="M1170" s="1098"/>
      <c r="N1170" s="1099"/>
      <c r="O1170" s="1099"/>
    </row>
    <row r="1171" spans="2:15">
      <c r="B1171" s="1129"/>
      <c r="C1171" s="1098"/>
      <c r="D1171" s="1099"/>
      <c r="E1171" s="1098"/>
      <c r="F1171" s="1136"/>
      <c r="G1171" s="1099"/>
      <c r="H1171" s="1098"/>
      <c r="I1171" s="1099"/>
      <c r="J1171" s="1140"/>
      <c r="K1171" s="1140"/>
      <c r="L1171" s="1143"/>
      <c r="M1171" s="1098"/>
      <c r="N1171" s="1099"/>
      <c r="O1171" s="1099"/>
    </row>
    <row r="1172" spans="2:15">
      <c r="B1172" s="1129"/>
      <c r="C1172" s="1098"/>
      <c r="D1172" s="1099"/>
      <c r="E1172" s="1098"/>
      <c r="F1172" s="1136"/>
      <c r="G1172" s="1099"/>
      <c r="H1172" s="1098"/>
      <c r="I1172" s="1099"/>
      <c r="J1172" s="1140"/>
      <c r="K1172" s="1140"/>
      <c r="L1172" s="1143"/>
      <c r="M1172" s="1098"/>
      <c r="N1172" s="1099"/>
      <c r="O1172" s="1099"/>
    </row>
    <row r="1173" spans="2:15">
      <c r="B1173" s="1129"/>
      <c r="C1173" s="1098"/>
      <c r="D1173" s="1099"/>
      <c r="E1173" s="1098"/>
      <c r="F1173" s="1136"/>
      <c r="G1173" s="1099"/>
      <c r="H1173" s="1098"/>
      <c r="I1173" s="1099"/>
      <c r="J1173" s="1140"/>
      <c r="K1173" s="1140"/>
      <c r="L1173" s="1143"/>
      <c r="M1173" s="1098"/>
      <c r="N1173" s="1099"/>
      <c r="O1173" s="1099"/>
    </row>
    <row r="1174" spans="2:15">
      <c r="B1174" s="1129"/>
      <c r="C1174" s="1098"/>
      <c r="D1174" s="1099"/>
      <c r="E1174" s="1098"/>
      <c r="F1174" s="1136"/>
      <c r="G1174" s="1099"/>
      <c r="H1174" s="1098"/>
      <c r="I1174" s="1099"/>
      <c r="J1174" s="1140"/>
      <c r="K1174" s="1140"/>
      <c r="L1174" s="1143"/>
      <c r="M1174" s="1098"/>
      <c r="N1174" s="1099"/>
      <c r="O1174" s="1099"/>
    </row>
    <row r="1175" spans="2:15">
      <c r="B1175" s="1129"/>
      <c r="C1175" s="1098"/>
      <c r="D1175" s="1099"/>
      <c r="E1175" s="1098"/>
      <c r="F1175" s="1136"/>
      <c r="G1175" s="1099"/>
      <c r="H1175" s="1098"/>
      <c r="I1175" s="1099"/>
      <c r="J1175" s="1140"/>
      <c r="K1175" s="1140"/>
      <c r="L1175" s="1143"/>
      <c r="M1175" s="1098"/>
      <c r="N1175" s="1099"/>
      <c r="O1175" s="1099"/>
    </row>
    <row r="1176" spans="2:15">
      <c r="B1176" s="1129"/>
      <c r="C1176" s="1098"/>
      <c r="D1176" s="1099"/>
      <c r="E1176" s="1098"/>
      <c r="F1176" s="1136"/>
      <c r="G1176" s="1099"/>
      <c r="H1176" s="1098"/>
      <c r="I1176" s="1099"/>
      <c r="J1176" s="1140"/>
      <c r="K1176" s="1140"/>
      <c r="L1176" s="1143"/>
      <c r="M1176" s="1098"/>
      <c r="N1176" s="1099"/>
      <c r="O1176" s="1099"/>
    </row>
    <row r="1177" spans="2:15">
      <c r="B1177" s="1129"/>
      <c r="C1177" s="1098"/>
      <c r="D1177" s="1099"/>
      <c r="E1177" s="1098"/>
      <c r="F1177" s="1136"/>
      <c r="G1177" s="1099"/>
      <c r="H1177" s="1098"/>
      <c r="I1177" s="1099"/>
      <c r="J1177" s="1140"/>
      <c r="K1177" s="1140"/>
      <c r="L1177" s="1143"/>
      <c r="M1177" s="1098"/>
      <c r="N1177" s="1099"/>
      <c r="O1177" s="1099"/>
    </row>
    <row r="1178" spans="2:15">
      <c r="B1178" s="1129"/>
      <c r="C1178" s="1098"/>
      <c r="D1178" s="1099"/>
      <c r="E1178" s="1098"/>
      <c r="F1178" s="1136"/>
      <c r="G1178" s="1099"/>
      <c r="H1178" s="1098"/>
      <c r="I1178" s="1099"/>
      <c r="J1178" s="1140"/>
      <c r="K1178" s="1140"/>
      <c r="L1178" s="1143"/>
      <c r="M1178" s="1098"/>
      <c r="N1178" s="1099"/>
      <c r="O1178" s="1099"/>
    </row>
    <row r="1179" spans="2:15">
      <c r="B1179" s="1129"/>
      <c r="C1179" s="1098"/>
      <c r="D1179" s="1099"/>
      <c r="E1179" s="1098"/>
      <c r="F1179" s="1136"/>
      <c r="G1179" s="1099"/>
      <c r="H1179" s="1098"/>
      <c r="I1179" s="1099"/>
      <c r="J1179" s="1140"/>
      <c r="K1179" s="1140"/>
      <c r="L1179" s="1143"/>
      <c r="M1179" s="1098"/>
      <c r="N1179" s="1099"/>
      <c r="O1179" s="1099"/>
    </row>
    <row r="1180" spans="2:15">
      <c r="B1180" s="1129"/>
      <c r="C1180" s="1098"/>
      <c r="D1180" s="1099"/>
      <c r="E1180" s="1098"/>
      <c r="F1180" s="1136"/>
      <c r="G1180" s="1099"/>
      <c r="H1180" s="1098"/>
      <c r="I1180" s="1099"/>
      <c r="J1180" s="1140"/>
      <c r="K1180" s="1140"/>
      <c r="L1180" s="1143"/>
      <c r="M1180" s="1098"/>
      <c r="N1180" s="1099"/>
      <c r="O1180" s="1099"/>
    </row>
    <row r="1181" spans="2:15">
      <c r="B1181" s="1129"/>
      <c r="C1181" s="1098"/>
      <c r="D1181" s="1099"/>
      <c r="E1181" s="1098"/>
      <c r="F1181" s="1136"/>
      <c r="G1181" s="1099"/>
      <c r="H1181" s="1098"/>
      <c r="I1181" s="1099"/>
      <c r="J1181" s="1140"/>
      <c r="K1181" s="1140"/>
      <c r="L1181" s="1143"/>
      <c r="M1181" s="1098"/>
      <c r="N1181" s="1099"/>
      <c r="O1181" s="1099"/>
    </row>
    <row r="1182" spans="2:15">
      <c r="B1182" s="1129"/>
      <c r="C1182" s="1098"/>
      <c r="D1182" s="1099"/>
      <c r="E1182" s="1098"/>
      <c r="F1182" s="1136"/>
      <c r="G1182" s="1099"/>
      <c r="H1182" s="1098"/>
      <c r="I1182" s="1099"/>
      <c r="J1182" s="1140"/>
      <c r="K1182" s="1140"/>
      <c r="L1182" s="1143"/>
      <c r="M1182" s="1098"/>
      <c r="N1182" s="1099"/>
      <c r="O1182" s="1099"/>
    </row>
    <row r="1183" spans="2:15">
      <c r="B1183" s="1129"/>
      <c r="C1183" s="1098"/>
      <c r="D1183" s="1099"/>
      <c r="E1183" s="1098"/>
      <c r="F1183" s="1136"/>
      <c r="G1183" s="1099"/>
      <c r="H1183" s="1098"/>
      <c r="I1183" s="1099"/>
      <c r="J1183" s="1140"/>
      <c r="K1183" s="1140"/>
      <c r="L1183" s="1143"/>
      <c r="M1183" s="1098"/>
      <c r="N1183" s="1099"/>
      <c r="O1183" s="1099"/>
    </row>
    <row r="1184" spans="2:15">
      <c r="B1184" s="1129"/>
      <c r="C1184" s="1098"/>
      <c r="D1184" s="1099"/>
      <c r="E1184" s="1098"/>
      <c r="F1184" s="1136"/>
      <c r="G1184" s="1099"/>
      <c r="H1184" s="1098"/>
      <c r="I1184" s="1099"/>
      <c r="J1184" s="1140"/>
      <c r="K1184" s="1140"/>
      <c r="L1184" s="1143"/>
      <c r="M1184" s="1098"/>
      <c r="N1184" s="1099"/>
      <c r="O1184" s="1099"/>
    </row>
    <row r="1185" spans="2:15">
      <c r="B1185" s="1129"/>
      <c r="C1185" s="1098"/>
      <c r="D1185" s="1099"/>
      <c r="E1185" s="1098"/>
      <c r="F1185" s="1136"/>
      <c r="G1185" s="1099"/>
      <c r="H1185" s="1098"/>
      <c r="I1185" s="1099"/>
      <c r="J1185" s="1140"/>
      <c r="K1185" s="1140"/>
      <c r="L1185" s="1143"/>
      <c r="M1185" s="1098"/>
      <c r="N1185" s="1099"/>
      <c r="O1185" s="1099"/>
    </row>
    <row r="1186" spans="2:15">
      <c r="B1186" s="1129"/>
      <c r="C1186" s="1098"/>
      <c r="D1186" s="1099"/>
      <c r="E1186" s="1098"/>
      <c r="F1186" s="1136"/>
      <c r="G1186" s="1099"/>
      <c r="H1186" s="1098"/>
      <c r="I1186" s="1099"/>
      <c r="J1186" s="1140"/>
      <c r="K1186" s="1140"/>
      <c r="L1186" s="1143"/>
      <c r="M1186" s="1098"/>
      <c r="N1186" s="1099"/>
      <c r="O1186" s="1099"/>
    </row>
    <row r="1187" spans="2:15">
      <c r="B1187" s="1129"/>
      <c r="C1187" s="1098"/>
      <c r="D1187" s="1099"/>
      <c r="E1187" s="1098"/>
      <c r="F1187" s="1136"/>
      <c r="G1187" s="1099"/>
      <c r="H1187" s="1098"/>
      <c r="I1187" s="1099"/>
      <c r="J1187" s="1140"/>
      <c r="K1187" s="1140"/>
      <c r="L1187" s="1143"/>
      <c r="M1187" s="1098"/>
      <c r="N1187" s="1099"/>
      <c r="O1187" s="1099"/>
    </row>
    <row r="1188" spans="2:15">
      <c r="B1188" s="1129"/>
      <c r="C1188" s="1098"/>
      <c r="D1188" s="1099"/>
      <c r="E1188" s="1098"/>
      <c r="F1188" s="1136"/>
      <c r="G1188" s="1099"/>
      <c r="H1188" s="1098"/>
      <c r="I1188" s="1099"/>
      <c r="J1188" s="1140"/>
      <c r="K1188" s="1140"/>
      <c r="L1188" s="1143"/>
      <c r="M1188" s="1098"/>
      <c r="N1188" s="1099"/>
      <c r="O1188" s="1099"/>
    </row>
    <row r="1189" spans="2:15">
      <c r="B1189" s="1129"/>
      <c r="C1189" s="1098"/>
      <c r="D1189" s="1099"/>
      <c r="E1189" s="1098"/>
      <c r="F1189" s="1136"/>
      <c r="G1189" s="1099"/>
      <c r="H1189" s="1098"/>
      <c r="I1189" s="1099"/>
      <c r="J1189" s="1140"/>
      <c r="K1189" s="1140"/>
      <c r="L1189" s="1143"/>
      <c r="M1189" s="1098"/>
      <c r="N1189" s="1099"/>
      <c r="O1189" s="1099"/>
    </row>
    <row r="1190" spans="2:15">
      <c r="B1190" s="1129"/>
      <c r="C1190" s="1098"/>
      <c r="D1190" s="1099"/>
      <c r="E1190" s="1098"/>
      <c r="F1190" s="1136"/>
      <c r="G1190" s="1099"/>
      <c r="H1190" s="1098"/>
      <c r="I1190" s="1099"/>
      <c r="J1190" s="1140"/>
      <c r="K1190" s="1140"/>
      <c r="L1190" s="1143"/>
      <c r="M1190" s="1098"/>
      <c r="N1190" s="1099"/>
      <c r="O1190" s="1099"/>
    </row>
    <row r="1191" spans="2:15">
      <c r="B1191" s="1129"/>
      <c r="C1191" s="1098"/>
      <c r="D1191" s="1099"/>
      <c r="E1191" s="1098"/>
      <c r="F1191" s="1136"/>
      <c r="G1191" s="1099"/>
      <c r="H1191" s="1098"/>
      <c r="I1191" s="1099"/>
      <c r="J1191" s="1140"/>
      <c r="K1191" s="1140"/>
      <c r="L1191" s="1143"/>
      <c r="M1191" s="1098"/>
      <c r="N1191" s="1099"/>
      <c r="O1191" s="1099"/>
    </row>
    <row r="1192" spans="2:15">
      <c r="B1192" s="1129"/>
      <c r="C1192" s="1098"/>
      <c r="D1192" s="1099"/>
      <c r="E1192" s="1098"/>
      <c r="F1192" s="1136"/>
      <c r="G1192" s="1099"/>
      <c r="H1192" s="1098"/>
      <c r="I1192" s="1099"/>
      <c r="J1192" s="1140"/>
      <c r="K1192" s="1140"/>
      <c r="L1192" s="1143"/>
      <c r="M1192" s="1098"/>
      <c r="N1192" s="1099"/>
      <c r="O1192" s="1099"/>
    </row>
    <row r="1193" spans="2:15">
      <c r="B1193" s="1129"/>
      <c r="C1193" s="1098"/>
      <c r="D1193" s="1099"/>
      <c r="E1193" s="1098"/>
      <c r="F1193" s="1136"/>
      <c r="G1193" s="1099"/>
      <c r="H1193" s="1098"/>
      <c r="I1193" s="1099"/>
      <c r="J1193" s="1140"/>
      <c r="K1193" s="1140"/>
      <c r="L1193" s="1143"/>
      <c r="M1193" s="1098"/>
      <c r="N1193" s="1099"/>
      <c r="O1193" s="1099"/>
    </row>
    <row r="1194" spans="2:15">
      <c r="B1194" s="1129"/>
      <c r="C1194" s="1098"/>
      <c r="D1194" s="1099"/>
      <c r="E1194" s="1098"/>
      <c r="F1194" s="1136"/>
      <c r="G1194" s="1099"/>
      <c r="H1194" s="1098"/>
      <c r="I1194" s="1099"/>
      <c r="J1194" s="1140"/>
      <c r="K1194" s="1140"/>
      <c r="L1194" s="1143"/>
      <c r="M1194" s="1098"/>
      <c r="N1194" s="1099"/>
      <c r="O1194" s="1099"/>
    </row>
    <row r="1195" spans="2:15">
      <c r="B1195" s="1129"/>
      <c r="C1195" s="1098"/>
      <c r="D1195" s="1099"/>
      <c r="E1195" s="1098"/>
      <c r="F1195" s="1136"/>
      <c r="G1195" s="1099"/>
      <c r="H1195" s="1098"/>
      <c r="I1195" s="1099"/>
      <c r="J1195" s="1140"/>
      <c r="K1195" s="1140"/>
      <c r="L1195" s="1143"/>
      <c r="M1195" s="1098"/>
      <c r="N1195" s="1099"/>
      <c r="O1195" s="1099"/>
    </row>
    <row r="1196" spans="2:15">
      <c r="B1196" s="1129"/>
      <c r="C1196" s="1098"/>
      <c r="D1196" s="1099"/>
      <c r="E1196" s="1098"/>
      <c r="F1196" s="1136"/>
      <c r="G1196" s="1099"/>
      <c r="H1196" s="1098"/>
      <c r="I1196" s="1099"/>
      <c r="J1196" s="1140"/>
      <c r="K1196" s="1140"/>
      <c r="L1196" s="1143"/>
      <c r="M1196" s="1098"/>
      <c r="N1196" s="1099"/>
      <c r="O1196" s="1099"/>
    </row>
    <row r="1197" spans="2:15">
      <c r="B1197" s="1129"/>
      <c r="C1197" s="1098"/>
      <c r="D1197" s="1099"/>
      <c r="E1197" s="1098"/>
      <c r="F1197" s="1136"/>
      <c r="G1197" s="1099"/>
      <c r="H1197" s="1098"/>
      <c r="I1197" s="1099"/>
      <c r="J1197" s="1140"/>
      <c r="K1197" s="1140"/>
      <c r="L1197" s="1143"/>
      <c r="M1197" s="1098"/>
      <c r="N1197" s="1099"/>
      <c r="O1197" s="1099"/>
    </row>
    <row r="1198" spans="2:15">
      <c r="B1198" s="1129"/>
      <c r="C1198" s="1098"/>
      <c r="D1198" s="1099"/>
      <c r="E1198" s="1098"/>
      <c r="F1198" s="1136"/>
      <c r="G1198" s="1099"/>
      <c r="H1198" s="1098"/>
      <c r="I1198" s="1099"/>
      <c r="J1198" s="1140"/>
      <c r="K1198" s="1140"/>
      <c r="L1198" s="1143"/>
      <c r="M1198" s="1098"/>
      <c r="N1198" s="1099"/>
      <c r="O1198" s="1099"/>
    </row>
    <row r="1199" spans="2:15">
      <c r="B1199" s="1129"/>
      <c r="C1199" s="1098"/>
      <c r="D1199" s="1099"/>
      <c r="E1199" s="1098"/>
      <c r="F1199" s="1136"/>
      <c r="G1199" s="1099"/>
      <c r="H1199" s="1098"/>
      <c r="I1199" s="1099"/>
      <c r="J1199" s="1140"/>
      <c r="K1199" s="1140"/>
      <c r="L1199" s="1143"/>
      <c r="M1199" s="1098"/>
      <c r="N1199" s="1099"/>
      <c r="O1199" s="1099"/>
    </row>
    <row r="1200" spans="2:15">
      <c r="B1200" s="1129"/>
      <c r="C1200" s="1098"/>
      <c r="D1200" s="1099"/>
      <c r="E1200" s="1098"/>
      <c r="F1200" s="1136"/>
      <c r="G1200" s="1099"/>
      <c r="H1200" s="1098"/>
      <c r="I1200" s="1099"/>
      <c r="J1200" s="1140"/>
      <c r="K1200" s="1140"/>
      <c r="L1200" s="1143"/>
      <c r="M1200" s="1098"/>
      <c r="N1200" s="1099"/>
      <c r="O1200" s="1099"/>
    </row>
    <row r="1201" spans="2:15">
      <c r="B1201" s="1129"/>
      <c r="C1201" s="1098"/>
      <c r="D1201" s="1099"/>
      <c r="E1201" s="1098"/>
      <c r="F1201" s="1136"/>
      <c r="G1201" s="1099"/>
      <c r="H1201" s="1098"/>
      <c r="I1201" s="1099"/>
      <c r="J1201" s="1140"/>
      <c r="K1201" s="1140"/>
      <c r="L1201" s="1143"/>
      <c r="M1201" s="1098"/>
      <c r="N1201" s="1099"/>
      <c r="O1201" s="1099"/>
    </row>
    <row r="1202" spans="2:15">
      <c r="B1202" s="1129"/>
      <c r="C1202" s="1098"/>
      <c r="D1202" s="1099"/>
      <c r="E1202" s="1098"/>
      <c r="F1202" s="1136"/>
      <c r="G1202" s="1099"/>
      <c r="H1202" s="1098"/>
      <c r="I1202" s="1099"/>
      <c r="J1202" s="1140"/>
      <c r="K1202" s="1140"/>
      <c r="L1202" s="1143"/>
      <c r="M1202" s="1098"/>
      <c r="N1202" s="1099"/>
      <c r="O1202" s="1099"/>
    </row>
    <row r="1203" spans="2:15">
      <c r="B1203" s="1129"/>
      <c r="C1203" s="1098"/>
      <c r="D1203" s="1099"/>
      <c r="E1203" s="1098"/>
      <c r="F1203" s="1136"/>
      <c r="G1203" s="1099"/>
      <c r="H1203" s="1098"/>
      <c r="I1203" s="1099"/>
      <c r="J1203" s="1140"/>
      <c r="K1203" s="1140"/>
      <c r="L1203" s="1143"/>
      <c r="M1203" s="1098"/>
      <c r="N1203" s="1099"/>
      <c r="O1203" s="1099"/>
    </row>
    <row r="1204" spans="2:15">
      <c r="B1204" s="1129"/>
      <c r="C1204" s="1098"/>
      <c r="D1204" s="1099"/>
      <c r="E1204" s="1098"/>
      <c r="F1204" s="1136"/>
      <c r="G1204" s="1099"/>
      <c r="H1204" s="1098"/>
      <c r="I1204" s="1099"/>
      <c r="J1204" s="1140"/>
      <c r="K1204" s="1140"/>
      <c r="L1204" s="1143"/>
      <c r="M1204" s="1098"/>
      <c r="N1204" s="1099"/>
      <c r="O1204" s="1099"/>
    </row>
    <row r="1205" spans="2:15">
      <c r="B1205" s="1129"/>
      <c r="C1205" s="1098"/>
      <c r="D1205" s="1099"/>
      <c r="E1205" s="1098"/>
      <c r="F1205" s="1136"/>
      <c r="G1205" s="1099"/>
      <c r="H1205" s="1098"/>
      <c r="I1205" s="1099"/>
      <c r="J1205" s="1140"/>
      <c r="K1205" s="1140"/>
      <c r="L1205" s="1143"/>
      <c r="M1205" s="1098"/>
      <c r="N1205" s="1099"/>
      <c r="O1205" s="1099"/>
    </row>
    <row r="1206" spans="2:15">
      <c r="B1206" s="1129"/>
      <c r="C1206" s="1098"/>
      <c r="D1206" s="1099"/>
      <c r="E1206" s="1098"/>
      <c r="F1206" s="1136"/>
      <c r="G1206" s="1099"/>
      <c r="H1206" s="1098"/>
      <c r="I1206" s="1099"/>
      <c r="J1206" s="1140"/>
      <c r="K1206" s="1140"/>
      <c r="L1206" s="1143"/>
      <c r="M1206" s="1098"/>
      <c r="N1206" s="1099"/>
      <c r="O1206" s="1099"/>
    </row>
    <row r="1207" spans="2:15">
      <c r="B1207" s="1129"/>
      <c r="C1207" s="1098"/>
      <c r="D1207" s="1099"/>
      <c r="E1207" s="1098"/>
      <c r="F1207" s="1136"/>
      <c r="G1207" s="1099"/>
      <c r="H1207" s="1098"/>
      <c r="I1207" s="1099"/>
      <c r="J1207" s="1140"/>
      <c r="K1207" s="1140"/>
      <c r="L1207" s="1143"/>
      <c r="M1207" s="1098"/>
      <c r="N1207" s="1099"/>
      <c r="O1207" s="1099"/>
    </row>
    <row r="1208" spans="2:15">
      <c r="B1208" s="1129"/>
      <c r="C1208" s="1098"/>
      <c r="D1208" s="1099"/>
      <c r="E1208" s="1098"/>
      <c r="F1208" s="1136"/>
      <c r="G1208" s="1099"/>
      <c r="H1208" s="1098"/>
      <c r="I1208" s="1099"/>
      <c r="J1208" s="1140"/>
      <c r="K1208" s="1140"/>
      <c r="L1208" s="1143"/>
      <c r="M1208" s="1098"/>
      <c r="N1208" s="1099"/>
      <c r="O1208" s="1099"/>
    </row>
    <row r="1209" spans="2:15">
      <c r="B1209" s="1129"/>
      <c r="C1209" s="1098"/>
      <c r="D1209" s="1099"/>
      <c r="E1209" s="1098"/>
      <c r="F1209" s="1136"/>
      <c r="G1209" s="1099"/>
      <c r="H1209" s="1098"/>
      <c r="I1209" s="1099"/>
      <c r="J1209" s="1140"/>
      <c r="K1209" s="1140"/>
      <c r="L1209" s="1143"/>
      <c r="M1209" s="1098"/>
      <c r="N1209" s="1099"/>
      <c r="O1209" s="1099"/>
    </row>
    <row r="1210" spans="2:15">
      <c r="B1210" s="1129"/>
      <c r="C1210" s="1098"/>
      <c r="D1210" s="1099"/>
      <c r="E1210" s="1098"/>
      <c r="F1210" s="1136"/>
      <c r="G1210" s="1099"/>
      <c r="H1210" s="1098"/>
      <c r="I1210" s="1099"/>
      <c r="J1210" s="1140"/>
      <c r="K1210" s="1140"/>
      <c r="L1210" s="1143"/>
      <c r="M1210" s="1098"/>
      <c r="N1210" s="1099"/>
      <c r="O1210" s="1099"/>
    </row>
    <row r="1211" spans="2:15">
      <c r="B1211" s="1129"/>
      <c r="C1211" s="1098"/>
      <c r="D1211" s="1099"/>
      <c r="E1211" s="1098"/>
      <c r="F1211" s="1136"/>
      <c r="G1211" s="1099"/>
      <c r="H1211" s="1098"/>
      <c r="I1211" s="1099"/>
      <c r="J1211" s="1140"/>
      <c r="K1211" s="1140"/>
      <c r="L1211" s="1143"/>
      <c r="M1211" s="1098"/>
      <c r="N1211" s="1099"/>
      <c r="O1211" s="1099"/>
    </row>
    <row r="1212" spans="2:15">
      <c r="B1212" s="1129"/>
      <c r="C1212" s="1098"/>
      <c r="D1212" s="1099"/>
      <c r="E1212" s="1098"/>
      <c r="F1212" s="1136"/>
      <c r="G1212" s="1099"/>
      <c r="H1212" s="1098"/>
      <c r="I1212" s="1099"/>
      <c r="J1212" s="1140"/>
      <c r="K1212" s="1140"/>
      <c r="L1212" s="1143"/>
      <c r="M1212" s="1098"/>
      <c r="N1212" s="1099"/>
      <c r="O1212" s="1099"/>
    </row>
    <row r="1213" spans="2:15">
      <c r="B1213" s="1129"/>
      <c r="C1213" s="1098"/>
      <c r="D1213" s="1099"/>
      <c r="E1213" s="1098"/>
      <c r="F1213" s="1136"/>
      <c r="G1213" s="1099"/>
      <c r="H1213" s="1098"/>
      <c r="I1213" s="1099"/>
      <c r="J1213" s="1140"/>
      <c r="K1213" s="1140"/>
      <c r="L1213" s="1143"/>
      <c r="M1213" s="1098"/>
      <c r="N1213" s="1099"/>
      <c r="O1213" s="1099"/>
    </row>
    <row r="1214" spans="2:15">
      <c r="B1214" s="1129"/>
      <c r="C1214" s="1098"/>
      <c r="D1214" s="1099"/>
      <c r="E1214" s="1098"/>
      <c r="F1214" s="1136"/>
      <c r="G1214" s="1099"/>
      <c r="H1214" s="1098"/>
      <c r="I1214" s="1099"/>
      <c r="J1214" s="1140"/>
      <c r="K1214" s="1140"/>
      <c r="L1214" s="1143"/>
      <c r="M1214" s="1098"/>
      <c r="N1214" s="1099"/>
      <c r="O1214" s="1099"/>
    </row>
    <row r="1215" spans="2:15">
      <c r="B1215" s="1129"/>
      <c r="C1215" s="1098"/>
      <c r="D1215" s="1099"/>
      <c r="E1215" s="1098"/>
      <c r="F1215" s="1136"/>
      <c r="G1215" s="1099"/>
      <c r="H1215" s="1098"/>
      <c r="I1215" s="1099"/>
      <c r="J1215" s="1140"/>
      <c r="K1215" s="1140"/>
      <c r="L1215" s="1143"/>
      <c r="M1215" s="1098"/>
      <c r="N1215" s="1099"/>
      <c r="O1215" s="1099"/>
    </row>
    <row r="1216" spans="2:15">
      <c r="B1216" s="1129"/>
      <c r="C1216" s="1098"/>
      <c r="D1216" s="1099"/>
      <c r="E1216" s="1098"/>
      <c r="F1216" s="1136"/>
      <c r="G1216" s="1099"/>
      <c r="H1216" s="1098"/>
      <c r="I1216" s="1099"/>
      <c r="J1216" s="1140"/>
      <c r="K1216" s="1140"/>
      <c r="L1216" s="1143"/>
      <c r="M1216" s="1098"/>
      <c r="N1216" s="1099"/>
      <c r="O1216" s="1099"/>
    </row>
    <row r="1217" spans="2:15">
      <c r="B1217" s="1129"/>
      <c r="C1217" s="1098"/>
      <c r="D1217" s="1099"/>
      <c r="E1217" s="1098"/>
      <c r="F1217" s="1136"/>
      <c r="G1217" s="1099"/>
      <c r="H1217" s="1098"/>
      <c r="I1217" s="1099"/>
      <c r="J1217" s="1140"/>
      <c r="K1217" s="1140"/>
      <c r="L1217" s="1143"/>
      <c r="M1217" s="1098"/>
      <c r="N1217" s="1099"/>
      <c r="O1217" s="1099"/>
    </row>
    <row r="1218" spans="2:15">
      <c r="B1218" s="1129"/>
      <c r="C1218" s="1098"/>
      <c r="D1218" s="1099"/>
      <c r="E1218" s="1098"/>
      <c r="F1218" s="1136"/>
      <c r="G1218" s="1099"/>
      <c r="H1218" s="1098"/>
      <c r="I1218" s="1099"/>
      <c r="J1218" s="1140"/>
      <c r="K1218" s="1140"/>
      <c r="L1218" s="1143"/>
      <c r="M1218" s="1098"/>
      <c r="N1218" s="1099"/>
      <c r="O1218" s="1099"/>
    </row>
    <row r="1219" spans="2:15">
      <c r="B1219" s="1129"/>
      <c r="C1219" s="1098"/>
      <c r="D1219" s="1099"/>
      <c r="E1219" s="1098"/>
      <c r="F1219" s="1136"/>
      <c r="G1219" s="1099"/>
      <c r="H1219" s="1098"/>
      <c r="I1219" s="1099"/>
      <c r="J1219" s="1140"/>
      <c r="K1219" s="1140"/>
      <c r="L1219" s="1143"/>
      <c r="M1219" s="1098"/>
      <c r="N1219" s="1099"/>
      <c r="O1219" s="1099"/>
    </row>
    <row r="1220" spans="2:15">
      <c r="B1220" s="1129"/>
      <c r="C1220" s="1098"/>
      <c r="D1220" s="1099"/>
      <c r="E1220" s="1098"/>
      <c r="F1220" s="1136"/>
      <c r="G1220" s="1099"/>
      <c r="H1220" s="1098"/>
      <c r="I1220" s="1099"/>
      <c r="J1220" s="1140"/>
      <c r="K1220" s="1140"/>
      <c r="L1220" s="1143"/>
      <c r="M1220" s="1098"/>
      <c r="N1220" s="1099"/>
      <c r="O1220" s="1099"/>
    </row>
    <row r="1221" spans="2:15">
      <c r="B1221" s="1129"/>
      <c r="C1221" s="1098"/>
      <c r="D1221" s="1099"/>
      <c r="E1221" s="1098"/>
      <c r="F1221" s="1136"/>
      <c r="G1221" s="1099"/>
      <c r="H1221" s="1098"/>
      <c r="I1221" s="1099"/>
      <c r="J1221" s="1140"/>
      <c r="K1221" s="1140"/>
      <c r="L1221" s="1143"/>
      <c r="M1221" s="1098"/>
      <c r="N1221" s="1099"/>
      <c r="O1221" s="1099"/>
    </row>
    <row r="1222" spans="2:15">
      <c r="B1222" s="1129"/>
      <c r="C1222" s="1098"/>
      <c r="D1222" s="1099"/>
      <c r="E1222" s="1098"/>
      <c r="F1222" s="1136"/>
      <c r="G1222" s="1099"/>
      <c r="H1222" s="1098"/>
      <c r="I1222" s="1099"/>
      <c r="J1222" s="1140"/>
      <c r="K1222" s="1140"/>
      <c r="L1222" s="1143"/>
      <c r="M1222" s="1098"/>
      <c r="N1222" s="1099"/>
      <c r="O1222" s="1099"/>
    </row>
    <row r="1223" spans="2:15">
      <c r="B1223" s="1129"/>
      <c r="C1223" s="1098"/>
      <c r="D1223" s="1099"/>
      <c r="E1223" s="1098"/>
      <c r="F1223" s="1136"/>
      <c r="G1223" s="1099"/>
      <c r="H1223" s="1098"/>
      <c r="I1223" s="1099"/>
      <c r="J1223" s="1140"/>
      <c r="K1223" s="1140"/>
      <c r="L1223" s="1143"/>
      <c r="M1223" s="1098"/>
      <c r="N1223" s="1099"/>
      <c r="O1223" s="1099"/>
    </row>
    <row r="1224" spans="2:15">
      <c r="B1224" s="1129"/>
      <c r="C1224" s="1098"/>
      <c r="D1224" s="1099"/>
      <c r="E1224" s="1098"/>
      <c r="F1224" s="1136"/>
      <c r="G1224" s="1099"/>
      <c r="H1224" s="1098"/>
      <c r="I1224" s="1099"/>
      <c r="J1224" s="1140"/>
      <c r="K1224" s="1140"/>
      <c r="L1224" s="1143"/>
      <c r="M1224" s="1098"/>
      <c r="N1224" s="1099"/>
      <c r="O1224" s="1099"/>
    </row>
    <row r="1225" spans="2:15">
      <c r="B1225" s="1129"/>
      <c r="C1225" s="1098"/>
      <c r="D1225" s="1099"/>
      <c r="E1225" s="1098"/>
      <c r="F1225" s="1136"/>
      <c r="G1225" s="1099"/>
      <c r="H1225" s="1098"/>
      <c r="I1225" s="1099"/>
      <c r="J1225" s="1140"/>
      <c r="K1225" s="1140"/>
      <c r="L1225" s="1143"/>
      <c r="M1225" s="1098"/>
      <c r="N1225" s="1099"/>
      <c r="O1225" s="1099"/>
    </row>
    <row r="1226" spans="2:15">
      <c r="B1226" s="1129"/>
      <c r="C1226" s="1098"/>
      <c r="D1226" s="1099"/>
      <c r="E1226" s="1098"/>
      <c r="F1226" s="1136"/>
      <c r="G1226" s="1099"/>
      <c r="H1226" s="1098"/>
      <c r="I1226" s="1099"/>
      <c r="J1226" s="1140"/>
      <c r="K1226" s="1140"/>
      <c r="L1226" s="1143"/>
      <c r="M1226" s="1098"/>
      <c r="N1226" s="1099"/>
      <c r="O1226" s="1099"/>
    </row>
    <row r="1227" spans="2:15">
      <c r="B1227" s="1129"/>
      <c r="C1227" s="1098"/>
      <c r="D1227" s="1099"/>
      <c r="E1227" s="1098"/>
      <c r="F1227" s="1136"/>
      <c r="G1227" s="1099"/>
      <c r="H1227" s="1098"/>
      <c r="I1227" s="1099"/>
      <c r="J1227" s="1140"/>
      <c r="K1227" s="1140"/>
      <c r="L1227" s="1143"/>
      <c r="M1227" s="1098"/>
      <c r="N1227" s="1099"/>
      <c r="O1227" s="1099"/>
    </row>
    <row r="1228" spans="2:15">
      <c r="B1228" s="1129"/>
      <c r="C1228" s="1098"/>
      <c r="D1228" s="1099"/>
      <c r="E1228" s="1098"/>
      <c r="F1228" s="1136"/>
      <c r="G1228" s="1099"/>
      <c r="H1228" s="1098"/>
      <c r="I1228" s="1099"/>
      <c r="J1228" s="1140"/>
      <c r="K1228" s="1140"/>
      <c r="L1228" s="1143"/>
      <c r="M1228" s="1098"/>
      <c r="N1228" s="1099"/>
      <c r="O1228" s="1099"/>
    </row>
    <row r="1229" spans="2:15">
      <c r="B1229" s="1129"/>
      <c r="C1229" s="1098"/>
      <c r="D1229" s="1099"/>
      <c r="E1229" s="1098"/>
      <c r="F1229" s="1136"/>
      <c r="G1229" s="1099"/>
      <c r="H1229" s="1098"/>
      <c r="I1229" s="1099"/>
      <c r="J1229" s="1140"/>
      <c r="K1229" s="1140"/>
      <c r="L1229" s="1143"/>
      <c r="M1229" s="1098"/>
      <c r="N1229" s="1099"/>
      <c r="O1229" s="1099"/>
    </row>
    <row r="1230" spans="2:15">
      <c r="B1230" s="1129"/>
      <c r="C1230" s="1098"/>
      <c r="D1230" s="1099"/>
      <c r="E1230" s="1098"/>
      <c r="F1230" s="1136"/>
      <c r="G1230" s="1099"/>
      <c r="H1230" s="1098"/>
      <c r="I1230" s="1099"/>
      <c r="J1230" s="1140"/>
      <c r="K1230" s="1140"/>
      <c r="L1230" s="1143"/>
      <c r="M1230" s="1098"/>
      <c r="N1230" s="1099"/>
      <c r="O1230" s="1099"/>
    </row>
    <row r="1231" spans="2:15">
      <c r="B1231" s="1129"/>
      <c r="C1231" s="1098"/>
      <c r="D1231" s="1099"/>
      <c r="E1231" s="1098"/>
      <c r="F1231" s="1136"/>
      <c r="G1231" s="1099"/>
      <c r="H1231" s="1098"/>
      <c r="I1231" s="1099"/>
      <c r="J1231" s="1140"/>
      <c r="K1231" s="1140"/>
      <c r="L1231" s="1143"/>
      <c r="M1231" s="1098"/>
      <c r="N1231" s="1099"/>
      <c r="O1231" s="1099"/>
    </row>
    <row r="1232" spans="2:15">
      <c r="B1232" s="1129"/>
      <c r="C1232" s="1098"/>
      <c r="D1232" s="1099"/>
      <c r="E1232" s="1098"/>
      <c r="F1232" s="1136"/>
      <c r="G1232" s="1099"/>
      <c r="H1232" s="1098"/>
      <c r="I1232" s="1099"/>
      <c r="J1232" s="1140"/>
      <c r="K1232" s="1140"/>
      <c r="L1232" s="1143"/>
      <c r="M1232" s="1098"/>
      <c r="N1232" s="1099"/>
      <c r="O1232" s="1099"/>
    </row>
    <row r="1233" spans="2:15">
      <c r="B1233" s="1129"/>
      <c r="C1233" s="1098"/>
      <c r="D1233" s="1099"/>
      <c r="E1233" s="1098"/>
      <c r="F1233" s="1136"/>
      <c r="G1233" s="1099"/>
      <c r="H1233" s="1098"/>
      <c r="I1233" s="1099"/>
      <c r="J1233" s="1140"/>
      <c r="K1233" s="1140"/>
      <c r="L1233" s="1143"/>
      <c r="M1233" s="1098"/>
      <c r="N1233" s="1099"/>
      <c r="O1233" s="1099"/>
    </row>
    <row r="1234" spans="2:15">
      <c r="B1234" s="1129"/>
      <c r="C1234" s="1098"/>
      <c r="D1234" s="1099"/>
      <c r="E1234" s="1098"/>
      <c r="F1234" s="1136"/>
      <c r="G1234" s="1099"/>
      <c r="H1234" s="1098"/>
      <c r="I1234" s="1099"/>
      <c r="J1234" s="1140"/>
      <c r="K1234" s="1140"/>
      <c r="L1234" s="1143"/>
      <c r="M1234" s="1098"/>
      <c r="N1234" s="1099"/>
      <c r="O1234" s="1099"/>
    </row>
    <row r="1235" spans="2:15">
      <c r="B1235" s="1129"/>
      <c r="C1235" s="1098"/>
      <c r="D1235" s="1099"/>
      <c r="E1235" s="1098"/>
      <c r="F1235" s="1136"/>
      <c r="G1235" s="1099"/>
      <c r="H1235" s="1098"/>
      <c r="I1235" s="1099"/>
      <c r="J1235" s="1140"/>
      <c r="K1235" s="1140"/>
      <c r="L1235" s="1143"/>
      <c r="M1235" s="1098"/>
      <c r="N1235" s="1099"/>
      <c r="O1235" s="1099"/>
    </row>
    <row r="1236" spans="2:15">
      <c r="B1236" s="1129"/>
      <c r="C1236" s="1098"/>
      <c r="D1236" s="1099"/>
      <c r="E1236" s="1098"/>
      <c r="F1236" s="1136"/>
      <c r="G1236" s="1099"/>
      <c r="H1236" s="1098"/>
      <c r="I1236" s="1099"/>
      <c r="J1236" s="1140"/>
      <c r="K1236" s="1140"/>
      <c r="L1236" s="1143"/>
      <c r="M1236" s="1098"/>
      <c r="N1236" s="1099"/>
      <c r="O1236" s="1099"/>
    </row>
    <row r="1237" spans="2:15">
      <c r="B1237" s="1129"/>
      <c r="C1237" s="1098"/>
      <c r="D1237" s="1099"/>
      <c r="E1237" s="1098"/>
      <c r="F1237" s="1136"/>
      <c r="G1237" s="1099"/>
      <c r="H1237" s="1098"/>
      <c r="I1237" s="1099"/>
      <c r="J1237" s="1140"/>
      <c r="K1237" s="1140"/>
      <c r="L1237" s="1143"/>
      <c r="M1237" s="1098"/>
      <c r="N1237" s="1099"/>
      <c r="O1237" s="1099"/>
    </row>
    <row r="1238" spans="2:15">
      <c r="B1238" s="1129"/>
      <c r="C1238" s="1098"/>
      <c r="D1238" s="1099"/>
      <c r="E1238" s="1098"/>
      <c r="F1238" s="1136"/>
      <c r="G1238" s="1099"/>
      <c r="H1238" s="1098"/>
      <c r="I1238" s="1099"/>
      <c r="J1238" s="1140"/>
      <c r="K1238" s="1140"/>
      <c r="L1238" s="1143"/>
      <c r="M1238" s="1098"/>
      <c r="N1238" s="1099"/>
      <c r="O1238" s="1099"/>
    </row>
    <row r="1239" spans="2:15">
      <c r="B1239" s="1129"/>
      <c r="C1239" s="1098"/>
      <c r="D1239" s="1099"/>
      <c r="E1239" s="1098"/>
      <c r="F1239" s="1136"/>
      <c r="G1239" s="1099"/>
      <c r="H1239" s="1098"/>
      <c r="I1239" s="1099"/>
      <c r="J1239" s="1140"/>
      <c r="K1239" s="1140"/>
      <c r="L1239" s="1143"/>
      <c r="M1239" s="1098"/>
      <c r="N1239" s="1099"/>
      <c r="O1239" s="1099"/>
    </row>
    <row r="1240" spans="2:15">
      <c r="B1240" s="1129"/>
      <c r="C1240" s="1098"/>
      <c r="D1240" s="1099"/>
      <c r="E1240" s="1098"/>
      <c r="F1240" s="1136"/>
      <c r="G1240" s="1099"/>
      <c r="H1240" s="1098"/>
      <c r="I1240" s="1099"/>
      <c r="J1240" s="1140"/>
      <c r="K1240" s="1140"/>
      <c r="L1240" s="1143"/>
      <c r="M1240" s="1098"/>
      <c r="N1240" s="1099"/>
      <c r="O1240" s="1099"/>
    </row>
    <row r="1241" spans="2:15">
      <c r="B1241" s="1129"/>
      <c r="C1241" s="1098"/>
      <c r="D1241" s="1099"/>
      <c r="E1241" s="1098"/>
      <c r="F1241" s="1136"/>
      <c r="G1241" s="1099"/>
      <c r="H1241" s="1098"/>
      <c r="I1241" s="1099"/>
      <c r="J1241" s="1140"/>
      <c r="K1241" s="1140"/>
      <c r="L1241" s="1143"/>
      <c r="M1241" s="1098"/>
      <c r="N1241" s="1099"/>
      <c r="O1241" s="1099"/>
    </row>
    <row r="1242" spans="2:15">
      <c r="B1242" s="1129"/>
      <c r="C1242" s="1098"/>
      <c r="D1242" s="1099"/>
      <c r="E1242" s="1098"/>
      <c r="F1242" s="1136"/>
      <c r="G1242" s="1099"/>
      <c r="H1242" s="1098"/>
      <c r="I1242" s="1099"/>
      <c r="J1242" s="1140"/>
      <c r="K1242" s="1140"/>
      <c r="L1242" s="1143"/>
      <c r="M1242" s="1098"/>
      <c r="N1242" s="1099"/>
      <c r="O1242" s="1099"/>
    </row>
    <row r="1243" spans="2:15">
      <c r="B1243" s="1129"/>
      <c r="C1243" s="1098"/>
      <c r="D1243" s="1099"/>
      <c r="E1243" s="1098"/>
      <c r="F1243" s="1136"/>
      <c r="G1243" s="1099"/>
      <c r="H1243" s="1098"/>
      <c r="I1243" s="1099"/>
      <c r="J1243" s="1140"/>
      <c r="K1243" s="1140"/>
      <c r="L1243" s="1143"/>
      <c r="M1243" s="1098"/>
      <c r="N1243" s="1099"/>
      <c r="O1243" s="1099"/>
    </row>
    <row r="1244" spans="2:15">
      <c r="B1244" s="1129"/>
      <c r="C1244" s="1098"/>
      <c r="D1244" s="1099"/>
      <c r="E1244" s="1098"/>
      <c r="F1244" s="1136"/>
      <c r="G1244" s="1099"/>
      <c r="H1244" s="1098"/>
      <c r="I1244" s="1099"/>
      <c r="J1244" s="1140"/>
      <c r="K1244" s="1140"/>
      <c r="L1244" s="1143"/>
      <c r="M1244" s="1098"/>
      <c r="N1244" s="1099"/>
      <c r="O1244" s="1099"/>
    </row>
    <row r="1245" spans="2:15">
      <c r="B1245" s="1129"/>
      <c r="C1245" s="1098"/>
      <c r="D1245" s="1099"/>
      <c r="E1245" s="1098"/>
      <c r="F1245" s="1136"/>
      <c r="G1245" s="1099"/>
      <c r="H1245" s="1098"/>
      <c r="I1245" s="1099"/>
      <c r="J1245" s="1140"/>
      <c r="K1245" s="1140"/>
      <c r="L1245" s="1143"/>
      <c r="M1245" s="1098"/>
      <c r="N1245" s="1099"/>
      <c r="O1245" s="1099"/>
    </row>
    <row r="1246" spans="2:15">
      <c r="B1246" s="1129"/>
      <c r="C1246" s="1098"/>
      <c r="D1246" s="1099"/>
      <c r="E1246" s="1098"/>
      <c r="F1246" s="1136"/>
      <c r="G1246" s="1099"/>
      <c r="H1246" s="1098"/>
      <c r="I1246" s="1099"/>
      <c r="J1246" s="1140"/>
      <c r="K1246" s="1140"/>
      <c r="L1246" s="1143"/>
      <c r="M1246" s="1098"/>
      <c r="N1246" s="1099"/>
      <c r="O1246" s="1099"/>
    </row>
    <row r="1247" spans="2:15">
      <c r="B1247" s="1129"/>
      <c r="C1247" s="1098"/>
      <c r="D1247" s="1099"/>
      <c r="E1247" s="1098"/>
      <c r="F1247" s="1136"/>
      <c r="G1247" s="1099"/>
      <c r="H1247" s="1098"/>
      <c r="I1247" s="1099"/>
      <c r="J1247" s="1140"/>
      <c r="K1247" s="1140"/>
      <c r="L1247" s="1143"/>
      <c r="M1247" s="1098"/>
      <c r="N1247" s="1099"/>
      <c r="O1247" s="1099"/>
    </row>
    <row r="1248" spans="2:15">
      <c r="B1248" s="1129"/>
      <c r="C1248" s="1098"/>
      <c r="D1248" s="1099"/>
      <c r="E1248" s="1098"/>
      <c r="F1248" s="1136"/>
      <c r="G1248" s="1099"/>
      <c r="H1248" s="1098"/>
      <c r="I1248" s="1099"/>
      <c r="J1248" s="1140"/>
      <c r="K1248" s="1140"/>
      <c r="L1248" s="1143"/>
      <c r="M1248" s="1098"/>
      <c r="N1248" s="1099"/>
      <c r="O1248" s="1099"/>
    </row>
    <row r="1249" spans="2:15">
      <c r="B1249" s="1129"/>
      <c r="C1249" s="1098"/>
      <c r="D1249" s="1099"/>
      <c r="E1249" s="1098"/>
      <c r="F1249" s="1136"/>
      <c r="G1249" s="1099"/>
      <c r="H1249" s="1098"/>
      <c r="I1249" s="1099"/>
      <c r="J1249" s="1140"/>
      <c r="K1249" s="1140"/>
      <c r="L1249" s="1143"/>
      <c r="M1249" s="1098"/>
      <c r="N1249" s="1099"/>
      <c r="O1249" s="1099"/>
    </row>
    <row r="1250" spans="2:15">
      <c r="B1250" s="1129"/>
      <c r="C1250" s="1098"/>
      <c r="D1250" s="1099"/>
      <c r="E1250" s="1098"/>
      <c r="F1250" s="1136"/>
      <c r="G1250" s="1099"/>
      <c r="H1250" s="1098"/>
      <c r="I1250" s="1099"/>
      <c r="J1250" s="1140"/>
      <c r="K1250" s="1140"/>
      <c r="L1250" s="1143"/>
      <c r="M1250" s="1098"/>
      <c r="N1250" s="1099"/>
      <c r="O1250" s="1099"/>
    </row>
    <row r="1251" spans="2:15">
      <c r="B1251" s="1129"/>
      <c r="C1251" s="1098"/>
      <c r="D1251" s="1099"/>
      <c r="E1251" s="1098"/>
      <c r="F1251" s="1136"/>
      <c r="G1251" s="1099"/>
      <c r="H1251" s="1098"/>
      <c r="I1251" s="1099"/>
      <c r="J1251" s="1140"/>
      <c r="K1251" s="1140"/>
      <c r="L1251" s="1143"/>
      <c r="M1251" s="1098"/>
      <c r="N1251" s="1099"/>
      <c r="O1251" s="1099"/>
    </row>
    <row r="1252" spans="2:15">
      <c r="B1252" s="1129"/>
      <c r="C1252" s="1098"/>
      <c r="D1252" s="1099"/>
      <c r="E1252" s="1098"/>
      <c r="F1252" s="1136"/>
      <c r="G1252" s="1099"/>
      <c r="H1252" s="1098"/>
      <c r="I1252" s="1099"/>
      <c r="J1252" s="1140"/>
      <c r="K1252" s="1140"/>
      <c r="L1252" s="1143"/>
      <c r="M1252" s="1098"/>
      <c r="N1252" s="1099"/>
      <c r="O1252" s="1099"/>
    </row>
    <row r="1253" spans="2:15">
      <c r="B1253" s="1129"/>
      <c r="C1253" s="1098"/>
      <c r="D1253" s="1099"/>
      <c r="E1253" s="1098"/>
      <c r="F1253" s="1136"/>
      <c r="G1253" s="1099"/>
      <c r="H1253" s="1098"/>
      <c r="I1253" s="1099"/>
      <c r="J1253" s="1140"/>
      <c r="K1253" s="1140"/>
      <c r="L1253" s="1143"/>
      <c r="M1253" s="1098"/>
      <c r="N1253" s="1099"/>
      <c r="O1253" s="1099"/>
    </row>
    <row r="1254" spans="2:15">
      <c r="B1254" s="1129"/>
      <c r="C1254" s="1098"/>
      <c r="D1254" s="1099"/>
      <c r="E1254" s="1098"/>
      <c r="F1254" s="1136"/>
      <c r="G1254" s="1099"/>
      <c r="H1254" s="1098"/>
      <c r="I1254" s="1099"/>
      <c r="J1254" s="1140"/>
      <c r="K1254" s="1140"/>
      <c r="L1254" s="1143"/>
      <c r="M1254" s="1098"/>
      <c r="N1254" s="1099"/>
      <c r="O1254" s="1099"/>
    </row>
    <row r="1255" spans="2:15">
      <c r="B1255" s="1129"/>
      <c r="C1255" s="1098"/>
      <c r="D1255" s="1099"/>
      <c r="E1255" s="1098"/>
      <c r="F1255" s="1136"/>
      <c r="G1255" s="1099"/>
      <c r="H1255" s="1098"/>
      <c r="I1255" s="1099"/>
      <c r="J1255" s="1140"/>
      <c r="K1255" s="1140"/>
      <c r="L1255" s="1143"/>
      <c r="M1255" s="1098"/>
      <c r="N1255" s="1099"/>
      <c r="O1255" s="1099"/>
    </row>
    <row r="1256" spans="2:15">
      <c r="B1256" s="1129"/>
      <c r="C1256" s="1098"/>
      <c r="D1256" s="1099"/>
      <c r="E1256" s="1098"/>
      <c r="F1256" s="1136"/>
      <c r="G1256" s="1099"/>
      <c r="H1256" s="1098"/>
      <c r="I1256" s="1099"/>
      <c r="J1256" s="1140"/>
      <c r="K1256" s="1140"/>
      <c r="L1256" s="1143"/>
      <c r="M1256" s="1098"/>
      <c r="N1256" s="1099"/>
      <c r="O1256" s="1099"/>
    </row>
    <row r="1257" spans="2:15">
      <c r="B1257" s="1129"/>
      <c r="C1257" s="1098"/>
      <c r="D1257" s="1099"/>
      <c r="E1257" s="1098"/>
      <c r="F1257" s="1136"/>
      <c r="G1257" s="1099"/>
      <c r="H1257" s="1098"/>
      <c r="I1257" s="1099"/>
      <c r="J1257" s="1140"/>
      <c r="K1257" s="1140"/>
      <c r="L1257" s="1143"/>
      <c r="M1257" s="1098"/>
      <c r="N1257" s="1099"/>
      <c r="O1257" s="1099"/>
    </row>
    <row r="1258" spans="2:15">
      <c r="B1258" s="1129"/>
      <c r="C1258" s="1098"/>
      <c r="D1258" s="1099"/>
      <c r="E1258" s="1098"/>
      <c r="F1258" s="1136"/>
      <c r="G1258" s="1099"/>
      <c r="H1258" s="1098"/>
      <c r="I1258" s="1099"/>
      <c r="J1258" s="1140"/>
      <c r="K1258" s="1140"/>
      <c r="L1258" s="1143"/>
      <c r="M1258" s="1098"/>
      <c r="N1258" s="1099"/>
      <c r="O1258" s="1099"/>
    </row>
    <row r="1259" spans="2:15">
      <c r="B1259" s="1129"/>
      <c r="C1259" s="1098"/>
      <c r="D1259" s="1099"/>
      <c r="E1259" s="1098"/>
      <c r="F1259" s="1136"/>
      <c r="G1259" s="1099"/>
      <c r="H1259" s="1098"/>
      <c r="I1259" s="1099"/>
      <c r="J1259" s="1140"/>
      <c r="K1259" s="1140"/>
      <c r="L1259" s="1143"/>
      <c r="M1259" s="1098"/>
      <c r="N1259" s="1099"/>
      <c r="O1259" s="1099"/>
    </row>
    <row r="1260" spans="2:15">
      <c r="B1260" s="1129"/>
      <c r="C1260" s="1098"/>
      <c r="D1260" s="1099"/>
      <c r="E1260" s="1098"/>
      <c r="F1260" s="1136"/>
      <c r="G1260" s="1099"/>
      <c r="H1260" s="1098"/>
      <c r="I1260" s="1099"/>
      <c r="J1260" s="1140"/>
      <c r="K1260" s="1140"/>
      <c r="L1260" s="1143"/>
      <c r="M1260" s="1098"/>
      <c r="N1260" s="1099"/>
      <c r="O1260" s="1099"/>
    </row>
    <row r="1261" spans="2:15">
      <c r="B1261" s="1129"/>
      <c r="C1261" s="1098"/>
      <c r="D1261" s="1099"/>
      <c r="E1261" s="1098"/>
      <c r="F1261" s="1136"/>
      <c r="G1261" s="1099"/>
      <c r="H1261" s="1098"/>
      <c r="I1261" s="1099"/>
      <c r="J1261" s="1140"/>
      <c r="K1261" s="1140"/>
      <c r="L1261" s="1143"/>
      <c r="M1261" s="1098"/>
      <c r="N1261" s="1099"/>
      <c r="O1261" s="1099"/>
    </row>
    <row r="1262" spans="2:15">
      <c r="B1262" s="1129"/>
      <c r="C1262" s="1098"/>
      <c r="D1262" s="1099"/>
      <c r="E1262" s="1098"/>
      <c r="F1262" s="1136"/>
      <c r="G1262" s="1099"/>
      <c r="H1262" s="1098"/>
      <c r="I1262" s="1099"/>
      <c r="J1262" s="1140"/>
      <c r="K1262" s="1140"/>
      <c r="L1262" s="1143"/>
      <c r="M1262" s="1098"/>
      <c r="N1262" s="1099"/>
      <c r="O1262" s="1099"/>
    </row>
    <row r="1263" spans="2:15">
      <c r="B1263" s="1129"/>
      <c r="C1263" s="1098"/>
      <c r="D1263" s="1099"/>
      <c r="E1263" s="1098"/>
      <c r="F1263" s="1136"/>
      <c r="G1263" s="1099"/>
      <c r="H1263" s="1098"/>
      <c r="I1263" s="1099"/>
      <c r="J1263" s="1140"/>
      <c r="K1263" s="1140"/>
      <c r="L1263" s="1143"/>
      <c r="M1263" s="1098"/>
      <c r="N1263" s="1099"/>
      <c r="O1263" s="1099"/>
    </row>
    <row r="1264" spans="2:15">
      <c r="B1264" s="1129"/>
      <c r="C1264" s="1098"/>
      <c r="D1264" s="1099"/>
      <c r="E1264" s="1098"/>
      <c r="F1264" s="1136"/>
      <c r="G1264" s="1099"/>
      <c r="H1264" s="1098"/>
      <c r="I1264" s="1099"/>
      <c r="J1264" s="1140"/>
      <c r="K1264" s="1140"/>
      <c r="L1264" s="1143"/>
      <c r="M1264" s="1098"/>
      <c r="N1264" s="1099"/>
      <c r="O1264" s="1099"/>
    </row>
    <row r="1265" spans="2:15">
      <c r="B1265" s="1129"/>
      <c r="C1265" s="1098"/>
      <c r="D1265" s="1099"/>
      <c r="E1265" s="1098"/>
      <c r="F1265" s="1136"/>
      <c r="G1265" s="1099"/>
      <c r="H1265" s="1098"/>
      <c r="I1265" s="1099"/>
      <c r="J1265" s="1140"/>
      <c r="K1265" s="1140"/>
      <c r="L1265" s="1143"/>
      <c r="M1265" s="1098"/>
      <c r="N1265" s="1099"/>
      <c r="O1265" s="1099"/>
    </row>
    <row r="1266" spans="2:15">
      <c r="B1266" s="1129"/>
      <c r="C1266" s="1098"/>
      <c r="D1266" s="1099"/>
      <c r="E1266" s="1098"/>
      <c r="F1266" s="1136"/>
      <c r="G1266" s="1099"/>
      <c r="H1266" s="1098"/>
      <c r="I1266" s="1099"/>
      <c r="J1266" s="1140"/>
      <c r="K1266" s="1140"/>
      <c r="L1266" s="1143"/>
      <c r="M1266" s="1098"/>
      <c r="N1266" s="1099"/>
      <c r="O1266" s="1099"/>
    </row>
    <row r="1267" spans="2:15">
      <c r="B1267" s="1129"/>
      <c r="C1267" s="1098"/>
      <c r="D1267" s="1099"/>
      <c r="E1267" s="1098"/>
      <c r="F1267" s="1136"/>
      <c r="G1267" s="1099"/>
      <c r="H1267" s="1098"/>
      <c r="I1267" s="1099"/>
      <c r="J1267" s="1140"/>
      <c r="K1267" s="1140"/>
      <c r="L1267" s="1143"/>
      <c r="M1267" s="1098"/>
      <c r="N1267" s="1099"/>
      <c r="O1267" s="1099"/>
    </row>
    <row r="1268" spans="2:15">
      <c r="B1268" s="1129"/>
      <c r="C1268" s="1098"/>
      <c r="D1268" s="1099"/>
      <c r="E1268" s="1098"/>
      <c r="F1268" s="1136"/>
      <c r="G1268" s="1099"/>
      <c r="H1268" s="1098"/>
      <c r="I1268" s="1099"/>
      <c r="J1268" s="1140"/>
      <c r="K1268" s="1140"/>
      <c r="L1268" s="1143"/>
      <c r="M1268" s="1098"/>
      <c r="N1268" s="1099"/>
      <c r="O1268" s="1099"/>
    </row>
    <row r="1269" spans="2:15">
      <c r="B1269" s="1129"/>
      <c r="C1269" s="1098"/>
      <c r="D1269" s="1099"/>
      <c r="E1269" s="1098"/>
      <c r="F1269" s="1136"/>
      <c r="G1269" s="1099"/>
      <c r="H1269" s="1098"/>
      <c r="I1269" s="1099"/>
      <c r="J1269" s="1140"/>
      <c r="K1269" s="1140"/>
      <c r="L1269" s="1143"/>
      <c r="M1269" s="1098"/>
      <c r="N1269" s="1099"/>
      <c r="O1269" s="1099"/>
    </row>
    <row r="1270" spans="2:15">
      <c r="B1270" s="1129"/>
      <c r="C1270" s="1098"/>
      <c r="D1270" s="1099"/>
      <c r="E1270" s="1098"/>
      <c r="F1270" s="1136"/>
      <c r="G1270" s="1099"/>
      <c r="H1270" s="1098"/>
      <c r="I1270" s="1099"/>
      <c r="J1270" s="1140"/>
      <c r="K1270" s="1140"/>
      <c r="L1270" s="1143"/>
      <c r="M1270" s="1098"/>
      <c r="N1270" s="1099"/>
      <c r="O1270" s="1099"/>
    </row>
    <row r="1271" spans="2:15">
      <c r="B1271" s="1129"/>
      <c r="C1271" s="1098"/>
      <c r="D1271" s="1099"/>
      <c r="E1271" s="1098"/>
      <c r="F1271" s="1136"/>
      <c r="G1271" s="1099"/>
      <c r="H1271" s="1098"/>
      <c r="I1271" s="1099"/>
      <c r="J1271" s="1140"/>
      <c r="K1271" s="1140"/>
      <c r="L1271" s="1143"/>
      <c r="M1271" s="1098"/>
      <c r="N1271" s="1099"/>
      <c r="O1271" s="1099"/>
    </row>
    <row r="1272" spans="2:15">
      <c r="B1272" s="1129"/>
      <c r="C1272" s="1098"/>
      <c r="D1272" s="1099"/>
      <c r="E1272" s="1098"/>
      <c r="F1272" s="1136"/>
      <c r="G1272" s="1099"/>
      <c r="H1272" s="1098"/>
      <c r="I1272" s="1099"/>
      <c r="J1272" s="1140"/>
      <c r="K1272" s="1140"/>
      <c r="L1272" s="1143"/>
      <c r="M1272" s="1098"/>
      <c r="N1272" s="1099"/>
      <c r="O1272" s="1099"/>
    </row>
    <row r="1273" spans="2:15">
      <c r="B1273" s="1129"/>
      <c r="C1273" s="1098"/>
      <c r="D1273" s="1099"/>
      <c r="E1273" s="1098"/>
      <c r="F1273" s="1136"/>
      <c r="G1273" s="1099"/>
      <c r="H1273" s="1098"/>
      <c r="I1273" s="1099"/>
      <c r="J1273" s="1140"/>
      <c r="K1273" s="1140"/>
      <c r="L1273" s="1143"/>
      <c r="M1273" s="1098"/>
      <c r="N1273" s="1099"/>
      <c r="O1273" s="1099"/>
    </row>
    <row r="1274" spans="2:15">
      <c r="B1274" s="1129"/>
      <c r="C1274" s="1098"/>
      <c r="D1274" s="1099"/>
      <c r="E1274" s="1098"/>
      <c r="F1274" s="1136"/>
      <c r="G1274" s="1099"/>
      <c r="H1274" s="1098"/>
      <c r="I1274" s="1099"/>
      <c r="J1274" s="1140"/>
      <c r="K1274" s="1140"/>
      <c r="L1274" s="1143"/>
      <c r="M1274" s="1098"/>
      <c r="N1274" s="1099"/>
      <c r="O1274" s="1099"/>
    </row>
    <row r="1275" spans="2:15">
      <c r="B1275" s="1129"/>
      <c r="C1275" s="1098"/>
      <c r="D1275" s="1099"/>
      <c r="E1275" s="1098"/>
      <c r="F1275" s="1136"/>
      <c r="G1275" s="1099"/>
      <c r="H1275" s="1098"/>
      <c r="I1275" s="1099"/>
      <c r="J1275" s="1140"/>
      <c r="K1275" s="1140"/>
      <c r="L1275" s="1143"/>
      <c r="M1275" s="1098"/>
      <c r="N1275" s="1099"/>
      <c r="O1275" s="1099"/>
    </row>
    <row r="1276" spans="2:15">
      <c r="B1276" s="1129"/>
      <c r="C1276" s="1098"/>
      <c r="D1276" s="1099"/>
      <c r="E1276" s="1098"/>
      <c r="F1276" s="1136"/>
      <c r="G1276" s="1099"/>
      <c r="H1276" s="1098"/>
      <c r="I1276" s="1099"/>
      <c r="J1276" s="1140"/>
      <c r="K1276" s="1140"/>
      <c r="L1276" s="1143"/>
      <c r="M1276" s="1098"/>
      <c r="N1276" s="1099"/>
      <c r="O1276" s="1099"/>
    </row>
    <row r="1277" spans="2:15">
      <c r="B1277" s="1129"/>
      <c r="C1277" s="1098"/>
      <c r="D1277" s="1099"/>
      <c r="E1277" s="1098"/>
      <c r="F1277" s="1136"/>
      <c r="G1277" s="1099"/>
      <c r="H1277" s="1098"/>
      <c r="I1277" s="1099"/>
      <c r="J1277" s="1140"/>
      <c r="K1277" s="1140"/>
      <c r="L1277" s="1143"/>
      <c r="M1277" s="1098"/>
      <c r="N1277" s="1099"/>
      <c r="O1277" s="1099"/>
    </row>
    <row r="1278" spans="2:15">
      <c r="B1278" s="1129"/>
      <c r="C1278" s="1098"/>
      <c r="D1278" s="1099"/>
      <c r="E1278" s="1098"/>
      <c r="F1278" s="1136"/>
      <c r="G1278" s="1099"/>
      <c r="H1278" s="1098"/>
      <c r="I1278" s="1099"/>
      <c r="J1278" s="1140"/>
      <c r="K1278" s="1140"/>
      <c r="L1278" s="1143"/>
      <c r="M1278" s="1098"/>
      <c r="N1278" s="1099"/>
      <c r="O1278" s="1099"/>
    </row>
    <row r="1279" spans="2:15">
      <c r="B1279" s="1129"/>
      <c r="C1279" s="1098"/>
      <c r="D1279" s="1099"/>
      <c r="E1279" s="1098"/>
      <c r="F1279" s="1136"/>
      <c r="G1279" s="1099"/>
      <c r="H1279" s="1098"/>
      <c r="I1279" s="1099"/>
      <c r="J1279" s="1140"/>
      <c r="K1279" s="1140"/>
      <c r="L1279" s="1143"/>
      <c r="M1279" s="1098"/>
      <c r="N1279" s="1099"/>
      <c r="O1279" s="1099"/>
    </row>
    <row r="1280" spans="2:15">
      <c r="B1280" s="1129"/>
      <c r="C1280" s="1098"/>
      <c r="D1280" s="1099"/>
      <c r="E1280" s="1098"/>
      <c r="F1280" s="1136"/>
      <c r="G1280" s="1099"/>
      <c r="H1280" s="1098"/>
      <c r="I1280" s="1099"/>
      <c r="J1280" s="1140"/>
      <c r="K1280" s="1140"/>
      <c r="L1280" s="1143"/>
      <c r="M1280" s="1098"/>
      <c r="N1280" s="1099"/>
      <c r="O1280" s="1099"/>
    </row>
    <row r="1281" spans="2:15">
      <c r="B1281" s="1129"/>
      <c r="C1281" s="1098"/>
      <c r="D1281" s="1099"/>
      <c r="E1281" s="1098"/>
      <c r="F1281" s="1136"/>
      <c r="G1281" s="1099"/>
      <c r="H1281" s="1098"/>
      <c r="I1281" s="1099"/>
      <c r="J1281" s="1140"/>
      <c r="K1281" s="1140"/>
      <c r="L1281" s="1143"/>
      <c r="M1281" s="1098"/>
      <c r="N1281" s="1099"/>
      <c r="O1281" s="1099"/>
    </row>
    <row r="1282" spans="2:15">
      <c r="B1282" s="1129"/>
      <c r="C1282" s="1098"/>
      <c r="D1282" s="1099"/>
      <c r="E1282" s="1098"/>
      <c r="F1282" s="1136"/>
      <c r="G1282" s="1099"/>
      <c r="H1282" s="1098"/>
      <c r="I1282" s="1099"/>
      <c r="J1282" s="1140"/>
      <c r="K1282" s="1140"/>
      <c r="L1282" s="1143"/>
      <c r="M1282" s="1098"/>
      <c r="N1282" s="1099"/>
      <c r="O1282" s="1099"/>
    </row>
    <row r="1283" spans="2:15">
      <c r="B1283" s="1129"/>
      <c r="C1283" s="1098"/>
      <c r="D1283" s="1099"/>
      <c r="E1283" s="1098"/>
      <c r="F1283" s="1136"/>
      <c r="G1283" s="1099"/>
      <c r="H1283" s="1098"/>
      <c r="I1283" s="1099"/>
      <c r="J1283" s="1140"/>
      <c r="K1283" s="1140"/>
      <c r="L1283" s="1143"/>
      <c r="M1283" s="1098"/>
      <c r="N1283" s="1099"/>
      <c r="O1283" s="1099"/>
    </row>
    <row r="1284" spans="2:15">
      <c r="B1284" s="1129"/>
      <c r="C1284" s="1098"/>
      <c r="D1284" s="1099"/>
      <c r="E1284" s="1098"/>
      <c r="F1284" s="1136"/>
      <c r="G1284" s="1099"/>
      <c r="H1284" s="1098"/>
      <c r="I1284" s="1099"/>
      <c r="J1284" s="1140"/>
      <c r="K1284" s="1140"/>
      <c r="L1284" s="1143"/>
      <c r="M1284" s="1098"/>
      <c r="N1284" s="1099"/>
      <c r="O1284" s="1099"/>
    </row>
    <row r="1285" spans="2:15">
      <c r="B1285" s="1129"/>
      <c r="C1285" s="1098"/>
      <c r="D1285" s="1099"/>
      <c r="E1285" s="1098"/>
      <c r="F1285" s="1136"/>
      <c r="G1285" s="1099"/>
      <c r="H1285" s="1098"/>
      <c r="I1285" s="1099"/>
      <c r="J1285" s="1140"/>
      <c r="K1285" s="1140"/>
      <c r="L1285" s="1143"/>
      <c r="M1285" s="1098"/>
      <c r="N1285" s="1099"/>
      <c r="O1285" s="1099"/>
    </row>
    <row r="1286" spans="2:15">
      <c r="B1286" s="1129"/>
      <c r="C1286" s="1098"/>
      <c r="D1286" s="1099"/>
      <c r="E1286" s="1098"/>
      <c r="F1286" s="1136"/>
      <c r="G1286" s="1099"/>
      <c r="H1286" s="1098"/>
      <c r="I1286" s="1099"/>
      <c r="J1286" s="1140"/>
      <c r="K1286" s="1140"/>
      <c r="L1286" s="1143"/>
      <c r="M1286" s="1098"/>
      <c r="N1286" s="1099"/>
      <c r="O1286" s="1099"/>
    </row>
    <row r="1287" spans="2:15">
      <c r="B1287" s="1129"/>
      <c r="C1287" s="1098"/>
      <c r="D1287" s="1099"/>
      <c r="E1287" s="1098"/>
      <c r="F1287" s="1136"/>
      <c r="G1287" s="1099"/>
      <c r="H1287" s="1098"/>
      <c r="I1287" s="1099"/>
      <c r="J1287" s="1140"/>
      <c r="K1287" s="1140"/>
      <c r="L1287" s="1143"/>
      <c r="M1287" s="1098"/>
      <c r="N1287" s="1099"/>
      <c r="O1287" s="1099"/>
    </row>
    <row r="1288" spans="2:15">
      <c r="B1288" s="1129"/>
      <c r="C1288" s="1098"/>
      <c r="D1288" s="1099"/>
      <c r="E1288" s="1098"/>
      <c r="F1288" s="1136"/>
      <c r="G1288" s="1099"/>
      <c r="H1288" s="1098"/>
      <c r="I1288" s="1099"/>
      <c r="J1288" s="1140"/>
      <c r="K1288" s="1140"/>
      <c r="L1288" s="1143"/>
      <c r="M1288" s="1098"/>
      <c r="N1288" s="1099"/>
      <c r="O1288" s="1099"/>
    </row>
    <row r="1289" spans="2:15">
      <c r="B1289" s="1129"/>
      <c r="C1289" s="1098"/>
      <c r="D1289" s="1099"/>
      <c r="E1289" s="1098"/>
      <c r="F1289" s="1136"/>
      <c r="G1289" s="1099"/>
      <c r="H1289" s="1098"/>
      <c r="I1289" s="1099"/>
      <c r="J1289" s="1140"/>
      <c r="K1289" s="1140"/>
      <c r="L1289" s="1143"/>
      <c r="M1289" s="1098"/>
      <c r="N1289" s="1099"/>
      <c r="O1289" s="1099"/>
    </row>
    <row r="1290" spans="2:15">
      <c r="B1290" s="1129"/>
      <c r="C1290" s="1098"/>
      <c r="D1290" s="1099"/>
      <c r="E1290" s="1098"/>
      <c r="F1290" s="1136"/>
      <c r="G1290" s="1099"/>
      <c r="H1290" s="1098"/>
      <c r="I1290" s="1099"/>
      <c r="J1290" s="1140"/>
      <c r="K1290" s="1140"/>
      <c r="L1290" s="1143"/>
      <c r="M1290" s="1098"/>
      <c r="N1290" s="1099"/>
      <c r="O1290" s="1099"/>
    </row>
    <row r="1291" spans="2:15">
      <c r="B1291" s="1129"/>
      <c r="C1291" s="1098"/>
      <c r="D1291" s="1099"/>
      <c r="E1291" s="1098"/>
      <c r="F1291" s="1136"/>
      <c r="G1291" s="1099"/>
      <c r="H1291" s="1098"/>
      <c r="I1291" s="1099"/>
      <c r="J1291" s="1140"/>
      <c r="K1291" s="1140"/>
      <c r="L1291" s="1143"/>
      <c r="M1291" s="1098"/>
      <c r="N1291" s="1099"/>
      <c r="O1291" s="1099"/>
    </row>
    <row r="1292" spans="2:15">
      <c r="B1292" s="1129"/>
      <c r="C1292" s="1098"/>
      <c r="D1292" s="1099"/>
      <c r="E1292" s="1098"/>
      <c r="F1292" s="1136"/>
      <c r="G1292" s="1099"/>
      <c r="H1292" s="1098"/>
      <c r="I1292" s="1099"/>
      <c r="J1292" s="1140"/>
      <c r="K1292" s="1140"/>
      <c r="L1292" s="1143"/>
      <c r="M1292" s="1098"/>
      <c r="N1292" s="1099"/>
      <c r="O1292" s="1099"/>
    </row>
    <row r="1293" spans="2:15">
      <c r="B1293" s="1129"/>
      <c r="C1293" s="1098"/>
      <c r="D1293" s="1099"/>
      <c r="E1293" s="1098"/>
      <c r="F1293" s="1136"/>
      <c r="G1293" s="1099"/>
      <c r="H1293" s="1098"/>
      <c r="I1293" s="1099"/>
      <c r="J1293" s="1140"/>
      <c r="K1293" s="1140"/>
      <c r="L1293" s="1143"/>
      <c r="M1293" s="1098"/>
      <c r="N1293" s="1099"/>
      <c r="O1293" s="1099"/>
    </row>
    <row r="1294" spans="2:15">
      <c r="B1294" s="1129"/>
      <c r="C1294" s="1098"/>
      <c r="D1294" s="1099"/>
      <c r="E1294" s="1098"/>
      <c r="F1294" s="1136"/>
      <c r="G1294" s="1099"/>
      <c r="H1294" s="1098"/>
      <c r="I1294" s="1099"/>
      <c r="J1294" s="1140"/>
      <c r="K1294" s="1140"/>
      <c r="L1294" s="1143"/>
      <c r="M1294" s="1098"/>
      <c r="N1294" s="1099"/>
      <c r="O1294" s="1099"/>
    </row>
    <row r="1295" spans="2:15">
      <c r="B1295" s="1129"/>
      <c r="C1295" s="1098"/>
      <c r="D1295" s="1099"/>
      <c r="E1295" s="1098"/>
      <c r="F1295" s="1136"/>
      <c r="G1295" s="1099"/>
      <c r="H1295" s="1098"/>
      <c r="I1295" s="1099"/>
      <c r="J1295" s="1140"/>
      <c r="K1295" s="1140"/>
      <c r="L1295" s="1143"/>
      <c r="M1295" s="1098"/>
      <c r="N1295" s="1099"/>
      <c r="O1295" s="1099"/>
    </row>
    <row r="1296" spans="2:15">
      <c r="B1296" s="1129"/>
      <c r="C1296" s="1098"/>
      <c r="D1296" s="1099"/>
      <c r="E1296" s="1098"/>
      <c r="F1296" s="1136"/>
      <c r="G1296" s="1099"/>
      <c r="H1296" s="1098"/>
      <c r="I1296" s="1099"/>
      <c r="J1296" s="1140"/>
      <c r="K1296" s="1140"/>
      <c r="L1296" s="1143"/>
      <c r="M1296" s="1098"/>
      <c r="N1296" s="1099"/>
      <c r="O1296" s="1099"/>
    </row>
    <row r="1297" spans="2:15">
      <c r="B1297" s="1129"/>
      <c r="C1297" s="1098"/>
      <c r="D1297" s="1099"/>
      <c r="E1297" s="1098"/>
      <c r="F1297" s="1136"/>
      <c r="G1297" s="1099"/>
      <c r="H1297" s="1098"/>
      <c r="I1297" s="1099"/>
      <c r="J1297" s="1140"/>
      <c r="K1297" s="1140"/>
      <c r="L1297" s="1143"/>
      <c r="M1297" s="1098"/>
      <c r="N1297" s="1099"/>
      <c r="O1297" s="1099"/>
    </row>
    <row r="1298" spans="2:15">
      <c r="B1298" s="1129"/>
      <c r="C1298" s="1098"/>
      <c r="D1298" s="1099"/>
      <c r="E1298" s="1098"/>
      <c r="F1298" s="1136"/>
      <c r="G1298" s="1099"/>
      <c r="H1298" s="1098"/>
      <c r="I1298" s="1099"/>
      <c r="J1298" s="1140"/>
      <c r="K1298" s="1140"/>
      <c r="L1298" s="1143"/>
      <c r="M1298" s="1098"/>
      <c r="N1298" s="1099"/>
      <c r="O1298" s="1099"/>
    </row>
    <row r="1299" spans="2:15">
      <c r="B1299" s="1129"/>
      <c r="C1299" s="1098"/>
      <c r="D1299" s="1099"/>
      <c r="E1299" s="1098"/>
      <c r="F1299" s="1136"/>
      <c r="G1299" s="1099"/>
      <c r="H1299" s="1098"/>
      <c r="I1299" s="1099"/>
      <c r="J1299" s="1140"/>
      <c r="K1299" s="1140"/>
      <c r="L1299" s="1143"/>
      <c r="M1299" s="1098"/>
      <c r="N1299" s="1099"/>
      <c r="O1299" s="1099"/>
    </row>
    <row r="1300" spans="2:15">
      <c r="B1300" s="1129"/>
      <c r="C1300" s="1098"/>
      <c r="D1300" s="1099"/>
      <c r="E1300" s="1098"/>
      <c r="F1300" s="1136"/>
      <c r="G1300" s="1099"/>
      <c r="H1300" s="1098"/>
      <c r="I1300" s="1099"/>
      <c r="J1300" s="1140"/>
      <c r="K1300" s="1140"/>
      <c r="L1300" s="1143"/>
      <c r="M1300" s="1098"/>
      <c r="N1300" s="1099"/>
      <c r="O1300" s="1099"/>
    </row>
    <row r="1301" spans="2:15">
      <c r="B1301" s="1129"/>
      <c r="C1301" s="1098"/>
      <c r="D1301" s="1099"/>
      <c r="E1301" s="1098"/>
      <c r="F1301" s="1136"/>
      <c r="G1301" s="1099"/>
      <c r="H1301" s="1098"/>
      <c r="I1301" s="1099"/>
      <c r="J1301" s="1140"/>
      <c r="K1301" s="1140"/>
      <c r="L1301" s="1143"/>
      <c r="M1301" s="1098"/>
      <c r="N1301" s="1099"/>
      <c r="O1301" s="1099"/>
    </row>
    <row r="1302" spans="2:15">
      <c r="B1302" s="1129"/>
      <c r="C1302" s="1098"/>
      <c r="D1302" s="1099"/>
      <c r="E1302" s="1098"/>
      <c r="F1302" s="1136"/>
      <c r="G1302" s="1099"/>
      <c r="H1302" s="1098"/>
      <c r="I1302" s="1099"/>
      <c r="J1302" s="1140"/>
      <c r="K1302" s="1140"/>
      <c r="L1302" s="1143"/>
      <c r="M1302" s="1098"/>
      <c r="N1302" s="1099"/>
      <c r="O1302" s="1099"/>
    </row>
    <row r="1303" spans="2:15">
      <c r="B1303" s="1129"/>
      <c r="C1303" s="1098"/>
      <c r="D1303" s="1099"/>
      <c r="E1303" s="1098"/>
      <c r="F1303" s="1136"/>
      <c r="G1303" s="1099"/>
      <c r="H1303" s="1098"/>
      <c r="I1303" s="1099"/>
      <c r="J1303" s="1140"/>
      <c r="K1303" s="1140"/>
      <c r="L1303" s="1143"/>
      <c r="M1303" s="1098"/>
      <c r="N1303" s="1099"/>
      <c r="O1303" s="1099"/>
    </row>
    <row r="1304" spans="2:15">
      <c r="B1304" s="1129"/>
      <c r="C1304" s="1098"/>
      <c r="D1304" s="1099"/>
      <c r="E1304" s="1098"/>
      <c r="F1304" s="1136"/>
      <c r="G1304" s="1099"/>
      <c r="H1304" s="1098"/>
      <c r="I1304" s="1099"/>
      <c r="J1304" s="1140"/>
      <c r="K1304" s="1140"/>
      <c r="L1304" s="1143"/>
      <c r="M1304" s="1098"/>
      <c r="N1304" s="1099"/>
      <c r="O1304" s="1099"/>
    </row>
    <row r="1305" spans="2:15">
      <c r="B1305" s="1129"/>
      <c r="C1305" s="1098"/>
      <c r="D1305" s="1099"/>
      <c r="E1305" s="1098"/>
      <c r="F1305" s="1136"/>
      <c r="G1305" s="1099"/>
      <c r="H1305" s="1098"/>
      <c r="I1305" s="1099"/>
      <c r="J1305" s="1140"/>
      <c r="K1305" s="1140"/>
      <c r="L1305" s="1143"/>
      <c r="M1305" s="1098"/>
      <c r="N1305" s="1099"/>
      <c r="O1305" s="1099"/>
    </row>
    <row r="1306" spans="2:15">
      <c r="B1306" s="1129"/>
      <c r="C1306" s="1098"/>
      <c r="D1306" s="1099"/>
      <c r="E1306" s="1098"/>
      <c r="F1306" s="1136"/>
      <c r="G1306" s="1099"/>
      <c r="H1306" s="1098"/>
      <c r="I1306" s="1099"/>
      <c r="J1306" s="1140"/>
      <c r="K1306" s="1140"/>
      <c r="L1306" s="1143"/>
      <c r="M1306" s="1098"/>
      <c r="N1306" s="1099"/>
      <c r="O1306" s="1099"/>
    </row>
    <row r="1307" spans="2:15">
      <c r="B1307" s="1129"/>
      <c r="C1307" s="1098"/>
      <c r="D1307" s="1099"/>
      <c r="E1307" s="1098"/>
      <c r="F1307" s="1136"/>
      <c r="G1307" s="1099"/>
      <c r="H1307" s="1098"/>
      <c r="I1307" s="1099"/>
      <c r="J1307" s="1140"/>
      <c r="K1307" s="1140"/>
      <c r="L1307" s="1143"/>
      <c r="M1307" s="1098"/>
      <c r="N1307" s="1099"/>
      <c r="O1307" s="1099"/>
    </row>
    <row r="1308" spans="2:15">
      <c r="B1308" s="1129"/>
      <c r="C1308" s="1098"/>
      <c r="D1308" s="1099"/>
      <c r="E1308" s="1098"/>
      <c r="F1308" s="1136"/>
      <c r="G1308" s="1099"/>
      <c r="H1308" s="1098"/>
      <c r="I1308" s="1099"/>
      <c r="J1308" s="1140"/>
      <c r="K1308" s="1140"/>
      <c r="L1308" s="1143"/>
      <c r="M1308" s="1098"/>
      <c r="N1308" s="1099"/>
      <c r="O1308" s="1099"/>
    </row>
    <row r="1309" spans="2:15">
      <c r="B1309" s="1129"/>
      <c r="C1309" s="1098"/>
      <c r="D1309" s="1099"/>
      <c r="E1309" s="1098"/>
      <c r="F1309" s="1136"/>
      <c r="G1309" s="1099"/>
      <c r="H1309" s="1098"/>
      <c r="I1309" s="1099"/>
      <c r="J1309" s="1140"/>
      <c r="K1309" s="1140"/>
      <c r="L1309" s="1143"/>
      <c r="M1309" s="1098"/>
      <c r="N1309" s="1099"/>
      <c r="O1309" s="1099"/>
    </row>
    <row r="1310" spans="2:15">
      <c r="B1310" s="1129"/>
      <c r="C1310" s="1098"/>
      <c r="D1310" s="1099"/>
      <c r="E1310" s="1098"/>
      <c r="F1310" s="1136"/>
      <c r="G1310" s="1099"/>
      <c r="H1310" s="1098"/>
      <c r="I1310" s="1099"/>
      <c r="J1310" s="1140"/>
      <c r="K1310" s="1140"/>
      <c r="L1310" s="1143"/>
      <c r="M1310" s="1098"/>
      <c r="N1310" s="1099"/>
      <c r="O1310" s="1099"/>
    </row>
    <row r="1311" spans="2:15">
      <c r="B1311" s="1129"/>
      <c r="C1311" s="1098"/>
      <c r="D1311" s="1099"/>
      <c r="E1311" s="1098"/>
      <c r="F1311" s="1136"/>
      <c r="G1311" s="1099"/>
      <c r="H1311" s="1098"/>
      <c r="I1311" s="1099"/>
      <c r="J1311" s="1140"/>
      <c r="K1311" s="1140"/>
      <c r="L1311" s="1143"/>
      <c r="M1311" s="1098"/>
      <c r="N1311" s="1099"/>
      <c r="O1311" s="1099"/>
    </row>
    <row r="1312" spans="2:15">
      <c r="B1312" s="1129"/>
      <c r="C1312" s="1098"/>
      <c r="D1312" s="1099"/>
      <c r="E1312" s="1098"/>
      <c r="F1312" s="1136"/>
      <c r="G1312" s="1099"/>
      <c r="H1312" s="1098"/>
      <c r="I1312" s="1099"/>
      <c r="J1312" s="1140"/>
      <c r="K1312" s="1140"/>
      <c r="L1312" s="1143"/>
      <c r="M1312" s="1098"/>
      <c r="N1312" s="1099"/>
      <c r="O1312" s="1099"/>
    </row>
    <row r="1313" spans="2:15">
      <c r="B1313" s="1129"/>
      <c r="C1313" s="1098"/>
      <c r="D1313" s="1099"/>
      <c r="E1313" s="1098"/>
      <c r="F1313" s="1136"/>
      <c r="G1313" s="1099"/>
      <c r="H1313" s="1098"/>
      <c r="I1313" s="1099"/>
      <c r="J1313" s="1140"/>
      <c r="K1313" s="1140"/>
      <c r="L1313" s="1143"/>
      <c r="M1313" s="1098"/>
      <c r="N1313" s="1099"/>
      <c r="O1313" s="1099"/>
    </row>
    <row r="1314" spans="2:15">
      <c r="B1314" s="1129"/>
      <c r="C1314" s="1098"/>
      <c r="D1314" s="1099"/>
      <c r="E1314" s="1098"/>
      <c r="F1314" s="1136"/>
      <c r="G1314" s="1099"/>
      <c r="H1314" s="1098"/>
      <c r="I1314" s="1099"/>
      <c r="J1314" s="1140"/>
      <c r="K1314" s="1140"/>
      <c r="L1314" s="1143"/>
      <c r="M1314" s="1098"/>
      <c r="N1314" s="1099"/>
      <c r="O1314" s="1099"/>
    </row>
    <row r="1315" spans="2:15">
      <c r="B1315" s="1129"/>
      <c r="C1315" s="1098"/>
      <c r="D1315" s="1099"/>
      <c r="E1315" s="1098"/>
      <c r="F1315" s="1136"/>
      <c r="G1315" s="1099"/>
      <c r="H1315" s="1098"/>
      <c r="I1315" s="1099"/>
      <c r="J1315" s="1140"/>
      <c r="K1315" s="1140"/>
      <c r="L1315" s="1143"/>
      <c r="M1315" s="1098"/>
      <c r="N1315" s="1099"/>
      <c r="O1315" s="1099"/>
    </row>
    <row r="1316" spans="2:15">
      <c r="B1316" s="1129"/>
      <c r="C1316" s="1098"/>
      <c r="D1316" s="1099"/>
      <c r="E1316" s="1098"/>
      <c r="F1316" s="1136"/>
      <c r="G1316" s="1099"/>
      <c r="H1316" s="1098"/>
      <c r="I1316" s="1099"/>
      <c r="J1316" s="1140"/>
      <c r="K1316" s="1140"/>
      <c r="L1316" s="1143"/>
      <c r="M1316" s="1098"/>
      <c r="N1316" s="1099"/>
      <c r="O1316" s="1099"/>
    </row>
    <row r="1317" spans="2:15">
      <c r="B1317" s="1129"/>
      <c r="C1317" s="1098"/>
      <c r="D1317" s="1099"/>
      <c r="E1317" s="1098"/>
      <c r="F1317" s="1136"/>
      <c r="G1317" s="1099"/>
      <c r="H1317" s="1098"/>
      <c r="I1317" s="1099"/>
      <c r="J1317" s="1140"/>
      <c r="K1317" s="1140"/>
      <c r="L1317" s="1143"/>
      <c r="M1317" s="1098"/>
      <c r="N1317" s="1099"/>
      <c r="O1317" s="1099"/>
    </row>
    <row r="1318" spans="2:15">
      <c r="B1318" s="1129"/>
      <c r="C1318" s="1098"/>
      <c r="D1318" s="1099"/>
      <c r="E1318" s="1098"/>
      <c r="F1318" s="1136"/>
      <c r="G1318" s="1099"/>
      <c r="H1318" s="1098"/>
      <c r="I1318" s="1099"/>
      <c r="J1318" s="1140"/>
      <c r="K1318" s="1140"/>
      <c r="L1318" s="1143"/>
      <c r="M1318" s="1098"/>
      <c r="N1318" s="1099"/>
      <c r="O1318" s="1099"/>
    </row>
    <row r="1319" spans="2:15">
      <c r="B1319" s="1129"/>
      <c r="C1319" s="1098"/>
      <c r="D1319" s="1099"/>
      <c r="E1319" s="1098"/>
      <c r="F1319" s="1136"/>
      <c r="G1319" s="1099"/>
      <c r="H1319" s="1098"/>
      <c r="I1319" s="1099"/>
      <c r="J1319" s="1140"/>
      <c r="K1319" s="1140"/>
      <c r="L1319" s="1143"/>
      <c r="M1319" s="1098"/>
      <c r="N1319" s="1099"/>
      <c r="O1319" s="1099"/>
    </row>
    <row r="1320" spans="2:15">
      <c r="B1320" s="1129"/>
      <c r="C1320" s="1098"/>
      <c r="D1320" s="1099"/>
      <c r="E1320" s="1098"/>
      <c r="F1320" s="1136"/>
      <c r="G1320" s="1099"/>
      <c r="H1320" s="1098"/>
      <c r="I1320" s="1099"/>
      <c r="J1320" s="1140"/>
      <c r="K1320" s="1140"/>
      <c r="L1320" s="1143"/>
      <c r="M1320" s="1098"/>
      <c r="N1320" s="1099"/>
      <c r="O1320" s="1099"/>
    </row>
    <row r="1321" spans="2:15">
      <c r="B1321" s="1129"/>
      <c r="C1321" s="1098"/>
      <c r="D1321" s="1099"/>
      <c r="E1321" s="1098"/>
      <c r="F1321" s="1136"/>
      <c r="G1321" s="1099"/>
      <c r="H1321" s="1098"/>
      <c r="I1321" s="1099"/>
      <c r="J1321" s="1140"/>
      <c r="K1321" s="1140"/>
      <c r="L1321" s="1143"/>
      <c r="M1321" s="1098"/>
      <c r="N1321" s="1099"/>
      <c r="O1321" s="1099"/>
    </row>
    <row r="1322" spans="2:15">
      <c r="B1322" s="1129"/>
      <c r="C1322" s="1098"/>
      <c r="D1322" s="1099"/>
      <c r="E1322" s="1098"/>
      <c r="F1322" s="1136"/>
      <c r="G1322" s="1099"/>
      <c r="H1322" s="1098"/>
      <c r="I1322" s="1099"/>
      <c r="J1322" s="1140"/>
      <c r="K1322" s="1140"/>
      <c r="L1322" s="1143"/>
      <c r="M1322" s="1098"/>
      <c r="N1322" s="1099"/>
      <c r="O1322" s="1099"/>
    </row>
    <row r="1323" spans="2:15">
      <c r="B1323" s="1129"/>
      <c r="C1323" s="1098"/>
      <c r="D1323" s="1099"/>
      <c r="E1323" s="1098"/>
      <c r="F1323" s="1136"/>
      <c r="G1323" s="1099"/>
      <c r="H1323" s="1098"/>
      <c r="I1323" s="1099"/>
      <c r="J1323" s="1140"/>
      <c r="K1323" s="1140"/>
      <c r="L1323" s="1143"/>
      <c r="M1323" s="1098"/>
      <c r="N1323" s="1099"/>
      <c r="O1323" s="1099"/>
    </row>
    <row r="1324" spans="2:15">
      <c r="B1324" s="1129"/>
      <c r="C1324" s="1098"/>
      <c r="D1324" s="1099"/>
      <c r="E1324" s="1098"/>
      <c r="F1324" s="1136"/>
      <c r="G1324" s="1099"/>
      <c r="H1324" s="1098"/>
      <c r="I1324" s="1099"/>
      <c r="J1324" s="1140"/>
      <c r="K1324" s="1140"/>
      <c r="L1324" s="1143"/>
      <c r="M1324" s="1098"/>
      <c r="N1324" s="1099"/>
      <c r="O1324" s="1099"/>
    </row>
    <row r="1325" spans="2:15">
      <c r="B1325" s="1129"/>
      <c r="C1325" s="1098"/>
      <c r="D1325" s="1099"/>
      <c r="E1325" s="1098"/>
      <c r="F1325" s="1136"/>
      <c r="G1325" s="1099"/>
      <c r="H1325" s="1098"/>
      <c r="I1325" s="1099"/>
      <c r="J1325" s="1140"/>
      <c r="K1325" s="1140"/>
      <c r="L1325" s="1143"/>
      <c r="M1325" s="1098"/>
      <c r="N1325" s="1099"/>
      <c r="O1325" s="1099"/>
    </row>
    <row r="1326" spans="2:15">
      <c r="B1326" s="1129"/>
      <c r="C1326" s="1098"/>
      <c r="D1326" s="1099"/>
      <c r="E1326" s="1098"/>
      <c r="F1326" s="1136"/>
      <c r="G1326" s="1099"/>
      <c r="H1326" s="1098"/>
      <c r="I1326" s="1099"/>
      <c r="J1326" s="1140"/>
      <c r="K1326" s="1140"/>
      <c r="L1326" s="1143"/>
      <c r="M1326" s="1098"/>
      <c r="N1326" s="1099"/>
      <c r="O1326" s="1099"/>
    </row>
    <row r="1327" spans="2:15">
      <c r="B1327" s="1129"/>
      <c r="C1327" s="1098"/>
      <c r="D1327" s="1099"/>
      <c r="E1327" s="1098"/>
      <c r="F1327" s="1136"/>
      <c r="G1327" s="1099"/>
      <c r="H1327" s="1098"/>
      <c r="I1327" s="1099"/>
      <c r="J1327" s="1140"/>
      <c r="K1327" s="1140"/>
      <c r="L1327" s="1143"/>
      <c r="M1327" s="1098"/>
      <c r="N1327" s="1099"/>
      <c r="O1327" s="1099"/>
    </row>
    <row r="1328" spans="2:15">
      <c r="B1328" s="1129"/>
      <c r="C1328" s="1098"/>
      <c r="D1328" s="1099"/>
      <c r="E1328" s="1098"/>
      <c r="F1328" s="1136"/>
      <c r="G1328" s="1099"/>
      <c r="H1328" s="1098"/>
      <c r="I1328" s="1099"/>
      <c r="J1328" s="1140"/>
      <c r="K1328" s="1140"/>
      <c r="L1328" s="1143"/>
      <c r="M1328" s="1098"/>
      <c r="N1328" s="1099"/>
      <c r="O1328" s="1099"/>
    </row>
    <row r="1329" spans="2:15">
      <c r="B1329" s="1129"/>
      <c r="C1329" s="1098"/>
      <c r="D1329" s="1099"/>
      <c r="E1329" s="1098"/>
      <c r="F1329" s="1136"/>
      <c r="G1329" s="1099"/>
      <c r="H1329" s="1098"/>
      <c r="I1329" s="1099"/>
      <c r="J1329" s="1140"/>
      <c r="K1329" s="1140"/>
      <c r="L1329" s="1143"/>
      <c r="M1329" s="1098"/>
      <c r="N1329" s="1099"/>
      <c r="O1329" s="1099"/>
    </row>
    <row r="1330" spans="2:15">
      <c r="B1330" s="1129"/>
      <c r="C1330" s="1098"/>
      <c r="D1330" s="1099"/>
      <c r="E1330" s="1098"/>
      <c r="F1330" s="1136"/>
      <c r="G1330" s="1099"/>
      <c r="H1330" s="1098"/>
      <c r="I1330" s="1099"/>
      <c r="J1330" s="1140"/>
      <c r="K1330" s="1140"/>
      <c r="L1330" s="1143"/>
      <c r="M1330" s="1098"/>
      <c r="N1330" s="1099"/>
      <c r="O1330" s="1099"/>
    </row>
    <row r="1331" spans="2:15">
      <c r="B1331" s="1129"/>
      <c r="C1331" s="1098"/>
      <c r="D1331" s="1099"/>
      <c r="E1331" s="1098"/>
      <c r="F1331" s="1136"/>
      <c r="G1331" s="1099"/>
      <c r="H1331" s="1098"/>
      <c r="I1331" s="1099"/>
      <c r="J1331" s="1140"/>
      <c r="K1331" s="1140"/>
      <c r="L1331" s="1143"/>
      <c r="M1331" s="1098"/>
      <c r="N1331" s="1099"/>
      <c r="O1331" s="1099"/>
    </row>
    <row r="1332" spans="2:15">
      <c r="B1332" s="1129"/>
      <c r="C1332" s="1098"/>
      <c r="D1332" s="1099"/>
      <c r="E1332" s="1098"/>
      <c r="F1332" s="1136"/>
      <c r="G1332" s="1099"/>
      <c r="H1332" s="1098"/>
      <c r="I1332" s="1099"/>
      <c r="J1332" s="1140"/>
      <c r="K1332" s="1140"/>
      <c r="L1332" s="1143"/>
      <c r="M1332" s="1098"/>
      <c r="N1332" s="1099"/>
      <c r="O1332" s="1099"/>
    </row>
    <row r="1333" spans="2:15">
      <c r="B1333" s="1129"/>
      <c r="C1333" s="1098"/>
      <c r="D1333" s="1099"/>
      <c r="E1333" s="1098"/>
      <c r="F1333" s="1136"/>
      <c r="G1333" s="1099"/>
      <c r="H1333" s="1098"/>
      <c r="I1333" s="1099"/>
      <c r="J1333" s="1140"/>
      <c r="K1333" s="1140"/>
      <c r="L1333" s="1143"/>
      <c r="M1333" s="1098"/>
      <c r="N1333" s="1099"/>
      <c r="O1333" s="1099"/>
    </row>
    <row r="1334" spans="2:15">
      <c r="B1334" s="1129"/>
      <c r="C1334" s="1098"/>
      <c r="D1334" s="1099"/>
      <c r="E1334" s="1098"/>
      <c r="F1334" s="1136"/>
      <c r="G1334" s="1099"/>
      <c r="H1334" s="1098"/>
      <c r="I1334" s="1099"/>
      <c r="J1334" s="1140"/>
      <c r="K1334" s="1140"/>
      <c r="L1334" s="1143"/>
      <c r="M1334" s="1098"/>
      <c r="N1334" s="1099"/>
      <c r="O1334" s="1099"/>
    </row>
    <row r="1335" spans="2:15">
      <c r="B1335" s="1129"/>
      <c r="C1335" s="1098"/>
      <c r="D1335" s="1099"/>
      <c r="E1335" s="1098"/>
      <c r="F1335" s="1136"/>
      <c r="G1335" s="1099"/>
      <c r="H1335" s="1098"/>
      <c r="I1335" s="1099"/>
      <c r="J1335" s="1140"/>
      <c r="K1335" s="1140"/>
      <c r="L1335" s="1143"/>
      <c r="M1335" s="1098"/>
      <c r="N1335" s="1099"/>
      <c r="O1335" s="1099"/>
    </row>
    <row r="1336" spans="2:15">
      <c r="B1336" s="1129"/>
      <c r="C1336" s="1098"/>
      <c r="D1336" s="1099"/>
      <c r="E1336" s="1098"/>
      <c r="F1336" s="1136"/>
      <c r="G1336" s="1099"/>
      <c r="H1336" s="1098"/>
      <c r="I1336" s="1099"/>
      <c r="J1336" s="1140"/>
      <c r="K1336" s="1140"/>
      <c r="L1336" s="1143"/>
      <c r="M1336" s="1098"/>
      <c r="N1336" s="1099"/>
      <c r="O1336" s="1099"/>
    </row>
    <row r="1337" spans="2:15">
      <c r="B1337" s="1129"/>
      <c r="C1337" s="1098"/>
      <c r="D1337" s="1099"/>
      <c r="E1337" s="1098"/>
      <c r="F1337" s="1136"/>
      <c r="G1337" s="1099"/>
      <c r="H1337" s="1098"/>
      <c r="I1337" s="1099"/>
      <c r="J1337" s="1140"/>
      <c r="K1337" s="1140"/>
      <c r="L1337" s="1143"/>
      <c r="M1337" s="1098"/>
      <c r="N1337" s="1099"/>
      <c r="O1337" s="1099"/>
    </row>
    <row r="1338" spans="2:15">
      <c r="B1338" s="1129"/>
      <c r="C1338" s="1098"/>
      <c r="D1338" s="1099"/>
      <c r="E1338" s="1098"/>
      <c r="F1338" s="1136"/>
      <c r="G1338" s="1099"/>
      <c r="H1338" s="1098"/>
      <c r="I1338" s="1099"/>
      <c r="J1338" s="1140"/>
      <c r="K1338" s="1140"/>
      <c r="L1338" s="1143"/>
      <c r="M1338" s="1098"/>
      <c r="N1338" s="1099"/>
      <c r="O1338" s="1099"/>
    </row>
    <row r="1339" spans="2:15">
      <c r="B1339" s="1129"/>
      <c r="C1339" s="1098"/>
      <c r="D1339" s="1099"/>
      <c r="E1339" s="1098"/>
      <c r="F1339" s="1136"/>
      <c r="G1339" s="1099"/>
      <c r="H1339" s="1098"/>
      <c r="I1339" s="1099"/>
      <c r="J1339" s="1140"/>
      <c r="K1339" s="1140"/>
      <c r="L1339" s="1143"/>
      <c r="M1339" s="1098"/>
      <c r="N1339" s="1099"/>
      <c r="O1339" s="1099"/>
    </row>
    <row r="1340" spans="2:15">
      <c r="B1340" s="1129"/>
      <c r="C1340" s="1098"/>
      <c r="D1340" s="1099"/>
      <c r="E1340" s="1098"/>
      <c r="F1340" s="1136"/>
      <c r="G1340" s="1099"/>
      <c r="H1340" s="1098"/>
      <c r="I1340" s="1099"/>
      <c r="J1340" s="1140"/>
      <c r="K1340" s="1140"/>
      <c r="L1340" s="1143"/>
      <c r="M1340" s="1098"/>
      <c r="N1340" s="1099"/>
      <c r="O1340" s="1099"/>
    </row>
    <row r="1341" spans="2:15">
      <c r="B1341" s="1129"/>
      <c r="C1341" s="1098"/>
      <c r="D1341" s="1099"/>
      <c r="E1341" s="1098"/>
      <c r="F1341" s="1136"/>
      <c r="G1341" s="1099"/>
      <c r="H1341" s="1098"/>
      <c r="I1341" s="1099"/>
      <c r="J1341" s="1140"/>
      <c r="K1341" s="1140"/>
      <c r="L1341" s="1143"/>
      <c r="M1341" s="1098"/>
      <c r="N1341" s="1099"/>
      <c r="O1341" s="1099"/>
    </row>
    <row r="1342" spans="2:15">
      <c r="B1342" s="1129"/>
      <c r="C1342" s="1098"/>
      <c r="D1342" s="1099"/>
      <c r="E1342" s="1098"/>
      <c r="F1342" s="1136"/>
      <c r="G1342" s="1099"/>
      <c r="H1342" s="1098"/>
      <c r="I1342" s="1099"/>
      <c r="J1342" s="1140"/>
      <c r="K1342" s="1140"/>
      <c r="L1342" s="1143"/>
      <c r="M1342" s="1098"/>
      <c r="N1342" s="1099"/>
      <c r="O1342" s="1099"/>
    </row>
    <row r="1343" spans="2:15">
      <c r="B1343" s="1129"/>
      <c r="C1343" s="1098"/>
      <c r="D1343" s="1099"/>
      <c r="E1343" s="1098"/>
      <c r="F1343" s="1136"/>
      <c r="G1343" s="1099"/>
      <c r="H1343" s="1098"/>
      <c r="I1343" s="1099"/>
      <c r="J1343" s="1140"/>
      <c r="K1343" s="1140"/>
      <c r="L1343" s="1143"/>
      <c r="M1343" s="1098"/>
      <c r="N1343" s="1099"/>
      <c r="O1343" s="1099"/>
    </row>
    <row r="1344" spans="2:15">
      <c r="B1344" s="1129"/>
      <c r="C1344" s="1098"/>
      <c r="D1344" s="1099"/>
      <c r="E1344" s="1098"/>
      <c r="F1344" s="1136"/>
      <c r="G1344" s="1099"/>
      <c r="H1344" s="1098"/>
      <c r="I1344" s="1099"/>
      <c r="J1344" s="1140"/>
      <c r="K1344" s="1140"/>
      <c r="L1344" s="1143"/>
      <c r="M1344" s="1098"/>
      <c r="N1344" s="1099"/>
      <c r="O1344" s="1099"/>
    </row>
    <row r="1345" spans="2:15">
      <c r="B1345" s="1129"/>
      <c r="C1345" s="1098"/>
      <c r="D1345" s="1099"/>
      <c r="E1345" s="1098"/>
      <c r="F1345" s="1136"/>
      <c r="G1345" s="1099"/>
      <c r="H1345" s="1098"/>
      <c r="I1345" s="1099"/>
      <c r="J1345" s="1140"/>
      <c r="K1345" s="1140"/>
      <c r="L1345" s="1143"/>
      <c r="M1345" s="1098"/>
      <c r="N1345" s="1099"/>
      <c r="O1345" s="1099"/>
    </row>
    <row r="1346" spans="2:15">
      <c r="B1346" s="1129"/>
      <c r="C1346" s="1098"/>
      <c r="D1346" s="1099"/>
      <c r="E1346" s="1098"/>
      <c r="F1346" s="1136"/>
      <c r="G1346" s="1099"/>
      <c r="H1346" s="1098"/>
      <c r="I1346" s="1099"/>
      <c r="J1346" s="1140"/>
      <c r="K1346" s="1140"/>
      <c r="L1346" s="1143"/>
      <c r="M1346" s="1098"/>
      <c r="N1346" s="1099"/>
      <c r="O1346" s="1099"/>
    </row>
    <row r="1347" spans="2:15">
      <c r="B1347" s="1129"/>
      <c r="C1347" s="1098"/>
      <c r="D1347" s="1099"/>
      <c r="E1347" s="1098"/>
      <c r="F1347" s="1136"/>
      <c r="G1347" s="1099"/>
      <c r="H1347" s="1098"/>
      <c r="I1347" s="1099"/>
      <c r="J1347" s="1140"/>
      <c r="K1347" s="1140"/>
      <c r="L1347" s="1143"/>
      <c r="M1347" s="1098"/>
      <c r="N1347" s="1099"/>
      <c r="O1347" s="1099"/>
    </row>
    <row r="1348" spans="2:15">
      <c r="B1348" s="1129"/>
      <c r="C1348" s="1098"/>
      <c r="D1348" s="1099"/>
      <c r="E1348" s="1098"/>
      <c r="F1348" s="1136"/>
      <c r="G1348" s="1099"/>
      <c r="H1348" s="1098"/>
      <c r="I1348" s="1099"/>
      <c r="J1348" s="1140"/>
      <c r="K1348" s="1140"/>
      <c r="L1348" s="1143"/>
      <c r="M1348" s="1098"/>
      <c r="N1348" s="1099"/>
      <c r="O1348" s="1099"/>
    </row>
    <row r="1349" spans="2:15">
      <c r="B1349" s="1129"/>
      <c r="C1349" s="1098"/>
      <c r="D1349" s="1099"/>
      <c r="E1349" s="1098"/>
      <c r="F1349" s="1136"/>
      <c r="G1349" s="1099"/>
      <c r="H1349" s="1098"/>
      <c r="I1349" s="1099"/>
      <c r="J1349" s="1140"/>
      <c r="K1349" s="1140"/>
      <c r="L1349" s="1143"/>
      <c r="M1349" s="1098"/>
      <c r="N1349" s="1099"/>
      <c r="O1349" s="1099"/>
    </row>
    <row r="1350" spans="2:15">
      <c r="B1350" s="1129"/>
      <c r="C1350" s="1098"/>
      <c r="D1350" s="1099"/>
      <c r="E1350" s="1098"/>
      <c r="F1350" s="1136"/>
      <c r="G1350" s="1099"/>
      <c r="H1350" s="1098"/>
      <c r="I1350" s="1099"/>
      <c r="J1350" s="1140"/>
      <c r="K1350" s="1140"/>
      <c r="L1350" s="1143"/>
      <c r="M1350" s="1098"/>
      <c r="N1350" s="1099"/>
      <c r="O1350" s="1099"/>
    </row>
    <row r="1351" spans="2:15">
      <c r="B1351" s="1129"/>
      <c r="C1351" s="1098"/>
      <c r="D1351" s="1099"/>
      <c r="E1351" s="1098"/>
      <c r="F1351" s="1136"/>
      <c r="G1351" s="1099"/>
      <c r="H1351" s="1098"/>
      <c r="I1351" s="1099"/>
      <c r="J1351" s="1140"/>
      <c r="K1351" s="1140"/>
      <c r="L1351" s="1143"/>
      <c r="M1351" s="1098"/>
      <c r="N1351" s="1099"/>
      <c r="O1351" s="1099"/>
    </row>
    <row r="1352" spans="2:15">
      <c r="B1352" s="1129"/>
      <c r="C1352" s="1098"/>
      <c r="D1352" s="1099"/>
      <c r="E1352" s="1098"/>
      <c r="F1352" s="1136"/>
      <c r="G1352" s="1099"/>
      <c r="H1352" s="1098"/>
      <c r="I1352" s="1099"/>
      <c r="J1352" s="1140"/>
      <c r="K1352" s="1140"/>
      <c r="L1352" s="1143"/>
      <c r="M1352" s="1098"/>
      <c r="N1352" s="1099"/>
      <c r="O1352" s="1099"/>
    </row>
    <row r="1353" spans="2:15">
      <c r="B1353" s="1129"/>
      <c r="C1353" s="1098"/>
      <c r="D1353" s="1099"/>
      <c r="E1353" s="1098"/>
      <c r="F1353" s="1136"/>
      <c r="G1353" s="1099"/>
      <c r="H1353" s="1098"/>
      <c r="I1353" s="1099"/>
      <c r="J1353" s="1140"/>
      <c r="K1353" s="1140"/>
      <c r="L1353" s="1143"/>
      <c r="M1353" s="1098"/>
      <c r="N1353" s="1099"/>
      <c r="O1353" s="1099"/>
    </row>
    <row r="1354" spans="2:15">
      <c r="B1354" s="1129"/>
      <c r="C1354" s="1098"/>
      <c r="D1354" s="1099"/>
      <c r="E1354" s="1098"/>
      <c r="F1354" s="1136"/>
      <c r="G1354" s="1099"/>
      <c r="H1354" s="1098"/>
      <c r="I1354" s="1099"/>
      <c r="J1354" s="1140"/>
      <c r="K1354" s="1140"/>
      <c r="L1354" s="1143"/>
      <c r="M1354" s="1098"/>
      <c r="N1354" s="1099"/>
      <c r="O1354" s="1099"/>
    </row>
    <row r="1355" spans="2:15">
      <c r="B1355" s="1129"/>
      <c r="C1355" s="1098"/>
      <c r="D1355" s="1099"/>
      <c r="E1355" s="1098"/>
      <c r="F1355" s="1136"/>
      <c r="G1355" s="1099"/>
      <c r="H1355" s="1098"/>
      <c r="I1355" s="1099"/>
      <c r="J1355" s="1140"/>
      <c r="K1355" s="1140"/>
      <c r="L1355" s="1143"/>
      <c r="M1355" s="1098"/>
      <c r="N1355" s="1099"/>
      <c r="O1355" s="1099"/>
    </row>
    <row r="1356" spans="2:15">
      <c r="B1356" s="1129"/>
      <c r="C1356" s="1098"/>
      <c r="D1356" s="1099"/>
      <c r="E1356" s="1098"/>
      <c r="F1356" s="1136"/>
      <c r="G1356" s="1099"/>
      <c r="H1356" s="1098"/>
      <c r="I1356" s="1099"/>
      <c r="J1356" s="1140"/>
      <c r="K1356" s="1140"/>
      <c r="L1356" s="1143"/>
      <c r="M1356" s="1098"/>
      <c r="N1356" s="1099"/>
      <c r="O1356" s="1099"/>
    </row>
    <row r="1357" spans="2:15">
      <c r="B1357" s="1129"/>
      <c r="C1357" s="1098"/>
      <c r="D1357" s="1099"/>
      <c r="E1357" s="1098"/>
      <c r="F1357" s="1136"/>
      <c r="G1357" s="1099"/>
      <c r="H1357" s="1098"/>
      <c r="I1357" s="1099"/>
      <c r="J1357" s="1140"/>
      <c r="K1357" s="1140"/>
      <c r="L1357" s="1143"/>
      <c r="M1357" s="1098"/>
      <c r="N1357" s="1099"/>
      <c r="O1357" s="1099"/>
    </row>
    <row r="1358" spans="2:15">
      <c r="B1358" s="1129"/>
      <c r="C1358" s="1098"/>
      <c r="D1358" s="1099"/>
      <c r="E1358" s="1098"/>
      <c r="F1358" s="1136"/>
      <c r="G1358" s="1099"/>
      <c r="H1358" s="1098"/>
      <c r="I1358" s="1099"/>
      <c r="J1358" s="1140"/>
      <c r="K1358" s="1140"/>
      <c r="L1358" s="1143"/>
      <c r="M1358" s="1098"/>
      <c r="N1358" s="1099"/>
      <c r="O1358" s="1099"/>
    </row>
    <row r="1359" spans="2:15">
      <c r="B1359" s="1129"/>
      <c r="C1359" s="1098"/>
      <c r="D1359" s="1099"/>
      <c r="E1359" s="1098"/>
      <c r="F1359" s="1136"/>
      <c r="G1359" s="1099"/>
      <c r="H1359" s="1098"/>
      <c r="I1359" s="1099"/>
      <c r="J1359" s="1140"/>
      <c r="K1359" s="1140"/>
      <c r="L1359" s="1143"/>
      <c r="M1359" s="1098"/>
      <c r="N1359" s="1099"/>
      <c r="O1359" s="1099"/>
    </row>
    <row r="1360" spans="2:15">
      <c r="B1360" s="1129"/>
      <c r="C1360" s="1098"/>
      <c r="D1360" s="1099"/>
      <c r="E1360" s="1098"/>
      <c r="F1360" s="1136"/>
      <c r="G1360" s="1099"/>
      <c r="H1360" s="1098"/>
      <c r="I1360" s="1099"/>
      <c r="J1360" s="1140"/>
      <c r="K1360" s="1140"/>
      <c r="L1360" s="1143"/>
      <c r="M1360" s="1098"/>
      <c r="N1360" s="1099"/>
      <c r="O1360" s="1099"/>
    </row>
    <row r="1361" spans="2:15">
      <c r="B1361" s="1129"/>
      <c r="C1361" s="1098"/>
      <c r="D1361" s="1099"/>
      <c r="E1361" s="1098"/>
      <c r="F1361" s="1136"/>
      <c r="G1361" s="1099"/>
      <c r="H1361" s="1098"/>
      <c r="I1361" s="1099"/>
      <c r="J1361" s="1140"/>
      <c r="K1361" s="1140"/>
      <c r="L1361" s="1143"/>
      <c r="M1361" s="1098"/>
      <c r="N1361" s="1099"/>
      <c r="O1361" s="1099"/>
    </row>
    <row r="1362" spans="2:15">
      <c r="B1362" s="1129"/>
      <c r="C1362" s="1098"/>
      <c r="D1362" s="1099"/>
      <c r="E1362" s="1098"/>
      <c r="F1362" s="1136"/>
      <c r="G1362" s="1099"/>
      <c r="H1362" s="1098"/>
      <c r="I1362" s="1099"/>
      <c r="J1362" s="1140"/>
      <c r="K1362" s="1140"/>
      <c r="L1362" s="1143"/>
      <c r="M1362" s="1098"/>
      <c r="N1362" s="1099"/>
      <c r="O1362" s="1099"/>
    </row>
    <row r="1363" spans="2:15">
      <c r="B1363" s="1129"/>
      <c r="C1363" s="1098"/>
      <c r="D1363" s="1099"/>
      <c r="E1363" s="1098"/>
      <c r="F1363" s="1136"/>
      <c r="G1363" s="1099"/>
      <c r="H1363" s="1098"/>
      <c r="I1363" s="1099"/>
      <c r="J1363" s="1140"/>
      <c r="K1363" s="1140"/>
      <c r="L1363" s="1143"/>
      <c r="M1363" s="1098"/>
      <c r="N1363" s="1099"/>
      <c r="O1363" s="1099"/>
    </row>
    <row r="1364" spans="2:15">
      <c r="B1364" s="1129"/>
      <c r="C1364" s="1098"/>
      <c r="D1364" s="1099"/>
      <c r="E1364" s="1098"/>
      <c r="F1364" s="1136"/>
      <c r="G1364" s="1099"/>
      <c r="H1364" s="1098"/>
      <c r="I1364" s="1099"/>
      <c r="J1364" s="1140"/>
      <c r="K1364" s="1140"/>
      <c r="L1364" s="1143"/>
      <c r="M1364" s="1098"/>
      <c r="N1364" s="1099"/>
      <c r="O1364" s="1099"/>
    </row>
    <row r="1365" spans="2:15">
      <c r="B1365" s="1129"/>
      <c r="C1365" s="1098"/>
      <c r="D1365" s="1099"/>
      <c r="E1365" s="1098"/>
      <c r="F1365" s="1136"/>
      <c r="G1365" s="1099"/>
      <c r="H1365" s="1098"/>
      <c r="I1365" s="1099"/>
      <c r="J1365" s="1140"/>
      <c r="K1365" s="1140"/>
      <c r="L1365" s="1143"/>
      <c r="M1365" s="1098"/>
      <c r="N1365" s="1099"/>
      <c r="O1365" s="1099"/>
    </row>
    <row r="1366" spans="2:15">
      <c r="B1366" s="1129"/>
      <c r="C1366" s="1098"/>
      <c r="D1366" s="1099"/>
      <c r="E1366" s="1098"/>
      <c r="F1366" s="1136"/>
      <c r="G1366" s="1099"/>
      <c r="H1366" s="1098"/>
      <c r="I1366" s="1099"/>
      <c r="J1366" s="1140"/>
      <c r="K1366" s="1140"/>
      <c r="L1366" s="1143"/>
      <c r="M1366" s="1098"/>
      <c r="N1366" s="1099"/>
      <c r="O1366" s="1099"/>
    </row>
    <row r="1367" spans="2:15">
      <c r="B1367" s="1129"/>
      <c r="C1367" s="1098"/>
      <c r="D1367" s="1099"/>
      <c r="E1367" s="1098"/>
      <c r="F1367" s="1136"/>
      <c r="G1367" s="1099"/>
      <c r="H1367" s="1098"/>
      <c r="I1367" s="1099"/>
      <c r="J1367" s="1140"/>
      <c r="K1367" s="1140"/>
      <c r="L1367" s="1143"/>
      <c r="M1367" s="1098"/>
      <c r="N1367" s="1099"/>
      <c r="O1367" s="1099"/>
    </row>
    <row r="1368" spans="2:15">
      <c r="B1368" s="1129"/>
      <c r="C1368" s="1098"/>
      <c r="D1368" s="1099"/>
      <c r="E1368" s="1098"/>
      <c r="F1368" s="1136"/>
      <c r="G1368" s="1099"/>
      <c r="H1368" s="1098"/>
      <c r="I1368" s="1099"/>
      <c r="J1368" s="1140"/>
      <c r="K1368" s="1140"/>
      <c r="L1368" s="1143"/>
      <c r="M1368" s="1098"/>
      <c r="N1368" s="1099"/>
      <c r="O1368" s="1099"/>
    </row>
    <row r="1369" spans="2:15">
      <c r="B1369" s="1129"/>
      <c r="C1369" s="1098"/>
      <c r="D1369" s="1099"/>
      <c r="E1369" s="1098"/>
      <c r="F1369" s="1136"/>
      <c r="G1369" s="1099"/>
      <c r="H1369" s="1098"/>
      <c r="I1369" s="1099"/>
      <c r="J1369" s="1140"/>
      <c r="K1369" s="1140"/>
      <c r="L1369" s="1143"/>
      <c r="M1369" s="1098"/>
      <c r="N1369" s="1099"/>
      <c r="O1369" s="1099"/>
    </row>
    <row r="1370" spans="2:15">
      <c r="B1370" s="1129"/>
      <c r="C1370" s="1098"/>
      <c r="D1370" s="1099"/>
      <c r="E1370" s="1098"/>
      <c r="F1370" s="1136"/>
      <c r="G1370" s="1099"/>
      <c r="H1370" s="1098"/>
      <c r="I1370" s="1099"/>
      <c r="J1370" s="1140"/>
      <c r="K1370" s="1140"/>
      <c r="L1370" s="1143"/>
      <c r="M1370" s="1098"/>
      <c r="N1370" s="1099"/>
      <c r="O1370" s="1099"/>
    </row>
    <row r="1371" spans="2:15">
      <c r="B1371" s="1129"/>
      <c r="C1371" s="1098"/>
      <c r="D1371" s="1099"/>
      <c r="E1371" s="1098"/>
      <c r="F1371" s="1136"/>
      <c r="G1371" s="1099"/>
      <c r="H1371" s="1098"/>
      <c r="I1371" s="1099"/>
      <c r="J1371" s="1140"/>
      <c r="K1371" s="1140"/>
      <c r="L1371" s="1143"/>
      <c r="M1371" s="1098"/>
      <c r="N1371" s="1099"/>
      <c r="O1371" s="1099"/>
    </row>
    <row r="1372" spans="2:15">
      <c r="B1372" s="1129"/>
      <c r="C1372" s="1098"/>
      <c r="D1372" s="1099"/>
      <c r="E1372" s="1098"/>
      <c r="F1372" s="1136"/>
      <c r="G1372" s="1099"/>
      <c r="H1372" s="1098"/>
      <c r="I1372" s="1099"/>
      <c r="J1372" s="1140"/>
      <c r="K1372" s="1140"/>
      <c r="L1372" s="1143"/>
      <c r="M1372" s="1098"/>
      <c r="N1372" s="1099"/>
      <c r="O1372" s="1099"/>
    </row>
    <row r="1373" spans="2:15">
      <c r="B1373" s="1129"/>
      <c r="C1373" s="1098"/>
      <c r="D1373" s="1099"/>
      <c r="E1373" s="1098"/>
      <c r="F1373" s="1136"/>
      <c r="G1373" s="1099"/>
      <c r="H1373" s="1098"/>
      <c r="I1373" s="1099"/>
      <c r="J1373" s="1140"/>
      <c r="K1373" s="1140"/>
      <c r="L1373" s="1143"/>
      <c r="M1373" s="1098"/>
      <c r="N1373" s="1099"/>
      <c r="O1373" s="1099"/>
    </row>
    <row r="1374" spans="2:15">
      <c r="B1374" s="1129"/>
      <c r="C1374" s="1098"/>
      <c r="D1374" s="1099"/>
      <c r="E1374" s="1098"/>
      <c r="F1374" s="1136"/>
      <c r="G1374" s="1099"/>
      <c r="H1374" s="1098"/>
      <c r="I1374" s="1099"/>
      <c r="J1374" s="1140"/>
      <c r="K1374" s="1140"/>
      <c r="L1374" s="1143"/>
      <c r="M1374" s="1098"/>
      <c r="N1374" s="1099"/>
      <c r="O1374" s="1099"/>
    </row>
    <row r="1375" spans="2:15">
      <c r="B1375" s="1129"/>
      <c r="C1375" s="1098"/>
      <c r="D1375" s="1099"/>
      <c r="E1375" s="1098"/>
      <c r="F1375" s="1136"/>
      <c r="G1375" s="1099"/>
      <c r="H1375" s="1098"/>
      <c r="I1375" s="1099"/>
      <c r="J1375" s="1140"/>
      <c r="K1375" s="1140"/>
      <c r="L1375" s="1143"/>
      <c r="M1375" s="1098"/>
      <c r="N1375" s="1099"/>
      <c r="O1375" s="1099"/>
    </row>
    <row r="1376" spans="2:15">
      <c r="B1376" s="1129"/>
      <c r="C1376" s="1098"/>
      <c r="D1376" s="1099"/>
      <c r="E1376" s="1098"/>
      <c r="F1376" s="1136"/>
      <c r="G1376" s="1099"/>
      <c r="H1376" s="1098"/>
      <c r="I1376" s="1099"/>
      <c r="J1376" s="1140"/>
      <c r="K1376" s="1140"/>
      <c r="L1376" s="1143"/>
      <c r="M1376" s="1098"/>
      <c r="N1376" s="1099"/>
      <c r="O1376" s="1099"/>
    </row>
    <row r="1377" spans="2:15">
      <c r="B1377" s="1129"/>
      <c r="C1377" s="1098"/>
      <c r="D1377" s="1099"/>
      <c r="E1377" s="1098"/>
      <c r="F1377" s="1136"/>
      <c r="G1377" s="1099"/>
      <c r="H1377" s="1098"/>
      <c r="I1377" s="1099"/>
      <c r="J1377" s="1140"/>
      <c r="K1377" s="1140"/>
      <c r="L1377" s="1143"/>
      <c r="M1377" s="1098"/>
      <c r="N1377" s="1099"/>
      <c r="O1377" s="1099"/>
    </row>
    <row r="1378" spans="2:15">
      <c r="B1378" s="1129"/>
      <c r="C1378" s="1098"/>
      <c r="D1378" s="1099"/>
      <c r="E1378" s="1098"/>
      <c r="F1378" s="1136"/>
      <c r="G1378" s="1099"/>
      <c r="H1378" s="1098"/>
      <c r="I1378" s="1099"/>
      <c r="J1378" s="1140"/>
      <c r="K1378" s="1140"/>
      <c r="L1378" s="1143"/>
      <c r="M1378" s="1098"/>
      <c r="N1378" s="1099"/>
      <c r="O1378" s="1099"/>
    </row>
    <row r="1379" spans="2:15">
      <c r="B1379" s="1129"/>
      <c r="C1379" s="1098"/>
      <c r="D1379" s="1099"/>
      <c r="E1379" s="1098"/>
      <c r="F1379" s="1136"/>
      <c r="G1379" s="1099"/>
      <c r="H1379" s="1098"/>
      <c r="I1379" s="1099"/>
      <c r="J1379" s="1140"/>
      <c r="K1379" s="1140"/>
      <c r="L1379" s="1143"/>
      <c r="M1379" s="1098"/>
      <c r="N1379" s="1099"/>
      <c r="O1379" s="1099"/>
    </row>
    <row r="1380" spans="2:15">
      <c r="B1380" s="1129"/>
      <c r="C1380" s="1098"/>
      <c r="D1380" s="1099"/>
      <c r="E1380" s="1098"/>
      <c r="F1380" s="1136"/>
      <c r="G1380" s="1099"/>
      <c r="H1380" s="1098"/>
      <c r="I1380" s="1099"/>
      <c r="J1380" s="1140"/>
      <c r="K1380" s="1140"/>
      <c r="L1380" s="1143"/>
      <c r="M1380" s="1098"/>
      <c r="N1380" s="1099"/>
      <c r="O1380" s="1099"/>
    </row>
    <row r="1381" spans="2:15">
      <c r="B1381" s="1129"/>
      <c r="C1381" s="1098"/>
      <c r="D1381" s="1099"/>
      <c r="E1381" s="1098"/>
      <c r="F1381" s="1136"/>
      <c r="G1381" s="1099"/>
      <c r="H1381" s="1098"/>
      <c r="I1381" s="1099"/>
      <c r="J1381" s="1140"/>
      <c r="K1381" s="1140"/>
      <c r="L1381" s="1143"/>
      <c r="M1381" s="1098"/>
      <c r="N1381" s="1099"/>
      <c r="O1381" s="1099"/>
    </row>
    <row r="1382" spans="2:15">
      <c r="B1382" s="1129"/>
      <c r="C1382" s="1098"/>
      <c r="D1382" s="1099"/>
      <c r="E1382" s="1098"/>
      <c r="F1382" s="1136"/>
      <c r="G1382" s="1099"/>
      <c r="H1382" s="1098"/>
      <c r="I1382" s="1099"/>
      <c r="J1382" s="1140"/>
      <c r="K1382" s="1140"/>
      <c r="L1382" s="1143"/>
      <c r="M1382" s="1098"/>
      <c r="N1382" s="1099"/>
      <c r="O1382" s="1099"/>
    </row>
    <row r="1383" spans="2:15">
      <c r="B1383" s="1129"/>
      <c r="C1383" s="1098"/>
      <c r="D1383" s="1099"/>
      <c r="E1383" s="1098"/>
      <c r="F1383" s="1136"/>
      <c r="G1383" s="1099"/>
      <c r="H1383" s="1098"/>
      <c r="I1383" s="1099"/>
      <c r="J1383" s="1140"/>
      <c r="K1383" s="1140"/>
      <c r="L1383" s="1143"/>
      <c r="M1383" s="1098"/>
      <c r="N1383" s="1099"/>
      <c r="O1383" s="1099"/>
    </row>
    <row r="1384" spans="2:15">
      <c r="B1384" s="1129"/>
      <c r="C1384" s="1098"/>
      <c r="D1384" s="1099"/>
      <c r="E1384" s="1098"/>
      <c r="F1384" s="1136"/>
      <c r="G1384" s="1099"/>
      <c r="H1384" s="1098"/>
      <c r="I1384" s="1099"/>
      <c r="J1384" s="1140"/>
      <c r="K1384" s="1140"/>
      <c r="L1384" s="1143"/>
      <c r="M1384" s="1098"/>
      <c r="N1384" s="1099"/>
      <c r="O1384" s="1099"/>
    </row>
    <row r="1385" spans="2:15">
      <c r="B1385" s="1129"/>
      <c r="C1385" s="1098"/>
      <c r="D1385" s="1099"/>
      <c r="E1385" s="1098"/>
      <c r="F1385" s="1136"/>
      <c r="G1385" s="1099"/>
      <c r="H1385" s="1098"/>
      <c r="I1385" s="1099"/>
      <c r="J1385" s="1140"/>
      <c r="K1385" s="1140"/>
      <c r="L1385" s="1143"/>
      <c r="M1385" s="1098"/>
      <c r="N1385" s="1099"/>
      <c r="O1385" s="1099"/>
    </row>
    <row r="1386" spans="2:15">
      <c r="B1386" s="1129"/>
      <c r="C1386" s="1098"/>
      <c r="D1386" s="1099"/>
      <c r="E1386" s="1098"/>
      <c r="F1386" s="1136"/>
      <c r="G1386" s="1099"/>
      <c r="H1386" s="1098"/>
      <c r="I1386" s="1099"/>
      <c r="J1386" s="1140"/>
      <c r="K1386" s="1140"/>
      <c r="L1386" s="1143"/>
      <c r="M1386" s="1098"/>
      <c r="N1386" s="1099"/>
      <c r="O1386" s="1099"/>
    </row>
    <row r="1387" spans="2:15">
      <c r="B1387" s="1129"/>
      <c r="C1387" s="1098"/>
      <c r="D1387" s="1099"/>
      <c r="E1387" s="1098"/>
      <c r="F1387" s="1136"/>
      <c r="G1387" s="1099"/>
      <c r="H1387" s="1098"/>
      <c r="I1387" s="1099"/>
      <c r="J1387" s="1140"/>
      <c r="K1387" s="1140"/>
      <c r="L1387" s="1143"/>
      <c r="M1387" s="1098"/>
      <c r="N1387" s="1099"/>
      <c r="O1387" s="1099"/>
    </row>
    <row r="1388" spans="2:15">
      <c r="B1388" s="1129"/>
      <c r="C1388" s="1098"/>
      <c r="D1388" s="1099"/>
      <c r="E1388" s="1098"/>
      <c r="F1388" s="1136"/>
      <c r="G1388" s="1099"/>
      <c r="H1388" s="1098"/>
      <c r="I1388" s="1099"/>
      <c r="J1388" s="1140"/>
      <c r="K1388" s="1140"/>
      <c r="L1388" s="1143"/>
      <c r="M1388" s="1098"/>
      <c r="N1388" s="1099"/>
      <c r="O1388" s="1099"/>
    </row>
    <row r="1389" spans="2:15">
      <c r="B1389" s="1129"/>
      <c r="C1389" s="1098"/>
      <c r="D1389" s="1099"/>
      <c r="E1389" s="1098"/>
      <c r="F1389" s="1136"/>
      <c r="G1389" s="1099"/>
      <c r="H1389" s="1098"/>
      <c r="I1389" s="1099"/>
      <c r="J1389" s="1140"/>
      <c r="K1389" s="1140"/>
      <c r="L1389" s="1143"/>
      <c r="M1389" s="1098"/>
      <c r="N1389" s="1099"/>
      <c r="O1389" s="1099"/>
    </row>
    <row r="1390" spans="2:15">
      <c r="B1390" s="1129"/>
      <c r="C1390" s="1098"/>
      <c r="D1390" s="1099"/>
      <c r="E1390" s="1098"/>
      <c r="F1390" s="1136"/>
      <c r="G1390" s="1099"/>
      <c r="H1390" s="1098"/>
      <c r="I1390" s="1099"/>
      <c r="J1390" s="1140"/>
      <c r="K1390" s="1140"/>
      <c r="L1390" s="1143"/>
      <c r="M1390" s="1098"/>
      <c r="N1390" s="1099"/>
      <c r="O1390" s="1099"/>
    </row>
    <row r="1391" spans="2:15">
      <c r="B1391" s="1129"/>
      <c r="C1391" s="1098"/>
      <c r="D1391" s="1099"/>
      <c r="E1391" s="1098"/>
      <c r="F1391" s="1136"/>
      <c r="G1391" s="1099"/>
      <c r="H1391" s="1098"/>
      <c r="I1391" s="1099"/>
      <c r="J1391" s="1140"/>
      <c r="K1391" s="1140"/>
      <c r="L1391" s="1143"/>
      <c r="M1391" s="1098"/>
      <c r="N1391" s="1099"/>
      <c r="O1391" s="1099"/>
    </row>
    <row r="1392" spans="2:15">
      <c r="B1392" s="1129"/>
      <c r="C1392" s="1098"/>
      <c r="D1392" s="1099"/>
      <c r="E1392" s="1098"/>
      <c r="F1392" s="1136"/>
      <c r="G1392" s="1099"/>
      <c r="H1392" s="1098"/>
      <c r="I1392" s="1099"/>
      <c r="J1392" s="1140"/>
      <c r="K1392" s="1140"/>
      <c r="L1392" s="1143"/>
      <c r="M1392" s="1098"/>
      <c r="N1392" s="1099"/>
      <c r="O1392" s="1099"/>
    </row>
    <row r="1393" spans="2:15">
      <c r="B1393" s="1129"/>
      <c r="C1393" s="1098"/>
      <c r="D1393" s="1099"/>
      <c r="E1393" s="1098"/>
      <c r="F1393" s="1136"/>
      <c r="G1393" s="1099"/>
      <c r="H1393" s="1098"/>
      <c r="I1393" s="1099"/>
      <c r="J1393" s="1140"/>
      <c r="K1393" s="1140"/>
      <c r="L1393" s="1143"/>
      <c r="M1393" s="1098"/>
      <c r="N1393" s="1099"/>
      <c r="O1393" s="1099"/>
    </row>
    <row r="1394" spans="2:15">
      <c r="B1394" s="1129"/>
      <c r="C1394" s="1098"/>
      <c r="D1394" s="1099"/>
      <c r="E1394" s="1098"/>
      <c r="F1394" s="1136"/>
      <c r="G1394" s="1099"/>
      <c r="H1394" s="1098"/>
      <c r="I1394" s="1099"/>
      <c r="J1394" s="1140"/>
      <c r="K1394" s="1140"/>
      <c r="L1394" s="1143"/>
      <c r="M1394" s="1098"/>
      <c r="N1394" s="1099"/>
      <c r="O1394" s="1099"/>
    </row>
    <row r="1395" spans="2:15">
      <c r="B1395" s="1129"/>
      <c r="C1395" s="1098"/>
      <c r="D1395" s="1099"/>
      <c r="E1395" s="1098"/>
      <c r="F1395" s="1136"/>
      <c r="G1395" s="1099"/>
      <c r="H1395" s="1098"/>
      <c r="I1395" s="1099"/>
      <c r="J1395" s="1140"/>
      <c r="K1395" s="1140"/>
      <c r="L1395" s="1143"/>
      <c r="M1395" s="1098"/>
      <c r="N1395" s="1099"/>
      <c r="O1395" s="1099"/>
    </row>
    <row r="1396" spans="2:15">
      <c r="B1396" s="1129"/>
      <c r="C1396" s="1098"/>
      <c r="D1396" s="1099"/>
      <c r="E1396" s="1098"/>
      <c r="F1396" s="1136"/>
      <c r="G1396" s="1099"/>
      <c r="H1396" s="1098"/>
      <c r="I1396" s="1099"/>
      <c r="J1396" s="1140"/>
      <c r="K1396" s="1140"/>
      <c r="L1396" s="1143"/>
      <c r="M1396" s="1098"/>
      <c r="N1396" s="1099"/>
      <c r="O1396" s="1099"/>
    </row>
    <row r="1397" spans="2:15">
      <c r="B1397" s="1129"/>
      <c r="C1397" s="1098"/>
      <c r="D1397" s="1099"/>
      <c r="E1397" s="1098"/>
      <c r="F1397" s="1136"/>
      <c r="G1397" s="1099"/>
      <c r="H1397" s="1098"/>
      <c r="I1397" s="1099"/>
      <c r="J1397" s="1140"/>
      <c r="K1397" s="1140"/>
      <c r="L1397" s="1143"/>
      <c r="M1397" s="1098"/>
      <c r="N1397" s="1099"/>
      <c r="O1397" s="1099"/>
    </row>
    <row r="1398" spans="2:15">
      <c r="B1398" s="1129"/>
      <c r="C1398" s="1098"/>
      <c r="D1398" s="1099"/>
      <c r="E1398" s="1098"/>
      <c r="F1398" s="1136"/>
      <c r="G1398" s="1099"/>
      <c r="H1398" s="1098"/>
      <c r="I1398" s="1099"/>
      <c r="J1398" s="1140"/>
      <c r="K1398" s="1140"/>
      <c r="L1398" s="1143"/>
      <c r="M1398" s="1098"/>
      <c r="N1398" s="1099"/>
      <c r="O1398" s="1099"/>
    </row>
    <row r="1399" spans="2:15">
      <c r="B1399" s="1129"/>
      <c r="C1399" s="1098"/>
      <c r="D1399" s="1099"/>
      <c r="E1399" s="1098"/>
      <c r="F1399" s="1136"/>
      <c r="G1399" s="1099"/>
      <c r="H1399" s="1098"/>
      <c r="I1399" s="1099"/>
      <c r="J1399" s="1140"/>
      <c r="K1399" s="1140"/>
      <c r="L1399" s="1143"/>
      <c r="M1399" s="1098"/>
      <c r="N1399" s="1099"/>
      <c r="O1399" s="1099"/>
    </row>
    <row r="1400" spans="2:15">
      <c r="B1400" s="1129"/>
      <c r="C1400" s="1098"/>
      <c r="D1400" s="1099"/>
      <c r="E1400" s="1098"/>
      <c r="F1400" s="1136"/>
      <c r="G1400" s="1099"/>
      <c r="H1400" s="1098"/>
      <c r="I1400" s="1099"/>
      <c r="J1400" s="1140"/>
      <c r="K1400" s="1140"/>
      <c r="L1400" s="1143"/>
      <c r="M1400" s="1098"/>
      <c r="N1400" s="1099"/>
      <c r="O1400" s="1099"/>
    </row>
    <row r="1401" spans="2:15">
      <c r="B1401" s="1129"/>
      <c r="C1401" s="1098"/>
      <c r="D1401" s="1099"/>
      <c r="E1401" s="1098"/>
      <c r="F1401" s="1136"/>
      <c r="G1401" s="1099"/>
      <c r="H1401" s="1098"/>
      <c r="I1401" s="1099"/>
      <c r="J1401" s="1140"/>
      <c r="K1401" s="1140"/>
      <c r="L1401" s="1143"/>
      <c r="M1401" s="1098"/>
      <c r="N1401" s="1099"/>
      <c r="O1401" s="1099"/>
    </row>
    <row r="1402" spans="2:15">
      <c r="B1402" s="1129"/>
      <c r="C1402" s="1098"/>
      <c r="D1402" s="1099"/>
      <c r="E1402" s="1098"/>
      <c r="F1402" s="1136"/>
      <c r="G1402" s="1099"/>
      <c r="H1402" s="1098"/>
      <c r="I1402" s="1099"/>
      <c r="J1402" s="1140"/>
      <c r="K1402" s="1140"/>
      <c r="L1402" s="1143"/>
      <c r="M1402" s="1098"/>
      <c r="N1402" s="1099"/>
      <c r="O1402" s="1099"/>
    </row>
    <row r="1403" spans="2:15">
      <c r="B1403" s="1129"/>
      <c r="C1403" s="1098"/>
      <c r="D1403" s="1099"/>
      <c r="E1403" s="1098"/>
      <c r="F1403" s="1136"/>
      <c r="G1403" s="1099"/>
      <c r="H1403" s="1098"/>
      <c r="I1403" s="1099"/>
      <c r="J1403" s="1140"/>
      <c r="K1403" s="1140"/>
      <c r="L1403" s="1143"/>
      <c r="M1403" s="1098"/>
      <c r="N1403" s="1099"/>
      <c r="O1403" s="1099"/>
    </row>
    <row r="1404" spans="2:15">
      <c r="B1404" s="1129"/>
      <c r="C1404" s="1098"/>
      <c r="D1404" s="1099"/>
      <c r="E1404" s="1098"/>
      <c r="F1404" s="1136"/>
      <c r="G1404" s="1099"/>
      <c r="H1404" s="1098"/>
      <c r="I1404" s="1099"/>
      <c r="J1404" s="1140"/>
      <c r="K1404" s="1140"/>
      <c r="L1404" s="1143"/>
      <c r="M1404" s="1098"/>
      <c r="N1404" s="1099"/>
      <c r="O1404" s="1099"/>
    </row>
    <row r="1405" spans="2:15">
      <c r="B1405" s="1129"/>
      <c r="C1405" s="1098"/>
      <c r="D1405" s="1099"/>
      <c r="E1405" s="1098"/>
      <c r="F1405" s="1136"/>
      <c r="G1405" s="1099"/>
      <c r="H1405" s="1098"/>
      <c r="I1405" s="1099"/>
      <c r="J1405" s="1140"/>
      <c r="K1405" s="1140"/>
      <c r="L1405" s="1143"/>
      <c r="M1405" s="1098"/>
      <c r="N1405" s="1099"/>
      <c r="O1405" s="1099"/>
    </row>
    <row r="1406" spans="2:15">
      <c r="B1406" s="1129"/>
      <c r="C1406" s="1098"/>
      <c r="D1406" s="1099"/>
      <c r="E1406" s="1098"/>
      <c r="F1406" s="1136"/>
      <c r="G1406" s="1099"/>
      <c r="H1406" s="1098"/>
      <c r="I1406" s="1099"/>
      <c r="J1406" s="1140"/>
      <c r="K1406" s="1140"/>
      <c r="L1406" s="1143"/>
      <c r="M1406" s="1098"/>
      <c r="N1406" s="1099"/>
      <c r="O1406" s="1099"/>
    </row>
    <row r="1407" spans="2:15">
      <c r="B1407" s="1129"/>
      <c r="C1407" s="1098"/>
      <c r="D1407" s="1099"/>
      <c r="E1407" s="1098"/>
      <c r="F1407" s="1136"/>
      <c r="G1407" s="1099"/>
      <c r="H1407" s="1098"/>
      <c r="I1407" s="1099"/>
      <c r="J1407" s="1140"/>
      <c r="K1407" s="1140"/>
      <c r="L1407" s="1143"/>
      <c r="M1407" s="1098"/>
      <c r="N1407" s="1099"/>
      <c r="O1407" s="1099"/>
    </row>
    <row r="1408" spans="2:15">
      <c r="B1408" s="1129"/>
      <c r="C1408" s="1098"/>
      <c r="D1408" s="1099"/>
      <c r="E1408" s="1098"/>
      <c r="F1408" s="1136"/>
      <c r="G1408" s="1099"/>
      <c r="H1408" s="1098"/>
      <c r="I1408" s="1099"/>
      <c r="J1408" s="1140"/>
      <c r="K1408" s="1140"/>
      <c r="L1408" s="1143"/>
      <c r="M1408" s="1098"/>
      <c r="N1408" s="1099"/>
      <c r="O1408" s="1099"/>
    </row>
    <row r="1409" spans="2:15">
      <c r="B1409" s="1129"/>
      <c r="C1409" s="1098"/>
      <c r="D1409" s="1099"/>
      <c r="E1409" s="1098"/>
      <c r="F1409" s="1136"/>
      <c r="G1409" s="1099"/>
      <c r="H1409" s="1098"/>
      <c r="I1409" s="1099"/>
      <c r="J1409" s="1140"/>
      <c r="K1409" s="1140"/>
      <c r="L1409" s="1143"/>
      <c r="M1409" s="1098"/>
      <c r="N1409" s="1099"/>
      <c r="O1409" s="1099"/>
    </row>
    <row r="1410" spans="2:15">
      <c r="B1410" s="1129"/>
      <c r="C1410" s="1098"/>
      <c r="D1410" s="1099"/>
      <c r="E1410" s="1098"/>
      <c r="F1410" s="1136"/>
      <c r="G1410" s="1099"/>
      <c r="H1410" s="1098"/>
      <c r="I1410" s="1099"/>
      <c r="J1410" s="1140"/>
      <c r="K1410" s="1140"/>
      <c r="L1410" s="1143"/>
      <c r="M1410" s="1098"/>
      <c r="N1410" s="1099"/>
      <c r="O1410" s="1099"/>
    </row>
    <row r="1411" spans="2:15">
      <c r="B1411" s="1129"/>
      <c r="C1411" s="1098"/>
      <c r="D1411" s="1099"/>
      <c r="E1411" s="1098"/>
      <c r="F1411" s="1136"/>
      <c r="G1411" s="1099"/>
      <c r="H1411" s="1098"/>
      <c r="I1411" s="1099"/>
      <c r="J1411" s="1140"/>
      <c r="K1411" s="1140"/>
      <c r="L1411" s="1143"/>
      <c r="M1411" s="1098"/>
      <c r="N1411" s="1099"/>
      <c r="O1411" s="1099"/>
    </row>
    <row r="1412" spans="2:15">
      <c r="B1412" s="1129"/>
      <c r="C1412" s="1098"/>
      <c r="D1412" s="1099"/>
      <c r="E1412" s="1098"/>
      <c r="F1412" s="1136"/>
      <c r="G1412" s="1099"/>
      <c r="H1412" s="1098"/>
      <c r="I1412" s="1099"/>
      <c r="J1412" s="1140"/>
      <c r="K1412" s="1140"/>
      <c r="L1412" s="1143"/>
      <c r="M1412" s="1098"/>
      <c r="N1412" s="1099"/>
      <c r="O1412" s="1099"/>
    </row>
    <row r="1413" spans="2:15">
      <c r="B1413" s="1129"/>
      <c r="C1413" s="1098"/>
      <c r="D1413" s="1099"/>
      <c r="E1413" s="1098"/>
      <c r="F1413" s="1136"/>
      <c r="G1413" s="1099"/>
      <c r="H1413" s="1098"/>
      <c r="I1413" s="1099"/>
      <c r="J1413" s="1140"/>
      <c r="K1413" s="1140"/>
      <c r="L1413" s="1143"/>
      <c r="M1413" s="1098"/>
      <c r="N1413" s="1099"/>
      <c r="O1413" s="1099"/>
    </row>
    <row r="1414" spans="2:15">
      <c r="B1414" s="1129"/>
      <c r="C1414" s="1098"/>
      <c r="D1414" s="1099"/>
      <c r="E1414" s="1098"/>
      <c r="F1414" s="1136"/>
      <c r="G1414" s="1099"/>
      <c r="H1414" s="1098"/>
      <c r="I1414" s="1099"/>
      <c r="J1414" s="1140"/>
      <c r="K1414" s="1140"/>
      <c r="L1414" s="1143"/>
      <c r="M1414" s="1098"/>
      <c r="N1414" s="1099"/>
      <c r="O1414" s="1099"/>
    </row>
    <row r="1415" spans="2:15">
      <c r="B1415" s="1129"/>
      <c r="C1415" s="1098"/>
      <c r="D1415" s="1099"/>
      <c r="E1415" s="1098"/>
      <c r="F1415" s="1136"/>
      <c r="G1415" s="1099"/>
      <c r="H1415" s="1098"/>
      <c r="I1415" s="1099"/>
      <c r="J1415" s="1140"/>
      <c r="K1415" s="1140"/>
      <c r="L1415" s="1143"/>
      <c r="M1415" s="1098"/>
      <c r="N1415" s="1099"/>
      <c r="O1415" s="1099"/>
    </row>
    <row r="1416" spans="2:15">
      <c r="B1416" s="1129"/>
      <c r="C1416" s="1098"/>
      <c r="D1416" s="1099"/>
      <c r="E1416" s="1098"/>
      <c r="F1416" s="1136"/>
      <c r="G1416" s="1099"/>
      <c r="H1416" s="1098"/>
      <c r="I1416" s="1099"/>
      <c r="J1416" s="1140"/>
      <c r="K1416" s="1140"/>
      <c r="L1416" s="1143"/>
      <c r="M1416" s="1098"/>
      <c r="N1416" s="1099"/>
      <c r="O1416" s="1099"/>
    </row>
    <row r="1417" spans="2:15">
      <c r="B1417" s="1129"/>
      <c r="C1417" s="1098"/>
      <c r="D1417" s="1099"/>
      <c r="E1417" s="1098"/>
      <c r="F1417" s="1136"/>
      <c r="G1417" s="1099"/>
      <c r="H1417" s="1098"/>
      <c r="I1417" s="1099"/>
      <c r="J1417" s="1140"/>
      <c r="K1417" s="1140"/>
      <c r="L1417" s="1143"/>
      <c r="M1417" s="1098"/>
      <c r="N1417" s="1099"/>
      <c r="O1417" s="1099"/>
    </row>
    <row r="1418" spans="2:15">
      <c r="B1418" s="1129"/>
      <c r="C1418" s="1098"/>
      <c r="D1418" s="1099"/>
      <c r="E1418" s="1098"/>
      <c r="F1418" s="1136"/>
      <c r="G1418" s="1099"/>
      <c r="H1418" s="1098"/>
      <c r="I1418" s="1099"/>
      <c r="J1418" s="1140"/>
      <c r="K1418" s="1140"/>
      <c r="L1418" s="1143"/>
      <c r="M1418" s="1098"/>
      <c r="N1418" s="1099"/>
      <c r="O1418" s="1099"/>
    </row>
    <row r="1419" spans="2:15">
      <c r="B1419" s="1129"/>
      <c r="C1419" s="1098"/>
      <c r="D1419" s="1099"/>
      <c r="E1419" s="1098"/>
      <c r="F1419" s="1136"/>
      <c r="G1419" s="1099"/>
      <c r="H1419" s="1098"/>
      <c r="I1419" s="1099"/>
      <c r="J1419" s="1140"/>
      <c r="K1419" s="1140"/>
      <c r="L1419" s="1143"/>
      <c r="M1419" s="1098"/>
      <c r="N1419" s="1099"/>
      <c r="O1419" s="1099"/>
    </row>
    <row r="1420" spans="2:15">
      <c r="B1420" s="1129"/>
      <c r="C1420" s="1098"/>
      <c r="D1420" s="1099"/>
      <c r="E1420" s="1098"/>
      <c r="F1420" s="1136"/>
      <c r="G1420" s="1099"/>
      <c r="H1420" s="1098"/>
      <c r="I1420" s="1099"/>
      <c r="J1420" s="1140"/>
      <c r="K1420" s="1140"/>
      <c r="L1420" s="1143"/>
      <c r="M1420" s="1098"/>
      <c r="N1420" s="1099"/>
      <c r="O1420" s="1099"/>
    </row>
    <row r="1421" spans="2:15">
      <c r="B1421" s="1129"/>
      <c r="C1421" s="1098"/>
      <c r="D1421" s="1099"/>
      <c r="E1421" s="1098"/>
      <c r="F1421" s="1136"/>
      <c r="G1421" s="1099"/>
      <c r="H1421" s="1098"/>
      <c r="I1421" s="1099"/>
      <c r="J1421" s="1140"/>
      <c r="K1421" s="1140"/>
      <c r="L1421" s="1143"/>
      <c r="M1421" s="1098"/>
      <c r="N1421" s="1099"/>
      <c r="O1421" s="1099"/>
    </row>
    <row r="1422" spans="2:15">
      <c r="B1422" s="1129"/>
      <c r="C1422" s="1098"/>
      <c r="D1422" s="1099"/>
      <c r="E1422" s="1098"/>
      <c r="F1422" s="1136"/>
      <c r="G1422" s="1099"/>
      <c r="H1422" s="1098"/>
      <c r="I1422" s="1099"/>
      <c r="J1422" s="1140"/>
      <c r="K1422" s="1140"/>
      <c r="L1422" s="1143"/>
      <c r="M1422" s="1098"/>
      <c r="N1422" s="1099"/>
      <c r="O1422" s="1099"/>
    </row>
    <row r="1423" spans="2:15">
      <c r="B1423" s="1129"/>
      <c r="C1423" s="1098"/>
      <c r="D1423" s="1099"/>
      <c r="E1423" s="1098"/>
      <c r="F1423" s="1136"/>
      <c r="G1423" s="1099"/>
      <c r="H1423" s="1098"/>
      <c r="I1423" s="1099"/>
      <c r="J1423" s="1140"/>
      <c r="K1423" s="1140"/>
      <c r="L1423" s="1143"/>
      <c r="M1423" s="1098"/>
      <c r="N1423" s="1099"/>
      <c r="O1423" s="1099"/>
    </row>
    <row r="1424" spans="2:15">
      <c r="B1424" s="1129"/>
      <c r="C1424" s="1098"/>
      <c r="D1424" s="1099"/>
      <c r="E1424" s="1098"/>
      <c r="F1424" s="1136"/>
      <c r="G1424" s="1099"/>
      <c r="H1424" s="1098"/>
      <c r="I1424" s="1099"/>
      <c r="J1424" s="1140"/>
      <c r="K1424" s="1140"/>
      <c r="L1424" s="1143"/>
      <c r="M1424" s="1098"/>
      <c r="N1424" s="1099"/>
      <c r="O1424" s="1099"/>
    </row>
    <row r="1425" spans="2:15">
      <c r="B1425" s="1129"/>
      <c r="C1425" s="1098"/>
      <c r="D1425" s="1099"/>
      <c r="E1425" s="1098"/>
      <c r="F1425" s="1136"/>
      <c r="G1425" s="1099"/>
      <c r="H1425" s="1098"/>
      <c r="I1425" s="1099"/>
      <c r="J1425" s="1140"/>
      <c r="K1425" s="1140"/>
      <c r="L1425" s="1143"/>
      <c r="M1425" s="1098"/>
      <c r="N1425" s="1099"/>
      <c r="O1425" s="1099"/>
    </row>
    <row r="1426" spans="2:15">
      <c r="B1426" s="1129"/>
      <c r="C1426" s="1098"/>
      <c r="D1426" s="1099"/>
      <c r="E1426" s="1098"/>
      <c r="F1426" s="1136"/>
      <c r="G1426" s="1099"/>
      <c r="H1426" s="1098"/>
      <c r="I1426" s="1099"/>
      <c r="J1426" s="1140"/>
      <c r="K1426" s="1140"/>
      <c r="L1426" s="1143"/>
      <c r="M1426" s="1098"/>
      <c r="N1426" s="1099"/>
      <c r="O1426" s="1099"/>
    </row>
    <row r="1427" spans="2:15">
      <c r="B1427" s="1129"/>
      <c r="C1427" s="1098"/>
      <c r="D1427" s="1099"/>
      <c r="E1427" s="1098"/>
      <c r="F1427" s="1136"/>
      <c r="G1427" s="1099"/>
      <c r="H1427" s="1098"/>
      <c r="I1427" s="1099"/>
      <c r="J1427" s="1140"/>
      <c r="K1427" s="1140"/>
      <c r="L1427" s="1143"/>
      <c r="M1427" s="1098"/>
      <c r="N1427" s="1099"/>
      <c r="O1427" s="1099"/>
    </row>
    <row r="1428" spans="2:15">
      <c r="B1428" s="1129"/>
      <c r="C1428" s="1098"/>
      <c r="D1428" s="1099"/>
      <c r="E1428" s="1098"/>
      <c r="F1428" s="1136"/>
      <c r="G1428" s="1099"/>
      <c r="H1428" s="1098"/>
      <c r="I1428" s="1099"/>
      <c r="J1428" s="1140"/>
      <c r="K1428" s="1140"/>
      <c r="L1428" s="1143"/>
      <c r="M1428" s="1098"/>
      <c r="N1428" s="1099"/>
      <c r="O1428" s="1099"/>
    </row>
    <row r="1429" spans="2:15">
      <c r="B1429" s="1129"/>
      <c r="C1429" s="1098"/>
      <c r="D1429" s="1099"/>
      <c r="E1429" s="1098"/>
      <c r="F1429" s="1136"/>
      <c r="G1429" s="1099"/>
      <c r="H1429" s="1098"/>
      <c r="I1429" s="1099"/>
      <c r="J1429" s="1140"/>
      <c r="K1429" s="1140"/>
      <c r="L1429" s="1143"/>
      <c r="M1429" s="1098"/>
      <c r="N1429" s="1099"/>
      <c r="O1429" s="1099"/>
    </row>
    <row r="1430" spans="2:15">
      <c r="B1430" s="1129"/>
      <c r="C1430" s="1098"/>
      <c r="D1430" s="1099"/>
      <c r="E1430" s="1098"/>
      <c r="F1430" s="1136"/>
      <c r="G1430" s="1099"/>
      <c r="H1430" s="1098"/>
      <c r="I1430" s="1099"/>
      <c r="J1430" s="1140"/>
      <c r="K1430" s="1140"/>
      <c r="L1430" s="1143"/>
      <c r="M1430" s="1098"/>
      <c r="N1430" s="1099"/>
      <c r="O1430" s="1099"/>
    </row>
    <row r="1431" spans="2:15">
      <c r="B1431" s="1129"/>
      <c r="C1431" s="1098"/>
      <c r="D1431" s="1099"/>
      <c r="E1431" s="1098"/>
      <c r="F1431" s="1136"/>
      <c r="G1431" s="1099"/>
      <c r="H1431" s="1098"/>
      <c r="I1431" s="1099"/>
      <c r="J1431" s="1140"/>
      <c r="K1431" s="1140"/>
      <c r="L1431" s="1143"/>
      <c r="M1431" s="1098"/>
      <c r="N1431" s="1099"/>
      <c r="O1431" s="1099"/>
    </row>
    <row r="1432" spans="2:15">
      <c r="B1432" s="1129"/>
      <c r="C1432" s="1098"/>
      <c r="D1432" s="1099"/>
      <c r="E1432" s="1098"/>
      <c r="F1432" s="1136"/>
      <c r="G1432" s="1099"/>
      <c r="H1432" s="1098"/>
      <c r="I1432" s="1099"/>
      <c r="J1432" s="1140"/>
      <c r="K1432" s="1140"/>
      <c r="L1432" s="1143"/>
      <c r="M1432" s="1098"/>
      <c r="N1432" s="1099"/>
      <c r="O1432" s="1099"/>
    </row>
    <row r="1433" spans="2:15">
      <c r="B1433" s="1129"/>
      <c r="C1433" s="1098"/>
      <c r="D1433" s="1099"/>
      <c r="E1433" s="1098"/>
      <c r="F1433" s="1136"/>
      <c r="G1433" s="1099"/>
      <c r="H1433" s="1098"/>
      <c r="I1433" s="1099"/>
      <c r="J1433" s="1140"/>
      <c r="K1433" s="1140"/>
      <c r="L1433" s="1143"/>
      <c r="M1433" s="1098"/>
      <c r="N1433" s="1099"/>
      <c r="O1433" s="1099"/>
    </row>
    <row r="1434" spans="2:15">
      <c r="B1434" s="1129"/>
      <c r="C1434" s="1098"/>
      <c r="D1434" s="1099"/>
      <c r="E1434" s="1098"/>
      <c r="F1434" s="1136"/>
      <c r="G1434" s="1099"/>
      <c r="H1434" s="1098"/>
      <c r="I1434" s="1099"/>
      <c r="J1434" s="1140"/>
      <c r="K1434" s="1140"/>
      <c r="L1434" s="1143"/>
      <c r="M1434" s="1098"/>
      <c r="N1434" s="1099"/>
      <c r="O1434" s="1099"/>
    </row>
    <row r="1435" spans="2:15">
      <c r="B1435" s="1129"/>
      <c r="C1435" s="1098"/>
      <c r="D1435" s="1099"/>
      <c r="E1435" s="1098"/>
      <c r="F1435" s="1136"/>
      <c r="G1435" s="1099"/>
      <c r="H1435" s="1098"/>
      <c r="I1435" s="1099"/>
      <c r="J1435" s="1140"/>
      <c r="K1435" s="1140"/>
      <c r="L1435" s="1143"/>
      <c r="M1435" s="1098"/>
      <c r="N1435" s="1099"/>
      <c r="O1435" s="1099"/>
    </row>
    <row r="1436" spans="2:15">
      <c r="B1436" s="1129"/>
      <c r="C1436" s="1098"/>
      <c r="D1436" s="1099"/>
      <c r="E1436" s="1098"/>
      <c r="F1436" s="1136"/>
      <c r="G1436" s="1099"/>
      <c r="H1436" s="1098"/>
      <c r="I1436" s="1099"/>
      <c r="J1436" s="1140"/>
      <c r="K1436" s="1140"/>
      <c r="L1436" s="1143"/>
      <c r="M1436" s="1098"/>
      <c r="N1436" s="1099"/>
      <c r="O1436" s="1099"/>
    </row>
    <row r="1437" spans="2:15">
      <c r="B1437" s="1129"/>
      <c r="C1437" s="1098"/>
      <c r="D1437" s="1099"/>
      <c r="E1437" s="1098"/>
      <c r="F1437" s="1136"/>
      <c r="G1437" s="1099"/>
      <c r="H1437" s="1098"/>
      <c r="I1437" s="1099"/>
      <c r="J1437" s="1140"/>
      <c r="K1437" s="1140"/>
      <c r="L1437" s="1143"/>
      <c r="M1437" s="1098"/>
      <c r="N1437" s="1099"/>
      <c r="O1437" s="1099"/>
    </row>
    <row r="1438" spans="2:15">
      <c r="B1438" s="1129"/>
      <c r="C1438" s="1098"/>
      <c r="D1438" s="1099"/>
      <c r="E1438" s="1098"/>
      <c r="F1438" s="1136"/>
      <c r="G1438" s="1099"/>
      <c r="H1438" s="1098"/>
      <c r="I1438" s="1099"/>
      <c r="J1438" s="1140"/>
      <c r="K1438" s="1140"/>
      <c r="L1438" s="1143"/>
      <c r="M1438" s="1098"/>
      <c r="N1438" s="1099"/>
      <c r="O1438" s="1099"/>
    </row>
    <row r="1439" spans="2:15">
      <c r="B1439" s="1129"/>
      <c r="C1439" s="1098"/>
      <c r="D1439" s="1099"/>
      <c r="E1439" s="1098"/>
      <c r="F1439" s="1136"/>
      <c r="G1439" s="1099"/>
      <c r="H1439" s="1098"/>
      <c r="I1439" s="1099"/>
      <c r="J1439" s="1140"/>
      <c r="K1439" s="1140"/>
      <c r="L1439" s="1143"/>
      <c r="M1439" s="1098"/>
      <c r="N1439" s="1099"/>
      <c r="O1439" s="1099"/>
    </row>
    <row r="1440" spans="2:15">
      <c r="B1440" s="1129"/>
      <c r="C1440" s="1098"/>
      <c r="D1440" s="1099"/>
      <c r="E1440" s="1098"/>
      <c r="F1440" s="1136"/>
      <c r="G1440" s="1099"/>
      <c r="H1440" s="1098"/>
      <c r="I1440" s="1099"/>
      <c r="J1440" s="1140"/>
      <c r="K1440" s="1140"/>
      <c r="L1440" s="1143"/>
      <c r="M1440" s="1098"/>
      <c r="N1440" s="1099"/>
      <c r="O1440" s="1099"/>
    </row>
    <row r="1441" spans="2:15">
      <c r="B1441" s="1129"/>
      <c r="C1441" s="1098"/>
      <c r="D1441" s="1099"/>
      <c r="E1441" s="1098"/>
      <c r="F1441" s="1136"/>
      <c r="G1441" s="1099"/>
      <c r="H1441" s="1098"/>
      <c r="I1441" s="1099"/>
      <c r="J1441" s="1140"/>
      <c r="K1441" s="1140"/>
      <c r="L1441" s="1143"/>
      <c r="M1441" s="1098"/>
      <c r="N1441" s="1099"/>
      <c r="O1441" s="1099"/>
    </row>
    <row r="1442" spans="2:15">
      <c r="B1442" s="1129"/>
      <c r="C1442" s="1098"/>
      <c r="D1442" s="1099"/>
      <c r="E1442" s="1098"/>
      <c r="F1442" s="1136"/>
      <c r="G1442" s="1099"/>
      <c r="H1442" s="1098"/>
      <c r="I1442" s="1099"/>
      <c r="J1442" s="1140"/>
      <c r="K1442" s="1140"/>
      <c r="L1442" s="1143"/>
      <c r="M1442" s="1098"/>
      <c r="N1442" s="1099"/>
      <c r="O1442" s="1099"/>
    </row>
    <row r="1443" spans="2:15">
      <c r="B1443" s="1129"/>
      <c r="C1443" s="1098"/>
      <c r="D1443" s="1099"/>
      <c r="E1443" s="1098"/>
      <c r="F1443" s="1136"/>
      <c r="G1443" s="1099"/>
      <c r="H1443" s="1098"/>
      <c r="I1443" s="1099"/>
      <c r="J1443" s="1140"/>
      <c r="K1443" s="1140"/>
      <c r="L1443" s="1143"/>
      <c r="M1443" s="1098"/>
      <c r="N1443" s="1099"/>
      <c r="O1443" s="1099"/>
    </row>
    <row r="1444" spans="2:15">
      <c r="B1444" s="1129"/>
      <c r="C1444" s="1098"/>
      <c r="D1444" s="1099"/>
      <c r="E1444" s="1098"/>
      <c r="F1444" s="1136"/>
      <c r="G1444" s="1099"/>
      <c r="H1444" s="1098"/>
      <c r="I1444" s="1099"/>
      <c r="J1444" s="1140"/>
      <c r="K1444" s="1140"/>
      <c r="L1444" s="1143"/>
      <c r="M1444" s="1098"/>
      <c r="N1444" s="1099"/>
      <c r="O1444" s="1099"/>
    </row>
    <row r="1445" spans="2:15">
      <c r="B1445" s="1129"/>
      <c r="C1445" s="1098"/>
      <c r="D1445" s="1099"/>
      <c r="E1445" s="1098"/>
      <c r="F1445" s="1136"/>
      <c r="G1445" s="1099"/>
      <c r="H1445" s="1098"/>
      <c r="I1445" s="1099"/>
      <c r="J1445" s="1140"/>
      <c r="K1445" s="1140"/>
      <c r="L1445" s="1143"/>
      <c r="M1445" s="1098"/>
      <c r="N1445" s="1099"/>
      <c r="O1445" s="1099"/>
    </row>
    <row r="1446" spans="2:15">
      <c r="B1446" s="1129"/>
      <c r="C1446" s="1098"/>
      <c r="D1446" s="1099"/>
      <c r="E1446" s="1098"/>
      <c r="F1446" s="1136"/>
      <c r="G1446" s="1099"/>
      <c r="H1446" s="1098"/>
      <c r="I1446" s="1099"/>
      <c r="J1446" s="1140"/>
      <c r="K1446" s="1140"/>
      <c r="L1446" s="1143"/>
      <c r="M1446" s="1098"/>
      <c r="N1446" s="1099"/>
      <c r="O1446" s="1099"/>
    </row>
    <row r="1447" spans="2:15">
      <c r="B1447" s="1129"/>
      <c r="C1447" s="1098"/>
      <c r="D1447" s="1099"/>
      <c r="E1447" s="1098"/>
      <c r="F1447" s="1136"/>
      <c r="G1447" s="1099"/>
      <c r="H1447" s="1098"/>
      <c r="I1447" s="1099"/>
      <c r="J1447" s="1140"/>
      <c r="K1447" s="1140"/>
      <c r="L1447" s="1143"/>
      <c r="M1447" s="1098"/>
      <c r="N1447" s="1099"/>
      <c r="O1447" s="1099"/>
    </row>
    <row r="1448" spans="2:15">
      <c r="B1448" s="1129"/>
      <c r="C1448" s="1098"/>
      <c r="D1448" s="1099"/>
      <c r="E1448" s="1098"/>
      <c r="F1448" s="1136"/>
      <c r="G1448" s="1099"/>
      <c r="H1448" s="1098"/>
      <c r="I1448" s="1099"/>
      <c r="J1448" s="1140"/>
      <c r="K1448" s="1140"/>
      <c r="L1448" s="1143"/>
      <c r="M1448" s="1098"/>
      <c r="N1448" s="1099"/>
      <c r="O1448" s="1099"/>
    </row>
    <row r="1449" spans="2:15">
      <c r="B1449" s="1129"/>
      <c r="C1449" s="1098"/>
      <c r="D1449" s="1099"/>
      <c r="E1449" s="1098"/>
      <c r="F1449" s="1136"/>
      <c r="G1449" s="1099"/>
      <c r="H1449" s="1098"/>
      <c r="I1449" s="1099"/>
      <c r="J1449" s="1140"/>
      <c r="K1449" s="1140"/>
      <c r="L1449" s="1143"/>
      <c r="M1449" s="1098"/>
      <c r="N1449" s="1099"/>
      <c r="O1449" s="1099"/>
    </row>
    <row r="1450" spans="2:15">
      <c r="B1450" s="1129"/>
      <c r="C1450" s="1098"/>
      <c r="D1450" s="1099"/>
      <c r="E1450" s="1098"/>
      <c r="F1450" s="1136"/>
      <c r="G1450" s="1099"/>
      <c r="H1450" s="1098"/>
      <c r="I1450" s="1099"/>
      <c r="J1450" s="1140"/>
      <c r="K1450" s="1140"/>
      <c r="L1450" s="1143"/>
      <c r="M1450" s="1098"/>
      <c r="N1450" s="1099"/>
      <c r="O1450" s="1099"/>
    </row>
    <row r="1451" spans="2:15">
      <c r="B1451" s="1129"/>
      <c r="C1451" s="1098"/>
      <c r="D1451" s="1099"/>
      <c r="E1451" s="1098"/>
      <c r="F1451" s="1136"/>
      <c r="G1451" s="1099"/>
      <c r="H1451" s="1098"/>
      <c r="I1451" s="1099"/>
      <c r="J1451" s="1140"/>
      <c r="K1451" s="1140"/>
      <c r="L1451" s="1143"/>
      <c r="M1451" s="1098"/>
      <c r="N1451" s="1099"/>
      <c r="O1451" s="1099"/>
    </row>
    <row r="1452" spans="2:15">
      <c r="B1452" s="1129"/>
      <c r="C1452" s="1098"/>
      <c r="D1452" s="1099"/>
      <c r="E1452" s="1098"/>
      <c r="F1452" s="1136"/>
      <c r="G1452" s="1099"/>
      <c r="H1452" s="1098"/>
      <c r="I1452" s="1099"/>
      <c r="J1452" s="1140"/>
      <c r="K1452" s="1140"/>
      <c r="L1452" s="1143"/>
      <c r="M1452" s="1098"/>
      <c r="N1452" s="1099"/>
      <c r="O1452" s="1099"/>
    </row>
    <row r="1453" spans="2:15">
      <c r="B1453" s="1129"/>
      <c r="C1453" s="1098"/>
      <c r="D1453" s="1099"/>
      <c r="E1453" s="1098"/>
      <c r="F1453" s="1136"/>
      <c r="G1453" s="1099"/>
      <c r="H1453" s="1098"/>
      <c r="I1453" s="1099"/>
      <c r="J1453" s="1140"/>
      <c r="K1453" s="1140"/>
      <c r="L1453" s="1143"/>
      <c r="M1453" s="1098"/>
      <c r="N1453" s="1099"/>
      <c r="O1453" s="1099"/>
    </row>
    <row r="1454" spans="2:15">
      <c r="B1454" s="1129"/>
      <c r="C1454" s="1098"/>
      <c r="D1454" s="1099"/>
      <c r="E1454" s="1098"/>
      <c r="F1454" s="1136"/>
      <c r="G1454" s="1099"/>
      <c r="H1454" s="1098"/>
      <c r="I1454" s="1099"/>
      <c r="J1454" s="1140"/>
      <c r="K1454" s="1140"/>
      <c r="L1454" s="1143"/>
      <c r="M1454" s="1098"/>
      <c r="N1454" s="1099"/>
      <c r="O1454" s="1099"/>
    </row>
    <row r="1455" spans="2:15">
      <c r="B1455" s="1129"/>
      <c r="C1455" s="1098"/>
      <c r="D1455" s="1099"/>
      <c r="E1455" s="1098"/>
      <c r="F1455" s="1136"/>
      <c r="G1455" s="1099"/>
      <c r="H1455" s="1098"/>
      <c r="I1455" s="1099"/>
      <c r="J1455" s="1140"/>
      <c r="K1455" s="1140"/>
      <c r="L1455" s="1143"/>
      <c r="M1455" s="1098"/>
      <c r="N1455" s="1099"/>
      <c r="O1455" s="1099"/>
    </row>
    <row r="1456" spans="2:15">
      <c r="B1456" s="1129"/>
      <c r="C1456" s="1098"/>
      <c r="D1456" s="1099"/>
      <c r="E1456" s="1098"/>
      <c r="F1456" s="1136"/>
      <c r="G1456" s="1099"/>
      <c r="H1456" s="1098"/>
      <c r="I1456" s="1099"/>
      <c r="J1456" s="1140"/>
      <c r="K1456" s="1140"/>
      <c r="L1456" s="1143"/>
      <c r="M1456" s="1098"/>
      <c r="N1456" s="1099"/>
      <c r="O1456" s="1099"/>
    </row>
    <row r="1457" spans="2:15">
      <c r="B1457" s="1129"/>
      <c r="C1457" s="1098"/>
      <c r="D1457" s="1099"/>
      <c r="E1457" s="1098"/>
      <c r="F1457" s="1136"/>
      <c r="G1457" s="1099"/>
      <c r="H1457" s="1098"/>
      <c r="I1457" s="1099"/>
      <c r="J1457" s="1140"/>
      <c r="K1457" s="1140"/>
      <c r="L1457" s="1143"/>
      <c r="M1457" s="1098"/>
      <c r="N1457" s="1099"/>
      <c r="O1457" s="1099"/>
    </row>
    <row r="1458" spans="2:15">
      <c r="B1458" s="1129"/>
      <c r="C1458" s="1098"/>
      <c r="D1458" s="1099"/>
      <c r="E1458" s="1098"/>
      <c r="F1458" s="1136"/>
      <c r="G1458" s="1099"/>
      <c r="H1458" s="1098"/>
      <c r="I1458" s="1099"/>
      <c r="J1458" s="1140"/>
      <c r="K1458" s="1140"/>
      <c r="L1458" s="1143"/>
      <c r="M1458" s="1098"/>
      <c r="N1458" s="1099"/>
      <c r="O1458" s="1099"/>
    </row>
    <row r="1459" spans="2:15">
      <c r="B1459" s="1129"/>
      <c r="C1459" s="1098"/>
      <c r="D1459" s="1099"/>
      <c r="E1459" s="1098"/>
      <c r="F1459" s="1136"/>
      <c r="G1459" s="1099"/>
      <c r="H1459" s="1098"/>
      <c r="I1459" s="1099"/>
      <c r="J1459" s="1140"/>
      <c r="K1459" s="1140"/>
      <c r="L1459" s="1143"/>
      <c r="M1459" s="1098"/>
      <c r="N1459" s="1099"/>
      <c r="O1459" s="1099"/>
    </row>
    <row r="1460" spans="2:15">
      <c r="B1460" s="1129"/>
      <c r="C1460" s="1098"/>
      <c r="D1460" s="1099"/>
      <c r="E1460" s="1098"/>
      <c r="F1460" s="1136"/>
      <c r="G1460" s="1099"/>
      <c r="H1460" s="1098"/>
      <c r="I1460" s="1099"/>
      <c r="J1460" s="1140"/>
      <c r="K1460" s="1140"/>
      <c r="L1460" s="1143"/>
      <c r="M1460" s="1098"/>
      <c r="N1460" s="1099"/>
      <c r="O1460" s="1099"/>
    </row>
    <row r="1461" spans="2:15">
      <c r="B1461" s="1129"/>
      <c r="C1461" s="1098"/>
      <c r="D1461" s="1099"/>
      <c r="E1461" s="1098"/>
      <c r="F1461" s="1136"/>
      <c r="G1461" s="1099"/>
      <c r="H1461" s="1098"/>
      <c r="I1461" s="1099"/>
      <c r="J1461" s="1140"/>
      <c r="K1461" s="1140"/>
      <c r="L1461" s="1143"/>
      <c r="M1461" s="1098"/>
      <c r="N1461" s="1099"/>
      <c r="O1461" s="1099"/>
    </row>
    <row r="1462" spans="2:15">
      <c r="B1462" s="1129"/>
      <c r="C1462" s="1098"/>
      <c r="D1462" s="1099"/>
      <c r="E1462" s="1098"/>
      <c r="F1462" s="1136"/>
      <c r="G1462" s="1099"/>
      <c r="H1462" s="1098"/>
      <c r="I1462" s="1099"/>
      <c r="J1462" s="1140"/>
      <c r="K1462" s="1140"/>
      <c r="L1462" s="1143"/>
      <c r="M1462" s="1098"/>
      <c r="N1462" s="1099"/>
      <c r="O1462" s="1099"/>
    </row>
    <row r="1463" spans="2:15">
      <c r="B1463" s="1129"/>
      <c r="C1463" s="1098"/>
      <c r="D1463" s="1099"/>
      <c r="E1463" s="1098"/>
      <c r="F1463" s="1136"/>
      <c r="G1463" s="1099"/>
      <c r="H1463" s="1098"/>
      <c r="I1463" s="1099"/>
      <c r="J1463" s="1140"/>
      <c r="K1463" s="1140"/>
      <c r="L1463" s="1143"/>
      <c r="M1463" s="1098"/>
      <c r="N1463" s="1099"/>
      <c r="O1463" s="1099"/>
    </row>
    <row r="1464" spans="2:15">
      <c r="B1464" s="1129"/>
      <c r="C1464" s="1098"/>
      <c r="D1464" s="1099"/>
      <c r="E1464" s="1098"/>
      <c r="F1464" s="1136"/>
      <c r="G1464" s="1099"/>
      <c r="H1464" s="1098"/>
      <c r="I1464" s="1099"/>
      <c r="J1464" s="1140"/>
      <c r="K1464" s="1140"/>
      <c r="L1464" s="1143"/>
      <c r="M1464" s="1098"/>
      <c r="N1464" s="1099"/>
      <c r="O1464" s="1099"/>
    </row>
    <row r="1465" spans="2:15">
      <c r="B1465" s="1129"/>
      <c r="C1465" s="1098"/>
      <c r="D1465" s="1099"/>
      <c r="E1465" s="1098"/>
      <c r="F1465" s="1136"/>
      <c r="G1465" s="1099"/>
      <c r="H1465" s="1098"/>
      <c r="I1465" s="1099"/>
      <c r="J1465" s="1140"/>
      <c r="K1465" s="1140"/>
      <c r="L1465" s="1143"/>
      <c r="M1465" s="1098"/>
      <c r="N1465" s="1099"/>
      <c r="O1465" s="1099"/>
    </row>
    <row r="1466" spans="2:15">
      <c r="B1466" s="1129"/>
      <c r="C1466" s="1098"/>
      <c r="D1466" s="1099"/>
      <c r="E1466" s="1098"/>
      <c r="F1466" s="1136"/>
      <c r="G1466" s="1099"/>
      <c r="H1466" s="1098"/>
      <c r="I1466" s="1099"/>
      <c r="J1466" s="1140"/>
      <c r="K1466" s="1140"/>
      <c r="L1466" s="1143"/>
      <c r="M1466" s="1098"/>
      <c r="N1466" s="1099"/>
      <c r="O1466" s="1099"/>
    </row>
    <row r="1467" spans="2:15">
      <c r="B1467" s="1129"/>
      <c r="C1467" s="1098"/>
      <c r="D1467" s="1099"/>
      <c r="E1467" s="1098"/>
      <c r="F1467" s="1136"/>
      <c r="G1467" s="1099"/>
      <c r="H1467" s="1098"/>
      <c r="I1467" s="1099"/>
      <c r="J1467" s="1140"/>
      <c r="K1467" s="1140"/>
      <c r="L1467" s="1143"/>
      <c r="M1467" s="1098"/>
      <c r="N1467" s="1099"/>
      <c r="O1467" s="1099"/>
    </row>
    <row r="1468" spans="2:15">
      <c r="B1468" s="1129"/>
      <c r="C1468" s="1098"/>
      <c r="D1468" s="1099"/>
      <c r="E1468" s="1098"/>
      <c r="F1468" s="1136"/>
      <c r="G1468" s="1099"/>
      <c r="H1468" s="1098"/>
      <c r="I1468" s="1099"/>
      <c r="J1468" s="1140"/>
      <c r="K1468" s="1140"/>
      <c r="L1468" s="1143"/>
      <c r="M1468" s="1098"/>
      <c r="N1468" s="1099"/>
      <c r="O1468" s="1099"/>
    </row>
    <row r="1469" spans="2:15">
      <c r="B1469" s="1129"/>
      <c r="C1469" s="1098"/>
      <c r="D1469" s="1099"/>
      <c r="E1469" s="1098"/>
      <c r="F1469" s="1136"/>
      <c r="G1469" s="1099"/>
      <c r="H1469" s="1098"/>
      <c r="I1469" s="1099"/>
      <c r="J1469" s="1140"/>
      <c r="K1469" s="1140"/>
      <c r="L1469" s="1143"/>
      <c r="M1469" s="1098"/>
      <c r="N1469" s="1099"/>
      <c r="O1469" s="1099"/>
    </row>
    <row r="1470" spans="2:15">
      <c r="B1470" s="1129"/>
      <c r="C1470" s="1098"/>
      <c r="D1470" s="1099"/>
      <c r="E1470" s="1098"/>
      <c r="F1470" s="1136"/>
      <c r="G1470" s="1099"/>
      <c r="H1470" s="1098"/>
      <c r="I1470" s="1099"/>
      <c r="J1470" s="1140"/>
      <c r="K1470" s="1140"/>
      <c r="L1470" s="1143"/>
      <c r="M1470" s="1098"/>
      <c r="N1470" s="1099"/>
      <c r="O1470" s="1099"/>
    </row>
    <row r="1471" spans="2:15">
      <c r="B1471" s="1129"/>
      <c r="C1471" s="1098"/>
      <c r="D1471" s="1099"/>
      <c r="E1471" s="1098"/>
      <c r="F1471" s="1136"/>
      <c r="G1471" s="1099"/>
      <c r="H1471" s="1098"/>
      <c r="I1471" s="1099"/>
      <c r="J1471" s="1140"/>
      <c r="K1471" s="1140"/>
      <c r="L1471" s="1143"/>
      <c r="M1471" s="1098"/>
      <c r="N1471" s="1099"/>
      <c r="O1471" s="1099"/>
    </row>
    <row r="1472" spans="2:15">
      <c r="B1472" s="1129"/>
      <c r="C1472" s="1098"/>
      <c r="D1472" s="1099"/>
      <c r="E1472" s="1098"/>
      <c r="F1472" s="1136"/>
      <c r="G1472" s="1099"/>
      <c r="H1472" s="1098"/>
      <c r="I1472" s="1099"/>
      <c r="J1472" s="1140"/>
      <c r="K1472" s="1140"/>
      <c r="L1472" s="1143"/>
      <c r="M1472" s="1098"/>
      <c r="N1472" s="1099"/>
      <c r="O1472" s="1099"/>
    </row>
    <row r="1473" spans="2:15">
      <c r="B1473" s="1129"/>
      <c r="C1473" s="1098"/>
      <c r="D1473" s="1099"/>
      <c r="E1473" s="1098"/>
      <c r="F1473" s="1136"/>
      <c r="G1473" s="1099"/>
      <c r="H1473" s="1098"/>
      <c r="I1473" s="1099"/>
      <c r="J1473" s="1140"/>
      <c r="K1473" s="1140"/>
      <c r="L1473" s="1143"/>
      <c r="M1473" s="1098"/>
      <c r="N1473" s="1099"/>
      <c r="O1473" s="1099"/>
    </row>
    <row r="1474" spans="2:15">
      <c r="B1474" s="1129"/>
      <c r="C1474" s="1098"/>
      <c r="D1474" s="1099"/>
      <c r="E1474" s="1098"/>
      <c r="F1474" s="1136"/>
      <c r="G1474" s="1099"/>
      <c r="H1474" s="1098"/>
      <c r="I1474" s="1099"/>
      <c r="J1474" s="1140"/>
      <c r="K1474" s="1140"/>
      <c r="L1474" s="1143"/>
      <c r="M1474" s="1098"/>
      <c r="N1474" s="1099"/>
      <c r="O1474" s="1099"/>
    </row>
    <row r="1475" spans="2:15">
      <c r="B1475" s="1129"/>
      <c r="C1475" s="1098"/>
      <c r="D1475" s="1099"/>
      <c r="E1475" s="1098"/>
      <c r="F1475" s="1136"/>
      <c r="G1475" s="1099"/>
      <c r="H1475" s="1098"/>
      <c r="I1475" s="1099"/>
      <c r="J1475" s="1140"/>
      <c r="K1475" s="1140"/>
      <c r="L1475" s="1143"/>
      <c r="M1475" s="1098"/>
      <c r="N1475" s="1099"/>
      <c r="O1475" s="1099"/>
    </row>
    <row r="1476" spans="2:15">
      <c r="B1476" s="1129"/>
      <c r="C1476" s="1098"/>
      <c r="D1476" s="1099"/>
      <c r="E1476" s="1098"/>
      <c r="F1476" s="1136"/>
      <c r="G1476" s="1099"/>
      <c r="H1476" s="1098"/>
      <c r="I1476" s="1099"/>
      <c r="J1476" s="1140"/>
      <c r="K1476" s="1140"/>
      <c r="L1476" s="1143"/>
      <c r="M1476" s="1098"/>
      <c r="N1476" s="1099"/>
      <c r="O1476" s="1099"/>
    </row>
    <row r="1477" spans="2:15">
      <c r="B1477" s="1129"/>
      <c r="C1477" s="1098"/>
      <c r="D1477" s="1099"/>
      <c r="E1477" s="1098"/>
      <c r="F1477" s="1136"/>
      <c r="G1477" s="1099"/>
      <c r="H1477" s="1098"/>
      <c r="I1477" s="1099"/>
      <c r="J1477" s="1140"/>
      <c r="K1477" s="1140"/>
      <c r="L1477" s="1143"/>
      <c r="M1477" s="1098"/>
      <c r="N1477" s="1099"/>
      <c r="O1477" s="1099"/>
    </row>
    <row r="1478" spans="2:15">
      <c r="B1478" s="1129"/>
      <c r="C1478" s="1098"/>
      <c r="D1478" s="1099"/>
      <c r="E1478" s="1098"/>
      <c r="F1478" s="1136"/>
      <c r="G1478" s="1099"/>
      <c r="H1478" s="1098"/>
      <c r="I1478" s="1099"/>
      <c r="J1478" s="1140"/>
      <c r="K1478" s="1140"/>
      <c r="L1478" s="1143"/>
      <c r="M1478" s="1098"/>
      <c r="N1478" s="1099"/>
      <c r="O1478" s="1099"/>
    </row>
    <row r="1479" spans="2:15">
      <c r="B1479" s="1129"/>
      <c r="C1479" s="1098"/>
      <c r="D1479" s="1099"/>
      <c r="E1479" s="1098"/>
      <c r="F1479" s="1136"/>
      <c r="G1479" s="1099"/>
      <c r="H1479" s="1098"/>
      <c r="I1479" s="1099"/>
      <c r="J1479" s="1140"/>
      <c r="K1479" s="1140"/>
      <c r="L1479" s="1143"/>
      <c r="M1479" s="1098"/>
      <c r="N1479" s="1099"/>
      <c r="O1479" s="1099"/>
    </row>
    <row r="1480" spans="2:15">
      <c r="B1480" s="1129"/>
      <c r="C1480" s="1098"/>
      <c r="D1480" s="1099"/>
      <c r="E1480" s="1098"/>
      <c r="F1480" s="1136"/>
      <c r="G1480" s="1099"/>
      <c r="H1480" s="1098"/>
      <c r="I1480" s="1099"/>
      <c r="J1480" s="1140"/>
      <c r="K1480" s="1140"/>
      <c r="L1480" s="1143"/>
      <c r="M1480" s="1098"/>
      <c r="N1480" s="1099"/>
      <c r="O1480" s="1099"/>
    </row>
    <row r="1481" spans="2:15">
      <c r="B1481" s="1129"/>
      <c r="C1481" s="1098"/>
      <c r="D1481" s="1099"/>
      <c r="E1481" s="1098"/>
      <c r="F1481" s="1136"/>
      <c r="G1481" s="1099"/>
      <c r="H1481" s="1098"/>
      <c r="I1481" s="1099"/>
      <c r="J1481" s="1140"/>
      <c r="K1481" s="1140"/>
      <c r="L1481" s="1143"/>
      <c r="M1481" s="1098"/>
      <c r="N1481" s="1099"/>
      <c r="O1481" s="1099"/>
    </row>
    <row r="1482" spans="2:15">
      <c r="B1482" s="1129"/>
      <c r="C1482" s="1098"/>
      <c r="D1482" s="1099"/>
      <c r="E1482" s="1098"/>
      <c r="F1482" s="1136"/>
      <c r="G1482" s="1099"/>
      <c r="H1482" s="1098"/>
      <c r="I1482" s="1099"/>
      <c r="J1482" s="1140"/>
      <c r="K1482" s="1140"/>
      <c r="L1482" s="1143"/>
      <c r="M1482" s="1098"/>
      <c r="N1482" s="1099"/>
      <c r="O1482" s="1099"/>
    </row>
    <row r="1483" spans="2:15">
      <c r="B1483" s="1129"/>
      <c r="C1483" s="1098"/>
      <c r="D1483" s="1099"/>
      <c r="E1483" s="1098"/>
      <c r="F1483" s="1136"/>
      <c r="G1483" s="1099"/>
      <c r="H1483" s="1098"/>
      <c r="I1483" s="1099"/>
      <c r="J1483" s="1140"/>
      <c r="K1483" s="1140"/>
      <c r="L1483" s="1143"/>
      <c r="M1483" s="1098"/>
      <c r="N1483" s="1099"/>
      <c r="O1483" s="1099"/>
    </row>
    <row r="1484" spans="2:15">
      <c r="B1484" s="1129"/>
      <c r="C1484" s="1098"/>
      <c r="D1484" s="1099"/>
      <c r="E1484" s="1098"/>
      <c r="F1484" s="1136"/>
      <c r="G1484" s="1099"/>
      <c r="H1484" s="1098"/>
      <c r="I1484" s="1099"/>
      <c r="J1484" s="1140"/>
      <c r="K1484" s="1140"/>
      <c r="L1484" s="1143"/>
      <c r="M1484" s="1098"/>
      <c r="N1484" s="1099"/>
      <c r="O1484" s="1099"/>
    </row>
    <row r="1485" spans="2:15">
      <c r="B1485" s="1129"/>
      <c r="C1485" s="1098"/>
      <c r="D1485" s="1099"/>
      <c r="E1485" s="1098"/>
      <c r="F1485" s="1136"/>
      <c r="G1485" s="1099"/>
      <c r="H1485" s="1098"/>
      <c r="I1485" s="1099"/>
      <c r="J1485" s="1140"/>
      <c r="K1485" s="1140"/>
      <c r="L1485" s="1143"/>
      <c r="M1485" s="1098"/>
      <c r="N1485" s="1099"/>
      <c r="O1485" s="1099"/>
    </row>
    <row r="1486" spans="2:15">
      <c r="B1486" s="1129"/>
      <c r="C1486" s="1098"/>
      <c r="D1486" s="1099"/>
      <c r="E1486" s="1098"/>
      <c r="F1486" s="1136"/>
      <c r="G1486" s="1099"/>
      <c r="H1486" s="1098"/>
      <c r="I1486" s="1099"/>
      <c r="J1486" s="1140"/>
      <c r="K1486" s="1140"/>
      <c r="L1486" s="1143"/>
      <c r="M1486" s="1098"/>
      <c r="N1486" s="1099"/>
      <c r="O1486" s="1099"/>
    </row>
    <row r="1487" spans="2:15">
      <c r="B1487" s="1129"/>
      <c r="C1487" s="1098"/>
      <c r="D1487" s="1099"/>
      <c r="E1487" s="1098"/>
      <c r="F1487" s="1136"/>
      <c r="G1487" s="1099"/>
      <c r="H1487" s="1098"/>
      <c r="I1487" s="1099"/>
      <c r="J1487" s="1140"/>
      <c r="K1487" s="1140"/>
      <c r="L1487" s="1143"/>
      <c r="M1487" s="1098"/>
      <c r="N1487" s="1099"/>
      <c r="O1487" s="1099"/>
    </row>
    <row r="1488" spans="2:15">
      <c r="B1488" s="1129"/>
      <c r="C1488" s="1098"/>
      <c r="D1488" s="1099"/>
      <c r="E1488" s="1098"/>
      <c r="F1488" s="1136"/>
      <c r="G1488" s="1099"/>
      <c r="H1488" s="1098"/>
      <c r="I1488" s="1099"/>
      <c r="J1488" s="1140"/>
      <c r="K1488" s="1140"/>
      <c r="L1488" s="1143"/>
      <c r="M1488" s="1098"/>
      <c r="N1488" s="1099"/>
      <c r="O1488" s="1099"/>
    </row>
    <row r="1489" spans="2:15">
      <c r="B1489" s="1129"/>
      <c r="C1489" s="1098"/>
      <c r="D1489" s="1099"/>
      <c r="E1489" s="1098"/>
      <c r="F1489" s="1136"/>
      <c r="G1489" s="1099"/>
      <c r="H1489" s="1098"/>
      <c r="I1489" s="1099"/>
      <c r="J1489" s="1140"/>
      <c r="K1489" s="1140"/>
      <c r="L1489" s="1143"/>
      <c r="M1489" s="1098"/>
      <c r="N1489" s="1099"/>
      <c r="O1489" s="1099"/>
    </row>
    <row r="1490" spans="2:15">
      <c r="B1490" s="1129"/>
      <c r="C1490" s="1098"/>
      <c r="D1490" s="1099"/>
      <c r="E1490" s="1098"/>
      <c r="F1490" s="1136"/>
      <c r="G1490" s="1099"/>
      <c r="H1490" s="1098"/>
      <c r="I1490" s="1099"/>
      <c r="J1490" s="1140"/>
      <c r="K1490" s="1140"/>
      <c r="L1490" s="1143"/>
      <c r="M1490" s="1098"/>
      <c r="N1490" s="1099"/>
      <c r="O1490" s="1099"/>
    </row>
    <row r="1491" spans="2:15">
      <c r="B1491" s="1129"/>
      <c r="C1491" s="1098"/>
      <c r="D1491" s="1099"/>
      <c r="E1491" s="1098"/>
      <c r="F1491" s="1136"/>
      <c r="G1491" s="1099"/>
      <c r="H1491" s="1098"/>
      <c r="I1491" s="1099"/>
      <c r="J1491" s="1140"/>
      <c r="K1491" s="1140"/>
      <c r="L1491" s="1143"/>
      <c r="M1491" s="1098"/>
      <c r="N1491" s="1099"/>
      <c r="O1491" s="1099"/>
    </row>
    <row r="1492" spans="2:15">
      <c r="B1492" s="1129"/>
      <c r="C1492" s="1098"/>
      <c r="D1492" s="1099"/>
      <c r="E1492" s="1098"/>
      <c r="F1492" s="1136"/>
      <c r="G1492" s="1099"/>
      <c r="H1492" s="1098"/>
      <c r="I1492" s="1099"/>
      <c r="J1492" s="1140"/>
      <c r="K1492" s="1140"/>
      <c r="L1492" s="1143"/>
      <c r="M1492" s="1098"/>
      <c r="N1492" s="1099"/>
      <c r="O1492" s="1099"/>
    </row>
    <row r="1493" spans="2:15">
      <c r="B1493" s="1129"/>
      <c r="C1493" s="1098"/>
      <c r="D1493" s="1099"/>
      <c r="E1493" s="1098"/>
      <c r="F1493" s="1136"/>
      <c r="G1493" s="1099"/>
      <c r="H1493" s="1098"/>
      <c r="I1493" s="1099"/>
      <c r="J1493" s="1140"/>
      <c r="K1493" s="1140"/>
      <c r="L1493" s="1143"/>
      <c r="M1493" s="1098"/>
      <c r="N1493" s="1099"/>
      <c r="O1493" s="1099"/>
    </row>
    <row r="1494" spans="2:15">
      <c r="B1494" s="1129"/>
      <c r="C1494" s="1098"/>
      <c r="D1494" s="1099"/>
      <c r="E1494" s="1098"/>
      <c r="F1494" s="1136"/>
      <c r="G1494" s="1099"/>
      <c r="H1494" s="1098"/>
      <c r="I1494" s="1099"/>
      <c r="J1494" s="1140"/>
      <c r="K1494" s="1140"/>
      <c r="L1494" s="1143"/>
      <c r="M1494" s="1098"/>
      <c r="N1494" s="1099"/>
      <c r="O1494" s="1099"/>
    </row>
    <row r="1495" spans="2:15">
      <c r="B1495" s="1129"/>
      <c r="C1495" s="1098"/>
      <c r="D1495" s="1099"/>
      <c r="E1495" s="1098"/>
      <c r="F1495" s="1136"/>
      <c r="G1495" s="1099"/>
      <c r="H1495" s="1098"/>
      <c r="I1495" s="1099"/>
      <c r="J1495" s="1140"/>
      <c r="K1495" s="1140"/>
      <c r="L1495" s="1143"/>
      <c r="M1495" s="1098"/>
      <c r="N1495" s="1099"/>
      <c r="O1495" s="1099"/>
    </row>
    <row r="1496" spans="2:15">
      <c r="B1496" s="1129"/>
      <c r="C1496" s="1098"/>
      <c r="D1496" s="1099"/>
      <c r="E1496" s="1098"/>
      <c r="F1496" s="1136"/>
      <c r="G1496" s="1099"/>
      <c r="H1496" s="1098"/>
      <c r="I1496" s="1099"/>
      <c r="J1496" s="1140"/>
      <c r="K1496" s="1140"/>
      <c r="L1496" s="1143"/>
      <c r="M1496" s="1098"/>
      <c r="N1496" s="1099"/>
      <c r="O1496" s="1099"/>
    </row>
    <row r="1497" spans="2:15">
      <c r="B1497" s="1129"/>
      <c r="C1497" s="1098"/>
      <c r="D1497" s="1099"/>
      <c r="E1497" s="1098"/>
      <c r="F1497" s="1136"/>
      <c r="G1497" s="1099"/>
      <c r="H1497" s="1098"/>
      <c r="I1497" s="1099"/>
      <c r="J1497" s="1140"/>
      <c r="K1497" s="1140"/>
      <c r="L1497" s="1143"/>
      <c r="M1497" s="1098"/>
      <c r="N1497" s="1099"/>
      <c r="O1497" s="1099"/>
    </row>
    <row r="1498" spans="2:15">
      <c r="B1498" s="1129"/>
      <c r="C1498" s="1098"/>
      <c r="D1498" s="1099"/>
      <c r="E1498" s="1098"/>
      <c r="F1498" s="1136"/>
      <c r="G1498" s="1099"/>
      <c r="H1498" s="1098"/>
      <c r="I1498" s="1099"/>
      <c r="J1498" s="1140"/>
      <c r="K1498" s="1140"/>
      <c r="L1498" s="1143"/>
      <c r="M1498" s="1098"/>
      <c r="N1498" s="1099"/>
      <c r="O1498" s="1099"/>
    </row>
    <row r="1499" spans="2:15">
      <c r="B1499" s="1129"/>
      <c r="C1499" s="1098"/>
      <c r="D1499" s="1099"/>
      <c r="E1499" s="1098"/>
      <c r="F1499" s="1136"/>
      <c r="G1499" s="1099"/>
      <c r="H1499" s="1098"/>
      <c r="I1499" s="1099"/>
      <c r="J1499" s="1140"/>
      <c r="K1499" s="1140"/>
      <c r="L1499" s="1143"/>
      <c r="M1499" s="1098"/>
      <c r="N1499" s="1099"/>
      <c r="O1499" s="1099"/>
    </row>
    <row r="1500" spans="2:15">
      <c r="B1500" s="1129"/>
      <c r="C1500" s="1098"/>
      <c r="D1500" s="1099"/>
      <c r="E1500" s="1098"/>
      <c r="F1500" s="1136"/>
      <c r="G1500" s="1099"/>
      <c r="H1500" s="1098"/>
      <c r="I1500" s="1099"/>
      <c r="J1500" s="1140"/>
      <c r="K1500" s="1140"/>
      <c r="L1500" s="1143"/>
      <c r="M1500" s="1098"/>
      <c r="N1500" s="1099"/>
      <c r="O1500" s="1099"/>
    </row>
    <row r="1501" spans="2:15">
      <c r="B1501" s="1129"/>
      <c r="C1501" s="1098"/>
      <c r="D1501" s="1099"/>
      <c r="E1501" s="1098"/>
      <c r="F1501" s="1136"/>
      <c r="G1501" s="1099"/>
      <c r="H1501" s="1098"/>
      <c r="I1501" s="1099"/>
      <c r="J1501" s="1140"/>
      <c r="K1501" s="1140"/>
      <c r="L1501" s="1143"/>
      <c r="M1501" s="1098"/>
      <c r="N1501" s="1099"/>
      <c r="O1501" s="1099"/>
    </row>
    <row r="1502" spans="2:15">
      <c r="B1502" s="1129"/>
      <c r="C1502" s="1098"/>
      <c r="D1502" s="1099"/>
      <c r="E1502" s="1098"/>
      <c r="F1502" s="1136"/>
      <c r="G1502" s="1099"/>
      <c r="H1502" s="1098"/>
      <c r="I1502" s="1099"/>
      <c r="J1502" s="1140"/>
      <c r="K1502" s="1140"/>
      <c r="L1502" s="1143"/>
      <c r="M1502" s="1098"/>
      <c r="N1502" s="1099"/>
      <c r="O1502" s="1099"/>
    </row>
    <row r="1503" spans="2:15">
      <c r="B1503" s="1129"/>
      <c r="C1503" s="1098"/>
      <c r="D1503" s="1099"/>
      <c r="E1503" s="1098"/>
      <c r="F1503" s="1136"/>
      <c r="G1503" s="1099"/>
      <c r="H1503" s="1098"/>
      <c r="I1503" s="1099"/>
      <c r="J1503" s="1140"/>
      <c r="K1503" s="1140"/>
      <c r="L1503" s="1143"/>
      <c r="M1503" s="1098"/>
      <c r="N1503" s="1099"/>
      <c r="O1503" s="1099"/>
    </row>
    <row r="1504" spans="2:15">
      <c r="B1504" s="1129"/>
      <c r="C1504" s="1098"/>
      <c r="D1504" s="1099"/>
      <c r="E1504" s="1098"/>
      <c r="F1504" s="1136"/>
      <c r="G1504" s="1099"/>
      <c r="H1504" s="1098"/>
      <c r="I1504" s="1099"/>
      <c r="J1504" s="1140"/>
      <c r="K1504" s="1140"/>
      <c r="L1504" s="1143"/>
      <c r="M1504" s="1098"/>
      <c r="N1504" s="1099"/>
      <c r="O1504" s="1099"/>
    </row>
    <row r="1505" spans="2:15">
      <c r="B1505" s="1129"/>
      <c r="C1505" s="1098"/>
      <c r="D1505" s="1099"/>
      <c r="E1505" s="1098"/>
      <c r="F1505" s="1136"/>
      <c r="G1505" s="1099"/>
      <c r="H1505" s="1098"/>
      <c r="I1505" s="1099"/>
      <c r="J1505" s="1140"/>
      <c r="K1505" s="1140"/>
      <c r="L1505" s="1143"/>
      <c r="M1505" s="1098"/>
      <c r="N1505" s="1099"/>
      <c r="O1505" s="1099"/>
    </row>
    <row r="1506" spans="2:15">
      <c r="B1506" s="1129"/>
      <c r="C1506" s="1098"/>
      <c r="D1506" s="1099"/>
      <c r="E1506" s="1098"/>
      <c r="F1506" s="1136"/>
      <c r="G1506" s="1099"/>
      <c r="H1506" s="1098"/>
      <c r="I1506" s="1099"/>
      <c r="J1506" s="1140"/>
      <c r="K1506" s="1140"/>
      <c r="L1506" s="1143"/>
      <c r="M1506" s="1098"/>
      <c r="N1506" s="1099"/>
      <c r="O1506" s="1099"/>
    </row>
    <row r="1507" spans="2:15">
      <c r="B1507" s="1129"/>
      <c r="C1507" s="1098"/>
      <c r="D1507" s="1099"/>
      <c r="E1507" s="1098"/>
      <c r="F1507" s="1136"/>
      <c r="G1507" s="1099"/>
      <c r="H1507" s="1098"/>
      <c r="I1507" s="1099"/>
      <c r="J1507" s="1140"/>
      <c r="K1507" s="1140"/>
      <c r="L1507" s="1143"/>
      <c r="M1507" s="1098"/>
      <c r="N1507" s="1099"/>
      <c r="O1507" s="1099"/>
    </row>
    <row r="1508" spans="2:15">
      <c r="B1508" s="1129"/>
      <c r="C1508" s="1098"/>
      <c r="D1508" s="1099"/>
      <c r="E1508" s="1098"/>
      <c r="F1508" s="1136"/>
      <c r="G1508" s="1099"/>
      <c r="H1508" s="1098"/>
      <c r="I1508" s="1099"/>
      <c r="J1508" s="1140"/>
      <c r="K1508" s="1140"/>
      <c r="L1508" s="1143"/>
      <c r="M1508" s="1098"/>
      <c r="N1508" s="1099"/>
      <c r="O1508" s="1099"/>
    </row>
    <row r="1509" spans="2:15">
      <c r="B1509" s="1129"/>
      <c r="C1509" s="1098"/>
      <c r="D1509" s="1099"/>
      <c r="E1509" s="1098"/>
      <c r="F1509" s="1136"/>
      <c r="G1509" s="1099"/>
      <c r="H1509" s="1098"/>
      <c r="I1509" s="1099"/>
      <c r="J1509" s="1140"/>
      <c r="K1509" s="1140"/>
      <c r="L1509" s="1143"/>
      <c r="M1509" s="1098"/>
      <c r="N1509" s="1099"/>
      <c r="O1509" s="1099"/>
    </row>
    <row r="1510" spans="2:15">
      <c r="B1510" s="1129"/>
      <c r="C1510" s="1098"/>
      <c r="D1510" s="1099"/>
      <c r="E1510" s="1098"/>
      <c r="F1510" s="1136"/>
      <c r="G1510" s="1099"/>
      <c r="H1510" s="1098"/>
      <c r="I1510" s="1099"/>
      <c r="J1510" s="1140"/>
      <c r="K1510" s="1140"/>
      <c r="L1510" s="1143"/>
      <c r="M1510" s="1098"/>
      <c r="N1510" s="1099"/>
      <c r="O1510" s="1099"/>
    </row>
    <row r="1511" spans="2:15">
      <c r="B1511" s="1129"/>
      <c r="C1511" s="1098"/>
      <c r="D1511" s="1099"/>
      <c r="E1511" s="1098"/>
      <c r="F1511" s="1136"/>
      <c r="G1511" s="1099"/>
      <c r="H1511" s="1098"/>
      <c r="I1511" s="1099"/>
      <c r="J1511" s="1140"/>
      <c r="K1511" s="1140"/>
      <c r="L1511" s="1143"/>
      <c r="M1511" s="1098"/>
      <c r="N1511" s="1099"/>
      <c r="O1511" s="1099"/>
    </row>
    <row r="1512" spans="2:15">
      <c r="B1512" s="1129"/>
      <c r="C1512" s="1098"/>
      <c r="D1512" s="1099"/>
      <c r="E1512" s="1098"/>
      <c r="F1512" s="1136"/>
      <c r="G1512" s="1099"/>
      <c r="H1512" s="1098"/>
      <c r="I1512" s="1099"/>
      <c r="J1512" s="1140"/>
      <c r="K1512" s="1140"/>
      <c r="L1512" s="1143"/>
      <c r="M1512" s="1098"/>
      <c r="N1512" s="1099"/>
      <c r="O1512" s="1099"/>
    </row>
    <row r="1513" spans="2:15">
      <c r="B1513" s="1129"/>
      <c r="C1513" s="1098"/>
      <c r="D1513" s="1099"/>
      <c r="E1513" s="1098"/>
      <c r="F1513" s="1136"/>
      <c r="G1513" s="1099"/>
      <c r="H1513" s="1098"/>
      <c r="I1513" s="1099"/>
      <c r="J1513" s="1140"/>
      <c r="K1513" s="1140"/>
      <c r="L1513" s="1143"/>
      <c r="M1513" s="1098"/>
      <c r="N1513" s="1099"/>
      <c r="O1513" s="1099"/>
    </row>
    <row r="1514" spans="2:15">
      <c r="B1514" s="1129"/>
      <c r="C1514" s="1098"/>
      <c r="D1514" s="1099"/>
      <c r="E1514" s="1098"/>
      <c r="F1514" s="1136"/>
      <c r="G1514" s="1099"/>
      <c r="H1514" s="1098"/>
      <c r="I1514" s="1099"/>
      <c r="J1514" s="1140"/>
      <c r="K1514" s="1140"/>
      <c r="L1514" s="1143"/>
      <c r="M1514" s="1098"/>
      <c r="N1514" s="1099"/>
      <c r="O1514" s="1099"/>
    </row>
    <row r="1515" spans="2:15">
      <c r="B1515" s="1129"/>
      <c r="C1515" s="1098"/>
      <c r="D1515" s="1099"/>
      <c r="E1515" s="1098"/>
      <c r="F1515" s="1136"/>
      <c r="G1515" s="1099"/>
      <c r="H1515" s="1098"/>
      <c r="I1515" s="1099"/>
      <c r="J1515" s="1140"/>
      <c r="K1515" s="1140"/>
      <c r="L1515" s="1143"/>
      <c r="M1515" s="1098"/>
      <c r="N1515" s="1099"/>
      <c r="O1515" s="1099"/>
    </row>
    <row r="1516" spans="2:15">
      <c r="B1516" s="1129"/>
      <c r="C1516" s="1098"/>
      <c r="D1516" s="1099"/>
      <c r="E1516" s="1098"/>
      <c r="F1516" s="1136"/>
      <c r="G1516" s="1099"/>
      <c r="H1516" s="1098"/>
      <c r="I1516" s="1099"/>
      <c r="J1516" s="1140"/>
      <c r="K1516" s="1140"/>
      <c r="L1516" s="1143"/>
      <c r="M1516" s="1098"/>
      <c r="N1516" s="1099"/>
      <c r="O1516" s="1099"/>
    </row>
    <row r="1517" spans="2:15">
      <c r="B1517" s="1129"/>
      <c r="C1517" s="1098"/>
      <c r="D1517" s="1099"/>
      <c r="E1517" s="1098"/>
      <c r="F1517" s="1136"/>
      <c r="G1517" s="1099"/>
      <c r="H1517" s="1098"/>
      <c r="I1517" s="1099"/>
      <c r="J1517" s="1140"/>
      <c r="K1517" s="1140"/>
      <c r="L1517" s="1143"/>
      <c r="M1517" s="1098"/>
      <c r="N1517" s="1099"/>
      <c r="O1517" s="1099"/>
    </row>
    <row r="1518" spans="2:15">
      <c r="B1518" s="1129"/>
      <c r="C1518" s="1098"/>
      <c r="D1518" s="1099"/>
      <c r="E1518" s="1098"/>
      <c r="F1518" s="1136"/>
      <c r="G1518" s="1099"/>
      <c r="H1518" s="1098"/>
      <c r="I1518" s="1099"/>
      <c r="J1518" s="1140"/>
      <c r="K1518" s="1140"/>
      <c r="L1518" s="1143"/>
      <c r="M1518" s="1098"/>
      <c r="N1518" s="1099"/>
      <c r="O1518" s="1099"/>
    </row>
    <row r="1519" spans="2:15">
      <c r="B1519" s="1129"/>
      <c r="C1519" s="1098"/>
      <c r="D1519" s="1099"/>
      <c r="E1519" s="1098"/>
      <c r="F1519" s="1136"/>
      <c r="G1519" s="1099"/>
      <c r="H1519" s="1098"/>
      <c r="I1519" s="1099"/>
      <c r="J1519" s="1140"/>
      <c r="K1519" s="1140"/>
      <c r="L1519" s="1143"/>
      <c r="M1519" s="1098"/>
      <c r="N1519" s="1099"/>
      <c r="O1519" s="1099"/>
    </row>
    <row r="1520" spans="2:15">
      <c r="B1520" s="1129"/>
      <c r="C1520" s="1098"/>
      <c r="D1520" s="1099"/>
      <c r="E1520" s="1098"/>
      <c r="F1520" s="1136"/>
      <c r="G1520" s="1099"/>
      <c r="H1520" s="1098"/>
      <c r="I1520" s="1099"/>
      <c r="J1520" s="1140"/>
      <c r="K1520" s="1140"/>
      <c r="L1520" s="1143"/>
      <c r="M1520" s="1098"/>
      <c r="N1520" s="1099"/>
      <c r="O1520" s="1099"/>
    </row>
    <row r="1521" spans="2:15">
      <c r="B1521" s="1129"/>
      <c r="C1521" s="1098"/>
      <c r="D1521" s="1099"/>
      <c r="E1521" s="1098"/>
      <c r="F1521" s="1136"/>
      <c r="G1521" s="1099"/>
      <c r="H1521" s="1098"/>
      <c r="I1521" s="1099"/>
      <c r="J1521" s="1140"/>
      <c r="K1521" s="1140"/>
      <c r="L1521" s="1143"/>
      <c r="M1521" s="1098"/>
      <c r="N1521" s="1099"/>
      <c r="O1521" s="1099"/>
    </row>
    <row r="1522" spans="2:15">
      <c r="B1522" s="1129"/>
      <c r="C1522" s="1098"/>
      <c r="D1522" s="1099"/>
      <c r="E1522" s="1098"/>
      <c r="F1522" s="1136"/>
      <c r="G1522" s="1099"/>
      <c r="H1522" s="1098"/>
      <c r="I1522" s="1099"/>
      <c r="J1522" s="1140"/>
      <c r="K1522" s="1140"/>
      <c r="L1522" s="1143"/>
      <c r="M1522" s="1098"/>
      <c r="N1522" s="1099"/>
      <c r="O1522" s="1099"/>
    </row>
    <row r="1523" spans="2:15">
      <c r="B1523" s="1129"/>
      <c r="C1523" s="1098"/>
      <c r="D1523" s="1099"/>
      <c r="E1523" s="1098"/>
      <c r="F1523" s="1136"/>
      <c r="G1523" s="1099"/>
      <c r="H1523" s="1098"/>
      <c r="I1523" s="1099"/>
      <c r="J1523" s="1140"/>
      <c r="K1523" s="1140"/>
      <c r="L1523" s="1143"/>
      <c r="M1523" s="1098"/>
      <c r="N1523" s="1099"/>
      <c r="O1523" s="1099"/>
    </row>
    <row r="1524" spans="2:15">
      <c r="B1524" s="1129"/>
      <c r="C1524" s="1098"/>
      <c r="D1524" s="1099"/>
      <c r="E1524" s="1098"/>
      <c r="F1524" s="1136"/>
      <c r="G1524" s="1099"/>
      <c r="H1524" s="1098"/>
      <c r="I1524" s="1099"/>
      <c r="J1524" s="1140"/>
      <c r="K1524" s="1140"/>
      <c r="L1524" s="1143"/>
      <c r="M1524" s="1098"/>
      <c r="N1524" s="1099"/>
      <c r="O1524" s="1099"/>
    </row>
    <row r="1525" spans="2:15">
      <c r="B1525" s="1129"/>
      <c r="C1525" s="1098"/>
      <c r="D1525" s="1099"/>
      <c r="E1525" s="1098"/>
      <c r="F1525" s="1136"/>
      <c r="G1525" s="1099"/>
      <c r="H1525" s="1098"/>
      <c r="I1525" s="1099"/>
      <c r="J1525" s="1140"/>
      <c r="K1525" s="1140"/>
      <c r="L1525" s="1143"/>
      <c r="M1525" s="1098"/>
      <c r="N1525" s="1099"/>
      <c r="O1525" s="1099"/>
    </row>
    <row r="1526" spans="2:15">
      <c r="B1526" s="1129"/>
      <c r="C1526" s="1098"/>
      <c r="D1526" s="1099"/>
      <c r="E1526" s="1098"/>
      <c r="F1526" s="1136"/>
      <c r="G1526" s="1099"/>
      <c r="H1526" s="1098"/>
      <c r="I1526" s="1099"/>
      <c r="J1526" s="1140"/>
      <c r="K1526" s="1140"/>
      <c r="L1526" s="1143"/>
      <c r="M1526" s="1098"/>
      <c r="N1526" s="1099"/>
      <c r="O1526" s="1099"/>
    </row>
    <row r="1527" spans="2:15">
      <c r="B1527" s="1129"/>
      <c r="C1527" s="1098"/>
      <c r="D1527" s="1099"/>
      <c r="E1527" s="1098"/>
      <c r="F1527" s="1136"/>
      <c r="G1527" s="1099"/>
      <c r="H1527" s="1098"/>
      <c r="I1527" s="1099"/>
      <c r="J1527" s="1140"/>
      <c r="K1527" s="1140"/>
      <c r="L1527" s="1143"/>
      <c r="M1527" s="1098"/>
      <c r="N1527" s="1099"/>
      <c r="O1527" s="1099"/>
    </row>
    <row r="1528" spans="2:15">
      <c r="B1528" s="1129"/>
      <c r="C1528" s="1098"/>
      <c r="D1528" s="1099"/>
      <c r="E1528" s="1098"/>
      <c r="F1528" s="1136"/>
      <c r="G1528" s="1099"/>
      <c r="H1528" s="1098"/>
      <c r="I1528" s="1099"/>
      <c r="J1528" s="1140"/>
      <c r="K1528" s="1140"/>
      <c r="L1528" s="1143"/>
      <c r="M1528" s="1098"/>
      <c r="N1528" s="1099"/>
      <c r="O1528" s="1099"/>
    </row>
    <row r="1529" spans="2:15">
      <c r="B1529" s="1129"/>
      <c r="C1529" s="1098"/>
      <c r="D1529" s="1099"/>
      <c r="E1529" s="1098"/>
      <c r="F1529" s="1136"/>
      <c r="G1529" s="1099"/>
      <c r="H1529" s="1098"/>
      <c r="I1529" s="1099"/>
      <c r="J1529" s="1140"/>
      <c r="K1529" s="1140"/>
      <c r="L1529" s="1143"/>
      <c r="M1529" s="1098"/>
      <c r="N1529" s="1099"/>
      <c r="O1529" s="1099"/>
    </row>
    <row r="1530" spans="2:15">
      <c r="B1530" s="1129"/>
      <c r="C1530" s="1098"/>
      <c r="D1530" s="1099"/>
      <c r="E1530" s="1098"/>
      <c r="F1530" s="1136"/>
      <c r="G1530" s="1099"/>
      <c r="H1530" s="1098"/>
      <c r="I1530" s="1099"/>
      <c r="J1530" s="1140"/>
      <c r="K1530" s="1140"/>
      <c r="L1530" s="1143"/>
      <c r="M1530" s="1098"/>
      <c r="N1530" s="1099"/>
      <c r="O1530" s="1099"/>
    </row>
    <row r="1531" spans="2:15">
      <c r="B1531" s="1129"/>
      <c r="C1531" s="1098"/>
      <c r="D1531" s="1099"/>
      <c r="E1531" s="1098"/>
      <c r="F1531" s="1136"/>
      <c r="G1531" s="1099"/>
      <c r="H1531" s="1098"/>
      <c r="I1531" s="1099"/>
      <c r="J1531" s="1140"/>
      <c r="K1531" s="1140"/>
      <c r="L1531" s="1143"/>
      <c r="M1531" s="1098"/>
      <c r="N1531" s="1099"/>
      <c r="O1531" s="1099"/>
    </row>
    <row r="1532" spans="2:15">
      <c r="B1532" s="1129"/>
      <c r="C1532" s="1098"/>
      <c r="D1532" s="1099"/>
      <c r="E1532" s="1098"/>
      <c r="F1532" s="1136"/>
      <c r="G1532" s="1099"/>
      <c r="H1532" s="1098"/>
      <c r="I1532" s="1099"/>
      <c r="J1532" s="1140"/>
      <c r="K1532" s="1140"/>
      <c r="L1532" s="1143"/>
      <c r="M1532" s="1098"/>
      <c r="N1532" s="1099"/>
      <c r="O1532" s="1099"/>
    </row>
    <row r="1533" spans="2:15">
      <c r="B1533" s="1129"/>
      <c r="C1533" s="1098"/>
      <c r="D1533" s="1099"/>
      <c r="E1533" s="1098"/>
      <c r="F1533" s="1136"/>
      <c r="G1533" s="1099"/>
      <c r="H1533" s="1098"/>
      <c r="I1533" s="1099"/>
      <c r="J1533" s="1140"/>
      <c r="K1533" s="1140"/>
      <c r="L1533" s="1143"/>
      <c r="M1533" s="1098"/>
      <c r="N1533" s="1099"/>
      <c r="O1533" s="1099"/>
    </row>
    <row r="1534" spans="2:15">
      <c r="B1534" s="1129"/>
      <c r="C1534" s="1098"/>
      <c r="D1534" s="1099"/>
      <c r="E1534" s="1098"/>
      <c r="F1534" s="1136"/>
      <c r="G1534" s="1099"/>
      <c r="H1534" s="1098"/>
      <c r="I1534" s="1099"/>
      <c r="J1534" s="1140"/>
      <c r="K1534" s="1140"/>
      <c r="L1534" s="1143"/>
      <c r="M1534" s="1098"/>
      <c r="N1534" s="1099"/>
      <c r="O1534" s="1099"/>
    </row>
    <row r="1535" spans="2:15">
      <c r="B1535" s="1129"/>
      <c r="C1535" s="1098"/>
      <c r="D1535" s="1099"/>
      <c r="E1535" s="1098"/>
      <c r="F1535" s="1136"/>
      <c r="G1535" s="1099"/>
      <c r="H1535" s="1098"/>
      <c r="I1535" s="1099"/>
      <c r="J1535" s="1140"/>
      <c r="K1535" s="1140"/>
      <c r="L1535" s="1143"/>
      <c r="M1535" s="1098"/>
      <c r="N1535" s="1099"/>
      <c r="O1535" s="1099"/>
    </row>
    <row r="1536" spans="2:15">
      <c r="B1536" s="1129"/>
      <c r="C1536" s="1098"/>
      <c r="D1536" s="1099"/>
      <c r="E1536" s="1098"/>
      <c r="F1536" s="1136"/>
      <c r="G1536" s="1099"/>
      <c r="H1536" s="1098"/>
      <c r="I1536" s="1099"/>
      <c r="J1536" s="1140"/>
      <c r="K1536" s="1140"/>
      <c r="L1536" s="1143"/>
      <c r="M1536" s="1098"/>
      <c r="N1536" s="1099"/>
      <c r="O1536" s="1099"/>
    </row>
    <row r="1537" spans="2:15">
      <c r="B1537" s="1129"/>
      <c r="C1537" s="1098"/>
      <c r="D1537" s="1099"/>
      <c r="E1537" s="1098"/>
      <c r="F1537" s="1136"/>
      <c r="G1537" s="1099"/>
      <c r="H1537" s="1098"/>
      <c r="I1537" s="1099"/>
      <c r="J1537" s="1140"/>
      <c r="K1537" s="1140"/>
      <c r="L1537" s="1143"/>
      <c r="M1537" s="1098"/>
      <c r="N1537" s="1099"/>
      <c r="O1537" s="1099"/>
    </row>
    <row r="1538" spans="2:15">
      <c r="B1538" s="1129"/>
      <c r="C1538" s="1098"/>
      <c r="D1538" s="1099"/>
      <c r="E1538" s="1098"/>
      <c r="F1538" s="1136"/>
      <c r="G1538" s="1099"/>
      <c r="H1538" s="1098"/>
      <c r="I1538" s="1099"/>
      <c r="J1538" s="1140"/>
      <c r="K1538" s="1140"/>
      <c r="L1538" s="1143"/>
      <c r="M1538" s="1098"/>
      <c r="N1538" s="1099"/>
      <c r="O1538" s="1099"/>
    </row>
    <row r="1539" spans="2:15">
      <c r="B1539" s="1129"/>
      <c r="C1539" s="1098"/>
      <c r="D1539" s="1099"/>
      <c r="E1539" s="1098"/>
      <c r="F1539" s="1136"/>
      <c r="G1539" s="1099"/>
      <c r="H1539" s="1098"/>
      <c r="I1539" s="1099"/>
      <c r="J1539" s="1140"/>
      <c r="K1539" s="1140"/>
      <c r="L1539" s="1143"/>
      <c r="M1539" s="1098"/>
      <c r="N1539" s="1099"/>
      <c r="O1539" s="1099"/>
    </row>
    <row r="1540" spans="2:15">
      <c r="B1540" s="1129"/>
      <c r="C1540" s="1098"/>
      <c r="D1540" s="1099"/>
      <c r="E1540" s="1098"/>
      <c r="F1540" s="1136"/>
      <c r="G1540" s="1099"/>
      <c r="H1540" s="1098"/>
      <c r="I1540" s="1099"/>
      <c r="J1540" s="1140"/>
      <c r="K1540" s="1140"/>
      <c r="L1540" s="1143"/>
      <c r="M1540" s="1098"/>
      <c r="N1540" s="1099"/>
      <c r="O1540" s="1099"/>
    </row>
    <row r="1541" spans="2:15">
      <c r="B1541" s="1129"/>
      <c r="C1541" s="1098"/>
      <c r="D1541" s="1099"/>
      <c r="E1541" s="1098"/>
      <c r="F1541" s="1136"/>
      <c r="G1541" s="1099"/>
      <c r="H1541" s="1098"/>
      <c r="I1541" s="1099"/>
      <c r="J1541" s="1140"/>
      <c r="K1541" s="1140"/>
      <c r="L1541" s="1143"/>
      <c r="M1541" s="1098"/>
      <c r="N1541" s="1099"/>
      <c r="O1541" s="1099"/>
    </row>
    <row r="1542" spans="2:15">
      <c r="B1542" s="1129"/>
      <c r="C1542" s="1098"/>
      <c r="D1542" s="1099"/>
      <c r="E1542" s="1098"/>
      <c r="F1542" s="1136"/>
      <c r="G1542" s="1099"/>
      <c r="H1542" s="1098"/>
      <c r="I1542" s="1099"/>
      <c r="J1542" s="1140"/>
      <c r="K1542" s="1140"/>
      <c r="L1542" s="1143"/>
      <c r="M1542" s="1098"/>
      <c r="N1542" s="1099"/>
      <c r="O1542" s="1099"/>
    </row>
    <row r="1543" spans="2:15">
      <c r="B1543" s="1129"/>
      <c r="C1543" s="1098"/>
      <c r="D1543" s="1099"/>
      <c r="E1543" s="1098"/>
      <c r="F1543" s="1136"/>
      <c r="G1543" s="1099"/>
      <c r="H1543" s="1098"/>
      <c r="I1543" s="1099"/>
      <c r="J1543" s="1140"/>
      <c r="K1543" s="1140"/>
      <c r="L1543" s="1143"/>
      <c r="M1543" s="1098"/>
      <c r="N1543" s="1099"/>
      <c r="O1543" s="1099"/>
    </row>
    <row r="1544" spans="2:15">
      <c r="B1544" s="1129"/>
      <c r="C1544" s="1098"/>
      <c r="D1544" s="1099"/>
      <c r="E1544" s="1098"/>
      <c r="F1544" s="1136"/>
      <c r="G1544" s="1099"/>
      <c r="H1544" s="1098"/>
      <c r="I1544" s="1099"/>
      <c r="J1544" s="1140"/>
      <c r="K1544" s="1140"/>
      <c r="L1544" s="1143"/>
      <c r="M1544" s="1098"/>
      <c r="N1544" s="1099"/>
      <c r="O1544" s="1099"/>
    </row>
    <row r="1545" spans="2:15">
      <c r="B1545" s="1129"/>
      <c r="C1545" s="1098"/>
      <c r="D1545" s="1099"/>
      <c r="E1545" s="1098"/>
      <c r="F1545" s="1136"/>
      <c r="G1545" s="1099"/>
      <c r="H1545" s="1098"/>
      <c r="I1545" s="1099"/>
      <c r="J1545" s="1140"/>
      <c r="K1545" s="1140"/>
      <c r="L1545" s="1143"/>
      <c r="M1545" s="1098"/>
      <c r="N1545" s="1099"/>
      <c r="O1545" s="1099"/>
    </row>
    <row r="1546" spans="2:15">
      <c r="B1546" s="1129"/>
      <c r="C1546" s="1098"/>
      <c r="D1546" s="1099"/>
      <c r="E1546" s="1098"/>
      <c r="F1546" s="1136"/>
      <c r="G1546" s="1099"/>
      <c r="H1546" s="1098"/>
      <c r="I1546" s="1099"/>
      <c r="J1546" s="1140"/>
      <c r="K1546" s="1140"/>
      <c r="L1546" s="1143"/>
      <c r="M1546" s="1098"/>
      <c r="N1546" s="1099"/>
      <c r="O1546" s="1099"/>
    </row>
    <row r="1547" spans="2:15">
      <c r="B1547" s="1129"/>
      <c r="C1547" s="1098"/>
      <c r="D1547" s="1099"/>
      <c r="E1547" s="1098"/>
      <c r="F1547" s="1136"/>
      <c r="G1547" s="1099"/>
      <c r="H1547" s="1098"/>
      <c r="I1547" s="1099"/>
      <c r="J1547" s="1140"/>
      <c r="K1547" s="1140"/>
      <c r="L1547" s="1143"/>
      <c r="M1547" s="1098"/>
      <c r="N1547" s="1099"/>
      <c r="O1547" s="1099"/>
    </row>
    <row r="1548" spans="2:15">
      <c r="B1548" s="1129"/>
      <c r="C1548" s="1098"/>
      <c r="D1548" s="1099"/>
      <c r="E1548" s="1098"/>
      <c r="F1548" s="1136"/>
      <c r="G1548" s="1099"/>
      <c r="H1548" s="1098"/>
      <c r="I1548" s="1099"/>
      <c r="J1548" s="1140"/>
      <c r="K1548" s="1140"/>
      <c r="L1548" s="1143"/>
      <c r="M1548" s="1098"/>
      <c r="N1548" s="1099"/>
      <c r="O1548" s="1099"/>
    </row>
    <row r="1549" spans="2:15">
      <c r="B1549" s="1129"/>
      <c r="C1549" s="1098"/>
      <c r="D1549" s="1099"/>
      <c r="E1549" s="1098"/>
      <c r="F1549" s="1136"/>
      <c r="G1549" s="1099"/>
      <c r="H1549" s="1098"/>
      <c r="I1549" s="1099"/>
      <c r="J1549" s="1140"/>
      <c r="K1549" s="1140"/>
      <c r="L1549" s="1143"/>
      <c r="M1549" s="1098"/>
      <c r="N1549" s="1099"/>
      <c r="O1549" s="1099"/>
    </row>
    <row r="1550" spans="2:15">
      <c r="B1550" s="1129"/>
      <c r="C1550" s="1098"/>
      <c r="D1550" s="1099"/>
      <c r="E1550" s="1098"/>
      <c r="F1550" s="1136"/>
      <c r="G1550" s="1099"/>
      <c r="H1550" s="1098"/>
      <c r="I1550" s="1099"/>
      <c r="J1550" s="1140"/>
      <c r="K1550" s="1140"/>
      <c r="L1550" s="1143"/>
      <c r="M1550" s="1098"/>
      <c r="N1550" s="1099"/>
      <c r="O1550" s="1099"/>
    </row>
    <row r="1551" spans="2:15">
      <c r="B1551" s="1129"/>
      <c r="C1551" s="1098"/>
      <c r="D1551" s="1099"/>
      <c r="E1551" s="1098"/>
      <c r="F1551" s="1136"/>
      <c r="G1551" s="1099"/>
      <c r="H1551" s="1098"/>
      <c r="I1551" s="1099"/>
      <c r="J1551" s="1140"/>
      <c r="K1551" s="1140"/>
      <c r="L1551" s="1143"/>
      <c r="M1551" s="1098"/>
      <c r="N1551" s="1099"/>
      <c r="O1551" s="1099"/>
    </row>
    <row r="1552" spans="2:15">
      <c r="B1552" s="1129"/>
      <c r="C1552" s="1098"/>
      <c r="D1552" s="1099"/>
      <c r="E1552" s="1098"/>
      <c r="F1552" s="1136"/>
      <c r="G1552" s="1099"/>
      <c r="H1552" s="1098"/>
      <c r="I1552" s="1099"/>
      <c r="J1552" s="1140"/>
      <c r="K1552" s="1140"/>
      <c r="L1552" s="1143"/>
      <c r="M1552" s="1098"/>
      <c r="N1552" s="1099"/>
      <c r="O1552" s="1099"/>
    </row>
    <row r="1553" spans="2:15">
      <c r="B1553" s="1129"/>
      <c r="C1553" s="1098"/>
      <c r="D1553" s="1099"/>
      <c r="E1553" s="1098"/>
      <c r="F1553" s="1136"/>
      <c r="G1553" s="1099"/>
      <c r="H1553" s="1098"/>
      <c r="I1553" s="1099"/>
      <c r="J1553" s="1140"/>
      <c r="K1553" s="1140"/>
      <c r="L1553" s="1143"/>
      <c r="M1553" s="1098"/>
      <c r="N1553" s="1099"/>
      <c r="O1553" s="1099"/>
    </row>
    <row r="1554" spans="2:15">
      <c r="B1554" s="1129"/>
      <c r="C1554" s="1098"/>
      <c r="D1554" s="1099"/>
      <c r="E1554" s="1098"/>
      <c r="F1554" s="1136"/>
      <c r="G1554" s="1099"/>
      <c r="H1554" s="1098"/>
      <c r="I1554" s="1099"/>
      <c r="J1554" s="1140"/>
      <c r="K1554" s="1140"/>
      <c r="L1554" s="1143"/>
      <c r="M1554" s="1098"/>
      <c r="N1554" s="1099"/>
      <c r="O1554" s="1099"/>
    </row>
    <row r="1555" spans="2:15">
      <c r="B1555" s="1129"/>
      <c r="C1555" s="1098"/>
      <c r="D1555" s="1099"/>
      <c r="E1555" s="1098"/>
      <c r="F1555" s="1136"/>
      <c r="G1555" s="1099"/>
      <c r="H1555" s="1098"/>
      <c r="I1555" s="1099"/>
      <c r="J1555" s="1140"/>
      <c r="K1555" s="1140"/>
      <c r="L1555" s="1143"/>
      <c r="M1555" s="1098"/>
      <c r="N1555" s="1099"/>
      <c r="O1555" s="1099"/>
    </row>
    <row r="1556" spans="2:15">
      <c r="B1556" s="1129"/>
      <c r="C1556" s="1098"/>
      <c r="D1556" s="1099"/>
      <c r="E1556" s="1098"/>
      <c r="F1556" s="1136"/>
      <c r="G1556" s="1099"/>
      <c r="H1556" s="1098"/>
      <c r="I1556" s="1099"/>
      <c r="J1556" s="1140"/>
      <c r="K1556" s="1140"/>
      <c r="L1556" s="1143"/>
      <c r="M1556" s="1098"/>
      <c r="N1556" s="1099"/>
      <c r="O1556" s="1099"/>
    </row>
    <row r="1557" spans="2:15">
      <c r="B1557" s="1129"/>
      <c r="C1557" s="1098"/>
      <c r="D1557" s="1099"/>
      <c r="E1557" s="1098"/>
      <c r="F1557" s="1136"/>
      <c r="G1557" s="1099"/>
      <c r="H1557" s="1098"/>
      <c r="I1557" s="1099"/>
      <c r="J1557" s="1140"/>
      <c r="K1557" s="1140"/>
      <c r="L1557" s="1143"/>
      <c r="M1557" s="1098"/>
      <c r="N1557" s="1099"/>
      <c r="O1557" s="1099"/>
    </row>
    <row r="1558" spans="2:15">
      <c r="B1558" s="1129"/>
      <c r="C1558" s="1098"/>
      <c r="D1558" s="1099"/>
      <c r="E1558" s="1098"/>
      <c r="F1558" s="1136"/>
      <c r="G1558" s="1099"/>
      <c r="H1558" s="1098"/>
      <c r="I1558" s="1099"/>
      <c r="J1558" s="1140"/>
      <c r="K1558" s="1140"/>
      <c r="L1558" s="1143"/>
      <c r="M1558" s="1098"/>
      <c r="N1558" s="1099"/>
      <c r="O1558" s="1099"/>
    </row>
    <row r="1559" spans="2:15">
      <c r="B1559" s="1129"/>
      <c r="C1559" s="1098"/>
      <c r="D1559" s="1099"/>
      <c r="E1559" s="1098"/>
      <c r="F1559" s="1136"/>
      <c r="G1559" s="1099"/>
      <c r="H1559" s="1098"/>
      <c r="I1559" s="1099"/>
      <c r="J1559" s="1140"/>
      <c r="K1559" s="1140"/>
      <c r="L1559" s="1143"/>
      <c r="M1559" s="1098"/>
      <c r="N1559" s="1099"/>
      <c r="O1559" s="1099"/>
    </row>
    <row r="1560" spans="2:15">
      <c r="B1560" s="1129"/>
      <c r="C1560" s="1098"/>
      <c r="D1560" s="1099"/>
      <c r="E1560" s="1098"/>
      <c r="F1560" s="1136"/>
      <c r="G1560" s="1099"/>
      <c r="H1560" s="1098"/>
      <c r="I1560" s="1099"/>
      <c r="J1560" s="1140"/>
      <c r="K1560" s="1140"/>
      <c r="L1560" s="1143"/>
      <c r="M1560" s="1098"/>
      <c r="N1560" s="1099"/>
      <c r="O1560" s="1099"/>
    </row>
    <row r="1561" spans="2:15">
      <c r="B1561" s="1129"/>
      <c r="C1561" s="1098"/>
      <c r="D1561" s="1099"/>
      <c r="E1561" s="1098"/>
      <c r="F1561" s="1136"/>
      <c r="G1561" s="1099"/>
      <c r="H1561" s="1098"/>
      <c r="I1561" s="1099"/>
      <c r="J1561" s="1140"/>
      <c r="K1561" s="1140"/>
      <c r="L1561" s="1143"/>
      <c r="M1561" s="1098"/>
      <c r="N1561" s="1099"/>
      <c r="O1561" s="1099"/>
    </row>
    <row r="1562" spans="2:15">
      <c r="B1562" s="1129"/>
      <c r="C1562" s="1098"/>
      <c r="D1562" s="1099"/>
      <c r="E1562" s="1098"/>
      <c r="F1562" s="1136"/>
      <c r="G1562" s="1099"/>
      <c r="H1562" s="1098"/>
      <c r="I1562" s="1099"/>
      <c r="J1562" s="1140"/>
      <c r="K1562" s="1140"/>
      <c r="L1562" s="1143"/>
      <c r="M1562" s="1098"/>
      <c r="N1562" s="1099"/>
      <c r="O1562" s="1099"/>
    </row>
    <row r="1563" spans="2:15">
      <c r="B1563" s="1129"/>
      <c r="C1563" s="1098"/>
      <c r="D1563" s="1099"/>
      <c r="E1563" s="1098"/>
      <c r="F1563" s="1136"/>
      <c r="G1563" s="1099"/>
      <c r="H1563" s="1098"/>
      <c r="I1563" s="1099"/>
      <c r="J1563" s="1140"/>
      <c r="K1563" s="1140"/>
      <c r="L1563" s="1143"/>
      <c r="M1563" s="1098"/>
      <c r="N1563" s="1099"/>
      <c r="O1563" s="1099"/>
    </row>
    <row r="1564" spans="2:15">
      <c r="B1564" s="1129"/>
      <c r="C1564" s="1098"/>
      <c r="D1564" s="1099"/>
      <c r="E1564" s="1098"/>
      <c r="F1564" s="1136"/>
      <c r="G1564" s="1099"/>
      <c r="H1564" s="1098"/>
      <c r="I1564" s="1099"/>
      <c r="J1564" s="1140"/>
      <c r="K1564" s="1140"/>
      <c r="L1564" s="1143"/>
      <c r="M1564" s="1098"/>
      <c r="N1564" s="1099"/>
      <c r="O1564" s="1099"/>
    </row>
    <row r="1565" spans="2:15">
      <c r="B1565" s="1129"/>
      <c r="C1565" s="1098"/>
      <c r="D1565" s="1099"/>
      <c r="E1565" s="1098"/>
      <c r="F1565" s="1136"/>
      <c r="G1565" s="1099"/>
      <c r="H1565" s="1098"/>
      <c r="I1565" s="1099"/>
      <c r="J1565" s="1140"/>
      <c r="K1565" s="1140"/>
      <c r="L1565" s="1143"/>
      <c r="M1565" s="1098"/>
      <c r="N1565" s="1099"/>
      <c r="O1565" s="1099"/>
    </row>
    <row r="1566" spans="2:15">
      <c r="B1566" s="1129"/>
      <c r="C1566" s="1098"/>
      <c r="D1566" s="1099"/>
      <c r="E1566" s="1098"/>
      <c r="F1566" s="1136"/>
      <c r="G1566" s="1099"/>
      <c r="H1566" s="1098"/>
      <c r="I1566" s="1099"/>
      <c r="J1566" s="1140"/>
      <c r="K1566" s="1140"/>
      <c r="L1566" s="1143"/>
      <c r="M1566" s="1098"/>
      <c r="N1566" s="1099"/>
      <c r="O1566" s="1099"/>
    </row>
    <row r="1567" spans="2:15">
      <c r="B1567" s="1129"/>
      <c r="C1567" s="1098"/>
      <c r="D1567" s="1099"/>
      <c r="E1567" s="1098"/>
      <c r="F1567" s="1136"/>
      <c r="G1567" s="1099"/>
      <c r="H1567" s="1098"/>
      <c r="I1567" s="1099"/>
      <c r="J1567" s="1140"/>
      <c r="K1567" s="1140"/>
      <c r="L1567" s="1143"/>
      <c r="M1567" s="1098"/>
      <c r="N1567" s="1099"/>
      <c r="O1567" s="1099"/>
    </row>
    <row r="1568" spans="2:15">
      <c r="B1568" s="1129"/>
      <c r="C1568" s="1098"/>
      <c r="D1568" s="1099"/>
      <c r="E1568" s="1098"/>
      <c r="F1568" s="1136"/>
      <c r="G1568" s="1099"/>
      <c r="H1568" s="1098"/>
      <c r="I1568" s="1099"/>
      <c r="J1568" s="1140"/>
      <c r="K1568" s="1140"/>
      <c r="L1568" s="1143"/>
      <c r="M1568" s="1098"/>
      <c r="N1568" s="1099"/>
      <c r="O1568" s="1099"/>
    </row>
    <row r="1569" spans="2:15">
      <c r="B1569" s="1129"/>
      <c r="C1569" s="1098"/>
      <c r="D1569" s="1099"/>
      <c r="E1569" s="1098"/>
      <c r="F1569" s="1136"/>
      <c r="G1569" s="1099"/>
      <c r="H1569" s="1098"/>
      <c r="I1569" s="1099"/>
      <c r="J1569" s="1140"/>
      <c r="K1569" s="1140"/>
      <c r="L1569" s="1143"/>
      <c r="M1569" s="1098"/>
      <c r="N1569" s="1099"/>
      <c r="O1569" s="1099"/>
    </row>
    <row r="1570" spans="2:15">
      <c r="B1570" s="1129"/>
      <c r="C1570" s="1098"/>
      <c r="D1570" s="1099"/>
      <c r="E1570" s="1098"/>
      <c r="F1570" s="1136"/>
      <c r="G1570" s="1099"/>
      <c r="H1570" s="1098"/>
      <c r="I1570" s="1099"/>
      <c r="J1570" s="1140"/>
      <c r="K1570" s="1140"/>
      <c r="L1570" s="1143"/>
      <c r="M1570" s="1098"/>
      <c r="N1570" s="1099"/>
      <c r="O1570" s="1099"/>
    </row>
    <row r="1571" spans="2:15">
      <c r="B1571" s="1129"/>
      <c r="C1571" s="1098"/>
      <c r="D1571" s="1099"/>
      <c r="E1571" s="1098"/>
      <c r="F1571" s="1136"/>
      <c r="G1571" s="1099"/>
      <c r="H1571" s="1098"/>
      <c r="I1571" s="1099"/>
      <c r="J1571" s="1140"/>
      <c r="K1571" s="1140"/>
      <c r="L1571" s="1143"/>
      <c r="M1571" s="1098"/>
      <c r="N1571" s="1099"/>
      <c r="O1571" s="1099"/>
    </row>
    <row r="1572" spans="2:15">
      <c r="B1572" s="1129"/>
      <c r="C1572" s="1098"/>
      <c r="D1572" s="1099"/>
      <c r="E1572" s="1098"/>
      <c r="F1572" s="1136"/>
      <c r="G1572" s="1099"/>
      <c r="H1572" s="1098"/>
      <c r="I1572" s="1099"/>
      <c r="J1572" s="1140"/>
      <c r="K1572" s="1140"/>
      <c r="L1572" s="1143"/>
      <c r="M1572" s="1098"/>
      <c r="N1572" s="1099"/>
      <c r="O1572" s="1099"/>
    </row>
    <row r="1573" spans="2:15">
      <c r="B1573" s="1129"/>
      <c r="C1573" s="1098"/>
      <c r="D1573" s="1099"/>
      <c r="E1573" s="1098"/>
      <c r="F1573" s="1136"/>
      <c r="G1573" s="1099"/>
      <c r="H1573" s="1098"/>
      <c r="I1573" s="1099"/>
      <c r="J1573" s="1140"/>
      <c r="K1573" s="1140"/>
      <c r="L1573" s="1143"/>
      <c r="M1573" s="1098"/>
      <c r="N1573" s="1099"/>
      <c r="O1573" s="1099"/>
    </row>
    <row r="1574" spans="2:15">
      <c r="B1574" s="1129"/>
      <c r="C1574" s="1098"/>
      <c r="D1574" s="1099"/>
      <c r="E1574" s="1098"/>
      <c r="F1574" s="1136"/>
      <c r="G1574" s="1099"/>
      <c r="H1574" s="1098"/>
      <c r="I1574" s="1099"/>
      <c r="J1574" s="1140"/>
      <c r="K1574" s="1140"/>
      <c r="L1574" s="1143"/>
      <c r="M1574" s="1098"/>
      <c r="N1574" s="1099"/>
      <c r="O1574" s="1099"/>
    </row>
    <row r="1575" spans="2:15">
      <c r="B1575" s="1129"/>
      <c r="C1575" s="1098"/>
      <c r="D1575" s="1099"/>
      <c r="E1575" s="1098"/>
      <c r="F1575" s="1136"/>
      <c r="G1575" s="1099"/>
      <c r="H1575" s="1098"/>
      <c r="I1575" s="1099"/>
      <c r="J1575" s="1140"/>
      <c r="K1575" s="1140"/>
      <c r="L1575" s="1143"/>
      <c r="M1575" s="1098"/>
      <c r="N1575" s="1099"/>
      <c r="O1575" s="1099"/>
    </row>
    <row r="1576" spans="2:15">
      <c r="B1576" s="1129"/>
      <c r="C1576" s="1098"/>
      <c r="D1576" s="1099"/>
      <c r="E1576" s="1098"/>
      <c r="F1576" s="1136"/>
      <c r="G1576" s="1099"/>
      <c r="H1576" s="1098"/>
      <c r="I1576" s="1099"/>
      <c r="J1576" s="1140"/>
      <c r="K1576" s="1140"/>
      <c r="L1576" s="1143"/>
      <c r="M1576" s="1098"/>
      <c r="N1576" s="1099"/>
      <c r="O1576" s="1099"/>
    </row>
    <row r="1577" spans="2:15">
      <c r="B1577" s="1129"/>
      <c r="C1577" s="1098"/>
      <c r="D1577" s="1099"/>
      <c r="E1577" s="1098"/>
      <c r="F1577" s="1136"/>
      <c r="G1577" s="1099"/>
      <c r="H1577" s="1098"/>
      <c r="I1577" s="1099"/>
      <c r="J1577" s="1140"/>
      <c r="K1577" s="1140"/>
      <c r="L1577" s="1143"/>
      <c r="M1577" s="1098"/>
      <c r="N1577" s="1099"/>
      <c r="O1577" s="1099"/>
    </row>
    <row r="1578" spans="2:15">
      <c r="B1578" s="1129"/>
      <c r="C1578" s="1098"/>
      <c r="D1578" s="1099"/>
      <c r="E1578" s="1098"/>
      <c r="F1578" s="1136"/>
      <c r="G1578" s="1099"/>
      <c r="H1578" s="1098"/>
      <c r="I1578" s="1099"/>
      <c r="J1578" s="1140"/>
      <c r="K1578" s="1140"/>
      <c r="L1578" s="1143"/>
      <c r="M1578" s="1098"/>
      <c r="N1578" s="1099"/>
      <c r="O1578" s="1099"/>
    </row>
    <row r="1579" spans="2:15">
      <c r="B1579" s="1129"/>
      <c r="C1579" s="1098"/>
      <c r="D1579" s="1099"/>
      <c r="E1579" s="1098"/>
      <c r="F1579" s="1136"/>
      <c r="G1579" s="1099"/>
      <c r="H1579" s="1098"/>
      <c r="I1579" s="1099"/>
      <c r="J1579" s="1140"/>
      <c r="K1579" s="1140"/>
      <c r="L1579" s="1143"/>
      <c r="M1579" s="1098"/>
      <c r="N1579" s="1099"/>
      <c r="O1579" s="1099"/>
    </row>
    <row r="1580" spans="2:15">
      <c r="B1580" s="1129"/>
      <c r="C1580" s="1098"/>
      <c r="D1580" s="1099"/>
      <c r="E1580" s="1098"/>
      <c r="F1580" s="1136"/>
      <c r="G1580" s="1099"/>
      <c r="H1580" s="1098"/>
      <c r="I1580" s="1099"/>
      <c r="J1580" s="1140"/>
      <c r="K1580" s="1140"/>
      <c r="L1580" s="1143"/>
      <c r="M1580" s="1098"/>
      <c r="N1580" s="1099"/>
      <c r="O1580" s="1099"/>
    </row>
    <row r="1581" spans="2:15">
      <c r="B1581" s="1129"/>
      <c r="C1581" s="1098"/>
      <c r="D1581" s="1099"/>
      <c r="E1581" s="1098"/>
      <c r="F1581" s="1136"/>
      <c r="G1581" s="1099"/>
      <c r="H1581" s="1098"/>
      <c r="I1581" s="1099"/>
      <c r="J1581" s="1140"/>
      <c r="K1581" s="1140"/>
      <c r="L1581" s="1143"/>
      <c r="M1581" s="1098"/>
      <c r="N1581" s="1099"/>
      <c r="O1581" s="1099"/>
    </row>
    <row r="1582" spans="2:15">
      <c r="B1582" s="1129"/>
      <c r="C1582" s="1098"/>
      <c r="D1582" s="1099"/>
      <c r="E1582" s="1098"/>
      <c r="F1582" s="1136"/>
      <c r="G1582" s="1099"/>
      <c r="H1582" s="1098"/>
      <c r="I1582" s="1099"/>
      <c r="J1582" s="1140"/>
      <c r="K1582" s="1140"/>
      <c r="L1582" s="1143"/>
      <c r="M1582" s="1098"/>
      <c r="N1582" s="1099"/>
      <c r="O1582" s="1099"/>
    </row>
    <row r="1583" spans="2:15">
      <c r="B1583" s="1129"/>
      <c r="C1583" s="1098"/>
      <c r="D1583" s="1099"/>
      <c r="E1583" s="1098"/>
      <c r="F1583" s="1136"/>
      <c r="G1583" s="1099"/>
      <c r="H1583" s="1098"/>
      <c r="I1583" s="1099"/>
      <c r="J1583" s="1140"/>
      <c r="K1583" s="1140"/>
      <c r="L1583" s="1143"/>
      <c r="M1583" s="1098"/>
      <c r="N1583" s="1099"/>
      <c r="O1583" s="1099"/>
    </row>
    <row r="1584" spans="2:15">
      <c r="B1584" s="1129"/>
      <c r="C1584" s="1098"/>
      <c r="D1584" s="1099"/>
      <c r="E1584" s="1098"/>
      <c r="F1584" s="1136"/>
      <c r="G1584" s="1099"/>
      <c r="H1584" s="1098"/>
      <c r="I1584" s="1099"/>
      <c r="J1584" s="1140"/>
      <c r="K1584" s="1140"/>
      <c r="L1584" s="1143"/>
      <c r="M1584" s="1098"/>
      <c r="N1584" s="1099"/>
      <c r="O1584" s="1099"/>
    </row>
    <row r="1585" spans="2:15">
      <c r="B1585" s="1129"/>
      <c r="C1585" s="1098"/>
      <c r="D1585" s="1099"/>
      <c r="E1585" s="1098"/>
      <c r="F1585" s="1136"/>
      <c r="G1585" s="1099"/>
      <c r="H1585" s="1098"/>
      <c r="I1585" s="1099"/>
      <c r="J1585" s="1140"/>
      <c r="K1585" s="1140"/>
      <c r="L1585" s="1143"/>
      <c r="M1585" s="1098"/>
      <c r="N1585" s="1099"/>
      <c r="O1585" s="1099"/>
    </row>
    <row r="1586" spans="2:15">
      <c r="B1586" s="1129"/>
      <c r="C1586" s="1098"/>
      <c r="D1586" s="1099"/>
      <c r="E1586" s="1098"/>
      <c r="F1586" s="1136"/>
      <c r="G1586" s="1099"/>
      <c r="H1586" s="1098"/>
      <c r="I1586" s="1099"/>
      <c r="J1586" s="1140"/>
      <c r="K1586" s="1140"/>
      <c r="L1586" s="1143"/>
      <c r="M1586" s="1098"/>
      <c r="N1586" s="1099"/>
      <c r="O1586" s="1099"/>
    </row>
    <row r="1587" spans="2:15">
      <c r="B1587" s="1129"/>
      <c r="C1587" s="1098"/>
      <c r="D1587" s="1099"/>
      <c r="E1587" s="1098"/>
      <c r="F1587" s="1136"/>
      <c r="G1587" s="1099"/>
      <c r="H1587" s="1098"/>
      <c r="I1587" s="1099"/>
      <c r="J1587" s="1140"/>
      <c r="K1587" s="1140"/>
      <c r="L1587" s="1143"/>
      <c r="M1587" s="1098"/>
      <c r="N1587" s="1099"/>
      <c r="O1587" s="1099"/>
    </row>
    <row r="1588" spans="2:15">
      <c r="B1588" s="1129"/>
      <c r="C1588" s="1098"/>
      <c r="D1588" s="1099"/>
      <c r="E1588" s="1098"/>
      <c r="F1588" s="1136"/>
      <c r="G1588" s="1099"/>
      <c r="H1588" s="1098"/>
      <c r="I1588" s="1099"/>
      <c r="J1588" s="1140"/>
      <c r="K1588" s="1140"/>
      <c r="L1588" s="1143"/>
      <c r="M1588" s="1098"/>
      <c r="N1588" s="1099"/>
      <c r="O1588" s="1099"/>
    </row>
    <row r="1589" spans="2:15">
      <c r="B1589" s="1129"/>
      <c r="C1589" s="1098"/>
      <c r="D1589" s="1099"/>
      <c r="E1589" s="1098"/>
      <c r="F1589" s="1136"/>
      <c r="G1589" s="1099"/>
      <c r="H1589" s="1098"/>
      <c r="I1589" s="1099"/>
      <c r="J1589" s="1140"/>
      <c r="K1589" s="1140"/>
      <c r="L1589" s="1143"/>
      <c r="M1589" s="1098"/>
      <c r="N1589" s="1099"/>
      <c r="O1589" s="1099"/>
    </row>
    <row r="1590" spans="2:15">
      <c r="B1590" s="1129"/>
      <c r="C1590" s="1098"/>
      <c r="D1590" s="1099"/>
      <c r="E1590" s="1098"/>
      <c r="F1590" s="1136"/>
      <c r="G1590" s="1099"/>
      <c r="H1590" s="1098"/>
      <c r="I1590" s="1099"/>
      <c r="J1590" s="1140"/>
      <c r="K1590" s="1140"/>
      <c r="L1590" s="1143"/>
      <c r="M1590" s="1098"/>
      <c r="N1590" s="1099"/>
      <c r="O1590" s="1099"/>
    </row>
    <row r="1591" spans="2:15">
      <c r="B1591" s="1129"/>
      <c r="C1591" s="1098"/>
      <c r="D1591" s="1099"/>
      <c r="E1591" s="1098"/>
      <c r="F1591" s="1136"/>
      <c r="G1591" s="1099"/>
      <c r="H1591" s="1098"/>
      <c r="I1591" s="1099"/>
      <c r="J1591" s="1140"/>
      <c r="K1591" s="1140"/>
      <c r="L1591" s="1143"/>
      <c r="M1591" s="1098"/>
      <c r="N1591" s="1099"/>
      <c r="O1591" s="1099"/>
    </row>
    <row r="1592" spans="2:15">
      <c r="B1592" s="1129"/>
      <c r="C1592" s="1098"/>
      <c r="D1592" s="1099"/>
      <c r="E1592" s="1098"/>
      <c r="F1592" s="1136"/>
      <c r="G1592" s="1099"/>
      <c r="H1592" s="1098"/>
      <c r="I1592" s="1099"/>
      <c r="J1592" s="1140"/>
      <c r="K1592" s="1140"/>
      <c r="L1592" s="1143"/>
      <c r="M1592" s="1098"/>
      <c r="N1592" s="1099"/>
      <c r="O1592" s="1099"/>
    </row>
    <row r="1593" spans="2:15">
      <c r="B1593" s="1129"/>
      <c r="C1593" s="1098"/>
      <c r="D1593" s="1099"/>
      <c r="E1593" s="1098"/>
      <c r="F1593" s="1136"/>
      <c r="G1593" s="1099"/>
      <c r="H1593" s="1098"/>
      <c r="I1593" s="1099"/>
      <c r="J1593" s="1140"/>
      <c r="K1593" s="1140"/>
      <c r="L1593" s="1143"/>
      <c r="M1593" s="1098"/>
      <c r="N1593" s="1099"/>
      <c r="O1593" s="1099"/>
    </row>
    <row r="1594" spans="2:15">
      <c r="B1594" s="1129"/>
      <c r="C1594" s="1098"/>
      <c r="D1594" s="1099"/>
      <c r="E1594" s="1098"/>
      <c r="F1594" s="1136"/>
      <c r="G1594" s="1099"/>
      <c r="H1594" s="1098"/>
      <c r="I1594" s="1099"/>
      <c r="J1594" s="1140"/>
      <c r="K1594" s="1140"/>
      <c r="L1594" s="1143"/>
      <c r="M1594" s="1098"/>
      <c r="N1594" s="1099"/>
      <c r="O1594" s="1099"/>
    </row>
    <row r="1595" spans="2:15">
      <c r="B1595" s="1129"/>
      <c r="C1595" s="1098"/>
      <c r="D1595" s="1099"/>
      <c r="E1595" s="1098"/>
      <c r="F1595" s="1136"/>
      <c r="G1595" s="1099"/>
      <c r="H1595" s="1098"/>
      <c r="I1595" s="1099"/>
      <c r="J1595" s="1140"/>
      <c r="K1595" s="1140"/>
      <c r="L1595" s="1143"/>
      <c r="M1595" s="1098"/>
      <c r="N1595" s="1099"/>
      <c r="O1595" s="1099"/>
    </row>
    <row r="1596" spans="2:15">
      <c r="B1596" s="1129"/>
      <c r="C1596" s="1098"/>
      <c r="D1596" s="1099"/>
      <c r="E1596" s="1098"/>
      <c r="F1596" s="1136"/>
      <c r="G1596" s="1099"/>
      <c r="H1596" s="1098"/>
      <c r="I1596" s="1099"/>
      <c r="J1596" s="1140"/>
      <c r="K1596" s="1140"/>
      <c r="L1596" s="1143"/>
      <c r="M1596" s="1098"/>
      <c r="N1596" s="1099"/>
      <c r="O1596" s="1099"/>
    </row>
    <row r="1597" spans="2:15">
      <c r="B1597" s="1129"/>
      <c r="C1597" s="1098"/>
      <c r="D1597" s="1099"/>
      <c r="E1597" s="1098"/>
      <c r="F1597" s="1136"/>
      <c r="G1597" s="1099"/>
      <c r="H1597" s="1098"/>
      <c r="I1597" s="1099"/>
      <c r="J1597" s="1140"/>
      <c r="K1597" s="1140"/>
      <c r="L1597" s="1143"/>
      <c r="M1597" s="1098"/>
      <c r="N1597" s="1099"/>
      <c r="O1597" s="1099"/>
    </row>
    <row r="1598" spans="2:15">
      <c r="B1598" s="1129"/>
      <c r="C1598" s="1098"/>
      <c r="D1598" s="1099"/>
      <c r="E1598" s="1098"/>
      <c r="F1598" s="1136"/>
      <c r="G1598" s="1099"/>
      <c r="H1598" s="1098"/>
      <c r="I1598" s="1099"/>
      <c r="J1598" s="1140"/>
      <c r="K1598" s="1140"/>
      <c r="L1598" s="1143"/>
      <c r="M1598" s="1098"/>
      <c r="N1598" s="1099"/>
      <c r="O1598" s="1099"/>
    </row>
    <row r="1599" spans="2:15">
      <c r="B1599" s="1129"/>
      <c r="C1599" s="1098"/>
      <c r="D1599" s="1099"/>
      <c r="E1599" s="1098"/>
      <c r="F1599" s="1136"/>
      <c r="G1599" s="1099"/>
      <c r="H1599" s="1098"/>
      <c r="I1599" s="1099"/>
      <c r="J1599" s="1140"/>
      <c r="K1599" s="1140"/>
      <c r="L1599" s="1143"/>
      <c r="M1599" s="1098"/>
      <c r="N1599" s="1099"/>
      <c r="O1599" s="1099"/>
    </row>
    <row r="1600" spans="2:15">
      <c r="B1600" s="1129"/>
      <c r="C1600" s="1098"/>
      <c r="D1600" s="1099"/>
      <c r="E1600" s="1098"/>
      <c r="F1600" s="1136"/>
      <c r="G1600" s="1099"/>
      <c r="H1600" s="1098"/>
      <c r="I1600" s="1099"/>
      <c r="J1600" s="1140"/>
      <c r="K1600" s="1140"/>
      <c r="L1600" s="1143"/>
      <c r="M1600" s="1098"/>
      <c r="N1600" s="1099"/>
      <c r="O1600" s="1099"/>
    </row>
    <row r="1601" spans="2:15">
      <c r="B1601" s="1129"/>
      <c r="C1601" s="1098"/>
      <c r="D1601" s="1099"/>
      <c r="E1601" s="1098"/>
      <c r="F1601" s="1136"/>
      <c r="G1601" s="1099"/>
      <c r="H1601" s="1098"/>
      <c r="I1601" s="1099"/>
      <c r="J1601" s="1140"/>
      <c r="K1601" s="1140"/>
      <c r="L1601" s="1143"/>
      <c r="M1601" s="1098"/>
      <c r="N1601" s="1099"/>
      <c r="O1601" s="1099"/>
    </row>
    <row r="1602" spans="2:15">
      <c r="B1602" s="1129"/>
      <c r="C1602" s="1098"/>
      <c r="D1602" s="1099"/>
      <c r="E1602" s="1098"/>
      <c r="F1602" s="1136"/>
      <c r="G1602" s="1099"/>
      <c r="H1602" s="1098"/>
      <c r="I1602" s="1099"/>
      <c r="J1602" s="1140"/>
      <c r="K1602" s="1140"/>
      <c r="L1602" s="1143"/>
      <c r="M1602" s="1098"/>
      <c r="N1602" s="1099"/>
      <c r="O1602" s="1099"/>
    </row>
    <row r="1603" spans="2:15">
      <c r="B1603" s="1129"/>
      <c r="C1603" s="1098"/>
      <c r="D1603" s="1099"/>
      <c r="E1603" s="1098"/>
      <c r="F1603" s="1136"/>
      <c r="G1603" s="1099"/>
      <c r="H1603" s="1098"/>
      <c r="I1603" s="1099"/>
      <c r="J1603" s="1140"/>
      <c r="K1603" s="1140"/>
      <c r="L1603" s="1143"/>
      <c r="M1603" s="1098"/>
      <c r="N1603" s="1099"/>
      <c r="O1603" s="1099"/>
    </row>
    <row r="1604" spans="2:15">
      <c r="B1604" s="1129"/>
      <c r="C1604" s="1098"/>
      <c r="D1604" s="1099"/>
      <c r="E1604" s="1098"/>
      <c r="F1604" s="1136"/>
      <c r="G1604" s="1099"/>
      <c r="H1604" s="1098"/>
      <c r="I1604" s="1099"/>
      <c r="J1604" s="1140"/>
      <c r="K1604" s="1140"/>
      <c r="L1604" s="1143"/>
      <c r="M1604" s="1098"/>
      <c r="N1604" s="1099"/>
      <c r="O1604" s="1099"/>
    </row>
    <row r="1605" spans="2:15">
      <c r="B1605" s="1129"/>
      <c r="C1605" s="1098"/>
      <c r="D1605" s="1099"/>
      <c r="E1605" s="1098"/>
      <c r="F1605" s="1136"/>
      <c r="G1605" s="1099"/>
      <c r="H1605" s="1098"/>
      <c r="I1605" s="1099"/>
      <c r="J1605" s="1140"/>
      <c r="K1605" s="1140"/>
      <c r="L1605" s="1143"/>
      <c r="M1605" s="1098"/>
      <c r="N1605" s="1099"/>
      <c r="O1605" s="1099"/>
    </row>
    <row r="1606" spans="2:15">
      <c r="B1606" s="1129"/>
      <c r="C1606" s="1098"/>
      <c r="D1606" s="1099"/>
      <c r="E1606" s="1098"/>
      <c r="F1606" s="1136"/>
      <c r="G1606" s="1099"/>
      <c r="H1606" s="1098"/>
      <c r="I1606" s="1099"/>
      <c r="J1606" s="1140"/>
      <c r="K1606" s="1140"/>
      <c r="L1606" s="1143"/>
      <c r="M1606" s="1098"/>
      <c r="N1606" s="1099"/>
      <c r="O1606" s="1099"/>
    </row>
    <row r="1607" spans="2:15">
      <c r="B1607" s="1129"/>
      <c r="C1607" s="1098"/>
      <c r="D1607" s="1099"/>
      <c r="E1607" s="1098"/>
      <c r="F1607" s="1136"/>
      <c r="G1607" s="1099"/>
      <c r="H1607" s="1098"/>
      <c r="I1607" s="1099"/>
      <c r="J1607" s="1140"/>
      <c r="K1607" s="1140"/>
      <c r="L1607" s="1143"/>
      <c r="M1607" s="1098"/>
      <c r="N1607" s="1099"/>
      <c r="O1607" s="1099"/>
    </row>
    <row r="1608" spans="2:15">
      <c r="B1608" s="1129"/>
      <c r="C1608" s="1098"/>
      <c r="D1608" s="1099"/>
      <c r="E1608" s="1098"/>
      <c r="F1608" s="1136"/>
      <c r="G1608" s="1099"/>
      <c r="H1608" s="1098"/>
      <c r="I1608" s="1099"/>
      <c r="J1608" s="1140"/>
      <c r="K1608" s="1140"/>
      <c r="L1608" s="1143"/>
      <c r="M1608" s="1098"/>
      <c r="N1608" s="1099"/>
      <c r="O1608" s="1099"/>
    </row>
    <row r="1609" spans="2:15">
      <c r="B1609" s="1129"/>
      <c r="C1609" s="1098"/>
      <c r="D1609" s="1099"/>
      <c r="E1609" s="1098"/>
      <c r="F1609" s="1136"/>
      <c r="G1609" s="1099"/>
      <c r="H1609" s="1098"/>
      <c r="I1609" s="1099"/>
      <c r="J1609" s="1140"/>
      <c r="K1609" s="1140"/>
      <c r="L1609" s="1143"/>
      <c r="M1609" s="1098"/>
      <c r="N1609" s="1099"/>
      <c r="O1609" s="1099"/>
    </row>
    <row r="1610" spans="2:15">
      <c r="B1610" s="1129"/>
      <c r="C1610" s="1098"/>
      <c r="D1610" s="1099"/>
      <c r="E1610" s="1098"/>
      <c r="F1610" s="1136"/>
      <c r="G1610" s="1099"/>
      <c r="H1610" s="1098"/>
      <c r="I1610" s="1099"/>
      <c r="J1610" s="1140"/>
      <c r="K1610" s="1140"/>
      <c r="L1610" s="1143"/>
      <c r="M1610" s="1098"/>
      <c r="N1610" s="1099"/>
      <c r="O1610" s="1099"/>
    </row>
    <row r="1611" spans="2:15">
      <c r="B1611" s="1129"/>
      <c r="C1611" s="1098"/>
      <c r="D1611" s="1099"/>
      <c r="E1611" s="1098"/>
      <c r="F1611" s="1136"/>
      <c r="G1611" s="1099"/>
      <c r="H1611" s="1098"/>
      <c r="I1611" s="1099"/>
      <c r="J1611" s="1140"/>
      <c r="K1611" s="1140"/>
      <c r="L1611" s="1143"/>
      <c r="M1611" s="1098"/>
      <c r="N1611" s="1099"/>
      <c r="O1611" s="1099"/>
    </row>
    <row r="1612" spans="2:15">
      <c r="B1612" s="1129"/>
      <c r="C1612" s="1098"/>
      <c r="D1612" s="1099"/>
      <c r="E1612" s="1098"/>
      <c r="F1612" s="1136"/>
      <c r="G1612" s="1099"/>
      <c r="H1612" s="1098"/>
      <c r="I1612" s="1099"/>
      <c r="J1612" s="1140"/>
      <c r="K1612" s="1140"/>
      <c r="L1612" s="1143"/>
      <c r="M1612" s="1098"/>
      <c r="N1612" s="1099"/>
      <c r="O1612" s="1099"/>
    </row>
    <row r="1613" spans="2:15">
      <c r="B1613" s="1129"/>
      <c r="C1613" s="1098"/>
      <c r="D1613" s="1099"/>
      <c r="E1613" s="1098"/>
      <c r="F1613" s="1136"/>
      <c r="G1613" s="1099"/>
      <c r="H1613" s="1098"/>
      <c r="I1613" s="1099"/>
      <c r="J1613" s="1140"/>
      <c r="K1613" s="1140"/>
      <c r="L1613" s="1143"/>
      <c r="M1613" s="1098"/>
      <c r="N1613" s="1099"/>
      <c r="O1613" s="1099"/>
    </row>
    <row r="1614" spans="2:15">
      <c r="B1614" s="1129"/>
      <c r="C1614" s="1098"/>
      <c r="D1614" s="1099"/>
      <c r="E1614" s="1098"/>
      <c r="F1614" s="1136"/>
      <c r="G1614" s="1099"/>
      <c r="H1614" s="1098"/>
      <c r="I1614" s="1099"/>
      <c r="J1614" s="1140"/>
      <c r="K1614" s="1140"/>
      <c r="L1614" s="1143"/>
      <c r="M1614" s="1098"/>
      <c r="N1614" s="1099"/>
      <c r="O1614" s="1099"/>
    </row>
    <row r="1615" spans="2:15">
      <c r="B1615" s="1129"/>
      <c r="C1615" s="1098"/>
      <c r="D1615" s="1099"/>
      <c r="E1615" s="1098"/>
      <c r="F1615" s="1136"/>
      <c r="G1615" s="1099"/>
      <c r="H1615" s="1098"/>
      <c r="I1615" s="1099"/>
      <c r="J1615" s="1140"/>
      <c r="K1615" s="1140"/>
      <c r="L1615" s="1143"/>
      <c r="M1615" s="1098"/>
      <c r="N1615" s="1099"/>
      <c r="O1615" s="1099"/>
    </row>
    <row r="1616" spans="2:15">
      <c r="B1616" s="1129"/>
      <c r="C1616" s="1098"/>
      <c r="D1616" s="1099"/>
      <c r="E1616" s="1098"/>
      <c r="F1616" s="1136"/>
      <c r="G1616" s="1099"/>
      <c r="H1616" s="1098"/>
      <c r="I1616" s="1099"/>
      <c r="J1616" s="1140"/>
      <c r="K1616" s="1140"/>
      <c r="L1616" s="1143"/>
      <c r="M1616" s="1098"/>
      <c r="N1616" s="1099"/>
      <c r="O1616" s="1099"/>
    </row>
    <row r="1617" spans="2:15">
      <c r="B1617" s="1129"/>
      <c r="C1617" s="1098"/>
      <c r="D1617" s="1099"/>
      <c r="E1617" s="1098"/>
      <c r="F1617" s="1136"/>
      <c r="G1617" s="1099"/>
      <c r="H1617" s="1098"/>
      <c r="I1617" s="1099"/>
      <c r="J1617" s="1140"/>
      <c r="K1617" s="1140"/>
      <c r="L1617" s="1143"/>
      <c r="M1617" s="1098"/>
      <c r="N1617" s="1099"/>
      <c r="O1617" s="1099"/>
    </row>
    <row r="1618" spans="2:15">
      <c r="B1618" s="1129"/>
      <c r="C1618" s="1098"/>
      <c r="D1618" s="1099"/>
      <c r="E1618" s="1098"/>
      <c r="F1618" s="1136"/>
      <c r="G1618" s="1099"/>
      <c r="H1618" s="1098"/>
      <c r="I1618" s="1099"/>
      <c r="J1618" s="1140"/>
      <c r="K1618" s="1140"/>
      <c r="L1618" s="1143"/>
      <c r="M1618" s="1098"/>
      <c r="N1618" s="1099"/>
      <c r="O1618" s="1099"/>
    </row>
    <row r="1619" spans="2:15">
      <c r="B1619" s="1129"/>
      <c r="C1619" s="1098"/>
      <c r="D1619" s="1099"/>
      <c r="E1619" s="1098"/>
      <c r="F1619" s="1136"/>
      <c r="G1619" s="1099"/>
      <c r="H1619" s="1098"/>
      <c r="I1619" s="1099"/>
      <c r="J1619" s="1140"/>
      <c r="K1619" s="1140"/>
      <c r="L1619" s="1143"/>
      <c r="M1619" s="1098"/>
      <c r="N1619" s="1099"/>
      <c r="O1619" s="1099"/>
    </row>
    <row r="1620" spans="2:15">
      <c r="B1620" s="1129"/>
      <c r="C1620" s="1098"/>
      <c r="D1620" s="1099"/>
      <c r="E1620" s="1098"/>
      <c r="F1620" s="1136"/>
      <c r="G1620" s="1099"/>
      <c r="H1620" s="1098"/>
      <c r="I1620" s="1099"/>
      <c r="J1620" s="1140"/>
      <c r="K1620" s="1140"/>
      <c r="L1620" s="1143"/>
      <c r="M1620" s="1098"/>
      <c r="N1620" s="1099"/>
      <c r="O1620" s="1099"/>
    </row>
    <row r="1621" spans="2:15">
      <c r="B1621" s="1129"/>
      <c r="C1621" s="1098"/>
      <c r="D1621" s="1099"/>
      <c r="E1621" s="1098"/>
      <c r="F1621" s="1136"/>
      <c r="G1621" s="1099"/>
      <c r="H1621" s="1098"/>
      <c r="I1621" s="1099"/>
      <c r="J1621" s="1140"/>
      <c r="K1621" s="1140"/>
      <c r="L1621" s="1143"/>
      <c r="M1621" s="1098"/>
      <c r="N1621" s="1099"/>
      <c r="O1621" s="1099"/>
    </row>
    <row r="1622" spans="2:15">
      <c r="B1622" s="1129"/>
      <c r="C1622" s="1098"/>
      <c r="D1622" s="1099"/>
      <c r="E1622" s="1098"/>
      <c r="F1622" s="1136"/>
      <c r="G1622" s="1099"/>
      <c r="H1622" s="1098"/>
      <c r="I1622" s="1099"/>
      <c r="J1622" s="1140"/>
      <c r="K1622" s="1140"/>
      <c r="L1622" s="1143"/>
      <c r="M1622" s="1098"/>
      <c r="N1622" s="1099"/>
      <c r="O1622" s="1099"/>
    </row>
    <row r="1623" spans="2:15">
      <c r="B1623" s="1129"/>
      <c r="C1623" s="1098"/>
      <c r="D1623" s="1099"/>
      <c r="E1623" s="1098"/>
      <c r="F1623" s="1136"/>
      <c r="G1623" s="1099"/>
      <c r="H1623" s="1098"/>
      <c r="I1623" s="1099"/>
      <c r="J1623" s="1140"/>
      <c r="K1623" s="1140"/>
      <c r="L1623" s="1143"/>
      <c r="M1623" s="1098"/>
      <c r="N1623" s="1099"/>
      <c r="O1623" s="1099"/>
    </row>
    <row r="1624" spans="2:15">
      <c r="B1624" s="1129"/>
      <c r="C1624" s="1098"/>
      <c r="D1624" s="1099"/>
      <c r="E1624" s="1098"/>
      <c r="F1624" s="1136"/>
      <c r="G1624" s="1099"/>
      <c r="H1624" s="1098"/>
      <c r="I1624" s="1099"/>
      <c r="J1624" s="1140"/>
      <c r="K1624" s="1140"/>
      <c r="L1624" s="1143"/>
      <c r="M1624" s="1098"/>
      <c r="N1624" s="1099"/>
      <c r="O1624" s="1099"/>
    </row>
    <row r="1625" spans="2:15">
      <c r="B1625" s="1129"/>
      <c r="C1625" s="1098"/>
      <c r="D1625" s="1099"/>
      <c r="E1625" s="1098"/>
      <c r="F1625" s="1136"/>
      <c r="G1625" s="1099"/>
      <c r="H1625" s="1098"/>
      <c r="I1625" s="1099"/>
      <c r="J1625" s="1140"/>
      <c r="K1625" s="1140"/>
      <c r="L1625" s="1143"/>
      <c r="M1625" s="1098"/>
      <c r="N1625" s="1099"/>
      <c r="O1625" s="1099"/>
    </row>
    <row r="1626" spans="2:15">
      <c r="B1626" s="1129"/>
      <c r="C1626" s="1098"/>
      <c r="D1626" s="1099"/>
      <c r="E1626" s="1098"/>
      <c r="F1626" s="1136"/>
      <c r="G1626" s="1099"/>
      <c r="H1626" s="1098"/>
      <c r="I1626" s="1099"/>
      <c r="J1626" s="1140"/>
      <c r="K1626" s="1140"/>
      <c r="L1626" s="1143"/>
      <c r="M1626" s="1098"/>
      <c r="N1626" s="1099"/>
      <c r="O1626" s="1099"/>
    </row>
    <row r="1627" spans="2:15">
      <c r="B1627" s="1129"/>
      <c r="C1627" s="1098"/>
      <c r="D1627" s="1099"/>
      <c r="E1627" s="1098"/>
      <c r="F1627" s="1136"/>
      <c r="G1627" s="1099"/>
      <c r="H1627" s="1098"/>
      <c r="I1627" s="1099"/>
      <c r="J1627" s="1140"/>
      <c r="K1627" s="1140"/>
      <c r="L1627" s="1143"/>
      <c r="M1627" s="1098"/>
      <c r="N1627" s="1099"/>
      <c r="O1627" s="1099"/>
    </row>
    <row r="1628" spans="2:15">
      <c r="B1628" s="1129"/>
      <c r="C1628" s="1098"/>
      <c r="D1628" s="1099"/>
      <c r="E1628" s="1098"/>
      <c r="F1628" s="1136"/>
      <c r="G1628" s="1099"/>
      <c r="H1628" s="1098"/>
      <c r="I1628" s="1099"/>
      <c r="J1628" s="1140"/>
      <c r="K1628" s="1140"/>
      <c r="L1628" s="1143"/>
      <c r="M1628" s="1098"/>
      <c r="N1628" s="1099"/>
      <c r="O1628" s="1099"/>
    </row>
    <row r="1629" spans="2:15">
      <c r="B1629" s="1129"/>
      <c r="C1629" s="1098"/>
      <c r="D1629" s="1099"/>
      <c r="E1629" s="1098"/>
      <c r="F1629" s="1136"/>
      <c r="G1629" s="1099"/>
      <c r="H1629" s="1098"/>
      <c r="I1629" s="1099"/>
      <c r="J1629" s="1140"/>
      <c r="K1629" s="1140"/>
      <c r="L1629" s="1143"/>
      <c r="M1629" s="1098"/>
      <c r="N1629" s="1099"/>
      <c r="O1629" s="1099"/>
    </row>
    <row r="1630" spans="2:15">
      <c r="B1630" s="1129"/>
      <c r="C1630" s="1098"/>
      <c r="D1630" s="1099"/>
      <c r="E1630" s="1098"/>
      <c r="F1630" s="1136"/>
      <c r="G1630" s="1099"/>
      <c r="H1630" s="1098"/>
      <c r="I1630" s="1099"/>
      <c r="J1630" s="1140"/>
      <c r="K1630" s="1140"/>
      <c r="L1630" s="1143"/>
      <c r="M1630" s="1098"/>
      <c r="N1630" s="1099"/>
      <c r="O1630" s="1099"/>
    </row>
    <row r="1631" spans="2:15">
      <c r="B1631" s="1129"/>
      <c r="C1631" s="1098"/>
      <c r="D1631" s="1099"/>
      <c r="E1631" s="1098"/>
      <c r="F1631" s="1136"/>
      <c r="G1631" s="1099"/>
      <c r="H1631" s="1098"/>
      <c r="I1631" s="1099"/>
      <c r="J1631" s="1140"/>
      <c r="K1631" s="1140"/>
      <c r="L1631" s="1143"/>
      <c r="M1631" s="1098"/>
      <c r="N1631" s="1099"/>
      <c r="O1631" s="1099"/>
    </row>
    <row r="1632" spans="2:15">
      <c r="B1632" s="1129"/>
      <c r="C1632" s="1098"/>
      <c r="D1632" s="1099"/>
      <c r="E1632" s="1098"/>
      <c r="F1632" s="1136"/>
      <c r="G1632" s="1099"/>
      <c r="H1632" s="1098"/>
      <c r="I1632" s="1099"/>
      <c r="J1632" s="1140"/>
      <c r="K1632" s="1140"/>
      <c r="L1632" s="1143"/>
      <c r="M1632" s="1098"/>
      <c r="N1632" s="1099"/>
      <c r="O1632" s="1099"/>
    </row>
    <row r="1633" spans="2:15">
      <c r="B1633" s="1129"/>
      <c r="C1633" s="1098"/>
      <c r="D1633" s="1099"/>
      <c r="E1633" s="1098"/>
      <c r="F1633" s="1136"/>
      <c r="G1633" s="1099"/>
      <c r="H1633" s="1098"/>
      <c r="I1633" s="1099"/>
      <c r="J1633" s="1140"/>
      <c r="K1633" s="1140"/>
      <c r="L1633" s="1143"/>
      <c r="M1633" s="1098"/>
      <c r="N1633" s="1099"/>
      <c r="O1633" s="1099"/>
    </row>
    <row r="1634" spans="2:15">
      <c r="B1634" s="1129"/>
      <c r="C1634" s="1098"/>
      <c r="D1634" s="1099"/>
      <c r="E1634" s="1098"/>
      <c r="F1634" s="1136"/>
      <c r="G1634" s="1099"/>
      <c r="H1634" s="1098"/>
      <c r="I1634" s="1099"/>
      <c r="J1634" s="1140"/>
      <c r="K1634" s="1140"/>
      <c r="L1634" s="1143"/>
      <c r="M1634" s="1098"/>
      <c r="N1634" s="1099"/>
      <c r="O1634" s="1099"/>
    </row>
    <row r="1635" spans="2:15">
      <c r="B1635" s="1129"/>
      <c r="C1635" s="1098"/>
      <c r="D1635" s="1099"/>
      <c r="E1635" s="1098"/>
      <c r="F1635" s="1136"/>
      <c r="G1635" s="1099"/>
      <c r="H1635" s="1098"/>
      <c r="I1635" s="1099"/>
      <c r="J1635" s="1140"/>
      <c r="K1635" s="1140"/>
      <c r="L1635" s="1143"/>
      <c r="M1635" s="1098"/>
      <c r="N1635" s="1099"/>
      <c r="O1635" s="1099"/>
    </row>
    <row r="1636" spans="2:15">
      <c r="B1636" s="1129"/>
      <c r="C1636" s="1098"/>
      <c r="D1636" s="1099"/>
      <c r="E1636" s="1098"/>
      <c r="F1636" s="1136"/>
      <c r="G1636" s="1099"/>
      <c r="H1636" s="1098"/>
      <c r="I1636" s="1099"/>
      <c r="J1636" s="1140"/>
      <c r="K1636" s="1140"/>
      <c r="L1636" s="1143"/>
      <c r="M1636" s="1098"/>
      <c r="N1636" s="1099"/>
      <c r="O1636" s="1099"/>
    </row>
    <row r="1637" spans="2:15">
      <c r="B1637" s="1129"/>
      <c r="C1637" s="1098"/>
      <c r="D1637" s="1099"/>
      <c r="E1637" s="1098"/>
      <c r="F1637" s="1136"/>
      <c r="G1637" s="1099"/>
      <c r="H1637" s="1098"/>
      <c r="I1637" s="1099"/>
      <c r="J1637" s="1140"/>
      <c r="K1637" s="1140"/>
      <c r="L1637" s="1143"/>
      <c r="M1637" s="1098"/>
      <c r="N1637" s="1099"/>
      <c r="O1637" s="1099"/>
    </row>
    <row r="1638" spans="2:15">
      <c r="B1638" s="1129"/>
      <c r="C1638" s="1098"/>
      <c r="D1638" s="1099"/>
      <c r="E1638" s="1098"/>
      <c r="F1638" s="1136"/>
      <c r="G1638" s="1099"/>
      <c r="H1638" s="1098"/>
      <c r="I1638" s="1099"/>
      <c r="J1638" s="1140"/>
      <c r="K1638" s="1140"/>
      <c r="L1638" s="1143"/>
      <c r="M1638" s="1098"/>
      <c r="N1638" s="1099"/>
      <c r="O1638" s="1099"/>
    </row>
    <row r="1639" spans="2:15">
      <c r="B1639" s="1129"/>
      <c r="C1639" s="1098"/>
      <c r="D1639" s="1099"/>
      <c r="E1639" s="1098"/>
      <c r="F1639" s="1136"/>
      <c r="G1639" s="1099"/>
      <c r="H1639" s="1098"/>
      <c r="I1639" s="1099"/>
      <c r="J1639" s="1140"/>
      <c r="K1639" s="1140"/>
      <c r="L1639" s="1143"/>
      <c r="M1639" s="1098"/>
      <c r="N1639" s="1099"/>
      <c r="O1639" s="1099"/>
    </row>
    <row r="1640" spans="2:15">
      <c r="B1640" s="1129"/>
      <c r="C1640" s="1098"/>
      <c r="D1640" s="1099"/>
      <c r="E1640" s="1098"/>
      <c r="F1640" s="1136"/>
      <c r="G1640" s="1099"/>
      <c r="H1640" s="1098"/>
      <c r="I1640" s="1099"/>
      <c r="J1640" s="1140"/>
      <c r="K1640" s="1140"/>
      <c r="L1640" s="1143"/>
      <c r="M1640" s="1098"/>
      <c r="N1640" s="1099"/>
      <c r="O1640" s="1099"/>
    </row>
    <row r="1641" spans="2:15">
      <c r="B1641" s="1129"/>
      <c r="C1641" s="1098"/>
      <c r="D1641" s="1099"/>
      <c r="E1641" s="1098"/>
      <c r="F1641" s="1136"/>
      <c r="G1641" s="1099"/>
      <c r="H1641" s="1098"/>
      <c r="I1641" s="1099"/>
      <c r="J1641" s="1140"/>
      <c r="K1641" s="1140"/>
      <c r="L1641" s="1143"/>
      <c r="M1641" s="1098"/>
      <c r="N1641" s="1099"/>
      <c r="O1641" s="1099"/>
    </row>
    <row r="1642" spans="2:15">
      <c r="B1642" s="1129"/>
      <c r="C1642" s="1098"/>
      <c r="D1642" s="1099"/>
      <c r="E1642" s="1098"/>
      <c r="F1642" s="1136"/>
      <c r="G1642" s="1099"/>
      <c r="H1642" s="1098"/>
      <c r="I1642" s="1099"/>
      <c r="J1642" s="1140"/>
      <c r="K1642" s="1140"/>
      <c r="L1642" s="1143"/>
      <c r="M1642" s="1098"/>
      <c r="N1642" s="1099"/>
      <c r="O1642" s="1099"/>
    </row>
    <row r="1643" spans="2:15">
      <c r="B1643" s="1129"/>
      <c r="C1643" s="1098"/>
      <c r="D1643" s="1099"/>
      <c r="E1643" s="1098"/>
      <c r="F1643" s="1136"/>
      <c r="G1643" s="1099"/>
      <c r="H1643" s="1098"/>
      <c r="I1643" s="1099"/>
      <c r="J1643" s="1140"/>
      <c r="K1643" s="1140"/>
      <c r="L1643" s="1143"/>
      <c r="M1643" s="1098"/>
      <c r="N1643" s="1099"/>
      <c r="O1643" s="1099"/>
    </row>
    <row r="1644" spans="2:15">
      <c r="B1644" s="1129"/>
      <c r="C1644" s="1098"/>
      <c r="D1644" s="1099"/>
      <c r="E1644" s="1098"/>
      <c r="F1644" s="1136"/>
      <c r="G1644" s="1099"/>
      <c r="H1644" s="1098"/>
      <c r="I1644" s="1099"/>
      <c r="J1644" s="1140"/>
      <c r="K1644" s="1140"/>
      <c r="L1644" s="1143"/>
      <c r="M1644" s="1098"/>
      <c r="N1644" s="1099"/>
      <c r="O1644" s="1099"/>
    </row>
    <row r="1645" spans="2:15">
      <c r="B1645" s="1129"/>
      <c r="C1645" s="1098"/>
      <c r="D1645" s="1099"/>
      <c r="E1645" s="1098"/>
      <c r="F1645" s="1136"/>
      <c r="G1645" s="1099"/>
      <c r="H1645" s="1098"/>
      <c r="I1645" s="1099"/>
      <c r="J1645" s="1140"/>
      <c r="K1645" s="1140"/>
      <c r="L1645" s="1143"/>
      <c r="M1645" s="1098"/>
      <c r="N1645" s="1099"/>
      <c r="O1645" s="1099"/>
    </row>
    <row r="1646" spans="2:15">
      <c r="B1646" s="1129"/>
      <c r="C1646" s="1098"/>
      <c r="D1646" s="1099"/>
      <c r="E1646" s="1098"/>
      <c r="F1646" s="1136"/>
      <c r="G1646" s="1099"/>
      <c r="H1646" s="1098"/>
      <c r="I1646" s="1099"/>
      <c r="J1646" s="1140"/>
      <c r="K1646" s="1140"/>
      <c r="L1646" s="1143"/>
      <c r="M1646" s="1098"/>
      <c r="N1646" s="1099"/>
      <c r="O1646" s="1099"/>
    </row>
    <row r="1647" spans="2:15">
      <c r="B1647" s="1129"/>
      <c r="C1647" s="1098"/>
      <c r="D1647" s="1099"/>
      <c r="E1647" s="1098"/>
      <c r="F1647" s="1136"/>
      <c r="G1647" s="1099"/>
      <c r="H1647" s="1098"/>
      <c r="I1647" s="1099"/>
      <c r="J1647" s="1140"/>
      <c r="K1647" s="1140"/>
      <c r="L1647" s="1143"/>
      <c r="M1647" s="1098"/>
      <c r="N1647" s="1099"/>
      <c r="O1647" s="1099"/>
    </row>
    <row r="1648" spans="2:15">
      <c r="B1648" s="1129"/>
      <c r="C1648" s="1098"/>
      <c r="D1648" s="1099"/>
      <c r="E1648" s="1098"/>
      <c r="F1648" s="1136"/>
      <c r="G1648" s="1099"/>
      <c r="H1648" s="1098"/>
      <c r="I1648" s="1099"/>
      <c r="J1648" s="1140"/>
      <c r="K1648" s="1140"/>
      <c r="L1648" s="1143"/>
      <c r="M1648" s="1098"/>
      <c r="N1648" s="1099"/>
      <c r="O1648" s="1099"/>
    </row>
    <row r="1649" spans="2:15">
      <c r="B1649" s="1129"/>
      <c r="C1649" s="1098"/>
      <c r="D1649" s="1099"/>
      <c r="E1649" s="1098"/>
      <c r="F1649" s="1136"/>
      <c r="G1649" s="1099"/>
      <c r="H1649" s="1098"/>
      <c r="I1649" s="1099"/>
      <c r="J1649" s="1140"/>
      <c r="K1649" s="1140"/>
      <c r="L1649" s="1143"/>
      <c r="M1649" s="1098"/>
      <c r="N1649" s="1099"/>
      <c r="O1649" s="1099"/>
    </row>
    <row r="1650" spans="2:15">
      <c r="B1650" s="1129"/>
      <c r="C1650" s="1098"/>
      <c r="D1650" s="1099"/>
      <c r="E1650" s="1098"/>
      <c r="F1650" s="1136"/>
      <c r="G1650" s="1099"/>
      <c r="H1650" s="1098"/>
      <c r="I1650" s="1099"/>
      <c r="J1650" s="1140"/>
      <c r="K1650" s="1140"/>
      <c r="L1650" s="1143"/>
      <c r="M1650" s="1098"/>
      <c r="N1650" s="1099"/>
      <c r="O1650" s="1099"/>
    </row>
    <row r="1651" spans="2:15">
      <c r="B1651" s="1129"/>
      <c r="C1651" s="1098"/>
      <c r="D1651" s="1099"/>
      <c r="E1651" s="1098"/>
      <c r="F1651" s="1136"/>
      <c r="G1651" s="1099"/>
      <c r="H1651" s="1098"/>
      <c r="I1651" s="1099"/>
      <c r="J1651" s="1140"/>
      <c r="K1651" s="1140"/>
      <c r="L1651" s="1143"/>
      <c r="M1651" s="1098"/>
      <c r="N1651" s="1099"/>
      <c r="O1651" s="1099"/>
    </row>
    <row r="1652" spans="2:15">
      <c r="B1652" s="1129"/>
      <c r="C1652" s="1098"/>
      <c r="D1652" s="1099"/>
      <c r="E1652" s="1098"/>
      <c r="F1652" s="1136"/>
      <c r="G1652" s="1099"/>
      <c r="H1652" s="1098"/>
      <c r="I1652" s="1099"/>
      <c r="J1652" s="1140"/>
      <c r="K1652" s="1140"/>
      <c r="L1652" s="1143"/>
      <c r="M1652" s="1098"/>
      <c r="N1652" s="1099"/>
      <c r="O1652" s="1099"/>
    </row>
    <row r="1653" spans="2:15">
      <c r="B1653" s="1129"/>
      <c r="C1653" s="1098"/>
      <c r="D1653" s="1099"/>
      <c r="E1653" s="1098"/>
      <c r="F1653" s="1136"/>
      <c r="G1653" s="1099"/>
      <c r="H1653" s="1098"/>
      <c r="I1653" s="1099"/>
      <c r="J1653" s="1140"/>
      <c r="K1653" s="1140"/>
      <c r="L1653" s="1143"/>
      <c r="M1653" s="1098"/>
      <c r="N1653" s="1099"/>
      <c r="O1653" s="1099"/>
    </row>
    <row r="1654" spans="2:15">
      <c r="B1654" s="1129"/>
      <c r="C1654" s="1098"/>
      <c r="D1654" s="1099"/>
      <c r="E1654" s="1098"/>
      <c r="F1654" s="1136"/>
      <c r="G1654" s="1099"/>
      <c r="H1654" s="1098"/>
      <c r="I1654" s="1099"/>
      <c r="J1654" s="1140"/>
      <c r="K1654" s="1140"/>
      <c r="L1654" s="1143"/>
      <c r="M1654" s="1098"/>
      <c r="N1654" s="1099"/>
      <c r="O1654" s="1099"/>
    </row>
    <row r="1655" spans="2:15">
      <c r="B1655" s="1129"/>
      <c r="C1655" s="1098"/>
      <c r="D1655" s="1099"/>
      <c r="E1655" s="1098"/>
      <c r="F1655" s="1136"/>
      <c r="G1655" s="1099"/>
      <c r="H1655" s="1098"/>
      <c r="I1655" s="1099"/>
      <c r="J1655" s="1140"/>
      <c r="K1655" s="1140"/>
      <c r="L1655" s="1143"/>
      <c r="M1655" s="1098"/>
      <c r="N1655" s="1099"/>
      <c r="O1655" s="1099"/>
    </row>
    <row r="1656" spans="2:15">
      <c r="B1656" s="1129"/>
      <c r="C1656" s="1098"/>
      <c r="D1656" s="1099"/>
      <c r="E1656" s="1098"/>
      <c r="F1656" s="1136"/>
      <c r="G1656" s="1099"/>
      <c r="H1656" s="1098"/>
      <c r="I1656" s="1099"/>
      <c r="J1656" s="1140"/>
      <c r="K1656" s="1140"/>
      <c r="L1656" s="1143"/>
      <c r="M1656" s="1098"/>
      <c r="N1656" s="1099"/>
      <c r="O1656" s="1099"/>
    </row>
    <row r="1657" spans="2:15">
      <c r="B1657" s="1129"/>
      <c r="C1657" s="1098"/>
      <c r="D1657" s="1099"/>
      <c r="E1657" s="1098"/>
      <c r="F1657" s="1136"/>
      <c r="G1657" s="1099"/>
      <c r="H1657" s="1098"/>
      <c r="I1657" s="1099"/>
      <c r="J1657" s="1140"/>
      <c r="K1657" s="1140"/>
      <c r="L1657" s="1143"/>
      <c r="M1657" s="1098"/>
      <c r="N1657" s="1099"/>
      <c r="O1657" s="1099"/>
    </row>
    <row r="1658" spans="2:15">
      <c r="B1658" s="1129"/>
      <c r="C1658" s="1098"/>
      <c r="D1658" s="1099"/>
      <c r="E1658" s="1098"/>
      <c r="F1658" s="1136"/>
      <c r="G1658" s="1099"/>
      <c r="H1658" s="1098"/>
      <c r="I1658" s="1099"/>
      <c r="J1658" s="1140"/>
      <c r="K1658" s="1140"/>
      <c r="L1658" s="1143"/>
      <c r="M1658" s="1098"/>
      <c r="N1658" s="1099"/>
      <c r="O1658" s="1099"/>
    </row>
    <row r="1659" spans="2:15">
      <c r="B1659" s="1129"/>
      <c r="C1659" s="1098"/>
      <c r="D1659" s="1099"/>
      <c r="E1659" s="1098"/>
      <c r="F1659" s="1136"/>
      <c r="G1659" s="1099"/>
      <c r="H1659" s="1098"/>
      <c r="I1659" s="1099"/>
      <c r="J1659" s="1140"/>
      <c r="K1659" s="1140"/>
      <c r="L1659" s="1143"/>
      <c r="M1659" s="1098"/>
      <c r="N1659" s="1099"/>
      <c r="O1659" s="1099"/>
    </row>
    <row r="1660" spans="2:15">
      <c r="B1660" s="1129"/>
      <c r="C1660" s="1098"/>
      <c r="D1660" s="1099"/>
      <c r="E1660" s="1098"/>
      <c r="F1660" s="1136"/>
      <c r="G1660" s="1099"/>
      <c r="H1660" s="1098"/>
      <c r="I1660" s="1099"/>
      <c r="J1660" s="1140"/>
      <c r="K1660" s="1140"/>
      <c r="L1660" s="1143"/>
      <c r="M1660" s="1098"/>
      <c r="N1660" s="1099"/>
      <c r="O1660" s="1099"/>
    </row>
    <row r="1661" spans="2:15">
      <c r="B1661" s="1129"/>
      <c r="C1661" s="1098"/>
      <c r="D1661" s="1099"/>
      <c r="E1661" s="1098"/>
      <c r="F1661" s="1136"/>
      <c r="G1661" s="1099"/>
      <c r="H1661" s="1098"/>
      <c r="I1661" s="1099"/>
      <c r="J1661" s="1140"/>
      <c r="K1661" s="1140"/>
      <c r="L1661" s="1143"/>
      <c r="M1661" s="1098"/>
      <c r="N1661" s="1099"/>
      <c r="O1661" s="1099"/>
    </row>
    <row r="1662" spans="2:15">
      <c r="B1662" s="1129"/>
      <c r="C1662" s="1098"/>
      <c r="D1662" s="1099"/>
      <c r="E1662" s="1098"/>
      <c r="F1662" s="1136"/>
      <c r="G1662" s="1099"/>
      <c r="H1662" s="1098"/>
      <c r="I1662" s="1099"/>
      <c r="J1662" s="1140"/>
      <c r="K1662" s="1140"/>
      <c r="L1662" s="1143"/>
      <c r="M1662" s="1098"/>
      <c r="N1662" s="1099"/>
      <c r="O1662" s="1099"/>
    </row>
    <row r="1663" spans="2:15">
      <c r="B1663" s="1129"/>
      <c r="C1663" s="1098"/>
      <c r="D1663" s="1099"/>
      <c r="E1663" s="1098"/>
      <c r="F1663" s="1136"/>
      <c r="G1663" s="1099"/>
      <c r="H1663" s="1098"/>
      <c r="I1663" s="1099"/>
      <c r="J1663" s="1140"/>
      <c r="K1663" s="1140"/>
      <c r="L1663" s="1143"/>
      <c r="M1663" s="1098"/>
      <c r="N1663" s="1099"/>
      <c r="O1663" s="1099"/>
    </row>
    <row r="1664" spans="2:15">
      <c r="B1664" s="1129"/>
      <c r="C1664" s="1098"/>
      <c r="D1664" s="1099"/>
      <c r="E1664" s="1098"/>
      <c r="F1664" s="1136"/>
      <c r="G1664" s="1099"/>
      <c r="H1664" s="1098"/>
      <c r="I1664" s="1099"/>
      <c r="J1664" s="1140"/>
      <c r="K1664" s="1140"/>
      <c r="L1664" s="1143"/>
      <c r="M1664" s="1098"/>
      <c r="N1664" s="1099"/>
      <c r="O1664" s="1099"/>
    </row>
    <row r="1665" spans="2:15">
      <c r="B1665" s="1129"/>
      <c r="C1665" s="1098"/>
      <c r="D1665" s="1099"/>
      <c r="E1665" s="1098"/>
      <c r="F1665" s="1136"/>
      <c r="G1665" s="1099"/>
      <c r="H1665" s="1098"/>
      <c r="I1665" s="1099"/>
      <c r="J1665" s="1140"/>
      <c r="K1665" s="1140"/>
      <c r="L1665" s="1143"/>
      <c r="M1665" s="1098"/>
      <c r="N1665" s="1099"/>
      <c r="O1665" s="1099"/>
    </row>
    <row r="1666" spans="2:15">
      <c r="B1666" s="1129"/>
      <c r="C1666" s="1098"/>
      <c r="D1666" s="1099"/>
      <c r="E1666" s="1098"/>
      <c r="F1666" s="1136"/>
      <c r="G1666" s="1099"/>
      <c r="H1666" s="1098"/>
      <c r="I1666" s="1099"/>
      <c r="J1666" s="1140"/>
      <c r="K1666" s="1140"/>
      <c r="L1666" s="1143"/>
      <c r="M1666" s="1098"/>
      <c r="N1666" s="1099"/>
      <c r="O1666" s="1099"/>
    </row>
    <row r="1667" spans="2:15">
      <c r="B1667" s="1129"/>
      <c r="C1667" s="1098"/>
      <c r="D1667" s="1099"/>
      <c r="E1667" s="1098"/>
      <c r="F1667" s="1136"/>
      <c r="G1667" s="1099"/>
      <c r="H1667" s="1098"/>
      <c r="I1667" s="1099"/>
      <c r="J1667" s="1140"/>
      <c r="K1667" s="1140"/>
      <c r="L1667" s="1143"/>
      <c r="M1667" s="1098"/>
      <c r="N1667" s="1099"/>
      <c r="O1667" s="1099"/>
    </row>
    <row r="1668" spans="2:15">
      <c r="B1668" s="1129"/>
      <c r="C1668" s="1098"/>
      <c r="D1668" s="1099"/>
      <c r="E1668" s="1098"/>
      <c r="F1668" s="1136"/>
      <c r="G1668" s="1099"/>
      <c r="H1668" s="1098"/>
      <c r="I1668" s="1099"/>
      <c r="J1668" s="1140"/>
      <c r="K1668" s="1140"/>
      <c r="L1668" s="1143"/>
      <c r="M1668" s="1098"/>
      <c r="N1668" s="1099"/>
      <c r="O1668" s="1099"/>
    </row>
    <row r="1669" spans="2:15">
      <c r="B1669" s="1129"/>
      <c r="C1669" s="1098"/>
      <c r="D1669" s="1099"/>
      <c r="E1669" s="1098"/>
      <c r="F1669" s="1136"/>
      <c r="G1669" s="1099"/>
      <c r="H1669" s="1098"/>
      <c r="I1669" s="1099"/>
      <c r="J1669" s="1140"/>
      <c r="K1669" s="1140"/>
      <c r="L1669" s="1143"/>
      <c r="M1669" s="1098"/>
      <c r="N1669" s="1099"/>
      <c r="O1669" s="1099"/>
    </row>
    <row r="1670" spans="2:15">
      <c r="B1670" s="1129"/>
      <c r="C1670" s="1098"/>
      <c r="D1670" s="1099"/>
      <c r="E1670" s="1098"/>
      <c r="F1670" s="1136"/>
      <c r="G1670" s="1099"/>
      <c r="H1670" s="1098"/>
      <c r="I1670" s="1099"/>
      <c r="J1670" s="1140"/>
      <c r="K1670" s="1140"/>
      <c r="L1670" s="1143"/>
      <c r="M1670" s="1098"/>
      <c r="N1670" s="1099"/>
      <c r="O1670" s="1099"/>
    </row>
    <row r="1671" spans="2:15">
      <c r="B1671" s="1129"/>
      <c r="C1671" s="1098"/>
      <c r="D1671" s="1099"/>
      <c r="E1671" s="1098"/>
      <c r="F1671" s="1136"/>
      <c r="G1671" s="1099"/>
      <c r="H1671" s="1098"/>
      <c r="I1671" s="1099"/>
      <c r="J1671" s="1140"/>
      <c r="K1671" s="1140"/>
      <c r="L1671" s="1143"/>
      <c r="M1671" s="1098"/>
      <c r="N1671" s="1099"/>
      <c r="O1671" s="1099"/>
    </row>
    <row r="1672" spans="2:15">
      <c r="B1672" s="1129"/>
      <c r="C1672" s="1098"/>
      <c r="D1672" s="1099"/>
      <c r="E1672" s="1098"/>
      <c r="F1672" s="1136"/>
      <c r="G1672" s="1099"/>
      <c r="H1672" s="1098"/>
      <c r="I1672" s="1099"/>
      <c r="J1672" s="1140"/>
      <c r="K1672" s="1140"/>
      <c r="L1672" s="1143"/>
      <c r="M1672" s="1098"/>
      <c r="N1672" s="1099"/>
      <c r="O1672" s="1099"/>
    </row>
    <row r="1673" spans="2:15">
      <c r="B1673" s="1129"/>
      <c r="C1673" s="1098"/>
      <c r="D1673" s="1099"/>
      <c r="E1673" s="1098"/>
      <c r="F1673" s="1136"/>
      <c r="G1673" s="1099"/>
      <c r="H1673" s="1098"/>
      <c r="I1673" s="1099"/>
      <c r="J1673" s="1140"/>
      <c r="K1673" s="1140"/>
      <c r="L1673" s="1143"/>
      <c r="M1673" s="1098"/>
      <c r="N1673" s="1099"/>
      <c r="O1673" s="1099"/>
    </row>
    <row r="1674" spans="2:15">
      <c r="B1674" s="1129"/>
      <c r="C1674" s="1098"/>
      <c r="D1674" s="1099"/>
      <c r="E1674" s="1098"/>
      <c r="F1674" s="1136"/>
      <c r="G1674" s="1099"/>
      <c r="H1674" s="1098"/>
      <c r="I1674" s="1099"/>
      <c r="J1674" s="1140"/>
      <c r="K1674" s="1140"/>
      <c r="L1674" s="1143"/>
      <c r="M1674" s="1098"/>
      <c r="N1674" s="1099"/>
      <c r="O1674" s="1099"/>
    </row>
    <row r="1675" spans="2:15">
      <c r="B1675" s="1129"/>
      <c r="C1675" s="1098"/>
      <c r="D1675" s="1099"/>
      <c r="E1675" s="1098"/>
      <c r="F1675" s="1136"/>
      <c r="G1675" s="1099"/>
      <c r="H1675" s="1098"/>
      <c r="I1675" s="1099"/>
      <c r="J1675" s="1140"/>
      <c r="K1675" s="1140"/>
      <c r="L1675" s="1143"/>
      <c r="M1675" s="1098"/>
      <c r="N1675" s="1099"/>
      <c r="O1675" s="1099"/>
    </row>
    <row r="1676" spans="2:15">
      <c r="B1676" s="1129"/>
      <c r="C1676" s="1098"/>
      <c r="D1676" s="1099"/>
      <c r="E1676" s="1098"/>
      <c r="F1676" s="1136"/>
      <c r="G1676" s="1099"/>
      <c r="H1676" s="1098"/>
      <c r="I1676" s="1099"/>
      <c r="J1676" s="1140"/>
      <c r="K1676" s="1140"/>
      <c r="L1676" s="1143"/>
      <c r="M1676" s="1098"/>
      <c r="N1676" s="1099"/>
      <c r="O1676" s="1099"/>
    </row>
    <row r="1677" spans="2:15">
      <c r="B1677" s="1129"/>
      <c r="C1677" s="1098"/>
      <c r="D1677" s="1099"/>
      <c r="E1677" s="1098"/>
      <c r="F1677" s="1136"/>
      <c r="G1677" s="1099"/>
      <c r="H1677" s="1098"/>
      <c r="I1677" s="1099"/>
      <c r="J1677" s="1140"/>
      <c r="K1677" s="1140"/>
      <c r="L1677" s="1143"/>
      <c r="M1677" s="1098"/>
      <c r="N1677" s="1099"/>
      <c r="O1677" s="1099"/>
    </row>
    <row r="1678" spans="2:15">
      <c r="B1678" s="1129"/>
      <c r="C1678" s="1098"/>
      <c r="D1678" s="1099"/>
      <c r="E1678" s="1098"/>
      <c r="F1678" s="1136"/>
      <c r="G1678" s="1099"/>
      <c r="H1678" s="1098"/>
      <c r="I1678" s="1099"/>
      <c r="J1678" s="1140"/>
      <c r="K1678" s="1140"/>
      <c r="L1678" s="1143"/>
      <c r="M1678" s="1098"/>
      <c r="N1678" s="1099"/>
      <c r="O1678" s="1099"/>
    </row>
    <row r="1679" spans="2:15">
      <c r="B1679" s="1129"/>
      <c r="C1679" s="1098"/>
      <c r="D1679" s="1099"/>
      <c r="E1679" s="1098"/>
      <c r="F1679" s="1136"/>
      <c r="G1679" s="1099"/>
      <c r="H1679" s="1098"/>
      <c r="I1679" s="1099"/>
      <c r="J1679" s="1140"/>
      <c r="K1679" s="1140"/>
      <c r="L1679" s="1143"/>
      <c r="M1679" s="1098"/>
      <c r="N1679" s="1099"/>
      <c r="O1679" s="1099"/>
    </row>
    <row r="1680" spans="2:15">
      <c r="B1680" s="1129"/>
      <c r="C1680" s="1098"/>
      <c r="D1680" s="1099"/>
      <c r="E1680" s="1098"/>
      <c r="F1680" s="1136"/>
      <c r="G1680" s="1099"/>
      <c r="H1680" s="1098"/>
      <c r="I1680" s="1099"/>
      <c r="J1680" s="1140"/>
      <c r="K1680" s="1140"/>
      <c r="L1680" s="1143"/>
      <c r="M1680" s="1098"/>
      <c r="N1680" s="1099"/>
      <c r="O1680" s="1099"/>
    </row>
    <row r="1681" spans="2:15">
      <c r="B1681" s="1129"/>
      <c r="C1681" s="1098"/>
      <c r="D1681" s="1099"/>
      <c r="E1681" s="1098"/>
      <c r="F1681" s="1136"/>
      <c r="G1681" s="1099"/>
      <c r="H1681" s="1098"/>
      <c r="I1681" s="1099"/>
      <c r="J1681" s="1140"/>
      <c r="K1681" s="1140"/>
      <c r="L1681" s="1143"/>
      <c r="M1681" s="1098"/>
      <c r="N1681" s="1099"/>
      <c r="O1681" s="1099"/>
    </row>
    <row r="1682" spans="2:15">
      <c r="B1682" s="1129"/>
      <c r="C1682" s="1098"/>
      <c r="D1682" s="1099"/>
      <c r="E1682" s="1098"/>
      <c r="F1682" s="1136"/>
      <c r="G1682" s="1099"/>
      <c r="H1682" s="1098"/>
      <c r="I1682" s="1099"/>
      <c r="J1682" s="1140"/>
      <c r="K1682" s="1140"/>
      <c r="L1682" s="1143"/>
      <c r="M1682" s="1098"/>
      <c r="N1682" s="1099"/>
      <c r="O1682" s="1099"/>
    </row>
    <row r="1683" spans="2:15">
      <c r="B1683" s="1129"/>
      <c r="C1683" s="1098"/>
      <c r="D1683" s="1099"/>
      <c r="E1683" s="1098"/>
      <c r="F1683" s="1136"/>
      <c r="G1683" s="1099"/>
      <c r="H1683" s="1098"/>
      <c r="I1683" s="1099"/>
      <c r="J1683" s="1140"/>
      <c r="K1683" s="1140"/>
      <c r="L1683" s="1143"/>
      <c r="M1683" s="1098"/>
      <c r="N1683" s="1099"/>
      <c r="O1683" s="1099"/>
    </row>
    <row r="1684" spans="2:15">
      <c r="B1684" s="1129"/>
      <c r="C1684" s="1098"/>
      <c r="D1684" s="1099"/>
      <c r="E1684" s="1098"/>
      <c r="F1684" s="1136"/>
      <c r="G1684" s="1099"/>
      <c r="H1684" s="1098"/>
      <c r="I1684" s="1099"/>
      <c r="J1684" s="1140"/>
      <c r="K1684" s="1140"/>
      <c r="L1684" s="1143"/>
      <c r="M1684" s="1098"/>
      <c r="N1684" s="1099"/>
      <c r="O1684" s="1099"/>
    </row>
    <row r="1685" spans="2:15">
      <c r="B1685" s="1129"/>
      <c r="C1685" s="1098"/>
      <c r="D1685" s="1099"/>
      <c r="E1685" s="1098"/>
      <c r="F1685" s="1136"/>
      <c r="G1685" s="1099"/>
      <c r="H1685" s="1098"/>
      <c r="I1685" s="1099"/>
      <c r="J1685" s="1140"/>
      <c r="K1685" s="1140"/>
      <c r="L1685" s="1143"/>
      <c r="M1685" s="1098"/>
      <c r="N1685" s="1099"/>
      <c r="O1685" s="1099"/>
    </row>
    <row r="1686" spans="2:15">
      <c r="B1686" s="1129"/>
      <c r="C1686" s="1098"/>
      <c r="D1686" s="1099"/>
      <c r="E1686" s="1098"/>
      <c r="F1686" s="1136"/>
      <c r="G1686" s="1099"/>
      <c r="H1686" s="1098"/>
      <c r="I1686" s="1099"/>
      <c r="J1686" s="1140"/>
      <c r="K1686" s="1140"/>
      <c r="L1686" s="1143"/>
      <c r="M1686" s="1098"/>
      <c r="N1686" s="1099"/>
      <c r="O1686" s="1099"/>
    </row>
    <row r="1687" spans="2:15">
      <c r="B1687" s="1129"/>
      <c r="C1687" s="1098"/>
      <c r="D1687" s="1099"/>
      <c r="E1687" s="1098"/>
      <c r="F1687" s="1136"/>
      <c r="G1687" s="1099"/>
      <c r="H1687" s="1098"/>
      <c r="I1687" s="1099"/>
      <c r="J1687" s="1140"/>
      <c r="K1687" s="1140"/>
      <c r="L1687" s="1143"/>
      <c r="M1687" s="1098"/>
      <c r="N1687" s="1099"/>
      <c r="O1687" s="1099"/>
    </row>
    <row r="1688" spans="2:15">
      <c r="B1688" s="1129"/>
      <c r="C1688" s="1098"/>
      <c r="D1688" s="1099"/>
      <c r="E1688" s="1098"/>
      <c r="F1688" s="1136"/>
      <c r="G1688" s="1099"/>
      <c r="H1688" s="1098"/>
      <c r="I1688" s="1099"/>
      <c r="J1688" s="1140"/>
      <c r="K1688" s="1140"/>
      <c r="L1688" s="1143"/>
      <c r="M1688" s="1098"/>
      <c r="N1688" s="1099"/>
      <c r="O1688" s="1099"/>
    </row>
    <row r="1689" spans="2:15">
      <c r="B1689" s="1129"/>
      <c r="C1689" s="1098"/>
      <c r="D1689" s="1099"/>
      <c r="E1689" s="1098"/>
      <c r="F1689" s="1136"/>
      <c r="G1689" s="1099"/>
      <c r="H1689" s="1098"/>
      <c r="I1689" s="1099"/>
      <c r="J1689" s="1140"/>
      <c r="K1689" s="1140"/>
      <c r="L1689" s="1143"/>
      <c r="M1689" s="1098"/>
      <c r="N1689" s="1099"/>
      <c r="O1689" s="1099"/>
    </row>
    <row r="1690" spans="2:15">
      <c r="B1690" s="1129"/>
      <c r="C1690" s="1098"/>
      <c r="D1690" s="1099"/>
      <c r="E1690" s="1098"/>
      <c r="F1690" s="1136"/>
      <c r="G1690" s="1099"/>
      <c r="H1690" s="1098"/>
      <c r="I1690" s="1099"/>
      <c r="J1690" s="1140"/>
      <c r="K1690" s="1140"/>
      <c r="L1690" s="1143"/>
      <c r="M1690" s="1098"/>
      <c r="N1690" s="1099"/>
      <c r="O1690" s="1099"/>
    </row>
    <row r="1691" spans="2:15">
      <c r="B1691" s="1129"/>
      <c r="C1691" s="1098"/>
      <c r="D1691" s="1099"/>
      <c r="E1691" s="1098"/>
      <c r="F1691" s="1136"/>
      <c r="G1691" s="1099"/>
      <c r="H1691" s="1098"/>
      <c r="I1691" s="1099"/>
      <c r="J1691" s="1140"/>
      <c r="K1691" s="1140"/>
      <c r="L1691" s="1143"/>
      <c r="M1691" s="1098"/>
      <c r="N1691" s="1099"/>
      <c r="O1691" s="1099"/>
    </row>
    <row r="1692" spans="2:15">
      <c r="B1692" s="1129"/>
      <c r="C1692" s="1098"/>
      <c r="D1692" s="1099"/>
      <c r="E1692" s="1098"/>
      <c r="F1692" s="1136"/>
      <c r="G1692" s="1099"/>
      <c r="H1692" s="1098"/>
      <c r="I1692" s="1099"/>
      <c r="J1692" s="1140"/>
      <c r="K1692" s="1140"/>
      <c r="L1692" s="1143"/>
      <c r="M1692" s="1098"/>
      <c r="N1692" s="1099"/>
      <c r="O1692" s="1099"/>
    </row>
    <row r="1693" spans="2:15">
      <c r="B1693" s="1129"/>
      <c r="C1693" s="1098"/>
      <c r="D1693" s="1099"/>
      <c r="E1693" s="1098"/>
      <c r="F1693" s="1136"/>
      <c r="G1693" s="1099"/>
      <c r="H1693" s="1098"/>
      <c r="I1693" s="1099"/>
      <c r="J1693" s="1140"/>
      <c r="K1693" s="1140"/>
      <c r="L1693" s="1143"/>
      <c r="M1693" s="1098"/>
      <c r="N1693" s="1099"/>
      <c r="O1693" s="1099"/>
    </row>
    <row r="1694" spans="2:15">
      <c r="B1694" s="1129"/>
      <c r="C1694" s="1098"/>
      <c r="D1694" s="1099"/>
      <c r="E1694" s="1098"/>
      <c r="F1694" s="1136"/>
      <c r="G1694" s="1099"/>
      <c r="H1694" s="1098"/>
      <c r="I1694" s="1099"/>
      <c r="J1694" s="1140"/>
      <c r="K1694" s="1140"/>
      <c r="L1694" s="1143"/>
      <c r="M1694" s="1098"/>
      <c r="N1694" s="1099"/>
      <c r="O1694" s="1099"/>
    </row>
    <row r="1695" spans="2:15">
      <c r="B1695" s="1129"/>
      <c r="C1695" s="1098"/>
      <c r="D1695" s="1099"/>
      <c r="E1695" s="1098"/>
      <c r="F1695" s="1136"/>
      <c r="G1695" s="1099"/>
      <c r="H1695" s="1098"/>
      <c r="I1695" s="1099"/>
      <c r="J1695" s="1140"/>
      <c r="K1695" s="1140"/>
      <c r="L1695" s="1143"/>
      <c r="M1695" s="1098"/>
      <c r="N1695" s="1099"/>
      <c r="O1695" s="1099"/>
    </row>
    <row r="1696" spans="2:15">
      <c r="B1696" s="1129"/>
      <c r="C1696" s="1098"/>
      <c r="D1696" s="1099"/>
      <c r="E1696" s="1098"/>
      <c r="F1696" s="1136"/>
      <c r="G1696" s="1099"/>
      <c r="H1696" s="1098"/>
      <c r="I1696" s="1099"/>
      <c r="J1696" s="1140"/>
      <c r="K1696" s="1140"/>
      <c r="L1696" s="1143"/>
      <c r="M1696" s="1098"/>
      <c r="N1696" s="1099"/>
      <c r="O1696" s="1099"/>
    </row>
    <row r="1697" spans="2:15">
      <c r="B1697" s="1129"/>
      <c r="C1697" s="1098"/>
      <c r="D1697" s="1099"/>
      <c r="E1697" s="1098"/>
      <c r="F1697" s="1136"/>
      <c r="G1697" s="1099"/>
      <c r="H1697" s="1098"/>
      <c r="I1697" s="1099"/>
      <c r="J1697" s="1140"/>
      <c r="K1697" s="1140"/>
      <c r="L1697" s="1143"/>
      <c r="M1697" s="1098"/>
      <c r="N1697" s="1099"/>
      <c r="O1697" s="1099"/>
    </row>
    <row r="1698" spans="2:15">
      <c r="B1698" s="1129"/>
      <c r="C1698" s="1098"/>
      <c r="D1698" s="1099"/>
      <c r="E1698" s="1098"/>
      <c r="F1698" s="1136"/>
      <c r="G1698" s="1099"/>
      <c r="H1698" s="1098"/>
      <c r="I1698" s="1099"/>
      <c r="J1698" s="1140"/>
      <c r="K1698" s="1140"/>
      <c r="L1698" s="1143"/>
      <c r="M1698" s="1098"/>
      <c r="N1698" s="1099"/>
      <c r="O1698" s="1099"/>
    </row>
    <row r="1699" spans="2:15">
      <c r="B1699" s="1129"/>
      <c r="C1699" s="1098"/>
      <c r="D1699" s="1099"/>
      <c r="E1699" s="1098"/>
      <c r="F1699" s="1136"/>
      <c r="G1699" s="1099"/>
      <c r="H1699" s="1098"/>
      <c r="I1699" s="1099"/>
      <c r="J1699" s="1140"/>
      <c r="K1699" s="1140"/>
      <c r="L1699" s="1143"/>
      <c r="M1699" s="1098"/>
      <c r="N1699" s="1099"/>
      <c r="O1699" s="1099"/>
    </row>
    <row r="1700" spans="2:15">
      <c r="B1700" s="1129"/>
      <c r="C1700" s="1098"/>
      <c r="D1700" s="1099"/>
      <c r="E1700" s="1098"/>
      <c r="F1700" s="1136"/>
      <c r="G1700" s="1099"/>
      <c r="H1700" s="1098"/>
      <c r="I1700" s="1099"/>
      <c r="J1700" s="1140"/>
      <c r="K1700" s="1140"/>
      <c r="L1700" s="1143"/>
      <c r="M1700" s="1098"/>
      <c r="N1700" s="1099"/>
      <c r="O1700" s="1099"/>
    </row>
    <row r="1701" spans="2:15">
      <c r="B1701" s="1129"/>
      <c r="C1701" s="1098"/>
      <c r="D1701" s="1099"/>
      <c r="E1701" s="1098"/>
      <c r="F1701" s="1136"/>
      <c r="G1701" s="1099"/>
      <c r="H1701" s="1098"/>
      <c r="I1701" s="1099"/>
      <c r="J1701" s="1140"/>
      <c r="K1701" s="1140"/>
      <c r="L1701" s="1143"/>
      <c r="M1701" s="1098"/>
      <c r="N1701" s="1099"/>
      <c r="O1701" s="1099"/>
    </row>
    <row r="1702" spans="2:15">
      <c r="B1702" s="1129"/>
      <c r="C1702" s="1098"/>
      <c r="D1702" s="1099"/>
      <c r="E1702" s="1098"/>
      <c r="F1702" s="1136"/>
      <c r="G1702" s="1099"/>
      <c r="H1702" s="1098"/>
      <c r="I1702" s="1099"/>
      <c r="J1702" s="1140"/>
      <c r="K1702" s="1140"/>
      <c r="L1702" s="1143"/>
      <c r="M1702" s="1098"/>
      <c r="N1702" s="1099"/>
      <c r="O1702" s="1099"/>
    </row>
    <row r="1703" spans="2:15">
      <c r="B1703" s="1129"/>
      <c r="C1703" s="1098"/>
      <c r="D1703" s="1099"/>
      <c r="E1703" s="1098"/>
      <c r="F1703" s="1136"/>
      <c r="G1703" s="1099"/>
      <c r="H1703" s="1098"/>
      <c r="I1703" s="1099"/>
      <c r="J1703" s="1140"/>
      <c r="K1703" s="1140"/>
      <c r="L1703" s="1143"/>
      <c r="M1703" s="1098"/>
      <c r="N1703" s="1099"/>
      <c r="O1703" s="1099"/>
    </row>
    <row r="1704" spans="2:15">
      <c r="B1704" s="1129"/>
      <c r="C1704" s="1098"/>
      <c r="D1704" s="1099"/>
      <c r="E1704" s="1098"/>
      <c r="F1704" s="1136"/>
      <c r="G1704" s="1099"/>
      <c r="H1704" s="1098"/>
      <c r="I1704" s="1099"/>
      <c r="J1704" s="1140"/>
      <c r="K1704" s="1140"/>
      <c r="L1704" s="1143"/>
      <c r="M1704" s="1098"/>
      <c r="N1704" s="1099"/>
      <c r="O1704" s="1099"/>
    </row>
    <row r="1705" spans="2:15">
      <c r="B1705" s="1129"/>
      <c r="C1705" s="1098"/>
      <c r="D1705" s="1099"/>
      <c r="E1705" s="1098"/>
      <c r="F1705" s="1136"/>
      <c r="G1705" s="1099"/>
      <c r="H1705" s="1098"/>
      <c r="I1705" s="1099"/>
      <c r="J1705" s="1140"/>
      <c r="K1705" s="1140"/>
      <c r="L1705" s="1143"/>
      <c r="M1705" s="1098"/>
      <c r="N1705" s="1099"/>
      <c r="O1705" s="1099"/>
    </row>
    <row r="1706" spans="2:15">
      <c r="B1706" s="1129"/>
      <c r="C1706" s="1098"/>
      <c r="D1706" s="1099"/>
      <c r="E1706" s="1098"/>
      <c r="F1706" s="1136"/>
      <c r="G1706" s="1099"/>
      <c r="H1706" s="1098"/>
      <c r="I1706" s="1099"/>
      <c r="J1706" s="1140"/>
      <c r="K1706" s="1140"/>
      <c r="L1706" s="1143"/>
      <c r="M1706" s="1098"/>
      <c r="N1706" s="1099"/>
      <c r="O1706" s="1099"/>
    </row>
    <row r="1707" spans="2:15">
      <c r="B1707" s="1129"/>
      <c r="C1707" s="1098"/>
      <c r="D1707" s="1099"/>
      <c r="E1707" s="1098"/>
      <c r="F1707" s="1136"/>
      <c r="G1707" s="1099"/>
      <c r="H1707" s="1098"/>
      <c r="I1707" s="1099"/>
      <c r="J1707" s="1140"/>
      <c r="K1707" s="1140"/>
      <c r="L1707" s="1143"/>
      <c r="M1707" s="1098"/>
      <c r="N1707" s="1099"/>
      <c r="O1707" s="1099"/>
    </row>
    <row r="1708" spans="2:15">
      <c r="B1708" s="1129"/>
      <c r="C1708" s="1098"/>
      <c r="D1708" s="1099"/>
      <c r="E1708" s="1098"/>
      <c r="F1708" s="1136"/>
      <c r="G1708" s="1099"/>
      <c r="H1708" s="1098"/>
      <c r="I1708" s="1099"/>
      <c r="J1708" s="1140"/>
      <c r="K1708" s="1140"/>
      <c r="L1708" s="1143"/>
      <c r="M1708" s="1098"/>
      <c r="N1708" s="1099"/>
      <c r="O1708" s="1099"/>
    </row>
    <row r="1709" spans="2:15">
      <c r="B1709" s="1129"/>
      <c r="C1709" s="1098"/>
      <c r="D1709" s="1099"/>
      <c r="E1709" s="1098"/>
      <c r="F1709" s="1136"/>
      <c r="G1709" s="1099"/>
      <c r="H1709" s="1098"/>
      <c r="I1709" s="1099"/>
      <c r="J1709" s="1140"/>
      <c r="K1709" s="1140"/>
      <c r="L1709" s="1143"/>
      <c r="M1709" s="1098"/>
      <c r="N1709" s="1099"/>
      <c r="O1709" s="1099"/>
    </row>
    <row r="1710" spans="2:15">
      <c r="B1710" s="1129"/>
      <c r="C1710" s="1098"/>
      <c r="D1710" s="1099"/>
      <c r="E1710" s="1098"/>
      <c r="F1710" s="1136"/>
      <c r="G1710" s="1099"/>
      <c r="H1710" s="1098"/>
      <c r="I1710" s="1099"/>
      <c r="J1710" s="1140"/>
      <c r="K1710" s="1140"/>
      <c r="L1710" s="1143"/>
      <c r="M1710" s="1098"/>
      <c r="N1710" s="1099"/>
      <c r="O1710" s="1099"/>
    </row>
    <row r="1711" spans="2:15">
      <c r="B1711" s="1129"/>
      <c r="C1711" s="1098"/>
      <c r="D1711" s="1099"/>
      <c r="E1711" s="1098"/>
      <c r="F1711" s="1136"/>
      <c r="G1711" s="1099"/>
      <c r="H1711" s="1098"/>
      <c r="I1711" s="1099"/>
      <c r="J1711" s="1140"/>
      <c r="K1711" s="1140"/>
      <c r="L1711" s="1143"/>
      <c r="M1711" s="1098"/>
      <c r="N1711" s="1099"/>
      <c r="O1711" s="1099"/>
    </row>
    <row r="1712" spans="2:15">
      <c r="B1712" s="1129"/>
      <c r="C1712" s="1098"/>
      <c r="D1712" s="1099"/>
      <c r="E1712" s="1098"/>
      <c r="F1712" s="1136"/>
      <c r="G1712" s="1099"/>
      <c r="H1712" s="1098"/>
      <c r="I1712" s="1099"/>
      <c r="J1712" s="1140"/>
      <c r="K1712" s="1140"/>
      <c r="L1712" s="1143"/>
      <c r="M1712" s="1098"/>
      <c r="N1712" s="1099"/>
      <c r="O1712" s="1099"/>
    </row>
    <row r="1713" spans="2:15">
      <c r="B1713" s="1129"/>
      <c r="C1713" s="1098"/>
      <c r="D1713" s="1099"/>
      <c r="E1713" s="1098"/>
      <c r="F1713" s="1136"/>
      <c r="G1713" s="1099"/>
      <c r="H1713" s="1098"/>
      <c r="I1713" s="1099"/>
      <c r="J1713" s="1140"/>
      <c r="K1713" s="1140"/>
      <c r="L1713" s="1143"/>
      <c r="M1713" s="1098"/>
      <c r="N1713" s="1099"/>
      <c r="O1713" s="1099"/>
    </row>
    <row r="1714" spans="2:15">
      <c r="B1714" s="1129"/>
      <c r="C1714" s="1098"/>
      <c r="D1714" s="1099"/>
      <c r="E1714" s="1098"/>
      <c r="F1714" s="1136"/>
      <c r="G1714" s="1099"/>
      <c r="H1714" s="1098"/>
      <c r="I1714" s="1099"/>
      <c r="J1714" s="1140"/>
      <c r="K1714" s="1140"/>
      <c r="L1714" s="1143"/>
      <c r="M1714" s="1098"/>
      <c r="N1714" s="1099"/>
      <c r="O1714" s="1099"/>
    </row>
    <row r="1715" spans="2:15">
      <c r="B1715" s="1129"/>
      <c r="C1715" s="1098"/>
      <c r="D1715" s="1099"/>
      <c r="E1715" s="1098"/>
      <c r="F1715" s="1136"/>
      <c r="G1715" s="1099"/>
      <c r="H1715" s="1098"/>
      <c r="I1715" s="1099"/>
      <c r="J1715" s="1140"/>
      <c r="K1715" s="1140"/>
      <c r="L1715" s="1143"/>
      <c r="M1715" s="1098"/>
      <c r="N1715" s="1099"/>
      <c r="O1715" s="1099"/>
    </row>
    <row r="1716" spans="2:15">
      <c r="B1716" s="1129"/>
      <c r="C1716" s="1098"/>
      <c r="D1716" s="1099"/>
      <c r="E1716" s="1098"/>
      <c r="F1716" s="1136"/>
      <c r="G1716" s="1099"/>
      <c r="H1716" s="1098"/>
      <c r="I1716" s="1099"/>
      <c r="J1716" s="1140"/>
      <c r="K1716" s="1140"/>
      <c r="L1716" s="1143"/>
      <c r="M1716" s="1098"/>
      <c r="N1716" s="1099"/>
      <c r="O1716" s="1099"/>
    </row>
    <row r="1717" spans="2:15">
      <c r="B1717" s="1129"/>
      <c r="C1717" s="1098"/>
      <c r="D1717" s="1099"/>
      <c r="E1717" s="1098"/>
      <c r="F1717" s="1136"/>
      <c r="G1717" s="1099"/>
      <c r="H1717" s="1098"/>
      <c r="I1717" s="1099"/>
      <c r="J1717" s="1140"/>
      <c r="K1717" s="1140"/>
      <c r="L1717" s="1143"/>
      <c r="M1717" s="1098"/>
      <c r="N1717" s="1099"/>
      <c r="O1717" s="1099"/>
    </row>
    <row r="1718" spans="2:15">
      <c r="B1718" s="1129"/>
      <c r="C1718" s="1098"/>
      <c r="D1718" s="1099"/>
      <c r="E1718" s="1098"/>
      <c r="F1718" s="1136"/>
      <c r="G1718" s="1099"/>
      <c r="H1718" s="1098"/>
      <c r="I1718" s="1099"/>
      <c r="J1718" s="1140"/>
      <c r="K1718" s="1140"/>
      <c r="L1718" s="1143"/>
      <c r="M1718" s="1098"/>
      <c r="N1718" s="1099"/>
      <c r="O1718" s="1099"/>
    </row>
    <row r="1719" spans="2:15">
      <c r="B1719" s="1129"/>
      <c r="C1719" s="1098"/>
      <c r="D1719" s="1099"/>
      <c r="E1719" s="1098"/>
      <c r="F1719" s="1136"/>
      <c r="G1719" s="1099"/>
      <c r="H1719" s="1098"/>
      <c r="I1719" s="1099"/>
      <c r="J1719" s="1140"/>
      <c r="K1719" s="1140"/>
      <c r="L1719" s="1143"/>
      <c r="M1719" s="1098"/>
      <c r="N1719" s="1099"/>
      <c r="O1719" s="1099"/>
    </row>
    <row r="1720" spans="2:15">
      <c r="B1720" s="1129"/>
      <c r="C1720" s="1098"/>
      <c r="D1720" s="1099"/>
      <c r="E1720" s="1098"/>
      <c r="F1720" s="1136"/>
      <c r="G1720" s="1099"/>
      <c r="H1720" s="1098"/>
      <c r="I1720" s="1099"/>
      <c r="J1720" s="1140"/>
      <c r="K1720" s="1140"/>
      <c r="L1720" s="1143"/>
      <c r="M1720" s="1098"/>
      <c r="N1720" s="1099"/>
      <c r="O1720" s="1099"/>
    </row>
    <row r="1721" spans="2:15">
      <c r="B1721" s="1129"/>
      <c r="C1721" s="1098"/>
      <c r="D1721" s="1099"/>
      <c r="E1721" s="1098"/>
      <c r="F1721" s="1136"/>
      <c r="G1721" s="1099"/>
      <c r="H1721" s="1098"/>
      <c r="I1721" s="1099"/>
      <c r="J1721" s="1140"/>
      <c r="K1721" s="1140"/>
      <c r="L1721" s="1143"/>
      <c r="M1721" s="1098"/>
      <c r="N1721" s="1099"/>
      <c r="O1721" s="1099"/>
    </row>
    <row r="1722" spans="2:15">
      <c r="B1722" s="1129"/>
      <c r="C1722" s="1098"/>
      <c r="D1722" s="1099"/>
      <c r="E1722" s="1098"/>
      <c r="F1722" s="1136"/>
      <c r="G1722" s="1099"/>
      <c r="H1722" s="1098"/>
      <c r="I1722" s="1099"/>
      <c r="J1722" s="1140"/>
      <c r="K1722" s="1140"/>
      <c r="L1722" s="1143"/>
      <c r="M1722" s="1098"/>
      <c r="N1722" s="1099"/>
      <c r="O1722" s="1099"/>
    </row>
    <row r="1723" spans="2:15">
      <c r="B1723" s="1129"/>
      <c r="C1723" s="1098"/>
      <c r="D1723" s="1099"/>
      <c r="E1723" s="1098"/>
      <c r="F1723" s="1136"/>
      <c r="G1723" s="1099"/>
      <c r="H1723" s="1098"/>
      <c r="I1723" s="1099"/>
      <c r="J1723" s="1140"/>
      <c r="K1723" s="1140"/>
      <c r="L1723" s="1143"/>
      <c r="M1723" s="1098"/>
      <c r="N1723" s="1099"/>
      <c r="O1723" s="1099"/>
    </row>
    <row r="1724" spans="2:15">
      <c r="B1724" s="1129"/>
      <c r="C1724" s="1098"/>
      <c r="D1724" s="1099"/>
      <c r="E1724" s="1098"/>
      <c r="F1724" s="1136"/>
      <c r="G1724" s="1099"/>
      <c r="H1724" s="1098"/>
      <c r="I1724" s="1099"/>
      <c r="J1724" s="1140"/>
      <c r="K1724" s="1140"/>
      <c r="L1724" s="1143"/>
      <c r="M1724" s="1098"/>
      <c r="N1724" s="1099"/>
      <c r="O1724" s="1099"/>
    </row>
    <row r="1725" spans="2:15">
      <c r="B1725" s="1129"/>
      <c r="C1725" s="1098"/>
      <c r="D1725" s="1099"/>
      <c r="E1725" s="1098"/>
      <c r="F1725" s="1136"/>
      <c r="G1725" s="1099"/>
      <c r="H1725" s="1098"/>
      <c r="I1725" s="1099"/>
      <c r="J1725" s="1140"/>
      <c r="K1725" s="1140"/>
      <c r="L1725" s="1143"/>
      <c r="M1725" s="1098"/>
      <c r="N1725" s="1099"/>
      <c r="O1725" s="1099"/>
    </row>
    <row r="1726" spans="2:15">
      <c r="B1726" s="1129"/>
      <c r="C1726" s="1098"/>
      <c r="D1726" s="1099"/>
      <c r="E1726" s="1098"/>
      <c r="F1726" s="1136"/>
      <c r="G1726" s="1099"/>
      <c r="H1726" s="1098"/>
      <c r="I1726" s="1099"/>
      <c r="J1726" s="1140"/>
      <c r="K1726" s="1140"/>
      <c r="L1726" s="1143"/>
      <c r="M1726" s="1098"/>
      <c r="N1726" s="1099"/>
      <c r="O1726" s="1099"/>
    </row>
    <row r="1727" spans="2:15">
      <c r="B1727" s="1129"/>
      <c r="C1727" s="1098"/>
      <c r="D1727" s="1099"/>
      <c r="E1727" s="1098"/>
      <c r="F1727" s="1136"/>
      <c r="G1727" s="1099"/>
      <c r="H1727" s="1098"/>
      <c r="I1727" s="1099"/>
      <c r="J1727" s="1140"/>
      <c r="K1727" s="1140"/>
      <c r="L1727" s="1143"/>
      <c r="M1727" s="1098"/>
      <c r="N1727" s="1099"/>
      <c r="O1727" s="1099"/>
    </row>
    <row r="1728" spans="2:15">
      <c r="B1728" s="1129"/>
      <c r="C1728" s="1098"/>
      <c r="D1728" s="1099"/>
      <c r="E1728" s="1098"/>
      <c r="F1728" s="1136"/>
      <c r="G1728" s="1099"/>
      <c r="H1728" s="1098"/>
      <c r="I1728" s="1099"/>
      <c r="J1728" s="1140"/>
      <c r="K1728" s="1140"/>
      <c r="L1728" s="1143"/>
      <c r="M1728" s="1098"/>
      <c r="N1728" s="1099"/>
      <c r="O1728" s="1099"/>
    </row>
    <row r="1729" spans="2:15">
      <c r="B1729" s="1129"/>
      <c r="C1729" s="1098"/>
      <c r="D1729" s="1099"/>
      <c r="E1729" s="1098"/>
      <c r="F1729" s="1136"/>
      <c r="G1729" s="1099"/>
      <c r="H1729" s="1098"/>
      <c r="I1729" s="1099"/>
      <c r="J1729" s="1140"/>
      <c r="K1729" s="1140"/>
      <c r="L1729" s="1143"/>
      <c r="M1729" s="1098"/>
      <c r="N1729" s="1099"/>
      <c r="O1729" s="1099"/>
    </row>
    <row r="1730" spans="2:15">
      <c r="B1730" s="1129"/>
      <c r="C1730" s="1098"/>
      <c r="D1730" s="1099"/>
      <c r="E1730" s="1098"/>
      <c r="F1730" s="1136"/>
      <c r="G1730" s="1099"/>
      <c r="H1730" s="1098"/>
      <c r="I1730" s="1099"/>
      <c r="J1730" s="1140"/>
      <c r="K1730" s="1140"/>
      <c r="L1730" s="1143"/>
      <c r="M1730" s="1098"/>
      <c r="N1730" s="1099"/>
      <c r="O1730" s="1099"/>
    </row>
    <row r="1731" spans="2:15">
      <c r="B1731" s="1129"/>
      <c r="C1731" s="1098"/>
      <c r="D1731" s="1099"/>
      <c r="E1731" s="1098"/>
      <c r="F1731" s="1136"/>
      <c r="G1731" s="1099"/>
      <c r="H1731" s="1098"/>
      <c r="I1731" s="1099"/>
      <c r="J1731" s="1140"/>
      <c r="K1731" s="1140"/>
      <c r="L1731" s="1143"/>
      <c r="M1731" s="1098"/>
      <c r="N1731" s="1099"/>
      <c r="O1731" s="1099"/>
    </row>
    <row r="1732" spans="2:15">
      <c r="B1732" s="1129"/>
      <c r="C1732" s="1098"/>
      <c r="D1732" s="1099"/>
      <c r="E1732" s="1098"/>
      <c r="F1732" s="1136"/>
      <c r="G1732" s="1099"/>
      <c r="H1732" s="1098"/>
      <c r="I1732" s="1099"/>
      <c r="J1732" s="1140"/>
      <c r="K1732" s="1140"/>
      <c r="L1732" s="1143"/>
      <c r="M1732" s="1098"/>
      <c r="N1732" s="1099"/>
      <c r="O1732" s="1099"/>
    </row>
    <row r="1733" spans="2:15">
      <c r="B1733" s="1129"/>
      <c r="C1733" s="1098"/>
      <c r="D1733" s="1099"/>
      <c r="E1733" s="1098"/>
      <c r="F1733" s="1136"/>
      <c r="G1733" s="1099"/>
      <c r="H1733" s="1098"/>
      <c r="I1733" s="1099"/>
      <c r="J1733" s="1140"/>
      <c r="K1733" s="1140"/>
      <c r="L1733" s="1143"/>
      <c r="M1733" s="1098"/>
      <c r="N1733" s="1099"/>
      <c r="O1733" s="1099"/>
    </row>
    <row r="1734" spans="2:15">
      <c r="B1734" s="1129"/>
      <c r="C1734" s="1098"/>
      <c r="D1734" s="1099"/>
      <c r="E1734" s="1098"/>
      <c r="F1734" s="1136"/>
      <c r="G1734" s="1099"/>
      <c r="H1734" s="1098"/>
      <c r="I1734" s="1099"/>
      <c r="J1734" s="1140"/>
      <c r="K1734" s="1140"/>
      <c r="L1734" s="1143"/>
      <c r="M1734" s="1098"/>
      <c r="N1734" s="1099"/>
      <c r="O1734" s="1099"/>
    </row>
    <row r="1735" spans="2:15">
      <c r="B1735" s="1129"/>
      <c r="C1735" s="1098"/>
      <c r="D1735" s="1099"/>
      <c r="E1735" s="1098"/>
      <c r="F1735" s="1136"/>
      <c r="G1735" s="1099"/>
      <c r="H1735" s="1098"/>
      <c r="I1735" s="1099"/>
      <c r="J1735" s="1140"/>
      <c r="K1735" s="1140"/>
      <c r="L1735" s="1143"/>
      <c r="M1735" s="1098"/>
      <c r="N1735" s="1099"/>
      <c r="O1735" s="1099"/>
    </row>
    <row r="1736" spans="2:15">
      <c r="B1736" s="1129"/>
      <c r="C1736" s="1098"/>
      <c r="D1736" s="1099"/>
      <c r="E1736" s="1098"/>
      <c r="F1736" s="1136"/>
      <c r="G1736" s="1099"/>
      <c r="H1736" s="1098"/>
      <c r="I1736" s="1099"/>
      <c r="J1736" s="1140"/>
      <c r="K1736" s="1140"/>
      <c r="L1736" s="1143"/>
      <c r="M1736" s="1098"/>
      <c r="N1736" s="1099"/>
      <c r="O1736" s="1099"/>
    </row>
    <row r="1737" spans="2:15">
      <c r="B1737" s="1129"/>
      <c r="C1737" s="1098"/>
      <c r="D1737" s="1099"/>
      <c r="E1737" s="1098"/>
      <c r="F1737" s="1136"/>
      <c r="G1737" s="1099"/>
      <c r="H1737" s="1098"/>
      <c r="I1737" s="1099"/>
      <c r="J1737" s="1140"/>
      <c r="K1737" s="1140"/>
      <c r="L1737" s="1143"/>
      <c r="M1737" s="1098"/>
      <c r="N1737" s="1099"/>
      <c r="O1737" s="1099"/>
    </row>
    <row r="1738" spans="2:15">
      <c r="B1738" s="1129"/>
      <c r="C1738" s="1098"/>
      <c r="D1738" s="1099"/>
      <c r="E1738" s="1098"/>
      <c r="F1738" s="1136"/>
      <c r="G1738" s="1099"/>
      <c r="H1738" s="1098"/>
      <c r="I1738" s="1099"/>
      <c r="J1738" s="1140"/>
      <c r="K1738" s="1140"/>
      <c r="L1738" s="1143"/>
      <c r="M1738" s="1098"/>
      <c r="N1738" s="1099"/>
      <c r="O1738" s="1099"/>
    </row>
    <row r="1739" spans="2:15">
      <c r="B1739" s="1129"/>
      <c r="C1739" s="1098"/>
      <c r="D1739" s="1099"/>
      <c r="E1739" s="1098"/>
      <c r="F1739" s="1136"/>
      <c r="G1739" s="1099"/>
      <c r="H1739" s="1098"/>
      <c r="I1739" s="1099"/>
      <c r="J1739" s="1140"/>
      <c r="K1739" s="1140"/>
      <c r="L1739" s="1143"/>
      <c r="M1739" s="1098"/>
      <c r="N1739" s="1099"/>
      <c r="O1739" s="1099"/>
    </row>
    <row r="1740" spans="2:15">
      <c r="B1740" s="1129"/>
      <c r="C1740" s="1098"/>
      <c r="D1740" s="1099"/>
      <c r="E1740" s="1098"/>
      <c r="F1740" s="1136"/>
      <c r="G1740" s="1099"/>
      <c r="H1740" s="1098"/>
      <c r="I1740" s="1099"/>
      <c r="J1740" s="1140"/>
      <c r="K1740" s="1140"/>
      <c r="L1740" s="1143"/>
      <c r="M1740" s="1098"/>
      <c r="N1740" s="1099"/>
      <c r="O1740" s="1099"/>
    </row>
    <row r="1741" spans="2:15">
      <c r="B1741" s="1129"/>
      <c r="C1741" s="1098"/>
      <c r="D1741" s="1099"/>
      <c r="E1741" s="1098"/>
      <c r="F1741" s="1136"/>
      <c r="G1741" s="1099"/>
      <c r="H1741" s="1098"/>
      <c r="I1741" s="1099"/>
      <c r="J1741" s="1140"/>
      <c r="K1741" s="1140"/>
      <c r="L1741" s="1143"/>
      <c r="M1741" s="1098"/>
      <c r="N1741" s="1099"/>
      <c r="O1741" s="1099"/>
    </row>
    <row r="1742" spans="2:15">
      <c r="B1742" s="1129"/>
      <c r="C1742" s="1098"/>
      <c r="D1742" s="1099"/>
      <c r="E1742" s="1098"/>
      <c r="F1742" s="1136"/>
      <c r="G1742" s="1099"/>
      <c r="H1742" s="1098"/>
      <c r="I1742" s="1099"/>
      <c r="J1742" s="1140"/>
      <c r="K1742" s="1140"/>
      <c r="L1742" s="1143"/>
      <c r="M1742" s="1098"/>
      <c r="N1742" s="1099"/>
      <c r="O1742" s="1099"/>
    </row>
    <row r="1743" spans="2:15">
      <c r="B1743" s="1129"/>
      <c r="C1743" s="1098"/>
      <c r="D1743" s="1099"/>
      <c r="E1743" s="1098"/>
      <c r="F1743" s="1136"/>
      <c r="G1743" s="1099"/>
      <c r="H1743" s="1098"/>
      <c r="I1743" s="1099"/>
      <c r="J1743" s="1140"/>
      <c r="K1743" s="1140"/>
      <c r="L1743" s="1143"/>
      <c r="M1743" s="1098"/>
      <c r="N1743" s="1099"/>
      <c r="O1743" s="1099"/>
    </row>
    <row r="1744" spans="2:15">
      <c r="B1744" s="1129"/>
      <c r="C1744" s="1098"/>
      <c r="D1744" s="1099"/>
      <c r="E1744" s="1098"/>
      <c r="F1744" s="1136"/>
      <c r="G1744" s="1099"/>
      <c r="H1744" s="1098"/>
      <c r="I1744" s="1099"/>
      <c r="J1744" s="1140"/>
      <c r="K1744" s="1140"/>
      <c r="L1744" s="1143"/>
      <c r="M1744" s="1098"/>
      <c r="N1744" s="1099"/>
      <c r="O1744" s="1099"/>
    </row>
    <row r="1745" spans="2:15">
      <c r="B1745" s="1129"/>
      <c r="C1745" s="1098"/>
      <c r="D1745" s="1099"/>
      <c r="E1745" s="1098"/>
      <c r="F1745" s="1136"/>
      <c r="G1745" s="1099"/>
      <c r="H1745" s="1098"/>
      <c r="I1745" s="1099"/>
      <c r="J1745" s="1140"/>
      <c r="K1745" s="1140"/>
      <c r="L1745" s="1143"/>
      <c r="M1745" s="1098"/>
      <c r="N1745" s="1099"/>
      <c r="O1745" s="1099"/>
    </row>
    <row r="1746" spans="2:15">
      <c r="B1746" s="1129"/>
      <c r="C1746" s="1098"/>
      <c r="D1746" s="1099"/>
      <c r="E1746" s="1098"/>
      <c r="F1746" s="1136"/>
      <c r="G1746" s="1099"/>
      <c r="H1746" s="1098"/>
      <c r="I1746" s="1099"/>
      <c r="J1746" s="1140"/>
      <c r="K1746" s="1140"/>
      <c r="L1746" s="1143"/>
      <c r="M1746" s="1098"/>
      <c r="N1746" s="1099"/>
      <c r="O1746" s="1099"/>
    </row>
    <row r="1747" spans="2:15">
      <c r="B1747" s="1129"/>
      <c r="C1747" s="1098"/>
      <c r="D1747" s="1099"/>
      <c r="E1747" s="1098"/>
      <c r="F1747" s="1136"/>
      <c r="G1747" s="1099"/>
      <c r="H1747" s="1098"/>
      <c r="I1747" s="1099"/>
      <c r="J1747" s="1140"/>
      <c r="K1747" s="1140"/>
      <c r="L1747" s="1143"/>
      <c r="M1747" s="1098"/>
      <c r="N1747" s="1099"/>
      <c r="O1747" s="1099"/>
    </row>
    <row r="1748" spans="2:15">
      <c r="B1748" s="1129"/>
      <c r="C1748" s="1098"/>
      <c r="D1748" s="1099"/>
      <c r="E1748" s="1098"/>
      <c r="F1748" s="1136"/>
      <c r="G1748" s="1099"/>
      <c r="H1748" s="1098"/>
      <c r="I1748" s="1099"/>
      <c r="J1748" s="1140"/>
      <c r="K1748" s="1140"/>
      <c r="L1748" s="1143"/>
      <c r="M1748" s="1098"/>
      <c r="N1748" s="1099"/>
      <c r="O1748" s="1099"/>
    </row>
    <row r="1749" spans="2:15">
      <c r="B1749" s="1129"/>
      <c r="C1749" s="1098"/>
      <c r="D1749" s="1099"/>
      <c r="E1749" s="1098"/>
      <c r="F1749" s="1136"/>
      <c r="G1749" s="1099"/>
      <c r="H1749" s="1098"/>
      <c r="I1749" s="1099"/>
      <c r="J1749" s="1140"/>
      <c r="K1749" s="1140"/>
      <c r="L1749" s="1143"/>
      <c r="M1749" s="1098"/>
      <c r="N1749" s="1099"/>
      <c r="O1749" s="1099"/>
    </row>
    <row r="1750" spans="2:15">
      <c r="B1750" s="1129"/>
      <c r="C1750" s="1098"/>
      <c r="D1750" s="1099"/>
      <c r="E1750" s="1098"/>
      <c r="F1750" s="1136"/>
      <c r="G1750" s="1099"/>
      <c r="H1750" s="1098"/>
      <c r="I1750" s="1099"/>
      <c r="J1750" s="1140"/>
      <c r="K1750" s="1140"/>
      <c r="L1750" s="1143"/>
      <c r="M1750" s="1098"/>
      <c r="N1750" s="1099"/>
      <c r="O1750" s="1099"/>
    </row>
    <row r="1751" spans="2:15">
      <c r="B1751" s="1129"/>
      <c r="C1751" s="1098"/>
      <c r="D1751" s="1099"/>
      <c r="E1751" s="1098"/>
      <c r="F1751" s="1136"/>
      <c r="G1751" s="1099"/>
      <c r="H1751" s="1098"/>
      <c r="I1751" s="1099"/>
      <c r="J1751" s="1140"/>
      <c r="K1751" s="1140"/>
      <c r="L1751" s="1143"/>
      <c r="M1751" s="1098"/>
      <c r="N1751" s="1099"/>
      <c r="O1751" s="1099"/>
    </row>
    <row r="1752" spans="2:15">
      <c r="B1752" s="1129"/>
      <c r="C1752" s="1098"/>
      <c r="D1752" s="1099"/>
      <c r="E1752" s="1098"/>
      <c r="F1752" s="1136"/>
      <c r="G1752" s="1099"/>
      <c r="H1752" s="1098"/>
      <c r="I1752" s="1099"/>
      <c r="J1752" s="1140"/>
      <c r="K1752" s="1140"/>
      <c r="L1752" s="1143"/>
      <c r="M1752" s="1098"/>
      <c r="N1752" s="1099"/>
      <c r="O1752" s="1099"/>
    </row>
    <row r="1753" spans="2:15">
      <c r="B1753" s="1129"/>
      <c r="C1753" s="1098"/>
      <c r="D1753" s="1099"/>
      <c r="E1753" s="1098"/>
      <c r="F1753" s="1136"/>
      <c r="G1753" s="1099"/>
      <c r="H1753" s="1098"/>
      <c r="I1753" s="1099"/>
      <c r="J1753" s="1140"/>
      <c r="K1753" s="1140"/>
      <c r="L1753" s="1143"/>
      <c r="M1753" s="1098"/>
      <c r="N1753" s="1099"/>
      <c r="O1753" s="1099"/>
    </row>
    <row r="1754" spans="2:15">
      <c r="B1754" s="1129"/>
      <c r="C1754" s="1098"/>
      <c r="D1754" s="1099"/>
      <c r="E1754" s="1098"/>
      <c r="F1754" s="1136"/>
      <c r="G1754" s="1099"/>
      <c r="H1754" s="1098"/>
      <c r="I1754" s="1099"/>
      <c r="J1754" s="1140"/>
      <c r="K1754" s="1140"/>
      <c r="L1754" s="1143"/>
      <c r="M1754" s="1098"/>
      <c r="N1754" s="1099"/>
      <c r="O1754" s="1099"/>
    </row>
    <row r="1755" spans="2:15">
      <c r="B1755" s="1129"/>
      <c r="C1755" s="1098"/>
      <c r="D1755" s="1099"/>
      <c r="E1755" s="1098"/>
      <c r="F1755" s="1136"/>
      <c r="G1755" s="1099"/>
      <c r="H1755" s="1098"/>
      <c r="I1755" s="1099"/>
      <c r="J1755" s="1140"/>
      <c r="K1755" s="1140"/>
      <c r="L1755" s="1143"/>
      <c r="M1755" s="1098"/>
      <c r="N1755" s="1099"/>
      <c r="O1755" s="1099"/>
    </row>
    <row r="1756" spans="2:15">
      <c r="B1756" s="1129"/>
      <c r="C1756" s="1098"/>
      <c r="D1756" s="1099"/>
      <c r="E1756" s="1098"/>
      <c r="F1756" s="1136"/>
      <c r="G1756" s="1099"/>
      <c r="H1756" s="1098"/>
      <c r="I1756" s="1099"/>
      <c r="J1756" s="1140"/>
      <c r="K1756" s="1140"/>
      <c r="L1756" s="1143"/>
      <c r="M1756" s="1098"/>
      <c r="N1756" s="1099"/>
      <c r="O1756" s="1099"/>
    </row>
    <row r="1757" spans="2:15">
      <c r="B1757" s="1129"/>
      <c r="C1757" s="1098"/>
      <c r="D1757" s="1099"/>
      <c r="E1757" s="1098"/>
      <c r="F1757" s="1136"/>
      <c r="G1757" s="1099"/>
      <c r="H1757" s="1098"/>
      <c r="I1757" s="1099"/>
      <c r="J1757" s="1140"/>
      <c r="K1757" s="1140"/>
      <c r="L1757" s="1143"/>
      <c r="M1757" s="1098"/>
      <c r="N1757" s="1099"/>
      <c r="O1757" s="1099"/>
    </row>
    <row r="1758" spans="2:15">
      <c r="B1758" s="1129"/>
      <c r="C1758" s="1098"/>
      <c r="D1758" s="1099"/>
      <c r="E1758" s="1098"/>
      <c r="F1758" s="1136"/>
      <c r="G1758" s="1099"/>
      <c r="H1758" s="1098"/>
      <c r="I1758" s="1099"/>
      <c r="J1758" s="1140"/>
      <c r="K1758" s="1140"/>
      <c r="L1758" s="1143"/>
      <c r="M1758" s="1098"/>
      <c r="N1758" s="1099"/>
      <c r="O1758" s="1099"/>
    </row>
    <row r="1759" spans="2:15">
      <c r="B1759" s="1129"/>
      <c r="C1759" s="1098"/>
      <c r="D1759" s="1099"/>
      <c r="E1759" s="1098"/>
      <c r="F1759" s="1136"/>
      <c r="G1759" s="1099"/>
      <c r="H1759" s="1098"/>
      <c r="I1759" s="1099"/>
      <c r="J1759" s="1140"/>
      <c r="K1759" s="1140"/>
      <c r="L1759" s="1143"/>
      <c r="M1759" s="1098"/>
      <c r="N1759" s="1099"/>
      <c r="O1759" s="1099"/>
    </row>
    <row r="1760" spans="2:15">
      <c r="B1760" s="1129"/>
      <c r="C1760" s="1098"/>
      <c r="D1760" s="1099"/>
      <c r="E1760" s="1098"/>
      <c r="F1760" s="1136"/>
      <c r="G1760" s="1099"/>
      <c r="H1760" s="1098"/>
      <c r="I1760" s="1099"/>
      <c r="J1760" s="1140"/>
      <c r="K1760" s="1140"/>
      <c r="L1760" s="1143"/>
      <c r="M1760" s="1098"/>
      <c r="N1760" s="1099"/>
      <c r="O1760" s="1099"/>
    </row>
    <row r="1761" spans="2:15">
      <c r="B1761" s="1129"/>
      <c r="C1761" s="1098"/>
      <c r="D1761" s="1099"/>
      <c r="E1761" s="1098"/>
      <c r="F1761" s="1136"/>
      <c r="G1761" s="1099"/>
      <c r="H1761" s="1098"/>
      <c r="I1761" s="1099"/>
      <c r="J1761" s="1140"/>
      <c r="K1761" s="1140"/>
      <c r="L1761" s="1143"/>
      <c r="M1761" s="1098"/>
      <c r="N1761" s="1099"/>
      <c r="O1761" s="1099"/>
    </row>
    <row r="1762" spans="2:15">
      <c r="B1762" s="1129"/>
      <c r="C1762" s="1098"/>
      <c r="D1762" s="1099"/>
      <c r="E1762" s="1098"/>
      <c r="F1762" s="1136"/>
      <c r="G1762" s="1099"/>
      <c r="H1762" s="1098"/>
      <c r="I1762" s="1099"/>
      <c r="J1762" s="1140"/>
      <c r="K1762" s="1140"/>
      <c r="L1762" s="1143"/>
      <c r="M1762" s="1098"/>
      <c r="N1762" s="1099"/>
      <c r="O1762" s="1099"/>
    </row>
    <row r="1763" spans="2:15">
      <c r="B1763" s="1129"/>
      <c r="C1763" s="1098"/>
      <c r="D1763" s="1099"/>
      <c r="E1763" s="1098"/>
      <c r="F1763" s="1136"/>
      <c r="G1763" s="1099"/>
      <c r="H1763" s="1098"/>
      <c r="I1763" s="1099"/>
      <c r="J1763" s="1140"/>
      <c r="K1763" s="1140"/>
      <c r="L1763" s="1143"/>
      <c r="M1763" s="1098"/>
      <c r="N1763" s="1099"/>
      <c r="O1763" s="1099"/>
    </row>
    <row r="1764" spans="2:15">
      <c r="B1764" s="1129"/>
      <c r="C1764" s="1098"/>
      <c r="D1764" s="1099"/>
      <c r="E1764" s="1098"/>
      <c r="F1764" s="1136"/>
      <c r="G1764" s="1099"/>
      <c r="H1764" s="1098"/>
      <c r="I1764" s="1099"/>
      <c r="J1764" s="1140"/>
      <c r="K1764" s="1140"/>
      <c r="L1764" s="1143"/>
      <c r="M1764" s="1098"/>
      <c r="N1764" s="1099"/>
      <c r="O1764" s="1099"/>
    </row>
    <row r="1765" spans="2:15">
      <c r="B1765" s="1129"/>
      <c r="C1765" s="1098"/>
      <c r="D1765" s="1099"/>
      <c r="E1765" s="1098"/>
      <c r="F1765" s="1136"/>
      <c r="G1765" s="1099"/>
      <c r="H1765" s="1098"/>
      <c r="I1765" s="1099"/>
      <c r="J1765" s="1140"/>
      <c r="K1765" s="1140"/>
      <c r="L1765" s="1143"/>
      <c r="M1765" s="1098"/>
      <c r="N1765" s="1099"/>
      <c r="O1765" s="1099"/>
    </row>
    <row r="1766" spans="2:15">
      <c r="B1766" s="1129"/>
      <c r="C1766" s="1098"/>
      <c r="D1766" s="1099"/>
      <c r="E1766" s="1098"/>
      <c r="F1766" s="1136"/>
      <c r="G1766" s="1099"/>
      <c r="H1766" s="1098"/>
      <c r="I1766" s="1099"/>
      <c r="J1766" s="1140"/>
      <c r="K1766" s="1140"/>
      <c r="L1766" s="1143"/>
      <c r="M1766" s="1098"/>
      <c r="N1766" s="1099"/>
      <c r="O1766" s="1099"/>
    </row>
    <row r="1767" spans="2:15">
      <c r="B1767" s="1129"/>
      <c r="C1767" s="1098"/>
      <c r="D1767" s="1099"/>
      <c r="E1767" s="1098"/>
      <c r="F1767" s="1136"/>
      <c r="G1767" s="1099"/>
      <c r="H1767" s="1098"/>
      <c r="I1767" s="1099"/>
      <c r="J1767" s="1140"/>
      <c r="K1767" s="1140"/>
      <c r="L1767" s="1143"/>
      <c r="M1767" s="1098"/>
      <c r="N1767" s="1099"/>
      <c r="O1767" s="1099"/>
    </row>
    <row r="1768" spans="2:15">
      <c r="B1768" s="1129"/>
      <c r="C1768" s="1098"/>
      <c r="D1768" s="1099"/>
      <c r="E1768" s="1098"/>
      <c r="F1768" s="1136"/>
      <c r="G1768" s="1099"/>
      <c r="H1768" s="1098"/>
      <c r="I1768" s="1099"/>
      <c r="J1768" s="1140"/>
      <c r="K1768" s="1140"/>
      <c r="L1768" s="1143"/>
      <c r="M1768" s="1098"/>
      <c r="N1768" s="1099"/>
      <c r="O1768" s="1099"/>
    </row>
    <row r="1769" spans="2:15">
      <c r="B1769" s="1129"/>
      <c r="C1769" s="1098"/>
      <c r="D1769" s="1099"/>
      <c r="E1769" s="1098"/>
      <c r="F1769" s="1136"/>
      <c r="G1769" s="1099"/>
      <c r="H1769" s="1098"/>
      <c r="I1769" s="1099"/>
      <c r="J1769" s="1140"/>
      <c r="K1769" s="1140"/>
      <c r="L1769" s="1143"/>
      <c r="M1769" s="1098"/>
      <c r="N1769" s="1099"/>
      <c r="O1769" s="1099"/>
    </row>
    <row r="1770" spans="2:15">
      <c r="B1770" s="1129"/>
      <c r="C1770" s="1098"/>
      <c r="D1770" s="1099"/>
      <c r="E1770" s="1098"/>
      <c r="F1770" s="1136"/>
      <c r="G1770" s="1099"/>
      <c r="H1770" s="1098"/>
      <c r="I1770" s="1099"/>
      <c r="J1770" s="1140"/>
      <c r="K1770" s="1140"/>
      <c r="L1770" s="1143"/>
      <c r="M1770" s="1098"/>
      <c r="N1770" s="1099"/>
      <c r="O1770" s="1099"/>
    </row>
    <row r="1771" spans="2:15">
      <c r="B1771" s="1129"/>
      <c r="C1771" s="1098"/>
      <c r="D1771" s="1099"/>
      <c r="E1771" s="1098"/>
      <c r="F1771" s="1136"/>
      <c r="G1771" s="1099"/>
      <c r="H1771" s="1098"/>
      <c r="I1771" s="1099"/>
      <c r="J1771" s="1140"/>
      <c r="K1771" s="1140"/>
      <c r="L1771" s="1143"/>
      <c r="M1771" s="1098"/>
      <c r="N1771" s="1099"/>
      <c r="O1771" s="1099"/>
    </row>
    <row r="1772" spans="2:15">
      <c r="B1772" s="1129"/>
      <c r="C1772" s="1098"/>
      <c r="D1772" s="1099"/>
      <c r="E1772" s="1098"/>
      <c r="F1772" s="1136"/>
      <c r="G1772" s="1099"/>
      <c r="H1772" s="1098"/>
      <c r="I1772" s="1099"/>
      <c r="J1772" s="1140"/>
      <c r="K1772" s="1140"/>
      <c r="L1772" s="1143"/>
      <c r="M1772" s="1098"/>
      <c r="N1772" s="1099"/>
      <c r="O1772" s="1099"/>
    </row>
    <row r="1773" spans="2:15">
      <c r="B1773" s="1129"/>
      <c r="C1773" s="1098"/>
      <c r="D1773" s="1099"/>
      <c r="E1773" s="1098"/>
      <c r="F1773" s="1136"/>
      <c r="G1773" s="1099"/>
      <c r="H1773" s="1098"/>
      <c r="I1773" s="1099"/>
      <c r="J1773" s="1140"/>
      <c r="K1773" s="1140"/>
      <c r="L1773" s="1143"/>
      <c r="M1773" s="1098"/>
      <c r="N1773" s="1099"/>
      <c r="O1773" s="1099"/>
    </row>
    <row r="1774" spans="2:15">
      <c r="B1774" s="1129"/>
      <c r="C1774" s="1098"/>
      <c r="D1774" s="1099"/>
      <c r="E1774" s="1098"/>
      <c r="F1774" s="1136"/>
      <c r="G1774" s="1099"/>
      <c r="H1774" s="1098"/>
      <c r="I1774" s="1099"/>
      <c r="J1774" s="1140"/>
      <c r="K1774" s="1140"/>
      <c r="L1774" s="1143"/>
      <c r="M1774" s="1098"/>
      <c r="N1774" s="1099"/>
      <c r="O1774" s="1099"/>
    </row>
    <row r="1775" spans="2:15">
      <c r="B1775" s="1129"/>
      <c r="C1775" s="1098"/>
      <c r="D1775" s="1099"/>
      <c r="E1775" s="1098"/>
      <c r="F1775" s="1136"/>
      <c r="G1775" s="1099"/>
      <c r="H1775" s="1098"/>
      <c r="I1775" s="1099"/>
      <c r="J1775" s="1140"/>
      <c r="K1775" s="1140"/>
      <c r="L1775" s="1143"/>
      <c r="M1775" s="1098"/>
      <c r="N1775" s="1099"/>
      <c r="O1775" s="1099"/>
    </row>
    <row r="1776" spans="2:15">
      <c r="B1776" s="1129"/>
      <c r="C1776" s="1098"/>
      <c r="D1776" s="1099"/>
      <c r="E1776" s="1098"/>
      <c r="F1776" s="1136"/>
      <c r="G1776" s="1099"/>
      <c r="H1776" s="1098"/>
      <c r="I1776" s="1099"/>
      <c r="J1776" s="1140"/>
      <c r="K1776" s="1140"/>
      <c r="L1776" s="1143"/>
      <c r="M1776" s="1098"/>
      <c r="N1776" s="1099"/>
      <c r="O1776" s="1099"/>
    </row>
    <row r="1777" spans="2:15">
      <c r="B1777" s="1129"/>
      <c r="C1777" s="1098"/>
      <c r="D1777" s="1099"/>
      <c r="E1777" s="1098"/>
      <c r="F1777" s="1136"/>
      <c r="G1777" s="1099"/>
      <c r="H1777" s="1098"/>
      <c r="I1777" s="1099"/>
      <c r="J1777" s="1140"/>
      <c r="K1777" s="1140"/>
      <c r="L1777" s="1143"/>
      <c r="M1777" s="1098"/>
      <c r="N1777" s="1099"/>
      <c r="O1777" s="1099"/>
    </row>
    <row r="1778" spans="2:15">
      <c r="B1778" s="1129"/>
      <c r="C1778" s="1098"/>
      <c r="D1778" s="1099"/>
      <c r="E1778" s="1098"/>
      <c r="F1778" s="1136"/>
      <c r="G1778" s="1099"/>
      <c r="H1778" s="1098"/>
      <c r="I1778" s="1099"/>
      <c r="J1778" s="1140"/>
      <c r="K1778" s="1140"/>
      <c r="L1778" s="1143"/>
      <c r="M1778" s="1098"/>
      <c r="N1778" s="1099"/>
      <c r="O1778" s="1099"/>
    </row>
    <row r="1779" spans="2:15">
      <c r="B1779" s="1129"/>
      <c r="C1779" s="1098"/>
      <c r="D1779" s="1099"/>
      <c r="E1779" s="1098"/>
      <c r="F1779" s="1136"/>
      <c r="G1779" s="1099"/>
      <c r="H1779" s="1098"/>
      <c r="I1779" s="1099"/>
      <c r="J1779" s="1140"/>
      <c r="K1779" s="1140"/>
      <c r="L1779" s="1143"/>
      <c r="M1779" s="1098"/>
      <c r="N1779" s="1099"/>
      <c r="O1779" s="1099"/>
    </row>
    <row r="1780" spans="2:15">
      <c r="B1780" s="1129"/>
      <c r="C1780" s="1098"/>
      <c r="D1780" s="1099"/>
      <c r="E1780" s="1098"/>
      <c r="F1780" s="1136"/>
      <c r="G1780" s="1099"/>
      <c r="H1780" s="1098"/>
      <c r="I1780" s="1099"/>
      <c r="J1780" s="1140"/>
      <c r="K1780" s="1140"/>
      <c r="L1780" s="1143"/>
      <c r="M1780" s="1098"/>
      <c r="N1780" s="1099"/>
      <c r="O1780" s="1099"/>
    </row>
    <row r="1781" spans="2:15">
      <c r="B1781" s="1129"/>
      <c r="C1781" s="1098"/>
      <c r="D1781" s="1099"/>
      <c r="E1781" s="1098"/>
      <c r="F1781" s="1136"/>
      <c r="G1781" s="1099"/>
      <c r="H1781" s="1098"/>
      <c r="I1781" s="1099"/>
      <c r="J1781" s="1140"/>
      <c r="K1781" s="1140"/>
      <c r="L1781" s="1143"/>
      <c r="M1781" s="1098"/>
      <c r="N1781" s="1099"/>
      <c r="O1781" s="1099"/>
    </row>
    <row r="1782" spans="2:15">
      <c r="B1782" s="1129"/>
      <c r="C1782" s="1098"/>
      <c r="D1782" s="1099"/>
      <c r="E1782" s="1098"/>
      <c r="F1782" s="1136"/>
      <c r="G1782" s="1099"/>
      <c r="H1782" s="1098"/>
      <c r="I1782" s="1099"/>
      <c r="J1782" s="1140"/>
      <c r="K1782" s="1140"/>
      <c r="L1782" s="1143"/>
      <c r="M1782" s="1098"/>
      <c r="N1782" s="1099"/>
      <c r="O1782" s="1099"/>
    </row>
    <row r="1783" spans="2:15">
      <c r="B1783" s="1129"/>
      <c r="C1783" s="1098"/>
      <c r="D1783" s="1099"/>
      <c r="E1783" s="1098"/>
      <c r="F1783" s="1136"/>
      <c r="G1783" s="1099"/>
      <c r="H1783" s="1098"/>
      <c r="I1783" s="1099"/>
      <c r="J1783" s="1140"/>
      <c r="K1783" s="1140"/>
      <c r="L1783" s="1143"/>
      <c r="M1783" s="1098"/>
      <c r="N1783" s="1099"/>
      <c r="O1783" s="1099"/>
    </row>
    <row r="1784" spans="2:15">
      <c r="B1784" s="1129"/>
      <c r="C1784" s="1098"/>
      <c r="D1784" s="1099"/>
      <c r="E1784" s="1098"/>
      <c r="F1784" s="1136"/>
      <c r="G1784" s="1099"/>
      <c r="H1784" s="1098"/>
      <c r="I1784" s="1099"/>
      <c r="J1784" s="1140"/>
      <c r="K1784" s="1140"/>
      <c r="L1784" s="1143"/>
      <c r="M1784" s="1098"/>
      <c r="N1784" s="1099"/>
      <c r="O1784" s="1099"/>
    </row>
    <row r="1785" spans="2:15">
      <c r="B1785" s="1129"/>
      <c r="C1785" s="1098"/>
      <c r="D1785" s="1099"/>
      <c r="E1785" s="1098"/>
      <c r="F1785" s="1136"/>
      <c r="G1785" s="1099"/>
      <c r="H1785" s="1098"/>
      <c r="I1785" s="1099"/>
      <c r="J1785" s="1140"/>
      <c r="K1785" s="1140"/>
      <c r="L1785" s="1143"/>
      <c r="M1785" s="1098"/>
      <c r="N1785" s="1099"/>
      <c r="O1785" s="1099"/>
    </row>
    <row r="1786" spans="2:15">
      <c r="B1786" s="1129"/>
      <c r="C1786" s="1098"/>
      <c r="D1786" s="1099"/>
      <c r="E1786" s="1098"/>
      <c r="F1786" s="1136"/>
      <c r="G1786" s="1099"/>
      <c r="H1786" s="1098"/>
      <c r="I1786" s="1099"/>
      <c r="J1786" s="1140"/>
      <c r="K1786" s="1140"/>
      <c r="L1786" s="1143"/>
      <c r="M1786" s="1098"/>
      <c r="N1786" s="1099"/>
      <c r="O1786" s="1099"/>
    </row>
    <row r="1787" spans="2:15">
      <c r="B1787" s="1129"/>
      <c r="C1787" s="1098"/>
      <c r="D1787" s="1099"/>
      <c r="E1787" s="1098"/>
      <c r="F1787" s="1136"/>
      <c r="G1787" s="1099"/>
      <c r="H1787" s="1098"/>
      <c r="I1787" s="1099"/>
      <c r="J1787" s="1140"/>
      <c r="K1787" s="1140"/>
      <c r="L1787" s="1143"/>
      <c r="M1787" s="1098"/>
      <c r="N1787" s="1099"/>
      <c r="O1787" s="1099"/>
    </row>
    <row r="1788" spans="2:15">
      <c r="B1788" s="1129"/>
      <c r="C1788" s="1098"/>
      <c r="D1788" s="1099"/>
      <c r="E1788" s="1098"/>
      <c r="F1788" s="1136"/>
      <c r="G1788" s="1099"/>
      <c r="H1788" s="1098"/>
      <c r="I1788" s="1099"/>
      <c r="J1788" s="1140"/>
      <c r="K1788" s="1140"/>
      <c r="L1788" s="1143"/>
      <c r="M1788" s="1098"/>
      <c r="N1788" s="1099"/>
      <c r="O1788" s="1099"/>
    </row>
    <row r="1789" spans="2:15">
      <c r="B1789" s="1129"/>
      <c r="C1789" s="1098"/>
      <c r="D1789" s="1099"/>
      <c r="E1789" s="1098"/>
      <c r="F1789" s="1136"/>
      <c r="G1789" s="1099"/>
      <c r="H1789" s="1098"/>
      <c r="I1789" s="1099"/>
      <c r="J1789" s="1140"/>
      <c r="K1789" s="1140"/>
      <c r="L1789" s="1143"/>
      <c r="M1789" s="1098"/>
      <c r="N1789" s="1099"/>
      <c r="O1789" s="1099"/>
    </row>
    <row r="1790" spans="2:15">
      <c r="B1790" s="1129"/>
      <c r="C1790" s="1098"/>
      <c r="D1790" s="1099"/>
      <c r="E1790" s="1098"/>
      <c r="F1790" s="1136"/>
      <c r="G1790" s="1099"/>
      <c r="H1790" s="1098"/>
      <c r="I1790" s="1099"/>
      <c r="J1790" s="1140"/>
      <c r="K1790" s="1140"/>
      <c r="L1790" s="1143"/>
      <c r="M1790" s="1098"/>
      <c r="N1790" s="1099"/>
      <c r="O1790" s="1099"/>
    </row>
    <row r="1791" spans="2:15">
      <c r="B1791" s="1129"/>
      <c r="C1791" s="1098"/>
      <c r="D1791" s="1099"/>
      <c r="E1791" s="1098"/>
      <c r="F1791" s="1136"/>
      <c r="G1791" s="1099"/>
      <c r="H1791" s="1098"/>
      <c r="I1791" s="1099"/>
      <c r="J1791" s="1140"/>
      <c r="K1791" s="1140"/>
      <c r="L1791" s="1143"/>
      <c r="M1791" s="1098"/>
      <c r="N1791" s="1099"/>
      <c r="O1791" s="1099"/>
    </row>
    <row r="1792" spans="2:15">
      <c r="B1792" s="1129"/>
      <c r="C1792" s="1098"/>
      <c r="D1792" s="1099"/>
      <c r="E1792" s="1098"/>
      <c r="F1792" s="1136"/>
      <c r="G1792" s="1099"/>
      <c r="H1792" s="1098"/>
      <c r="I1792" s="1099"/>
      <c r="J1792" s="1140"/>
      <c r="K1792" s="1140"/>
      <c r="L1792" s="1143"/>
      <c r="M1792" s="1098"/>
      <c r="N1792" s="1099"/>
      <c r="O1792" s="1099"/>
    </row>
    <row r="1793" spans="2:15">
      <c r="B1793" s="1129"/>
      <c r="C1793" s="1098"/>
      <c r="D1793" s="1099"/>
      <c r="E1793" s="1098"/>
      <c r="F1793" s="1136"/>
      <c r="G1793" s="1099"/>
      <c r="H1793" s="1098"/>
      <c r="I1793" s="1099"/>
      <c r="J1793" s="1140"/>
      <c r="K1793" s="1140"/>
      <c r="L1793" s="1143"/>
      <c r="M1793" s="1098"/>
      <c r="N1793" s="1099"/>
      <c r="O1793" s="1099"/>
    </row>
    <row r="1794" spans="2:15">
      <c r="B1794" s="1129"/>
      <c r="C1794" s="1098"/>
      <c r="D1794" s="1099"/>
      <c r="E1794" s="1098"/>
      <c r="F1794" s="1136"/>
      <c r="G1794" s="1099"/>
      <c r="H1794" s="1098"/>
      <c r="I1794" s="1099"/>
      <c r="J1794" s="1140"/>
      <c r="K1794" s="1140"/>
      <c r="L1794" s="1143"/>
      <c r="M1794" s="1098"/>
      <c r="N1794" s="1099"/>
      <c r="O1794" s="1099"/>
    </row>
    <row r="1795" spans="2:15">
      <c r="B1795" s="1129"/>
      <c r="C1795" s="1098"/>
      <c r="D1795" s="1099"/>
      <c r="E1795" s="1098"/>
      <c r="F1795" s="1136"/>
      <c r="G1795" s="1099"/>
      <c r="H1795" s="1098"/>
      <c r="I1795" s="1099"/>
      <c r="J1795" s="1140"/>
      <c r="K1795" s="1140"/>
      <c r="L1795" s="1143"/>
      <c r="M1795" s="1098"/>
      <c r="N1795" s="1099"/>
      <c r="O1795" s="1099"/>
    </row>
    <row r="1796" spans="2:15">
      <c r="B1796" s="1129"/>
      <c r="C1796" s="1098"/>
      <c r="D1796" s="1099"/>
      <c r="E1796" s="1098"/>
      <c r="F1796" s="1136"/>
      <c r="G1796" s="1099"/>
      <c r="H1796" s="1098"/>
      <c r="I1796" s="1099"/>
      <c r="J1796" s="1140"/>
      <c r="K1796" s="1140"/>
      <c r="L1796" s="1143"/>
      <c r="M1796" s="1098"/>
      <c r="N1796" s="1099"/>
      <c r="O1796" s="1099"/>
    </row>
    <row r="1797" spans="2:15">
      <c r="B1797" s="1129"/>
      <c r="C1797" s="1098"/>
      <c r="D1797" s="1099"/>
      <c r="E1797" s="1098"/>
      <c r="F1797" s="1136"/>
      <c r="G1797" s="1099"/>
      <c r="H1797" s="1098"/>
      <c r="I1797" s="1099"/>
      <c r="J1797" s="1140"/>
      <c r="K1797" s="1140"/>
      <c r="L1797" s="1143"/>
      <c r="M1797" s="1098"/>
      <c r="N1797" s="1099"/>
      <c r="O1797" s="1099"/>
    </row>
    <row r="1798" spans="2:15">
      <c r="B1798" s="1129"/>
      <c r="C1798" s="1098"/>
      <c r="D1798" s="1099"/>
      <c r="E1798" s="1098"/>
      <c r="F1798" s="1136"/>
      <c r="G1798" s="1099"/>
      <c r="H1798" s="1098"/>
      <c r="I1798" s="1099"/>
      <c r="J1798" s="1140"/>
      <c r="K1798" s="1140"/>
      <c r="L1798" s="1143"/>
      <c r="M1798" s="1098"/>
      <c r="N1798" s="1099"/>
      <c r="O1798" s="1099"/>
    </row>
    <row r="1799" spans="2:15">
      <c r="B1799" s="1129"/>
      <c r="C1799" s="1098"/>
      <c r="D1799" s="1099"/>
      <c r="E1799" s="1098"/>
      <c r="F1799" s="1136"/>
      <c r="G1799" s="1099"/>
      <c r="H1799" s="1098"/>
      <c r="I1799" s="1099"/>
      <c r="J1799" s="1140"/>
      <c r="K1799" s="1140"/>
      <c r="L1799" s="1143"/>
      <c r="M1799" s="1098"/>
      <c r="N1799" s="1099"/>
      <c r="O1799" s="1099"/>
    </row>
    <row r="1800" spans="2:15">
      <c r="B1800" s="1129"/>
      <c r="C1800" s="1098"/>
      <c r="D1800" s="1099"/>
      <c r="E1800" s="1098"/>
      <c r="F1800" s="1136"/>
      <c r="G1800" s="1099"/>
      <c r="H1800" s="1098"/>
      <c r="I1800" s="1099"/>
      <c r="J1800" s="1140"/>
      <c r="K1800" s="1140"/>
      <c r="L1800" s="1143"/>
      <c r="M1800" s="1098"/>
      <c r="N1800" s="1099"/>
      <c r="O1800" s="1099"/>
    </row>
    <row r="1801" spans="2:15">
      <c r="B1801" s="1129"/>
      <c r="C1801" s="1098"/>
      <c r="D1801" s="1099"/>
      <c r="E1801" s="1098"/>
      <c r="F1801" s="1136"/>
      <c r="G1801" s="1099"/>
      <c r="H1801" s="1098"/>
      <c r="I1801" s="1099"/>
      <c r="J1801" s="1140"/>
      <c r="K1801" s="1140"/>
      <c r="L1801" s="1143"/>
      <c r="M1801" s="1098"/>
      <c r="N1801" s="1099"/>
      <c r="O1801" s="1099"/>
    </row>
    <row r="1802" spans="2:15">
      <c r="B1802" s="1129"/>
      <c r="C1802" s="1098"/>
      <c r="D1802" s="1099"/>
      <c r="E1802" s="1098"/>
      <c r="F1802" s="1136"/>
      <c r="G1802" s="1099"/>
      <c r="H1802" s="1098"/>
      <c r="I1802" s="1099"/>
      <c r="J1802" s="1140"/>
      <c r="K1802" s="1140"/>
      <c r="L1802" s="1143"/>
      <c r="M1802" s="1098"/>
      <c r="N1802" s="1099"/>
      <c r="O1802" s="1099"/>
    </row>
    <row r="1803" spans="2:15">
      <c r="B1803" s="1129"/>
      <c r="C1803" s="1098"/>
      <c r="D1803" s="1099"/>
      <c r="E1803" s="1098"/>
      <c r="F1803" s="1136"/>
      <c r="G1803" s="1099"/>
      <c r="H1803" s="1098"/>
      <c r="I1803" s="1099"/>
      <c r="J1803" s="1140"/>
      <c r="K1803" s="1140"/>
      <c r="L1803" s="1143"/>
      <c r="M1803" s="1098"/>
      <c r="N1803" s="1099"/>
      <c r="O1803" s="1099"/>
    </row>
    <row r="1804" spans="2:15">
      <c r="B1804" s="1129"/>
      <c r="C1804" s="1098"/>
      <c r="D1804" s="1099"/>
      <c r="E1804" s="1098"/>
      <c r="F1804" s="1136"/>
      <c r="G1804" s="1099"/>
      <c r="H1804" s="1098"/>
      <c r="I1804" s="1099"/>
      <c r="J1804" s="1140"/>
      <c r="K1804" s="1140"/>
      <c r="L1804" s="1143"/>
      <c r="M1804" s="1098"/>
      <c r="N1804" s="1099"/>
      <c r="O1804" s="1099"/>
    </row>
    <row r="1805" spans="2:15">
      <c r="B1805" s="1129"/>
      <c r="C1805" s="1098"/>
      <c r="D1805" s="1099"/>
      <c r="E1805" s="1098"/>
      <c r="F1805" s="1136"/>
      <c r="G1805" s="1099"/>
      <c r="H1805" s="1098"/>
      <c r="I1805" s="1099"/>
      <c r="J1805" s="1140"/>
      <c r="K1805" s="1140"/>
      <c r="L1805" s="1143"/>
      <c r="M1805" s="1098"/>
      <c r="N1805" s="1099"/>
      <c r="O1805" s="1099"/>
    </row>
    <row r="1806" spans="2:15">
      <c r="B1806" s="1129"/>
      <c r="C1806" s="1098"/>
      <c r="D1806" s="1099"/>
      <c r="E1806" s="1098"/>
      <c r="F1806" s="1136"/>
      <c r="G1806" s="1099"/>
      <c r="H1806" s="1098"/>
      <c r="I1806" s="1099"/>
      <c r="J1806" s="1140"/>
      <c r="K1806" s="1140"/>
      <c r="L1806" s="1143"/>
      <c r="M1806" s="1098"/>
      <c r="N1806" s="1099"/>
      <c r="O1806" s="1099"/>
    </row>
    <row r="1807" spans="2:15">
      <c r="B1807" s="1129"/>
      <c r="C1807" s="1098"/>
      <c r="D1807" s="1099"/>
      <c r="E1807" s="1098"/>
      <c r="F1807" s="1136"/>
      <c r="G1807" s="1099"/>
      <c r="H1807" s="1098"/>
      <c r="I1807" s="1099"/>
      <c r="J1807" s="1140"/>
      <c r="K1807" s="1140"/>
      <c r="L1807" s="1143"/>
      <c r="M1807" s="1098"/>
      <c r="N1807" s="1099"/>
      <c r="O1807" s="1099"/>
    </row>
    <row r="1808" spans="2:15">
      <c r="B1808" s="1129"/>
      <c r="C1808" s="1098"/>
      <c r="D1808" s="1099"/>
      <c r="E1808" s="1098"/>
      <c r="F1808" s="1136"/>
      <c r="G1808" s="1099"/>
      <c r="H1808" s="1098"/>
      <c r="I1808" s="1099"/>
      <c r="J1808" s="1140"/>
      <c r="K1808" s="1140"/>
      <c r="L1808" s="1143"/>
      <c r="M1808" s="1098"/>
      <c r="N1808" s="1099"/>
      <c r="O1808" s="1099"/>
    </row>
    <row r="1809" spans="2:15">
      <c r="B1809" s="1129"/>
      <c r="C1809" s="1098"/>
      <c r="D1809" s="1099"/>
      <c r="E1809" s="1098"/>
      <c r="F1809" s="1136"/>
      <c r="G1809" s="1099"/>
      <c r="H1809" s="1098"/>
      <c r="I1809" s="1099"/>
      <c r="J1809" s="1140"/>
      <c r="K1809" s="1140"/>
      <c r="L1809" s="1143"/>
      <c r="M1809" s="1098"/>
      <c r="N1809" s="1099"/>
      <c r="O1809" s="1099"/>
    </row>
    <row r="1810" spans="2:15">
      <c r="B1810" s="1129"/>
      <c r="C1810" s="1098"/>
      <c r="D1810" s="1099"/>
      <c r="E1810" s="1098"/>
      <c r="F1810" s="1136"/>
      <c r="G1810" s="1099"/>
      <c r="H1810" s="1098"/>
      <c r="I1810" s="1099"/>
      <c r="J1810" s="1140"/>
      <c r="K1810" s="1140"/>
      <c r="L1810" s="1143"/>
      <c r="M1810" s="1098"/>
      <c r="N1810" s="1099"/>
      <c r="O1810" s="1099"/>
    </row>
    <row r="1811" spans="2:15">
      <c r="B1811" s="1129"/>
      <c r="C1811" s="1098"/>
      <c r="D1811" s="1099"/>
      <c r="E1811" s="1098"/>
      <c r="F1811" s="1136"/>
      <c r="G1811" s="1099"/>
      <c r="H1811" s="1098"/>
      <c r="I1811" s="1099"/>
      <c r="J1811" s="1140"/>
      <c r="K1811" s="1140"/>
      <c r="L1811" s="1143"/>
      <c r="M1811" s="1098"/>
      <c r="N1811" s="1099"/>
      <c r="O1811" s="1099"/>
    </row>
    <row r="1812" spans="2:15">
      <c r="B1812" s="1129"/>
      <c r="C1812" s="1098"/>
      <c r="D1812" s="1099"/>
      <c r="E1812" s="1098"/>
      <c r="F1812" s="1136"/>
      <c r="G1812" s="1099"/>
      <c r="H1812" s="1098"/>
      <c r="I1812" s="1099"/>
      <c r="J1812" s="1140"/>
      <c r="K1812" s="1140"/>
      <c r="L1812" s="1143"/>
      <c r="M1812" s="1098"/>
      <c r="N1812" s="1099"/>
      <c r="O1812" s="1099"/>
    </row>
    <row r="1813" spans="2:15">
      <c r="B1813" s="1129"/>
      <c r="C1813" s="1098"/>
      <c r="D1813" s="1099"/>
      <c r="E1813" s="1098"/>
      <c r="F1813" s="1136"/>
      <c r="G1813" s="1099"/>
      <c r="H1813" s="1098"/>
      <c r="I1813" s="1099"/>
      <c r="J1813" s="1140"/>
      <c r="K1813" s="1140"/>
      <c r="L1813" s="1143"/>
      <c r="M1813" s="1098"/>
      <c r="N1813" s="1099"/>
      <c r="O1813" s="1099"/>
    </row>
    <row r="1814" spans="2:15">
      <c r="B1814" s="1129"/>
      <c r="C1814" s="1098"/>
      <c r="D1814" s="1099"/>
      <c r="E1814" s="1098"/>
      <c r="F1814" s="1136"/>
      <c r="G1814" s="1099"/>
      <c r="H1814" s="1098"/>
      <c r="I1814" s="1099"/>
      <c r="J1814" s="1140"/>
      <c r="K1814" s="1140"/>
      <c r="L1814" s="1143"/>
      <c r="M1814" s="1098"/>
      <c r="N1814" s="1099"/>
      <c r="O1814" s="1099"/>
    </row>
    <row r="1815" spans="2:15">
      <c r="B1815" s="1129"/>
      <c r="C1815" s="1098"/>
      <c r="D1815" s="1099"/>
      <c r="E1815" s="1098"/>
      <c r="F1815" s="1136"/>
      <c r="G1815" s="1099"/>
      <c r="H1815" s="1098"/>
      <c r="I1815" s="1099"/>
      <c r="J1815" s="1140"/>
      <c r="K1815" s="1140"/>
      <c r="L1815" s="1143"/>
      <c r="M1815" s="1098"/>
      <c r="N1815" s="1099"/>
      <c r="O1815" s="1099"/>
    </row>
    <row r="1816" spans="2:15">
      <c r="B1816" s="1129"/>
      <c r="C1816" s="1098"/>
      <c r="D1816" s="1099"/>
      <c r="E1816" s="1098"/>
      <c r="F1816" s="1136"/>
      <c r="G1816" s="1099"/>
      <c r="H1816" s="1098"/>
      <c r="I1816" s="1099"/>
      <c r="J1816" s="1140"/>
      <c r="K1816" s="1140"/>
      <c r="L1816" s="1143"/>
      <c r="M1816" s="1098"/>
      <c r="N1816" s="1099"/>
      <c r="O1816" s="1099"/>
    </row>
    <row r="1817" spans="2:15">
      <c r="B1817" s="1129"/>
      <c r="C1817" s="1098"/>
      <c r="D1817" s="1099"/>
      <c r="E1817" s="1098"/>
      <c r="F1817" s="1136"/>
      <c r="G1817" s="1099"/>
      <c r="H1817" s="1098"/>
      <c r="I1817" s="1099"/>
      <c r="J1817" s="1140"/>
      <c r="K1817" s="1140"/>
      <c r="L1817" s="1143"/>
      <c r="M1817" s="1098"/>
      <c r="N1817" s="1099"/>
      <c r="O1817" s="1099"/>
    </row>
    <row r="1818" spans="2:15">
      <c r="B1818" s="1129"/>
      <c r="C1818" s="1098"/>
      <c r="D1818" s="1099"/>
      <c r="E1818" s="1098"/>
      <c r="F1818" s="1136"/>
      <c r="G1818" s="1099"/>
      <c r="H1818" s="1098"/>
      <c r="I1818" s="1099"/>
      <c r="J1818" s="1140"/>
      <c r="K1818" s="1140"/>
      <c r="L1818" s="1143"/>
      <c r="M1818" s="1098"/>
      <c r="N1818" s="1099"/>
      <c r="O1818" s="1099"/>
    </row>
    <row r="1819" spans="2:15">
      <c r="B1819" s="1129"/>
      <c r="C1819" s="1098"/>
      <c r="D1819" s="1099"/>
      <c r="E1819" s="1098"/>
      <c r="F1819" s="1136"/>
      <c r="G1819" s="1099"/>
      <c r="H1819" s="1098"/>
      <c r="I1819" s="1099"/>
      <c r="J1819" s="1140"/>
      <c r="K1819" s="1140"/>
      <c r="L1819" s="1143"/>
      <c r="M1819" s="1098"/>
      <c r="N1819" s="1099"/>
      <c r="O1819" s="1099"/>
    </row>
    <row r="1820" spans="2:15">
      <c r="B1820" s="1129"/>
      <c r="C1820" s="1098"/>
      <c r="D1820" s="1099"/>
      <c r="E1820" s="1098"/>
      <c r="F1820" s="1136"/>
      <c r="G1820" s="1099"/>
      <c r="H1820" s="1098"/>
      <c r="I1820" s="1099"/>
      <c r="J1820" s="1140"/>
      <c r="K1820" s="1140"/>
      <c r="L1820" s="1143"/>
      <c r="M1820" s="1098"/>
      <c r="N1820" s="1099"/>
      <c r="O1820" s="1099"/>
    </row>
    <row r="1821" spans="2:15">
      <c r="B1821" s="1129"/>
      <c r="C1821" s="1098"/>
      <c r="D1821" s="1099"/>
      <c r="E1821" s="1098"/>
      <c r="F1821" s="1136"/>
      <c r="G1821" s="1099"/>
      <c r="H1821" s="1098"/>
      <c r="I1821" s="1099"/>
      <c r="J1821" s="1140"/>
      <c r="K1821" s="1140"/>
      <c r="L1821" s="1143"/>
      <c r="M1821" s="1098"/>
      <c r="N1821" s="1099"/>
      <c r="O1821" s="1099"/>
    </row>
    <row r="1822" spans="2:15">
      <c r="B1822" s="1129"/>
      <c r="C1822" s="1098"/>
      <c r="D1822" s="1099"/>
      <c r="E1822" s="1098"/>
      <c r="F1822" s="1136"/>
      <c r="G1822" s="1099"/>
      <c r="H1822" s="1098"/>
      <c r="I1822" s="1099"/>
      <c r="J1822" s="1140"/>
      <c r="K1822" s="1140"/>
      <c r="L1822" s="1143"/>
      <c r="M1822" s="1098"/>
      <c r="N1822" s="1099"/>
      <c r="O1822" s="1099"/>
    </row>
    <row r="1823" spans="2:15">
      <c r="B1823" s="1129"/>
      <c r="C1823" s="1098"/>
      <c r="D1823" s="1099"/>
      <c r="E1823" s="1098"/>
      <c r="F1823" s="1136"/>
      <c r="G1823" s="1099"/>
      <c r="H1823" s="1098"/>
      <c r="I1823" s="1099"/>
      <c r="J1823" s="1140"/>
      <c r="K1823" s="1140"/>
      <c r="L1823" s="1143"/>
      <c r="M1823" s="1098"/>
      <c r="N1823" s="1099"/>
      <c r="O1823" s="1099"/>
    </row>
    <row r="1824" spans="2:15">
      <c r="B1824" s="1129"/>
      <c r="C1824" s="1098"/>
      <c r="D1824" s="1099"/>
      <c r="E1824" s="1098"/>
      <c r="F1824" s="1136"/>
      <c r="G1824" s="1099"/>
      <c r="H1824" s="1098"/>
      <c r="I1824" s="1099"/>
      <c r="J1824" s="1140"/>
      <c r="K1824" s="1140"/>
      <c r="L1824" s="1143"/>
      <c r="M1824" s="1098"/>
      <c r="N1824" s="1099"/>
      <c r="O1824" s="1099"/>
    </row>
    <row r="1825" spans="2:15">
      <c r="B1825" s="1129"/>
      <c r="C1825" s="1098"/>
      <c r="D1825" s="1099"/>
      <c r="E1825" s="1098"/>
      <c r="F1825" s="1136"/>
      <c r="G1825" s="1099"/>
      <c r="H1825" s="1098"/>
      <c r="I1825" s="1099"/>
      <c r="J1825" s="1140"/>
      <c r="K1825" s="1140"/>
      <c r="L1825" s="1143"/>
      <c r="M1825" s="1098"/>
      <c r="N1825" s="1099"/>
      <c r="O1825" s="1099"/>
    </row>
    <row r="1826" spans="2:15">
      <c r="B1826" s="1129"/>
      <c r="C1826" s="1098"/>
      <c r="D1826" s="1099"/>
      <c r="E1826" s="1098"/>
      <c r="F1826" s="1136"/>
      <c r="G1826" s="1099"/>
      <c r="H1826" s="1098"/>
      <c r="I1826" s="1099"/>
      <c r="J1826" s="1140"/>
      <c r="K1826" s="1140"/>
      <c r="L1826" s="1143"/>
      <c r="M1826" s="1098"/>
      <c r="N1826" s="1099"/>
      <c r="O1826" s="1099"/>
    </row>
    <row r="1827" spans="2:15">
      <c r="B1827" s="1129"/>
      <c r="C1827" s="1098"/>
      <c r="D1827" s="1099"/>
      <c r="E1827" s="1098"/>
      <c r="F1827" s="1136"/>
      <c r="G1827" s="1099"/>
      <c r="H1827" s="1098"/>
      <c r="I1827" s="1099"/>
      <c r="J1827" s="1140"/>
      <c r="K1827" s="1140"/>
      <c r="L1827" s="1143"/>
      <c r="M1827" s="1098"/>
      <c r="N1827" s="1099"/>
      <c r="O1827" s="1099"/>
    </row>
    <row r="1828" spans="2:15">
      <c r="B1828" s="1129"/>
      <c r="C1828" s="1098"/>
      <c r="D1828" s="1099"/>
      <c r="E1828" s="1098"/>
      <c r="F1828" s="1136"/>
      <c r="G1828" s="1099"/>
      <c r="H1828" s="1098"/>
      <c r="I1828" s="1099"/>
      <c r="J1828" s="1140"/>
      <c r="K1828" s="1140"/>
      <c r="L1828" s="1143"/>
      <c r="M1828" s="1098"/>
      <c r="N1828" s="1099"/>
      <c r="O1828" s="1099"/>
    </row>
    <row r="1829" spans="2:15">
      <c r="B1829" s="1129"/>
      <c r="C1829" s="1098"/>
      <c r="D1829" s="1099"/>
      <c r="E1829" s="1098"/>
      <c r="F1829" s="1136"/>
      <c r="G1829" s="1099"/>
      <c r="H1829" s="1098"/>
      <c r="I1829" s="1099"/>
      <c r="J1829" s="1140"/>
      <c r="K1829" s="1140"/>
      <c r="L1829" s="1143"/>
      <c r="M1829" s="1098"/>
      <c r="N1829" s="1099"/>
      <c r="O1829" s="1099"/>
    </row>
    <row r="1830" spans="2:15">
      <c r="B1830" s="1129"/>
      <c r="C1830" s="1098"/>
      <c r="D1830" s="1099"/>
      <c r="E1830" s="1098"/>
      <c r="F1830" s="1136"/>
      <c r="G1830" s="1099"/>
      <c r="H1830" s="1098"/>
      <c r="I1830" s="1099"/>
      <c r="J1830" s="1140"/>
      <c r="K1830" s="1140"/>
      <c r="L1830" s="1143"/>
      <c r="M1830" s="1098"/>
      <c r="N1830" s="1099"/>
      <c r="O1830" s="1099"/>
    </row>
    <row r="1831" spans="2:15">
      <c r="B1831" s="1129"/>
      <c r="C1831" s="1098"/>
      <c r="D1831" s="1099"/>
      <c r="E1831" s="1098"/>
      <c r="F1831" s="1136"/>
      <c r="G1831" s="1099"/>
      <c r="H1831" s="1098"/>
      <c r="I1831" s="1099"/>
      <c r="J1831" s="1140"/>
      <c r="K1831" s="1140"/>
      <c r="L1831" s="1143"/>
      <c r="M1831" s="1098"/>
      <c r="N1831" s="1099"/>
      <c r="O1831" s="1099"/>
    </row>
    <row r="1832" spans="2:15">
      <c r="B1832" s="1129"/>
      <c r="C1832" s="1098"/>
      <c r="D1832" s="1099"/>
      <c r="E1832" s="1098"/>
      <c r="F1832" s="1136"/>
      <c r="G1832" s="1099"/>
      <c r="H1832" s="1098"/>
      <c r="I1832" s="1099"/>
      <c r="J1832" s="1140"/>
      <c r="K1832" s="1140"/>
      <c r="L1832" s="1143"/>
      <c r="M1832" s="1098"/>
      <c r="N1832" s="1099"/>
      <c r="O1832" s="1099"/>
    </row>
    <row r="1833" spans="2:15">
      <c r="B1833" s="1129"/>
      <c r="C1833" s="1098"/>
      <c r="D1833" s="1099"/>
      <c r="E1833" s="1098"/>
      <c r="F1833" s="1136"/>
      <c r="G1833" s="1099"/>
      <c r="H1833" s="1098"/>
      <c r="I1833" s="1099"/>
      <c r="J1833" s="1140"/>
      <c r="K1833" s="1140"/>
      <c r="L1833" s="1143"/>
      <c r="M1833" s="1098"/>
      <c r="N1833" s="1099"/>
      <c r="O1833" s="1099"/>
    </row>
    <row r="1834" spans="2:15">
      <c r="B1834" s="1129"/>
      <c r="C1834" s="1098"/>
      <c r="D1834" s="1099"/>
      <c r="E1834" s="1098"/>
      <c r="F1834" s="1136"/>
      <c r="G1834" s="1099"/>
      <c r="H1834" s="1098"/>
      <c r="I1834" s="1099"/>
      <c r="J1834" s="1140"/>
      <c r="K1834" s="1140"/>
      <c r="L1834" s="1143"/>
      <c r="M1834" s="1098"/>
      <c r="N1834" s="1099"/>
      <c r="O1834" s="1099"/>
    </row>
    <row r="1835" spans="2:15">
      <c r="B1835" s="1129"/>
      <c r="C1835" s="1098"/>
      <c r="D1835" s="1099"/>
      <c r="E1835" s="1098"/>
      <c r="F1835" s="1136"/>
      <c r="G1835" s="1099"/>
      <c r="H1835" s="1098"/>
      <c r="I1835" s="1099"/>
      <c r="J1835" s="1140"/>
      <c r="K1835" s="1140"/>
      <c r="L1835" s="1143"/>
      <c r="M1835" s="1098"/>
      <c r="N1835" s="1099"/>
      <c r="O1835" s="1099"/>
    </row>
    <row r="1836" spans="2:15">
      <c r="B1836" s="1129"/>
      <c r="C1836" s="1098"/>
      <c r="D1836" s="1099"/>
      <c r="E1836" s="1098"/>
      <c r="F1836" s="1136"/>
      <c r="G1836" s="1099"/>
      <c r="H1836" s="1098"/>
      <c r="I1836" s="1099"/>
      <c r="J1836" s="1140"/>
      <c r="K1836" s="1140"/>
      <c r="L1836" s="1143"/>
      <c r="M1836" s="1098"/>
      <c r="N1836" s="1099"/>
      <c r="O1836" s="1099"/>
    </row>
    <row r="1837" spans="2:15">
      <c r="B1837" s="1129"/>
      <c r="C1837" s="1098"/>
      <c r="D1837" s="1099"/>
      <c r="E1837" s="1098"/>
      <c r="F1837" s="1136"/>
      <c r="G1837" s="1099"/>
      <c r="H1837" s="1098"/>
      <c r="I1837" s="1099"/>
      <c r="J1837" s="1140"/>
      <c r="K1837" s="1140"/>
      <c r="L1837" s="1143"/>
      <c r="M1837" s="1098"/>
      <c r="N1837" s="1099"/>
      <c r="O1837" s="1099"/>
    </row>
    <row r="1838" spans="2:15">
      <c r="B1838" s="1129"/>
      <c r="C1838" s="1098"/>
      <c r="D1838" s="1099"/>
      <c r="E1838" s="1098"/>
      <c r="F1838" s="1136"/>
      <c r="G1838" s="1099"/>
      <c r="H1838" s="1098"/>
      <c r="I1838" s="1099"/>
      <c r="J1838" s="1140"/>
      <c r="K1838" s="1140"/>
      <c r="L1838" s="1143"/>
      <c r="M1838" s="1098"/>
      <c r="N1838" s="1099"/>
      <c r="O1838" s="1099"/>
    </row>
    <row r="1839" spans="2:15">
      <c r="B1839" s="1129"/>
      <c r="C1839" s="1098"/>
      <c r="D1839" s="1099"/>
      <c r="E1839" s="1098"/>
      <c r="F1839" s="1136"/>
      <c r="G1839" s="1099"/>
      <c r="H1839" s="1098"/>
      <c r="I1839" s="1099"/>
      <c r="J1839" s="1140"/>
      <c r="K1839" s="1140"/>
      <c r="L1839" s="1143"/>
      <c r="M1839" s="1098"/>
      <c r="N1839" s="1099"/>
      <c r="O1839" s="1099"/>
    </row>
    <row r="1840" spans="2:15">
      <c r="B1840" s="1129"/>
      <c r="C1840" s="1098"/>
      <c r="D1840" s="1099"/>
      <c r="E1840" s="1098"/>
      <c r="F1840" s="1136"/>
      <c r="G1840" s="1099"/>
      <c r="H1840" s="1098"/>
      <c r="I1840" s="1099"/>
      <c r="J1840" s="1140"/>
      <c r="K1840" s="1140"/>
      <c r="L1840" s="1143"/>
      <c r="M1840" s="1098"/>
      <c r="N1840" s="1099"/>
      <c r="O1840" s="1099"/>
    </row>
    <row r="1841" spans="2:15">
      <c r="B1841" s="1129"/>
      <c r="C1841" s="1098"/>
      <c r="D1841" s="1099"/>
      <c r="E1841" s="1098"/>
      <c r="F1841" s="1136"/>
      <c r="G1841" s="1099"/>
      <c r="H1841" s="1098"/>
      <c r="I1841" s="1099"/>
      <c r="J1841" s="1140"/>
      <c r="K1841" s="1140"/>
      <c r="L1841" s="1143"/>
      <c r="M1841" s="1098"/>
      <c r="N1841" s="1099"/>
      <c r="O1841" s="1099"/>
    </row>
    <row r="1842" spans="2:15">
      <c r="B1842" s="1129"/>
      <c r="C1842" s="1098"/>
      <c r="D1842" s="1099"/>
      <c r="E1842" s="1098"/>
      <c r="F1842" s="1136"/>
      <c r="G1842" s="1099"/>
      <c r="H1842" s="1098"/>
      <c r="I1842" s="1099"/>
      <c r="J1842" s="1140"/>
      <c r="K1842" s="1140"/>
      <c r="L1842" s="1143"/>
      <c r="M1842" s="1098"/>
      <c r="N1842" s="1099"/>
      <c r="O1842" s="1099"/>
    </row>
    <row r="1843" spans="2:15">
      <c r="B1843" s="1129"/>
      <c r="C1843" s="1098"/>
      <c r="D1843" s="1099"/>
      <c r="E1843" s="1098"/>
      <c r="F1843" s="1136"/>
      <c r="G1843" s="1099"/>
      <c r="H1843" s="1098"/>
      <c r="I1843" s="1099"/>
      <c r="J1843" s="1140"/>
      <c r="K1843" s="1140"/>
      <c r="L1843" s="1143"/>
      <c r="M1843" s="1098"/>
      <c r="N1843" s="1099"/>
      <c r="O1843" s="1099"/>
    </row>
    <row r="1844" spans="2:15">
      <c r="B1844" s="1129"/>
      <c r="C1844" s="1098"/>
      <c r="D1844" s="1099"/>
      <c r="E1844" s="1098"/>
      <c r="F1844" s="1136"/>
      <c r="G1844" s="1099"/>
      <c r="H1844" s="1098"/>
      <c r="I1844" s="1099"/>
      <c r="J1844" s="1140"/>
      <c r="K1844" s="1140"/>
      <c r="L1844" s="1143"/>
      <c r="M1844" s="1098"/>
      <c r="N1844" s="1099"/>
      <c r="O1844" s="1099"/>
    </row>
    <row r="1845" spans="2:15">
      <c r="B1845" s="1129"/>
      <c r="C1845" s="1098"/>
      <c r="D1845" s="1099"/>
      <c r="E1845" s="1098"/>
      <c r="F1845" s="1136"/>
      <c r="G1845" s="1099"/>
      <c r="H1845" s="1098"/>
      <c r="I1845" s="1099"/>
      <c r="J1845" s="1140"/>
      <c r="K1845" s="1140"/>
      <c r="L1845" s="1143"/>
      <c r="M1845" s="1098"/>
      <c r="N1845" s="1099"/>
      <c r="O1845" s="1099"/>
    </row>
    <row r="1846" spans="2:15">
      <c r="B1846" s="1129"/>
      <c r="C1846" s="1098"/>
      <c r="D1846" s="1099"/>
      <c r="E1846" s="1098"/>
      <c r="F1846" s="1136"/>
      <c r="G1846" s="1099"/>
      <c r="H1846" s="1098"/>
      <c r="I1846" s="1099"/>
      <c r="J1846" s="1140"/>
      <c r="K1846" s="1140"/>
      <c r="L1846" s="1143"/>
      <c r="M1846" s="1098"/>
      <c r="N1846" s="1099"/>
      <c r="O1846" s="1099"/>
    </row>
    <row r="1847" spans="2:15">
      <c r="B1847" s="1129"/>
      <c r="C1847" s="1098"/>
      <c r="D1847" s="1099"/>
      <c r="E1847" s="1098"/>
      <c r="F1847" s="1136"/>
      <c r="G1847" s="1099"/>
      <c r="H1847" s="1098"/>
      <c r="I1847" s="1099"/>
      <c r="J1847" s="1140"/>
      <c r="K1847" s="1140"/>
      <c r="L1847" s="1143"/>
      <c r="M1847" s="1098"/>
      <c r="N1847" s="1099"/>
      <c r="O1847" s="1099"/>
    </row>
    <row r="1848" spans="2:15">
      <c r="B1848" s="1129"/>
      <c r="C1848" s="1098"/>
      <c r="D1848" s="1099"/>
      <c r="E1848" s="1098"/>
      <c r="F1848" s="1136"/>
      <c r="G1848" s="1099"/>
      <c r="H1848" s="1098"/>
      <c r="I1848" s="1099"/>
      <c r="J1848" s="1140"/>
      <c r="K1848" s="1140"/>
      <c r="L1848" s="1143"/>
      <c r="M1848" s="1098"/>
      <c r="N1848" s="1099"/>
      <c r="O1848" s="1099"/>
    </row>
    <row r="1849" spans="2:15">
      <c r="B1849" s="1129"/>
      <c r="C1849" s="1098"/>
      <c r="D1849" s="1099"/>
      <c r="E1849" s="1098"/>
      <c r="F1849" s="1136"/>
      <c r="G1849" s="1099"/>
      <c r="H1849" s="1098"/>
      <c r="I1849" s="1099"/>
      <c r="J1849" s="1140"/>
      <c r="K1849" s="1140"/>
      <c r="L1849" s="1143"/>
      <c r="M1849" s="1098"/>
      <c r="N1849" s="1099"/>
      <c r="O1849" s="1099"/>
    </row>
    <row r="1850" spans="2:15">
      <c r="B1850" s="1129"/>
      <c r="C1850" s="1098"/>
      <c r="D1850" s="1099"/>
      <c r="E1850" s="1098"/>
      <c r="F1850" s="1136"/>
      <c r="G1850" s="1099"/>
      <c r="H1850" s="1098"/>
      <c r="I1850" s="1099"/>
      <c r="J1850" s="1140"/>
      <c r="K1850" s="1140"/>
      <c r="L1850" s="1143"/>
      <c r="M1850" s="1098"/>
      <c r="N1850" s="1099"/>
      <c r="O1850" s="1099"/>
    </row>
    <row r="1851" spans="2:15">
      <c r="B1851" s="1129"/>
      <c r="C1851" s="1098"/>
      <c r="D1851" s="1099"/>
      <c r="E1851" s="1098"/>
      <c r="F1851" s="1136"/>
      <c r="G1851" s="1099"/>
      <c r="H1851" s="1098"/>
      <c r="I1851" s="1099"/>
      <c r="J1851" s="1140"/>
      <c r="K1851" s="1140"/>
      <c r="L1851" s="1143"/>
      <c r="M1851" s="1098"/>
      <c r="N1851" s="1099"/>
      <c r="O1851" s="1099"/>
    </row>
    <row r="1852" spans="2:15">
      <c r="B1852" s="1129"/>
      <c r="C1852" s="1098"/>
      <c r="D1852" s="1099"/>
      <c r="E1852" s="1098"/>
      <c r="F1852" s="1136"/>
      <c r="G1852" s="1099"/>
      <c r="H1852" s="1098"/>
      <c r="I1852" s="1099"/>
      <c r="J1852" s="1140"/>
      <c r="K1852" s="1140"/>
      <c r="L1852" s="1143"/>
      <c r="M1852" s="1098"/>
      <c r="N1852" s="1099"/>
      <c r="O1852" s="1099"/>
    </row>
    <row r="1853" spans="2:15">
      <c r="B1853" s="1129"/>
      <c r="C1853" s="1098"/>
      <c r="D1853" s="1099"/>
      <c r="E1853" s="1098"/>
      <c r="F1853" s="1136"/>
      <c r="G1853" s="1099"/>
      <c r="H1853" s="1098"/>
      <c r="I1853" s="1099"/>
      <c r="J1853" s="1140"/>
      <c r="K1853" s="1140"/>
      <c r="L1853" s="1143"/>
      <c r="M1853" s="1098"/>
      <c r="N1853" s="1099"/>
      <c r="O1853" s="1099"/>
    </row>
    <row r="1854" spans="2:15">
      <c r="B1854" s="1129"/>
      <c r="C1854" s="1098"/>
      <c r="D1854" s="1099"/>
      <c r="E1854" s="1098"/>
      <c r="F1854" s="1136"/>
      <c r="G1854" s="1099"/>
      <c r="H1854" s="1098"/>
      <c r="I1854" s="1099"/>
      <c r="J1854" s="1140"/>
      <c r="K1854" s="1140"/>
      <c r="L1854" s="1143"/>
      <c r="M1854" s="1098"/>
      <c r="N1854" s="1099"/>
      <c r="O1854" s="1099"/>
    </row>
    <row r="1855" spans="2:15">
      <c r="B1855" s="1129"/>
      <c r="C1855" s="1098"/>
      <c r="D1855" s="1099"/>
      <c r="E1855" s="1098"/>
      <c r="F1855" s="1136"/>
      <c r="G1855" s="1099"/>
      <c r="H1855" s="1098"/>
      <c r="I1855" s="1099"/>
      <c r="J1855" s="1140"/>
      <c r="K1855" s="1140"/>
      <c r="L1855" s="1143"/>
      <c r="M1855" s="1098"/>
      <c r="N1855" s="1099"/>
      <c r="O1855" s="1099"/>
    </row>
    <row r="1856" spans="2:15">
      <c r="B1856" s="1129"/>
      <c r="C1856" s="1098"/>
      <c r="D1856" s="1099"/>
      <c r="E1856" s="1098"/>
      <c r="F1856" s="1136"/>
      <c r="G1856" s="1099"/>
      <c r="H1856" s="1098"/>
      <c r="I1856" s="1099"/>
      <c r="J1856" s="1140"/>
      <c r="K1856" s="1140"/>
      <c r="L1856" s="1143"/>
      <c r="M1856" s="1098"/>
      <c r="N1856" s="1099"/>
      <c r="O1856" s="1099"/>
    </row>
    <row r="1857" spans="2:15">
      <c r="B1857" s="1129"/>
      <c r="C1857" s="1098"/>
      <c r="D1857" s="1099"/>
      <c r="E1857" s="1098"/>
      <c r="F1857" s="1136"/>
      <c r="G1857" s="1099"/>
      <c r="H1857" s="1098"/>
      <c r="I1857" s="1099"/>
      <c r="J1857" s="1140"/>
      <c r="K1857" s="1140"/>
      <c r="L1857" s="1143"/>
      <c r="M1857" s="1098"/>
      <c r="N1857" s="1099"/>
      <c r="O1857" s="1099"/>
    </row>
    <row r="1858" spans="2:15">
      <c r="B1858" s="1129"/>
      <c r="C1858" s="1098"/>
      <c r="D1858" s="1099"/>
      <c r="E1858" s="1098"/>
      <c r="F1858" s="1136"/>
      <c r="G1858" s="1099"/>
      <c r="H1858" s="1098"/>
      <c r="I1858" s="1099"/>
      <c r="J1858" s="1140"/>
      <c r="K1858" s="1140"/>
      <c r="L1858" s="1143"/>
      <c r="M1858" s="1098"/>
      <c r="N1858" s="1099"/>
      <c r="O1858" s="1099"/>
    </row>
    <row r="1859" spans="2:15">
      <c r="B1859" s="1129"/>
      <c r="C1859" s="1098"/>
      <c r="D1859" s="1099"/>
      <c r="E1859" s="1098"/>
      <c r="F1859" s="1136"/>
      <c r="G1859" s="1099"/>
      <c r="H1859" s="1098"/>
      <c r="I1859" s="1099"/>
      <c r="J1859" s="1140"/>
      <c r="K1859" s="1140"/>
      <c r="L1859" s="1143"/>
      <c r="M1859" s="1098"/>
      <c r="N1859" s="1099"/>
      <c r="O1859" s="1099"/>
    </row>
    <row r="1860" spans="2:15">
      <c r="B1860" s="1129"/>
      <c r="C1860" s="1098"/>
      <c r="D1860" s="1099"/>
      <c r="E1860" s="1098"/>
      <c r="F1860" s="1136"/>
      <c r="G1860" s="1099"/>
      <c r="H1860" s="1098"/>
      <c r="I1860" s="1099"/>
      <c r="J1860" s="1140"/>
      <c r="K1860" s="1140"/>
      <c r="L1860" s="1143"/>
      <c r="M1860" s="1098"/>
      <c r="N1860" s="1099"/>
      <c r="O1860" s="1099"/>
    </row>
    <row r="1861" spans="2:15">
      <c r="B1861" s="1129"/>
      <c r="C1861" s="1098"/>
      <c r="D1861" s="1099"/>
      <c r="E1861" s="1098"/>
      <c r="F1861" s="1136"/>
      <c r="G1861" s="1099"/>
      <c r="H1861" s="1098"/>
      <c r="I1861" s="1099"/>
      <c r="J1861" s="1140"/>
      <c r="K1861" s="1140"/>
      <c r="L1861" s="1143"/>
      <c r="M1861" s="1098"/>
      <c r="N1861" s="1099"/>
      <c r="O1861" s="1099"/>
    </row>
    <row r="1862" spans="2:15">
      <c r="B1862" s="1129"/>
      <c r="C1862" s="1098"/>
      <c r="D1862" s="1099"/>
      <c r="E1862" s="1098"/>
      <c r="F1862" s="1136"/>
      <c r="G1862" s="1099"/>
      <c r="H1862" s="1098"/>
      <c r="I1862" s="1099"/>
      <c r="J1862" s="1140"/>
      <c r="K1862" s="1140"/>
      <c r="L1862" s="1143"/>
      <c r="M1862" s="1098"/>
      <c r="N1862" s="1099"/>
      <c r="O1862" s="1099"/>
    </row>
    <row r="1863" spans="2:15">
      <c r="B1863" s="1129"/>
      <c r="C1863" s="1098"/>
      <c r="D1863" s="1099"/>
      <c r="E1863" s="1098"/>
      <c r="F1863" s="1136"/>
      <c r="G1863" s="1099"/>
      <c r="H1863" s="1098"/>
      <c r="I1863" s="1099"/>
      <c r="J1863" s="1140"/>
      <c r="K1863" s="1140"/>
      <c r="L1863" s="1143"/>
      <c r="M1863" s="1098"/>
      <c r="N1863" s="1099"/>
      <c r="O1863" s="1099"/>
    </row>
    <row r="1864" spans="2:15">
      <c r="B1864" s="1129"/>
      <c r="C1864" s="1098"/>
      <c r="D1864" s="1099"/>
      <c r="E1864" s="1098"/>
      <c r="F1864" s="1136"/>
      <c r="G1864" s="1099"/>
      <c r="H1864" s="1098"/>
      <c r="I1864" s="1099"/>
      <c r="J1864" s="1140"/>
      <c r="K1864" s="1140"/>
      <c r="L1864" s="1143"/>
      <c r="M1864" s="1098"/>
      <c r="N1864" s="1099"/>
      <c r="O1864" s="1099"/>
    </row>
    <row r="1865" spans="2:15">
      <c r="B1865" s="1129"/>
      <c r="C1865" s="1098"/>
      <c r="D1865" s="1099"/>
      <c r="E1865" s="1098"/>
      <c r="F1865" s="1136"/>
      <c r="G1865" s="1099"/>
      <c r="H1865" s="1098"/>
      <c r="I1865" s="1099"/>
      <c r="J1865" s="1140"/>
      <c r="K1865" s="1140"/>
      <c r="L1865" s="1143"/>
      <c r="M1865" s="1098"/>
      <c r="N1865" s="1099"/>
      <c r="O1865" s="1099"/>
    </row>
    <row r="1866" spans="2:15">
      <c r="B1866" s="1129"/>
      <c r="C1866" s="1098"/>
      <c r="D1866" s="1099"/>
      <c r="E1866" s="1098"/>
      <c r="F1866" s="1136"/>
      <c r="G1866" s="1099"/>
      <c r="H1866" s="1098"/>
      <c r="I1866" s="1099"/>
      <c r="J1866" s="1140"/>
      <c r="K1866" s="1140"/>
      <c r="L1866" s="1143"/>
      <c r="M1866" s="1098"/>
      <c r="N1866" s="1099"/>
      <c r="O1866" s="1099"/>
    </row>
    <row r="1867" spans="2:15">
      <c r="B1867" s="1129"/>
      <c r="C1867" s="1098"/>
      <c r="D1867" s="1099"/>
      <c r="E1867" s="1098"/>
      <c r="F1867" s="1136"/>
      <c r="G1867" s="1099"/>
      <c r="H1867" s="1098"/>
      <c r="I1867" s="1099"/>
      <c r="J1867" s="1140"/>
      <c r="K1867" s="1140"/>
      <c r="L1867" s="1143"/>
      <c r="M1867" s="1098"/>
      <c r="N1867" s="1099"/>
      <c r="O1867" s="1099"/>
    </row>
    <row r="1868" spans="2:15">
      <c r="B1868" s="1129"/>
      <c r="C1868" s="1098"/>
      <c r="D1868" s="1099"/>
      <c r="E1868" s="1098"/>
      <c r="F1868" s="1136"/>
      <c r="G1868" s="1099"/>
      <c r="H1868" s="1098"/>
      <c r="I1868" s="1099"/>
      <c r="J1868" s="1140"/>
      <c r="K1868" s="1140"/>
      <c r="L1868" s="1143"/>
      <c r="M1868" s="1098"/>
      <c r="N1868" s="1099"/>
      <c r="O1868" s="1099"/>
    </row>
    <row r="1869" spans="2:15">
      <c r="B1869" s="1129"/>
      <c r="C1869" s="1098"/>
      <c r="D1869" s="1099"/>
      <c r="E1869" s="1098"/>
      <c r="F1869" s="1136"/>
      <c r="G1869" s="1099"/>
      <c r="H1869" s="1098"/>
      <c r="I1869" s="1099"/>
      <c r="J1869" s="1140"/>
      <c r="K1869" s="1140"/>
      <c r="L1869" s="1143"/>
      <c r="M1869" s="1098"/>
      <c r="N1869" s="1099"/>
      <c r="O1869" s="1099"/>
    </row>
    <row r="1870" spans="2:15">
      <c r="B1870" s="1129"/>
      <c r="C1870" s="1098"/>
      <c r="D1870" s="1099"/>
      <c r="E1870" s="1098"/>
      <c r="F1870" s="1136"/>
      <c r="G1870" s="1099"/>
      <c r="H1870" s="1098"/>
      <c r="I1870" s="1099"/>
      <c r="J1870" s="1140"/>
      <c r="K1870" s="1140"/>
      <c r="L1870" s="1143"/>
      <c r="M1870" s="1098"/>
      <c r="N1870" s="1099"/>
      <c r="O1870" s="1099"/>
    </row>
    <row r="1871" spans="2:15">
      <c r="B1871" s="1129"/>
      <c r="C1871" s="1098"/>
      <c r="D1871" s="1099"/>
      <c r="E1871" s="1098"/>
      <c r="F1871" s="1136"/>
      <c r="G1871" s="1099"/>
      <c r="H1871" s="1098"/>
      <c r="I1871" s="1099"/>
      <c r="J1871" s="1140"/>
      <c r="K1871" s="1140"/>
      <c r="L1871" s="1143"/>
      <c r="M1871" s="1098"/>
      <c r="N1871" s="1099"/>
      <c r="O1871" s="1099"/>
    </row>
    <row r="1872" spans="2:15">
      <c r="B1872" s="1129"/>
      <c r="C1872" s="1098"/>
      <c r="D1872" s="1099"/>
      <c r="E1872" s="1098"/>
      <c r="F1872" s="1136"/>
      <c r="G1872" s="1099"/>
      <c r="H1872" s="1098"/>
      <c r="I1872" s="1099"/>
      <c r="J1872" s="1140"/>
      <c r="K1872" s="1140"/>
      <c r="L1872" s="1143"/>
      <c r="M1872" s="1098"/>
      <c r="N1872" s="1099"/>
      <c r="O1872" s="1099"/>
    </row>
    <row r="1873" spans="2:15">
      <c r="B1873" s="1129"/>
      <c r="C1873" s="1098"/>
      <c r="D1873" s="1099"/>
      <c r="E1873" s="1098"/>
      <c r="F1873" s="1136"/>
      <c r="G1873" s="1099"/>
      <c r="H1873" s="1098"/>
      <c r="I1873" s="1099"/>
      <c r="J1873" s="1140"/>
      <c r="K1873" s="1140"/>
      <c r="L1873" s="1143"/>
      <c r="M1873" s="1098"/>
      <c r="N1873" s="1099"/>
      <c r="O1873" s="1099"/>
    </row>
    <row r="1874" spans="2:15">
      <c r="B1874" s="1129"/>
      <c r="C1874" s="1098"/>
      <c r="D1874" s="1099"/>
      <c r="E1874" s="1098"/>
      <c r="F1874" s="1136"/>
      <c r="G1874" s="1099"/>
      <c r="H1874" s="1098"/>
      <c r="I1874" s="1099"/>
      <c r="J1874" s="1140"/>
      <c r="K1874" s="1140"/>
      <c r="L1874" s="1143"/>
      <c r="M1874" s="1098"/>
      <c r="N1874" s="1099"/>
      <c r="O1874" s="1099"/>
    </row>
    <row r="1875" spans="2:15">
      <c r="B1875" s="1129"/>
      <c r="C1875" s="1098"/>
      <c r="D1875" s="1099"/>
      <c r="E1875" s="1098"/>
      <c r="F1875" s="1136"/>
      <c r="G1875" s="1099"/>
      <c r="H1875" s="1098"/>
      <c r="I1875" s="1099"/>
      <c r="J1875" s="1140"/>
      <c r="K1875" s="1140"/>
      <c r="L1875" s="1143"/>
      <c r="M1875" s="1098"/>
      <c r="N1875" s="1099"/>
      <c r="O1875" s="1099"/>
    </row>
    <row r="1876" spans="2:15">
      <c r="B1876" s="1129"/>
      <c r="C1876" s="1098"/>
      <c r="D1876" s="1099"/>
      <c r="E1876" s="1098"/>
      <c r="F1876" s="1136"/>
      <c r="G1876" s="1099"/>
      <c r="H1876" s="1098"/>
      <c r="I1876" s="1099"/>
      <c r="J1876" s="1140"/>
      <c r="K1876" s="1140"/>
      <c r="L1876" s="1143"/>
      <c r="M1876" s="1098"/>
      <c r="N1876" s="1099"/>
      <c r="O1876" s="1099"/>
    </row>
    <row r="1877" spans="2:15">
      <c r="B1877" s="1129"/>
      <c r="C1877" s="1098"/>
      <c r="D1877" s="1099"/>
      <c r="E1877" s="1098"/>
      <c r="F1877" s="1136"/>
      <c r="G1877" s="1099"/>
      <c r="H1877" s="1098"/>
      <c r="I1877" s="1099"/>
      <c r="J1877" s="1140"/>
      <c r="K1877" s="1140"/>
      <c r="L1877" s="1143"/>
      <c r="M1877" s="1098"/>
      <c r="N1877" s="1099"/>
      <c r="O1877" s="1099"/>
    </row>
    <row r="1878" spans="2:15">
      <c r="B1878" s="1129"/>
      <c r="C1878" s="1098"/>
      <c r="D1878" s="1099"/>
      <c r="E1878" s="1098"/>
      <c r="F1878" s="1136"/>
      <c r="G1878" s="1099"/>
      <c r="H1878" s="1098"/>
      <c r="I1878" s="1099"/>
      <c r="J1878" s="1140"/>
      <c r="K1878" s="1140"/>
      <c r="L1878" s="1143"/>
      <c r="M1878" s="1098"/>
      <c r="N1878" s="1099"/>
      <c r="O1878" s="1099"/>
    </row>
    <row r="1879" spans="2:15">
      <c r="B1879" s="1129"/>
      <c r="C1879" s="1098"/>
      <c r="D1879" s="1099"/>
      <c r="E1879" s="1098"/>
      <c r="F1879" s="1136"/>
      <c r="G1879" s="1099"/>
      <c r="H1879" s="1098"/>
      <c r="I1879" s="1099"/>
      <c r="J1879" s="1140"/>
      <c r="K1879" s="1140"/>
      <c r="L1879" s="1143"/>
      <c r="M1879" s="1098"/>
      <c r="N1879" s="1099"/>
      <c r="O1879" s="1099"/>
    </row>
    <row r="1880" spans="2:15">
      <c r="B1880" s="1129"/>
      <c r="C1880" s="1098"/>
      <c r="D1880" s="1099"/>
      <c r="E1880" s="1098"/>
      <c r="F1880" s="1136"/>
      <c r="G1880" s="1099"/>
      <c r="H1880" s="1098"/>
      <c r="I1880" s="1099"/>
      <c r="J1880" s="1140"/>
      <c r="K1880" s="1140"/>
      <c r="L1880" s="1143"/>
      <c r="M1880" s="1098"/>
      <c r="N1880" s="1099"/>
      <c r="O1880" s="1099"/>
    </row>
    <row r="1881" spans="2:15">
      <c r="B1881" s="1129"/>
      <c r="C1881" s="1098"/>
      <c r="D1881" s="1099"/>
      <c r="E1881" s="1098"/>
      <c r="F1881" s="1136"/>
      <c r="G1881" s="1099"/>
      <c r="H1881" s="1098"/>
      <c r="I1881" s="1099"/>
      <c r="J1881" s="1140"/>
      <c r="K1881" s="1140"/>
      <c r="L1881" s="1143"/>
      <c r="M1881" s="1098"/>
      <c r="N1881" s="1099"/>
      <c r="O1881" s="1099"/>
    </row>
    <row r="1882" spans="2:15">
      <c r="B1882" s="1129"/>
      <c r="C1882" s="1098"/>
      <c r="D1882" s="1099"/>
      <c r="E1882" s="1098"/>
      <c r="F1882" s="1136"/>
      <c r="G1882" s="1099"/>
      <c r="H1882" s="1098"/>
      <c r="I1882" s="1099"/>
      <c r="J1882" s="1140"/>
      <c r="K1882" s="1140"/>
      <c r="L1882" s="1143"/>
      <c r="M1882" s="1098"/>
      <c r="N1882" s="1099"/>
      <c r="O1882" s="1099"/>
    </row>
    <row r="1883" spans="2:15">
      <c r="B1883" s="1129"/>
      <c r="C1883" s="1098"/>
      <c r="D1883" s="1099"/>
      <c r="E1883" s="1098"/>
      <c r="F1883" s="1136"/>
      <c r="G1883" s="1099"/>
      <c r="H1883" s="1098"/>
      <c r="I1883" s="1099"/>
      <c r="J1883" s="1140"/>
      <c r="K1883" s="1140"/>
      <c r="L1883" s="1143"/>
      <c r="M1883" s="1098"/>
      <c r="N1883" s="1099"/>
      <c r="O1883" s="1099"/>
    </row>
    <row r="1884" spans="2:15">
      <c r="B1884" s="1129"/>
      <c r="C1884" s="1098"/>
      <c r="D1884" s="1099"/>
      <c r="E1884" s="1098"/>
      <c r="F1884" s="1136"/>
      <c r="G1884" s="1099"/>
      <c r="H1884" s="1098"/>
      <c r="I1884" s="1099"/>
      <c r="J1884" s="1140"/>
      <c r="K1884" s="1140"/>
      <c r="L1884" s="1143"/>
      <c r="M1884" s="1098"/>
      <c r="N1884" s="1099"/>
      <c r="O1884" s="1099"/>
    </row>
    <row r="1885" spans="2:15">
      <c r="B1885" s="1129"/>
      <c r="C1885" s="1098"/>
      <c r="D1885" s="1099"/>
      <c r="E1885" s="1098"/>
      <c r="F1885" s="1136"/>
      <c r="G1885" s="1099"/>
      <c r="H1885" s="1098"/>
      <c r="I1885" s="1099"/>
      <c r="J1885" s="1140"/>
      <c r="K1885" s="1140"/>
      <c r="L1885" s="1143"/>
      <c r="M1885" s="1098"/>
      <c r="N1885" s="1099"/>
      <c r="O1885" s="1099"/>
    </row>
    <row r="1886" spans="2:15">
      <c r="B1886" s="1129"/>
      <c r="C1886" s="1098"/>
      <c r="D1886" s="1099"/>
      <c r="E1886" s="1098"/>
      <c r="F1886" s="1136"/>
      <c r="G1886" s="1099"/>
      <c r="H1886" s="1098"/>
      <c r="I1886" s="1099"/>
      <c r="J1886" s="1140"/>
      <c r="K1886" s="1140"/>
      <c r="L1886" s="1143"/>
      <c r="M1886" s="1098"/>
      <c r="N1886" s="1099"/>
      <c r="O1886" s="1099"/>
    </row>
    <row r="1887" spans="2:15">
      <c r="B1887" s="1129"/>
      <c r="C1887" s="1098"/>
      <c r="D1887" s="1099"/>
      <c r="E1887" s="1098"/>
      <c r="F1887" s="1136"/>
      <c r="G1887" s="1099"/>
      <c r="H1887" s="1098"/>
      <c r="I1887" s="1099"/>
      <c r="J1887" s="1140"/>
      <c r="K1887" s="1140"/>
      <c r="L1887" s="1143"/>
      <c r="M1887" s="1098"/>
      <c r="N1887" s="1099"/>
      <c r="O1887" s="1099"/>
    </row>
    <row r="1888" spans="2:15">
      <c r="B1888" s="1129"/>
      <c r="C1888" s="1098"/>
      <c r="D1888" s="1099"/>
      <c r="E1888" s="1098"/>
      <c r="F1888" s="1136"/>
      <c r="G1888" s="1099"/>
      <c r="H1888" s="1098"/>
      <c r="I1888" s="1099"/>
      <c r="J1888" s="1140"/>
      <c r="K1888" s="1140"/>
      <c r="L1888" s="1143"/>
      <c r="M1888" s="1098"/>
      <c r="N1888" s="1099"/>
      <c r="O1888" s="1099"/>
    </row>
    <row r="1889" spans="2:15">
      <c r="B1889" s="1129"/>
      <c r="C1889" s="1098"/>
      <c r="D1889" s="1099"/>
      <c r="E1889" s="1098"/>
      <c r="F1889" s="1136"/>
      <c r="G1889" s="1099"/>
      <c r="H1889" s="1098"/>
      <c r="I1889" s="1099"/>
      <c r="J1889" s="1140"/>
      <c r="K1889" s="1140"/>
      <c r="L1889" s="1143"/>
      <c r="M1889" s="1098"/>
      <c r="N1889" s="1099"/>
      <c r="O1889" s="1099"/>
    </row>
    <row r="1890" spans="2:15">
      <c r="B1890" s="1129"/>
      <c r="C1890" s="1098"/>
      <c r="D1890" s="1099"/>
      <c r="E1890" s="1098"/>
      <c r="F1890" s="1136"/>
      <c r="G1890" s="1099"/>
      <c r="H1890" s="1098"/>
      <c r="I1890" s="1099"/>
      <c r="J1890" s="1140"/>
      <c r="K1890" s="1140"/>
      <c r="L1890" s="1143"/>
      <c r="M1890" s="1098"/>
      <c r="N1890" s="1099"/>
      <c r="O1890" s="1099"/>
    </row>
    <row r="1891" spans="2:15">
      <c r="B1891" s="1129"/>
      <c r="C1891" s="1098"/>
      <c r="D1891" s="1099"/>
      <c r="E1891" s="1098"/>
      <c r="F1891" s="1136"/>
      <c r="G1891" s="1099"/>
      <c r="H1891" s="1098"/>
      <c r="I1891" s="1099"/>
      <c r="J1891" s="1140"/>
      <c r="K1891" s="1140"/>
      <c r="L1891" s="1143"/>
      <c r="M1891" s="1098"/>
      <c r="N1891" s="1099"/>
      <c r="O1891" s="1099"/>
    </row>
    <row r="1892" spans="2:15">
      <c r="B1892" s="1129"/>
      <c r="C1892" s="1098"/>
      <c r="D1892" s="1099"/>
      <c r="E1892" s="1098"/>
      <c r="F1892" s="1136"/>
      <c r="G1892" s="1099"/>
      <c r="H1892" s="1098"/>
      <c r="I1892" s="1099"/>
      <c r="J1892" s="1140"/>
      <c r="K1892" s="1140"/>
      <c r="L1892" s="1143"/>
      <c r="M1892" s="1098"/>
      <c r="N1892" s="1099"/>
      <c r="O1892" s="1099"/>
    </row>
    <row r="1893" spans="2:15">
      <c r="B1893" s="1129"/>
      <c r="C1893" s="1098"/>
      <c r="D1893" s="1099"/>
      <c r="E1893" s="1098"/>
      <c r="F1893" s="1136"/>
      <c r="G1893" s="1099"/>
      <c r="H1893" s="1098"/>
      <c r="I1893" s="1099"/>
      <c r="J1893" s="1140"/>
      <c r="K1893" s="1140"/>
      <c r="L1893" s="1143"/>
      <c r="M1893" s="1098"/>
      <c r="N1893" s="1099"/>
      <c r="O1893" s="1099"/>
    </row>
    <row r="1894" spans="2:15">
      <c r="B1894" s="1129"/>
      <c r="C1894" s="1098"/>
      <c r="D1894" s="1099"/>
      <c r="E1894" s="1098"/>
      <c r="F1894" s="1136"/>
      <c r="G1894" s="1099"/>
      <c r="H1894" s="1098"/>
      <c r="I1894" s="1099"/>
      <c r="J1894" s="1140"/>
      <c r="K1894" s="1140"/>
      <c r="L1894" s="1143"/>
      <c r="M1894" s="1098"/>
      <c r="N1894" s="1099"/>
      <c r="O1894" s="1099"/>
    </row>
    <row r="1895" spans="2:15">
      <c r="B1895" s="1129"/>
      <c r="C1895" s="1098"/>
      <c r="D1895" s="1099"/>
      <c r="E1895" s="1098"/>
      <c r="F1895" s="1136"/>
      <c r="G1895" s="1099"/>
      <c r="H1895" s="1098"/>
      <c r="I1895" s="1099"/>
      <c r="J1895" s="1140"/>
      <c r="K1895" s="1140"/>
      <c r="L1895" s="1143"/>
      <c r="M1895" s="1098"/>
      <c r="N1895" s="1099"/>
      <c r="O1895" s="1099"/>
    </row>
    <row r="1896" spans="2:15">
      <c r="B1896" s="1129"/>
      <c r="C1896" s="1098"/>
      <c r="D1896" s="1099"/>
      <c r="E1896" s="1098"/>
      <c r="F1896" s="1136"/>
      <c r="G1896" s="1099"/>
      <c r="H1896" s="1098"/>
      <c r="I1896" s="1099"/>
      <c r="J1896" s="1140"/>
      <c r="K1896" s="1140"/>
      <c r="L1896" s="1143"/>
      <c r="M1896" s="1098"/>
      <c r="N1896" s="1099"/>
      <c r="O1896" s="1099"/>
    </row>
    <row r="1897" spans="2:15">
      <c r="B1897" s="1129"/>
      <c r="C1897" s="1098"/>
      <c r="D1897" s="1099"/>
      <c r="E1897" s="1098"/>
      <c r="F1897" s="1136"/>
      <c r="G1897" s="1099"/>
      <c r="H1897" s="1098"/>
      <c r="I1897" s="1099"/>
      <c r="J1897" s="1140"/>
      <c r="K1897" s="1140"/>
      <c r="L1897" s="1143"/>
      <c r="M1897" s="1098"/>
      <c r="N1897" s="1099"/>
      <c r="O1897" s="1099"/>
    </row>
    <row r="1898" spans="2:15">
      <c r="B1898" s="1129"/>
      <c r="C1898" s="1098"/>
      <c r="D1898" s="1099"/>
      <c r="E1898" s="1098"/>
      <c r="F1898" s="1136"/>
      <c r="G1898" s="1099"/>
      <c r="H1898" s="1098"/>
      <c r="I1898" s="1099"/>
      <c r="J1898" s="1140"/>
      <c r="K1898" s="1140"/>
      <c r="L1898" s="1143"/>
      <c r="M1898" s="1098"/>
      <c r="N1898" s="1099"/>
      <c r="O1898" s="1099"/>
    </row>
    <row r="1899" spans="2:15">
      <c r="B1899" s="1129"/>
      <c r="C1899" s="1098"/>
      <c r="D1899" s="1099"/>
      <c r="E1899" s="1098"/>
      <c r="F1899" s="1136"/>
      <c r="G1899" s="1099"/>
      <c r="H1899" s="1098"/>
      <c r="I1899" s="1099"/>
      <c r="J1899" s="1140"/>
      <c r="K1899" s="1140"/>
      <c r="L1899" s="1143"/>
      <c r="M1899" s="1098"/>
      <c r="N1899" s="1099"/>
      <c r="O1899" s="1099"/>
    </row>
    <row r="1900" spans="2:15">
      <c r="B1900" s="1129"/>
      <c r="C1900" s="1098"/>
      <c r="D1900" s="1099"/>
      <c r="E1900" s="1098"/>
      <c r="F1900" s="1136"/>
      <c r="G1900" s="1099"/>
      <c r="H1900" s="1098"/>
      <c r="I1900" s="1099"/>
      <c r="J1900" s="1140"/>
      <c r="K1900" s="1140"/>
      <c r="L1900" s="1143"/>
      <c r="M1900" s="1098"/>
      <c r="N1900" s="1099"/>
      <c r="O1900" s="1099"/>
    </row>
    <row r="1901" spans="2:15">
      <c r="B1901" s="1129"/>
      <c r="C1901" s="1098"/>
      <c r="D1901" s="1099"/>
      <c r="E1901" s="1098"/>
      <c r="F1901" s="1136"/>
      <c r="G1901" s="1099"/>
      <c r="H1901" s="1098"/>
      <c r="I1901" s="1099"/>
      <c r="J1901" s="1140"/>
      <c r="K1901" s="1140"/>
      <c r="L1901" s="1143"/>
      <c r="M1901" s="1098"/>
      <c r="N1901" s="1099"/>
      <c r="O1901" s="1099"/>
    </row>
    <row r="1902" spans="2:15">
      <c r="B1902" s="1129"/>
      <c r="C1902" s="1098"/>
      <c r="D1902" s="1099"/>
      <c r="E1902" s="1098"/>
      <c r="F1902" s="1136"/>
      <c r="G1902" s="1099"/>
      <c r="H1902" s="1098"/>
      <c r="I1902" s="1099"/>
      <c r="J1902" s="1140"/>
      <c r="K1902" s="1140"/>
      <c r="L1902" s="1143"/>
      <c r="M1902" s="1098"/>
      <c r="N1902" s="1099"/>
      <c r="O1902" s="1099"/>
    </row>
    <row r="1903" spans="2:15">
      <c r="B1903" s="1129"/>
      <c r="C1903" s="1098"/>
      <c r="D1903" s="1099"/>
      <c r="E1903" s="1098"/>
      <c r="F1903" s="1136"/>
      <c r="G1903" s="1099"/>
      <c r="H1903" s="1098"/>
      <c r="I1903" s="1099"/>
      <c r="J1903" s="1140"/>
      <c r="K1903" s="1140"/>
      <c r="L1903" s="1143"/>
      <c r="M1903" s="1098"/>
      <c r="N1903" s="1099"/>
      <c r="O1903" s="1099"/>
    </row>
    <row r="1904" spans="2:15">
      <c r="B1904" s="1129"/>
      <c r="C1904" s="1098"/>
      <c r="D1904" s="1099"/>
      <c r="E1904" s="1098"/>
      <c r="F1904" s="1136"/>
      <c r="G1904" s="1099"/>
      <c r="H1904" s="1098"/>
      <c r="I1904" s="1099"/>
      <c r="J1904" s="1140"/>
      <c r="K1904" s="1140"/>
      <c r="L1904" s="1143"/>
      <c r="M1904" s="1098"/>
      <c r="N1904" s="1099"/>
      <c r="O1904" s="1099"/>
    </row>
    <row r="1905" spans="2:15">
      <c r="B1905" s="1129"/>
      <c r="C1905" s="1098"/>
      <c r="D1905" s="1099"/>
      <c r="E1905" s="1098"/>
      <c r="F1905" s="1136"/>
      <c r="G1905" s="1099"/>
      <c r="H1905" s="1098"/>
      <c r="I1905" s="1099"/>
      <c r="J1905" s="1140"/>
      <c r="K1905" s="1140"/>
      <c r="L1905" s="1143"/>
      <c r="M1905" s="1098"/>
      <c r="N1905" s="1099"/>
      <c r="O1905" s="1099"/>
    </row>
    <row r="1906" spans="2:15">
      <c r="B1906" s="1129"/>
      <c r="C1906" s="1098"/>
      <c r="D1906" s="1099"/>
      <c r="E1906" s="1098"/>
      <c r="F1906" s="1136"/>
      <c r="G1906" s="1099"/>
      <c r="H1906" s="1098"/>
      <c r="I1906" s="1099"/>
      <c r="J1906" s="1140"/>
      <c r="K1906" s="1140"/>
      <c r="L1906" s="1143"/>
      <c r="M1906" s="1098"/>
      <c r="N1906" s="1099"/>
      <c r="O1906" s="1099"/>
    </row>
    <row r="1907" spans="2:15">
      <c r="B1907" s="1129"/>
      <c r="C1907" s="1098"/>
      <c r="D1907" s="1099"/>
      <c r="E1907" s="1098"/>
      <c r="F1907" s="1136"/>
      <c r="G1907" s="1099"/>
      <c r="H1907" s="1098"/>
      <c r="I1907" s="1099"/>
      <c r="J1907" s="1140"/>
      <c r="K1907" s="1140"/>
      <c r="L1907" s="1143"/>
      <c r="M1907" s="1098"/>
      <c r="N1907" s="1099"/>
      <c r="O1907" s="1099"/>
    </row>
    <row r="1908" spans="2:15">
      <c r="B1908" s="1129"/>
      <c r="C1908" s="1098"/>
      <c r="D1908" s="1099"/>
      <c r="E1908" s="1098"/>
      <c r="F1908" s="1136"/>
      <c r="G1908" s="1099"/>
      <c r="H1908" s="1098"/>
      <c r="I1908" s="1099"/>
      <c r="J1908" s="1140"/>
      <c r="K1908" s="1140"/>
      <c r="L1908" s="1143"/>
      <c r="M1908" s="1098"/>
      <c r="N1908" s="1099"/>
      <c r="O1908" s="1099"/>
    </row>
    <row r="1909" spans="2:15">
      <c r="B1909" s="1129"/>
      <c r="C1909" s="1098"/>
      <c r="D1909" s="1099"/>
      <c r="E1909" s="1098"/>
      <c r="F1909" s="1136"/>
      <c r="G1909" s="1099"/>
      <c r="H1909" s="1098"/>
      <c r="I1909" s="1099"/>
      <c r="J1909" s="1140"/>
      <c r="K1909" s="1140"/>
      <c r="L1909" s="1143"/>
      <c r="M1909" s="1098"/>
      <c r="N1909" s="1099"/>
      <c r="O1909" s="1099"/>
    </row>
    <row r="1910" spans="2:15">
      <c r="B1910" s="1129"/>
      <c r="C1910" s="1098"/>
      <c r="D1910" s="1099"/>
      <c r="E1910" s="1098"/>
      <c r="F1910" s="1136"/>
      <c r="G1910" s="1099"/>
      <c r="H1910" s="1098"/>
      <c r="I1910" s="1099"/>
      <c r="J1910" s="1140"/>
      <c r="K1910" s="1140"/>
      <c r="L1910" s="1143"/>
      <c r="M1910" s="1098"/>
      <c r="N1910" s="1099"/>
      <c r="O1910" s="1099"/>
    </row>
    <row r="1911" spans="2:15">
      <c r="B1911" s="1129"/>
      <c r="C1911" s="1098"/>
      <c r="D1911" s="1099"/>
      <c r="E1911" s="1098"/>
      <c r="F1911" s="1136"/>
      <c r="G1911" s="1099"/>
      <c r="H1911" s="1098"/>
      <c r="I1911" s="1099"/>
      <c r="J1911" s="1140"/>
      <c r="K1911" s="1140"/>
      <c r="L1911" s="1143"/>
      <c r="M1911" s="1098"/>
      <c r="N1911" s="1099"/>
      <c r="O1911" s="1099"/>
    </row>
    <row r="1912" spans="2:15">
      <c r="B1912" s="1129"/>
      <c r="C1912" s="1098"/>
      <c r="D1912" s="1099"/>
      <c r="E1912" s="1098"/>
      <c r="F1912" s="1136"/>
      <c r="G1912" s="1099"/>
      <c r="H1912" s="1098"/>
      <c r="I1912" s="1099"/>
      <c r="J1912" s="1140"/>
      <c r="K1912" s="1140"/>
      <c r="L1912" s="1143"/>
      <c r="M1912" s="1098"/>
      <c r="N1912" s="1099"/>
      <c r="O1912" s="1099"/>
    </row>
    <row r="1913" spans="2:15">
      <c r="B1913" s="1129"/>
      <c r="C1913" s="1098"/>
      <c r="D1913" s="1099"/>
      <c r="E1913" s="1098"/>
      <c r="F1913" s="1136"/>
      <c r="G1913" s="1099"/>
      <c r="H1913" s="1098"/>
      <c r="I1913" s="1099"/>
      <c r="J1913" s="1140"/>
      <c r="K1913" s="1140"/>
      <c r="L1913" s="1143"/>
      <c r="M1913" s="1098"/>
      <c r="N1913" s="1099"/>
      <c r="O1913" s="1099"/>
    </row>
    <row r="1914" spans="2:15">
      <c r="B1914" s="1129"/>
      <c r="C1914" s="1098"/>
      <c r="D1914" s="1099"/>
      <c r="E1914" s="1098"/>
      <c r="F1914" s="1136"/>
      <c r="G1914" s="1099"/>
      <c r="H1914" s="1098"/>
      <c r="I1914" s="1099"/>
      <c r="J1914" s="1140"/>
      <c r="K1914" s="1140"/>
      <c r="L1914" s="1143"/>
      <c r="M1914" s="1098"/>
      <c r="N1914" s="1099"/>
      <c r="O1914" s="1099"/>
    </row>
    <row r="1915" spans="2:15">
      <c r="B1915" s="1129"/>
      <c r="C1915" s="1098"/>
      <c r="D1915" s="1099"/>
      <c r="E1915" s="1098"/>
      <c r="F1915" s="1136"/>
      <c r="G1915" s="1099"/>
      <c r="H1915" s="1098"/>
      <c r="I1915" s="1099"/>
      <c r="J1915" s="1140"/>
      <c r="K1915" s="1140"/>
      <c r="L1915" s="1143"/>
      <c r="M1915" s="1098"/>
      <c r="N1915" s="1099"/>
      <c r="O1915" s="1099"/>
    </row>
    <row r="1916" spans="2:15">
      <c r="B1916" s="1129"/>
      <c r="C1916" s="1098"/>
      <c r="D1916" s="1099"/>
      <c r="E1916" s="1098"/>
      <c r="F1916" s="1136"/>
      <c r="G1916" s="1099"/>
      <c r="H1916" s="1098"/>
      <c r="I1916" s="1099"/>
      <c r="J1916" s="1140"/>
      <c r="K1916" s="1140"/>
      <c r="L1916" s="1143"/>
      <c r="M1916" s="1098"/>
      <c r="N1916" s="1099"/>
      <c r="O1916" s="1099"/>
    </row>
    <row r="1917" spans="2:15">
      <c r="B1917" s="1129"/>
      <c r="C1917" s="1098"/>
      <c r="D1917" s="1099"/>
      <c r="E1917" s="1098"/>
      <c r="F1917" s="1136"/>
      <c r="G1917" s="1099"/>
      <c r="H1917" s="1098"/>
      <c r="I1917" s="1099"/>
      <c r="J1917" s="1140"/>
      <c r="K1917" s="1140"/>
      <c r="L1917" s="1143"/>
      <c r="M1917" s="1098"/>
      <c r="N1917" s="1099"/>
      <c r="O1917" s="1099"/>
    </row>
    <row r="1918" spans="2:15">
      <c r="B1918" s="1129"/>
      <c r="C1918" s="1098"/>
      <c r="D1918" s="1099"/>
      <c r="E1918" s="1098"/>
      <c r="F1918" s="1136"/>
      <c r="G1918" s="1099"/>
      <c r="H1918" s="1098"/>
      <c r="I1918" s="1099"/>
      <c r="J1918" s="1140"/>
      <c r="K1918" s="1140"/>
      <c r="L1918" s="1143"/>
      <c r="M1918" s="1098"/>
      <c r="N1918" s="1099"/>
      <c r="O1918" s="1099"/>
    </row>
    <row r="1919" spans="2:15">
      <c r="B1919" s="1129"/>
      <c r="C1919" s="1098"/>
      <c r="D1919" s="1099"/>
      <c r="E1919" s="1098"/>
      <c r="F1919" s="1136"/>
      <c r="G1919" s="1099"/>
      <c r="H1919" s="1098"/>
      <c r="I1919" s="1099"/>
      <c r="J1919" s="1140"/>
      <c r="K1919" s="1140"/>
      <c r="L1919" s="1143"/>
      <c r="M1919" s="1098"/>
      <c r="N1919" s="1099"/>
      <c r="O1919" s="1099"/>
    </row>
    <row r="1920" spans="2:15">
      <c r="B1920" s="1129"/>
      <c r="C1920" s="1098"/>
      <c r="D1920" s="1099"/>
      <c r="E1920" s="1098"/>
      <c r="F1920" s="1136"/>
      <c r="G1920" s="1099"/>
      <c r="H1920" s="1098"/>
      <c r="I1920" s="1099"/>
      <c r="J1920" s="1140"/>
      <c r="K1920" s="1140"/>
      <c r="L1920" s="1143"/>
      <c r="M1920" s="1098"/>
      <c r="N1920" s="1099"/>
      <c r="O1920" s="1099"/>
    </row>
    <row r="1921" spans="2:15">
      <c r="B1921" s="1129"/>
      <c r="C1921" s="1098"/>
      <c r="D1921" s="1099"/>
      <c r="E1921" s="1098"/>
      <c r="F1921" s="1136"/>
      <c r="G1921" s="1099"/>
      <c r="H1921" s="1098"/>
      <c r="I1921" s="1099"/>
      <c r="J1921" s="1140"/>
      <c r="K1921" s="1140"/>
      <c r="L1921" s="1143"/>
      <c r="M1921" s="1098"/>
      <c r="N1921" s="1099"/>
      <c r="O1921" s="1099"/>
    </row>
    <row r="1922" spans="2:15">
      <c r="B1922" s="1129"/>
      <c r="C1922" s="1098"/>
      <c r="D1922" s="1099"/>
      <c r="E1922" s="1098"/>
      <c r="F1922" s="1136"/>
      <c r="G1922" s="1099"/>
      <c r="H1922" s="1098"/>
      <c r="I1922" s="1099"/>
      <c r="J1922" s="1140"/>
      <c r="K1922" s="1140"/>
      <c r="L1922" s="1143"/>
      <c r="M1922" s="1098"/>
      <c r="N1922" s="1099"/>
      <c r="O1922" s="1099"/>
    </row>
    <row r="1923" spans="2:15">
      <c r="B1923" s="1129"/>
      <c r="C1923" s="1098"/>
      <c r="D1923" s="1099"/>
      <c r="E1923" s="1098"/>
      <c r="F1923" s="1136"/>
      <c r="G1923" s="1099"/>
      <c r="H1923" s="1098"/>
      <c r="I1923" s="1099"/>
      <c r="J1923" s="1140"/>
      <c r="K1923" s="1140"/>
      <c r="L1923" s="1143"/>
      <c r="M1923" s="1098"/>
      <c r="N1923" s="1099"/>
      <c r="O1923" s="1099"/>
    </row>
    <row r="1924" spans="2:15">
      <c r="B1924" s="1129"/>
      <c r="C1924" s="1098"/>
      <c r="D1924" s="1099"/>
      <c r="E1924" s="1098"/>
      <c r="F1924" s="1136"/>
      <c r="G1924" s="1099"/>
      <c r="H1924" s="1098"/>
      <c r="I1924" s="1099"/>
      <c r="J1924" s="1140"/>
      <c r="K1924" s="1140"/>
      <c r="L1924" s="1143"/>
      <c r="M1924" s="1098"/>
      <c r="N1924" s="1099"/>
      <c r="O1924" s="1099"/>
    </row>
    <row r="1925" spans="2:15">
      <c r="B1925" s="1129"/>
      <c r="C1925" s="1098"/>
      <c r="D1925" s="1099"/>
      <c r="E1925" s="1098"/>
      <c r="F1925" s="1136"/>
      <c r="G1925" s="1099"/>
      <c r="H1925" s="1098"/>
      <c r="I1925" s="1099"/>
      <c r="J1925" s="1140"/>
      <c r="K1925" s="1140"/>
      <c r="L1925" s="1143"/>
      <c r="M1925" s="1098"/>
      <c r="N1925" s="1099"/>
      <c r="O1925" s="1099"/>
    </row>
    <row r="1926" spans="2:15">
      <c r="B1926" s="1129"/>
      <c r="C1926" s="1098"/>
      <c r="D1926" s="1099"/>
      <c r="E1926" s="1098"/>
      <c r="F1926" s="1136"/>
      <c r="G1926" s="1099"/>
      <c r="H1926" s="1098"/>
      <c r="I1926" s="1099"/>
      <c r="J1926" s="1140"/>
      <c r="K1926" s="1140"/>
      <c r="L1926" s="1143"/>
      <c r="M1926" s="1098"/>
      <c r="N1926" s="1099"/>
      <c r="O1926" s="1099"/>
    </row>
    <row r="1927" spans="2:15">
      <c r="B1927" s="1129"/>
      <c r="C1927" s="1098"/>
      <c r="D1927" s="1099"/>
      <c r="E1927" s="1098"/>
      <c r="F1927" s="1136"/>
      <c r="G1927" s="1099"/>
      <c r="H1927" s="1098"/>
      <c r="I1927" s="1099"/>
      <c r="J1927" s="1140"/>
      <c r="K1927" s="1140"/>
      <c r="L1927" s="1143"/>
      <c r="M1927" s="1098"/>
      <c r="N1927" s="1099"/>
      <c r="O1927" s="1099"/>
    </row>
    <row r="1928" spans="2:15">
      <c r="B1928" s="1129"/>
      <c r="C1928" s="1098"/>
      <c r="D1928" s="1099"/>
      <c r="E1928" s="1098"/>
      <c r="F1928" s="1136"/>
      <c r="G1928" s="1099"/>
      <c r="H1928" s="1098"/>
      <c r="I1928" s="1099"/>
      <c r="J1928" s="1140"/>
      <c r="K1928" s="1140"/>
      <c r="L1928" s="1143"/>
      <c r="M1928" s="1098"/>
      <c r="N1928" s="1099"/>
      <c r="O1928" s="1099"/>
    </row>
    <row r="1929" spans="2:15">
      <c r="B1929" s="1129"/>
      <c r="C1929" s="1098"/>
      <c r="D1929" s="1099"/>
      <c r="E1929" s="1098"/>
      <c r="F1929" s="1136"/>
      <c r="G1929" s="1099"/>
      <c r="H1929" s="1098"/>
      <c r="I1929" s="1099"/>
      <c r="J1929" s="1140"/>
      <c r="K1929" s="1140"/>
      <c r="L1929" s="1143"/>
      <c r="M1929" s="1098"/>
      <c r="N1929" s="1099"/>
      <c r="O1929" s="1099"/>
    </row>
    <row r="1930" spans="2:15">
      <c r="B1930" s="1129"/>
      <c r="C1930" s="1098"/>
      <c r="D1930" s="1099"/>
      <c r="E1930" s="1098"/>
      <c r="F1930" s="1136"/>
      <c r="G1930" s="1099"/>
      <c r="H1930" s="1098"/>
      <c r="I1930" s="1099"/>
      <c r="J1930" s="1140"/>
      <c r="K1930" s="1140"/>
      <c r="L1930" s="1143"/>
      <c r="M1930" s="1098"/>
      <c r="N1930" s="1099"/>
      <c r="O1930" s="1099"/>
    </row>
    <row r="1931" spans="2:15">
      <c r="B1931" s="1129"/>
      <c r="C1931" s="1098"/>
      <c r="D1931" s="1099"/>
      <c r="E1931" s="1098"/>
      <c r="F1931" s="1136"/>
      <c r="G1931" s="1099"/>
      <c r="H1931" s="1098"/>
      <c r="I1931" s="1099"/>
      <c r="J1931" s="1140"/>
      <c r="K1931" s="1140"/>
      <c r="L1931" s="1143"/>
      <c r="M1931" s="1098"/>
      <c r="N1931" s="1099"/>
      <c r="O1931" s="1099"/>
    </row>
    <row r="1932" spans="2:15">
      <c r="B1932" s="1129"/>
      <c r="C1932" s="1098"/>
      <c r="D1932" s="1099"/>
      <c r="E1932" s="1098"/>
      <c r="F1932" s="1136"/>
      <c r="G1932" s="1099"/>
      <c r="H1932" s="1098"/>
      <c r="I1932" s="1099"/>
      <c r="J1932" s="1140"/>
      <c r="K1932" s="1140"/>
      <c r="L1932" s="1143"/>
      <c r="M1932" s="1098"/>
      <c r="N1932" s="1099"/>
      <c r="O1932" s="1099"/>
    </row>
    <row r="1933" spans="2:15">
      <c r="B1933" s="1129"/>
      <c r="C1933" s="1098"/>
      <c r="D1933" s="1099"/>
      <c r="E1933" s="1098"/>
      <c r="F1933" s="1136"/>
      <c r="G1933" s="1099"/>
      <c r="H1933" s="1098"/>
      <c r="I1933" s="1099"/>
      <c r="J1933" s="1140"/>
      <c r="K1933" s="1140"/>
      <c r="L1933" s="1143"/>
      <c r="M1933" s="1098"/>
      <c r="N1933" s="1099"/>
      <c r="O1933" s="1099"/>
    </row>
    <row r="1934" spans="2:15">
      <c r="B1934" s="1129"/>
      <c r="C1934" s="1098"/>
      <c r="D1934" s="1099"/>
      <c r="E1934" s="1098"/>
      <c r="F1934" s="1136"/>
      <c r="G1934" s="1099"/>
      <c r="H1934" s="1098"/>
      <c r="I1934" s="1099"/>
      <c r="J1934" s="1140"/>
      <c r="K1934" s="1140"/>
      <c r="L1934" s="1143"/>
      <c r="M1934" s="1098"/>
      <c r="N1934" s="1099"/>
      <c r="O1934" s="1099"/>
    </row>
    <row r="1935" spans="2:15">
      <c r="B1935" s="1129"/>
      <c r="C1935" s="1098"/>
      <c r="D1935" s="1099"/>
      <c r="E1935" s="1098"/>
      <c r="F1935" s="1136"/>
      <c r="G1935" s="1099"/>
      <c r="H1935" s="1098"/>
      <c r="I1935" s="1099"/>
      <c r="J1935" s="1140"/>
      <c r="K1935" s="1140"/>
      <c r="L1935" s="1143"/>
      <c r="M1935" s="1098"/>
      <c r="N1935" s="1099"/>
      <c r="O1935" s="1099"/>
    </row>
    <row r="1936" spans="2:15">
      <c r="B1936" s="1129"/>
      <c r="C1936" s="1098"/>
      <c r="D1936" s="1099"/>
      <c r="E1936" s="1098"/>
      <c r="F1936" s="1136"/>
      <c r="G1936" s="1099"/>
      <c r="H1936" s="1098"/>
      <c r="I1936" s="1099"/>
      <c r="J1936" s="1140"/>
      <c r="K1936" s="1140"/>
      <c r="L1936" s="1143"/>
      <c r="M1936" s="1098"/>
      <c r="N1936" s="1099"/>
      <c r="O1936" s="1099"/>
    </row>
    <row r="1937" spans="2:15">
      <c r="B1937" s="1129"/>
      <c r="C1937" s="1098"/>
      <c r="D1937" s="1099"/>
      <c r="E1937" s="1098"/>
      <c r="F1937" s="1136"/>
      <c r="G1937" s="1099"/>
      <c r="H1937" s="1098"/>
      <c r="I1937" s="1099"/>
      <c r="J1937" s="1140"/>
      <c r="K1937" s="1140"/>
      <c r="L1937" s="1143"/>
      <c r="M1937" s="1098"/>
      <c r="N1937" s="1099"/>
      <c r="O1937" s="1099"/>
    </row>
    <row r="1938" spans="2:15">
      <c r="B1938" s="1129"/>
      <c r="C1938" s="1098"/>
      <c r="D1938" s="1099"/>
      <c r="E1938" s="1098"/>
      <c r="F1938" s="1136"/>
      <c r="G1938" s="1099"/>
      <c r="H1938" s="1098"/>
      <c r="I1938" s="1099"/>
      <c r="J1938" s="1140"/>
      <c r="K1938" s="1140"/>
      <c r="L1938" s="1143"/>
      <c r="M1938" s="1098"/>
      <c r="N1938" s="1099"/>
      <c r="O1938" s="1099"/>
    </row>
    <row r="1939" spans="2:15">
      <c r="B1939" s="1129"/>
      <c r="C1939" s="1098"/>
      <c r="D1939" s="1099"/>
      <c r="E1939" s="1098"/>
      <c r="F1939" s="1136"/>
      <c r="G1939" s="1099"/>
      <c r="H1939" s="1098"/>
      <c r="I1939" s="1099"/>
      <c r="J1939" s="1140"/>
      <c r="K1939" s="1140"/>
      <c r="L1939" s="1143"/>
      <c r="M1939" s="1098"/>
      <c r="N1939" s="1099"/>
      <c r="O1939" s="1099"/>
    </row>
    <row r="1940" spans="2:15">
      <c r="B1940" s="1129"/>
      <c r="C1940" s="1098"/>
      <c r="D1940" s="1099"/>
      <c r="E1940" s="1098"/>
      <c r="F1940" s="1136"/>
      <c r="G1940" s="1099"/>
      <c r="H1940" s="1098"/>
      <c r="I1940" s="1099"/>
      <c r="J1940" s="1140"/>
      <c r="K1940" s="1140"/>
      <c r="L1940" s="1143"/>
      <c r="M1940" s="1098"/>
      <c r="N1940" s="1099"/>
      <c r="O1940" s="1099"/>
    </row>
    <row r="1941" spans="2:15">
      <c r="B1941" s="1129"/>
      <c r="C1941" s="1098"/>
      <c r="D1941" s="1099"/>
      <c r="E1941" s="1098"/>
      <c r="F1941" s="1136"/>
      <c r="G1941" s="1099"/>
      <c r="H1941" s="1098"/>
      <c r="I1941" s="1099"/>
      <c r="J1941" s="1140"/>
      <c r="K1941" s="1140"/>
      <c r="L1941" s="1143"/>
      <c r="M1941" s="1098"/>
      <c r="N1941" s="1099"/>
      <c r="O1941" s="1099"/>
    </row>
    <row r="1942" spans="2:15">
      <c r="B1942" s="1129"/>
      <c r="C1942" s="1098"/>
      <c r="D1942" s="1099"/>
      <c r="E1942" s="1098"/>
      <c r="F1942" s="1136"/>
      <c r="G1942" s="1099"/>
      <c r="H1942" s="1098"/>
      <c r="I1942" s="1099"/>
      <c r="J1942" s="1140"/>
      <c r="K1942" s="1140"/>
      <c r="L1942" s="1143"/>
      <c r="M1942" s="1098"/>
      <c r="N1942" s="1099"/>
      <c r="O1942" s="1099"/>
    </row>
    <row r="1943" spans="2:15">
      <c r="B1943" s="1129"/>
      <c r="C1943" s="1098"/>
      <c r="D1943" s="1099"/>
      <c r="E1943" s="1098"/>
      <c r="F1943" s="1136"/>
      <c r="G1943" s="1099"/>
      <c r="H1943" s="1098"/>
      <c r="I1943" s="1099"/>
      <c r="J1943" s="1140"/>
      <c r="K1943" s="1140"/>
      <c r="L1943" s="1143"/>
      <c r="M1943" s="1098"/>
      <c r="N1943" s="1099"/>
      <c r="O1943" s="1099"/>
    </row>
    <row r="1944" spans="2:15">
      <c r="B1944" s="1129"/>
      <c r="C1944" s="1098"/>
      <c r="D1944" s="1099"/>
      <c r="E1944" s="1098"/>
      <c r="F1944" s="1136"/>
      <c r="G1944" s="1099"/>
      <c r="H1944" s="1098"/>
      <c r="I1944" s="1099"/>
      <c r="J1944" s="1140"/>
      <c r="K1944" s="1140"/>
      <c r="L1944" s="1143"/>
      <c r="M1944" s="1098"/>
      <c r="N1944" s="1099"/>
      <c r="O1944" s="1099"/>
    </row>
    <row r="1945" spans="2:15">
      <c r="B1945" s="1129"/>
      <c r="C1945" s="1098"/>
      <c r="D1945" s="1099"/>
      <c r="E1945" s="1098"/>
      <c r="F1945" s="1136"/>
      <c r="G1945" s="1099"/>
      <c r="H1945" s="1098"/>
      <c r="I1945" s="1099"/>
      <c r="J1945" s="1140"/>
      <c r="K1945" s="1140"/>
      <c r="L1945" s="1143"/>
      <c r="M1945" s="1098"/>
      <c r="N1945" s="1099"/>
      <c r="O1945" s="1099"/>
    </row>
    <row r="1946" spans="2:15">
      <c r="B1946" s="1129"/>
      <c r="C1946" s="1098"/>
      <c r="D1946" s="1099"/>
      <c r="E1946" s="1098"/>
      <c r="F1946" s="1136"/>
      <c r="G1946" s="1099"/>
      <c r="H1946" s="1098"/>
      <c r="I1946" s="1099"/>
      <c r="J1946" s="1140"/>
      <c r="K1946" s="1140"/>
      <c r="L1946" s="1143"/>
      <c r="M1946" s="1098"/>
      <c r="N1946" s="1099"/>
      <c r="O1946" s="1099"/>
    </row>
    <row r="1947" spans="2:15">
      <c r="B1947" s="1129"/>
      <c r="C1947" s="1098"/>
      <c r="D1947" s="1099"/>
      <c r="E1947" s="1098"/>
      <c r="F1947" s="1136"/>
      <c r="G1947" s="1099"/>
      <c r="H1947" s="1098"/>
      <c r="I1947" s="1099"/>
      <c r="J1947" s="1140"/>
      <c r="K1947" s="1140"/>
      <c r="L1947" s="1143"/>
      <c r="M1947" s="1098"/>
      <c r="N1947" s="1099"/>
      <c r="O1947" s="1099"/>
    </row>
    <row r="1948" spans="2:15">
      <c r="B1948" s="1129"/>
      <c r="C1948" s="1098"/>
      <c r="D1948" s="1099"/>
      <c r="E1948" s="1098"/>
      <c r="F1948" s="1136"/>
      <c r="G1948" s="1099"/>
      <c r="H1948" s="1098"/>
      <c r="I1948" s="1099"/>
      <c r="J1948" s="1140"/>
      <c r="K1948" s="1140"/>
      <c r="L1948" s="1143"/>
      <c r="M1948" s="1098"/>
      <c r="N1948" s="1099"/>
      <c r="O1948" s="1099"/>
    </row>
    <row r="1949" spans="2:15">
      <c r="B1949" s="1129"/>
      <c r="C1949" s="1098"/>
      <c r="D1949" s="1099"/>
      <c r="E1949" s="1098"/>
      <c r="F1949" s="1136"/>
      <c r="G1949" s="1099"/>
      <c r="H1949" s="1098"/>
      <c r="I1949" s="1099"/>
      <c r="J1949" s="1140"/>
      <c r="K1949" s="1140"/>
      <c r="L1949" s="1143"/>
      <c r="M1949" s="1098"/>
      <c r="N1949" s="1099"/>
      <c r="O1949" s="1099"/>
    </row>
    <row r="1950" spans="2:15">
      <c r="B1950" s="1129"/>
      <c r="C1950" s="1098"/>
      <c r="D1950" s="1099"/>
      <c r="E1950" s="1098"/>
      <c r="F1950" s="1136"/>
      <c r="G1950" s="1099"/>
      <c r="H1950" s="1098"/>
      <c r="I1950" s="1099"/>
      <c r="J1950" s="1140"/>
      <c r="K1950" s="1140"/>
      <c r="L1950" s="1143"/>
      <c r="M1950" s="1098"/>
      <c r="N1950" s="1099"/>
      <c r="O1950" s="1099"/>
    </row>
    <row r="1951" spans="2:15">
      <c r="B1951" s="1129"/>
      <c r="C1951" s="1098"/>
      <c r="D1951" s="1099"/>
      <c r="E1951" s="1098"/>
      <c r="F1951" s="1136"/>
      <c r="G1951" s="1099"/>
      <c r="H1951" s="1098"/>
      <c r="I1951" s="1099"/>
      <c r="J1951" s="1140"/>
      <c r="K1951" s="1140"/>
      <c r="L1951" s="1143"/>
      <c r="M1951" s="1098"/>
      <c r="N1951" s="1099"/>
      <c r="O1951" s="1099"/>
    </row>
    <row r="1952" spans="2:15">
      <c r="B1952" s="1129"/>
      <c r="C1952" s="1098"/>
      <c r="D1952" s="1099"/>
      <c r="E1952" s="1098"/>
      <c r="F1952" s="1136"/>
      <c r="G1952" s="1099"/>
      <c r="H1952" s="1098"/>
      <c r="I1952" s="1099"/>
      <c r="J1952" s="1140"/>
      <c r="K1952" s="1140"/>
      <c r="L1952" s="1143"/>
      <c r="M1952" s="1098"/>
      <c r="N1952" s="1099"/>
      <c r="O1952" s="1099"/>
    </row>
    <row r="1953" spans="2:15">
      <c r="B1953" s="1129"/>
      <c r="C1953" s="1098"/>
      <c r="D1953" s="1099"/>
      <c r="E1953" s="1098"/>
      <c r="F1953" s="1136"/>
      <c r="G1953" s="1099"/>
      <c r="H1953" s="1098"/>
      <c r="I1953" s="1099"/>
      <c r="J1953" s="1140"/>
      <c r="K1953" s="1140"/>
      <c r="L1953" s="1143"/>
      <c r="M1953" s="1098"/>
      <c r="N1953" s="1099"/>
      <c r="O1953" s="1099"/>
    </row>
    <row r="1954" spans="2:15">
      <c r="B1954" s="1129"/>
      <c r="C1954" s="1098"/>
      <c r="D1954" s="1099"/>
      <c r="E1954" s="1098"/>
      <c r="F1954" s="1136"/>
      <c r="G1954" s="1099"/>
      <c r="H1954" s="1098"/>
      <c r="I1954" s="1099"/>
      <c r="J1954" s="1140"/>
      <c r="K1954" s="1140"/>
      <c r="L1954" s="1143"/>
      <c r="M1954" s="1098"/>
      <c r="N1954" s="1099"/>
      <c r="O1954" s="1099"/>
    </row>
    <row r="1955" spans="2:15">
      <c r="B1955" s="1129"/>
      <c r="C1955" s="1098"/>
      <c r="D1955" s="1099"/>
      <c r="E1955" s="1098"/>
      <c r="F1955" s="1136"/>
      <c r="G1955" s="1099"/>
      <c r="H1955" s="1098"/>
      <c r="I1955" s="1099"/>
      <c r="J1955" s="1140"/>
      <c r="K1955" s="1140"/>
      <c r="L1955" s="1143"/>
      <c r="M1955" s="1098"/>
      <c r="N1955" s="1099"/>
      <c r="O1955" s="1099"/>
    </row>
    <row r="1956" spans="2:15">
      <c r="B1956" s="1129"/>
      <c r="C1956" s="1098"/>
      <c r="D1956" s="1099"/>
      <c r="E1956" s="1098"/>
      <c r="F1956" s="1136"/>
      <c r="G1956" s="1099"/>
      <c r="H1956" s="1098"/>
      <c r="I1956" s="1099"/>
      <c r="J1956" s="1140"/>
      <c r="K1956" s="1140"/>
      <c r="L1956" s="1143"/>
      <c r="M1956" s="1098"/>
      <c r="N1956" s="1099"/>
      <c r="O1956" s="1099"/>
    </row>
    <row r="1957" spans="2:15">
      <c r="B1957" s="1129"/>
      <c r="C1957" s="1098"/>
      <c r="D1957" s="1099"/>
      <c r="E1957" s="1098"/>
      <c r="F1957" s="1136"/>
      <c r="G1957" s="1099"/>
      <c r="H1957" s="1098"/>
      <c r="I1957" s="1099"/>
      <c r="J1957" s="1140"/>
      <c r="K1957" s="1140"/>
      <c r="L1957" s="1143"/>
      <c r="M1957" s="1098"/>
      <c r="N1957" s="1099"/>
      <c r="O1957" s="1099"/>
    </row>
    <row r="1958" spans="2:15">
      <c r="B1958" s="1129"/>
      <c r="C1958" s="1098"/>
      <c r="D1958" s="1099"/>
      <c r="E1958" s="1098"/>
      <c r="F1958" s="1136"/>
      <c r="G1958" s="1099"/>
      <c r="H1958" s="1098"/>
      <c r="I1958" s="1099"/>
      <c r="J1958" s="1140"/>
      <c r="K1958" s="1140"/>
      <c r="L1958" s="1143"/>
      <c r="M1958" s="1098"/>
      <c r="N1958" s="1099"/>
      <c r="O1958" s="1099"/>
    </row>
    <row r="1959" spans="2:15">
      <c r="B1959" s="1129"/>
      <c r="C1959" s="1098"/>
      <c r="D1959" s="1099"/>
      <c r="E1959" s="1098"/>
      <c r="F1959" s="1136"/>
      <c r="G1959" s="1099"/>
      <c r="H1959" s="1098"/>
      <c r="I1959" s="1099"/>
      <c r="J1959" s="1140"/>
      <c r="K1959" s="1140"/>
      <c r="L1959" s="1143"/>
      <c r="M1959" s="1098"/>
      <c r="N1959" s="1099"/>
      <c r="O1959" s="1099"/>
    </row>
    <row r="1960" spans="2:15">
      <c r="B1960" s="1129"/>
      <c r="C1960" s="1098"/>
      <c r="D1960" s="1099"/>
      <c r="E1960" s="1098"/>
      <c r="F1960" s="1136"/>
      <c r="G1960" s="1099"/>
      <c r="H1960" s="1098"/>
      <c r="I1960" s="1099"/>
      <c r="J1960" s="1140"/>
      <c r="K1960" s="1140"/>
      <c r="L1960" s="1143"/>
      <c r="M1960" s="1098"/>
      <c r="N1960" s="1099"/>
      <c r="O1960" s="1099"/>
    </row>
    <row r="1961" spans="2:15">
      <c r="B1961" s="1129"/>
      <c r="C1961" s="1098"/>
      <c r="D1961" s="1099"/>
      <c r="E1961" s="1098"/>
      <c r="F1961" s="1136"/>
      <c r="G1961" s="1099"/>
      <c r="H1961" s="1098"/>
      <c r="I1961" s="1099"/>
      <c r="J1961" s="1140"/>
      <c r="K1961" s="1140"/>
      <c r="L1961" s="1143"/>
      <c r="M1961" s="1098"/>
      <c r="N1961" s="1099"/>
      <c r="O1961" s="1099"/>
    </row>
    <row r="1962" spans="2:15">
      <c r="B1962" s="1129"/>
      <c r="C1962" s="1098"/>
      <c r="D1962" s="1099"/>
      <c r="E1962" s="1098"/>
      <c r="F1962" s="1136"/>
      <c r="G1962" s="1099"/>
      <c r="H1962" s="1098"/>
      <c r="I1962" s="1099"/>
      <c r="J1962" s="1140"/>
      <c r="K1962" s="1140"/>
      <c r="L1962" s="1143"/>
      <c r="M1962" s="1098"/>
      <c r="N1962" s="1099"/>
      <c r="O1962" s="1099"/>
    </row>
    <row r="1963" spans="2:15">
      <c r="B1963" s="1129"/>
      <c r="C1963" s="1098"/>
      <c r="D1963" s="1099"/>
      <c r="E1963" s="1098"/>
      <c r="F1963" s="1136"/>
      <c r="G1963" s="1099"/>
      <c r="H1963" s="1098"/>
      <c r="I1963" s="1099"/>
      <c r="J1963" s="1140"/>
      <c r="K1963" s="1140"/>
      <c r="L1963" s="1143"/>
      <c r="M1963" s="1098"/>
      <c r="N1963" s="1099"/>
      <c r="O1963" s="1099"/>
    </row>
    <row r="1964" spans="2:15">
      <c r="B1964" s="1129"/>
      <c r="C1964" s="1098"/>
      <c r="D1964" s="1099"/>
      <c r="E1964" s="1098"/>
      <c r="F1964" s="1136"/>
      <c r="G1964" s="1099"/>
      <c r="H1964" s="1098"/>
      <c r="I1964" s="1099"/>
      <c r="J1964" s="1140"/>
      <c r="K1964" s="1140"/>
      <c r="L1964" s="1143"/>
      <c r="M1964" s="1098"/>
      <c r="N1964" s="1099"/>
      <c r="O1964" s="1099"/>
    </row>
    <row r="1965" spans="2:15">
      <c r="B1965" s="1129"/>
      <c r="C1965" s="1098"/>
      <c r="D1965" s="1099"/>
      <c r="E1965" s="1098"/>
      <c r="F1965" s="1136"/>
      <c r="G1965" s="1099"/>
      <c r="H1965" s="1098"/>
      <c r="I1965" s="1099"/>
      <c r="J1965" s="1140"/>
      <c r="K1965" s="1140"/>
      <c r="L1965" s="1143"/>
      <c r="M1965" s="1098"/>
      <c r="N1965" s="1099"/>
      <c r="O1965" s="1099"/>
    </row>
    <row r="1966" spans="2:15">
      <c r="B1966" s="1129"/>
      <c r="C1966" s="1098"/>
      <c r="D1966" s="1099"/>
      <c r="E1966" s="1098"/>
      <c r="F1966" s="1136"/>
      <c r="G1966" s="1099"/>
      <c r="H1966" s="1098"/>
      <c r="I1966" s="1099"/>
      <c r="J1966" s="1140"/>
      <c r="K1966" s="1140"/>
      <c r="L1966" s="1143"/>
      <c r="M1966" s="1098"/>
      <c r="N1966" s="1099"/>
      <c r="O1966" s="1099"/>
    </row>
    <row r="1967" spans="2:15">
      <c r="B1967" s="1129"/>
      <c r="C1967" s="1098"/>
      <c r="D1967" s="1099"/>
      <c r="E1967" s="1098"/>
      <c r="F1967" s="1136"/>
      <c r="G1967" s="1099"/>
      <c r="H1967" s="1098"/>
      <c r="I1967" s="1099"/>
      <c r="J1967" s="1140"/>
      <c r="K1967" s="1140"/>
      <c r="L1967" s="1143"/>
      <c r="M1967" s="1098"/>
      <c r="N1967" s="1099"/>
      <c r="O1967" s="1099"/>
    </row>
    <row r="1968" spans="2:15">
      <c r="B1968" s="1129"/>
      <c r="C1968" s="1098"/>
      <c r="D1968" s="1099"/>
      <c r="E1968" s="1098"/>
      <c r="F1968" s="1136"/>
      <c r="G1968" s="1099"/>
      <c r="H1968" s="1098"/>
      <c r="I1968" s="1099"/>
      <c r="J1968" s="1140"/>
      <c r="K1968" s="1140"/>
      <c r="L1968" s="1143"/>
      <c r="M1968" s="1098"/>
      <c r="N1968" s="1099"/>
      <c r="O1968" s="1099"/>
    </row>
    <row r="1969" spans="2:15">
      <c r="B1969" s="1129"/>
      <c r="C1969" s="1098"/>
      <c r="D1969" s="1099"/>
      <c r="E1969" s="1098"/>
      <c r="F1969" s="1136"/>
      <c r="G1969" s="1099"/>
      <c r="H1969" s="1098"/>
      <c r="I1969" s="1099"/>
      <c r="J1969" s="1140"/>
      <c r="K1969" s="1140"/>
      <c r="L1969" s="1143"/>
      <c r="M1969" s="1098"/>
      <c r="N1969" s="1099"/>
      <c r="O1969" s="1099"/>
    </row>
    <row r="1970" spans="2:15">
      <c r="B1970" s="1129"/>
      <c r="C1970" s="1098"/>
      <c r="D1970" s="1099"/>
      <c r="E1970" s="1098"/>
      <c r="F1970" s="1136"/>
      <c r="G1970" s="1099"/>
      <c r="H1970" s="1098"/>
      <c r="I1970" s="1099"/>
      <c r="J1970" s="1140"/>
      <c r="K1970" s="1140"/>
      <c r="L1970" s="1143"/>
      <c r="M1970" s="1098"/>
      <c r="N1970" s="1099"/>
      <c r="O1970" s="1099"/>
    </row>
    <row r="1971" spans="2:15">
      <c r="B1971" s="1129"/>
      <c r="C1971" s="1098"/>
      <c r="D1971" s="1099"/>
      <c r="E1971" s="1098"/>
      <c r="F1971" s="1136"/>
      <c r="G1971" s="1099"/>
      <c r="H1971" s="1098"/>
      <c r="I1971" s="1099"/>
      <c r="J1971" s="1140"/>
      <c r="K1971" s="1140"/>
      <c r="L1971" s="1143"/>
      <c r="M1971" s="1098"/>
      <c r="N1971" s="1099"/>
      <c r="O1971" s="1099"/>
    </row>
    <row r="1972" spans="2:15">
      <c r="B1972" s="1129"/>
      <c r="C1972" s="1098"/>
      <c r="D1972" s="1099"/>
      <c r="E1972" s="1098"/>
      <c r="F1972" s="1136"/>
      <c r="G1972" s="1099"/>
      <c r="H1972" s="1098"/>
      <c r="I1972" s="1099"/>
      <c r="J1972" s="1140"/>
      <c r="K1972" s="1140"/>
      <c r="L1972" s="1143"/>
      <c r="M1972" s="1098"/>
      <c r="N1972" s="1099"/>
      <c r="O1972" s="1099"/>
    </row>
    <row r="1973" spans="2:15">
      <c r="B1973" s="1129"/>
      <c r="C1973" s="1098"/>
      <c r="D1973" s="1099"/>
      <c r="E1973" s="1098"/>
      <c r="F1973" s="1136"/>
      <c r="G1973" s="1099"/>
      <c r="H1973" s="1098"/>
      <c r="I1973" s="1099"/>
      <c r="J1973" s="1140"/>
      <c r="K1973" s="1140"/>
      <c r="L1973" s="1143"/>
      <c r="M1973" s="1098"/>
      <c r="N1973" s="1099"/>
      <c r="O1973" s="1099"/>
    </row>
    <row r="1974" spans="2:15">
      <c r="B1974" s="1129"/>
      <c r="C1974" s="1098"/>
      <c r="D1974" s="1099"/>
      <c r="E1974" s="1098"/>
      <c r="F1974" s="1136"/>
      <c r="G1974" s="1099"/>
      <c r="H1974" s="1098"/>
      <c r="I1974" s="1099"/>
      <c r="J1974" s="1140"/>
      <c r="K1974" s="1140"/>
      <c r="L1974" s="1143"/>
      <c r="M1974" s="1098"/>
      <c r="N1974" s="1099"/>
      <c r="O1974" s="1099"/>
    </row>
    <row r="1975" spans="2:15">
      <c r="B1975" s="1129"/>
      <c r="C1975" s="1098"/>
      <c r="D1975" s="1099"/>
      <c r="E1975" s="1098"/>
      <c r="F1975" s="1136"/>
      <c r="G1975" s="1099"/>
      <c r="H1975" s="1098"/>
      <c r="I1975" s="1099"/>
      <c r="J1975" s="1140"/>
      <c r="K1975" s="1140"/>
      <c r="L1975" s="1143"/>
      <c r="M1975" s="1098"/>
      <c r="N1975" s="1099"/>
      <c r="O1975" s="1099"/>
    </row>
    <row r="1976" spans="2:15">
      <c r="B1976" s="1129"/>
      <c r="C1976" s="1098"/>
      <c r="D1976" s="1099"/>
      <c r="E1976" s="1098"/>
      <c r="F1976" s="1136"/>
      <c r="G1976" s="1099"/>
      <c r="H1976" s="1098"/>
      <c r="I1976" s="1099"/>
      <c r="J1976" s="1140"/>
      <c r="K1976" s="1140"/>
      <c r="L1976" s="1143"/>
      <c r="M1976" s="1098"/>
      <c r="N1976" s="1099"/>
      <c r="O1976" s="1099"/>
    </row>
    <row r="1977" spans="2:15">
      <c r="B1977" s="1129"/>
      <c r="C1977" s="1098"/>
      <c r="D1977" s="1099"/>
      <c r="E1977" s="1098"/>
      <c r="F1977" s="1136"/>
      <c r="G1977" s="1099"/>
      <c r="H1977" s="1098"/>
      <c r="I1977" s="1099"/>
      <c r="J1977" s="1140"/>
      <c r="K1977" s="1140"/>
      <c r="L1977" s="1143"/>
      <c r="M1977" s="1098"/>
      <c r="N1977" s="1099"/>
      <c r="O1977" s="1099"/>
    </row>
    <row r="1978" spans="2:15">
      <c r="B1978" s="1129"/>
      <c r="C1978" s="1098"/>
      <c r="D1978" s="1099"/>
      <c r="E1978" s="1098"/>
      <c r="F1978" s="1136"/>
      <c r="G1978" s="1099"/>
      <c r="H1978" s="1098"/>
      <c r="I1978" s="1099"/>
      <c r="J1978" s="1140"/>
      <c r="K1978" s="1140"/>
      <c r="L1978" s="1143"/>
      <c r="M1978" s="1098"/>
      <c r="N1978" s="1099"/>
      <c r="O1978" s="1099"/>
    </row>
    <row r="1979" spans="2:15">
      <c r="B1979" s="1129"/>
      <c r="C1979" s="1098"/>
      <c r="D1979" s="1099"/>
      <c r="E1979" s="1098"/>
      <c r="F1979" s="1136"/>
      <c r="G1979" s="1099"/>
      <c r="H1979" s="1098"/>
      <c r="I1979" s="1099"/>
      <c r="J1979" s="1140"/>
      <c r="K1979" s="1140"/>
      <c r="L1979" s="1143"/>
      <c r="M1979" s="1098"/>
      <c r="N1979" s="1099"/>
      <c r="O1979" s="1099"/>
    </row>
    <row r="1980" spans="2:15">
      <c r="B1980" s="1129"/>
      <c r="C1980" s="1098"/>
      <c r="D1980" s="1099"/>
      <c r="E1980" s="1098"/>
      <c r="F1980" s="1136"/>
      <c r="G1980" s="1099"/>
      <c r="H1980" s="1098"/>
      <c r="I1980" s="1099"/>
      <c r="J1980" s="1140"/>
      <c r="K1980" s="1140"/>
      <c r="L1980" s="1143"/>
      <c r="M1980" s="1098"/>
      <c r="N1980" s="1099"/>
      <c r="O1980" s="1099"/>
    </row>
    <row r="1981" spans="2:15">
      <c r="B1981" s="1129"/>
      <c r="C1981" s="1098"/>
      <c r="D1981" s="1099"/>
      <c r="E1981" s="1098"/>
      <c r="F1981" s="1136"/>
      <c r="G1981" s="1099"/>
      <c r="H1981" s="1098"/>
      <c r="I1981" s="1099"/>
      <c r="J1981" s="1140"/>
      <c r="K1981" s="1140"/>
      <c r="L1981" s="1143"/>
      <c r="M1981" s="1098"/>
      <c r="N1981" s="1099"/>
      <c r="O1981" s="1099"/>
    </row>
    <row r="1982" spans="2:15">
      <c r="B1982" s="1129"/>
      <c r="C1982" s="1098"/>
      <c r="D1982" s="1099"/>
      <c r="E1982" s="1098"/>
      <c r="F1982" s="1136"/>
      <c r="G1982" s="1099"/>
      <c r="H1982" s="1098"/>
      <c r="I1982" s="1099"/>
      <c r="J1982" s="1140"/>
      <c r="K1982" s="1140"/>
      <c r="L1982" s="1143"/>
      <c r="M1982" s="1098"/>
      <c r="N1982" s="1099"/>
      <c r="O1982" s="1099"/>
    </row>
    <row r="1983" spans="2:15">
      <c r="B1983" s="1129"/>
      <c r="C1983" s="1098"/>
      <c r="D1983" s="1099"/>
      <c r="E1983" s="1098"/>
      <c r="F1983" s="1136"/>
      <c r="G1983" s="1099"/>
      <c r="H1983" s="1098"/>
      <c r="I1983" s="1099"/>
      <c r="J1983" s="1140"/>
      <c r="K1983" s="1140"/>
      <c r="L1983" s="1143"/>
      <c r="M1983" s="1098"/>
      <c r="N1983" s="1099"/>
      <c r="O1983" s="1099"/>
    </row>
    <row r="1984" spans="2:15">
      <c r="B1984" s="1129"/>
      <c r="C1984" s="1098"/>
      <c r="D1984" s="1099"/>
      <c r="E1984" s="1098"/>
      <c r="F1984" s="1136"/>
      <c r="G1984" s="1099"/>
      <c r="H1984" s="1098"/>
      <c r="I1984" s="1099"/>
      <c r="J1984" s="1140"/>
      <c r="K1984" s="1140"/>
      <c r="L1984" s="1143"/>
      <c r="M1984" s="1098"/>
      <c r="N1984" s="1099"/>
      <c r="O1984" s="1099"/>
    </row>
    <row r="1985" spans="2:15">
      <c r="B1985" s="1129"/>
      <c r="C1985" s="1098"/>
      <c r="D1985" s="1099"/>
      <c r="E1985" s="1098"/>
      <c r="F1985" s="1136"/>
      <c r="G1985" s="1099"/>
      <c r="H1985" s="1098"/>
      <c r="I1985" s="1099"/>
      <c r="J1985" s="1140"/>
      <c r="K1985" s="1140"/>
      <c r="L1985" s="1143"/>
      <c r="M1985" s="1098"/>
      <c r="N1985" s="1099"/>
      <c r="O1985" s="1099"/>
    </row>
    <row r="1986" spans="2:15">
      <c r="B1986" s="1129"/>
      <c r="C1986" s="1098"/>
      <c r="D1986" s="1099"/>
      <c r="E1986" s="1098"/>
      <c r="F1986" s="1136"/>
      <c r="G1986" s="1099"/>
      <c r="H1986" s="1098"/>
      <c r="I1986" s="1099"/>
      <c r="J1986" s="1140"/>
      <c r="K1986" s="1140"/>
      <c r="L1986" s="1143"/>
      <c r="M1986" s="1098"/>
      <c r="N1986" s="1099"/>
      <c r="O1986" s="1099"/>
    </row>
    <row r="1987" spans="2:15">
      <c r="B1987" s="1129"/>
      <c r="C1987" s="1098"/>
      <c r="D1987" s="1099"/>
      <c r="E1987" s="1098"/>
      <c r="F1987" s="1136"/>
      <c r="G1987" s="1099"/>
      <c r="H1987" s="1098"/>
      <c r="I1987" s="1099"/>
      <c r="J1987" s="1140"/>
      <c r="K1987" s="1140"/>
      <c r="L1987" s="1143"/>
      <c r="M1987" s="1098"/>
      <c r="N1987" s="1099"/>
      <c r="O1987" s="1099"/>
    </row>
    <row r="1988" spans="2:15">
      <c r="B1988" s="1129"/>
      <c r="C1988" s="1098"/>
      <c r="D1988" s="1099"/>
      <c r="E1988" s="1098"/>
      <c r="F1988" s="1136"/>
      <c r="G1988" s="1099"/>
      <c r="H1988" s="1098"/>
      <c r="I1988" s="1099"/>
      <c r="J1988" s="1140"/>
      <c r="K1988" s="1140"/>
      <c r="L1988" s="1143"/>
      <c r="M1988" s="1098"/>
      <c r="N1988" s="1099"/>
      <c r="O1988" s="1099"/>
    </row>
    <row r="1989" spans="2:15">
      <c r="B1989" s="1129"/>
      <c r="C1989" s="1098"/>
      <c r="D1989" s="1099"/>
      <c r="E1989" s="1098"/>
      <c r="F1989" s="1136"/>
      <c r="G1989" s="1099"/>
      <c r="H1989" s="1098"/>
      <c r="I1989" s="1099"/>
      <c r="J1989" s="1140"/>
      <c r="K1989" s="1140"/>
      <c r="L1989" s="1143"/>
      <c r="M1989" s="1098"/>
      <c r="N1989" s="1099"/>
      <c r="O1989" s="1099"/>
    </row>
    <row r="1990" spans="2:15">
      <c r="B1990" s="1129"/>
      <c r="C1990" s="1098"/>
      <c r="D1990" s="1099"/>
      <c r="E1990" s="1098"/>
      <c r="F1990" s="1136"/>
      <c r="G1990" s="1099"/>
      <c r="H1990" s="1098"/>
      <c r="I1990" s="1099"/>
      <c r="J1990" s="1140"/>
      <c r="K1990" s="1140"/>
      <c r="L1990" s="1143"/>
      <c r="M1990" s="1098"/>
      <c r="N1990" s="1099"/>
      <c r="O1990" s="1099"/>
    </row>
    <row r="1991" spans="2:15">
      <c r="B1991" s="1129"/>
      <c r="C1991" s="1098"/>
      <c r="D1991" s="1099"/>
      <c r="E1991" s="1098"/>
      <c r="F1991" s="1136"/>
      <c r="G1991" s="1099"/>
      <c r="H1991" s="1098"/>
      <c r="I1991" s="1099"/>
      <c r="J1991" s="1140"/>
      <c r="K1991" s="1140"/>
      <c r="L1991" s="1143"/>
      <c r="M1991" s="1098"/>
      <c r="N1991" s="1099"/>
      <c r="O1991" s="1099"/>
    </row>
    <row r="1992" spans="2:15">
      <c r="B1992" s="1129"/>
      <c r="C1992" s="1098"/>
      <c r="D1992" s="1099"/>
      <c r="E1992" s="1098"/>
      <c r="F1992" s="1136"/>
      <c r="G1992" s="1099"/>
      <c r="H1992" s="1098"/>
      <c r="I1992" s="1099"/>
      <c r="J1992" s="1140"/>
      <c r="K1992" s="1140"/>
      <c r="L1992" s="1143"/>
      <c r="M1992" s="1098"/>
      <c r="N1992" s="1099"/>
      <c r="O1992" s="1099"/>
    </row>
    <row r="1993" spans="2:15">
      <c r="B1993" s="1129"/>
      <c r="C1993" s="1098"/>
      <c r="D1993" s="1099"/>
      <c r="E1993" s="1098"/>
      <c r="F1993" s="1136"/>
      <c r="G1993" s="1099"/>
      <c r="H1993" s="1098"/>
      <c r="I1993" s="1099"/>
      <c r="J1993" s="1140"/>
      <c r="K1993" s="1140"/>
      <c r="L1993" s="1143"/>
      <c r="M1993" s="1098"/>
      <c r="N1993" s="1099"/>
      <c r="O1993" s="1099"/>
    </row>
    <row r="1994" spans="2:15">
      <c r="B1994" s="1129"/>
      <c r="C1994" s="1098"/>
      <c r="D1994" s="1099"/>
      <c r="E1994" s="1098"/>
      <c r="F1994" s="1136"/>
      <c r="G1994" s="1099"/>
      <c r="H1994" s="1098"/>
      <c r="I1994" s="1099"/>
      <c r="J1994" s="1140"/>
      <c r="K1994" s="1140"/>
      <c r="L1994" s="1143"/>
      <c r="M1994" s="1098"/>
      <c r="N1994" s="1099"/>
      <c r="O1994" s="1099"/>
    </row>
    <row r="1995" spans="2:15">
      <c r="B1995" s="1129"/>
      <c r="C1995" s="1098"/>
      <c r="D1995" s="1099"/>
      <c r="E1995" s="1098"/>
      <c r="F1995" s="1136"/>
      <c r="G1995" s="1099"/>
      <c r="H1995" s="1098"/>
      <c r="I1995" s="1099"/>
      <c r="J1995" s="1140"/>
      <c r="K1995" s="1140"/>
      <c r="L1995" s="1143"/>
      <c r="M1995" s="1098"/>
      <c r="N1995" s="1099"/>
      <c r="O1995" s="1099"/>
    </row>
    <row r="1996" spans="2:15">
      <c r="B1996" s="1129"/>
      <c r="C1996" s="1098"/>
      <c r="D1996" s="1099"/>
      <c r="E1996" s="1098"/>
      <c r="F1996" s="1136"/>
      <c r="G1996" s="1099"/>
      <c r="H1996" s="1098"/>
      <c r="I1996" s="1099"/>
      <c r="J1996" s="1140"/>
      <c r="K1996" s="1140"/>
      <c r="L1996" s="1143"/>
      <c r="M1996" s="1098"/>
      <c r="N1996" s="1099"/>
      <c r="O1996" s="1099"/>
    </row>
    <row r="1997" spans="2:15">
      <c r="B1997" s="1129"/>
      <c r="C1997" s="1098"/>
      <c r="D1997" s="1099"/>
      <c r="E1997" s="1098"/>
      <c r="F1997" s="1136"/>
      <c r="G1997" s="1099"/>
      <c r="H1997" s="1098"/>
      <c r="I1997" s="1099"/>
      <c r="J1997" s="1140"/>
      <c r="K1997" s="1140"/>
      <c r="L1997" s="1143"/>
      <c r="M1997" s="1098"/>
      <c r="N1997" s="1099"/>
      <c r="O1997" s="1099"/>
    </row>
    <row r="1998" spans="2:15">
      <c r="B1998" s="1129"/>
      <c r="C1998" s="1098"/>
      <c r="D1998" s="1099"/>
      <c r="E1998" s="1098"/>
      <c r="F1998" s="1136"/>
      <c r="G1998" s="1099"/>
      <c r="H1998" s="1098"/>
      <c r="I1998" s="1099"/>
      <c r="J1998" s="1140"/>
      <c r="K1998" s="1140"/>
      <c r="L1998" s="1143"/>
      <c r="M1998" s="1098"/>
      <c r="N1998" s="1099"/>
      <c r="O1998" s="1099"/>
    </row>
    <row r="1999" spans="2:15">
      <c r="B1999" s="1129"/>
      <c r="C1999" s="1098"/>
      <c r="D1999" s="1099"/>
      <c r="E1999" s="1098"/>
      <c r="F1999" s="1136"/>
      <c r="G1999" s="1099"/>
      <c r="H1999" s="1098"/>
      <c r="I1999" s="1099"/>
      <c r="J1999" s="1140"/>
      <c r="K1999" s="1140"/>
      <c r="L1999" s="1143"/>
      <c r="M1999" s="1098"/>
      <c r="N1999" s="1099"/>
      <c r="O1999" s="1099"/>
    </row>
    <row r="2000" spans="2:15">
      <c r="B2000" s="1129"/>
      <c r="C2000" s="1098"/>
      <c r="D2000" s="1099"/>
      <c r="E2000" s="1098"/>
      <c r="F2000" s="1136"/>
      <c r="G2000" s="1099"/>
      <c r="H2000" s="1098"/>
      <c r="I2000" s="1099"/>
      <c r="J2000" s="1140"/>
      <c r="K2000" s="1140"/>
      <c r="L2000" s="1143"/>
      <c r="M2000" s="1098"/>
      <c r="N2000" s="1099"/>
      <c r="O2000" s="1099"/>
    </row>
  </sheetData>
  <mergeCells count="11">
    <mergeCell ref="B1:O1"/>
    <mergeCell ref="B5:E5"/>
    <mergeCell ref="B6:C6"/>
    <mergeCell ref="D6:E6"/>
    <mergeCell ref="B7:C7"/>
    <mergeCell ref="D7:E7"/>
    <mergeCell ref="B8:C8"/>
    <mergeCell ref="D8:E8"/>
    <mergeCell ref="B9:C9"/>
    <mergeCell ref="D9:E9"/>
    <mergeCell ref="C4:D4"/>
  </mergeCells>
  <dataValidations count="7">
    <dataValidation type="custom" errorStyle="warning" allowBlank="1" showInputMessage="1" showErrorMessage="1" errorTitle="Fecha" error="Escriba una fecha real (dd/mm/aaaa), no futura." sqref="B13:B2000" xr:uid="{E5208BDC-4879-4CAE-8F83-957905597483}">
      <formula1>AND(ISNUMBER(B13),B13&gt;=DATE(2020,1,1),B13&lt;=TODAY())</formula1>
    </dataValidation>
    <dataValidation type="list" allowBlank="1" showInputMessage="1" showErrorMessage="1" errorTitle="Guardia" error="Elija A, B o C." sqref="C13:C2000" xr:uid="{D2BB9D50-97F4-46EA-BD67-B5E724762D34}">
      <formula1>L_GUARDIA</formula1>
    </dataValidation>
    <dataValidation type="list" errorStyle="warning" allowBlank="1" showInputMessage="1" showErrorMessage="1" errorTitle="Equipo" error="El equipo no está en Maestro Equipos. ¿Usarlo de todos modos?" sqref="E13:E2000" xr:uid="{FDB08C0E-AD81-491A-A38D-B81A488973F7}">
      <formula1>L_EQUIPOS</formula1>
    </dataValidation>
    <dataValidation type="list" allowBlank="1" showInputMessage="1" showErrorMessage="1" errorTitle="Tipo" error="Elija Preventivo, Correctivo, Predictivo o Mejora." sqref="H13:H2000" xr:uid="{67119023-55DD-4707-955B-ABDD5CF90B36}">
      <formula1>"Preventivo,Correctivo,Predictivo,Mejora"</formula1>
    </dataValidation>
    <dataValidation type="decimal" allowBlank="1" showInputMessage="1" showErrorMessage="1" errorTitle="Inicio" error="Escriba una hora (ej. 14:30)." sqref="J13:J2000" xr:uid="{78653BFE-1583-4B0F-A2C3-5491F4635B8E}">
      <formula1>0</formula1>
      <formula2>0.999999</formula2>
    </dataValidation>
    <dataValidation type="decimal" allowBlank="1" showInputMessage="1" showErrorMessage="1" errorTitle="Fin" error="Escriba una hora (ej. 16:45)." sqref="K13:K2000" xr:uid="{B6671ACB-AB2A-4773-8D5C-D53618EC819A}">
      <formula1>0</formula1>
      <formula2>0.999999</formula2>
    </dataValidation>
    <dataValidation type="list" allowBlank="1" showInputMessage="1" showErrorMessage="1" errorTitle="Estado" error="Elija un estado de la lista." sqref="M13:M2000" xr:uid="{02E0704C-3D99-433D-A574-FEF484FA6756}">
      <formula1>"Terminado,En proceso,Pendiente,Observado"</formula1>
    </dataValidation>
  </dataValidations>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Reporte Mantenimiento — Página &amp;P de &amp;F</oddFooter>
  </headerFooter>
  <drawing r:id="rId1"/>
  <tableParts count="1">
    <tablePart r:id="rId2"/>
  </tableParts>
  <extLst>
    <ext xmlns:x14="http://schemas.microsoft.com/office/spreadsheetml/2009/9/main" uri="{CCE6A557-97BC-4b89-ADB6-D9C93CAAB3DF}">
      <x14:dataValidations xmlns:xm="http://schemas.microsoft.com/office/excel/2006/main" count="2">
        <x14:dataValidation type="list" errorStyle="warning" allowBlank="1" showInputMessage="1" showErrorMessage="1" errorTitle="Área" error="Elija un área de la lista." xr:uid="{4140B4CC-E158-4343-AC5F-FC96624A8944}">
          <x14:formula1>
            <xm:f>Listas!$B$5:$B$9</xm:f>
          </x14:formula1>
          <xm:sqref>D13:D2000</xm:sqref>
        </x14:dataValidation>
        <x14:dataValidation type="list" errorStyle="warning" allowBlank="1" showInputMessage="1" showErrorMessage="1" errorTitle="Especialidad" error="Elija una especialidad de la lista." xr:uid="{1C0E85B9-B0AF-41D1-935F-58D0F823A3C4}">
          <x14:formula1>
            <xm:f>Listas!$C$5:$C$12</xm:f>
          </x14:formula1>
          <xm:sqref>G13:G2000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C4E13-EB56-49F8-A2DC-4E67ACB20D92}">
  <sheetPr codeName="Hoja37">
    <tabColor rgb="FF548235"/>
    <pageSetUpPr fitToPage="1"/>
  </sheetPr>
  <dimension ref="A1:P2000"/>
  <sheetViews>
    <sheetView showGridLines="0" workbookViewId="0">
      <pane ySplit="12" topLeftCell="A13" activePane="bottomLeft" state="frozen"/>
      <selection pane="bottomLeft" activeCell="B12" sqref="B12:I42"/>
    </sheetView>
  </sheetViews>
  <sheetFormatPr baseColWidth="10" defaultRowHeight="15"/>
  <cols>
    <col min="1" max="1" width="2.85546875" customWidth="1"/>
    <col min="2" max="2" width="8.5703125" customWidth="1"/>
    <col min="3" max="4" width="15.28515625" customWidth="1"/>
    <col min="5" max="5" width="21" customWidth="1"/>
    <col min="6" max="6" width="57.140625" customWidth="1"/>
    <col min="7" max="7" width="26.7109375" customWidth="1"/>
    <col min="8" max="8" width="19" customWidth="1"/>
    <col min="9" max="9" width="57.140625" customWidth="1"/>
  </cols>
  <sheetData>
    <row r="1" spans="1:16" ht="22.5" customHeight="1">
      <c r="A1" s="1033"/>
      <c r="B1" s="1219" t="s">
        <v>9991</v>
      </c>
      <c r="C1" s="1220"/>
      <c r="D1" s="1220"/>
      <c r="E1" s="1220"/>
      <c r="F1" s="1220"/>
      <c r="G1" s="1220"/>
      <c r="H1" s="1220"/>
      <c r="I1" s="1220"/>
      <c r="J1" s="1033"/>
      <c r="K1" s="1033"/>
      <c r="L1" s="1033"/>
      <c r="M1" s="1033"/>
      <c r="N1" s="1033"/>
      <c r="O1" s="1033"/>
      <c r="P1" s="1033"/>
    </row>
    <row r="2" spans="1:16">
      <c r="A2" s="1033"/>
      <c r="B2" s="1033"/>
      <c r="C2" s="1033"/>
      <c r="D2" s="1033"/>
      <c r="E2" s="1033"/>
      <c r="F2" s="1033"/>
      <c r="G2" s="1033"/>
      <c r="H2" s="1033"/>
      <c r="I2" s="1033"/>
      <c r="J2" s="1033"/>
      <c r="K2" s="1033"/>
      <c r="L2" s="1033"/>
      <c r="M2" s="1033"/>
      <c r="N2" s="1033"/>
      <c r="O2" s="1033"/>
      <c r="P2" s="1033"/>
    </row>
    <row r="3" spans="1:16">
      <c r="A3" s="1033"/>
      <c r="B3" s="1094"/>
      <c r="C3" s="1094"/>
      <c r="D3" s="1094"/>
      <c r="E3" s="1033"/>
      <c r="F3" s="1033"/>
      <c r="G3" s="1033"/>
      <c r="H3" s="1033"/>
      <c r="I3" s="1033"/>
      <c r="J3" s="1033"/>
      <c r="K3" s="1033"/>
      <c r="L3" s="1033"/>
      <c r="M3" s="1033"/>
      <c r="N3" s="1033"/>
      <c r="O3" s="1033"/>
      <c r="P3" s="1033"/>
    </row>
    <row r="4" spans="1:16" ht="15.75">
      <c r="A4" s="1033"/>
      <c r="B4" s="1047" t="s">
        <v>323</v>
      </c>
      <c r="C4" s="1325" t="str">
        <f>CFG_MES_TXT</f>
        <v>Setiembre 2026</v>
      </c>
      <c r="D4" s="1325"/>
      <c r="E4" s="1033"/>
      <c r="F4" s="1033"/>
      <c r="G4" s="1033"/>
      <c r="H4" s="1033"/>
      <c r="I4" s="1033"/>
      <c r="J4" s="1033"/>
      <c r="K4" s="1033"/>
      <c r="L4" s="1033"/>
      <c r="M4" s="1033"/>
      <c r="N4" s="1033"/>
      <c r="O4" s="1033"/>
      <c r="P4" s="1033"/>
    </row>
    <row r="5" spans="1:16">
      <c r="A5" s="1033"/>
      <c r="B5" s="1221" t="s">
        <v>9984</v>
      </c>
      <c r="C5" s="1326"/>
      <c r="D5" s="1326"/>
      <c r="E5" s="1326"/>
      <c r="F5" s="1033"/>
      <c r="G5" s="981" t="s">
        <v>9995</v>
      </c>
      <c r="H5" s="1033"/>
      <c r="I5" s="1033"/>
      <c r="J5" s="1033"/>
      <c r="K5" s="1033"/>
      <c r="L5" s="1033"/>
      <c r="M5" s="1033"/>
      <c r="N5" s="1033"/>
      <c r="O5" s="1033"/>
      <c r="P5" s="1033"/>
    </row>
    <row r="6" spans="1:16">
      <c r="A6" s="1033"/>
      <c r="B6" s="1321" t="s">
        <v>9992</v>
      </c>
      <c r="C6" s="1321"/>
      <c r="D6" s="1322">
        <f>COUNTIFS(tblBombas[Fecha],"&gt;="&amp;CFG_MES,tblBombas[Fecha],"&lt;="&amp;CFG_FIN_MES)</f>
        <v>0</v>
      </c>
      <c r="E6" s="1321"/>
      <c r="F6" s="1033"/>
      <c r="G6" s="1033"/>
      <c r="H6" s="1033"/>
      <c r="I6" s="1033"/>
      <c r="J6" s="1033"/>
      <c r="K6" s="1033"/>
      <c r="L6" s="1033"/>
      <c r="M6" s="1033"/>
      <c r="N6" s="1033"/>
      <c r="O6" s="1033"/>
      <c r="P6" s="1033"/>
    </row>
    <row r="7" spans="1:16">
      <c r="A7" s="1033"/>
      <c r="B7" s="1321" t="s">
        <v>9993</v>
      </c>
      <c r="C7" s="1321"/>
      <c r="D7" s="1322">
        <f>COUNTIFS(tblBombas[Fecha],"&gt;="&amp;CFG_MES,tblBombas[Fecha],"&lt;="&amp;CFG_FIN_MES,tblBombas[Tipo de mantenimiento],"Correctivo")</f>
        <v>0</v>
      </c>
      <c r="E7" s="1321"/>
      <c r="F7" s="1033"/>
      <c r="G7" s="1033"/>
      <c r="H7" s="1033"/>
      <c r="I7" s="1033"/>
      <c r="J7" s="1033"/>
      <c r="K7" s="1033"/>
      <c r="L7" s="1033"/>
      <c r="M7" s="1033"/>
      <c r="N7" s="1033"/>
      <c r="O7" s="1033"/>
      <c r="P7" s="1033"/>
    </row>
    <row r="8" spans="1:16">
      <c r="A8" s="1033"/>
      <c r="B8" s="1321" t="s">
        <v>9994</v>
      </c>
      <c r="C8" s="1321"/>
      <c r="D8" s="1322">
        <f>COUNTIFS(tblBombas[Fecha],"&gt;="&amp;CFG_MES,tblBombas[Fecha],"&lt;="&amp;CFG_FIN_MES,tblBombas[Tipo de mantenimiento],"Preventivo")</f>
        <v>0</v>
      </c>
      <c r="E8" s="1321"/>
      <c r="F8" s="1033"/>
      <c r="G8" s="1033"/>
      <c r="H8" s="1033"/>
      <c r="I8" s="1033"/>
      <c r="J8" s="1033"/>
      <c r="K8" s="1033"/>
      <c r="L8" s="1033"/>
      <c r="M8" s="1033"/>
      <c r="N8" s="1033"/>
      <c r="O8" s="1033"/>
      <c r="P8" s="1033"/>
    </row>
    <row r="9" spans="1:16">
      <c r="A9" s="1033"/>
      <c r="B9" s="1033"/>
      <c r="C9" s="1033"/>
      <c r="D9" s="1033"/>
      <c r="E9" s="1033"/>
      <c r="F9" s="1033"/>
      <c r="G9" s="1033"/>
      <c r="H9" s="1033"/>
      <c r="I9" s="1033"/>
      <c r="J9" s="1033"/>
      <c r="K9" s="1033"/>
      <c r="L9" s="1033"/>
      <c r="M9" s="1033"/>
      <c r="N9" s="1033"/>
      <c r="O9" s="1033"/>
      <c r="P9" s="1033"/>
    </row>
    <row r="10" spans="1:16">
      <c r="A10" s="1033"/>
      <c r="B10" s="1033"/>
      <c r="C10" s="1033"/>
      <c r="D10" s="1033"/>
      <c r="E10" s="1033"/>
      <c r="F10" s="1033"/>
      <c r="G10" s="1033"/>
      <c r="H10" s="1033"/>
      <c r="I10" s="1033"/>
      <c r="J10" s="1033"/>
      <c r="K10" s="1033"/>
      <c r="L10" s="1033"/>
      <c r="M10" s="1033"/>
      <c r="N10" s="1033"/>
      <c r="O10" s="1033"/>
      <c r="P10" s="1033"/>
    </row>
    <row r="11" spans="1:16">
      <c r="A11" s="1033"/>
      <c r="B11" s="1033"/>
      <c r="C11" s="1033"/>
      <c r="D11" s="1033"/>
      <c r="E11" s="1033"/>
      <c r="F11" s="1033"/>
      <c r="G11" s="1033"/>
      <c r="H11" s="1033"/>
      <c r="I11" s="1033"/>
      <c r="J11" s="1033"/>
      <c r="K11" s="1033"/>
      <c r="L11" s="1033"/>
      <c r="M11" s="1033"/>
      <c r="N11" s="1033"/>
      <c r="O11" s="1033"/>
      <c r="P11" s="1033"/>
    </row>
    <row r="12" spans="1:16" ht="32.1" customHeight="1">
      <c r="A12" s="1033"/>
      <c r="B12" s="1123" t="s">
        <v>9460</v>
      </c>
      <c r="C12" s="1108" t="s">
        <v>3</v>
      </c>
      <c r="D12" s="1108" t="s">
        <v>366</v>
      </c>
      <c r="E12" s="1108" t="s">
        <v>254</v>
      </c>
      <c r="F12" s="1108" t="s">
        <v>9996</v>
      </c>
      <c r="G12" s="1108" t="s">
        <v>9997</v>
      </c>
      <c r="H12" s="1108" t="s">
        <v>9998</v>
      </c>
      <c r="I12" s="1124" t="s">
        <v>2520</v>
      </c>
      <c r="J12" s="1033"/>
      <c r="K12" s="1033"/>
      <c r="L12" s="1033"/>
      <c r="M12" s="1033"/>
      <c r="N12" s="1033"/>
      <c r="O12" s="1033"/>
      <c r="P12" s="1033"/>
    </row>
    <row r="13" spans="1:16">
      <c r="A13" s="1033"/>
      <c r="B13" s="1146" t="str">
        <f>IF(tblBombas[[#This Row],[Fecha]]="","",ROW()-ROW(tblBombas[[#Headers],[Ítem]]))</f>
        <v/>
      </c>
      <c r="C13" s="1148"/>
      <c r="D13" s="1048"/>
      <c r="E13" s="1048"/>
      <c r="F13" s="1131"/>
      <c r="G13" s="1048"/>
      <c r="H13" s="1150"/>
      <c r="I13" s="1144"/>
      <c r="J13" s="1033"/>
      <c r="K13" s="1033"/>
      <c r="L13" s="1033"/>
      <c r="M13" s="1033"/>
      <c r="N13" s="1033"/>
      <c r="O13" s="1033"/>
      <c r="P13" s="1033"/>
    </row>
    <row r="14" spans="1:16">
      <c r="A14" s="1033"/>
      <c r="B14" s="1146" t="str">
        <f>IF(tblBombas[[#This Row],[Fecha]]="","",ROW()-ROW(tblBombas[[#Headers],[Ítem]]))</f>
        <v/>
      </c>
      <c r="C14" s="1148"/>
      <c r="D14" s="1048"/>
      <c r="E14" s="1048"/>
      <c r="F14" s="1131"/>
      <c r="G14" s="1048"/>
      <c r="H14" s="1150"/>
      <c r="I14" s="1144"/>
      <c r="J14" s="1033"/>
      <c r="K14" s="1033"/>
      <c r="L14" s="1033"/>
      <c r="M14" s="1033"/>
      <c r="N14" s="1033"/>
      <c r="O14" s="1033"/>
      <c r="P14" s="1033"/>
    </row>
    <row r="15" spans="1:16">
      <c r="A15" s="1033"/>
      <c r="B15" s="1146" t="str">
        <f>IF(tblBombas[[#This Row],[Fecha]]="","",ROW()-ROW(tblBombas[[#Headers],[Ítem]]))</f>
        <v/>
      </c>
      <c r="C15" s="1148"/>
      <c r="D15" s="1048"/>
      <c r="E15" s="1048"/>
      <c r="F15" s="1131"/>
      <c r="G15" s="1048"/>
      <c r="H15" s="1150"/>
      <c r="I15" s="1144"/>
      <c r="J15" s="1033"/>
      <c r="K15" s="1033"/>
      <c r="L15" s="1033"/>
      <c r="M15" s="1033"/>
      <c r="N15" s="1033"/>
      <c r="O15" s="1033"/>
      <c r="P15" s="1033"/>
    </row>
    <row r="16" spans="1:16">
      <c r="A16" s="1033"/>
      <c r="B16" s="1146" t="str">
        <f>IF(tblBombas[[#This Row],[Fecha]]="","",ROW()-ROW(tblBombas[[#Headers],[Ítem]]))</f>
        <v/>
      </c>
      <c r="C16" s="1148"/>
      <c r="D16" s="1048"/>
      <c r="E16" s="1048"/>
      <c r="F16" s="1131"/>
      <c r="G16" s="1048"/>
      <c r="H16" s="1150"/>
      <c r="I16" s="1144"/>
      <c r="J16" s="1033"/>
      <c r="K16" s="1033"/>
      <c r="L16" s="1033"/>
      <c r="M16" s="1033"/>
      <c r="N16" s="1033"/>
      <c r="O16" s="1033"/>
      <c r="P16" s="1033"/>
    </row>
    <row r="17" spans="1:16">
      <c r="A17" s="1033"/>
      <c r="B17" s="1146" t="str">
        <f>IF(tblBombas[[#This Row],[Fecha]]="","",ROW()-ROW(tblBombas[[#Headers],[Ítem]]))</f>
        <v/>
      </c>
      <c r="C17" s="1148"/>
      <c r="D17" s="1048"/>
      <c r="E17" s="1048"/>
      <c r="F17" s="1131"/>
      <c r="G17" s="1048"/>
      <c r="H17" s="1150"/>
      <c r="I17" s="1144"/>
      <c r="J17" s="1033"/>
      <c r="K17" s="1033"/>
      <c r="L17" s="1033"/>
      <c r="M17" s="1033"/>
      <c r="N17" s="1033"/>
      <c r="O17" s="1033"/>
      <c r="P17" s="1033"/>
    </row>
    <row r="18" spans="1:16">
      <c r="A18" s="1033"/>
      <c r="B18" s="1146" t="str">
        <f>IF(tblBombas[[#This Row],[Fecha]]="","",ROW()-ROW(tblBombas[[#Headers],[Ítem]]))</f>
        <v/>
      </c>
      <c r="C18" s="1148"/>
      <c r="D18" s="1048"/>
      <c r="E18" s="1048"/>
      <c r="F18" s="1131"/>
      <c r="G18" s="1048"/>
      <c r="H18" s="1150"/>
      <c r="I18" s="1144"/>
      <c r="J18" s="1033"/>
      <c r="K18" s="1033"/>
      <c r="L18" s="1033"/>
      <c r="M18" s="1033"/>
      <c r="N18" s="1033"/>
      <c r="O18" s="1033"/>
      <c r="P18" s="1033"/>
    </row>
    <row r="19" spans="1:16">
      <c r="A19" s="1033"/>
      <c r="B19" s="1146" t="str">
        <f>IF(tblBombas[[#This Row],[Fecha]]="","",ROW()-ROW(tblBombas[[#Headers],[Ítem]]))</f>
        <v/>
      </c>
      <c r="C19" s="1148"/>
      <c r="D19" s="1048"/>
      <c r="E19" s="1048"/>
      <c r="F19" s="1131"/>
      <c r="G19" s="1048"/>
      <c r="H19" s="1150"/>
      <c r="I19" s="1144"/>
      <c r="J19" s="1033"/>
      <c r="K19" s="1033"/>
      <c r="L19" s="1033"/>
      <c r="M19" s="1033"/>
      <c r="N19" s="1033"/>
      <c r="O19" s="1033"/>
      <c r="P19" s="1033"/>
    </row>
    <row r="20" spans="1:16">
      <c r="A20" s="1033"/>
      <c r="B20" s="1146" t="str">
        <f>IF(tblBombas[[#This Row],[Fecha]]="","",ROW()-ROW(tblBombas[[#Headers],[Ítem]]))</f>
        <v/>
      </c>
      <c r="C20" s="1148"/>
      <c r="D20" s="1048"/>
      <c r="E20" s="1048"/>
      <c r="F20" s="1131"/>
      <c r="G20" s="1048"/>
      <c r="H20" s="1150"/>
      <c r="I20" s="1144"/>
      <c r="J20" s="1033"/>
      <c r="K20" s="1033"/>
      <c r="L20" s="1033"/>
      <c r="M20" s="1033"/>
      <c r="N20" s="1033"/>
      <c r="O20" s="1033"/>
      <c r="P20" s="1033"/>
    </row>
    <row r="21" spans="1:16">
      <c r="A21" s="1033"/>
      <c r="B21" s="1146" t="str">
        <f>IF(tblBombas[[#This Row],[Fecha]]="","",ROW()-ROW(tblBombas[[#Headers],[Ítem]]))</f>
        <v/>
      </c>
      <c r="C21" s="1148"/>
      <c r="D21" s="1048"/>
      <c r="E21" s="1048"/>
      <c r="F21" s="1131"/>
      <c r="G21" s="1048"/>
      <c r="H21" s="1150"/>
      <c r="I21" s="1144"/>
      <c r="J21" s="1033"/>
      <c r="K21" s="1033"/>
      <c r="L21" s="1033"/>
      <c r="M21" s="1033"/>
      <c r="N21" s="1033"/>
      <c r="O21" s="1033"/>
      <c r="P21" s="1033"/>
    </row>
    <row r="22" spans="1:16">
      <c r="A22" s="1033"/>
      <c r="B22" s="1146" t="str">
        <f>IF(tblBombas[[#This Row],[Fecha]]="","",ROW()-ROW(tblBombas[[#Headers],[Ítem]]))</f>
        <v/>
      </c>
      <c r="C22" s="1148"/>
      <c r="D22" s="1048"/>
      <c r="E22" s="1048"/>
      <c r="F22" s="1131"/>
      <c r="G22" s="1048"/>
      <c r="H22" s="1150"/>
      <c r="I22" s="1144"/>
      <c r="J22" s="1033"/>
      <c r="K22" s="1033"/>
      <c r="L22" s="1033"/>
      <c r="M22" s="1033"/>
      <c r="N22" s="1033"/>
      <c r="O22" s="1033"/>
      <c r="P22" s="1033"/>
    </row>
    <row r="23" spans="1:16">
      <c r="A23" s="1033"/>
      <c r="B23" s="1146" t="str">
        <f>IF(tblBombas[[#This Row],[Fecha]]="","",ROW()-ROW(tblBombas[[#Headers],[Ítem]]))</f>
        <v/>
      </c>
      <c r="C23" s="1148"/>
      <c r="D23" s="1048"/>
      <c r="E23" s="1048"/>
      <c r="F23" s="1131"/>
      <c r="G23" s="1048"/>
      <c r="H23" s="1150"/>
      <c r="I23" s="1144"/>
      <c r="J23" s="1033"/>
      <c r="K23" s="1033"/>
      <c r="L23" s="1033"/>
      <c r="M23" s="1033"/>
      <c r="N23" s="1033"/>
      <c r="O23" s="1033"/>
      <c r="P23" s="1033"/>
    </row>
    <row r="24" spans="1:16">
      <c r="A24" s="1033"/>
      <c r="B24" s="1146" t="str">
        <f>IF(tblBombas[[#This Row],[Fecha]]="","",ROW()-ROW(tblBombas[[#Headers],[Ítem]]))</f>
        <v/>
      </c>
      <c r="C24" s="1148"/>
      <c r="D24" s="1048"/>
      <c r="E24" s="1048"/>
      <c r="F24" s="1131"/>
      <c r="G24" s="1048"/>
      <c r="H24" s="1150"/>
      <c r="I24" s="1144"/>
      <c r="J24" s="1033"/>
      <c r="K24" s="1033"/>
      <c r="L24" s="1033"/>
      <c r="M24" s="1033"/>
      <c r="N24" s="1033"/>
      <c r="O24" s="1033"/>
      <c r="P24" s="1033"/>
    </row>
    <row r="25" spans="1:16">
      <c r="A25" s="1033"/>
      <c r="B25" s="1146" t="str">
        <f>IF(tblBombas[[#This Row],[Fecha]]="","",ROW()-ROW(tblBombas[[#Headers],[Ítem]]))</f>
        <v/>
      </c>
      <c r="C25" s="1148"/>
      <c r="D25" s="1048"/>
      <c r="E25" s="1048"/>
      <c r="F25" s="1131"/>
      <c r="G25" s="1048"/>
      <c r="H25" s="1150"/>
      <c r="I25" s="1144"/>
      <c r="J25" s="1033"/>
      <c r="K25" s="1033"/>
      <c r="L25" s="1033"/>
      <c r="M25" s="1033"/>
      <c r="N25" s="1033"/>
      <c r="O25" s="1033"/>
      <c r="P25" s="1033"/>
    </row>
    <row r="26" spans="1:16">
      <c r="A26" s="1033"/>
      <c r="B26" s="1146" t="str">
        <f>IF(tblBombas[[#This Row],[Fecha]]="","",ROW()-ROW(tblBombas[[#Headers],[Ítem]]))</f>
        <v/>
      </c>
      <c r="C26" s="1148"/>
      <c r="D26" s="1048"/>
      <c r="E26" s="1048"/>
      <c r="F26" s="1131"/>
      <c r="G26" s="1048"/>
      <c r="H26" s="1150"/>
      <c r="I26" s="1144"/>
      <c r="J26" s="1033"/>
      <c r="K26" s="1033"/>
      <c r="L26" s="1033"/>
      <c r="M26" s="1033"/>
      <c r="N26" s="1033"/>
      <c r="O26" s="1033"/>
      <c r="P26" s="1033"/>
    </row>
    <row r="27" spans="1:16">
      <c r="A27" s="1033"/>
      <c r="B27" s="1146" t="str">
        <f>IF(tblBombas[[#This Row],[Fecha]]="","",ROW()-ROW(tblBombas[[#Headers],[Ítem]]))</f>
        <v/>
      </c>
      <c r="C27" s="1148"/>
      <c r="D27" s="1048"/>
      <c r="E27" s="1048"/>
      <c r="F27" s="1131"/>
      <c r="G27" s="1048"/>
      <c r="H27" s="1150"/>
      <c r="I27" s="1144"/>
      <c r="J27" s="1033"/>
      <c r="K27" s="1033"/>
      <c r="L27" s="1033"/>
      <c r="M27" s="1033"/>
      <c r="N27" s="1033"/>
      <c r="O27" s="1033"/>
      <c r="P27" s="1033"/>
    </row>
    <row r="28" spans="1:16">
      <c r="A28" s="1033"/>
      <c r="B28" s="1146" t="str">
        <f>IF(tblBombas[[#This Row],[Fecha]]="","",ROW()-ROW(tblBombas[[#Headers],[Ítem]]))</f>
        <v/>
      </c>
      <c r="C28" s="1148"/>
      <c r="D28" s="1048"/>
      <c r="E28" s="1048"/>
      <c r="F28" s="1131"/>
      <c r="G28" s="1048"/>
      <c r="H28" s="1150"/>
      <c r="I28" s="1144"/>
      <c r="J28" s="1033"/>
      <c r="K28" s="1033"/>
      <c r="L28" s="1033"/>
      <c r="M28" s="1033"/>
      <c r="N28" s="1033"/>
      <c r="O28" s="1033"/>
      <c r="P28" s="1033"/>
    </row>
    <row r="29" spans="1:16">
      <c r="A29" s="1033"/>
      <c r="B29" s="1146" t="str">
        <f>IF(tblBombas[[#This Row],[Fecha]]="","",ROW()-ROW(tblBombas[[#Headers],[Ítem]]))</f>
        <v/>
      </c>
      <c r="C29" s="1148"/>
      <c r="D29" s="1048"/>
      <c r="E29" s="1048"/>
      <c r="F29" s="1131"/>
      <c r="G29" s="1048"/>
      <c r="H29" s="1150"/>
      <c r="I29" s="1144"/>
      <c r="J29" s="1033"/>
      <c r="K29" s="1033"/>
      <c r="L29" s="1033"/>
      <c r="M29" s="1033"/>
      <c r="N29" s="1033"/>
      <c r="O29" s="1033"/>
      <c r="P29" s="1033"/>
    </row>
    <row r="30" spans="1:16">
      <c r="A30" s="1033"/>
      <c r="B30" s="1146" t="str">
        <f>IF(tblBombas[[#This Row],[Fecha]]="","",ROW()-ROW(tblBombas[[#Headers],[Ítem]]))</f>
        <v/>
      </c>
      <c r="C30" s="1148"/>
      <c r="D30" s="1048"/>
      <c r="E30" s="1048"/>
      <c r="F30" s="1131"/>
      <c r="G30" s="1048"/>
      <c r="H30" s="1150"/>
      <c r="I30" s="1144"/>
      <c r="J30" s="1033"/>
      <c r="K30" s="1033"/>
      <c r="L30" s="1033"/>
      <c r="M30" s="1033"/>
      <c r="N30" s="1033"/>
      <c r="O30" s="1033"/>
      <c r="P30" s="1033"/>
    </row>
    <row r="31" spans="1:16">
      <c r="A31" s="1033"/>
      <c r="B31" s="1146" t="str">
        <f>IF(tblBombas[[#This Row],[Fecha]]="","",ROW()-ROW(tblBombas[[#Headers],[Ítem]]))</f>
        <v/>
      </c>
      <c r="C31" s="1148"/>
      <c r="D31" s="1048"/>
      <c r="E31" s="1048"/>
      <c r="F31" s="1131"/>
      <c r="G31" s="1048"/>
      <c r="H31" s="1150"/>
      <c r="I31" s="1144"/>
      <c r="J31" s="1033"/>
      <c r="K31" s="1033"/>
      <c r="L31" s="1033"/>
      <c r="M31" s="1033"/>
      <c r="N31" s="1033"/>
      <c r="O31" s="1033"/>
      <c r="P31" s="1033"/>
    </row>
    <row r="32" spans="1:16">
      <c r="A32" s="1033"/>
      <c r="B32" s="1146" t="str">
        <f>IF(tblBombas[[#This Row],[Fecha]]="","",ROW()-ROW(tblBombas[[#Headers],[Ítem]]))</f>
        <v/>
      </c>
      <c r="C32" s="1148"/>
      <c r="D32" s="1048"/>
      <c r="E32" s="1048"/>
      <c r="F32" s="1131"/>
      <c r="G32" s="1048"/>
      <c r="H32" s="1150"/>
      <c r="I32" s="1144"/>
      <c r="J32" s="1033"/>
      <c r="K32" s="1033"/>
      <c r="L32" s="1033"/>
      <c r="M32" s="1033"/>
      <c r="N32" s="1033"/>
      <c r="O32" s="1033"/>
      <c r="P32" s="1033"/>
    </row>
    <row r="33" spans="1:16">
      <c r="A33" s="1033"/>
      <c r="B33" s="1146" t="str">
        <f>IF(tblBombas[[#This Row],[Fecha]]="","",ROW()-ROW(tblBombas[[#Headers],[Ítem]]))</f>
        <v/>
      </c>
      <c r="C33" s="1148"/>
      <c r="D33" s="1048"/>
      <c r="E33" s="1048"/>
      <c r="F33" s="1131"/>
      <c r="G33" s="1048"/>
      <c r="H33" s="1150"/>
      <c r="I33" s="1144"/>
      <c r="J33" s="1033"/>
      <c r="K33" s="1033"/>
      <c r="L33" s="1033"/>
      <c r="M33" s="1033"/>
      <c r="N33" s="1033"/>
      <c r="O33" s="1033"/>
      <c r="P33" s="1033"/>
    </row>
    <row r="34" spans="1:16">
      <c r="A34" s="1033"/>
      <c r="B34" s="1146" t="str">
        <f>IF(tblBombas[[#This Row],[Fecha]]="","",ROW()-ROW(tblBombas[[#Headers],[Ítem]]))</f>
        <v/>
      </c>
      <c r="C34" s="1148"/>
      <c r="D34" s="1048"/>
      <c r="E34" s="1048"/>
      <c r="F34" s="1131"/>
      <c r="G34" s="1048"/>
      <c r="H34" s="1150"/>
      <c r="I34" s="1144"/>
      <c r="J34" s="1033"/>
      <c r="K34" s="1033"/>
      <c r="L34" s="1033"/>
      <c r="M34" s="1033"/>
      <c r="N34" s="1033"/>
      <c r="O34" s="1033"/>
      <c r="P34" s="1033"/>
    </row>
    <row r="35" spans="1:16">
      <c r="A35" s="1033"/>
      <c r="B35" s="1146" t="str">
        <f>IF(tblBombas[[#This Row],[Fecha]]="","",ROW()-ROW(tblBombas[[#Headers],[Ítem]]))</f>
        <v/>
      </c>
      <c r="C35" s="1148"/>
      <c r="D35" s="1048"/>
      <c r="E35" s="1048"/>
      <c r="F35" s="1131"/>
      <c r="G35" s="1048"/>
      <c r="H35" s="1150"/>
      <c r="I35" s="1144"/>
      <c r="J35" s="1033"/>
      <c r="K35" s="1033"/>
      <c r="L35" s="1033"/>
      <c r="M35" s="1033"/>
      <c r="N35" s="1033"/>
      <c r="O35" s="1033"/>
      <c r="P35" s="1033"/>
    </row>
    <row r="36" spans="1:16">
      <c r="A36" s="1033"/>
      <c r="B36" s="1146" t="str">
        <f>IF(tblBombas[[#This Row],[Fecha]]="","",ROW()-ROW(tblBombas[[#Headers],[Ítem]]))</f>
        <v/>
      </c>
      <c r="C36" s="1148"/>
      <c r="D36" s="1048"/>
      <c r="E36" s="1048"/>
      <c r="F36" s="1131"/>
      <c r="G36" s="1048"/>
      <c r="H36" s="1150"/>
      <c r="I36" s="1144"/>
      <c r="J36" s="1033"/>
      <c r="K36" s="1033"/>
      <c r="L36" s="1033"/>
      <c r="M36" s="1033"/>
      <c r="N36" s="1033"/>
      <c r="O36" s="1033"/>
      <c r="P36" s="1033"/>
    </row>
    <row r="37" spans="1:16">
      <c r="A37" s="1033"/>
      <c r="B37" s="1146" t="str">
        <f>IF(tblBombas[[#This Row],[Fecha]]="","",ROW()-ROW(tblBombas[[#Headers],[Ítem]]))</f>
        <v/>
      </c>
      <c r="C37" s="1148"/>
      <c r="D37" s="1048"/>
      <c r="E37" s="1048"/>
      <c r="F37" s="1131"/>
      <c r="G37" s="1048"/>
      <c r="H37" s="1150"/>
      <c r="I37" s="1144"/>
      <c r="J37" s="1033"/>
      <c r="K37" s="1033"/>
      <c r="L37" s="1033"/>
      <c r="M37" s="1033"/>
      <c r="N37" s="1033"/>
      <c r="O37" s="1033"/>
      <c r="P37" s="1033"/>
    </row>
    <row r="38" spans="1:16">
      <c r="A38" s="1033"/>
      <c r="B38" s="1146" t="str">
        <f>IF(tblBombas[[#This Row],[Fecha]]="","",ROW()-ROW(tblBombas[[#Headers],[Ítem]]))</f>
        <v/>
      </c>
      <c r="C38" s="1148"/>
      <c r="D38" s="1048"/>
      <c r="E38" s="1048"/>
      <c r="F38" s="1131"/>
      <c r="G38" s="1048"/>
      <c r="H38" s="1150"/>
      <c r="I38" s="1144"/>
      <c r="J38" s="1033"/>
      <c r="K38" s="1033"/>
      <c r="L38" s="1033"/>
      <c r="M38" s="1033"/>
      <c r="N38" s="1033"/>
      <c r="O38" s="1033"/>
      <c r="P38" s="1033"/>
    </row>
    <row r="39" spans="1:16">
      <c r="A39" s="1033"/>
      <c r="B39" s="1146" t="str">
        <f>IF(tblBombas[[#This Row],[Fecha]]="","",ROW()-ROW(tblBombas[[#Headers],[Ítem]]))</f>
        <v/>
      </c>
      <c r="C39" s="1148"/>
      <c r="D39" s="1048"/>
      <c r="E39" s="1048"/>
      <c r="F39" s="1131"/>
      <c r="G39" s="1048"/>
      <c r="H39" s="1150"/>
      <c r="I39" s="1144"/>
      <c r="J39" s="1033"/>
      <c r="K39" s="1033"/>
      <c r="L39" s="1033"/>
      <c r="M39" s="1033"/>
      <c r="N39" s="1033"/>
      <c r="O39" s="1033"/>
      <c r="P39" s="1033"/>
    </row>
    <row r="40" spans="1:16">
      <c r="A40" s="1033"/>
      <c r="B40" s="1146" t="str">
        <f>IF(tblBombas[[#This Row],[Fecha]]="","",ROW()-ROW(tblBombas[[#Headers],[Ítem]]))</f>
        <v/>
      </c>
      <c r="C40" s="1148"/>
      <c r="D40" s="1048"/>
      <c r="E40" s="1048"/>
      <c r="F40" s="1131"/>
      <c r="G40" s="1048"/>
      <c r="H40" s="1150"/>
      <c r="I40" s="1144"/>
      <c r="J40" s="1033"/>
      <c r="K40" s="1033"/>
      <c r="L40" s="1033"/>
      <c r="M40" s="1033"/>
      <c r="N40" s="1033"/>
      <c r="O40" s="1033"/>
      <c r="P40" s="1033"/>
    </row>
    <row r="41" spans="1:16">
      <c r="A41" s="1033"/>
      <c r="B41" s="1146" t="str">
        <f>IF(tblBombas[[#This Row],[Fecha]]="","",ROW()-ROW(tblBombas[[#Headers],[Ítem]]))</f>
        <v/>
      </c>
      <c r="C41" s="1148"/>
      <c r="D41" s="1048"/>
      <c r="E41" s="1048"/>
      <c r="F41" s="1131"/>
      <c r="G41" s="1048"/>
      <c r="H41" s="1150"/>
      <c r="I41" s="1144"/>
      <c r="J41" s="1033"/>
      <c r="K41" s="1033"/>
      <c r="L41" s="1033"/>
      <c r="M41" s="1033"/>
      <c r="N41" s="1033"/>
      <c r="O41" s="1033"/>
      <c r="P41" s="1033"/>
    </row>
    <row r="42" spans="1:16">
      <c r="A42" s="1033"/>
      <c r="B42" s="1147" t="str">
        <f>IF(tblBombas[[#This Row],[Fecha]]="","",ROW()-ROW(tblBombas[[#Headers],[Ítem]]))</f>
        <v/>
      </c>
      <c r="C42" s="1149"/>
      <c r="D42" s="1130"/>
      <c r="E42" s="1130"/>
      <c r="F42" s="1132"/>
      <c r="G42" s="1130"/>
      <c r="H42" s="1151"/>
      <c r="I42" s="1145"/>
      <c r="J42" s="1033"/>
      <c r="K42" s="1033"/>
      <c r="L42" s="1033"/>
      <c r="M42" s="1033"/>
      <c r="N42" s="1033"/>
      <c r="O42" s="1033"/>
      <c r="P42" s="1033"/>
    </row>
    <row r="43" spans="1:16">
      <c r="A43" s="1033"/>
      <c r="B43" s="1102"/>
      <c r="C43" s="1128"/>
      <c r="D43" s="1101"/>
      <c r="E43" s="1101"/>
      <c r="F43" s="1133"/>
      <c r="G43" s="1101"/>
      <c r="H43" s="1152"/>
      <c r="I43" s="1133"/>
      <c r="J43" s="1033"/>
      <c r="K43" s="1033"/>
      <c r="L43" s="1033"/>
      <c r="M43" s="1033"/>
      <c r="N43" s="1033"/>
      <c r="O43" s="1033"/>
      <c r="P43" s="1033"/>
    </row>
    <row r="44" spans="1:16">
      <c r="A44" s="1033"/>
      <c r="B44" s="1102"/>
      <c r="C44" s="1128"/>
      <c r="D44" s="1101"/>
      <c r="E44" s="1101"/>
      <c r="F44" s="1133"/>
      <c r="G44" s="1101"/>
      <c r="H44" s="1152"/>
      <c r="I44" s="1133"/>
      <c r="J44" s="1033"/>
      <c r="K44" s="1033"/>
      <c r="L44" s="1033"/>
      <c r="M44" s="1033"/>
      <c r="N44" s="1033"/>
      <c r="O44" s="1033"/>
      <c r="P44" s="1033"/>
    </row>
    <row r="45" spans="1:16">
      <c r="A45" s="1033"/>
      <c r="B45" s="1102"/>
      <c r="C45" s="1128"/>
      <c r="D45" s="1101"/>
      <c r="E45" s="1101"/>
      <c r="F45" s="1133"/>
      <c r="G45" s="1101"/>
      <c r="H45" s="1152"/>
      <c r="I45" s="1133"/>
      <c r="J45" s="1033"/>
      <c r="K45" s="1033"/>
      <c r="L45" s="1033"/>
      <c r="M45" s="1033"/>
      <c r="N45" s="1033"/>
      <c r="O45" s="1033"/>
      <c r="P45" s="1033"/>
    </row>
    <row r="46" spans="1:16">
      <c r="A46" s="1033"/>
      <c r="B46" s="1102"/>
      <c r="C46" s="1128"/>
      <c r="D46" s="1101"/>
      <c r="E46" s="1101"/>
      <c r="F46" s="1133"/>
      <c r="G46" s="1101"/>
      <c r="H46" s="1152"/>
      <c r="I46" s="1133"/>
      <c r="J46" s="1033"/>
      <c r="K46" s="1033"/>
      <c r="L46" s="1033"/>
      <c r="M46" s="1033"/>
      <c r="N46" s="1033"/>
      <c r="O46" s="1033"/>
      <c r="P46" s="1033"/>
    </row>
    <row r="47" spans="1:16">
      <c r="A47" s="1033"/>
      <c r="B47" s="1102"/>
      <c r="C47" s="1128"/>
      <c r="D47" s="1101"/>
      <c r="E47" s="1101"/>
      <c r="F47" s="1133"/>
      <c r="G47" s="1101"/>
      <c r="H47" s="1152"/>
      <c r="I47" s="1133"/>
      <c r="J47" s="1033"/>
      <c r="K47" s="1033"/>
      <c r="L47" s="1033"/>
      <c r="M47" s="1033"/>
      <c r="N47" s="1033"/>
      <c r="O47" s="1033"/>
      <c r="P47" s="1033"/>
    </row>
    <row r="48" spans="1:16">
      <c r="A48" s="1033"/>
      <c r="B48" s="1102"/>
      <c r="C48" s="1128"/>
      <c r="D48" s="1101"/>
      <c r="E48" s="1101"/>
      <c r="F48" s="1133"/>
      <c r="G48" s="1101"/>
      <c r="H48" s="1152"/>
      <c r="I48" s="1133"/>
      <c r="J48" s="1033"/>
      <c r="K48" s="1033"/>
      <c r="L48" s="1033"/>
      <c r="M48" s="1033"/>
      <c r="N48" s="1033"/>
      <c r="O48" s="1033"/>
      <c r="P48" s="1033"/>
    </row>
    <row r="49" spans="1:16">
      <c r="A49" s="1033"/>
      <c r="B49" s="1102"/>
      <c r="C49" s="1128"/>
      <c r="D49" s="1101"/>
      <c r="E49" s="1101"/>
      <c r="F49" s="1133"/>
      <c r="G49" s="1101"/>
      <c r="H49" s="1152"/>
      <c r="I49" s="1133"/>
      <c r="J49" s="1033"/>
      <c r="K49" s="1033"/>
      <c r="L49" s="1033"/>
      <c r="M49" s="1033"/>
      <c r="N49" s="1033"/>
      <c r="O49" s="1033"/>
      <c r="P49" s="1033"/>
    </row>
    <row r="50" spans="1:16">
      <c r="A50" s="1033"/>
      <c r="B50" s="1102"/>
      <c r="C50" s="1128"/>
      <c r="D50" s="1101"/>
      <c r="E50" s="1101"/>
      <c r="F50" s="1133"/>
      <c r="G50" s="1101"/>
      <c r="H50" s="1152"/>
      <c r="I50" s="1133"/>
      <c r="J50" s="1033"/>
      <c r="K50" s="1033"/>
      <c r="L50" s="1033"/>
      <c r="M50" s="1033"/>
      <c r="N50" s="1033"/>
      <c r="O50" s="1033"/>
      <c r="P50" s="1033"/>
    </row>
    <row r="51" spans="1:16">
      <c r="A51" s="1033"/>
      <c r="B51" s="1102"/>
      <c r="C51" s="1128"/>
      <c r="D51" s="1101"/>
      <c r="E51" s="1101"/>
      <c r="F51" s="1133"/>
      <c r="G51" s="1101"/>
      <c r="H51" s="1152"/>
      <c r="I51" s="1133"/>
      <c r="J51" s="1033"/>
      <c r="K51" s="1033"/>
      <c r="L51" s="1033"/>
      <c r="M51" s="1033"/>
      <c r="N51" s="1033"/>
      <c r="O51" s="1033"/>
      <c r="P51" s="1033"/>
    </row>
    <row r="52" spans="1:16">
      <c r="A52" s="1033"/>
      <c r="B52" s="1102"/>
      <c r="C52" s="1128"/>
      <c r="D52" s="1101"/>
      <c r="E52" s="1101"/>
      <c r="F52" s="1133"/>
      <c r="G52" s="1101"/>
      <c r="H52" s="1152"/>
      <c r="I52" s="1133"/>
      <c r="J52" s="1033"/>
      <c r="K52" s="1033"/>
      <c r="L52" s="1033"/>
      <c r="M52" s="1033"/>
      <c r="N52" s="1033"/>
      <c r="O52" s="1033"/>
      <c r="P52" s="1033"/>
    </row>
    <row r="53" spans="1:16">
      <c r="A53" s="1033"/>
      <c r="B53" s="1102"/>
      <c r="C53" s="1128"/>
      <c r="D53" s="1101"/>
      <c r="E53" s="1101"/>
      <c r="F53" s="1133"/>
      <c r="G53" s="1101"/>
      <c r="H53" s="1152"/>
      <c r="I53" s="1133"/>
      <c r="J53" s="1033"/>
      <c r="K53" s="1033"/>
      <c r="L53" s="1033"/>
      <c r="M53" s="1033"/>
      <c r="N53" s="1033"/>
      <c r="O53" s="1033"/>
      <c r="P53" s="1033"/>
    </row>
    <row r="54" spans="1:16">
      <c r="A54" s="1033"/>
      <c r="B54" s="1102"/>
      <c r="C54" s="1128"/>
      <c r="D54" s="1101"/>
      <c r="E54" s="1101"/>
      <c r="F54" s="1133"/>
      <c r="G54" s="1101"/>
      <c r="H54" s="1152"/>
      <c r="I54" s="1133"/>
      <c r="J54" s="1033"/>
      <c r="K54" s="1033"/>
      <c r="L54" s="1033"/>
      <c r="M54" s="1033"/>
      <c r="N54" s="1033"/>
      <c r="O54" s="1033"/>
      <c r="P54" s="1033"/>
    </row>
    <row r="55" spans="1:16">
      <c r="A55" s="1033"/>
      <c r="B55" s="1102"/>
      <c r="C55" s="1128"/>
      <c r="D55" s="1101"/>
      <c r="E55" s="1101"/>
      <c r="F55" s="1133"/>
      <c r="G55" s="1101"/>
      <c r="H55" s="1152"/>
      <c r="I55" s="1133"/>
      <c r="J55" s="1033"/>
      <c r="K55" s="1033"/>
      <c r="L55" s="1033"/>
      <c r="M55" s="1033"/>
      <c r="N55" s="1033"/>
      <c r="O55" s="1033"/>
      <c r="P55" s="1033"/>
    </row>
    <row r="56" spans="1:16">
      <c r="A56" s="1033"/>
      <c r="B56" s="1102"/>
      <c r="C56" s="1128"/>
      <c r="D56" s="1101"/>
      <c r="E56" s="1101"/>
      <c r="F56" s="1133"/>
      <c r="G56" s="1101"/>
      <c r="H56" s="1152"/>
      <c r="I56" s="1133"/>
      <c r="J56" s="1033"/>
      <c r="K56" s="1033"/>
      <c r="L56" s="1033"/>
      <c r="M56" s="1033"/>
      <c r="N56" s="1033"/>
      <c r="O56" s="1033"/>
      <c r="P56" s="1033"/>
    </row>
    <row r="57" spans="1:16">
      <c r="A57" s="1033"/>
      <c r="B57" s="1102"/>
      <c r="C57" s="1128"/>
      <c r="D57" s="1101"/>
      <c r="E57" s="1101"/>
      <c r="F57" s="1133"/>
      <c r="G57" s="1101"/>
      <c r="H57" s="1152"/>
      <c r="I57" s="1133"/>
      <c r="J57" s="1033"/>
      <c r="K57" s="1033"/>
      <c r="L57" s="1033"/>
      <c r="M57" s="1033"/>
      <c r="N57" s="1033"/>
      <c r="O57" s="1033"/>
      <c r="P57" s="1033"/>
    </row>
    <row r="58" spans="1:16">
      <c r="A58" s="1033"/>
      <c r="B58" s="1102"/>
      <c r="C58" s="1128"/>
      <c r="D58" s="1101"/>
      <c r="E58" s="1101"/>
      <c r="F58" s="1133"/>
      <c r="G58" s="1101"/>
      <c r="H58" s="1152"/>
      <c r="I58" s="1133"/>
      <c r="J58" s="1033"/>
      <c r="K58" s="1033"/>
      <c r="L58" s="1033"/>
      <c r="M58" s="1033"/>
      <c r="N58" s="1033"/>
      <c r="O58" s="1033"/>
      <c r="P58" s="1033"/>
    </row>
    <row r="59" spans="1:16">
      <c r="A59" s="1033"/>
      <c r="B59" s="1102"/>
      <c r="C59" s="1128"/>
      <c r="D59" s="1101"/>
      <c r="E59" s="1101"/>
      <c r="F59" s="1133"/>
      <c r="G59" s="1101"/>
      <c r="H59" s="1152"/>
      <c r="I59" s="1133"/>
      <c r="J59" s="1033"/>
      <c r="K59" s="1033"/>
      <c r="L59" s="1033"/>
      <c r="M59" s="1033"/>
      <c r="N59" s="1033"/>
      <c r="O59" s="1033"/>
      <c r="P59" s="1033"/>
    </row>
    <row r="60" spans="1:16">
      <c r="A60" s="1033"/>
      <c r="B60" s="1102"/>
      <c r="C60" s="1128"/>
      <c r="D60" s="1101"/>
      <c r="E60" s="1101"/>
      <c r="F60" s="1133"/>
      <c r="G60" s="1101"/>
      <c r="H60" s="1152"/>
      <c r="I60" s="1133"/>
      <c r="J60" s="1033"/>
      <c r="K60" s="1033"/>
      <c r="L60" s="1033"/>
      <c r="M60" s="1033"/>
      <c r="N60" s="1033"/>
      <c r="O60" s="1033"/>
      <c r="P60" s="1033"/>
    </row>
    <row r="61" spans="1:16">
      <c r="B61" s="1136"/>
      <c r="C61" s="1129"/>
      <c r="D61" s="1098"/>
      <c r="E61" s="1098"/>
      <c r="F61" s="1099"/>
      <c r="G61" s="1098"/>
      <c r="H61" s="1153"/>
      <c r="I61" s="1099"/>
    </row>
    <row r="62" spans="1:16">
      <c r="B62" s="1136"/>
      <c r="C62" s="1129"/>
      <c r="D62" s="1098"/>
      <c r="E62" s="1098"/>
      <c r="F62" s="1099"/>
      <c r="G62" s="1098"/>
      <c r="H62" s="1153"/>
      <c r="I62" s="1099"/>
    </row>
    <row r="63" spans="1:16">
      <c r="B63" s="1136"/>
      <c r="C63" s="1129"/>
      <c r="D63" s="1098"/>
      <c r="E63" s="1098"/>
      <c r="F63" s="1099"/>
      <c r="G63" s="1098"/>
      <c r="H63" s="1153"/>
      <c r="I63" s="1099"/>
    </row>
    <row r="64" spans="1:16">
      <c r="B64" s="1136"/>
      <c r="C64" s="1129"/>
      <c r="D64" s="1098"/>
      <c r="E64" s="1098"/>
      <c r="F64" s="1099"/>
      <c r="G64" s="1098"/>
      <c r="H64" s="1153"/>
      <c r="I64" s="1099"/>
    </row>
    <row r="65" spans="2:9">
      <c r="B65" s="1136"/>
      <c r="C65" s="1129"/>
      <c r="D65" s="1098"/>
      <c r="E65" s="1098"/>
      <c r="F65" s="1099"/>
      <c r="G65" s="1098"/>
      <c r="H65" s="1153"/>
      <c r="I65" s="1099"/>
    </row>
    <row r="66" spans="2:9">
      <c r="B66" s="1136"/>
      <c r="C66" s="1129"/>
      <c r="D66" s="1098"/>
      <c r="E66" s="1098"/>
      <c r="F66" s="1099"/>
      <c r="G66" s="1098"/>
      <c r="H66" s="1153"/>
      <c r="I66" s="1099"/>
    </row>
    <row r="67" spans="2:9">
      <c r="B67" s="1136"/>
      <c r="C67" s="1129"/>
      <c r="D67" s="1098"/>
      <c r="E67" s="1098"/>
      <c r="F67" s="1099"/>
      <c r="G67" s="1098"/>
      <c r="H67" s="1153"/>
      <c r="I67" s="1099"/>
    </row>
    <row r="68" spans="2:9">
      <c r="B68" s="1136"/>
      <c r="C68" s="1129"/>
      <c r="D68" s="1098"/>
      <c r="E68" s="1098"/>
      <c r="F68" s="1099"/>
      <c r="G68" s="1098"/>
      <c r="H68" s="1153"/>
      <c r="I68" s="1099"/>
    </row>
    <row r="69" spans="2:9">
      <c r="B69" s="1136"/>
      <c r="C69" s="1129"/>
      <c r="D69" s="1098"/>
      <c r="E69" s="1098"/>
      <c r="F69" s="1099"/>
      <c r="G69" s="1098"/>
      <c r="H69" s="1153"/>
      <c r="I69" s="1099"/>
    </row>
    <row r="70" spans="2:9">
      <c r="B70" s="1136"/>
      <c r="C70" s="1129"/>
      <c r="D70" s="1098"/>
      <c r="E70" s="1098"/>
      <c r="F70" s="1099"/>
      <c r="G70" s="1098"/>
      <c r="H70" s="1153"/>
      <c r="I70" s="1099"/>
    </row>
    <row r="71" spans="2:9">
      <c r="B71" s="1136"/>
      <c r="C71" s="1129"/>
      <c r="D71" s="1098"/>
      <c r="E71" s="1098"/>
      <c r="F71" s="1099"/>
      <c r="G71" s="1098"/>
      <c r="H71" s="1153"/>
      <c r="I71" s="1099"/>
    </row>
    <row r="72" spans="2:9">
      <c r="B72" s="1136"/>
      <c r="C72" s="1129"/>
      <c r="D72" s="1098"/>
      <c r="E72" s="1098"/>
      <c r="F72" s="1099"/>
      <c r="G72" s="1098"/>
      <c r="H72" s="1153"/>
      <c r="I72" s="1099"/>
    </row>
    <row r="73" spans="2:9">
      <c r="B73" s="1136"/>
      <c r="C73" s="1129"/>
      <c r="D73" s="1098"/>
      <c r="E73" s="1098"/>
      <c r="F73" s="1099"/>
      <c r="G73" s="1098"/>
      <c r="H73" s="1153"/>
      <c r="I73" s="1099"/>
    </row>
    <row r="74" spans="2:9">
      <c r="B74" s="1136"/>
      <c r="C74" s="1129"/>
      <c r="D74" s="1098"/>
      <c r="E74" s="1098"/>
      <c r="F74" s="1099"/>
      <c r="G74" s="1098"/>
      <c r="H74" s="1153"/>
      <c r="I74" s="1099"/>
    </row>
    <row r="75" spans="2:9">
      <c r="B75" s="1136"/>
      <c r="C75" s="1129"/>
      <c r="D75" s="1098"/>
      <c r="E75" s="1098"/>
      <c r="F75" s="1099"/>
      <c r="G75" s="1098"/>
      <c r="H75" s="1153"/>
      <c r="I75" s="1099"/>
    </row>
    <row r="76" spans="2:9">
      <c r="B76" s="1136"/>
      <c r="C76" s="1129"/>
      <c r="D76" s="1098"/>
      <c r="E76" s="1098"/>
      <c r="F76" s="1099"/>
      <c r="G76" s="1098"/>
      <c r="H76" s="1153"/>
      <c r="I76" s="1099"/>
    </row>
    <row r="77" spans="2:9">
      <c r="B77" s="1136"/>
      <c r="C77" s="1129"/>
      <c r="D77" s="1098"/>
      <c r="E77" s="1098"/>
      <c r="F77" s="1099"/>
      <c r="G77" s="1098"/>
      <c r="H77" s="1153"/>
      <c r="I77" s="1099"/>
    </row>
    <row r="78" spans="2:9">
      <c r="B78" s="1136"/>
      <c r="C78" s="1129"/>
      <c r="D78" s="1098"/>
      <c r="E78" s="1098"/>
      <c r="F78" s="1099"/>
      <c r="G78" s="1098"/>
      <c r="H78" s="1153"/>
      <c r="I78" s="1099"/>
    </row>
    <row r="79" spans="2:9">
      <c r="B79" s="1136"/>
      <c r="C79" s="1129"/>
      <c r="D79" s="1098"/>
      <c r="E79" s="1098"/>
      <c r="F79" s="1099"/>
      <c r="G79" s="1098"/>
      <c r="H79" s="1153"/>
      <c r="I79" s="1099"/>
    </row>
    <row r="80" spans="2:9">
      <c r="B80" s="1136"/>
      <c r="C80" s="1129"/>
      <c r="D80" s="1098"/>
      <c r="E80" s="1098"/>
      <c r="F80" s="1099"/>
      <c r="G80" s="1098"/>
      <c r="H80" s="1153"/>
      <c r="I80" s="1099"/>
    </row>
    <row r="81" spans="2:9">
      <c r="B81" s="1136"/>
      <c r="C81" s="1129"/>
      <c r="D81" s="1098"/>
      <c r="E81" s="1098"/>
      <c r="F81" s="1099"/>
      <c r="G81" s="1098"/>
      <c r="H81" s="1153"/>
      <c r="I81" s="1099"/>
    </row>
    <row r="82" spans="2:9">
      <c r="B82" s="1136"/>
      <c r="C82" s="1129"/>
      <c r="D82" s="1098"/>
      <c r="E82" s="1098"/>
      <c r="F82" s="1099"/>
      <c r="G82" s="1098"/>
      <c r="H82" s="1153"/>
      <c r="I82" s="1099"/>
    </row>
    <row r="83" spans="2:9">
      <c r="B83" s="1136"/>
      <c r="C83" s="1129"/>
      <c r="D83" s="1098"/>
      <c r="E83" s="1098"/>
      <c r="F83" s="1099"/>
      <c r="G83" s="1098"/>
      <c r="H83" s="1153"/>
      <c r="I83" s="1099"/>
    </row>
    <row r="84" spans="2:9">
      <c r="B84" s="1136"/>
      <c r="C84" s="1129"/>
      <c r="D84" s="1098"/>
      <c r="E84" s="1098"/>
      <c r="F84" s="1099"/>
      <c r="G84" s="1098"/>
      <c r="H84" s="1153"/>
      <c r="I84" s="1099"/>
    </row>
    <row r="85" spans="2:9">
      <c r="B85" s="1136"/>
      <c r="C85" s="1129"/>
      <c r="D85" s="1098"/>
      <c r="E85" s="1098"/>
      <c r="F85" s="1099"/>
      <c r="G85" s="1098"/>
      <c r="H85" s="1153"/>
      <c r="I85" s="1099"/>
    </row>
    <row r="86" spans="2:9">
      <c r="B86" s="1136"/>
      <c r="C86" s="1129"/>
      <c r="D86" s="1098"/>
      <c r="E86" s="1098"/>
      <c r="F86" s="1099"/>
      <c r="G86" s="1098"/>
      <c r="H86" s="1153"/>
      <c r="I86" s="1099"/>
    </row>
    <row r="87" spans="2:9">
      <c r="B87" s="1136"/>
      <c r="C87" s="1129"/>
      <c r="D87" s="1098"/>
      <c r="E87" s="1098"/>
      <c r="F87" s="1099"/>
      <c r="G87" s="1098"/>
      <c r="H87" s="1153"/>
      <c r="I87" s="1099"/>
    </row>
    <row r="88" spans="2:9">
      <c r="B88" s="1136"/>
      <c r="C88" s="1129"/>
      <c r="D88" s="1098"/>
      <c r="E88" s="1098"/>
      <c r="F88" s="1099"/>
      <c r="G88" s="1098"/>
      <c r="H88" s="1153"/>
      <c r="I88" s="1099"/>
    </row>
    <row r="89" spans="2:9">
      <c r="B89" s="1136"/>
      <c r="C89" s="1129"/>
      <c r="D89" s="1098"/>
      <c r="E89" s="1098"/>
      <c r="F89" s="1099"/>
      <c r="G89" s="1098"/>
      <c r="H89" s="1153"/>
      <c r="I89" s="1099"/>
    </row>
    <row r="90" spans="2:9">
      <c r="B90" s="1136"/>
      <c r="C90" s="1129"/>
      <c r="D90" s="1098"/>
      <c r="E90" s="1098"/>
      <c r="F90" s="1099"/>
      <c r="G90" s="1098"/>
      <c r="H90" s="1153"/>
      <c r="I90" s="1099"/>
    </row>
    <row r="91" spans="2:9">
      <c r="B91" s="1136"/>
      <c r="C91" s="1129"/>
      <c r="D91" s="1098"/>
      <c r="E91" s="1098"/>
      <c r="F91" s="1099"/>
      <c r="G91" s="1098"/>
      <c r="H91" s="1153"/>
      <c r="I91" s="1099"/>
    </row>
    <row r="92" spans="2:9">
      <c r="B92" s="1136"/>
      <c r="C92" s="1129"/>
      <c r="D92" s="1098"/>
      <c r="E92" s="1098"/>
      <c r="F92" s="1099"/>
      <c r="G92" s="1098"/>
      <c r="H92" s="1153"/>
      <c r="I92" s="1099"/>
    </row>
    <row r="93" spans="2:9">
      <c r="B93" s="1136"/>
      <c r="C93" s="1129"/>
      <c r="D93" s="1098"/>
      <c r="E93" s="1098"/>
      <c r="F93" s="1099"/>
      <c r="G93" s="1098"/>
      <c r="H93" s="1153"/>
      <c r="I93" s="1099"/>
    </row>
    <row r="94" spans="2:9">
      <c r="B94" s="1136"/>
      <c r="C94" s="1129"/>
      <c r="D94" s="1098"/>
      <c r="E94" s="1098"/>
      <c r="F94" s="1099"/>
      <c r="G94" s="1098"/>
      <c r="H94" s="1153"/>
      <c r="I94" s="1099"/>
    </row>
    <row r="95" spans="2:9">
      <c r="B95" s="1136"/>
      <c r="C95" s="1129"/>
      <c r="D95" s="1098"/>
      <c r="E95" s="1098"/>
      <c r="F95" s="1099"/>
      <c r="G95" s="1098"/>
      <c r="H95" s="1153"/>
      <c r="I95" s="1099"/>
    </row>
    <row r="96" spans="2:9">
      <c r="B96" s="1136"/>
      <c r="C96" s="1129"/>
      <c r="D96" s="1098"/>
      <c r="E96" s="1098"/>
      <c r="F96" s="1099"/>
      <c r="G96" s="1098"/>
      <c r="H96" s="1153"/>
      <c r="I96" s="1099"/>
    </row>
    <row r="97" spans="2:9">
      <c r="B97" s="1136"/>
      <c r="C97" s="1129"/>
      <c r="D97" s="1098"/>
      <c r="E97" s="1098"/>
      <c r="F97" s="1099"/>
      <c r="G97" s="1098"/>
      <c r="H97" s="1153"/>
      <c r="I97" s="1099"/>
    </row>
    <row r="98" spans="2:9">
      <c r="B98" s="1136"/>
      <c r="C98" s="1129"/>
      <c r="D98" s="1098"/>
      <c r="E98" s="1098"/>
      <c r="F98" s="1099"/>
      <c r="G98" s="1098"/>
      <c r="H98" s="1153"/>
      <c r="I98" s="1099"/>
    </row>
    <row r="99" spans="2:9">
      <c r="B99" s="1136"/>
      <c r="C99" s="1129"/>
      <c r="D99" s="1098"/>
      <c r="E99" s="1098"/>
      <c r="F99" s="1099"/>
      <c r="G99" s="1098"/>
      <c r="H99" s="1153"/>
      <c r="I99" s="1099"/>
    </row>
    <row r="100" spans="2:9">
      <c r="B100" s="1136"/>
      <c r="C100" s="1129"/>
      <c r="D100" s="1098"/>
      <c r="E100" s="1098"/>
      <c r="F100" s="1099"/>
      <c r="G100" s="1098"/>
      <c r="H100" s="1153"/>
      <c r="I100" s="1099"/>
    </row>
    <row r="101" spans="2:9">
      <c r="B101" s="1136"/>
      <c r="C101" s="1129"/>
      <c r="D101" s="1098"/>
      <c r="E101" s="1098"/>
      <c r="F101" s="1099"/>
      <c r="G101" s="1098"/>
      <c r="H101" s="1153"/>
      <c r="I101" s="1099"/>
    </row>
    <row r="102" spans="2:9">
      <c r="B102" s="1136"/>
      <c r="C102" s="1129"/>
      <c r="D102" s="1098"/>
      <c r="E102" s="1098"/>
      <c r="F102" s="1099"/>
      <c r="G102" s="1098"/>
      <c r="H102" s="1153"/>
      <c r="I102" s="1099"/>
    </row>
    <row r="103" spans="2:9">
      <c r="B103" s="1136"/>
      <c r="C103" s="1129"/>
      <c r="D103" s="1098"/>
      <c r="E103" s="1098"/>
      <c r="F103" s="1099"/>
      <c r="G103" s="1098"/>
      <c r="H103" s="1153"/>
      <c r="I103" s="1099"/>
    </row>
    <row r="104" spans="2:9">
      <c r="B104" s="1136"/>
      <c r="C104" s="1129"/>
      <c r="D104" s="1098"/>
      <c r="E104" s="1098"/>
      <c r="F104" s="1099"/>
      <c r="G104" s="1098"/>
      <c r="H104" s="1153"/>
      <c r="I104" s="1099"/>
    </row>
    <row r="105" spans="2:9">
      <c r="B105" s="1136"/>
      <c r="C105" s="1129"/>
      <c r="D105" s="1098"/>
      <c r="E105" s="1098"/>
      <c r="F105" s="1099"/>
      <c r="G105" s="1098"/>
      <c r="H105" s="1153"/>
      <c r="I105" s="1099"/>
    </row>
    <row r="106" spans="2:9">
      <c r="B106" s="1136"/>
      <c r="C106" s="1129"/>
      <c r="D106" s="1098"/>
      <c r="E106" s="1098"/>
      <c r="F106" s="1099"/>
      <c r="G106" s="1098"/>
      <c r="H106" s="1153"/>
      <c r="I106" s="1099"/>
    </row>
    <row r="107" spans="2:9">
      <c r="B107" s="1136"/>
      <c r="C107" s="1129"/>
      <c r="D107" s="1098"/>
      <c r="E107" s="1098"/>
      <c r="F107" s="1099"/>
      <c r="G107" s="1098"/>
      <c r="H107" s="1153"/>
      <c r="I107" s="1099"/>
    </row>
    <row r="108" spans="2:9">
      <c r="B108" s="1136"/>
      <c r="C108" s="1129"/>
      <c r="D108" s="1098"/>
      <c r="E108" s="1098"/>
      <c r="F108" s="1099"/>
      <c r="G108" s="1098"/>
      <c r="H108" s="1153"/>
      <c r="I108" s="1099"/>
    </row>
    <row r="109" spans="2:9">
      <c r="B109" s="1136"/>
      <c r="C109" s="1129"/>
      <c r="D109" s="1098"/>
      <c r="E109" s="1098"/>
      <c r="F109" s="1099"/>
      <c r="G109" s="1098"/>
      <c r="H109" s="1153"/>
      <c r="I109" s="1099"/>
    </row>
    <row r="110" spans="2:9">
      <c r="B110" s="1136"/>
      <c r="C110" s="1129"/>
      <c r="D110" s="1098"/>
      <c r="E110" s="1098"/>
      <c r="F110" s="1099"/>
      <c r="G110" s="1098"/>
      <c r="H110" s="1153"/>
      <c r="I110" s="1099"/>
    </row>
    <row r="111" spans="2:9">
      <c r="B111" s="1136"/>
      <c r="C111" s="1129"/>
      <c r="D111" s="1098"/>
      <c r="E111" s="1098"/>
      <c r="F111" s="1099"/>
      <c r="G111" s="1098"/>
      <c r="H111" s="1153"/>
      <c r="I111" s="1099"/>
    </row>
    <row r="112" spans="2:9">
      <c r="B112" s="1136"/>
      <c r="C112" s="1129"/>
      <c r="D112" s="1098"/>
      <c r="E112" s="1098"/>
      <c r="F112" s="1099"/>
      <c r="G112" s="1098"/>
      <c r="H112" s="1153"/>
      <c r="I112" s="1099"/>
    </row>
    <row r="113" spans="2:9">
      <c r="B113" s="1136"/>
      <c r="C113" s="1129"/>
      <c r="D113" s="1098"/>
      <c r="E113" s="1098"/>
      <c r="F113" s="1099"/>
      <c r="G113" s="1098"/>
      <c r="H113" s="1153"/>
      <c r="I113" s="1099"/>
    </row>
    <row r="114" spans="2:9">
      <c r="B114" s="1136"/>
      <c r="C114" s="1129"/>
      <c r="D114" s="1098"/>
      <c r="E114" s="1098"/>
      <c r="F114" s="1099"/>
      <c r="G114" s="1098"/>
      <c r="H114" s="1153"/>
      <c r="I114" s="1099"/>
    </row>
    <row r="115" spans="2:9">
      <c r="B115" s="1136"/>
      <c r="C115" s="1129"/>
      <c r="D115" s="1098"/>
      <c r="E115" s="1098"/>
      <c r="F115" s="1099"/>
      <c r="G115" s="1098"/>
      <c r="H115" s="1153"/>
      <c r="I115" s="1099"/>
    </row>
    <row r="116" spans="2:9">
      <c r="B116" s="1136"/>
      <c r="C116" s="1129"/>
      <c r="D116" s="1098"/>
      <c r="E116" s="1098"/>
      <c r="F116" s="1099"/>
      <c r="G116" s="1098"/>
      <c r="H116" s="1153"/>
      <c r="I116" s="1099"/>
    </row>
    <row r="117" spans="2:9">
      <c r="B117" s="1136"/>
      <c r="C117" s="1129"/>
      <c r="D117" s="1098"/>
      <c r="E117" s="1098"/>
      <c r="F117" s="1099"/>
      <c r="G117" s="1098"/>
      <c r="H117" s="1153"/>
      <c r="I117" s="1099"/>
    </row>
    <row r="118" spans="2:9">
      <c r="B118" s="1136"/>
      <c r="C118" s="1129"/>
      <c r="D118" s="1098"/>
      <c r="E118" s="1098"/>
      <c r="F118" s="1099"/>
      <c r="G118" s="1098"/>
      <c r="H118" s="1153"/>
      <c r="I118" s="1099"/>
    </row>
    <row r="119" spans="2:9">
      <c r="B119" s="1136"/>
      <c r="C119" s="1129"/>
      <c r="D119" s="1098"/>
      <c r="E119" s="1098"/>
      <c r="F119" s="1099"/>
      <c r="G119" s="1098"/>
      <c r="H119" s="1153"/>
      <c r="I119" s="1099"/>
    </row>
    <row r="120" spans="2:9">
      <c r="B120" s="1136"/>
      <c r="C120" s="1129"/>
      <c r="D120" s="1098"/>
      <c r="E120" s="1098"/>
      <c r="F120" s="1099"/>
      <c r="G120" s="1098"/>
      <c r="H120" s="1153"/>
      <c r="I120" s="1099"/>
    </row>
    <row r="121" spans="2:9">
      <c r="B121" s="1136"/>
      <c r="C121" s="1129"/>
      <c r="D121" s="1098"/>
      <c r="E121" s="1098"/>
      <c r="F121" s="1099"/>
      <c r="G121" s="1098"/>
      <c r="H121" s="1153"/>
      <c r="I121" s="1099"/>
    </row>
    <row r="122" spans="2:9">
      <c r="B122" s="1136"/>
      <c r="C122" s="1129"/>
      <c r="D122" s="1098"/>
      <c r="E122" s="1098"/>
      <c r="F122" s="1099"/>
      <c r="G122" s="1098"/>
      <c r="H122" s="1153"/>
      <c r="I122" s="1099"/>
    </row>
    <row r="123" spans="2:9">
      <c r="B123" s="1136"/>
      <c r="C123" s="1129"/>
      <c r="D123" s="1098"/>
      <c r="E123" s="1098"/>
      <c r="F123" s="1099"/>
      <c r="G123" s="1098"/>
      <c r="H123" s="1153"/>
      <c r="I123" s="1099"/>
    </row>
    <row r="124" spans="2:9">
      <c r="B124" s="1136"/>
      <c r="C124" s="1129"/>
      <c r="D124" s="1098"/>
      <c r="E124" s="1098"/>
      <c r="F124" s="1099"/>
      <c r="G124" s="1098"/>
      <c r="H124" s="1153"/>
      <c r="I124" s="1099"/>
    </row>
    <row r="125" spans="2:9">
      <c r="B125" s="1136"/>
      <c r="C125" s="1129"/>
      <c r="D125" s="1098"/>
      <c r="E125" s="1098"/>
      <c r="F125" s="1099"/>
      <c r="G125" s="1098"/>
      <c r="H125" s="1153"/>
      <c r="I125" s="1099"/>
    </row>
    <row r="126" spans="2:9">
      <c r="B126" s="1136"/>
      <c r="C126" s="1129"/>
      <c r="D126" s="1098"/>
      <c r="E126" s="1098"/>
      <c r="F126" s="1099"/>
      <c r="G126" s="1098"/>
      <c r="H126" s="1153"/>
      <c r="I126" s="1099"/>
    </row>
    <row r="127" spans="2:9">
      <c r="B127" s="1136"/>
      <c r="C127" s="1129"/>
      <c r="D127" s="1098"/>
      <c r="E127" s="1098"/>
      <c r="F127" s="1099"/>
      <c r="G127" s="1098"/>
      <c r="H127" s="1153"/>
      <c r="I127" s="1099"/>
    </row>
    <row r="128" spans="2:9">
      <c r="B128" s="1136"/>
      <c r="C128" s="1129"/>
      <c r="D128" s="1098"/>
      <c r="E128" s="1098"/>
      <c r="F128" s="1099"/>
      <c r="G128" s="1098"/>
      <c r="H128" s="1153"/>
      <c r="I128" s="1099"/>
    </row>
    <row r="129" spans="2:9">
      <c r="B129" s="1136"/>
      <c r="C129" s="1129"/>
      <c r="D129" s="1098"/>
      <c r="E129" s="1098"/>
      <c r="F129" s="1099"/>
      <c r="G129" s="1098"/>
      <c r="H129" s="1153"/>
      <c r="I129" s="1099"/>
    </row>
    <row r="130" spans="2:9">
      <c r="B130" s="1136"/>
      <c r="C130" s="1129"/>
      <c r="D130" s="1098"/>
      <c r="E130" s="1098"/>
      <c r="F130" s="1099"/>
      <c r="G130" s="1098"/>
      <c r="H130" s="1153"/>
      <c r="I130" s="1099"/>
    </row>
    <row r="131" spans="2:9">
      <c r="B131" s="1136"/>
      <c r="C131" s="1129"/>
      <c r="D131" s="1098"/>
      <c r="E131" s="1098"/>
      <c r="F131" s="1099"/>
      <c r="G131" s="1098"/>
      <c r="H131" s="1153"/>
      <c r="I131" s="1099"/>
    </row>
    <row r="132" spans="2:9">
      <c r="B132" s="1136"/>
      <c r="C132" s="1129"/>
      <c r="D132" s="1098"/>
      <c r="E132" s="1098"/>
      <c r="F132" s="1099"/>
      <c r="G132" s="1098"/>
      <c r="H132" s="1153"/>
      <c r="I132" s="1099"/>
    </row>
    <row r="133" spans="2:9">
      <c r="B133" s="1136"/>
      <c r="C133" s="1129"/>
      <c r="D133" s="1098"/>
      <c r="E133" s="1098"/>
      <c r="F133" s="1099"/>
      <c r="G133" s="1098"/>
      <c r="H133" s="1153"/>
      <c r="I133" s="1099"/>
    </row>
    <row r="134" spans="2:9">
      <c r="B134" s="1136"/>
      <c r="C134" s="1129"/>
      <c r="D134" s="1098"/>
      <c r="E134" s="1098"/>
      <c r="F134" s="1099"/>
      <c r="G134" s="1098"/>
      <c r="H134" s="1153"/>
      <c r="I134" s="1099"/>
    </row>
    <row r="135" spans="2:9">
      <c r="B135" s="1136"/>
      <c r="C135" s="1129"/>
      <c r="D135" s="1098"/>
      <c r="E135" s="1098"/>
      <c r="F135" s="1099"/>
      <c r="G135" s="1098"/>
      <c r="H135" s="1153"/>
      <c r="I135" s="1099"/>
    </row>
    <row r="136" spans="2:9">
      <c r="B136" s="1136"/>
      <c r="C136" s="1129"/>
      <c r="D136" s="1098"/>
      <c r="E136" s="1098"/>
      <c r="F136" s="1099"/>
      <c r="G136" s="1098"/>
      <c r="H136" s="1153"/>
      <c r="I136" s="1099"/>
    </row>
    <row r="137" spans="2:9">
      <c r="B137" s="1136"/>
      <c r="C137" s="1129"/>
      <c r="D137" s="1098"/>
      <c r="E137" s="1098"/>
      <c r="F137" s="1099"/>
      <c r="G137" s="1098"/>
      <c r="H137" s="1153"/>
      <c r="I137" s="1099"/>
    </row>
    <row r="138" spans="2:9">
      <c r="B138" s="1136"/>
      <c r="C138" s="1129"/>
      <c r="D138" s="1098"/>
      <c r="E138" s="1098"/>
      <c r="F138" s="1099"/>
      <c r="G138" s="1098"/>
      <c r="H138" s="1153"/>
      <c r="I138" s="1099"/>
    </row>
    <row r="139" spans="2:9">
      <c r="B139" s="1136"/>
      <c r="C139" s="1129"/>
      <c r="D139" s="1098"/>
      <c r="E139" s="1098"/>
      <c r="F139" s="1099"/>
      <c r="G139" s="1098"/>
      <c r="H139" s="1153"/>
      <c r="I139" s="1099"/>
    </row>
    <row r="140" spans="2:9">
      <c r="B140" s="1136"/>
      <c r="C140" s="1129"/>
      <c r="D140" s="1098"/>
      <c r="E140" s="1098"/>
      <c r="F140" s="1099"/>
      <c r="G140" s="1098"/>
      <c r="H140" s="1153"/>
      <c r="I140" s="1099"/>
    </row>
    <row r="141" spans="2:9">
      <c r="B141" s="1136"/>
      <c r="C141" s="1129"/>
      <c r="D141" s="1098"/>
      <c r="E141" s="1098"/>
      <c r="F141" s="1099"/>
      <c r="G141" s="1098"/>
      <c r="H141" s="1153"/>
      <c r="I141" s="1099"/>
    </row>
    <row r="142" spans="2:9">
      <c r="B142" s="1136"/>
      <c r="C142" s="1129"/>
      <c r="D142" s="1098"/>
      <c r="E142" s="1098"/>
      <c r="F142" s="1099"/>
      <c r="G142" s="1098"/>
      <c r="H142" s="1153"/>
      <c r="I142" s="1099"/>
    </row>
    <row r="143" spans="2:9">
      <c r="B143" s="1136"/>
      <c r="C143" s="1129"/>
      <c r="D143" s="1098"/>
      <c r="E143" s="1098"/>
      <c r="F143" s="1099"/>
      <c r="G143" s="1098"/>
      <c r="H143" s="1153"/>
      <c r="I143" s="1099"/>
    </row>
    <row r="144" spans="2:9">
      <c r="B144" s="1136"/>
      <c r="C144" s="1129"/>
      <c r="D144" s="1098"/>
      <c r="E144" s="1098"/>
      <c r="F144" s="1099"/>
      <c r="G144" s="1098"/>
      <c r="H144" s="1153"/>
      <c r="I144" s="1099"/>
    </row>
    <row r="145" spans="2:9">
      <c r="B145" s="1136"/>
      <c r="C145" s="1129"/>
      <c r="D145" s="1098"/>
      <c r="E145" s="1098"/>
      <c r="F145" s="1099"/>
      <c r="G145" s="1098"/>
      <c r="H145" s="1153"/>
      <c r="I145" s="1099"/>
    </row>
    <row r="146" spans="2:9">
      <c r="B146" s="1136"/>
      <c r="C146" s="1129"/>
      <c r="D146" s="1098"/>
      <c r="E146" s="1098"/>
      <c r="F146" s="1099"/>
      <c r="G146" s="1098"/>
      <c r="H146" s="1153"/>
      <c r="I146" s="1099"/>
    </row>
    <row r="147" spans="2:9">
      <c r="B147" s="1136"/>
      <c r="C147" s="1129"/>
      <c r="D147" s="1098"/>
      <c r="E147" s="1098"/>
      <c r="F147" s="1099"/>
      <c r="G147" s="1098"/>
      <c r="H147" s="1153"/>
      <c r="I147" s="1099"/>
    </row>
    <row r="148" spans="2:9">
      <c r="B148" s="1136"/>
      <c r="C148" s="1129"/>
      <c r="D148" s="1098"/>
      <c r="E148" s="1098"/>
      <c r="F148" s="1099"/>
      <c r="G148" s="1098"/>
      <c r="H148" s="1153"/>
      <c r="I148" s="1099"/>
    </row>
    <row r="149" spans="2:9">
      <c r="B149" s="1136"/>
      <c r="C149" s="1129"/>
      <c r="D149" s="1098"/>
      <c r="E149" s="1098"/>
      <c r="F149" s="1099"/>
      <c r="G149" s="1098"/>
      <c r="H149" s="1153"/>
      <c r="I149" s="1099"/>
    </row>
    <row r="150" spans="2:9">
      <c r="B150" s="1136"/>
      <c r="C150" s="1129"/>
      <c r="D150" s="1098"/>
      <c r="E150" s="1098"/>
      <c r="F150" s="1099"/>
      <c r="G150" s="1098"/>
      <c r="H150" s="1153"/>
      <c r="I150" s="1099"/>
    </row>
    <row r="151" spans="2:9">
      <c r="B151" s="1136"/>
      <c r="C151" s="1129"/>
      <c r="D151" s="1098"/>
      <c r="E151" s="1098"/>
      <c r="F151" s="1099"/>
      <c r="G151" s="1098"/>
      <c r="H151" s="1153"/>
      <c r="I151" s="1099"/>
    </row>
    <row r="152" spans="2:9">
      <c r="B152" s="1136"/>
      <c r="C152" s="1129"/>
      <c r="D152" s="1098"/>
      <c r="E152" s="1098"/>
      <c r="F152" s="1099"/>
      <c r="G152" s="1098"/>
      <c r="H152" s="1153"/>
      <c r="I152" s="1099"/>
    </row>
    <row r="153" spans="2:9">
      <c r="B153" s="1136"/>
      <c r="C153" s="1129"/>
      <c r="D153" s="1098"/>
      <c r="E153" s="1098"/>
      <c r="F153" s="1099"/>
      <c r="G153" s="1098"/>
      <c r="H153" s="1153"/>
      <c r="I153" s="1099"/>
    </row>
    <row r="154" spans="2:9">
      <c r="B154" s="1136"/>
      <c r="C154" s="1129"/>
      <c r="D154" s="1098"/>
      <c r="E154" s="1098"/>
      <c r="F154" s="1099"/>
      <c r="G154" s="1098"/>
      <c r="H154" s="1153"/>
      <c r="I154" s="1099"/>
    </row>
    <row r="155" spans="2:9">
      <c r="B155" s="1136"/>
      <c r="C155" s="1129"/>
      <c r="D155" s="1098"/>
      <c r="E155" s="1098"/>
      <c r="F155" s="1099"/>
      <c r="G155" s="1098"/>
      <c r="H155" s="1153"/>
      <c r="I155" s="1099"/>
    </row>
    <row r="156" spans="2:9">
      <c r="B156" s="1136"/>
      <c r="C156" s="1129"/>
      <c r="D156" s="1098"/>
      <c r="E156" s="1098"/>
      <c r="F156" s="1099"/>
      <c r="G156" s="1098"/>
      <c r="H156" s="1153"/>
      <c r="I156" s="1099"/>
    </row>
    <row r="157" spans="2:9">
      <c r="B157" s="1136"/>
      <c r="C157" s="1129"/>
      <c r="D157" s="1098"/>
      <c r="E157" s="1098"/>
      <c r="F157" s="1099"/>
      <c r="G157" s="1098"/>
      <c r="H157" s="1153"/>
      <c r="I157" s="1099"/>
    </row>
    <row r="158" spans="2:9">
      <c r="B158" s="1136"/>
      <c r="C158" s="1129"/>
      <c r="D158" s="1098"/>
      <c r="E158" s="1098"/>
      <c r="F158" s="1099"/>
      <c r="G158" s="1098"/>
      <c r="H158" s="1153"/>
      <c r="I158" s="1099"/>
    </row>
    <row r="159" spans="2:9">
      <c r="B159" s="1136"/>
      <c r="C159" s="1129"/>
      <c r="D159" s="1098"/>
      <c r="E159" s="1098"/>
      <c r="F159" s="1099"/>
      <c r="G159" s="1098"/>
      <c r="H159" s="1153"/>
      <c r="I159" s="1099"/>
    </row>
    <row r="160" spans="2:9">
      <c r="B160" s="1136"/>
      <c r="C160" s="1129"/>
      <c r="D160" s="1098"/>
      <c r="E160" s="1098"/>
      <c r="F160" s="1099"/>
      <c r="G160" s="1098"/>
      <c r="H160" s="1153"/>
      <c r="I160" s="1099"/>
    </row>
    <row r="161" spans="2:9">
      <c r="B161" s="1136"/>
      <c r="C161" s="1129"/>
      <c r="D161" s="1098"/>
      <c r="E161" s="1098"/>
      <c r="F161" s="1099"/>
      <c r="G161" s="1098"/>
      <c r="H161" s="1153"/>
      <c r="I161" s="1099"/>
    </row>
    <row r="162" spans="2:9">
      <c r="B162" s="1136"/>
      <c r="C162" s="1129"/>
      <c r="D162" s="1098"/>
      <c r="E162" s="1098"/>
      <c r="F162" s="1099"/>
      <c r="G162" s="1098"/>
      <c r="H162" s="1153"/>
      <c r="I162" s="1099"/>
    </row>
    <row r="163" spans="2:9">
      <c r="B163" s="1136"/>
      <c r="C163" s="1129"/>
      <c r="D163" s="1098"/>
      <c r="E163" s="1098"/>
      <c r="F163" s="1099"/>
      <c r="G163" s="1098"/>
      <c r="H163" s="1153"/>
      <c r="I163" s="1099"/>
    </row>
    <row r="164" spans="2:9">
      <c r="B164" s="1136"/>
      <c r="C164" s="1129"/>
      <c r="D164" s="1098"/>
      <c r="E164" s="1098"/>
      <c r="F164" s="1099"/>
      <c r="G164" s="1098"/>
      <c r="H164" s="1153"/>
      <c r="I164" s="1099"/>
    </row>
    <row r="165" spans="2:9">
      <c r="B165" s="1136"/>
      <c r="C165" s="1129"/>
      <c r="D165" s="1098"/>
      <c r="E165" s="1098"/>
      <c r="F165" s="1099"/>
      <c r="G165" s="1098"/>
      <c r="H165" s="1153"/>
      <c r="I165" s="1099"/>
    </row>
    <row r="166" spans="2:9">
      <c r="B166" s="1136"/>
      <c r="C166" s="1129"/>
      <c r="D166" s="1098"/>
      <c r="E166" s="1098"/>
      <c r="F166" s="1099"/>
      <c r="G166" s="1098"/>
      <c r="H166" s="1153"/>
      <c r="I166" s="1099"/>
    </row>
    <row r="167" spans="2:9">
      <c r="B167" s="1136"/>
      <c r="C167" s="1129"/>
      <c r="D167" s="1098"/>
      <c r="E167" s="1098"/>
      <c r="F167" s="1099"/>
      <c r="G167" s="1098"/>
      <c r="H167" s="1153"/>
      <c r="I167" s="1099"/>
    </row>
    <row r="168" spans="2:9">
      <c r="B168" s="1136"/>
      <c r="C168" s="1129"/>
      <c r="D168" s="1098"/>
      <c r="E168" s="1098"/>
      <c r="F168" s="1099"/>
      <c r="G168" s="1098"/>
      <c r="H168" s="1153"/>
      <c r="I168" s="1099"/>
    </row>
    <row r="169" spans="2:9">
      <c r="B169" s="1136"/>
      <c r="C169" s="1129"/>
      <c r="D169" s="1098"/>
      <c r="E169" s="1098"/>
      <c r="F169" s="1099"/>
      <c r="G169" s="1098"/>
      <c r="H169" s="1153"/>
      <c r="I169" s="1099"/>
    </row>
    <row r="170" spans="2:9">
      <c r="B170" s="1136"/>
      <c r="C170" s="1129"/>
      <c r="D170" s="1098"/>
      <c r="E170" s="1098"/>
      <c r="F170" s="1099"/>
      <c r="G170" s="1098"/>
      <c r="H170" s="1153"/>
      <c r="I170" s="1099"/>
    </row>
    <row r="171" spans="2:9">
      <c r="B171" s="1136"/>
      <c r="C171" s="1129"/>
      <c r="D171" s="1098"/>
      <c r="E171" s="1098"/>
      <c r="F171" s="1099"/>
      <c r="G171" s="1098"/>
      <c r="H171" s="1153"/>
      <c r="I171" s="1099"/>
    </row>
    <row r="172" spans="2:9">
      <c r="B172" s="1136"/>
      <c r="C172" s="1129"/>
      <c r="D172" s="1098"/>
      <c r="E172" s="1098"/>
      <c r="F172" s="1099"/>
      <c r="G172" s="1098"/>
      <c r="H172" s="1153"/>
      <c r="I172" s="1099"/>
    </row>
    <row r="173" spans="2:9">
      <c r="B173" s="1136"/>
      <c r="C173" s="1129"/>
      <c r="D173" s="1098"/>
      <c r="E173" s="1098"/>
      <c r="F173" s="1099"/>
      <c r="G173" s="1098"/>
      <c r="H173" s="1153"/>
      <c r="I173" s="1099"/>
    </row>
    <row r="174" spans="2:9">
      <c r="B174" s="1136"/>
      <c r="C174" s="1129"/>
      <c r="D174" s="1098"/>
      <c r="E174" s="1098"/>
      <c r="F174" s="1099"/>
      <c r="G174" s="1098"/>
      <c r="H174" s="1153"/>
      <c r="I174" s="1099"/>
    </row>
    <row r="175" spans="2:9">
      <c r="B175" s="1136"/>
      <c r="C175" s="1129"/>
      <c r="D175" s="1098"/>
      <c r="E175" s="1098"/>
      <c r="F175" s="1099"/>
      <c r="G175" s="1098"/>
      <c r="H175" s="1153"/>
      <c r="I175" s="1099"/>
    </row>
    <row r="176" spans="2:9">
      <c r="B176" s="1136"/>
      <c r="C176" s="1129"/>
      <c r="D176" s="1098"/>
      <c r="E176" s="1098"/>
      <c r="F176" s="1099"/>
      <c r="G176" s="1098"/>
      <c r="H176" s="1153"/>
      <c r="I176" s="1099"/>
    </row>
    <row r="177" spans="2:9">
      <c r="B177" s="1136"/>
      <c r="C177" s="1129"/>
      <c r="D177" s="1098"/>
      <c r="E177" s="1098"/>
      <c r="F177" s="1099"/>
      <c r="G177" s="1098"/>
      <c r="H177" s="1153"/>
      <c r="I177" s="1099"/>
    </row>
    <row r="178" spans="2:9">
      <c r="B178" s="1136"/>
      <c r="C178" s="1129"/>
      <c r="D178" s="1098"/>
      <c r="E178" s="1098"/>
      <c r="F178" s="1099"/>
      <c r="G178" s="1098"/>
      <c r="H178" s="1153"/>
      <c r="I178" s="1099"/>
    </row>
    <row r="179" spans="2:9">
      <c r="B179" s="1136"/>
      <c r="C179" s="1129"/>
      <c r="D179" s="1098"/>
      <c r="E179" s="1098"/>
      <c r="F179" s="1099"/>
      <c r="G179" s="1098"/>
      <c r="H179" s="1153"/>
      <c r="I179" s="1099"/>
    </row>
    <row r="180" spans="2:9">
      <c r="B180" s="1136"/>
      <c r="C180" s="1129"/>
      <c r="D180" s="1098"/>
      <c r="E180" s="1098"/>
      <c r="F180" s="1099"/>
      <c r="G180" s="1098"/>
      <c r="H180" s="1153"/>
      <c r="I180" s="1099"/>
    </row>
    <row r="181" spans="2:9">
      <c r="B181" s="1136"/>
      <c r="C181" s="1129"/>
      <c r="D181" s="1098"/>
      <c r="E181" s="1098"/>
      <c r="F181" s="1099"/>
      <c r="G181" s="1098"/>
      <c r="H181" s="1153"/>
      <c r="I181" s="1099"/>
    </row>
    <row r="182" spans="2:9">
      <c r="B182" s="1136"/>
      <c r="C182" s="1129"/>
      <c r="D182" s="1098"/>
      <c r="E182" s="1098"/>
      <c r="F182" s="1099"/>
      <c r="G182" s="1098"/>
      <c r="H182" s="1153"/>
      <c r="I182" s="1099"/>
    </row>
    <row r="183" spans="2:9">
      <c r="B183" s="1136"/>
      <c r="C183" s="1129"/>
      <c r="D183" s="1098"/>
      <c r="E183" s="1098"/>
      <c r="F183" s="1099"/>
      <c r="G183" s="1098"/>
      <c r="H183" s="1153"/>
      <c r="I183" s="1099"/>
    </row>
    <row r="184" spans="2:9">
      <c r="B184" s="1136"/>
      <c r="C184" s="1129"/>
      <c r="D184" s="1098"/>
      <c r="E184" s="1098"/>
      <c r="F184" s="1099"/>
      <c r="G184" s="1098"/>
      <c r="H184" s="1153"/>
      <c r="I184" s="1099"/>
    </row>
    <row r="185" spans="2:9">
      <c r="B185" s="1136"/>
      <c r="C185" s="1129"/>
      <c r="D185" s="1098"/>
      <c r="E185" s="1098"/>
      <c r="F185" s="1099"/>
      <c r="G185" s="1098"/>
      <c r="H185" s="1153"/>
      <c r="I185" s="1099"/>
    </row>
    <row r="186" spans="2:9">
      <c r="B186" s="1136"/>
      <c r="C186" s="1129"/>
      <c r="D186" s="1098"/>
      <c r="E186" s="1098"/>
      <c r="F186" s="1099"/>
      <c r="G186" s="1098"/>
      <c r="H186" s="1153"/>
      <c r="I186" s="1099"/>
    </row>
    <row r="187" spans="2:9">
      <c r="B187" s="1136"/>
      <c r="C187" s="1129"/>
      <c r="D187" s="1098"/>
      <c r="E187" s="1098"/>
      <c r="F187" s="1099"/>
      <c r="G187" s="1098"/>
      <c r="H187" s="1153"/>
      <c r="I187" s="1099"/>
    </row>
    <row r="188" spans="2:9">
      <c r="B188" s="1136"/>
      <c r="C188" s="1129"/>
      <c r="D188" s="1098"/>
      <c r="E188" s="1098"/>
      <c r="F188" s="1099"/>
      <c r="G188" s="1098"/>
      <c r="H188" s="1153"/>
      <c r="I188" s="1099"/>
    </row>
    <row r="189" spans="2:9">
      <c r="B189" s="1136"/>
      <c r="C189" s="1129"/>
      <c r="D189" s="1098"/>
      <c r="E189" s="1098"/>
      <c r="F189" s="1099"/>
      <c r="G189" s="1098"/>
      <c r="H189" s="1153"/>
      <c r="I189" s="1099"/>
    </row>
    <row r="190" spans="2:9">
      <c r="B190" s="1136"/>
      <c r="C190" s="1129"/>
      <c r="D190" s="1098"/>
      <c r="E190" s="1098"/>
      <c r="F190" s="1099"/>
      <c r="G190" s="1098"/>
      <c r="H190" s="1153"/>
      <c r="I190" s="1099"/>
    </row>
    <row r="191" spans="2:9">
      <c r="B191" s="1136"/>
      <c r="C191" s="1129"/>
      <c r="D191" s="1098"/>
      <c r="E191" s="1098"/>
      <c r="F191" s="1099"/>
      <c r="G191" s="1098"/>
      <c r="H191" s="1153"/>
      <c r="I191" s="1099"/>
    </row>
    <row r="192" spans="2:9">
      <c r="B192" s="1136"/>
      <c r="C192" s="1129"/>
      <c r="D192" s="1098"/>
      <c r="E192" s="1098"/>
      <c r="F192" s="1099"/>
      <c r="G192" s="1098"/>
      <c r="H192" s="1153"/>
      <c r="I192" s="1099"/>
    </row>
    <row r="193" spans="2:9">
      <c r="B193" s="1136"/>
      <c r="C193" s="1129"/>
      <c r="D193" s="1098"/>
      <c r="E193" s="1098"/>
      <c r="F193" s="1099"/>
      <c r="G193" s="1098"/>
      <c r="H193" s="1153"/>
      <c r="I193" s="1099"/>
    </row>
    <row r="194" spans="2:9">
      <c r="B194" s="1136"/>
      <c r="C194" s="1129"/>
      <c r="D194" s="1098"/>
      <c r="E194" s="1098"/>
      <c r="F194" s="1099"/>
      <c r="G194" s="1098"/>
      <c r="H194" s="1153"/>
      <c r="I194" s="1099"/>
    </row>
    <row r="195" spans="2:9">
      <c r="B195" s="1136"/>
      <c r="C195" s="1129"/>
      <c r="D195" s="1098"/>
      <c r="E195" s="1098"/>
      <c r="F195" s="1099"/>
      <c r="G195" s="1098"/>
      <c r="H195" s="1153"/>
      <c r="I195" s="1099"/>
    </row>
    <row r="196" spans="2:9">
      <c r="B196" s="1136"/>
      <c r="C196" s="1129"/>
      <c r="D196" s="1098"/>
      <c r="E196" s="1098"/>
      <c r="F196" s="1099"/>
      <c r="G196" s="1098"/>
      <c r="H196" s="1153"/>
      <c r="I196" s="1099"/>
    </row>
    <row r="197" spans="2:9">
      <c r="B197" s="1136"/>
      <c r="C197" s="1129"/>
      <c r="D197" s="1098"/>
      <c r="E197" s="1098"/>
      <c r="F197" s="1099"/>
      <c r="G197" s="1098"/>
      <c r="H197" s="1153"/>
      <c r="I197" s="1099"/>
    </row>
    <row r="198" spans="2:9">
      <c r="B198" s="1136"/>
      <c r="C198" s="1129"/>
      <c r="D198" s="1098"/>
      <c r="E198" s="1098"/>
      <c r="F198" s="1099"/>
      <c r="G198" s="1098"/>
      <c r="H198" s="1153"/>
      <c r="I198" s="1099"/>
    </row>
    <row r="199" spans="2:9">
      <c r="B199" s="1136"/>
      <c r="C199" s="1129"/>
      <c r="D199" s="1098"/>
      <c r="E199" s="1098"/>
      <c r="F199" s="1099"/>
      <c r="G199" s="1098"/>
      <c r="H199" s="1153"/>
      <c r="I199" s="1099"/>
    </row>
    <row r="200" spans="2:9">
      <c r="B200" s="1136"/>
      <c r="C200" s="1129"/>
      <c r="D200" s="1098"/>
      <c r="E200" s="1098"/>
      <c r="F200" s="1099"/>
      <c r="G200" s="1098"/>
      <c r="H200" s="1153"/>
      <c r="I200" s="1099"/>
    </row>
    <row r="201" spans="2:9">
      <c r="B201" s="1136"/>
      <c r="C201" s="1129"/>
      <c r="D201" s="1098"/>
      <c r="E201" s="1098"/>
      <c r="F201" s="1099"/>
      <c r="G201" s="1098"/>
      <c r="H201" s="1153"/>
      <c r="I201" s="1099"/>
    </row>
    <row r="202" spans="2:9">
      <c r="B202" s="1136"/>
      <c r="C202" s="1129"/>
      <c r="D202" s="1098"/>
      <c r="E202" s="1098"/>
      <c r="F202" s="1099"/>
      <c r="G202" s="1098"/>
      <c r="H202" s="1153"/>
      <c r="I202" s="1099"/>
    </row>
    <row r="203" spans="2:9">
      <c r="B203" s="1136"/>
      <c r="C203" s="1129"/>
      <c r="D203" s="1098"/>
      <c r="E203" s="1098"/>
      <c r="F203" s="1099"/>
      <c r="G203" s="1098"/>
      <c r="H203" s="1153"/>
      <c r="I203" s="1099"/>
    </row>
    <row r="204" spans="2:9">
      <c r="B204" s="1136"/>
      <c r="C204" s="1129"/>
      <c r="D204" s="1098"/>
      <c r="E204" s="1098"/>
      <c r="F204" s="1099"/>
      <c r="G204" s="1098"/>
      <c r="H204" s="1153"/>
      <c r="I204" s="1099"/>
    </row>
    <row r="205" spans="2:9">
      <c r="B205" s="1136"/>
      <c r="C205" s="1129"/>
      <c r="D205" s="1098"/>
      <c r="E205" s="1098"/>
      <c r="F205" s="1099"/>
      <c r="G205" s="1098"/>
      <c r="H205" s="1153"/>
      <c r="I205" s="1099"/>
    </row>
    <row r="206" spans="2:9">
      <c r="B206" s="1136"/>
      <c r="C206" s="1129"/>
      <c r="D206" s="1098"/>
      <c r="E206" s="1098"/>
      <c r="F206" s="1099"/>
      <c r="G206" s="1098"/>
      <c r="H206" s="1153"/>
      <c r="I206" s="1099"/>
    </row>
    <row r="207" spans="2:9">
      <c r="B207" s="1136"/>
      <c r="C207" s="1129"/>
      <c r="D207" s="1098"/>
      <c r="E207" s="1098"/>
      <c r="F207" s="1099"/>
      <c r="G207" s="1098"/>
      <c r="H207" s="1153"/>
      <c r="I207" s="1099"/>
    </row>
    <row r="208" spans="2:9">
      <c r="B208" s="1136"/>
      <c r="C208" s="1129"/>
      <c r="D208" s="1098"/>
      <c r="E208" s="1098"/>
      <c r="F208" s="1099"/>
      <c r="G208" s="1098"/>
      <c r="H208" s="1153"/>
      <c r="I208" s="1099"/>
    </row>
    <row r="209" spans="2:9">
      <c r="B209" s="1136"/>
      <c r="C209" s="1129"/>
      <c r="D209" s="1098"/>
      <c r="E209" s="1098"/>
      <c r="F209" s="1099"/>
      <c r="G209" s="1098"/>
      <c r="H209" s="1153"/>
      <c r="I209" s="1099"/>
    </row>
    <row r="210" spans="2:9">
      <c r="B210" s="1136"/>
      <c r="C210" s="1129"/>
      <c r="D210" s="1098"/>
      <c r="E210" s="1098"/>
      <c r="F210" s="1099"/>
      <c r="G210" s="1098"/>
      <c r="H210" s="1153"/>
      <c r="I210" s="1099"/>
    </row>
    <row r="211" spans="2:9">
      <c r="B211" s="1136"/>
      <c r="C211" s="1129"/>
      <c r="D211" s="1098"/>
      <c r="E211" s="1098"/>
      <c r="F211" s="1099"/>
      <c r="G211" s="1098"/>
      <c r="H211" s="1153"/>
      <c r="I211" s="1099"/>
    </row>
    <row r="212" spans="2:9">
      <c r="B212" s="1136"/>
      <c r="C212" s="1129"/>
      <c r="D212" s="1098"/>
      <c r="E212" s="1098"/>
      <c r="F212" s="1099"/>
      <c r="G212" s="1098"/>
      <c r="H212" s="1153"/>
      <c r="I212" s="1099"/>
    </row>
    <row r="213" spans="2:9">
      <c r="B213" s="1136"/>
      <c r="C213" s="1129"/>
      <c r="D213" s="1098"/>
      <c r="E213" s="1098"/>
      <c r="F213" s="1099"/>
      <c r="G213" s="1098"/>
      <c r="H213" s="1153"/>
      <c r="I213" s="1099"/>
    </row>
    <row r="214" spans="2:9">
      <c r="B214" s="1136"/>
      <c r="C214" s="1129"/>
      <c r="D214" s="1098"/>
      <c r="E214" s="1098"/>
      <c r="F214" s="1099"/>
      <c r="G214" s="1098"/>
      <c r="H214" s="1153"/>
      <c r="I214" s="1099"/>
    </row>
    <row r="215" spans="2:9">
      <c r="B215" s="1136"/>
      <c r="C215" s="1129"/>
      <c r="D215" s="1098"/>
      <c r="E215" s="1098"/>
      <c r="F215" s="1099"/>
      <c r="G215" s="1098"/>
      <c r="H215" s="1153"/>
      <c r="I215" s="1099"/>
    </row>
    <row r="216" spans="2:9">
      <c r="B216" s="1136"/>
      <c r="C216" s="1129"/>
      <c r="D216" s="1098"/>
      <c r="E216" s="1098"/>
      <c r="F216" s="1099"/>
      <c r="G216" s="1098"/>
      <c r="H216" s="1153"/>
      <c r="I216" s="1099"/>
    </row>
    <row r="217" spans="2:9">
      <c r="B217" s="1136"/>
      <c r="C217" s="1129"/>
      <c r="D217" s="1098"/>
      <c r="E217" s="1098"/>
      <c r="F217" s="1099"/>
      <c r="G217" s="1098"/>
      <c r="H217" s="1153"/>
      <c r="I217" s="1099"/>
    </row>
    <row r="218" spans="2:9">
      <c r="B218" s="1136"/>
      <c r="C218" s="1129"/>
      <c r="D218" s="1098"/>
      <c r="E218" s="1098"/>
      <c r="F218" s="1099"/>
      <c r="G218" s="1098"/>
      <c r="H218" s="1153"/>
      <c r="I218" s="1099"/>
    </row>
    <row r="219" spans="2:9">
      <c r="B219" s="1136"/>
      <c r="C219" s="1129"/>
      <c r="D219" s="1098"/>
      <c r="E219" s="1098"/>
      <c r="F219" s="1099"/>
      <c r="G219" s="1098"/>
      <c r="H219" s="1153"/>
      <c r="I219" s="1099"/>
    </row>
    <row r="220" spans="2:9">
      <c r="B220" s="1136"/>
      <c r="C220" s="1129"/>
      <c r="D220" s="1098"/>
      <c r="E220" s="1098"/>
      <c r="F220" s="1099"/>
      <c r="G220" s="1098"/>
      <c r="H220" s="1153"/>
      <c r="I220" s="1099"/>
    </row>
    <row r="221" spans="2:9">
      <c r="B221" s="1136"/>
      <c r="C221" s="1129"/>
      <c r="D221" s="1098"/>
      <c r="E221" s="1098"/>
      <c r="F221" s="1099"/>
      <c r="G221" s="1098"/>
      <c r="H221" s="1153"/>
      <c r="I221" s="1099"/>
    </row>
    <row r="222" spans="2:9">
      <c r="B222" s="1136"/>
      <c r="C222" s="1129"/>
      <c r="D222" s="1098"/>
      <c r="E222" s="1098"/>
      <c r="F222" s="1099"/>
      <c r="G222" s="1098"/>
      <c r="H222" s="1153"/>
      <c r="I222" s="1099"/>
    </row>
    <row r="223" spans="2:9">
      <c r="B223" s="1136"/>
      <c r="C223" s="1129"/>
      <c r="D223" s="1098"/>
      <c r="E223" s="1098"/>
      <c r="F223" s="1099"/>
      <c r="G223" s="1098"/>
      <c r="H223" s="1153"/>
      <c r="I223" s="1099"/>
    </row>
    <row r="224" spans="2:9">
      <c r="B224" s="1136"/>
      <c r="C224" s="1129"/>
      <c r="D224" s="1098"/>
      <c r="E224" s="1098"/>
      <c r="F224" s="1099"/>
      <c r="G224" s="1098"/>
      <c r="H224" s="1153"/>
      <c r="I224" s="1099"/>
    </row>
    <row r="225" spans="2:9">
      <c r="B225" s="1136"/>
      <c r="C225" s="1129"/>
      <c r="D225" s="1098"/>
      <c r="E225" s="1098"/>
      <c r="F225" s="1099"/>
      <c r="G225" s="1098"/>
      <c r="H225" s="1153"/>
      <c r="I225" s="1099"/>
    </row>
    <row r="226" spans="2:9">
      <c r="B226" s="1136"/>
      <c r="C226" s="1129"/>
      <c r="D226" s="1098"/>
      <c r="E226" s="1098"/>
      <c r="F226" s="1099"/>
      <c r="G226" s="1098"/>
      <c r="H226" s="1153"/>
      <c r="I226" s="1099"/>
    </row>
    <row r="227" spans="2:9">
      <c r="B227" s="1136"/>
      <c r="C227" s="1129"/>
      <c r="D227" s="1098"/>
      <c r="E227" s="1098"/>
      <c r="F227" s="1099"/>
      <c r="G227" s="1098"/>
      <c r="H227" s="1153"/>
      <c r="I227" s="1099"/>
    </row>
    <row r="228" spans="2:9">
      <c r="B228" s="1136"/>
      <c r="C228" s="1129"/>
      <c r="D228" s="1098"/>
      <c r="E228" s="1098"/>
      <c r="F228" s="1099"/>
      <c r="G228" s="1098"/>
      <c r="H228" s="1153"/>
      <c r="I228" s="1099"/>
    </row>
    <row r="229" spans="2:9">
      <c r="B229" s="1136"/>
      <c r="C229" s="1129"/>
      <c r="D229" s="1098"/>
      <c r="E229" s="1098"/>
      <c r="F229" s="1099"/>
      <c r="G229" s="1098"/>
      <c r="H229" s="1153"/>
      <c r="I229" s="1099"/>
    </row>
    <row r="230" spans="2:9">
      <c r="B230" s="1136"/>
      <c r="C230" s="1129"/>
      <c r="D230" s="1098"/>
      <c r="E230" s="1098"/>
      <c r="F230" s="1099"/>
      <c r="G230" s="1098"/>
      <c r="H230" s="1153"/>
      <c r="I230" s="1099"/>
    </row>
    <row r="231" spans="2:9">
      <c r="B231" s="1136"/>
      <c r="C231" s="1129"/>
      <c r="D231" s="1098"/>
      <c r="E231" s="1098"/>
      <c r="F231" s="1099"/>
      <c r="G231" s="1098"/>
      <c r="H231" s="1153"/>
      <c r="I231" s="1099"/>
    </row>
    <row r="232" spans="2:9">
      <c r="B232" s="1136"/>
      <c r="C232" s="1129"/>
      <c r="D232" s="1098"/>
      <c r="E232" s="1098"/>
      <c r="F232" s="1099"/>
      <c r="G232" s="1098"/>
      <c r="H232" s="1153"/>
      <c r="I232" s="1099"/>
    </row>
    <row r="233" spans="2:9">
      <c r="B233" s="1136"/>
      <c r="C233" s="1129"/>
      <c r="D233" s="1098"/>
      <c r="E233" s="1098"/>
      <c r="F233" s="1099"/>
      <c r="G233" s="1098"/>
      <c r="H233" s="1153"/>
      <c r="I233" s="1099"/>
    </row>
    <row r="234" spans="2:9">
      <c r="B234" s="1136"/>
      <c r="C234" s="1129"/>
      <c r="D234" s="1098"/>
      <c r="E234" s="1098"/>
      <c r="F234" s="1099"/>
      <c r="G234" s="1098"/>
      <c r="H234" s="1153"/>
      <c r="I234" s="1099"/>
    </row>
    <row r="235" spans="2:9">
      <c r="B235" s="1136"/>
      <c r="C235" s="1129"/>
      <c r="D235" s="1098"/>
      <c r="E235" s="1098"/>
      <c r="F235" s="1099"/>
      <c r="G235" s="1098"/>
      <c r="H235" s="1153"/>
      <c r="I235" s="1099"/>
    </row>
    <row r="236" spans="2:9">
      <c r="B236" s="1136"/>
      <c r="C236" s="1129"/>
      <c r="D236" s="1098"/>
      <c r="E236" s="1098"/>
      <c r="F236" s="1099"/>
      <c r="G236" s="1098"/>
      <c r="H236" s="1153"/>
      <c r="I236" s="1099"/>
    </row>
    <row r="237" spans="2:9">
      <c r="B237" s="1136"/>
      <c r="C237" s="1129"/>
      <c r="D237" s="1098"/>
      <c r="E237" s="1098"/>
      <c r="F237" s="1099"/>
      <c r="G237" s="1098"/>
      <c r="H237" s="1153"/>
      <c r="I237" s="1099"/>
    </row>
    <row r="238" spans="2:9">
      <c r="B238" s="1136"/>
      <c r="C238" s="1129"/>
      <c r="D238" s="1098"/>
      <c r="E238" s="1098"/>
      <c r="F238" s="1099"/>
      <c r="G238" s="1098"/>
      <c r="H238" s="1153"/>
      <c r="I238" s="1099"/>
    </row>
    <row r="239" spans="2:9">
      <c r="B239" s="1136"/>
      <c r="C239" s="1129"/>
      <c r="D239" s="1098"/>
      <c r="E239" s="1098"/>
      <c r="F239" s="1099"/>
      <c r="G239" s="1098"/>
      <c r="H239" s="1153"/>
      <c r="I239" s="1099"/>
    </row>
    <row r="240" spans="2:9">
      <c r="B240" s="1136"/>
      <c r="C240" s="1129"/>
      <c r="D240" s="1098"/>
      <c r="E240" s="1098"/>
      <c r="F240" s="1099"/>
      <c r="G240" s="1098"/>
      <c r="H240" s="1153"/>
      <c r="I240" s="1099"/>
    </row>
    <row r="241" spans="2:9">
      <c r="B241" s="1136"/>
      <c r="C241" s="1129"/>
      <c r="D241" s="1098"/>
      <c r="E241" s="1098"/>
      <c r="F241" s="1099"/>
      <c r="G241" s="1098"/>
      <c r="H241" s="1153"/>
      <c r="I241" s="1099"/>
    </row>
    <row r="242" spans="2:9">
      <c r="B242" s="1136"/>
      <c r="C242" s="1129"/>
      <c r="D242" s="1098"/>
      <c r="E242" s="1098"/>
      <c r="F242" s="1099"/>
      <c r="G242" s="1098"/>
      <c r="H242" s="1153"/>
      <c r="I242" s="1099"/>
    </row>
    <row r="243" spans="2:9">
      <c r="B243" s="1136"/>
      <c r="C243" s="1129"/>
      <c r="D243" s="1098"/>
      <c r="E243" s="1098"/>
      <c r="F243" s="1099"/>
      <c r="G243" s="1098"/>
      <c r="H243" s="1153"/>
      <c r="I243" s="1099"/>
    </row>
    <row r="244" spans="2:9">
      <c r="B244" s="1136"/>
      <c r="C244" s="1129"/>
      <c r="D244" s="1098"/>
      <c r="E244" s="1098"/>
      <c r="F244" s="1099"/>
      <c r="G244" s="1098"/>
      <c r="H244" s="1153"/>
      <c r="I244" s="1099"/>
    </row>
    <row r="245" spans="2:9">
      <c r="B245" s="1136"/>
      <c r="C245" s="1129"/>
      <c r="D245" s="1098"/>
      <c r="E245" s="1098"/>
      <c r="F245" s="1099"/>
      <c r="G245" s="1098"/>
      <c r="H245" s="1153"/>
      <c r="I245" s="1099"/>
    </row>
    <row r="246" spans="2:9">
      <c r="B246" s="1136"/>
      <c r="C246" s="1129"/>
      <c r="D246" s="1098"/>
      <c r="E246" s="1098"/>
      <c r="F246" s="1099"/>
      <c r="G246" s="1098"/>
      <c r="H246" s="1153"/>
      <c r="I246" s="1099"/>
    </row>
    <row r="247" spans="2:9">
      <c r="B247" s="1136"/>
      <c r="C247" s="1129"/>
      <c r="D247" s="1098"/>
      <c r="E247" s="1098"/>
      <c r="F247" s="1099"/>
      <c r="G247" s="1098"/>
      <c r="H247" s="1153"/>
      <c r="I247" s="1099"/>
    </row>
    <row r="248" spans="2:9">
      <c r="B248" s="1136"/>
      <c r="C248" s="1129"/>
      <c r="D248" s="1098"/>
      <c r="E248" s="1098"/>
      <c r="F248" s="1099"/>
      <c r="G248" s="1098"/>
      <c r="H248" s="1153"/>
      <c r="I248" s="1099"/>
    </row>
    <row r="249" spans="2:9">
      <c r="B249" s="1136"/>
      <c r="C249" s="1129"/>
      <c r="D249" s="1098"/>
      <c r="E249" s="1098"/>
      <c r="F249" s="1099"/>
      <c r="G249" s="1098"/>
      <c r="H249" s="1153"/>
      <c r="I249" s="1099"/>
    </row>
    <row r="250" spans="2:9">
      <c r="B250" s="1136"/>
      <c r="C250" s="1129"/>
      <c r="D250" s="1098"/>
      <c r="E250" s="1098"/>
      <c r="F250" s="1099"/>
      <c r="G250" s="1098"/>
      <c r="H250" s="1153"/>
      <c r="I250" s="1099"/>
    </row>
    <row r="251" spans="2:9">
      <c r="B251" s="1136"/>
      <c r="C251" s="1129"/>
      <c r="D251" s="1098"/>
      <c r="E251" s="1098"/>
      <c r="F251" s="1099"/>
      <c r="G251" s="1098"/>
      <c r="H251" s="1153"/>
      <c r="I251" s="1099"/>
    </row>
    <row r="252" spans="2:9">
      <c r="B252" s="1136"/>
      <c r="C252" s="1129"/>
      <c r="D252" s="1098"/>
      <c r="E252" s="1098"/>
      <c r="F252" s="1099"/>
      <c r="G252" s="1098"/>
      <c r="H252" s="1153"/>
      <c r="I252" s="1099"/>
    </row>
    <row r="253" spans="2:9">
      <c r="B253" s="1136"/>
      <c r="C253" s="1129"/>
      <c r="D253" s="1098"/>
      <c r="E253" s="1098"/>
      <c r="F253" s="1099"/>
      <c r="G253" s="1098"/>
      <c r="H253" s="1153"/>
      <c r="I253" s="1099"/>
    </row>
    <row r="254" spans="2:9">
      <c r="B254" s="1136"/>
      <c r="C254" s="1129"/>
      <c r="D254" s="1098"/>
      <c r="E254" s="1098"/>
      <c r="F254" s="1099"/>
      <c r="G254" s="1098"/>
      <c r="H254" s="1153"/>
      <c r="I254" s="1099"/>
    </row>
    <row r="255" spans="2:9">
      <c r="B255" s="1136"/>
      <c r="C255" s="1129"/>
      <c r="D255" s="1098"/>
      <c r="E255" s="1098"/>
      <c r="F255" s="1099"/>
      <c r="G255" s="1098"/>
      <c r="H255" s="1153"/>
      <c r="I255" s="1099"/>
    </row>
    <row r="256" spans="2:9">
      <c r="B256" s="1136"/>
      <c r="C256" s="1129"/>
      <c r="D256" s="1098"/>
      <c r="E256" s="1098"/>
      <c r="F256" s="1099"/>
      <c r="G256" s="1098"/>
      <c r="H256" s="1153"/>
      <c r="I256" s="1099"/>
    </row>
    <row r="257" spans="2:9">
      <c r="B257" s="1136"/>
      <c r="C257" s="1129"/>
      <c r="D257" s="1098"/>
      <c r="E257" s="1098"/>
      <c r="F257" s="1099"/>
      <c r="G257" s="1098"/>
      <c r="H257" s="1153"/>
      <c r="I257" s="1099"/>
    </row>
    <row r="258" spans="2:9">
      <c r="B258" s="1136"/>
      <c r="C258" s="1129"/>
      <c r="D258" s="1098"/>
      <c r="E258" s="1098"/>
      <c r="F258" s="1099"/>
      <c r="G258" s="1098"/>
      <c r="H258" s="1153"/>
      <c r="I258" s="1099"/>
    </row>
    <row r="259" spans="2:9">
      <c r="B259" s="1136"/>
      <c r="C259" s="1129"/>
      <c r="D259" s="1098"/>
      <c r="E259" s="1098"/>
      <c r="F259" s="1099"/>
      <c r="G259" s="1098"/>
      <c r="H259" s="1153"/>
      <c r="I259" s="1099"/>
    </row>
    <row r="260" spans="2:9">
      <c r="B260" s="1136"/>
      <c r="C260" s="1129"/>
      <c r="D260" s="1098"/>
      <c r="E260" s="1098"/>
      <c r="F260" s="1099"/>
      <c r="G260" s="1098"/>
      <c r="H260" s="1153"/>
      <c r="I260" s="1099"/>
    </row>
    <row r="261" spans="2:9">
      <c r="B261" s="1136"/>
      <c r="C261" s="1129"/>
      <c r="D261" s="1098"/>
      <c r="E261" s="1098"/>
      <c r="F261" s="1099"/>
      <c r="G261" s="1098"/>
      <c r="H261" s="1153"/>
      <c r="I261" s="1099"/>
    </row>
    <row r="262" spans="2:9">
      <c r="B262" s="1136"/>
      <c r="C262" s="1129"/>
      <c r="D262" s="1098"/>
      <c r="E262" s="1098"/>
      <c r="F262" s="1099"/>
      <c r="G262" s="1098"/>
      <c r="H262" s="1153"/>
      <c r="I262" s="1099"/>
    </row>
    <row r="263" spans="2:9">
      <c r="B263" s="1136"/>
      <c r="C263" s="1129"/>
      <c r="D263" s="1098"/>
      <c r="E263" s="1098"/>
      <c r="F263" s="1099"/>
      <c r="G263" s="1098"/>
      <c r="H263" s="1153"/>
      <c r="I263" s="1099"/>
    </row>
    <row r="264" spans="2:9">
      <c r="B264" s="1136"/>
      <c r="C264" s="1129"/>
      <c r="D264" s="1098"/>
      <c r="E264" s="1098"/>
      <c r="F264" s="1099"/>
      <c r="G264" s="1098"/>
      <c r="H264" s="1153"/>
      <c r="I264" s="1099"/>
    </row>
    <row r="265" spans="2:9">
      <c r="B265" s="1136"/>
      <c r="C265" s="1129"/>
      <c r="D265" s="1098"/>
      <c r="E265" s="1098"/>
      <c r="F265" s="1099"/>
      <c r="G265" s="1098"/>
      <c r="H265" s="1153"/>
      <c r="I265" s="1099"/>
    </row>
    <row r="266" spans="2:9">
      <c r="B266" s="1136"/>
      <c r="C266" s="1129"/>
      <c r="D266" s="1098"/>
      <c r="E266" s="1098"/>
      <c r="F266" s="1099"/>
      <c r="G266" s="1098"/>
      <c r="H266" s="1153"/>
      <c r="I266" s="1099"/>
    </row>
    <row r="267" spans="2:9">
      <c r="B267" s="1136"/>
      <c r="C267" s="1129"/>
      <c r="D267" s="1098"/>
      <c r="E267" s="1098"/>
      <c r="F267" s="1099"/>
      <c r="G267" s="1098"/>
      <c r="H267" s="1153"/>
      <c r="I267" s="1099"/>
    </row>
    <row r="268" spans="2:9">
      <c r="B268" s="1136"/>
      <c r="C268" s="1129"/>
      <c r="D268" s="1098"/>
      <c r="E268" s="1098"/>
      <c r="F268" s="1099"/>
      <c r="G268" s="1098"/>
      <c r="H268" s="1153"/>
      <c r="I268" s="1099"/>
    </row>
    <row r="269" spans="2:9">
      <c r="B269" s="1136"/>
      <c r="C269" s="1129"/>
      <c r="D269" s="1098"/>
      <c r="E269" s="1098"/>
      <c r="F269" s="1099"/>
      <c r="G269" s="1098"/>
      <c r="H269" s="1153"/>
      <c r="I269" s="1099"/>
    </row>
    <row r="270" spans="2:9">
      <c r="B270" s="1136"/>
      <c r="C270" s="1129"/>
      <c r="D270" s="1098"/>
      <c r="E270" s="1098"/>
      <c r="F270" s="1099"/>
      <c r="G270" s="1098"/>
      <c r="H270" s="1153"/>
      <c r="I270" s="1099"/>
    </row>
    <row r="271" spans="2:9">
      <c r="B271" s="1136"/>
      <c r="C271" s="1129"/>
      <c r="D271" s="1098"/>
      <c r="E271" s="1098"/>
      <c r="F271" s="1099"/>
      <c r="G271" s="1098"/>
      <c r="H271" s="1153"/>
      <c r="I271" s="1099"/>
    </row>
    <row r="272" spans="2:9">
      <c r="B272" s="1136"/>
      <c r="C272" s="1129"/>
      <c r="D272" s="1098"/>
      <c r="E272" s="1098"/>
      <c r="F272" s="1099"/>
      <c r="G272" s="1098"/>
      <c r="H272" s="1153"/>
      <c r="I272" s="1099"/>
    </row>
    <row r="273" spans="2:9">
      <c r="B273" s="1136"/>
      <c r="C273" s="1129"/>
      <c r="D273" s="1098"/>
      <c r="E273" s="1098"/>
      <c r="F273" s="1099"/>
      <c r="G273" s="1098"/>
      <c r="H273" s="1153"/>
      <c r="I273" s="1099"/>
    </row>
    <row r="274" spans="2:9">
      <c r="B274" s="1136"/>
      <c r="C274" s="1129"/>
      <c r="D274" s="1098"/>
      <c r="E274" s="1098"/>
      <c r="F274" s="1099"/>
      <c r="G274" s="1098"/>
      <c r="H274" s="1153"/>
      <c r="I274" s="1099"/>
    </row>
    <row r="275" spans="2:9">
      <c r="B275" s="1136"/>
      <c r="C275" s="1129"/>
      <c r="D275" s="1098"/>
      <c r="E275" s="1098"/>
      <c r="F275" s="1099"/>
      <c r="G275" s="1098"/>
      <c r="H275" s="1153"/>
      <c r="I275" s="1099"/>
    </row>
    <row r="276" spans="2:9">
      <c r="B276" s="1136"/>
      <c r="C276" s="1129"/>
      <c r="D276" s="1098"/>
      <c r="E276" s="1098"/>
      <c r="F276" s="1099"/>
      <c r="G276" s="1098"/>
      <c r="H276" s="1153"/>
      <c r="I276" s="1099"/>
    </row>
    <row r="277" spans="2:9">
      <c r="B277" s="1136"/>
      <c r="C277" s="1129"/>
      <c r="D277" s="1098"/>
      <c r="E277" s="1098"/>
      <c r="F277" s="1099"/>
      <c r="G277" s="1098"/>
      <c r="H277" s="1153"/>
      <c r="I277" s="1099"/>
    </row>
    <row r="278" spans="2:9">
      <c r="B278" s="1136"/>
      <c r="C278" s="1129"/>
      <c r="D278" s="1098"/>
      <c r="E278" s="1098"/>
      <c r="F278" s="1099"/>
      <c r="G278" s="1098"/>
      <c r="H278" s="1153"/>
      <c r="I278" s="1099"/>
    </row>
    <row r="279" spans="2:9">
      <c r="B279" s="1136"/>
      <c r="C279" s="1129"/>
      <c r="D279" s="1098"/>
      <c r="E279" s="1098"/>
      <c r="F279" s="1099"/>
      <c r="G279" s="1098"/>
      <c r="H279" s="1153"/>
      <c r="I279" s="1099"/>
    </row>
    <row r="280" spans="2:9">
      <c r="B280" s="1136"/>
      <c r="C280" s="1129"/>
      <c r="D280" s="1098"/>
      <c r="E280" s="1098"/>
      <c r="F280" s="1099"/>
      <c r="G280" s="1098"/>
      <c r="H280" s="1153"/>
      <c r="I280" s="1099"/>
    </row>
    <row r="281" spans="2:9">
      <c r="B281" s="1136"/>
      <c r="C281" s="1129"/>
      <c r="D281" s="1098"/>
      <c r="E281" s="1098"/>
      <c r="F281" s="1099"/>
      <c r="G281" s="1098"/>
      <c r="H281" s="1153"/>
      <c r="I281" s="1099"/>
    </row>
    <row r="282" spans="2:9">
      <c r="B282" s="1136"/>
      <c r="C282" s="1129"/>
      <c r="D282" s="1098"/>
      <c r="E282" s="1098"/>
      <c r="F282" s="1099"/>
      <c r="G282" s="1098"/>
      <c r="H282" s="1153"/>
      <c r="I282" s="1099"/>
    </row>
    <row r="283" spans="2:9">
      <c r="B283" s="1136"/>
      <c r="C283" s="1129"/>
      <c r="D283" s="1098"/>
      <c r="E283" s="1098"/>
      <c r="F283" s="1099"/>
      <c r="G283" s="1098"/>
      <c r="H283" s="1153"/>
      <c r="I283" s="1099"/>
    </row>
    <row r="284" spans="2:9">
      <c r="B284" s="1136"/>
      <c r="C284" s="1129"/>
      <c r="D284" s="1098"/>
      <c r="E284" s="1098"/>
      <c r="F284" s="1099"/>
      <c r="G284" s="1098"/>
      <c r="H284" s="1153"/>
      <c r="I284" s="1099"/>
    </row>
    <row r="285" spans="2:9">
      <c r="B285" s="1136"/>
      <c r="C285" s="1129"/>
      <c r="D285" s="1098"/>
      <c r="E285" s="1098"/>
      <c r="F285" s="1099"/>
      <c r="G285" s="1098"/>
      <c r="H285" s="1153"/>
      <c r="I285" s="1099"/>
    </row>
    <row r="286" spans="2:9">
      <c r="B286" s="1136"/>
      <c r="C286" s="1129"/>
      <c r="D286" s="1098"/>
      <c r="E286" s="1098"/>
      <c r="F286" s="1099"/>
      <c r="G286" s="1098"/>
      <c r="H286" s="1153"/>
      <c r="I286" s="1099"/>
    </row>
    <row r="287" spans="2:9">
      <c r="B287" s="1136"/>
      <c r="C287" s="1129"/>
      <c r="D287" s="1098"/>
      <c r="E287" s="1098"/>
      <c r="F287" s="1099"/>
      <c r="G287" s="1098"/>
      <c r="H287" s="1153"/>
      <c r="I287" s="1099"/>
    </row>
    <row r="288" spans="2:9">
      <c r="B288" s="1136"/>
      <c r="C288" s="1129"/>
      <c r="D288" s="1098"/>
      <c r="E288" s="1098"/>
      <c r="F288" s="1099"/>
      <c r="G288" s="1098"/>
      <c r="H288" s="1153"/>
      <c r="I288" s="1099"/>
    </row>
    <row r="289" spans="2:9">
      <c r="B289" s="1136"/>
      <c r="C289" s="1129"/>
      <c r="D289" s="1098"/>
      <c r="E289" s="1098"/>
      <c r="F289" s="1099"/>
      <c r="G289" s="1098"/>
      <c r="H289" s="1153"/>
      <c r="I289" s="1099"/>
    </row>
    <row r="290" spans="2:9">
      <c r="B290" s="1136"/>
      <c r="C290" s="1129"/>
      <c r="D290" s="1098"/>
      <c r="E290" s="1098"/>
      <c r="F290" s="1099"/>
      <c r="G290" s="1098"/>
      <c r="H290" s="1153"/>
      <c r="I290" s="1099"/>
    </row>
    <row r="291" spans="2:9">
      <c r="B291" s="1136"/>
      <c r="C291" s="1129"/>
      <c r="D291" s="1098"/>
      <c r="E291" s="1098"/>
      <c r="F291" s="1099"/>
      <c r="G291" s="1098"/>
      <c r="H291" s="1153"/>
      <c r="I291" s="1099"/>
    </row>
    <row r="292" spans="2:9">
      <c r="B292" s="1136"/>
      <c r="C292" s="1129"/>
      <c r="D292" s="1098"/>
      <c r="E292" s="1098"/>
      <c r="F292" s="1099"/>
      <c r="G292" s="1098"/>
      <c r="H292" s="1153"/>
      <c r="I292" s="1099"/>
    </row>
    <row r="293" spans="2:9">
      <c r="B293" s="1136"/>
      <c r="C293" s="1129"/>
      <c r="D293" s="1098"/>
      <c r="E293" s="1098"/>
      <c r="F293" s="1099"/>
      <c r="G293" s="1098"/>
      <c r="H293" s="1153"/>
      <c r="I293" s="1099"/>
    </row>
    <row r="294" spans="2:9">
      <c r="B294" s="1136"/>
      <c r="C294" s="1129"/>
      <c r="D294" s="1098"/>
      <c r="E294" s="1098"/>
      <c r="F294" s="1099"/>
      <c r="G294" s="1098"/>
      <c r="H294" s="1153"/>
      <c r="I294" s="1099"/>
    </row>
    <row r="295" spans="2:9">
      <c r="B295" s="1136"/>
      <c r="C295" s="1129"/>
      <c r="D295" s="1098"/>
      <c r="E295" s="1098"/>
      <c r="F295" s="1099"/>
      <c r="G295" s="1098"/>
      <c r="H295" s="1153"/>
      <c r="I295" s="1099"/>
    </row>
    <row r="296" spans="2:9">
      <c r="B296" s="1136"/>
      <c r="C296" s="1129"/>
      <c r="D296" s="1098"/>
      <c r="E296" s="1098"/>
      <c r="F296" s="1099"/>
      <c r="G296" s="1098"/>
      <c r="H296" s="1153"/>
      <c r="I296" s="1099"/>
    </row>
    <row r="297" spans="2:9">
      <c r="B297" s="1136"/>
      <c r="C297" s="1129"/>
      <c r="D297" s="1098"/>
      <c r="E297" s="1098"/>
      <c r="F297" s="1099"/>
      <c r="G297" s="1098"/>
      <c r="H297" s="1153"/>
      <c r="I297" s="1099"/>
    </row>
    <row r="298" spans="2:9">
      <c r="B298" s="1136"/>
      <c r="C298" s="1129"/>
      <c r="D298" s="1098"/>
      <c r="E298" s="1098"/>
      <c r="F298" s="1099"/>
      <c r="G298" s="1098"/>
      <c r="H298" s="1153"/>
      <c r="I298" s="1099"/>
    </row>
    <row r="299" spans="2:9">
      <c r="B299" s="1136"/>
      <c r="C299" s="1129"/>
      <c r="D299" s="1098"/>
      <c r="E299" s="1098"/>
      <c r="F299" s="1099"/>
      <c r="G299" s="1098"/>
      <c r="H299" s="1153"/>
      <c r="I299" s="1099"/>
    </row>
    <row r="300" spans="2:9">
      <c r="B300" s="1136"/>
      <c r="C300" s="1129"/>
      <c r="D300" s="1098"/>
      <c r="E300" s="1098"/>
      <c r="F300" s="1099"/>
      <c r="G300" s="1098"/>
      <c r="H300" s="1153"/>
      <c r="I300" s="1099"/>
    </row>
    <row r="301" spans="2:9">
      <c r="B301" s="1136"/>
      <c r="C301" s="1129"/>
      <c r="D301" s="1098"/>
      <c r="E301" s="1098"/>
      <c r="F301" s="1099"/>
      <c r="G301" s="1098"/>
      <c r="H301" s="1153"/>
      <c r="I301" s="1099"/>
    </row>
    <row r="302" spans="2:9">
      <c r="B302" s="1136"/>
      <c r="C302" s="1129"/>
      <c r="D302" s="1098"/>
      <c r="E302" s="1098"/>
      <c r="F302" s="1099"/>
      <c r="G302" s="1098"/>
      <c r="H302" s="1153"/>
      <c r="I302" s="1099"/>
    </row>
    <row r="303" spans="2:9">
      <c r="B303" s="1136"/>
      <c r="C303" s="1129"/>
      <c r="D303" s="1098"/>
      <c r="E303" s="1098"/>
      <c r="F303" s="1099"/>
      <c r="G303" s="1098"/>
      <c r="H303" s="1153"/>
      <c r="I303" s="1099"/>
    </row>
    <row r="304" spans="2:9">
      <c r="B304" s="1136"/>
      <c r="C304" s="1129"/>
      <c r="D304" s="1098"/>
      <c r="E304" s="1098"/>
      <c r="F304" s="1099"/>
      <c r="G304" s="1098"/>
      <c r="H304" s="1153"/>
      <c r="I304" s="1099"/>
    </row>
    <row r="305" spans="2:9">
      <c r="B305" s="1136"/>
      <c r="C305" s="1129"/>
      <c r="D305" s="1098"/>
      <c r="E305" s="1098"/>
      <c r="F305" s="1099"/>
      <c r="G305" s="1098"/>
      <c r="H305" s="1153"/>
      <c r="I305" s="1099"/>
    </row>
    <row r="306" spans="2:9">
      <c r="B306" s="1136"/>
      <c r="C306" s="1129"/>
      <c r="D306" s="1098"/>
      <c r="E306" s="1098"/>
      <c r="F306" s="1099"/>
      <c r="G306" s="1098"/>
      <c r="H306" s="1153"/>
      <c r="I306" s="1099"/>
    </row>
    <row r="307" spans="2:9">
      <c r="B307" s="1136"/>
      <c r="C307" s="1129"/>
      <c r="D307" s="1098"/>
      <c r="E307" s="1098"/>
      <c r="F307" s="1099"/>
      <c r="G307" s="1098"/>
      <c r="H307" s="1153"/>
      <c r="I307" s="1099"/>
    </row>
    <row r="308" spans="2:9">
      <c r="B308" s="1136"/>
      <c r="C308" s="1129"/>
      <c r="D308" s="1098"/>
      <c r="E308" s="1098"/>
      <c r="F308" s="1099"/>
      <c r="G308" s="1098"/>
      <c r="H308" s="1153"/>
      <c r="I308" s="1099"/>
    </row>
    <row r="309" spans="2:9">
      <c r="B309" s="1136"/>
      <c r="C309" s="1129"/>
      <c r="D309" s="1098"/>
      <c r="E309" s="1098"/>
      <c r="F309" s="1099"/>
      <c r="G309" s="1098"/>
      <c r="H309" s="1153"/>
      <c r="I309" s="1099"/>
    </row>
    <row r="310" spans="2:9">
      <c r="B310" s="1136"/>
      <c r="C310" s="1129"/>
      <c r="D310" s="1098"/>
      <c r="E310" s="1098"/>
      <c r="F310" s="1099"/>
      <c r="G310" s="1098"/>
      <c r="H310" s="1153"/>
      <c r="I310" s="1099"/>
    </row>
    <row r="311" spans="2:9">
      <c r="B311" s="1136"/>
      <c r="C311" s="1129"/>
      <c r="D311" s="1098"/>
      <c r="E311" s="1098"/>
      <c r="F311" s="1099"/>
      <c r="G311" s="1098"/>
      <c r="H311" s="1153"/>
      <c r="I311" s="1099"/>
    </row>
    <row r="312" spans="2:9">
      <c r="B312" s="1136"/>
      <c r="C312" s="1129"/>
      <c r="D312" s="1098"/>
      <c r="E312" s="1098"/>
      <c r="F312" s="1099"/>
      <c r="G312" s="1098"/>
      <c r="H312" s="1153"/>
      <c r="I312" s="1099"/>
    </row>
    <row r="313" spans="2:9">
      <c r="B313" s="1136"/>
      <c r="C313" s="1129"/>
      <c r="D313" s="1098"/>
      <c r="E313" s="1098"/>
      <c r="F313" s="1099"/>
      <c r="G313" s="1098"/>
      <c r="H313" s="1153"/>
      <c r="I313" s="1099"/>
    </row>
    <row r="314" spans="2:9">
      <c r="B314" s="1136"/>
      <c r="C314" s="1129"/>
      <c r="D314" s="1098"/>
      <c r="E314" s="1098"/>
      <c r="F314" s="1099"/>
      <c r="G314" s="1098"/>
      <c r="H314" s="1153"/>
      <c r="I314" s="1099"/>
    </row>
    <row r="315" spans="2:9">
      <c r="B315" s="1136"/>
      <c r="C315" s="1129"/>
      <c r="D315" s="1098"/>
      <c r="E315" s="1098"/>
      <c r="F315" s="1099"/>
      <c r="G315" s="1098"/>
      <c r="H315" s="1153"/>
      <c r="I315" s="1099"/>
    </row>
    <row r="316" spans="2:9">
      <c r="B316" s="1136"/>
      <c r="C316" s="1129"/>
      <c r="D316" s="1098"/>
      <c r="E316" s="1098"/>
      <c r="F316" s="1099"/>
      <c r="G316" s="1098"/>
      <c r="H316" s="1153"/>
      <c r="I316" s="1099"/>
    </row>
    <row r="317" spans="2:9">
      <c r="B317" s="1136"/>
      <c r="C317" s="1129"/>
      <c r="D317" s="1098"/>
      <c r="E317" s="1098"/>
      <c r="F317" s="1099"/>
      <c r="G317" s="1098"/>
      <c r="H317" s="1153"/>
      <c r="I317" s="1099"/>
    </row>
    <row r="318" spans="2:9">
      <c r="B318" s="1136"/>
      <c r="C318" s="1129"/>
      <c r="D318" s="1098"/>
      <c r="E318" s="1098"/>
      <c r="F318" s="1099"/>
      <c r="G318" s="1098"/>
      <c r="H318" s="1153"/>
      <c r="I318" s="1099"/>
    </row>
    <row r="319" spans="2:9">
      <c r="B319" s="1136"/>
      <c r="C319" s="1129"/>
      <c r="D319" s="1098"/>
      <c r="E319" s="1098"/>
      <c r="F319" s="1099"/>
      <c r="G319" s="1098"/>
      <c r="H319" s="1153"/>
      <c r="I319" s="1099"/>
    </row>
    <row r="320" spans="2:9">
      <c r="B320" s="1136"/>
      <c r="C320" s="1129"/>
      <c r="D320" s="1098"/>
      <c r="E320" s="1098"/>
      <c r="F320" s="1099"/>
      <c r="G320" s="1098"/>
      <c r="H320" s="1153"/>
      <c r="I320" s="1099"/>
    </row>
    <row r="321" spans="2:9">
      <c r="B321" s="1136"/>
      <c r="C321" s="1129"/>
      <c r="D321" s="1098"/>
      <c r="E321" s="1098"/>
      <c r="F321" s="1099"/>
      <c r="G321" s="1098"/>
      <c r="H321" s="1153"/>
      <c r="I321" s="1099"/>
    </row>
    <row r="322" spans="2:9">
      <c r="B322" s="1136"/>
      <c r="C322" s="1129"/>
      <c r="D322" s="1098"/>
      <c r="E322" s="1098"/>
      <c r="F322" s="1099"/>
      <c r="G322" s="1098"/>
      <c r="H322" s="1153"/>
      <c r="I322" s="1099"/>
    </row>
    <row r="323" spans="2:9">
      <c r="B323" s="1136"/>
      <c r="C323" s="1129"/>
      <c r="D323" s="1098"/>
      <c r="E323" s="1098"/>
      <c r="F323" s="1099"/>
      <c r="G323" s="1098"/>
      <c r="H323" s="1153"/>
      <c r="I323" s="1099"/>
    </row>
    <row r="324" spans="2:9">
      <c r="B324" s="1136"/>
      <c r="C324" s="1129"/>
      <c r="D324" s="1098"/>
      <c r="E324" s="1098"/>
      <c r="F324" s="1099"/>
      <c r="G324" s="1098"/>
      <c r="H324" s="1153"/>
      <c r="I324" s="1099"/>
    </row>
    <row r="325" spans="2:9">
      <c r="B325" s="1136"/>
      <c r="C325" s="1129"/>
      <c r="D325" s="1098"/>
      <c r="E325" s="1098"/>
      <c r="F325" s="1099"/>
      <c r="G325" s="1098"/>
      <c r="H325" s="1153"/>
      <c r="I325" s="1099"/>
    </row>
    <row r="326" spans="2:9">
      <c r="B326" s="1136"/>
      <c r="C326" s="1129"/>
      <c r="D326" s="1098"/>
      <c r="E326" s="1098"/>
      <c r="F326" s="1099"/>
      <c r="G326" s="1098"/>
      <c r="H326" s="1153"/>
      <c r="I326" s="1099"/>
    </row>
    <row r="327" spans="2:9">
      <c r="B327" s="1136"/>
      <c r="C327" s="1129"/>
      <c r="D327" s="1098"/>
      <c r="E327" s="1098"/>
      <c r="F327" s="1099"/>
      <c r="G327" s="1098"/>
      <c r="H327" s="1153"/>
      <c r="I327" s="1099"/>
    </row>
    <row r="328" spans="2:9">
      <c r="B328" s="1136"/>
      <c r="C328" s="1129"/>
      <c r="D328" s="1098"/>
      <c r="E328" s="1098"/>
      <c r="F328" s="1099"/>
      <c r="G328" s="1098"/>
      <c r="H328" s="1153"/>
      <c r="I328" s="1099"/>
    </row>
    <row r="329" spans="2:9">
      <c r="B329" s="1136"/>
      <c r="C329" s="1129"/>
      <c r="D329" s="1098"/>
      <c r="E329" s="1098"/>
      <c r="F329" s="1099"/>
      <c r="G329" s="1098"/>
      <c r="H329" s="1153"/>
      <c r="I329" s="1099"/>
    </row>
    <row r="330" spans="2:9">
      <c r="B330" s="1136"/>
      <c r="C330" s="1129"/>
      <c r="D330" s="1098"/>
      <c r="E330" s="1098"/>
      <c r="F330" s="1099"/>
      <c r="G330" s="1098"/>
      <c r="H330" s="1153"/>
      <c r="I330" s="1099"/>
    </row>
    <row r="331" spans="2:9">
      <c r="B331" s="1136"/>
      <c r="C331" s="1129"/>
      <c r="D331" s="1098"/>
      <c r="E331" s="1098"/>
      <c r="F331" s="1099"/>
      <c r="G331" s="1098"/>
      <c r="H331" s="1153"/>
      <c r="I331" s="1099"/>
    </row>
    <row r="332" spans="2:9">
      <c r="B332" s="1136"/>
      <c r="C332" s="1129"/>
      <c r="D332" s="1098"/>
      <c r="E332" s="1098"/>
      <c r="F332" s="1099"/>
      <c r="G332" s="1098"/>
      <c r="H332" s="1153"/>
      <c r="I332" s="1099"/>
    </row>
    <row r="333" spans="2:9">
      <c r="B333" s="1136"/>
      <c r="C333" s="1129"/>
      <c r="D333" s="1098"/>
      <c r="E333" s="1098"/>
      <c r="F333" s="1099"/>
      <c r="G333" s="1098"/>
      <c r="H333" s="1153"/>
      <c r="I333" s="1099"/>
    </row>
    <row r="334" spans="2:9">
      <c r="B334" s="1136"/>
      <c r="C334" s="1129"/>
      <c r="D334" s="1098"/>
      <c r="E334" s="1098"/>
      <c r="F334" s="1099"/>
      <c r="G334" s="1098"/>
      <c r="H334" s="1153"/>
      <c r="I334" s="1099"/>
    </row>
    <row r="335" spans="2:9">
      <c r="B335" s="1136"/>
      <c r="C335" s="1129"/>
      <c r="D335" s="1098"/>
      <c r="E335" s="1098"/>
      <c r="F335" s="1099"/>
      <c r="G335" s="1098"/>
      <c r="H335" s="1153"/>
      <c r="I335" s="1099"/>
    </row>
    <row r="336" spans="2:9">
      <c r="B336" s="1136"/>
      <c r="C336" s="1129"/>
      <c r="D336" s="1098"/>
      <c r="E336" s="1098"/>
      <c r="F336" s="1099"/>
      <c r="G336" s="1098"/>
      <c r="H336" s="1153"/>
      <c r="I336" s="1099"/>
    </row>
    <row r="337" spans="2:9">
      <c r="B337" s="1136"/>
      <c r="C337" s="1129"/>
      <c r="D337" s="1098"/>
      <c r="E337" s="1098"/>
      <c r="F337" s="1099"/>
      <c r="G337" s="1098"/>
      <c r="H337" s="1153"/>
      <c r="I337" s="1099"/>
    </row>
    <row r="338" spans="2:9">
      <c r="B338" s="1136"/>
      <c r="C338" s="1129"/>
      <c r="D338" s="1098"/>
      <c r="E338" s="1098"/>
      <c r="F338" s="1099"/>
      <c r="G338" s="1098"/>
      <c r="H338" s="1153"/>
      <c r="I338" s="1099"/>
    </row>
    <row r="339" spans="2:9">
      <c r="B339" s="1136"/>
      <c r="C339" s="1129"/>
      <c r="D339" s="1098"/>
      <c r="E339" s="1098"/>
      <c r="F339" s="1099"/>
      <c r="G339" s="1098"/>
      <c r="H339" s="1153"/>
      <c r="I339" s="1099"/>
    </row>
    <row r="340" spans="2:9">
      <c r="B340" s="1136"/>
      <c r="C340" s="1129"/>
      <c r="D340" s="1098"/>
      <c r="E340" s="1098"/>
      <c r="F340" s="1099"/>
      <c r="G340" s="1098"/>
      <c r="H340" s="1153"/>
      <c r="I340" s="1099"/>
    </row>
    <row r="341" spans="2:9">
      <c r="B341" s="1136"/>
      <c r="C341" s="1129"/>
      <c r="D341" s="1098"/>
      <c r="E341" s="1098"/>
      <c r="F341" s="1099"/>
      <c r="G341" s="1098"/>
      <c r="H341" s="1153"/>
      <c r="I341" s="1099"/>
    </row>
    <row r="342" spans="2:9">
      <c r="B342" s="1136"/>
      <c r="C342" s="1129"/>
      <c r="D342" s="1098"/>
      <c r="E342" s="1098"/>
      <c r="F342" s="1099"/>
      <c r="G342" s="1098"/>
      <c r="H342" s="1153"/>
      <c r="I342" s="1099"/>
    </row>
    <row r="343" spans="2:9">
      <c r="B343" s="1136"/>
      <c r="C343" s="1129"/>
      <c r="D343" s="1098"/>
      <c r="E343" s="1098"/>
      <c r="F343" s="1099"/>
      <c r="G343" s="1098"/>
      <c r="H343" s="1153"/>
      <c r="I343" s="1099"/>
    </row>
    <row r="344" spans="2:9">
      <c r="B344" s="1136"/>
      <c r="C344" s="1129"/>
      <c r="D344" s="1098"/>
      <c r="E344" s="1098"/>
      <c r="F344" s="1099"/>
      <c r="G344" s="1098"/>
      <c r="H344" s="1153"/>
      <c r="I344" s="1099"/>
    </row>
    <row r="345" spans="2:9">
      <c r="B345" s="1136"/>
      <c r="C345" s="1129"/>
      <c r="D345" s="1098"/>
      <c r="E345" s="1098"/>
      <c r="F345" s="1099"/>
      <c r="G345" s="1098"/>
      <c r="H345" s="1153"/>
      <c r="I345" s="1099"/>
    </row>
    <row r="346" spans="2:9">
      <c r="B346" s="1136"/>
      <c r="C346" s="1129"/>
      <c r="D346" s="1098"/>
      <c r="E346" s="1098"/>
      <c r="F346" s="1099"/>
      <c r="G346" s="1098"/>
      <c r="H346" s="1153"/>
      <c r="I346" s="1099"/>
    </row>
    <row r="347" spans="2:9">
      <c r="B347" s="1136"/>
      <c r="C347" s="1129"/>
      <c r="D347" s="1098"/>
      <c r="E347" s="1098"/>
      <c r="F347" s="1099"/>
      <c r="G347" s="1098"/>
      <c r="H347" s="1153"/>
      <c r="I347" s="1099"/>
    </row>
    <row r="348" spans="2:9">
      <c r="B348" s="1136"/>
      <c r="C348" s="1129"/>
      <c r="D348" s="1098"/>
      <c r="E348" s="1098"/>
      <c r="F348" s="1099"/>
      <c r="G348" s="1098"/>
      <c r="H348" s="1153"/>
      <c r="I348" s="1099"/>
    </row>
    <row r="349" spans="2:9">
      <c r="B349" s="1136"/>
      <c r="C349" s="1129"/>
      <c r="D349" s="1098"/>
      <c r="E349" s="1098"/>
      <c r="F349" s="1099"/>
      <c r="G349" s="1098"/>
      <c r="H349" s="1153"/>
      <c r="I349" s="1099"/>
    </row>
    <row r="350" spans="2:9">
      <c r="B350" s="1136"/>
      <c r="C350" s="1129"/>
      <c r="D350" s="1098"/>
      <c r="E350" s="1098"/>
      <c r="F350" s="1099"/>
      <c r="G350" s="1098"/>
      <c r="H350" s="1153"/>
      <c r="I350" s="1099"/>
    </row>
    <row r="351" spans="2:9">
      <c r="B351" s="1136"/>
      <c r="C351" s="1129"/>
      <c r="D351" s="1098"/>
      <c r="E351" s="1098"/>
      <c r="F351" s="1099"/>
      <c r="G351" s="1098"/>
      <c r="H351" s="1153"/>
      <c r="I351" s="1099"/>
    </row>
    <row r="352" spans="2:9">
      <c r="B352" s="1136"/>
      <c r="C352" s="1129"/>
      <c r="D352" s="1098"/>
      <c r="E352" s="1098"/>
      <c r="F352" s="1099"/>
      <c r="G352" s="1098"/>
      <c r="H352" s="1153"/>
      <c r="I352" s="1099"/>
    </row>
    <row r="353" spans="2:9">
      <c r="B353" s="1136"/>
      <c r="C353" s="1129"/>
      <c r="D353" s="1098"/>
      <c r="E353" s="1098"/>
      <c r="F353" s="1099"/>
      <c r="G353" s="1098"/>
      <c r="H353" s="1153"/>
      <c r="I353" s="1099"/>
    </row>
    <row r="354" spans="2:9">
      <c r="B354" s="1136"/>
      <c r="C354" s="1129"/>
      <c r="D354" s="1098"/>
      <c r="E354" s="1098"/>
      <c r="F354" s="1099"/>
      <c r="G354" s="1098"/>
      <c r="H354" s="1153"/>
      <c r="I354" s="1099"/>
    </row>
    <row r="355" spans="2:9">
      <c r="B355" s="1136"/>
      <c r="C355" s="1129"/>
      <c r="D355" s="1098"/>
      <c r="E355" s="1098"/>
      <c r="F355" s="1099"/>
      <c r="G355" s="1098"/>
      <c r="H355" s="1153"/>
      <c r="I355" s="1099"/>
    </row>
    <row r="356" spans="2:9">
      <c r="B356" s="1136"/>
      <c r="C356" s="1129"/>
      <c r="D356" s="1098"/>
      <c r="E356" s="1098"/>
      <c r="F356" s="1099"/>
      <c r="G356" s="1098"/>
      <c r="H356" s="1153"/>
      <c r="I356" s="1099"/>
    </row>
    <row r="357" spans="2:9">
      <c r="B357" s="1136"/>
      <c r="C357" s="1129"/>
      <c r="D357" s="1098"/>
      <c r="E357" s="1098"/>
      <c r="F357" s="1099"/>
      <c r="G357" s="1098"/>
      <c r="H357" s="1153"/>
      <c r="I357" s="1099"/>
    </row>
    <row r="358" spans="2:9">
      <c r="B358" s="1136"/>
      <c r="C358" s="1129"/>
      <c r="D358" s="1098"/>
      <c r="E358" s="1098"/>
      <c r="F358" s="1099"/>
      <c r="G358" s="1098"/>
      <c r="H358" s="1153"/>
      <c r="I358" s="1099"/>
    </row>
    <row r="359" spans="2:9">
      <c r="B359" s="1136"/>
      <c r="C359" s="1129"/>
      <c r="D359" s="1098"/>
      <c r="E359" s="1098"/>
      <c r="F359" s="1099"/>
      <c r="G359" s="1098"/>
      <c r="H359" s="1153"/>
      <c r="I359" s="1099"/>
    </row>
    <row r="360" spans="2:9">
      <c r="B360" s="1136"/>
      <c r="C360" s="1129"/>
      <c r="D360" s="1098"/>
      <c r="E360" s="1098"/>
      <c r="F360" s="1099"/>
      <c r="G360" s="1098"/>
      <c r="H360" s="1153"/>
      <c r="I360" s="1099"/>
    </row>
    <row r="361" spans="2:9">
      <c r="B361" s="1136"/>
      <c r="C361" s="1129"/>
      <c r="D361" s="1098"/>
      <c r="E361" s="1098"/>
      <c r="F361" s="1099"/>
      <c r="G361" s="1098"/>
      <c r="H361" s="1153"/>
      <c r="I361" s="1099"/>
    </row>
    <row r="362" spans="2:9">
      <c r="B362" s="1136"/>
      <c r="C362" s="1129"/>
      <c r="D362" s="1098"/>
      <c r="E362" s="1098"/>
      <c r="F362" s="1099"/>
      <c r="G362" s="1098"/>
      <c r="H362" s="1153"/>
      <c r="I362" s="1099"/>
    </row>
    <row r="363" spans="2:9">
      <c r="B363" s="1136"/>
      <c r="C363" s="1129"/>
      <c r="D363" s="1098"/>
      <c r="E363" s="1098"/>
      <c r="F363" s="1099"/>
      <c r="G363" s="1098"/>
      <c r="H363" s="1153"/>
      <c r="I363" s="1099"/>
    </row>
    <row r="364" spans="2:9">
      <c r="B364" s="1136"/>
      <c r="C364" s="1129"/>
      <c r="D364" s="1098"/>
      <c r="E364" s="1098"/>
      <c r="F364" s="1099"/>
      <c r="G364" s="1098"/>
      <c r="H364" s="1153"/>
      <c r="I364" s="1099"/>
    </row>
    <row r="365" spans="2:9">
      <c r="B365" s="1136"/>
      <c r="C365" s="1129"/>
      <c r="D365" s="1098"/>
      <c r="E365" s="1098"/>
      <c r="F365" s="1099"/>
      <c r="G365" s="1098"/>
      <c r="H365" s="1153"/>
      <c r="I365" s="1099"/>
    </row>
    <row r="366" spans="2:9">
      <c r="B366" s="1136"/>
      <c r="C366" s="1129"/>
      <c r="D366" s="1098"/>
      <c r="E366" s="1098"/>
      <c r="F366" s="1099"/>
      <c r="G366" s="1098"/>
      <c r="H366" s="1153"/>
      <c r="I366" s="1099"/>
    </row>
    <row r="367" spans="2:9">
      <c r="B367" s="1136"/>
      <c r="C367" s="1129"/>
      <c r="D367" s="1098"/>
      <c r="E367" s="1098"/>
      <c r="F367" s="1099"/>
      <c r="G367" s="1098"/>
      <c r="H367" s="1153"/>
      <c r="I367" s="1099"/>
    </row>
    <row r="368" spans="2:9">
      <c r="B368" s="1136"/>
      <c r="C368" s="1129"/>
      <c r="D368" s="1098"/>
      <c r="E368" s="1098"/>
      <c r="F368" s="1099"/>
      <c r="G368" s="1098"/>
      <c r="H368" s="1153"/>
      <c r="I368" s="1099"/>
    </row>
    <row r="369" spans="2:9">
      <c r="B369" s="1136"/>
      <c r="C369" s="1129"/>
      <c r="D369" s="1098"/>
      <c r="E369" s="1098"/>
      <c r="F369" s="1099"/>
      <c r="G369" s="1098"/>
      <c r="H369" s="1153"/>
      <c r="I369" s="1099"/>
    </row>
    <row r="370" spans="2:9">
      <c r="B370" s="1136"/>
      <c r="C370" s="1129"/>
      <c r="D370" s="1098"/>
      <c r="E370" s="1098"/>
      <c r="F370" s="1099"/>
      <c r="G370" s="1098"/>
      <c r="H370" s="1153"/>
      <c r="I370" s="1099"/>
    </row>
    <row r="371" spans="2:9">
      <c r="B371" s="1136"/>
      <c r="C371" s="1129"/>
      <c r="D371" s="1098"/>
      <c r="E371" s="1098"/>
      <c r="F371" s="1099"/>
      <c r="G371" s="1098"/>
      <c r="H371" s="1153"/>
      <c r="I371" s="1099"/>
    </row>
    <row r="372" spans="2:9">
      <c r="B372" s="1136"/>
      <c r="C372" s="1129"/>
      <c r="D372" s="1098"/>
      <c r="E372" s="1098"/>
      <c r="F372" s="1099"/>
      <c r="G372" s="1098"/>
      <c r="H372" s="1153"/>
      <c r="I372" s="1099"/>
    </row>
    <row r="373" spans="2:9">
      <c r="B373" s="1136"/>
      <c r="C373" s="1129"/>
      <c r="D373" s="1098"/>
      <c r="E373" s="1098"/>
      <c r="F373" s="1099"/>
      <c r="G373" s="1098"/>
      <c r="H373" s="1153"/>
      <c r="I373" s="1099"/>
    </row>
    <row r="374" spans="2:9">
      <c r="B374" s="1136"/>
      <c r="C374" s="1129"/>
      <c r="D374" s="1098"/>
      <c r="E374" s="1098"/>
      <c r="F374" s="1099"/>
      <c r="G374" s="1098"/>
      <c r="H374" s="1153"/>
      <c r="I374" s="1099"/>
    </row>
    <row r="375" spans="2:9">
      <c r="B375" s="1136"/>
      <c r="C375" s="1129"/>
      <c r="D375" s="1098"/>
      <c r="E375" s="1098"/>
      <c r="F375" s="1099"/>
      <c r="G375" s="1098"/>
      <c r="H375" s="1153"/>
      <c r="I375" s="1099"/>
    </row>
    <row r="376" spans="2:9">
      <c r="B376" s="1136"/>
      <c r="C376" s="1129"/>
      <c r="D376" s="1098"/>
      <c r="E376" s="1098"/>
      <c r="F376" s="1099"/>
      <c r="G376" s="1098"/>
      <c r="H376" s="1153"/>
      <c r="I376" s="1099"/>
    </row>
    <row r="377" spans="2:9">
      <c r="B377" s="1136"/>
      <c r="C377" s="1129"/>
      <c r="D377" s="1098"/>
      <c r="E377" s="1098"/>
      <c r="F377" s="1099"/>
      <c r="G377" s="1098"/>
      <c r="H377" s="1153"/>
      <c r="I377" s="1099"/>
    </row>
    <row r="378" spans="2:9">
      <c r="B378" s="1136"/>
      <c r="C378" s="1129"/>
      <c r="D378" s="1098"/>
      <c r="E378" s="1098"/>
      <c r="F378" s="1099"/>
      <c r="G378" s="1098"/>
      <c r="H378" s="1153"/>
      <c r="I378" s="1099"/>
    </row>
    <row r="379" spans="2:9">
      <c r="B379" s="1136"/>
      <c r="C379" s="1129"/>
      <c r="D379" s="1098"/>
      <c r="E379" s="1098"/>
      <c r="F379" s="1099"/>
      <c r="G379" s="1098"/>
      <c r="H379" s="1153"/>
      <c r="I379" s="1099"/>
    </row>
    <row r="380" spans="2:9">
      <c r="B380" s="1136"/>
      <c r="C380" s="1129"/>
      <c r="D380" s="1098"/>
      <c r="E380" s="1098"/>
      <c r="F380" s="1099"/>
      <c r="G380" s="1098"/>
      <c r="H380" s="1153"/>
      <c r="I380" s="1099"/>
    </row>
    <row r="381" spans="2:9">
      <c r="B381" s="1136"/>
      <c r="C381" s="1129"/>
      <c r="D381" s="1098"/>
      <c r="E381" s="1098"/>
      <c r="F381" s="1099"/>
      <c r="G381" s="1098"/>
      <c r="H381" s="1153"/>
      <c r="I381" s="1099"/>
    </row>
    <row r="382" spans="2:9">
      <c r="B382" s="1136"/>
      <c r="C382" s="1129"/>
      <c r="D382" s="1098"/>
      <c r="E382" s="1098"/>
      <c r="F382" s="1099"/>
      <c r="G382" s="1098"/>
      <c r="H382" s="1153"/>
      <c r="I382" s="1099"/>
    </row>
    <row r="383" spans="2:9">
      <c r="B383" s="1136"/>
      <c r="C383" s="1129"/>
      <c r="D383" s="1098"/>
      <c r="E383" s="1098"/>
      <c r="F383" s="1099"/>
      <c r="G383" s="1098"/>
      <c r="H383" s="1153"/>
      <c r="I383" s="1099"/>
    </row>
    <row r="384" spans="2:9">
      <c r="B384" s="1136"/>
      <c r="C384" s="1129"/>
      <c r="D384" s="1098"/>
      <c r="E384" s="1098"/>
      <c r="F384" s="1099"/>
      <c r="G384" s="1098"/>
      <c r="H384" s="1153"/>
      <c r="I384" s="1099"/>
    </row>
    <row r="385" spans="2:9">
      <c r="B385" s="1136"/>
      <c r="C385" s="1129"/>
      <c r="D385" s="1098"/>
      <c r="E385" s="1098"/>
      <c r="F385" s="1099"/>
      <c r="G385" s="1098"/>
      <c r="H385" s="1153"/>
      <c r="I385" s="1099"/>
    </row>
    <row r="386" spans="2:9">
      <c r="B386" s="1136"/>
      <c r="C386" s="1129"/>
      <c r="D386" s="1098"/>
      <c r="E386" s="1098"/>
      <c r="F386" s="1099"/>
      <c r="G386" s="1098"/>
      <c r="H386" s="1153"/>
      <c r="I386" s="1099"/>
    </row>
    <row r="387" spans="2:9">
      <c r="B387" s="1136"/>
      <c r="C387" s="1129"/>
      <c r="D387" s="1098"/>
      <c r="E387" s="1098"/>
      <c r="F387" s="1099"/>
      <c r="G387" s="1098"/>
      <c r="H387" s="1153"/>
      <c r="I387" s="1099"/>
    </row>
    <row r="388" spans="2:9">
      <c r="B388" s="1136"/>
      <c r="C388" s="1129"/>
      <c r="D388" s="1098"/>
      <c r="E388" s="1098"/>
      <c r="F388" s="1099"/>
      <c r="G388" s="1098"/>
      <c r="H388" s="1153"/>
      <c r="I388" s="1099"/>
    </row>
    <row r="389" spans="2:9">
      <c r="B389" s="1136"/>
      <c r="C389" s="1129"/>
      <c r="D389" s="1098"/>
      <c r="E389" s="1098"/>
      <c r="F389" s="1099"/>
      <c r="G389" s="1098"/>
      <c r="H389" s="1153"/>
      <c r="I389" s="1099"/>
    </row>
    <row r="390" spans="2:9">
      <c r="B390" s="1136"/>
      <c r="C390" s="1129"/>
      <c r="D390" s="1098"/>
      <c r="E390" s="1098"/>
      <c r="F390" s="1099"/>
      <c r="G390" s="1098"/>
      <c r="H390" s="1153"/>
      <c r="I390" s="1099"/>
    </row>
    <row r="391" spans="2:9">
      <c r="B391" s="1136"/>
      <c r="C391" s="1129"/>
      <c r="D391" s="1098"/>
      <c r="E391" s="1098"/>
      <c r="F391" s="1099"/>
      <c r="G391" s="1098"/>
      <c r="H391" s="1153"/>
      <c r="I391" s="1099"/>
    </row>
    <row r="392" spans="2:9">
      <c r="B392" s="1136"/>
      <c r="C392" s="1129"/>
      <c r="D392" s="1098"/>
      <c r="E392" s="1098"/>
      <c r="F392" s="1099"/>
      <c r="G392" s="1098"/>
      <c r="H392" s="1153"/>
      <c r="I392" s="1099"/>
    </row>
    <row r="393" spans="2:9">
      <c r="B393" s="1136"/>
      <c r="C393" s="1129"/>
      <c r="D393" s="1098"/>
      <c r="E393" s="1098"/>
      <c r="F393" s="1099"/>
      <c r="G393" s="1098"/>
      <c r="H393" s="1153"/>
      <c r="I393" s="1099"/>
    </row>
    <row r="394" spans="2:9">
      <c r="B394" s="1136"/>
      <c r="C394" s="1129"/>
      <c r="D394" s="1098"/>
      <c r="E394" s="1098"/>
      <c r="F394" s="1099"/>
      <c r="G394" s="1098"/>
      <c r="H394" s="1153"/>
      <c r="I394" s="1099"/>
    </row>
    <row r="395" spans="2:9">
      <c r="B395" s="1136"/>
      <c r="C395" s="1129"/>
      <c r="D395" s="1098"/>
      <c r="E395" s="1098"/>
      <c r="F395" s="1099"/>
      <c r="G395" s="1098"/>
      <c r="H395" s="1153"/>
      <c r="I395" s="1099"/>
    </row>
    <row r="396" spans="2:9">
      <c r="B396" s="1136"/>
      <c r="C396" s="1129"/>
      <c r="D396" s="1098"/>
      <c r="E396" s="1098"/>
      <c r="F396" s="1099"/>
      <c r="G396" s="1098"/>
      <c r="H396" s="1153"/>
      <c r="I396" s="1099"/>
    </row>
    <row r="397" spans="2:9">
      <c r="B397" s="1136"/>
      <c r="C397" s="1129"/>
      <c r="D397" s="1098"/>
      <c r="E397" s="1098"/>
      <c r="F397" s="1099"/>
      <c r="G397" s="1098"/>
      <c r="H397" s="1153"/>
      <c r="I397" s="1099"/>
    </row>
    <row r="398" spans="2:9">
      <c r="B398" s="1136"/>
      <c r="C398" s="1129"/>
      <c r="D398" s="1098"/>
      <c r="E398" s="1098"/>
      <c r="F398" s="1099"/>
      <c r="G398" s="1098"/>
      <c r="H398" s="1153"/>
      <c r="I398" s="1099"/>
    </row>
    <row r="399" spans="2:9">
      <c r="B399" s="1136"/>
      <c r="C399" s="1129"/>
      <c r="D399" s="1098"/>
      <c r="E399" s="1098"/>
      <c r="F399" s="1099"/>
      <c r="G399" s="1098"/>
      <c r="H399" s="1153"/>
      <c r="I399" s="1099"/>
    </row>
    <row r="400" spans="2:9">
      <c r="B400" s="1136"/>
      <c r="C400" s="1129"/>
      <c r="D400" s="1098"/>
      <c r="E400" s="1098"/>
      <c r="F400" s="1099"/>
      <c r="G400" s="1098"/>
      <c r="H400" s="1153"/>
      <c r="I400" s="1099"/>
    </row>
    <row r="401" spans="2:9">
      <c r="B401" s="1136"/>
      <c r="C401" s="1129"/>
      <c r="D401" s="1098"/>
      <c r="E401" s="1098"/>
      <c r="F401" s="1099"/>
      <c r="G401" s="1098"/>
      <c r="H401" s="1153"/>
      <c r="I401" s="1099"/>
    </row>
    <row r="402" spans="2:9">
      <c r="B402" s="1136"/>
      <c r="C402" s="1129"/>
      <c r="D402" s="1098"/>
      <c r="E402" s="1098"/>
      <c r="F402" s="1099"/>
      <c r="G402" s="1098"/>
      <c r="H402" s="1153"/>
      <c r="I402" s="1099"/>
    </row>
    <row r="403" spans="2:9">
      <c r="B403" s="1136"/>
      <c r="C403" s="1129"/>
      <c r="D403" s="1098"/>
      <c r="E403" s="1098"/>
      <c r="F403" s="1099"/>
      <c r="G403" s="1098"/>
      <c r="H403" s="1153"/>
      <c r="I403" s="1099"/>
    </row>
    <row r="404" spans="2:9">
      <c r="B404" s="1136"/>
      <c r="C404" s="1129"/>
      <c r="D404" s="1098"/>
      <c r="E404" s="1098"/>
      <c r="F404" s="1099"/>
      <c r="G404" s="1098"/>
      <c r="H404" s="1153"/>
      <c r="I404" s="1099"/>
    </row>
    <row r="405" spans="2:9">
      <c r="B405" s="1136"/>
      <c r="C405" s="1129"/>
      <c r="D405" s="1098"/>
      <c r="E405" s="1098"/>
      <c r="F405" s="1099"/>
      <c r="G405" s="1098"/>
      <c r="H405" s="1153"/>
      <c r="I405" s="1099"/>
    </row>
    <row r="406" spans="2:9">
      <c r="B406" s="1136"/>
      <c r="C406" s="1129"/>
      <c r="D406" s="1098"/>
      <c r="E406" s="1098"/>
      <c r="F406" s="1099"/>
      <c r="G406" s="1098"/>
      <c r="H406" s="1153"/>
      <c r="I406" s="1099"/>
    </row>
    <row r="407" spans="2:9">
      <c r="B407" s="1136"/>
      <c r="C407" s="1129"/>
      <c r="D407" s="1098"/>
      <c r="E407" s="1098"/>
      <c r="F407" s="1099"/>
      <c r="G407" s="1098"/>
      <c r="H407" s="1153"/>
      <c r="I407" s="1099"/>
    </row>
    <row r="408" spans="2:9">
      <c r="B408" s="1136"/>
      <c r="C408" s="1129"/>
      <c r="D408" s="1098"/>
      <c r="E408" s="1098"/>
      <c r="F408" s="1099"/>
      <c r="G408" s="1098"/>
      <c r="H408" s="1153"/>
      <c r="I408" s="1099"/>
    </row>
    <row r="409" spans="2:9">
      <c r="B409" s="1136"/>
      <c r="C409" s="1129"/>
      <c r="D409" s="1098"/>
      <c r="E409" s="1098"/>
      <c r="F409" s="1099"/>
      <c r="G409" s="1098"/>
      <c r="H409" s="1153"/>
      <c r="I409" s="1099"/>
    </row>
    <row r="410" spans="2:9">
      <c r="B410" s="1136"/>
      <c r="C410" s="1129"/>
      <c r="D410" s="1098"/>
      <c r="E410" s="1098"/>
      <c r="F410" s="1099"/>
      <c r="G410" s="1098"/>
      <c r="H410" s="1153"/>
      <c r="I410" s="1099"/>
    </row>
    <row r="411" spans="2:9">
      <c r="B411" s="1136"/>
      <c r="C411" s="1129"/>
      <c r="D411" s="1098"/>
      <c r="E411" s="1098"/>
      <c r="F411" s="1099"/>
      <c r="G411" s="1098"/>
      <c r="H411" s="1153"/>
      <c r="I411" s="1099"/>
    </row>
    <row r="412" spans="2:9">
      <c r="B412" s="1136"/>
      <c r="C412" s="1129"/>
      <c r="D412" s="1098"/>
      <c r="E412" s="1098"/>
      <c r="F412" s="1099"/>
      <c r="G412" s="1098"/>
      <c r="H412" s="1153"/>
      <c r="I412" s="1099"/>
    </row>
    <row r="413" spans="2:9">
      <c r="B413" s="1136"/>
      <c r="C413" s="1129"/>
      <c r="D413" s="1098"/>
      <c r="E413" s="1098"/>
      <c r="F413" s="1099"/>
      <c r="G413" s="1098"/>
      <c r="H413" s="1153"/>
      <c r="I413" s="1099"/>
    </row>
    <row r="414" spans="2:9">
      <c r="B414" s="1136"/>
      <c r="C414" s="1129"/>
      <c r="D414" s="1098"/>
      <c r="E414" s="1098"/>
      <c r="F414" s="1099"/>
      <c r="G414" s="1098"/>
      <c r="H414" s="1153"/>
      <c r="I414" s="1099"/>
    </row>
    <row r="415" spans="2:9">
      <c r="B415" s="1136"/>
      <c r="C415" s="1129"/>
      <c r="D415" s="1098"/>
      <c r="E415" s="1098"/>
      <c r="F415" s="1099"/>
      <c r="G415" s="1098"/>
      <c r="H415" s="1153"/>
      <c r="I415" s="1099"/>
    </row>
    <row r="416" spans="2:9">
      <c r="B416" s="1136"/>
      <c r="C416" s="1129"/>
      <c r="D416" s="1098"/>
      <c r="E416" s="1098"/>
      <c r="F416" s="1099"/>
      <c r="G416" s="1098"/>
      <c r="H416" s="1153"/>
      <c r="I416" s="1099"/>
    </row>
    <row r="417" spans="2:9">
      <c r="B417" s="1136"/>
      <c r="C417" s="1129"/>
      <c r="D417" s="1098"/>
      <c r="E417" s="1098"/>
      <c r="F417" s="1099"/>
      <c r="G417" s="1098"/>
      <c r="H417" s="1153"/>
      <c r="I417" s="1099"/>
    </row>
    <row r="418" spans="2:9">
      <c r="B418" s="1136"/>
      <c r="C418" s="1129"/>
      <c r="D418" s="1098"/>
      <c r="E418" s="1098"/>
      <c r="F418" s="1099"/>
      <c r="G418" s="1098"/>
      <c r="H418" s="1153"/>
      <c r="I418" s="1099"/>
    </row>
    <row r="419" spans="2:9">
      <c r="B419" s="1136"/>
      <c r="C419" s="1129"/>
      <c r="D419" s="1098"/>
      <c r="E419" s="1098"/>
      <c r="F419" s="1099"/>
      <c r="G419" s="1098"/>
      <c r="H419" s="1153"/>
      <c r="I419" s="1099"/>
    </row>
    <row r="420" spans="2:9">
      <c r="B420" s="1136"/>
      <c r="C420" s="1129"/>
      <c r="D420" s="1098"/>
      <c r="E420" s="1098"/>
      <c r="F420" s="1099"/>
      <c r="G420" s="1098"/>
      <c r="H420" s="1153"/>
      <c r="I420" s="1099"/>
    </row>
    <row r="421" spans="2:9">
      <c r="B421" s="1136"/>
      <c r="C421" s="1129"/>
      <c r="D421" s="1098"/>
      <c r="E421" s="1098"/>
      <c r="F421" s="1099"/>
      <c r="G421" s="1098"/>
      <c r="H421" s="1153"/>
      <c r="I421" s="1099"/>
    </row>
    <row r="422" spans="2:9">
      <c r="B422" s="1136"/>
      <c r="C422" s="1129"/>
      <c r="D422" s="1098"/>
      <c r="E422" s="1098"/>
      <c r="F422" s="1099"/>
      <c r="G422" s="1098"/>
      <c r="H422" s="1153"/>
      <c r="I422" s="1099"/>
    </row>
    <row r="423" spans="2:9">
      <c r="B423" s="1136"/>
      <c r="C423" s="1129"/>
      <c r="D423" s="1098"/>
      <c r="E423" s="1098"/>
      <c r="F423" s="1099"/>
      <c r="G423" s="1098"/>
      <c r="H423" s="1153"/>
      <c r="I423" s="1099"/>
    </row>
    <row r="424" spans="2:9">
      <c r="B424" s="1136"/>
      <c r="C424" s="1129"/>
      <c r="D424" s="1098"/>
      <c r="E424" s="1098"/>
      <c r="F424" s="1099"/>
      <c r="G424" s="1098"/>
      <c r="H424" s="1153"/>
      <c r="I424" s="1099"/>
    </row>
    <row r="425" spans="2:9">
      <c r="B425" s="1136"/>
      <c r="C425" s="1129"/>
      <c r="D425" s="1098"/>
      <c r="E425" s="1098"/>
      <c r="F425" s="1099"/>
      <c r="G425" s="1098"/>
      <c r="H425" s="1153"/>
      <c r="I425" s="1099"/>
    </row>
    <row r="426" spans="2:9">
      <c r="B426" s="1136"/>
      <c r="C426" s="1129"/>
      <c r="D426" s="1098"/>
      <c r="E426" s="1098"/>
      <c r="F426" s="1099"/>
      <c r="G426" s="1098"/>
      <c r="H426" s="1153"/>
      <c r="I426" s="1099"/>
    </row>
    <row r="427" spans="2:9">
      <c r="B427" s="1136"/>
      <c r="C427" s="1129"/>
      <c r="D427" s="1098"/>
      <c r="E427" s="1098"/>
      <c r="F427" s="1099"/>
      <c r="G427" s="1098"/>
      <c r="H427" s="1153"/>
      <c r="I427" s="1099"/>
    </row>
    <row r="428" spans="2:9">
      <c r="B428" s="1136"/>
      <c r="C428" s="1129"/>
      <c r="D428" s="1098"/>
      <c r="E428" s="1098"/>
      <c r="F428" s="1099"/>
      <c r="G428" s="1098"/>
      <c r="H428" s="1153"/>
      <c r="I428" s="1099"/>
    </row>
    <row r="429" spans="2:9">
      <c r="B429" s="1136"/>
      <c r="C429" s="1129"/>
      <c r="D429" s="1098"/>
      <c r="E429" s="1098"/>
      <c r="F429" s="1099"/>
      <c r="G429" s="1098"/>
      <c r="H429" s="1153"/>
      <c r="I429" s="1099"/>
    </row>
    <row r="430" spans="2:9">
      <c r="B430" s="1136"/>
      <c r="C430" s="1129"/>
      <c r="D430" s="1098"/>
      <c r="E430" s="1098"/>
      <c r="F430" s="1099"/>
      <c r="G430" s="1098"/>
      <c r="H430" s="1153"/>
      <c r="I430" s="1099"/>
    </row>
    <row r="431" spans="2:9">
      <c r="B431" s="1136"/>
      <c r="C431" s="1129"/>
      <c r="D431" s="1098"/>
      <c r="E431" s="1098"/>
      <c r="F431" s="1099"/>
      <c r="G431" s="1098"/>
      <c r="H431" s="1153"/>
      <c r="I431" s="1099"/>
    </row>
    <row r="432" spans="2:9">
      <c r="B432" s="1136"/>
      <c r="C432" s="1129"/>
      <c r="D432" s="1098"/>
      <c r="E432" s="1098"/>
      <c r="F432" s="1099"/>
      <c r="G432" s="1098"/>
      <c r="H432" s="1153"/>
      <c r="I432" s="1099"/>
    </row>
    <row r="433" spans="2:9">
      <c r="B433" s="1136"/>
      <c r="C433" s="1129"/>
      <c r="D433" s="1098"/>
      <c r="E433" s="1098"/>
      <c r="F433" s="1099"/>
      <c r="G433" s="1098"/>
      <c r="H433" s="1153"/>
      <c r="I433" s="1099"/>
    </row>
    <row r="434" spans="2:9">
      <c r="B434" s="1136"/>
      <c r="C434" s="1129"/>
      <c r="D434" s="1098"/>
      <c r="E434" s="1098"/>
      <c r="F434" s="1099"/>
      <c r="G434" s="1098"/>
      <c r="H434" s="1153"/>
      <c r="I434" s="1099"/>
    </row>
    <row r="435" spans="2:9">
      <c r="B435" s="1136"/>
      <c r="C435" s="1129"/>
      <c r="D435" s="1098"/>
      <c r="E435" s="1098"/>
      <c r="F435" s="1099"/>
      <c r="G435" s="1098"/>
      <c r="H435" s="1153"/>
      <c r="I435" s="1099"/>
    </row>
    <row r="436" spans="2:9">
      <c r="B436" s="1136"/>
      <c r="C436" s="1129"/>
      <c r="D436" s="1098"/>
      <c r="E436" s="1098"/>
      <c r="F436" s="1099"/>
      <c r="G436" s="1098"/>
      <c r="H436" s="1153"/>
      <c r="I436" s="1099"/>
    </row>
    <row r="437" spans="2:9">
      <c r="B437" s="1136"/>
      <c r="C437" s="1129"/>
      <c r="D437" s="1098"/>
      <c r="E437" s="1098"/>
      <c r="F437" s="1099"/>
      <c r="G437" s="1098"/>
      <c r="H437" s="1153"/>
      <c r="I437" s="1099"/>
    </row>
    <row r="438" spans="2:9">
      <c r="B438" s="1136"/>
      <c r="C438" s="1129"/>
      <c r="D438" s="1098"/>
      <c r="E438" s="1098"/>
      <c r="F438" s="1099"/>
      <c r="G438" s="1098"/>
      <c r="H438" s="1153"/>
      <c r="I438" s="1099"/>
    </row>
    <row r="439" spans="2:9">
      <c r="B439" s="1136"/>
      <c r="C439" s="1129"/>
      <c r="D439" s="1098"/>
      <c r="E439" s="1098"/>
      <c r="F439" s="1099"/>
      <c r="G439" s="1098"/>
      <c r="H439" s="1153"/>
      <c r="I439" s="1099"/>
    </row>
    <row r="440" spans="2:9">
      <c r="B440" s="1136"/>
      <c r="C440" s="1129"/>
      <c r="D440" s="1098"/>
      <c r="E440" s="1098"/>
      <c r="F440" s="1099"/>
      <c r="G440" s="1098"/>
      <c r="H440" s="1153"/>
      <c r="I440" s="1099"/>
    </row>
    <row r="441" spans="2:9">
      <c r="B441" s="1136"/>
      <c r="C441" s="1129"/>
      <c r="D441" s="1098"/>
      <c r="E441" s="1098"/>
      <c r="F441" s="1099"/>
      <c r="G441" s="1098"/>
      <c r="H441" s="1153"/>
      <c r="I441" s="1099"/>
    </row>
    <row r="442" spans="2:9">
      <c r="B442" s="1136"/>
      <c r="C442" s="1129"/>
      <c r="D442" s="1098"/>
      <c r="E442" s="1098"/>
      <c r="F442" s="1099"/>
      <c r="G442" s="1098"/>
      <c r="H442" s="1153"/>
      <c r="I442" s="1099"/>
    </row>
    <row r="443" spans="2:9">
      <c r="B443" s="1136"/>
      <c r="C443" s="1129"/>
      <c r="D443" s="1098"/>
      <c r="E443" s="1098"/>
      <c r="F443" s="1099"/>
      <c r="G443" s="1098"/>
      <c r="H443" s="1153"/>
      <c r="I443" s="1099"/>
    </row>
    <row r="444" spans="2:9">
      <c r="B444" s="1136"/>
      <c r="C444" s="1129"/>
      <c r="D444" s="1098"/>
      <c r="E444" s="1098"/>
      <c r="F444" s="1099"/>
      <c r="G444" s="1098"/>
      <c r="H444" s="1153"/>
      <c r="I444" s="1099"/>
    </row>
    <row r="445" spans="2:9">
      <c r="B445" s="1136"/>
      <c r="C445" s="1129"/>
      <c r="D445" s="1098"/>
      <c r="E445" s="1098"/>
      <c r="F445" s="1099"/>
      <c r="G445" s="1098"/>
      <c r="H445" s="1153"/>
      <c r="I445" s="1099"/>
    </row>
    <row r="446" spans="2:9">
      <c r="B446" s="1136"/>
      <c r="C446" s="1129"/>
      <c r="D446" s="1098"/>
      <c r="E446" s="1098"/>
      <c r="F446" s="1099"/>
      <c r="G446" s="1098"/>
      <c r="H446" s="1153"/>
      <c r="I446" s="1099"/>
    </row>
    <row r="447" spans="2:9">
      <c r="B447" s="1136"/>
      <c r="C447" s="1129"/>
      <c r="D447" s="1098"/>
      <c r="E447" s="1098"/>
      <c r="F447" s="1099"/>
      <c r="G447" s="1098"/>
      <c r="H447" s="1153"/>
      <c r="I447" s="1099"/>
    </row>
    <row r="448" spans="2:9">
      <c r="B448" s="1136"/>
      <c r="C448" s="1129"/>
      <c r="D448" s="1098"/>
      <c r="E448" s="1098"/>
      <c r="F448" s="1099"/>
      <c r="G448" s="1098"/>
      <c r="H448" s="1153"/>
      <c r="I448" s="1099"/>
    </row>
    <row r="449" spans="2:9">
      <c r="B449" s="1136"/>
      <c r="C449" s="1129"/>
      <c r="D449" s="1098"/>
      <c r="E449" s="1098"/>
      <c r="F449" s="1099"/>
      <c r="G449" s="1098"/>
      <c r="H449" s="1153"/>
      <c r="I449" s="1099"/>
    </row>
    <row r="450" spans="2:9">
      <c r="B450" s="1136"/>
      <c r="C450" s="1129"/>
      <c r="D450" s="1098"/>
      <c r="E450" s="1098"/>
      <c r="F450" s="1099"/>
      <c r="G450" s="1098"/>
      <c r="H450" s="1153"/>
      <c r="I450" s="1099"/>
    </row>
    <row r="451" spans="2:9">
      <c r="B451" s="1136"/>
      <c r="C451" s="1129"/>
      <c r="D451" s="1098"/>
      <c r="E451" s="1098"/>
      <c r="F451" s="1099"/>
      <c r="G451" s="1098"/>
      <c r="H451" s="1153"/>
      <c r="I451" s="1099"/>
    </row>
    <row r="452" spans="2:9">
      <c r="B452" s="1136"/>
      <c r="C452" s="1129"/>
      <c r="D452" s="1098"/>
      <c r="E452" s="1098"/>
      <c r="F452" s="1099"/>
      <c r="G452" s="1098"/>
      <c r="H452" s="1153"/>
      <c r="I452" s="1099"/>
    </row>
    <row r="453" spans="2:9">
      <c r="B453" s="1136"/>
      <c r="C453" s="1129"/>
      <c r="D453" s="1098"/>
      <c r="E453" s="1098"/>
      <c r="F453" s="1099"/>
      <c r="G453" s="1098"/>
      <c r="H453" s="1153"/>
      <c r="I453" s="1099"/>
    </row>
    <row r="454" spans="2:9">
      <c r="B454" s="1136"/>
      <c r="C454" s="1129"/>
      <c r="D454" s="1098"/>
      <c r="E454" s="1098"/>
      <c r="F454" s="1099"/>
      <c r="G454" s="1098"/>
      <c r="H454" s="1153"/>
      <c r="I454" s="1099"/>
    </row>
    <row r="455" spans="2:9">
      <c r="B455" s="1136"/>
      <c r="C455" s="1129"/>
      <c r="D455" s="1098"/>
      <c r="E455" s="1098"/>
      <c r="F455" s="1099"/>
      <c r="G455" s="1098"/>
      <c r="H455" s="1153"/>
      <c r="I455" s="1099"/>
    </row>
    <row r="456" spans="2:9">
      <c r="B456" s="1136"/>
      <c r="C456" s="1129"/>
      <c r="D456" s="1098"/>
      <c r="E456" s="1098"/>
      <c r="F456" s="1099"/>
      <c r="G456" s="1098"/>
      <c r="H456" s="1153"/>
      <c r="I456" s="1099"/>
    </row>
    <row r="457" spans="2:9">
      <c r="B457" s="1136"/>
      <c r="C457" s="1129"/>
      <c r="D457" s="1098"/>
      <c r="E457" s="1098"/>
      <c r="F457" s="1099"/>
      <c r="G457" s="1098"/>
      <c r="H457" s="1153"/>
      <c r="I457" s="1099"/>
    </row>
    <row r="458" spans="2:9">
      <c r="B458" s="1136"/>
      <c r="C458" s="1129"/>
      <c r="D458" s="1098"/>
      <c r="E458" s="1098"/>
      <c r="F458" s="1099"/>
      <c r="G458" s="1098"/>
      <c r="H458" s="1153"/>
      <c r="I458" s="1099"/>
    </row>
    <row r="459" spans="2:9">
      <c r="B459" s="1136"/>
      <c r="C459" s="1129"/>
      <c r="D459" s="1098"/>
      <c r="E459" s="1098"/>
      <c r="F459" s="1099"/>
      <c r="G459" s="1098"/>
      <c r="H459" s="1153"/>
      <c r="I459" s="1099"/>
    </row>
    <row r="460" spans="2:9">
      <c r="B460" s="1136"/>
      <c r="C460" s="1129"/>
      <c r="D460" s="1098"/>
      <c r="E460" s="1098"/>
      <c r="F460" s="1099"/>
      <c r="G460" s="1098"/>
      <c r="H460" s="1153"/>
      <c r="I460" s="1099"/>
    </row>
    <row r="461" spans="2:9">
      <c r="B461" s="1136"/>
      <c r="C461" s="1129"/>
      <c r="D461" s="1098"/>
      <c r="E461" s="1098"/>
      <c r="F461" s="1099"/>
      <c r="G461" s="1098"/>
      <c r="H461" s="1153"/>
      <c r="I461" s="1099"/>
    </row>
    <row r="462" spans="2:9">
      <c r="B462" s="1136"/>
      <c r="C462" s="1129"/>
      <c r="D462" s="1098"/>
      <c r="E462" s="1098"/>
      <c r="F462" s="1099"/>
      <c r="G462" s="1098"/>
      <c r="H462" s="1153"/>
      <c r="I462" s="1099"/>
    </row>
    <row r="463" spans="2:9">
      <c r="B463" s="1136"/>
      <c r="C463" s="1129"/>
      <c r="D463" s="1098"/>
      <c r="E463" s="1098"/>
      <c r="F463" s="1099"/>
      <c r="G463" s="1098"/>
      <c r="H463" s="1153"/>
      <c r="I463" s="1099"/>
    </row>
    <row r="464" spans="2:9">
      <c r="B464" s="1136"/>
      <c r="C464" s="1129"/>
      <c r="D464" s="1098"/>
      <c r="E464" s="1098"/>
      <c r="F464" s="1099"/>
      <c r="G464" s="1098"/>
      <c r="H464" s="1153"/>
      <c r="I464" s="1099"/>
    </row>
    <row r="465" spans="2:9">
      <c r="B465" s="1136"/>
      <c r="C465" s="1129"/>
      <c r="D465" s="1098"/>
      <c r="E465" s="1098"/>
      <c r="F465" s="1099"/>
      <c r="G465" s="1098"/>
      <c r="H465" s="1153"/>
      <c r="I465" s="1099"/>
    </row>
    <row r="466" spans="2:9">
      <c r="B466" s="1136"/>
      <c r="C466" s="1129"/>
      <c r="D466" s="1098"/>
      <c r="E466" s="1098"/>
      <c r="F466" s="1099"/>
      <c r="G466" s="1098"/>
      <c r="H466" s="1153"/>
      <c r="I466" s="1099"/>
    </row>
    <row r="467" spans="2:9">
      <c r="B467" s="1136"/>
      <c r="C467" s="1129"/>
      <c r="D467" s="1098"/>
      <c r="E467" s="1098"/>
      <c r="F467" s="1099"/>
      <c r="G467" s="1098"/>
      <c r="H467" s="1153"/>
      <c r="I467" s="1099"/>
    </row>
    <row r="468" spans="2:9">
      <c r="B468" s="1136"/>
      <c r="C468" s="1129"/>
      <c r="D468" s="1098"/>
      <c r="E468" s="1098"/>
      <c r="F468" s="1099"/>
      <c r="G468" s="1098"/>
      <c r="H468" s="1153"/>
      <c r="I468" s="1099"/>
    </row>
    <row r="469" spans="2:9">
      <c r="B469" s="1136"/>
      <c r="C469" s="1129"/>
      <c r="D469" s="1098"/>
      <c r="E469" s="1098"/>
      <c r="F469" s="1099"/>
      <c r="G469" s="1098"/>
      <c r="H469" s="1153"/>
      <c r="I469" s="1099"/>
    </row>
    <row r="470" spans="2:9">
      <c r="B470" s="1136"/>
      <c r="C470" s="1129"/>
      <c r="D470" s="1098"/>
      <c r="E470" s="1098"/>
      <c r="F470" s="1099"/>
      <c r="G470" s="1098"/>
      <c r="H470" s="1153"/>
      <c r="I470" s="1099"/>
    </row>
    <row r="471" spans="2:9">
      <c r="B471" s="1136"/>
      <c r="C471" s="1129"/>
      <c r="D471" s="1098"/>
      <c r="E471" s="1098"/>
      <c r="F471" s="1099"/>
      <c r="G471" s="1098"/>
      <c r="H471" s="1153"/>
      <c r="I471" s="1099"/>
    </row>
    <row r="472" spans="2:9">
      <c r="B472" s="1136"/>
      <c r="C472" s="1129"/>
      <c r="D472" s="1098"/>
      <c r="E472" s="1098"/>
      <c r="F472" s="1099"/>
      <c r="G472" s="1098"/>
      <c r="H472" s="1153"/>
      <c r="I472" s="1099"/>
    </row>
    <row r="473" spans="2:9">
      <c r="B473" s="1136"/>
      <c r="C473" s="1129"/>
      <c r="D473" s="1098"/>
      <c r="E473" s="1098"/>
      <c r="F473" s="1099"/>
      <c r="G473" s="1098"/>
      <c r="H473" s="1153"/>
      <c r="I473" s="1099"/>
    </row>
    <row r="474" spans="2:9">
      <c r="B474" s="1136"/>
      <c r="C474" s="1129"/>
      <c r="D474" s="1098"/>
      <c r="E474" s="1098"/>
      <c r="F474" s="1099"/>
      <c r="G474" s="1098"/>
      <c r="H474" s="1153"/>
      <c r="I474" s="1099"/>
    </row>
    <row r="475" spans="2:9">
      <c r="B475" s="1136"/>
      <c r="C475" s="1129"/>
      <c r="D475" s="1098"/>
      <c r="E475" s="1098"/>
      <c r="F475" s="1099"/>
      <c r="G475" s="1098"/>
      <c r="H475" s="1153"/>
      <c r="I475" s="1099"/>
    </row>
    <row r="476" spans="2:9">
      <c r="B476" s="1136"/>
      <c r="C476" s="1129"/>
      <c r="D476" s="1098"/>
      <c r="E476" s="1098"/>
      <c r="F476" s="1099"/>
      <c r="G476" s="1098"/>
      <c r="H476" s="1153"/>
      <c r="I476" s="1099"/>
    </row>
    <row r="477" spans="2:9">
      <c r="B477" s="1136"/>
      <c r="C477" s="1129"/>
      <c r="D477" s="1098"/>
      <c r="E477" s="1098"/>
      <c r="F477" s="1099"/>
      <c r="G477" s="1098"/>
      <c r="H477" s="1153"/>
      <c r="I477" s="1099"/>
    </row>
    <row r="478" spans="2:9">
      <c r="B478" s="1136"/>
      <c r="C478" s="1129"/>
      <c r="D478" s="1098"/>
      <c r="E478" s="1098"/>
      <c r="F478" s="1099"/>
      <c r="G478" s="1098"/>
      <c r="H478" s="1153"/>
      <c r="I478" s="1099"/>
    </row>
    <row r="479" spans="2:9">
      <c r="B479" s="1136"/>
      <c r="C479" s="1129"/>
      <c r="D479" s="1098"/>
      <c r="E479" s="1098"/>
      <c r="F479" s="1099"/>
      <c r="G479" s="1098"/>
      <c r="H479" s="1153"/>
      <c r="I479" s="1099"/>
    </row>
    <row r="480" spans="2:9">
      <c r="B480" s="1136"/>
      <c r="C480" s="1129"/>
      <c r="D480" s="1098"/>
      <c r="E480" s="1098"/>
      <c r="F480" s="1099"/>
      <c r="G480" s="1098"/>
      <c r="H480" s="1153"/>
      <c r="I480" s="1099"/>
    </row>
    <row r="481" spans="2:9">
      <c r="B481" s="1136"/>
      <c r="C481" s="1129"/>
      <c r="D481" s="1098"/>
      <c r="E481" s="1098"/>
      <c r="F481" s="1099"/>
      <c r="G481" s="1098"/>
      <c r="H481" s="1153"/>
      <c r="I481" s="1099"/>
    </row>
    <row r="482" spans="2:9">
      <c r="B482" s="1136"/>
      <c r="C482" s="1129"/>
      <c r="D482" s="1098"/>
      <c r="E482" s="1098"/>
      <c r="F482" s="1099"/>
      <c r="G482" s="1098"/>
      <c r="H482" s="1153"/>
      <c r="I482" s="1099"/>
    </row>
    <row r="483" spans="2:9">
      <c r="B483" s="1136"/>
      <c r="C483" s="1129"/>
      <c r="D483" s="1098"/>
      <c r="E483" s="1098"/>
      <c r="F483" s="1099"/>
      <c r="G483" s="1098"/>
      <c r="H483" s="1153"/>
      <c r="I483" s="1099"/>
    </row>
    <row r="484" spans="2:9">
      <c r="B484" s="1136"/>
      <c r="C484" s="1129"/>
      <c r="D484" s="1098"/>
      <c r="E484" s="1098"/>
      <c r="F484" s="1099"/>
      <c r="G484" s="1098"/>
      <c r="H484" s="1153"/>
      <c r="I484" s="1099"/>
    </row>
    <row r="485" spans="2:9">
      <c r="B485" s="1136"/>
      <c r="C485" s="1129"/>
      <c r="D485" s="1098"/>
      <c r="E485" s="1098"/>
      <c r="F485" s="1099"/>
      <c r="G485" s="1098"/>
      <c r="H485" s="1153"/>
      <c r="I485" s="1099"/>
    </row>
    <row r="486" spans="2:9">
      <c r="B486" s="1136"/>
      <c r="C486" s="1129"/>
      <c r="D486" s="1098"/>
      <c r="E486" s="1098"/>
      <c r="F486" s="1099"/>
      <c r="G486" s="1098"/>
      <c r="H486" s="1153"/>
      <c r="I486" s="1099"/>
    </row>
    <row r="487" spans="2:9">
      <c r="B487" s="1136"/>
      <c r="C487" s="1129"/>
      <c r="D487" s="1098"/>
      <c r="E487" s="1098"/>
      <c r="F487" s="1099"/>
      <c r="G487" s="1098"/>
      <c r="H487" s="1153"/>
      <c r="I487" s="1099"/>
    </row>
    <row r="488" spans="2:9">
      <c r="B488" s="1136"/>
      <c r="C488" s="1129"/>
      <c r="D488" s="1098"/>
      <c r="E488" s="1098"/>
      <c r="F488" s="1099"/>
      <c r="G488" s="1098"/>
      <c r="H488" s="1153"/>
      <c r="I488" s="1099"/>
    </row>
    <row r="489" spans="2:9">
      <c r="B489" s="1136"/>
      <c r="C489" s="1129"/>
      <c r="D489" s="1098"/>
      <c r="E489" s="1098"/>
      <c r="F489" s="1099"/>
      <c r="G489" s="1098"/>
      <c r="H489" s="1153"/>
      <c r="I489" s="1099"/>
    </row>
    <row r="490" spans="2:9">
      <c r="B490" s="1136"/>
      <c r="C490" s="1129"/>
      <c r="D490" s="1098"/>
      <c r="E490" s="1098"/>
      <c r="F490" s="1099"/>
      <c r="G490" s="1098"/>
      <c r="H490" s="1153"/>
      <c r="I490" s="1099"/>
    </row>
    <row r="491" spans="2:9">
      <c r="B491" s="1136"/>
      <c r="C491" s="1129"/>
      <c r="D491" s="1098"/>
      <c r="E491" s="1098"/>
      <c r="F491" s="1099"/>
      <c r="G491" s="1098"/>
      <c r="H491" s="1153"/>
      <c r="I491" s="1099"/>
    </row>
    <row r="492" spans="2:9">
      <c r="B492" s="1136"/>
      <c r="C492" s="1129"/>
      <c r="D492" s="1098"/>
      <c r="E492" s="1098"/>
      <c r="F492" s="1099"/>
      <c r="G492" s="1098"/>
      <c r="H492" s="1153"/>
      <c r="I492" s="1099"/>
    </row>
    <row r="493" spans="2:9">
      <c r="B493" s="1136"/>
      <c r="C493" s="1129"/>
      <c r="D493" s="1098"/>
      <c r="E493" s="1098"/>
      <c r="F493" s="1099"/>
      <c r="G493" s="1098"/>
      <c r="H493" s="1153"/>
      <c r="I493" s="1099"/>
    </row>
    <row r="494" spans="2:9">
      <c r="B494" s="1136"/>
      <c r="C494" s="1129"/>
      <c r="D494" s="1098"/>
      <c r="E494" s="1098"/>
      <c r="F494" s="1099"/>
      <c r="G494" s="1098"/>
      <c r="H494" s="1153"/>
      <c r="I494" s="1099"/>
    </row>
    <row r="495" spans="2:9">
      <c r="B495" s="1136"/>
      <c r="C495" s="1129"/>
      <c r="D495" s="1098"/>
      <c r="E495" s="1098"/>
      <c r="F495" s="1099"/>
      <c r="G495" s="1098"/>
      <c r="H495" s="1153"/>
      <c r="I495" s="1099"/>
    </row>
    <row r="496" spans="2:9">
      <c r="B496" s="1136"/>
      <c r="C496" s="1129"/>
      <c r="D496" s="1098"/>
      <c r="E496" s="1098"/>
      <c r="F496" s="1099"/>
      <c r="G496" s="1098"/>
      <c r="H496" s="1153"/>
      <c r="I496" s="1099"/>
    </row>
    <row r="497" spans="2:9">
      <c r="B497" s="1136"/>
      <c r="C497" s="1129"/>
      <c r="D497" s="1098"/>
      <c r="E497" s="1098"/>
      <c r="F497" s="1099"/>
      <c r="G497" s="1098"/>
      <c r="H497" s="1153"/>
      <c r="I497" s="1099"/>
    </row>
    <row r="498" spans="2:9">
      <c r="B498" s="1136"/>
      <c r="C498" s="1129"/>
      <c r="D498" s="1098"/>
      <c r="E498" s="1098"/>
      <c r="F498" s="1099"/>
      <c r="G498" s="1098"/>
      <c r="H498" s="1153"/>
      <c r="I498" s="1099"/>
    </row>
    <row r="499" spans="2:9">
      <c r="B499" s="1136"/>
      <c r="C499" s="1129"/>
      <c r="D499" s="1098"/>
      <c r="E499" s="1098"/>
      <c r="F499" s="1099"/>
      <c r="G499" s="1098"/>
      <c r="H499" s="1153"/>
      <c r="I499" s="1099"/>
    </row>
    <row r="500" spans="2:9">
      <c r="B500" s="1136"/>
      <c r="C500" s="1129"/>
      <c r="D500" s="1098"/>
      <c r="E500" s="1098"/>
      <c r="F500" s="1099"/>
      <c r="G500" s="1098"/>
      <c r="H500" s="1153"/>
      <c r="I500" s="1099"/>
    </row>
    <row r="501" spans="2:9">
      <c r="B501" s="1136"/>
      <c r="C501" s="1129"/>
      <c r="D501" s="1098"/>
      <c r="E501" s="1098"/>
      <c r="F501" s="1099"/>
      <c r="G501" s="1098"/>
      <c r="H501" s="1153"/>
      <c r="I501" s="1099"/>
    </row>
    <row r="502" spans="2:9">
      <c r="B502" s="1136"/>
      <c r="C502" s="1129"/>
      <c r="D502" s="1098"/>
      <c r="E502" s="1098"/>
      <c r="F502" s="1099"/>
      <c r="G502" s="1098"/>
      <c r="H502" s="1153"/>
      <c r="I502" s="1099"/>
    </row>
    <row r="503" spans="2:9">
      <c r="B503" s="1136"/>
      <c r="C503" s="1129"/>
      <c r="D503" s="1098"/>
      <c r="E503" s="1098"/>
      <c r="F503" s="1099"/>
      <c r="G503" s="1098"/>
      <c r="H503" s="1153"/>
      <c r="I503" s="1099"/>
    </row>
    <row r="504" spans="2:9">
      <c r="B504" s="1136"/>
      <c r="C504" s="1129"/>
      <c r="D504" s="1098"/>
      <c r="E504" s="1098"/>
      <c r="F504" s="1099"/>
      <c r="G504" s="1098"/>
      <c r="H504" s="1153"/>
      <c r="I504" s="1099"/>
    </row>
    <row r="505" spans="2:9">
      <c r="B505" s="1136"/>
      <c r="C505" s="1129"/>
      <c r="D505" s="1098"/>
      <c r="E505" s="1098"/>
      <c r="F505" s="1099"/>
      <c r="G505" s="1098"/>
      <c r="H505" s="1153"/>
      <c r="I505" s="1099"/>
    </row>
    <row r="506" spans="2:9">
      <c r="B506" s="1136"/>
      <c r="C506" s="1129"/>
      <c r="D506" s="1098"/>
      <c r="E506" s="1098"/>
      <c r="F506" s="1099"/>
      <c r="G506" s="1098"/>
      <c r="H506" s="1153"/>
      <c r="I506" s="1099"/>
    </row>
    <row r="507" spans="2:9">
      <c r="B507" s="1136"/>
      <c r="C507" s="1129"/>
      <c r="D507" s="1098"/>
      <c r="E507" s="1098"/>
      <c r="F507" s="1099"/>
      <c r="G507" s="1098"/>
      <c r="H507" s="1153"/>
      <c r="I507" s="1099"/>
    </row>
    <row r="508" spans="2:9">
      <c r="B508" s="1136"/>
      <c r="C508" s="1129"/>
      <c r="D508" s="1098"/>
      <c r="E508" s="1098"/>
      <c r="F508" s="1099"/>
      <c r="G508" s="1098"/>
      <c r="H508" s="1153"/>
      <c r="I508" s="1099"/>
    </row>
    <row r="509" spans="2:9">
      <c r="B509" s="1136"/>
      <c r="C509" s="1129"/>
      <c r="D509" s="1098"/>
      <c r="E509" s="1098"/>
      <c r="F509" s="1099"/>
      <c r="G509" s="1098"/>
      <c r="H509" s="1153"/>
      <c r="I509" s="1099"/>
    </row>
    <row r="510" spans="2:9">
      <c r="B510" s="1136"/>
      <c r="C510" s="1129"/>
      <c r="D510" s="1098"/>
      <c r="E510" s="1098"/>
      <c r="F510" s="1099"/>
      <c r="G510" s="1098"/>
      <c r="H510" s="1153"/>
      <c r="I510" s="1099"/>
    </row>
    <row r="511" spans="2:9">
      <c r="B511" s="1136"/>
      <c r="C511" s="1129"/>
      <c r="D511" s="1098"/>
      <c r="E511" s="1098"/>
      <c r="F511" s="1099"/>
      <c r="G511" s="1098"/>
      <c r="H511" s="1153"/>
      <c r="I511" s="1099"/>
    </row>
    <row r="512" spans="2:9">
      <c r="B512" s="1136"/>
      <c r="C512" s="1129"/>
      <c r="D512" s="1098"/>
      <c r="E512" s="1098"/>
      <c r="F512" s="1099"/>
      <c r="G512" s="1098"/>
      <c r="H512" s="1153"/>
      <c r="I512" s="1099"/>
    </row>
    <row r="513" spans="2:9">
      <c r="B513" s="1136"/>
      <c r="C513" s="1129"/>
      <c r="D513" s="1098"/>
      <c r="E513" s="1098"/>
      <c r="F513" s="1099"/>
      <c r="G513" s="1098"/>
      <c r="H513" s="1153"/>
      <c r="I513" s="1099"/>
    </row>
    <row r="514" spans="2:9">
      <c r="B514" s="1136"/>
      <c r="C514" s="1129"/>
      <c r="D514" s="1098"/>
      <c r="E514" s="1098"/>
      <c r="F514" s="1099"/>
      <c r="G514" s="1098"/>
      <c r="H514" s="1153"/>
      <c r="I514" s="1099"/>
    </row>
    <row r="515" spans="2:9">
      <c r="B515" s="1136"/>
      <c r="C515" s="1129"/>
      <c r="D515" s="1098"/>
      <c r="E515" s="1098"/>
      <c r="F515" s="1099"/>
      <c r="G515" s="1098"/>
      <c r="H515" s="1153"/>
      <c r="I515" s="1099"/>
    </row>
    <row r="516" spans="2:9">
      <c r="B516" s="1136"/>
      <c r="C516" s="1129"/>
      <c r="D516" s="1098"/>
      <c r="E516" s="1098"/>
      <c r="F516" s="1099"/>
      <c r="G516" s="1098"/>
      <c r="H516" s="1153"/>
      <c r="I516" s="1099"/>
    </row>
    <row r="517" spans="2:9">
      <c r="B517" s="1136"/>
      <c r="C517" s="1129"/>
      <c r="D517" s="1098"/>
      <c r="E517" s="1098"/>
      <c r="F517" s="1099"/>
      <c r="G517" s="1098"/>
      <c r="H517" s="1153"/>
      <c r="I517" s="1099"/>
    </row>
    <row r="518" spans="2:9">
      <c r="B518" s="1136"/>
      <c r="C518" s="1129"/>
      <c r="D518" s="1098"/>
      <c r="E518" s="1098"/>
      <c r="F518" s="1099"/>
      <c r="G518" s="1098"/>
      <c r="H518" s="1153"/>
      <c r="I518" s="1099"/>
    </row>
    <row r="519" spans="2:9">
      <c r="B519" s="1136"/>
      <c r="C519" s="1129"/>
      <c r="D519" s="1098"/>
      <c r="E519" s="1098"/>
      <c r="F519" s="1099"/>
      <c r="G519" s="1098"/>
      <c r="H519" s="1153"/>
      <c r="I519" s="1099"/>
    </row>
    <row r="520" spans="2:9">
      <c r="B520" s="1136"/>
      <c r="C520" s="1129"/>
      <c r="D520" s="1098"/>
      <c r="E520" s="1098"/>
      <c r="F520" s="1099"/>
      <c r="G520" s="1098"/>
      <c r="H520" s="1153"/>
      <c r="I520" s="1099"/>
    </row>
    <row r="521" spans="2:9">
      <c r="B521" s="1136"/>
      <c r="C521" s="1129"/>
      <c r="D521" s="1098"/>
      <c r="E521" s="1098"/>
      <c r="F521" s="1099"/>
      <c r="G521" s="1098"/>
      <c r="H521" s="1153"/>
      <c r="I521" s="1099"/>
    </row>
    <row r="522" spans="2:9">
      <c r="B522" s="1136"/>
      <c r="C522" s="1129"/>
      <c r="D522" s="1098"/>
      <c r="E522" s="1098"/>
      <c r="F522" s="1099"/>
      <c r="G522" s="1098"/>
      <c r="H522" s="1153"/>
      <c r="I522" s="1099"/>
    </row>
    <row r="523" spans="2:9">
      <c r="B523" s="1136"/>
      <c r="C523" s="1129"/>
      <c r="D523" s="1098"/>
      <c r="E523" s="1098"/>
      <c r="F523" s="1099"/>
      <c r="G523" s="1098"/>
      <c r="H523" s="1153"/>
      <c r="I523" s="1099"/>
    </row>
    <row r="524" spans="2:9">
      <c r="B524" s="1136"/>
      <c r="C524" s="1129"/>
      <c r="D524" s="1098"/>
      <c r="E524" s="1098"/>
      <c r="F524" s="1099"/>
      <c r="G524" s="1098"/>
      <c r="H524" s="1153"/>
      <c r="I524" s="1099"/>
    </row>
    <row r="525" spans="2:9">
      <c r="B525" s="1136"/>
      <c r="C525" s="1129"/>
      <c r="D525" s="1098"/>
      <c r="E525" s="1098"/>
      <c r="F525" s="1099"/>
      <c r="G525" s="1098"/>
      <c r="H525" s="1153"/>
      <c r="I525" s="1099"/>
    </row>
    <row r="526" spans="2:9">
      <c r="B526" s="1136"/>
      <c r="C526" s="1129"/>
      <c r="D526" s="1098"/>
      <c r="E526" s="1098"/>
      <c r="F526" s="1099"/>
      <c r="G526" s="1098"/>
      <c r="H526" s="1153"/>
      <c r="I526" s="1099"/>
    </row>
    <row r="527" spans="2:9">
      <c r="B527" s="1136"/>
      <c r="C527" s="1129"/>
      <c r="D527" s="1098"/>
      <c r="E527" s="1098"/>
      <c r="F527" s="1099"/>
      <c r="G527" s="1098"/>
      <c r="H527" s="1153"/>
      <c r="I527" s="1099"/>
    </row>
    <row r="528" spans="2:9">
      <c r="B528" s="1136"/>
      <c r="C528" s="1129"/>
      <c r="D528" s="1098"/>
      <c r="E528" s="1098"/>
      <c r="F528" s="1099"/>
      <c r="G528" s="1098"/>
      <c r="H528" s="1153"/>
      <c r="I528" s="1099"/>
    </row>
    <row r="529" spans="2:9">
      <c r="B529" s="1136"/>
      <c r="C529" s="1129"/>
      <c r="D529" s="1098"/>
      <c r="E529" s="1098"/>
      <c r="F529" s="1099"/>
      <c r="G529" s="1098"/>
      <c r="H529" s="1153"/>
      <c r="I529" s="1099"/>
    </row>
    <row r="530" spans="2:9">
      <c r="B530" s="1136"/>
      <c r="C530" s="1129"/>
      <c r="D530" s="1098"/>
      <c r="E530" s="1098"/>
      <c r="F530" s="1099"/>
      <c r="G530" s="1098"/>
      <c r="H530" s="1153"/>
      <c r="I530" s="1099"/>
    </row>
    <row r="531" spans="2:9">
      <c r="B531" s="1136"/>
      <c r="C531" s="1129"/>
      <c r="D531" s="1098"/>
      <c r="E531" s="1098"/>
      <c r="F531" s="1099"/>
      <c r="G531" s="1098"/>
      <c r="H531" s="1153"/>
      <c r="I531" s="1099"/>
    </row>
    <row r="532" spans="2:9">
      <c r="B532" s="1136"/>
      <c r="C532" s="1129"/>
      <c r="D532" s="1098"/>
      <c r="E532" s="1098"/>
      <c r="F532" s="1099"/>
      <c r="G532" s="1098"/>
      <c r="H532" s="1153"/>
      <c r="I532" s="1099"/>
    </row>
    <row r="533" spans="2:9">
      <c r="B533" s="1136"/>
      <c r="C533" s="1129"/>
      <c r="D533" s="1098"/>
      <c r="E533" s="1098"/>
      <c r="F533" s="1099"/>
      <c r="G533" s="1098"/>
      <c r="H533" s="1153"/>
      <c r="I533" s="1099"/>
    </row>
    <row r="534" spans="2:9">
      <c r="B534" s="1136"/>
      <c r="C534" s="1129"/>
      <c r="D534" s="1098"/>
      <c r="E534" s="1098"/>
      <c r="F534" s="1099"/>
      <c r="G534" s="1098"/>
      <c r="H534" s="1153"/>
      <c r="I534" s="1099"/>
    </row>
    <row r="535" spans="2:9">
      <c r="B535" s="1136"/>
      <c r="C535" s="1129"/>
      <c r="D535" s="1098"/>
      <c r="E535" s="1098"/>
      <c r="F535" s="1099"/>
      <c r="G535" s="1098"/>
      <c r="H535" s="1153"/>
      <c r="I535" s="1099"/>
    </row>
    <row r="536" spans="2:9">
      <c r="B536" s="1136"/>
      <c r="C536" s="1129"/>
      <c r="D536" s="1098"/>
      <c r="E536" s="1098"/>
      <c r="F536" s="1099"/>
      <c r="G536" s="1098"/>
      <c r="H536" s="1153"/>
      <c r="I536" s="1099"/>
    </row>
    <row r="537" spans="2:9">
      <c r="B537" s="1136"/>
      <c r="C537" s="1129"/>
      <c r="D537" s="1098"/>
      <c r="E537" s="1098"/>
      <c r="F537" s="1099"/>
      <c r="G537" s="1098"/>
      <c r="H537" s="1153"/>
      <c r="I537" s="1099"/>
    </row>
    <row r="538" spans="2:9">
      <c r="B538" s="1136"/>
      <c r="C538" s="1129"/>
      <c r="D538" s="1098"/>
      <c r="E538" s="1098"/>
      <c r="F538" s="1099"/>
      <c r="G538" s="1098"/>
      <c r="H538" s="1153"/>
      <c r="I538" s="1099"/>
    </row>
    <row r="539" spans="2:9">
      <c r="B539" s="1136"/>
      <c r="C539" s="1129"/>
      <c r="D539" s="1098"/>
      <c r="E539" s="1098"/>
      <c r="F539" s="1099"/>
      <c r="G539" s="1098"/>
      <c r="H539" s="1153"/>
      <c r="I539" s="1099"/>
    </row>
    <row r="540" spans="2:9">
      <c r="B540" s="1136"/>
      <c r="C540" s="1129"/>
      <c r="D540" s="1098"/>
      <c r="E540" s="1098"/>
      <c r="F540" s="1099"/>
      <c r="G540" s="1098"/>
      <c r="H540" s="1153"/>
      <c r="I540" s="1099"/>
    </row>
    <row r="541" spans="2:9">
      <c r="B541" s="1136"/>
      <c r="C541" s="1129"/>
      <c r="D541" s="1098"/>
      <c r="E541" s="1098"/>
      <c r="F541" s="1099"/>
      <c r="G541" s="1098"/>
      <c r="H541" s="1153"/>
      <c r="I541" s="1099"/>
    </row>
    <row r="542" spans="2:9">
      <c r="B542" s="1136"/>
      <c r="C542" s="1129"/>
      <c r="D542" s="1098"/>
      <c r="E542" s="1098"/>
      <c r="F542" s="1099"/>
      <c r="G542" s="1098"/>
      <c r="H542" s="1153"/>
      <c r="I542" s="1099"/>
    </row>
    <row r="543" spans="2:9">
      <c r="B543" s="1136"/>
      <c r="C543" s="1129"/>
      <c r="D543" s="1098"/>
      <c r="E543" s="1098"/>
      <c r="F543" s="1099"/>
      <c r="G543" s="1098"/>
      <c r="H543" s="1153"/>
      <c r="I543" s="1099"/>
    </row>
    <row r="544" spans="2:9">
      <c r="B544" s="1136"/>
      <c r="C544" s="1129"/>
      <c r="D544" s="1098"/>
      <c r="E544" s="1098"/>
      <c r="F544" s="1099"/>
      <c r="G544" s="1098"/>
      <c r="H544" s="1153"/>
      <c r="I544" s="1099"/>
    </row>
    <row r="545" spans="2:9">
      <c r="B545" s="1136"/>
      <c r="C545" s="1129"/>
      <c r="D545" s="1098"/>
      <c r="E545" s="1098"/>
      <c r="F545" s="1099"/>
      <c r="G545" s="1098"/>
      <c r="H545" s="1153"/>
      <c r="I545" s="1099"/>
    </row>
    <row r="546" spans="2:9">
      <c r="B546" s="1136"/>
      <c r="C546" s="1129"/>
      <c r="D546" s="1098"/>
      <c r="E546" s="1098"/>
      <c r="F546" s="1099"/>
      <c r="G546" s="1098"/>
      <c r="H546" s="1153"/>
      <c r="I546" s="1099"/>
    </row>
    <row r="547" spans="2:9">
      <c r="B547" s="1136"/>
      <c r="C547" s="1129"/>
      <c r="D547" s="1098"/>
      <c r="E547" s="1098"/>
      <c r="F547" s="1099"/>
      <c r="G547" s="1098"/>
      <c r="H547" s="1153"/>
      <c r="I547" s="1099"/>
    </row>
    <row r="548" spans="2:9">
      <c r="B548" s="1136"/>
      <c r="C548" s="1129"/>
      <c r="D548" s="1098"/>
      <c r="E548" s="1098"/>
      <c r="F548" s="1099"/>
      <c r="G548" s="1098"/>
      <c r="H548" s="1153"/>
      <c r="I548" s="1099"/>
    </row>
    <row r="549" spans="2:9">
      <c r="B549" s="1136"/>
      <c r="C549" s="1129"/>
      <c r="D549" s="1098"/>
      <c r="E549" s="1098"/>
      <c r="F549" s="1099"/>
      <c r="G549" s="1098"/>
      <c r="H549" s="1153"/>
      <c r="I549" s="1099"/>
    </row>
    <row r="550" spans="2:9">
      <c r="B550" s="1136"/>
      <c r="C550" s="1129"/>
      <c r="D550" s="1098"/>
      <c r="E550" s="1098"/>
      <c r="F550" s="1099"/>
      <c r="G550" s="1098"/>
      <c r="H550" s="1153"/>
      <c r="I550" s="1099"/>
    </row>
    <row r="551" spans="2:9">
      <c r="B551" s="1136"/>
      <c r="C551" s="1129"/>
      <c r="D551" s="1098"/>
      <c r="E551" s="1098"/>
      <c r="F551" s="1099"/>
      <c r="G551" s="1098"/>
      <c r="H551" s="1153"/>
      <c r="I551" s="1099"/>
    </row>
    <row r="552" spans="2:9">
      <c r="B552" s="1136"/>
      <c r="C552" s="1129"/>
      <c r="D552" s="1098"/>
      <c r="E552" s="1098"/>
      <c r="F552" s="1099"/>
      <c r="G552" s="1098"/>
      <c r="H552" s="1153"/>
      <c r="I552" s="1099"/>
    </row>
    <row r="553" spans="2:9">
      <c r="B553" s="1136"/>
      <c r="C553" s="1129"/>
      <c r="D553" s="1098"/>
      <c r="E553" s="1098"/>
      <c r="F553" s="1099"/>
      <c r="G553" s="1098"/>
      <c r="H553" s="1153"/>
      <c r="I553" s="1099"/>
    </row>
    <row r="554" spans="2:9">
      <c r="B554" s="1136"/>
      <c r="C554" s="1129"/>
      <c r="D554" s="1098"/>
      <c r="E554" s="1098"/>
      <c r="F554" s="1099"/>
      <c r="G554" s="1098"/>
      <c r="H554" s="1153"/>
      <c r="I554" s="1099"/>
    </row>
    <row r="555" spans="2:9">
      <c r="B555" s="1136"/>
      <c r="C555" s="1129"/>
      <c r="D555" s="1098"/>
      <c r="E555" s="1098"/>
      <c r="F555" s="1099"/>
      <c r="G555" s="1098"/>
      <c r="H555" s="1153"/>
      <c r="I555" s="1099"/>
    </row>
    <row r="556" spans="2:9">
      <c r="B556" s="1136"/>
      <c r="C556" s="1129"/>
      <c r="D556" s="1098"/>
      <c r="E556" s="1098"/>
      <c r="F556" s="1099"/>
      <c r="G556" s="1098"/>
      <c r="H556" s="1153"/>
      <c r="I556" s="1099"/>
    </row>
    <row r="557" spans="2:9">
      <c r="B557" s="1136"/>
      <c r="C557" s="1129"/>
      <c r="D557" s="1098"/>
      <c r="E557" s="1098"/>
      <c r="F557" s="1099"/>
      <c r="G557" s="1098"/>
      <c r="H557" s="1153"/>
      <c r="I557" s="1099"/>
    </row>
    <row r="558" spans="2:9">
      <c r="B558" s="1136"/>
      <c r="C558" s="1129"/>
      <c r="D558" s="1098"/>
      <c r="E558" s="1098"/>
      <c r="F558" s="1099"/>
      <c r="G558" s="1098"/>
      <c r="H558" s="1153"/>
      <c r="I558" s="1099"/>
    </row>
    <row r="559" spans="2:9">
      <c r="B559" s="1136"/>
      <c r="C559" s="1129"/>
      <c r="D559" s="1098"/>
      <c r="E559" s="1098"/>
      <c r="F559" s="1099"/>
      <c r="G559" s="1098"/>
      <c r="H559" s="1153"/>
      <c r="I559" s="1099"/>
    </row>
    <row r="560" spans="2:9">
      <c r="B560" s="1136"/>
      <c r="C560" s="1129"/>
      <c r="D560" s="1098"/>
      <c r="E560" s="1098"/>
      <c r="F560" s="1099"/>
      <c r="G560" s="1098"/>
      <c r="H560" s="1153"/>
      <c r="I560" s="1099"/>
    </row>
    <row r="561" spans="2:9">
      <c r="B561" s="1136"/>
      <c r="C561" s="1129"/>
      <c r="D561" s="1098"/>
      <c r="E561" s="1098"/>
      <c r="F561" s="1099"/>
      <c r="G561" s="1098"/>
      <c r="H561" s="1153"/>
      <c r="I561" s="1099"/>
    </row>
    <row r="562" spans="2:9">
      <c r="B562" s="1136"/>
      <c r="C562" s="1129"/>
      <c r="D562" s="1098"/>
      <c r="E562" s="1098"/>
      <c r="F562" s="1099"/>
      <c r="G562" s="1098"/>
      <c r="H562" s="1153"/>
      <c r="I562" s="1099"/>
    </row>
    <row r="563" spans="2:9">
      <c r="B563" s="1136"/>
      <c r="C563" s="1129"/>
      <c r="D563" s="1098"/>
      <c r="E563" s="1098"/>
      <c r="F563" s="1099"/>
      <c r="G563" s="1098"/>
      <c r="H563" s="1153"/>
      <c r="I563" s="1099"/>
    </row>
    <row r="564" spans="2:9">
      <c r="B564" s="1136"/>
      <c r="C564" s="1129"/>
      <c r="D564" s="1098"/>
      <c r="E564" s="1098"/>
      <c r="F564" s="1099"/>
      <c r="G564" s="1098"/>
      <c r="H564" s="1153"/>
      <c r="I564" s="1099"/>
    </row>
    <row r="565" spans="2:9">
      <c r="B565" s="1136"/>
      <c r="C565" s="1129"/>
      <c r="D565" s="1098"/>
      <c r="E565" s="1098"/>
      <c r="F565" s="1099"/>
      <c r="G565" s="1098"/>
      <c r="H565" s="1153"/>
      <c r="I565" s="1099"/>
    </row>
    <row r="566" spans="2:9">
      <c r="B566" s="1136"/>
      <c r="C566" s="1129"/>
      <c r="D566" s="1098"/>
      <c r="E566" s="1098"/>
      <c r="F566" s="1099"/>
      <c r="G566" s="1098"/>
      <c r="H566" s="1153"/>
      <c r="I566" s="1099"/>
    </row>
    <row r="567" spans="2:9">
      <c r="B567" s="1136"/>
      <c r="C567" s="1129"/>
      <c r="D567" s="1098"/>
      <c r="E567" s="1098"/>
      <c r="F567" s="1099"/>
      <c r="G567" s="1098"/>
      <c r="H567" s="1153"/>
      <c r="I567" s="1099"/>
    </row>
    <row r="568" spans="2:9">
      <c r="B568" s="1136"/>
      <c r="C568" s="1129"/>
      <c r="D568" s="1098"/>
      <c r="E568" s="1098"/>
      <c r="F568" s="1099"/>
      <c r="G568" s="1098"/>
      <c r="H568" s="1153"/>
      <c r="I568" s="1099"/>
    </row>
    <row r="569" spans="2:9">
      <c r="B569" s="1136"/>
      <c r="C569" s="1129"/>
      <c r="D569" s="1098"/>
      <c r="E569" s="1098"/>
      <c r="F569" s="1099"/>
      <c r="G569" s="1098"/>
      <c r="H569" s="1153"/>
      <c r="I569" s="1099"/>
    </row>
    <row r="570" spans="2:9">
      <c r="B570" s="1136"/>
      <c r="C570" s="1129"/>
      <c r="D570" s="1098"/>
      <c r="E570" s="1098"/>
      <c r="F570" s="1099"/>
      <c r="G570" s="1098"/>
      <c r="H570" s="1153"/>
      <c r="I570" s="1099"/>
    </row>
    <row r="571" spans="2:9">
      <c r="B571" s="1136"/>
      <c r="C571" s="1129"/>
      <c r="D571" s="1098"/>
      <c r="E571" s="1098"/>
      <c r="F571" s="1099"/>
      <c r="G571" s="1098"/>
      <c r="H571" s="1153"/>
      <c r="I571" s="1099"/>
    </row>
    <row r="572" spans="2:9">
      <c r="B572" s="1136"/>
      <c r="C572" s="1129"/>
      <c r="D572" s="1098"/>
      <c r="E572" s="1098"/>
      <c r="F572" s="1099"/>
      <c r="G572" s="1098"/>
      <c r="H572" s="1153"/>
      <c r="I572" s="1099"/>
    </row>
    <row r="573" spans="2:9">
      <c r="B573" s="1136"/>
      <c r="C573" s="1129"/>
      <c r="D573" s="1098"/>
      <c r="E573" s="1098"/>
      <c r="F573" s="1099"/>
      <c r="G573" s="1098"/>
      <c r="H573" s="1153"/>
      <c r="I573" s="1099"/>
    </row>
    <row r="574" spans="2:9">
      <c r="B574" s="1136"/>
      <c r="C574" s="1129"/>
      <c r="D574" s="1098"/>
      <c r="E574" s="1098"/>
      <c r="F574" s="1099"/>
      <c r="G574" s="1098"/>
      <c r="H574" s="1153"/>
      <c r="I574" s="1099"/>
    </row>
    <row r="575" spans="2:9">
      <c r="B575" s="1136"/>
      <c r="C575" s="1129"/>
      <c r="D575" s="1098"/>
      <c r="E575" s="1098"/>
      <c r="F575" s="1099"/>
      <c r="G575" s="1098"/>
      <c r="H575" s="1153"/>
      <c r="I575" s="1099"/>
    </row>
    <row r="576" spans="2:9">
      <c r="B576" s="1136"/>
      <c r="C576" s="1129"/>
      <c r="D576" s="1098"/>
      <c r="E576" s="1098"/>
      <c r="F576" s="1099"/>
      <c r="G576" s="1098"/>
      <c r="H576" s="1153"/>
      <c r="I576" s="1099"/>
    </row>
    <row r="577" spans="2:9">
      <c r="B577" s="1136"/>
      <c r="C577" s="1129"/>
      <c r="D577" s="1098"/>
      <c r="E577" s="1098"/>
      <c r="F577" s="1099"/>
      <c r="G577" s="1098"/>
      <c r="H577" s="1153"/>
      <c r="I577" s="1099"/>
    </row>
    <row r="578" spans="2:9">
      <c r="B578" s="1136"/>
      <c r="C578" s="1129"/>
      <c r="D578" s="1098"/>
      <c r="E578" s="1098"/>
      <c r="F578" s="1099"/>
      <c r="G578" s="1098"/>
      <c r="H578" s="1153"/>
      <c r="I578" s="1099"/>
    </row>
    <row r="579" spans="2:9">
      <c r="B579" s="1136"/>
      <c r="C579" s="1129"/>
      <c r="D579" s="1098"/>
      <c r="E579" s="1098"/>
      <c r="F579" s="1099"/>
      <c r="G579" s="1098"/>
      <c r="H579" s="1153"/>
      <c r="I579" s="1099"/>
    </row>
    <row r="580" spans="2:9">
      <c r="B580" s="1136"/>
      <c r="C580" s="1129"/>
      <c r="D580" s="1098"/>
      <c r="E580" s="1098"/>
      <c r="F580" s="1099"/>
      <c r="G580" s="1098"/>
      <c r="H580" s="1153"/>
      <c r="I580" s="1099"/>
    </row>
    <row r="581" spans="2:9">
      <c r="B581" s="1136"/>
      <c r="C581" s="1129"/>
      <c r="D581" s="1098"/>
      <c r="E581" s="1098"/>
      <c r="F581" s="1099"/>
      <c r="G581" s="1098"/>
      <c r="H581" s="1153"/>
      <c r="I581" s="1099"/>
    </row>
    <row r="582" spans="2:9">
      <c r="B582" s="1136"/>
      <c r="C582" s="1129"/>
      <c r="D582" s="1098"/>
      <c r="E582" s="1098"/>
      <c r="F582" s="1099"/>
      <c r="G582" s="1098"/>
      <c r="H582" s="1153"/>
      <c r="I582" s="1099"/>
    </row>
    <row r="583" spans="2:9">
      <c r="B583" s="1136"/>
      <c r="C583" s="1129"/>
      <c r="D583" s="1098"/>
      <c r="E583" s="1098"/>
      <c r="F583" s="1099"/>
      <c r="G583" s="1098"/>
      <c r="H583" s="1153"/>
      <c r="I583" s="1099"/>
    </row>
    <row r="584" spans="2:9">
      <c r="B584" s="1136"/>
      <c r="C584" s="1129"/>
      <c r="D584" s="1098"/>
      <c r="E584" s="1098"/>
      <c r="F584" s="1099"/>
      <c r="G584" s="1098"/>
      <c r="H584" s="1153"/>
      <c r="I584" s="1099"/>
    </row>
    <row r="585" spans="2:9">
      <c r="B585" s="1136"/>
      <c r="C585" s="1129"/>
      <c r="D585" s="1098"/>
      <c r="E585" s="1098"/>
      <c r="F585" s="1099"/>
      <c r="G585" s="1098"/>
      <c r="H585" s="1153"/>
      <c r="I585" s="1099"/>
    </row>
    <row r="586" spans="2:9">
      <c r="B586" s="1136"/>
      <c r="C586" s="1129"/>
      <c r="D586" s="1098"/>
      <c r="E586" s="1098"/>
      <c r="F586" s="1099"/>
      <c r="G586" s="1098"/>
      <c r="H586" s="1153"/>
      <c r="I586" s="1099"/>
    </row>
    <row r="587" spans="2:9">
      <c r="B587" s="1136"/>
      <c r="C587" s="1129"/>
      <c r="D587" s="1098"/>
      <c r="E587" s="1098"/>
      <c r="F587" s="1099"/>
      <c r="G587" s="1098"/>
      <c r="H587" s="1153"/>
      <c r="I587" s="1099"/>
    </row>
    <row r="588" spans="2:9">
      <c r="B588" s="1136"/>
      <c r="C588" s="1129"/>
      <c r="D588" s="1098"/>
      <c r="E588" s="1098"/>
      <c r="F588" s="1099"/>
      <c r="G588" s="1098"/>
      <c r="H588" s="1153"/>
      <c r="I588" s="1099"/>
    </row>
    <row r="589" spans="2:9">
      <c r="B589" s="1136"/>
      <c r="C589" s="1129"/>
      <c r="D589" s="1098"/>
      <c r="E589" s="1098"/>
      <c r="F589" s="1099"/>
      <c r="G589" s="1098"/>
      <c r="H589" s="1153"/>
      <c r="I589" s="1099"/>
    </row>
    <row r="590" spans="2:9">
      <c r="B590" s="1136"/>
      <c r="C590" s="1129"/>
      <c r="D590" s="1098"/>
      <c r="E590" s="1098"/>
      <c r="F590" s="1099"/>
      <c r="G590" s="1098"/>
      <c r="H590" s="1153"/>
      <c r="I590" s="1099"/>
    </row>
    <row r="591" spans="2:9">
      <c r="B591" s="1136"/>
      <c r="C591" s="1129"/>
      <c r="D591" s="1098"/>
      <c r="E591" s="1098"/>
      <c r="F591" s="1099"/>
      <c r="G591" s="1098"/>
      <c r="H591" s="1153"/>
      <c r="I591" s="1099"/>
    </row>
    <row r="592" spans="2:9">
      <c r="B592" s="1136"/>
      <c r="C592" s="1129"/>
      <c r="D592" s="1098"/>
      <c r="E592" s="1098"/>
      <c r="F592" s="1099"/>
      <c r="G592" s="1098"/>
      <c r="H592" s="1153"/>
      <c r="I592" s="1099"/>
    </row>
    <row r="593" spans="2:9">
      <c r="B593" s="1136"/>
      <c r="C593" s="1129"/>
      <c r="D593" s="1098"/>
      <c r="E593" s="1098"/>
      <c r="F593" s="1099"/>
      <c r="G593" s="1098"/>
      <c r="H593" s="1153"/>
      <c r="I593" s="1099"/>
    </row>
    <row r="594" spans="2:9">
      <c r="B594" s="1136"/>
      <c r="C594" s="1129"/>
      <c r="D594" s="1098"/>
      <c r="E594" s="1098"/>
      <c r="F594" s="1099"/>
      <c r="G594" s="1098"/>
      <c r="H594" s="1153"/>
      <c r="I594" s="1099"/>
    </row>
    <row r="595" spans="2:9">
      <c r="B595" s="1136"/>
      <c r="C595" s="1129"/>
      <c r="D595" s="1098"/>
      <c r="E595" s="1098"/>
      <c r="F595" s="1099"/>
      <c r="G595" s="1098"/>
      <c r="H595" s="1153"/>
      <c r="I595" s="1099"/>
    </row>
    <row r="596" spans="2:9">
      <c r="B596" s="1136"/>
      <c r="C596" s="1129"/>
      <c r="D596" s="1098"/>
      <c r="E596" s="1098"/>
      <c r="F596" s="1099"/>
      <c r="G596" s="1098"/>
      <c r="H596" s="1153"/>
      <c r="I596" s="1099"/>
    </row>
    <row r="597" spans="2:9">
      <c r="B597" s="1136"/>
      <c r="C597" s="1129"/>
      <c r="D597" s="1098"/>
      <c r="E597" s="1098"/>
      <c r="F597" s="1099"/>
      <c r="G597" s="1098"/>
      <c r="H597" s="1153"/>
      <c r="I597" s="1099"/>
    </row>
    <row r="598" spans="2:9">
      <c r="B598" s="1136"/>
      <c r="C598" s="1129"/>
      <c r="D598" s="1098"/>
      <c r="E598" s="1098"/>
      <c r="F598" s="1099"/>
      <c r="G598" s="1098"/>
      <c r="H598" s="1153"/>
      <c r="I598" s="1099"/>
    </row>
    <row r="599" spans="2:9">
      <c r="B599" s="1136"/>
      <c r="C599" s="1129"/>
      <c r="D599" s="1098"/>
      <c r="E599" s="1098"/>
      <c r="F599" s="1099"/>
      <c r="G599" s="1098"/>
      <c r="H599" s="1153"/>
      <c r="I599" s="1099"/>
    </row>
    <row r="600" spans="2:9">
      <c r="B600" s="1136"/>
      <c r="C600" s="1129"/>
      <c r="D600" s="1098"/>
      <c r="E600" s="1098"/>
      <c r="F600" s="1099"/>
      <c r="G600" s="1098"/>
      <c r="H600" s="1153"/>
      <c r="I600" s="1099"/>
    </row>
    <row r="601" spans="2:9">
      <c r="B601" s="1136"/>
      <c r="C601" s="1129"/>
      <c r="D601" s="1098"/>
      <c r="E601" s="1098"/>
      <c r="F601" s="1099"/>
      <c r="G601" s="1098"/>
      <c r="H601" s="1153"/>
      <c r="I601" s="1099"/>
    </row>
    <row r="602" spans="2:9">
      <c r="B602" s="1136"/>
      <c r="C602" s="1129"/>
      <c r="D602" s="1098"/>
      <c r="E602" s="1098"/>
      <c r="F602" s="1099"/>
      <c r="G602" s="1098"/>
      <c r="H602" s="1153"/>
      <c r="I602" s="1099"/>
    </row>
    <row r="603" spans="2:9">
      <c r="B603" s="1136"/>
      <c r="C603" s="1129"/>
      <c r="D603" s="1098"/>
      <c r="E603" s="1098"/>
      <c r="F603" s="1099"/>
      <c r="G603" s="1098"/>
      <c r="H603" s="1153"/>
      <c r="I603" s="1099"/>
    </row>
    <row r="604" spans="2:9">
      <c r="B604" s="1136"/>
      <c r="C604" s="1129"/>
      <c r="D604" s="1098"/>
      <c r="E604" s="1098"/>
      <c r="F604" s="1099"/>
      <c r="G604" s="1098"/>
      <c r="H604" s="1153"/>
      <c r="I604" s="1099"/>
    </row>
    <row r="605" spans="2:9">
      <c r="B605" s="1136"/>
      <c r="C605" s="1129"/>
      <c r="D605" s="1098"/>
      <c r="E605" s="1098"/>
      <c r="F605" s="1099"/>
      <c r="G605" s="1098"/>
      <c r="H605" s="1153"/>
      <c r="I605" s="1099"/>
    </row>
    <row r="606" spans="2:9">
      <c r="B606" s="1136"/>
      <c r="C606" s="1129"/>
      <c r="D606" s="1098"/>
      <c r="E606" s="1098"/>
      <c r="F606" s="1099"/>
      <c r="G606" s="1098"/>
      <c r="H606" s="1153"/>
      <c r="I606" s="1099"/>
    </row>
    <row r="607" spans="2:9">
      <c r="B607" s="1136"/>
      <c r="C607" s="1129"/>
      <c r="D607" s="1098"/>
      <c r="E607" s="1098"/>
      <c r="F607" s="1099"/>
      <c r="G607" s="1098"/>
      <c r="H607" s="1153"/>
      <c r="I607" s="1099"/>
    </row>
    <row r="608" spans="2:9">
      <c r="B608" s="1136"/>
      <c r="C608" s="1129"/>
      <c r="D608" s="1098"/>
      <c r="E608" s="1098"/>
      <c r="F608" s="1099"/>
      <c r="G608" s="1098"/>
      <c r="H608" s="1153"/>
      <c r="I608" s="1099"/>
    </row>
    <row r="609" spans="2:9">
      <c r="B609" s="1136"/>
      <c r="C609" s="1129"/>
      <c r="D609" s="1098"/>
      <c r="E609" s="1098"/>
      <c r="F609" s="1099"/>
      <c r="G609" s="1098"/>
      <c r="H609" s="1153"/>
      <c r="I609" s="1099"/>
    </row>
    <row r="610" spans="2:9">
      <c r="B610" s="1136"/>
      <c r="C610" s="1129"/>
      <c r="D610" s="1098"/>
      <c r="E610" s="1098"/>
      <c r="F610" s="1099"/>
      <c r="G610" s="1098"/>
      <c r="H610" s="1153"/>
      <c r="I610" s="1099"/>
    </row>
    <row r="611" spans="2:9">
      <c r="B611" s="1136"/>
      <c r="C611" s="1129"/>
      <c r="D611" s="1098"/>
      <c r="E611" s="1098"/>
      <c r="F611" s="1099"/>
      <c r="G611" s="1098"/>
      <c r="H611" s="1153"/>
      <c r="I611" s="1099"/>
    </row>
    <row r="612" spans="2:9">
      <c r="B612" s="1136"/>
      <c r="C612" s="1129"/>
      <c r="D612" s="1098"/>
      <c r="E612" s="1098"/>
      <c r="F612" s="1099"/>
      <c r="G612" s="1098"/>
      <c r="H612" s="1153"/>
      <c r="I612" s="1099"/>
    </row>
    <row r="613" spans="2:9">
      <c r="B613" s="1136"/>
      <c r="C613" s="1129"/>
      <c r="D613" s="1098"/>
      <c r="E613" s="1098"/>
      <c r="F613" s="1099"/>
      <c r="G613" s="1098"/>
      <c r="H613" s="1153"/>
      <c r="I613" s="1099"/>
    </row>
    <row r="614" spans="2:9">
      <c r="B614" s="1136"/>
      <c r="C614" s="1129"/>
      <c r="D614" s="1098"/>
      <c r="E614" s="1098"/>
      <c r="F614" s="1099"/>
      <c r="G614" s="1098"/>
      <c r="H614" s="1153"/>
      <c r="I614" s="1099"/>
    </row>
    <row r="615" spans="2:9">
      <c r="B615" s="1136"/>
      <c r="C615" s="1129"/>
      <c r="D615" s="1098"/>
      <c r="E615" s="1098"/>
      <c r="F615" s="1099"/>
      <c r="G615" s="1098"/>
      <c r="H615" s="1153"/>
      <c r="I615" s="1099"/>
    </row>
    <row r="616" spans="2:9">
      <c r="B616" s="1136"/>
      <c r="C616" s="1129"/>
      <c r="D616" s="1098"/>
      <c r="E616" s="1098"/>
      <c r="F616" s="1099"/>
      <c r="G616" s="1098"/>
      <c r="H616" s="1153"/>
      <c r="I616" s="1099"/>
    </row>
    <row r="617" spans="2:9">
      <c r="B617" s="1136"/>
      <c r="C617" s="1129"/>
      <c r="D617" s="1098"/>
      <c r="E617" s="1098"/>
      <c r="F617" s="1099"/>
      <c r="G617" s="1098"/>
      <c r="H617" s="1153"/>
      <c r="I617" s="1099"/>
    </row>
    <row r="618" spans="2:9">
      <c r="B618" s="1136"/>
      <c r="C618" s="1129"/>
      <c r="D618" s="1098"/>
      <c r="E618" s="1098"/>
      <c r="F618" s="1099"/>
      <c r="G618" s="1098"/>
      <c r="H618" s="1153"/>
      <c r="I618" s="1099"/>
    </row>
    <row r="619" spans="2:9">
      <c r="B619" s="1136"/>
      <c r="C619" s="1129"/>
      <c r="D619" s="1098"/>
      <c r="E619" s="1098"/>
      <c r="F619" s="1099"/>
      <c r="G619" s="1098"/>
      <c r="H619" s="1153"/>
      <c r="I619" s="1099"/>
    </row>
    <row r="620" spans="2:9">
      <c r="B620" s="1136"/>
      <c r="C620" s="1129"/>
      <c r="D620" s="1098"/>
      <c r="E620" s="1098"/>
      <c r="F620" s="1099"/>
      <c r="G620" s="1098"/>
      <c r="H620" s="1153"/>
      <c r="I620" s="1099"/>
    </row>
    <row r="621" spans="2:9">
      <c r="B621" s="1136"/>
      <c r="C621" s="1129"/>
      <c r="D621" s="1098"/>
      <c r="E621" s="1098"/>
      <c r="F621" s="1099"/>
      <c r="G621" s="1098"/>
      <c r="H621" s="1153"/>
      <c r="I621" s="1099"/>
    </row>
    <row r="622" spans="2:9">
      <c r="B622" s="1136"/>
      <c r="C622" s="1129"/>
      <c r="D622" s="1098"/>
      <c r="E622" s="1098"/>
      <c r="F622" s="1099"/>
      <c r="G622" s="1098"/>
      <c r="H622" s="1153"/>
      <c r="I622" s="1099"/>
    </row>
    <row r="623" spans="2:9">
      <c r="B623" s="1136"/>
      <c r="C623" s="1129"/>
      <c r="D623" s="1098"/>
      <c r="E623" s="1098"/>
      <c r="F623" s="1099"/>
      <c r="G623" s="1098"/>
      <c r="H623" s="1153"/>
      <c r="I623" s="1099"/>
    </row>
    <row r="624" spans="2:9">
      <c r="B624" s="1136"/>
      <c r="C624" s="1129"/>
      <c r="D624" s="1098"/>
      <c r="E624" s="1098"/>
      <c r="F624" s="1099"/>
      <c r="G624" s="1098"/>
      <c r="H624" s="1153"/>
      <c r="I624" s="1099"/>
    </row>
    <row r="625" spans="2:9">
      <c r="B625" s="1136"/>
      <c r="C625" s="1129"/>
      <c r="D625" s="1098"/>
      <c r="E625" s="1098"/>
      <c r="F625" s="1099"/>
      <c r="G625" s="1098"/>
      <c r="H625" s="1153"/>
      <c r="I625" s="1099"/>
    </row>
    <row r="626" spans="2:9">
      <c r="B626" s="1136"/>
      <c r="C626" s="1129"/>
      <c r="D626" s="1098"/>
      <c r="E626" s="1098"/>
      <c r="F626" s="1099"/>
      <c r="G626" s="1098"/>
      <c r="H626" s="1153"/>
      <c r="I626" s="1099"/>
    </row>
    <row r="627" spans="2:9">
      <c r="B627" s="1136"/>
      <c r="C627" s="1129"/>
      <c r="D627" s="1098"/>
      <c r="E627" s="1098"/>
      <c r="F627" s="1099"/>
      <c r="G627" s="1098"/>
      <c r="H627" s="1153"/>
      <c r="I627" s="1099"/>
    </row>
    <row r="628" spans="2:9">
      <c r="B628" s="1136"/>
      <c r="C628" s="1129"/>
      <c r="D628" s="1098"/>
      <c r="E628" s="1098"/>
      <c r="F628" s="1099"/>
      <c r="G628" s="1098"/>
      <c r="H628" s="1153"/>
      <c r="I628" s="1099"/>
    </row>
    <row r="629" spans="2:9">
      <c r="B629" s="1136"/>
      <c r="C629" s="1129"/>
      <c r="D629" s="1098"/>
      <c r="E629" s="1098"/>
      <c r="F629" s="1099"/>
      <c r="G629" s="1098"/>
      <c r="H629" s="1153"/>
      <c r="I629" s="1099"/>
    </row>
    <row r="630" spans="2:9">
      <c r="B630" s="1136"/>
      <c r="C630" s="1129"/>
      <c r="D630" s="1098"/>
      <c r="E630" s="1098"/>
      <c r="F630" s="1099"/>
      <c r="G630" s="1098"/>
      <c r="H630" s="1153"/>
      <c r="I630" s="1099"/>
    </row>
    <row r="631" spans="2:9">
      <c r="B631" s="1136"/>
      <c r="C631" s="1129"/>
      <c r="D631" s="1098"/>
      <c r="E631" s="1098"/>
      <c r="F631" s="1099"/>
      <c r="G631" s="1098"/>
      <c r="H631" s="1153"/>
      <c r="I631" s="1099"/>
    </row>
    <row r="632" spans="2:9">
      <c r="B632" s="1136"/>
      <c r="C632" s="1129"/>
      <c r="D632" s="1098"/>
      <c r="E632" s="1098"/>
      <c r="F632" s="1099"/>
      <c r="G632" s="1098"/>
      <c r="H632" s="1153"/>
      <c r="I632" s="1099"/>
    </row>
    <row r="633" spans="2:9">
      <c r="B633" s="1136"/>
      <c r="C633" s="1129"/>
      <c r="D633" s="1098"/>
      <c r="E633" s="1098"/>
      <c r="F633" s="1099"/>
      <c r="G633" s="1098"/>
      <c r="H633" s="1153"/>
      <c r="I633" s="1099"/>
    </row>
    <row r="634" spans="2:9">
      <c r="B634" s="1136"/>
      <c r="C634" s="1129"/>
      <c r="D634" s="1098"/>
      <c r="E634" s="1098"/>
      <c r="F634" s="1099"/>
      <c r="G634" s="1098"/>
      <c r="H634" s="1153"/>
      <c r="I634" s="1099"/>
    </row>
    <row r="635" spans="2:9">
      <c r="B635" s="1136"/>
      <c r="C635" s="1129"/>
      <c r="D635" s="1098"/>
      <c r="E635" s="1098"/>
      <c r="F635" s="1099"/>
      <c r="G635" s="1098"/>
      <c r="H635" s="1153"/>
      <c r="I635" s="1099"/>
    </row>
    <row r="636" spans="2:9">
      <c r="B636" s="1136"/>
      <c r="C636" s="1129"/>
      <c r="D636" s="1098"/>
      <c r="E636" s="1098"/>
      <c r="F636" s="1099"/>
      <c r="G636" s="1098"/>
      <c r="H636" s="1153"/>
      <c r="I636" s="1099"/>
    </row>
    <row r="637" spans="2:9">
      <c r="B637" s="1136"/>
      <c r="C637" s="1129"/>
      <c r="D637" s="1098"/>
      <c r="E637" s="1098"/>
      <c r="F637" s="1099"/>
      <c r="G637" s="1098"/>
      <c r="H637" s="1153"/>
      <c r="I637" s="1099"/>
    </row>
    <row r="638" spans="2:9">
      <c r="B638" s="1136"/>
      <c r="C638" s="1129"/>
      <c r="D638" s="1098"/>
      <c r="E638" s="1098"/>
      <c r="F638" s="1099"/>
      <c r="G638" s="1098"/>
      <c r="H638" s="1153"/>
      <c r="I638" s="1099"/>
    </row>
    <row r="639" spans="2:9">
      <c r="B639" s="1136"/>
      <c r="C639" s="1129"/>
      <c r="D639" s="1098"/>
      <c r="E639" s="1098"/>
      <c r="F639" s="1099"/>
      <c r="G639" s="1098"/>
      <c r="H639" s="1153"/>
      <c r="I639" s="1099"/>
    </row>
    <row r="640" spans="2:9">
      <c r="B640" s="1136"/>
      <c r="C640" s="1129"/>
      <c r="D640" s="1098"/>
      <c r="E640" s="1098"/>
      <c r="F640" s="1099"/>
      <c r="G640" s="1098"/>
      <c r="H640" s="1153"/>
      <c r="I640" s="1099"/>
    </row>
    <row r="641" spans="2:9">
      <c r="B641" s="1136"/>
      <c r="C641" s="1129"/>
      <c r="D641" s="1098"/>
      <c r="E641" s="1098"/>
      <c r="F641" s="1099"/>
      <c r="G641" s="1098"/>
      <c r="H641" s="1153"/>
      <c r="I641" s="1099"/>
    </row>
    <row r="642" spans="2:9">
      <c r="B642" s="1136"/>
      <c r="C642" s="1129"/>
      <c r="D642" s="1098"/>
      <c r="E642" s="1098"/>
      <c r="F642" s="1099"/>
      <c r="G642" s="1098"/>
      <c r="H642" s="1153"/>
      <c r="I642" s="1099"/>
    </row>
    <row r="643" spans="2:9">
      <c r="B643" s="1136"/>
      <c r="C643" s="1129"/>
      <c r="D643" s="1098"/>
      <c r="E643" s="1098"/>
      <c r="F643" s="1099"/>
      <c r="G643" s="1098"/>
      <c r="H643" s="1153"/>
      <c r="I643" s="1099"/>
    </row>
    <row r="644" spans="2:9">
      <c r="B644" s="1136"/>
      <c r="C644" s="1129"/>
      <c r="D644" s="1098"/>
      <c r="E644" s="1098"/>
      <c r="F644" s="1099"/>
      <c r="G644" s="1098"/>
      <c r="H644" s="1153"/>
      <c r="I644" s="1099"/>
    </row>
    <row r="645" spans="2:9">
      <c r="B645" s="1136"/>
      <c r="C645" s="1129"/>
      <c r="D645" s="1098"/>
      <c r="E645" s="1098"/>
      <c r="F645" s="1099"/>
      <c r="G645" s="1098"/>
      <c r="H645" s="1153"/>
      <c r="I645" s="1099"/>
    </row>
    <row r="646" spans="2:9">
      <c r="B646" s="1136"/>
      <c r="C646" s="1129"/>
      <c r="D646" s="1098"/>
      <c r="E646" s="1098"/>
      <c r="F646" s="1099"/>
      <c r="G646" s="1098"/>
      <c r="H646" s="1153"/>
      <c r="I646" s="1099"/>
    </row>
    <row r="647" spans="2:9">
      <c r="B647" s="1136"/>
      <c r="C647" s="1129"/>
      <c r="D647" s="1098"/>
      <c r="E647" s="1098"/>
      <c r="F647" s="1099"/>
      <c r="G647" s="1098"/>
      <c r="H647" s="1153"/>
      <c r="I647" s="1099"/>
    </row>
    <row r="648" spans="2:9">
      <c r="B648" s="1136"/>
      <c r="C648" s="1129"/>
      <c r="D648" s="1098"/>
      <c r="E648" s="1098"/>
      <c r="F648" s="1099"/>
      <c r="G648" s="1098"/>
      <c r="H648" s="1153"/>
      <c r="I648" s="1099"/>
    </row>
    <row r="649" spans="2:9">
      <c r="B649" s="1136"/>
      <c r="C649" s="1129"/>
      <c r="D649" s="1098"/>
      <c r="E649" s="1098"/>
      <c r="F649" s="1099"/>
      <c r="G649" s="1098"/>
      <c r="H649" s="1153"/>
      <c r="I649" s="1099"/>
    </row>
    <row r="650" spans="2:9">
      <c r="B650" s="1136"/>
      <c r="C650" s="1129"/>
      <c r="D650" s="1098"/>
      <c r="E650" s="1098"/>
      <c r="F650" s="1099"/>
      <c r="G650" s="1098"/>
      <c r="H650" s="1153"/>
      <c r="I650" s="1099"/>
    </row>
    <row r="651" spans="2:9">
      <c r="B651" s="1136"/>
      <c r="C651" s="1129"/>
      <c r="D651" s="1098"/>
      <c r="E651" s="1098"/>
      <c r="F651" s="1099"/>
      <c r="G651" s="1098"/>
      <c r="H651" s="1153"/>
      <c r="I651" s="1099"/>
    </row>
    <row r="652" spans="2:9">
      <c r="B652" s="1136"/>
      <c r="C652" s="1129"/>
      <c r="D652" s="1098"/>
      <c r="E652" s="1098"/>
      <c r="F652" s="1099"/>
      <c r="G652" s="1098"/>
      <c r="H652" s="1153"/>
      <c r="I652" s="1099"/>
    </row>
    <row r="653" spans="2:9">
      <c r="B653" s="1136"/>
      <c r="C653" s="1129"/>
      <c r="D653" s="1098"/>
      <c r="E653" s="1098"/>
      <c r="F653" s="1099"/>
      <c r="G653" s="1098"/>
      <c r="H653" s="1153"/>
      <c r="I653" s="1099"/>
    </row>
    <row r="654" spans="2:9">
      <c r="B654" s="1136"/>
      <c r="C654" s="1129"/>
      <c r="D654" s="1098"/>
      <c r="E654" s="1098"/>
      <c r="F654" s="1099"/>
      <c r="G654" s="1098"/>
      <c r="H654" s="1153"/>
      <c r="I654" s="1099"/>
    </row>
    <row r="655" spans="2:9">
      <c r="B655" s="1136"/>
      <c r="C655" s="1129"/>
      <c r="D655" s="1098"/>
      <c r="E655" s="1098"/>
      <c r="F655" s="1099"/>
      <c r="G655" s="1098"/>
      <c r="H655" s="1153"/>
      <c r="I655" s="1099"/>
    </row>
    <row r="656" spans="2:9">
      <c r="B656" s="1136"/>
      <c r="C656" s="1129"/>
      <c r="D656" s="1098"/>
      <c r="E656" s="1098"/>
      <c r="F656" s="1099"/>
      <c r="G656" s="1098"/>
      <c r="H656" s="1153"/>
      <c r="I656" s="1099"/>
    </row>
    <row r="657" spans="2:9">
      <c r="B657" s="1136"/>
      <c r="C657" s="1129"/>
      <c r="D657" s="1098"/>
      <c r="E657" s="1098"/>
      <c r="F657" s="1099"/>
      <c r="G657" s="1098"/>
      <c r="H657" s="1153"/>
      <c r="I657" s="1099"/>
    </row>
    <row r="658" spans="2:9">
      <c r="B658" s="1136"/>
      <c r="C658" s="1129"/>
      <c r="D658" s="1098"/>
      <c r="E658" s="1098"/>
      <c r="F658" s="1099"/>
      <c r="G658" s="1098"/>
      <c r="H658" s="1153"/>
      <c r="I658" s="1099"/>
    </row>
    <row r="659" spans="2:9">
      <c r="B659" s="1136"/>
      <c r="C659" s="1129"/>
      <c r="D659" s="1098"/>
      <c r="E659" s="1098"/>
      <c r="F659" s="1099"/>
      <c r="G659" s="1098"/>
      <c r="H659" s="1153"/>
      <c r="I659" s="1099"/>
    </row>
    <row r="660" spans="2:9">
      <c r="B660" s="1136"/>
      <c r="C660" s="1129"/>
      <c r="D660" s="1098"/>
      <c r="E660" s="1098"/>
      <c r="F660" s="1099"/>
      <c r="G660" s="1098"/>
      <c r="H660" s="1153"/>
      <c r="I660" s="1099"/>
    </row>
    <row r="661" spans="2:9">
      <c r="B661" s="1136"/>
      <c r="C661" s="1129"/>
      <c r="D661" s="1098"/>
      <c r="E661" s="1098"/>
      <c r="F661" s="1099"/>
      <c r="G661" s="1098"/>
      <c r="H661" s="1153"/>
      <c r="I661" s="1099"/>
    </row>
    <row r="662" spans="2:9">
      <c r="B662" s="1136"/>
      <c r="C662" s="1129"/>
      <c r="D662" s="1098"/>
      <c r="E662" s="1098"/>
      <c r="F662" s="1099"/>
      <c r="G662" s="1098"/>
      <c r="H662" s="1153"/>
      <c r="I662" s="1099"/>
    </row>
    <row r="663" spans="2:9">
      <c r="B663" s="1136"/>
      <c r="C663" s="1129"/>
      <c r="D663" s="1098"/>
      <c r="E663" s="1098"/>
      <c r="F663" s="1099"/>
      <c r="G663" s="1098"/>
      <c r="H663" s="1153"/>
      <c r="I663" s="1099"/>
    </row>
    <row r="664" spans="2:9">
      <c r="B664" s="1136"/>
      <c r="C664" s="1129"/>
      <c r="D664" s="1098"/>
      <c r="E664" s="1098"/>
      <c r="F664" s="1099"/>
      <c r="G664" s="1098"/>
      <c r="H664" s="1153"/>
      <c r="I664" s="1099"/>
    </row>
    <row r="665" spans="2:9">
      <c r="B665" s="1136"/>
      <c r="C665" s="1129"/>
      <c r="D665" s="1098"/>
      <c r="E665" s="1098"/>
      <c r="F665" s="1099"/>
      <c r="G665" s="1098"/>
      <c r="H665" s="1153"/>
      <c r="I665" s="1099"/>
    </row>
    <row r="666" spans="2:9">
      <c r="B666" s="1136"/>
      <c r="C666" s="1129"/>
      <c r="D666" s="1098"/>
      <c r="E666" s="1098"/>
      <c r="F666" s="1099"/>
      <c r="G666" s="1098"/>
      <c r="H666" s="1153"/>
      <c r="I666" s="1099"/>
    </row>
    <row r="667" spans="2:9">
      <c r="B667" s="1136"/>
      <c r="C667" s="1129"/>
      <c r="D667" s="1098"/>
      <c r="E667" s="1098"/>
      <c r="F667" s="1099"/>
      <c r="G667" s="1098"/>
      <c r="H667" s="1153"/>
      <c r="I667" s="1099"/>
    </row>
    <row r="668" spans="2:9">
      <c r="B668" s="1136"/>
      <c r="C668" s="1129"/>
      <c r="D668" s="1098"/>
      <c r="E668" s="1098"/>
      <c r="F668" s="1099"/>
      <c r="G668" s="1098"/>
      <c r="H668" s="1153"/>
      <c r="I668" s="1099"/>
    </row>
    <row r="669" spans="2:9">
      <c r="B669" s="1136"/>
      <c r="C669" s="1129"/>
      <c r="D669" s="1098"/>
      <c r="E669" s="1098"/>
      <c r="F669" s="1099"/>
      <c r="G669" s="1098"/>
      <c r="H669" s="1153"/>
      <c r="I669" s="1099"/>
    </row>
    <row r="670" spans="2:9">
      <c r="B670" s="1136"/>
      <c r="C670" s="1129"/>
      <c r="D670" s="1098"/>
      <c r="E670" s="1098"/>
      <c r="F670" s="1099"/>
      <c r="G670" s="1098"/>
      <c r="H670" s="1153"/>
      <c r="I670" s="1099"/>
    </row>
    <row r="671" spans="2:9">
      <c r="B671" s="1136"/>
      <c r="C671" s="1129"/>
      <c r="D671" s="1098"/>
      <c r="E671" s="1098"/>
      <c r="F671" s="1099"/>
      <c r="G671" s="1098"/>
      <c r="H671" s="1153"/>
      <c r="I671" s="1099"/>
    </row>
    <row r="672" spans="2:9">
      <c r="B672" s="1136"/>
      <c r="C672" s="1129"/>
      <c r="D672" s="1098"/>
      <c r="E672" s="1098"/>
      <c r="F672" s="1099"/>
      <c r="G672" s="1098"/>
      <c r="H672" s="1153"/>
      <c r="I672" s="1099"/>
    </row>
    <row r="673" spans="2:9">
      <c r="B673" s="1136"/>
      <c r="C673" s="1129"/>
      <c r="D673" s="1098"/>
      <c r="E673" s="1098"/>
      <c r="F673" s="1099"/>
      <c r="G673" s="1098"/>
      <c r="H673" s="1153"/>
      <c r="I673" s="1099"/>
    </row>
    <row r="674" spans="2:9">
      <c r="B674" s="1136"/>
      <c r="C674" s="1129"/>
      <c r="D674" s="1098"/>
      <c r="E674" s="1098"/>
      <c r="F674" s="1099"/>
      <c r="G674" s="1098"/>
      <c r="H674" s="1153"/>
      <c r="I674" s="1099"/>
    </row>
    <row r="675" spans="2:9">
      <c r="B675" s="1136"/>
      <c r="C675" s="1129"/>
      <c r="D675" s="1098"/>
      <c r="E675" s="1098"/>
      <c r="F675" s="1099"/>
      <c r="G675" s="1098"/>
      <c r="H675" s="1153"/>
      <c r="I675" s="1099"/>
    </row>
    <row r="676" spans="2:9">
      <c r="B676" s="1136"/>
      <c r="C676" s="1129"/>
      <c r="D676" s="1098"/>
      <c r="E676" s="1098"/>
      <c r="F676" s="1099"/>
      <c r="G676" s="1098"/>
      <c r="H676" s="1153"/>
      <c r="I676" s="1099"/>
    </row>
    <row r="677" spans="2:9">
      <c r="B677" s="1136"/>
      <c r="C677" s="1129"/>
      <c r="D677" s="1098"/>
      <c r="E677" s="1098"/>
      <c r="F677" s="1099"/>
      <c r="G677" s="1098"/>
      <c r="H677" s="1153"/>
      <c r="I677" s="1099"/>
    </row>
    <row r="678" spans="2:9">
      <c r="B678" s="1136"/>
      <c r="C678" s="1129"/>
      <c r="D678" s="1098"/>
      <c r="E678" s="1098"/>
      <c r="F678" s="1099"/>
      <c r="G678" s="1098"/>
      <c r="H678" s="1153"/>
      <c r="I678" s="1099"/>
    </row>
    <row r="679" spans="2:9">
      <c r="B679" s="1136"/>
      <c r="C679" s="1129"/>
      <c r="D679" s="1098"/>
      <c r="E679" s="1098"/>
      <c r="F679" s="1099"/>
      <c r="G679" s="1098"/>
      <c r="H679" s="1153"/>
      <c r="I679" s="1099"/>
    </row>
    <row r="680" spans="2:9">
      <c r="B680" s="1136"/>
      <c r="C680" s="1129"/>
      <c r="D680" s="1098"/>
      <c r="E680" s="1098"/>
      <c r="F680" s="1099"/>
      <c r="G680" s="1098"/>
      <c r="H680" s="1153"/>
      <c r="I680" s="1099"/>
    </row>
    <row r="681" spans="2:9">
      <c r="B681" s="1136"/>
      <c r="C681" s="1129"/>
      <c r="D681" s="1098"/>
      <c r="E681" s="1098"/>
      <c r="F681" s="1099"/>
      <c r="G681" s="1098"/>
      <c r="H681" s="1153"/>
      <c r="I681" s="1099"/>
    </row>
    <row r="682" spans="2:9">
      <c r="B682" s="1136"/>
      <c r="C682" s="1129"/>
      <c r="D682" s="1098"/>
      <c r="E682" s="1098"/>
      <c r="F682" s="1099"/>
      <c r="G682" s="1098"/>
      <c r="H682" s="1153"/>
      <c r="I682" s="1099"/>
    </row>
    <row r="683" spans="2:9">
      <c r="B683" s="1136"/>
      <c r="C683" s="1129"/>
      <c r="D683" s="1098"/>
      <c r="E683" s="1098"/>
      <c r="F683" s="1099"/>
      <c r="G683" s="1098"/>
      <c r="H683" s="1153"/>
      <c r="I683" s="1099"/>
    </row>
    <row r="684" spans="2:9">
      <c r="B684" s="1136"/>
      <c r="C684" s="1129"/>
      <c r="D684" s="1098"/>
      <c r="E684" s="1098"/>
      <c r="F684" s="1099"/>
      <c r="G684" s="1098"/>
      <c r="H684" s="1153"/>
      <c r="I684" s="1099"/>
    </row>
    <row r="685" spans="2:9">
      <c r="B685" s="1136"/>
      <c r="C685" s="1129"/>
      <c r="D685" s="1098"/>
      <c r="E685" s="1098"/>
      <c r="F685" s="1099"/>
      <c r="G685" s="1098"/>
      <c r="H685" s="1153"/>
      <c r="I685" s="1099"/>
    </row>
    <row r="686" spans="2:9">
      <c r="B686" s="1136"/>
      <c r="C686" s="1129"/>
      <c r="D686" s="1098"/>
      <c r="E686" s="1098"/>
      <c r="F686" s="1099"/>
      <c r="G686" s="1098"/>
      <c r="H686" s="1153"/>
      <c r="I686" s="1099"/>
    </row>
    <row r="687" spans="2:9">
      <c r="B687" s="1136"/>
      <c r="C687" s="1129"/>
      <c r="D687" s="1098"/>
      <c r="E687" s="1098"/>
      <c r="F687" s="1099"/>
      <c r="G687" s="1098"/>
      <c r="H687" s="1153"/>
      <c r="I687" s="1099"/>
    </row>
    <row r="688" spans="2:9">
      <c r="B688" s="1136"/>
      <c r="C688" s="1129"/>
      <c r="D688" s="1098"/>
      <c r="E688" s="1098"/>
      <c r="F688" s="1099"/>
      <c r="G688" s="1098"/>
      <c r="H688" s="1153"/>
      <c r="I688" s="1099"/>
    </row>
    <row r="689" spans="2:9">
      <c r="B689" s="1136"/>
      <c r="C689" s="1129"/>
      <c r="D689" s="1098"/>
      <c r="E689" s="1098"/>
      <c r="F689" s="1099"/>
      <c r="G689" s="1098"/>
      <c r="H689" s="1153"/>
      <c r="I689" s="1099"/>
    </row>
    <row r="690" spans="2:9">
      <c r="B690" s="1136"/>
      <c r="C690" s="1129"/>
      <c r="D690" s="1098"/>
      <c r="E690" s="1098"/>
      <c r="F690" s="1099"/>
      <c r="G690" s="1098"/>
      <c r="H690" s="1153"/>
      <c r="I690" s="1099"/>
    </row>
    <row r="691" spans="2:9">
      <c r="B691" s="1136"/>
      <c r="C691" s="1129"/>
      <c r="D691" s="1098"/>
      <c r="E691" s="1098"/>
      <c r="F691" s="1099"/>
      <c r="G691" s="1098"/>
      <c r="H691" s="1153"/>
      <c r="I691" s="1099"/>
    </row>
    <row r="692" spans="2:9">
      <c r="B692" s="1136"/>
      <c r="C692" s="1129"/>
      <c r="D692" s="1098"/>
      <c r="E692" s="1098"/>
      <c r="F692" s="1099"/>
      <c r="G692" s="1098"/>
      <c r="H692" s="1153"/>
      <c r="I692" s="1099"/>
    </row>
    <row r="693" spans="2:9">
      <c r="B693" s="1136"/>
      <c r="C693" s="1129"/>
      <c r="D693" s="1098"/>
      <c r="E693" s="1098"/>
      <c r="F693" s="1099"/>
      <c r="G693" s="1098"/>
      <c r="H693" s="1153"/>
      <c r="I693" s="1099"/>
    </row>
    <row r="694" spans="2:9">
      <c r="B694" s="1136"/>
      <c r="C694" s="1129"/>
      <c r="D694" s="1098"/>
      <c r="E694" s="1098"/>
      <c r="F694" s="1099"/>
      <c r="G694" s="1098"/>
      <c r="H694" s="1153"/>
      <c r="I694" s="1099"/>
    </row>
    <row r="695" spans="2:9">
      <c r="B695" s="1136"/>
      <c r="C695" s="1129"/>
      <c r="D695" s="1098"/>
      <c r="E695" s="1098"/>
      <c r="F695" s="1099"/>
      <c r="G695" s="1098"/>
      <c r="H695" s="1153"/>
      <c r="I695" s="1099"/>
    </row>
    <row r="696" spans="2:9">
      <c r="B696" s="1136"/>
      <c r="C696" s="1129"/>
      <c r="D696" s="1098"/>
      <c r="E696" s="1098"/>
      <c r="F696" s="1099"/>
      <c r="G696" s="1098"/>
      <c r="H696" s="1153"/>
      <c r="I696" s="1099"/>
    </row>
    <row r="697" spans="2:9">
      <c r="B697" s="1136"/>
      <c r="C697" s="1129"/>
      <c r="D697" s="1098"/>
      <c r="E697" s="1098"/>
      <c r="F697" s="1099"/>
      <c r="G697" s="1098"/>
      <c r="H697" s="1153"/>
      <c r="I697" s="1099"/>
    </row>
    <row r="698" spans="2:9">
      <c r="B698" s="1136"/>
      <c r="C698" s="1129"/>
      <c r="D698" s="1098"/>
      <c r="E698" s="1098"/>
      <c r="F698" s="1099"/>
      <c r="G698" s="1098"/>
      <c r="H698" s="1153"/>
      <c r="I698" s="1099"/>
    </row>
    <row r="699" spans="2:9">
      <c r="B699" s="1136"/>
      <c r="C699" s="1129"/>
      <c r="D699" s="1098"/>
      <c r="E699" s="1098"/>
      <c r="F699" s="1099"/>
      <c r="G699" s="1098"/>
      <c r="H699" s="1153"/>
      <c r="I699" s="1099"/>
    </row>
    <row r="700" spans="2:9">
      <c r="B700" s="1136"/>
      <c r="C700" s="1129"/>
      <c r="D700" s="1098"/>
      <c r="E700" s="1098"/>
      <c r="F700" s="1099"/>
      <c r="G700" s="1098"/>
      <c r="H700" s="1153"/>
      <c r="I700" s="1099"/>
    </row>
    <row r="701" spans="2:9">
      <c r="B701" s="1136"/>
      <c r="C701" s="1129"/>
      <c r="D701" s="1098"/>
      <c r="E701" s="1098"/>
      <c r="F701" s="1099"/>
      <c r="G701" s="1098"/>
      <c r="H701" s="1153"/>
      <c r="I701" s="1099"/>
    </row>
    <row r="702" spans="2:9">
      <c r="B702" s="1136"/>
      <c r="C702" s="1129"/>
      <c r="D702" s="1098"/>
      <c r="E702" s="1098"/>
      <c r="F702" s="1099"/>
      <c r="G702" s="1098"/>
      <c r="H702" s="1153"/>
      <c r="I702" s="1099"/>
    </row>
    <row r="703" spans="2:9">
      <c r="B703" s="1136"/>
      <c r="C703" s="1129"/>
      <c r="D703" s="1098"/>
      <c r="E703" s="1098"/>
      <c r="F703" s="1099"/>
      <c r="G703" s="1098"/>
      <c r="H703" s="1153"/>
      <c r="I703" s="1099"/>
    </row>
    <row r="704" spans="2:9">
      <c r="B704" s="1136"/>
      <c r="C704" s="1129"/>
      <c r="D704" s="1098"/>
      <c r="E704" s="1098"/>
      <c r="F704" s="1099"/>
      <c r="G704" s="1098"/>
      <c r="H704" s="1153"/>
      <c r="I704" s="1099"/>
    </row>
    <row r="705" spans="2:9">
      <c r="B705" s="1136"/>
      <c r="C705" s="1129"/>
      <c r="D705" s="1098"/>
      <c r="E705" s="1098"/>
      <c r="F705" s="1099"/>
      <c r="G705" s="1098"/>
      <c r="H705" s="1153"/>
      <c r="I705" s="1099"/>
    </row>
    <row r="706" spans="2:9">
      <c r="B706" s="1136"/>
      <c r="C706" s="1129"/>
      <c r="D706" s="1098"/>
      <c r="E706" s="1098"/>
      <c r="F706" s="1099"/>
      <c r="G706" s="1098"/>
      <c r="H706" s="1153"/>
      <c r="I706" s="1099"/>
    </row>
    <row r="707" spans="2:9">
      <c r="B707" s="1136"/>
      <c r="C707" s="1129"/>
      <c r="D707" s="1098"/>
      <c r="E707" s="1098"/>
      <c r="F707" s="1099"/>
      <c r="G707" s="1098"/>
      <c r="H707" s="1153"/>
      <c r="I707" s="1099"/>
    </row>
    <row r="708" spans="2:9">
      <c r="B708" s="1136"/>
      <c r="C708" s="1129"/>
      <c r="D708" s="1098"/>
      <c r="E708" s="1098"/>
      <c r="F708" s="1099"/>
      <c r="G708" s="1098"/>
      <c r="H708" s="1153"/>
      <c r="I708" s="1099"/>
    </row>
    <row r="709" spans="2:9">
      <c r="B709" s="1136"/>
      <c r="C709" s="1129"/>
      <c r="D709" s="1098"/>
      <c r="E709" s="1098"/>
      <c r="F709" s="1099"/>
      <c r="G709" s="1098"/>
      <c r="H709" s="1153"/>
      <c r="I709" s="1099"/>
    </row>
    <row r="710" spans="2:9">
      <c r="B710" s="1136"/>
      <c r="C710" s="1129"/>
      <c r="D710" s="1098"/>
      <c r="E710" s="1098"/>
      <c r="F710" s="1099"/>
      <c r="G710" s="1098"/>
      <c r="H710" s="1153"/>
      <c r="I710" s="1099"/>
    </row>
    <row r="711" spans="2:9">
      <c r="B711" s="1136"/>
      <c r="C711" s="1129"/>
      <c r="D711" s="1098"/>
      <c r="E711" s="1098"/>
      <c r="F711" s="1099"/>
      <c r="G711" s="1098"/>
      <c r="H711" s="1153"/>
      <c r="I711" s="1099"/>
    </row>
    <row r="712" spans="2:9">
      <c r="B712" s="1136"/>
      <c r="C712" s="1129"/>
      <c r="D712" s="1098"/>
      <c r="E712" s="1098"/>
      <c r="F712" s="1099"/>
      <c r="G712" s="1098"/>
      <c r="H712" s="1153"/>
      <c r="I712" s="1099"/>
    </row>
    <row r="713" spans="2:9">
      <c r="B713" s="1136"/>
      <c r="C713" s="1129"/>
      <c r="D713" s="1098"/>
      <c r="E713" s="1098"/>
      <c r="F713" s="1099"/>
      <c r="G713" s="1098"/>
      <c r="H713" s="1153"/>
      <c r="I713" s="1099"/>
    </row>
    <row r="714" spans="2:9">
      <c r="B714" s="1136"/>
      <c r="C714" s="1129"/>
      <c r="D714" s="1098"/>
      <c r="E714" s="1098"/>
      <c r="F714" s="1099"/>
      <c r="G714" s="1098"/>
      <c r="H714" s="1153"/>
      <c r="I714" s="1099"/>
    </row>
    <row r="715" spans="2:9">
      <c r="B715" s="1136"/>
      <c r="C715" s="1129"/>
      <c r="D715" s="1098"/>
      <c r="E715" s="1098"/>
      <c r="F715" s="1099"/>
      <c r="G715" s="1098"/>
      <c r="H715" s="1153"/>
      <c r="I715" s="1099"/>
    </row>
    <row r="716" spans="2:9">
      <c r="B716" s="1136"/>
      <c r="C716" s="1129"/>
      <c r="D716" s="1098"/>
      <c r="E716" s="1098"/>
      <c r="F716" s="1099"/>
      <c r="G716" s="1098"/>
      <c r="H716" s="1153"/>
      <c r="I716" s="1099"/>
    </row>
    <row r="717" spans="2:9">
      <c r="B717" s="1136"/>
      <c r="C717" s="1129"/>
      <c r="D717" s="1098"/>
      <c r="E717" s="1098"/>
      <c r="F717" s="1099"/>
      <c r="G717" s="1098"/>
      <c r="H717" s="1153"/>
      <c r="I717" s="1099"/>
    </row>
    <row r="718" spans="2:9">
      <c r="B718" s="1136"/>
      <c r="C718" s="1129"/>
      <c r="D718" s="1098"/>
      <c r="E718" s="1098"/>
      <c r="F718" s="1099"/>
      <c r="G718" s="1098"/>
      <c r="H718" s="1153"/>
      <c r="I718" s="1099"/>
    </row>
    <row r="719" spans="2:9">
      <c r="B719" s="1136"/>
      <c r="C719" s="1129"/>
      <c r="D719" s="1098"/>
      <c r="E719" s="1098"/>
      <c r="F719" s="1099"/>
      <c r="G719" s="1098"/>
      <c r="H719" s="1153"/>
      <c r="I719" s="1099"/>
    </row>
    <row r="720" spans="2:9">
      <c r="B720" s="1136"/>
      <c r="C720" s="1129"/>
      <c r="D720" s="1098"/>
      <c r="E720" s="1098"/>
      <c r="F720" s="1099"/>
      <c r="G720" s="1098"/>
      <c r="H720" s="1153"/>
      <c r="I720" s="1099"/>
    </row>
    <row r="721" spans="2:9">
      <c r="B721" s="1136"/>
      <c r="C721" s="1129"/>
      <c r="D721" s="1098"/>
      <c r="E721" s="1098"/>
      <c r="F721" s="1099"/>
      <c r="G721" s="1098"/>
      <c r="H721" s="1153"/>
      <c r="I721" s="1099"/>
    </row>
    <row r="722" spans="2:9">
      <c r="B722" s="1136"/>
      <c r="C722" s="1129"/>
      <c r="D722" s="1098"/>
      <c r="E722" s="1098"/>
      <c r="F722" s="1099"/>
      <c r="G722" s="1098"/>
      <c r="H722" s="1153"/>
      <c r="I722" s="1099"/>
    </row>
    <row r="723" spans="2:9">
      <c r="B723" s="1136"/>
      <c r="C723" s="1129"/>
      <c r="D723" s="1098"/>
      <c r="E723" s="1098"/>
      <c r="F723" s="1099"/>
      <c r="G723" s="1098"/>
      <c r="H723" s="1153"/>
      <c r="I723" s="1099"/>
    </row>
    <row r="724" spans="2:9">
      <c r="B724" s="1136"/>
      <c r="C724" s="1129"/>
      <c r="D724" s="1098"/>
      <c r="E724" s="1098"/>
      <c r="F724" s="1099"/>
      <c r="G724" s="1098"/>
      <c r="H724" s="1153"/>
      <c r="I724" s="1099"/>
    </row>
    <row r="725" spans="2:9">
      <c r="B725" s="1136"/>
      <c r="C725" s="1129"/>
      <c r="D725" s="1098"/>
      <c r="E725" s="1098"/>
      <c r="F725" s="1099"/>
      <c r="G725" s="1098"/>
      <c r="H725" s="1153"/>
      <c r="I725" s="1099"/>
    </row>
    <row r="726" spans="2:9">
      <c r="B726" s="1136"/>
      <c r="C726" s="1129"/>
      <c r="D726" s="1098"/>
      <c r="E726" s="1098"/>
      <c r="F726" s="1099"/>
      <c r="G726" s="1098"/>
      <c r="H726" s="1153"/>
      <c r="I726" s="1099"/>
    </row>
    <row r="727" spans="2:9">
      <c r="B727" s="1136"/>
      <c r="C727" s="1129"/>
      <c r="D727" s="1098"/>
      <c r="E727" s="1098"/>
      <c r="F727" s="1099"/>
      <c r="G727" s="1098"/>
      <c r="H727" s="1153"/>
      <c r="I727" s="1099"/>
    </row>
    <row r="728" spans="2:9">
      <c r="B728" s="1136"/>
      <c r="C728" s="1129"/>
      <c r="D728" s="1098"/>
      <c r="E728" s="1098"/>
      <c r="F728" s="1099"/>
      <c r="G728" s="1098"/>
      <c r="H728" s="1153"/>
      <c r="I728" s="1099"/>
    </row>
    <row r="729" spans="2:9">
      <c r="B729" s="1136"/>
      <c r="C729" s="1129"/>
      <c r="D729" s="1098"/>
      <c r="E729" s="1098"/>
      <c r="F729" s="1099"/>
      <c r="G729" s="1098"/>
      <c r="H729" s="1153"/>
      <c r="I729" s="1099"/>
    </row>
    <row r="730" spans="2:9">
      <c r="B730" s="1136"/>
      <c r="C730" s="1129"/>
      <c r="D730" s="1098"/>
      <c r="E730" s="1098"/>
      <c r="F730" s="1099"/>
      <c r="G730" s="1098"/>
      <c r="H730" s="1153"/>
      <c r="I730" s="1099"/>
    </row>
    <row r="731" spans="2:9">
      <c r="B731" s="1136"/>
      <c r="C731" s="1129"/>
      <c r="D731" s="1098"/>
      <c r="E731" s="1098"/>
      <c r="F731" s="1099"/>
      <c r="G731" s="1098"/>
      <c r="H731" s="1153"/>
      <c r="I731" s="1099"/>
    </row>
    <row r="732" spans="2:9">
      <c r="B732" s="1136"/>
      <c r="C732" s="1129"/>
      <c r="D732" s="1098"/>
      <c r="E732" s="1098"/>
      <c r="F732" s="1099"/>
      <c r="G732" s="1098"/>
      <c r="H732" s="1153"/>
      <c r="I732" s="1099"/>
    </row>
    <row r="733" spans="2:9">
      <c r="B733" s="1136"/>
      <c r="C733" s="1129"/>
      <c r="D733" s="1098"/>
      <c r="E733" s="1098"/>
      <c r="F733" s="1099"/>
      <c r="G733" s="1098"/>
      <c r="H733" s="1153"/>
      <c r="I733" s="1099"/>
    </row>
    <row r="734" spans="2:9">
      <c r="B734" s="1136"/>
      <c r="C734" s="1129"/>
      <c r="D734" s="1098"/>
      <c r="E734" s="1098"/>
      <c r="F734" s="1099"/>
      <c r="G734" s="1098"/>
      <c r="H734" s="1153"/>
      <c r="I734" s="1099"/>
    </row>
    <row r="735" spans="2:9">
      <c r="B735" s="1136"/>
      <c r="C735" s="1129"/>
      <c r="D735" s="1098"/>
      <c r="E735" s="1098"/>
      <c r="F735" s="1099"/>
      <c r="G735" s="1098"/>
      <c r="H735" s="1153"/>
      <c r="I735" s="1099"/>
    </row>
    <row r="736" spans="2:9">
      <c r="B736" s="1136"/>
      <c r="C736" s="1129"/>
      <c r="D736" s="1098"/>
      <c r="E736" s="1098"/>
      <c r="F736" s="1099"/>
      <c r="G736" s="1098"/>
      <c r="H736" s="1153"/>
      <c r="I736" s="1099"/>
    </row>
    <row r="737" spans="2:9">
      <c r="B737" s="1136"/>
      <c r="C737" s="1129"/>
      <c r="D737" s="1098"/>
      <c r="E737" s="1098"/>
      <c r="F737" s="1099"/>
      <c r="G737" s="1098"/>
      <c r="H737" s="1153"/>
      <c r="I737" s="1099"/>
    </row>
    <row r="738" spans="2:9">
      <c r="B738" s="1136"/>
      <c r="C738" s="1129"/>
      <c r="D738" s="1098"/>
      <c r="E738" s="1098"/>
      <c r="F738" s="1099"/>
      <c r="G738" s="1098"/>
      <c r="H738" s="1153"/>
      <c r="I738" s="1099"/>
    </row>
    <row r="739" spans="2:9">
      <c r="B739" s="1136"/>
      <c r="C739" s="1129"/>
      <c r="D739" s="1098"/>
      <c r="E739" s="1098"/>
      <c r="F739" s="1099"/>
      <c r="G739" s="1098"/>
      <c r="H739" s="1153"/>
      <c r="I739" s="1099"/>
    </row>
    <row r="740" spans="2:9">
      <c r="B740" s="1136"/>
      <c r="C740" s="1129"/>
      <c r="D740" s="1098"/>
      <c r="E740" s="1098"/>
      <c r="F740" s="1099"/>
      <c r="G740" s="1098"/>
      <c r="H740" s="1153"/>
      <c r="I740" s="1099"/>
    </row>
    <row r="741" spans="2:9">
      <c r="B741" s="1136"/>
      <c r="C741" s="1129"/>
      <c r="D741" s="1098"/>
      <c r="E741" s="1098"/>
      <c r="F741" s="1099"/>
      <c r="G741" s="1098"/>
      <c r="H741" s="1153"/>
      <c r="I741" s="1099"/>
    </row>
    <row r="742" spans="2:9">
      <c r="B742" s="1136"/>
      <c r="C742" s="1129"/>
      <c r="D742" s="1098"/>
      <c r="E742" s="1098"/>
      <c r="F742" s="1099"/>
      <c r="G742" s="1098"/>
      <c r="H742" s="1153"/>
      <c r="I742" s="1099"/>
    </row>
    <row r="743" spans="2:9">
      <c r="B743" s="1136"/>
      <c r="C743" s="1129"/>
      <c r="D743" s="1098"/>
      <c r="E743" s="1098"/>
      <c r="F743" s="1099"/>
      <c r="G743" s="1098"/>
      <c r="H743" s="1153"/>
      <c r="I743" s="1099"/>
    </row>
    <row r="744" spans="2:9">
      <c r="B744" s="1136"/>
      <c r="C744" s="1129"/>
      <c r="D744" s="1098"/>
      <c r="E744" s="1098"/>
      <c r="F744" s="1099"/>
      <c r="G744" s="1098"/>
      <c r="H744" s="1153"/>
      <c r="I744" s="1099"/>
    </row>
    <row r="745" spans="2:9">
      <c r="B745" s="1136"/>
      <c r="C745" s="1129"/>
      <c r="D745" s="1098"/>
      <c r="E745" s="1098"/>
      <c r="F745" s="1099"/>
      <c r="G745" s="1098"/>
      <c r="H745" s="1153"/>
      <c r="I745" s="1099"/>
    </row>
    <row r="746" spans="2:9">
      <c r="B746" s="1136"/>
      <c r="C746" s="1129"/>
      <c r="D746" s="1098"/>
      <c r="E746" s="1098"/>
      <c r="F746" s="1099"/>
      <c r="G746" s="1098"/>
      <c r="H746" s="1153"/>
      <c r="I746" s="1099"/>
    </row>
    <row r="747" spans="2:9">
      <c r="B747" s="1136"/>
      <c r="C747" s="1129"/>
      <c r="D747" s="1098"/>
      <c r="E747" s="1098"/>
      <c r="F747" s="1099"/>
      <c r="G747" s="1098"/>
      <c r="H747" s="1153"/>
      <c r="I747" s="1099"/>
    </row>
    <row r="748" spans="2:9">
      <c r="B748" s="1136"/>
      <c r="C748" s="1129"/>
      <c r="D748" s="1098"/>
      <c r="E748" s="1098"/>
      <c r="F748" s="1099"/>
      <c r="G748" s="1098"/>
      <c r="H748" s="1153"/>
      <c r="I748" s="1099"/>
    </row>
    <row r="749" spans="2:9">
      <c r="B749" s="1136"/>
      <c r="C749" s="1129"/>
      <c r="D749" s="1098"/>
      <c r="E749" s="1098"/>
      <c r="F749" s="1099"/>
      <c r="G749" s="1098"/>
      <c r="H749" s="1153"/>
      <c r="I749" s="1099"/>
    </row>
    <row r="750" spans="2:9">
      <c r="B750" s="1136"/>
      <c r="C750" s="1129"/>
      <c r="D750" s="1098"/>
      <c r="E750" s="1098"/>
      <c r="F750" s="1099"/>
      <c r="G750" s="1098"/>
      <c r="H750" s="1153"/>
      <c r="I750" s="1099"/>
    </row>
    <row r="751" spans="2:9">
      <c r="B751" s="1136"/>
      <c r="C751" s="1129"/>
      <c r="D751" s="1098"/>
      <c r="E751" s="1098"/>
      <c r="F751" s="1099"/>
      <c r="G751" s="1098"/>
      <c r="H751" s="1153"/>
      <c r="I751" s="1099"/>
    </row>
    <row r="752" spans="2:9">
      <c r="B752" s="1136"/>
      <c r="C752" s="1129"/>
      <c r="D752" s="1098"/>
      <c r="E752" s="1098"/>
      <c r="F752" s="1099"/>
      <c r="G752" s="1098"/>
      <c r="H752" s="1153"/>
      <c r="I752" s="1099"/>
    </row>
    <row r="753" spans="2:9">
      <c r="B753" s="1136"/>
      <c r="C753" s="1129"/>
      <c r="D753" s="1098"/>
      <c r="E753" s="1098"/>
      <c r="F753" s="1099"/>
      <c r="G753" s="1098"/>
      <c r="H753" s="1153"/>
      <c r="I753" s="1099"/>
    </row>
    <row r="754" spans="2:9">
      <c r="B754" s="1136"/>
      <c r="C754" s="1129"/>
      <c r="D754" s="1098"/>
      <c r="E754" s="1098"/>
      <c r="F754" s="1099"/>
      <c r="G754" s="1098"/>
      <c r="H754" s="1153"/>
      <c r="I754" s="1099"/>
    </row>
    <row r="755" spans="2:9">
      <c r="B755" s="1136"/>
      <c r="C755" s="1129"/>
      <c r="D755" s="1098"/>
      <c r="E755" s="1098"/>
      <c r="F755" s="1099"/>
      <c r="G755" s="1098"/>
      <c r="H755" s="1153"/>
      <c r="I755" s="1099"/>
    </row>
    <row r="756" spans="2:9">
      <c r="B756" s="1136"/>
      <c r="C756" s="1129"/>
      <c r="D756" s="1098"/>
      <c r="E756" s="1098"/>
      <c r="F756" s="1099"/>
      <c r="G756" s="1098"/>
      <c r="H756" s="1153"/>
      <c r="I756" s="1099"/>
    </row>
    <row r="757" spans="2:9">
      <c r="B757" s="1136"/>
      <c r="C757" s="1129"/>
      <c r="D757" s="1098"/>
      <c r="E757" s="1098"/>
      <c r="F757" s="1099"/>
      <c r="G757" s="1098"/>
      <c r="H757" s="1153"/>
      <c r="I757" s="1099"/>
    </row>
    <row r="758" spans="2:9">
      <c r="B758" s="1136"/>
      <c r="C758" s="1129"/>
      <c r="D758" s="1098"/>
      <c r="E758" s="1098"/>
      <c r="F758" s="1099"/>
      <c r="G758" s="1098"/>
      <c r="H758" s="1153"/>
      <c r="I758" s="1099"/>
    </row>
    <row r="759" spans="2:9">
      <c r="B759" s="1136"/>
      <c r="C759" s="1129"/>
      <c r="D759" s="1098"/>
      <c r="E759" s="1098"/>
      <c r="F759" s="1099"/>
      <c r="G759" s="1098"/>
      <c r="H759" s="1153"/>
      <c r="I759" s="1099"/>
    </row>
    <row r="760" spans="2:9">
      <c r="B760" s="1136"/>
      <c r="C760" s="1129"/>
      <c r="D760" s="1098"/>
      <c r="E760" s="1098"/>
      <c r="F760" s="1099"/>
      <c r="G760" s="1098"/>
      <c r="H760" s="1153"/>
      <c r="I760" s="1099"/>
    </row>
    <row r="761" spans="2:9">
      <c r="B761" s="1136"/>
      <c r="C761" s="1129"/>
      <c r="D761" s="1098"/>
      <c r="E761" s="1098"/>
      <c r="F761" s="1099"/>
      <c r="G761" s="1098"/>
      <c r="H761" s="1153"/>
      <c r="I761" s="1099"/>
    </row>
    <row r="762" spans="2:9">
      <c r="B762" s="1136"/>
      <c r="C762" s="1129"/>
      <c r="D762" s="1098"/>
      <c r="E762" s="1098"/>
      <c r="F762" s="1099"/>
      <c r="G762" s="1098"/>
      <c r="H762" s="1153"/>
      <c r="I762" s="1099"/>
    </row>
    <row r="763" spans="2:9">
      <c r="B763" s="1136"/>
      <c r="C763" s="1129"/>
      <c r="D763" s="1098"/>
      <c r="E763" s="1098"/>
      <c r="F763" s="1099"/>
      <c r="G763" s="1098"/>
      <c r="H763" s="1153"/>
      <c r="I763" s="1099"/>
    </row>
    <row r="764" spans="2:9">
      <c r="B764" s="1136"/>
      <c r="C764" s="1129"/>
      <c r="D764" s="1098"/>
      <c r="E764" s="1098"/>
      <c r="F764" s="1099"/>
      <c r="G764" s="1098"/>
      <c r="H764" s="1153"/>
      <c r="I764" s="1099"/>
    </row>
    <row r="765" spans="2:9">
      <c r="B765" s="1136"/>
      <c r="C765" s="1129"/>
      <c r="D765" s="1098"/>
      <c r="E765" s="1098"/>
      <c r="F765" s="1099"/>
      <c r="G765" s="1098"/>
      <c r="H765" s="1153"/>
      <c r="I765" s="1099"/>
    </row>
    <row r="766" spans="2:9">
      <c r="B766" s="1136"/>
      <c r="C766" s="1129"/>
      <c r="D766" s="1098"/>
      <c r="E766" s="1098"/>
      <c r="F766" s="1099"/>
      <c r="G766" s="1098"/>
      <c r="H766" s="1153"/>
      <c r="I766" s="1099"/>
    </row>
    <row r="767" spans="2:9">
      <c r="B767" s="1136"/>
      <c r="C767" s="1129"/>
      <c r="D767" s="1098"/>
      <c r="E767" s="1098"/>
      <c r="F767" s="1099"/>
      <c r="G767" s="1098"/>
      <c r="H767" s="1153"/>
      <c r="I767" s="1099"/>
    </row>
    <row r="768" spans="2:9">
      <c r="B768" s="1136"/>
      <c r="C768" s="1129"/>
      <c r="D768" s="1098"/>
      <c r="E768" s="1098"/>
      <c r="F768" s="1099"/>
      <c r="G768" s="1098"/>
      <c r="H768" s="1153"/>
      <c r="I768" s="1099"/>
    </row>
    <row r="769" spans="2:9">
      <c r="B769" s="1136"/>
      <c r="C769" s="1129"/>
      <c r="D769" s="1098"/>
      <c r="E769" s="1098"/>
      <c r="F769" s="1099"/>
      <c r="G769" s="1098"/>
      <c r="H769" s="1153"/>
      <c r="I769" s="1099"/>
    </row>
    <row r="770" spans="2:9">
      <c r="B770" s="1136"/>
      <c r="C770" s="1129"/>
      <c r="D770" s="1098"/>
      <c r="E770" s="1098"/>
      <c r="F770" s="1099"/>
      <c r="G770" s="1098"/>
      <c r="H770" s="1153"/>
      <c r="I770" s="1099"/>
    </row>
    <row r="771" spans="2:9">
      <c r="B771" s="1136"/>
      <c r="C771" s="1129"/>
      <c r="D771" s="1098"/>
      <c r="E771" s="1098"/>
      <c r="F771" s="1099"/>
      <c r="G771" s="1098"/>
      <c r="H771" s="1153"/>
      <c r="I771" s="1099"/>
    </row>
    <row r="772" spans="2:9">
      <c r="B772" s="1136"/>
      <c r="C772" s="1129"/>
      <c r="D772" s="1098"/>
      <c r="E772" s="1098"/>
      <c r="F772" s="1099"/>
      <c r="G772" s="1098"/>
      <c r="H772" s="1153"/>
      <c r="I772" s="1099"/>
    </row>
    <row r="773" spans="2:9">
      <c r="B773" s="1136"/>
      <c r="C773" s="1129"/>
      <c r="D773" s="1098"/>
      <c r="E773" s="1098"/>
      <c r="F773" s="1099"/>
      <c r="G773" s="1098"/>
      <c r="H773" s="1153"/>
      <c r="I773" s="1099"/>
    </row>
    <row r="774" spans="2:9">
      <c r="B774" s="1136"/>
      <c r="C774" s="1129"/>
      <c r="D774" s="1098"/>
      <c r="E774" s="1098"/>
      <c r="F774" s="1099"/>
      <c r="G774" s="1098"/>
      <c r="H774" s="1153"/>
      <c r="I774" s="1099"/>
    </row>
    <row r="775" spans="2:9">
      <c r="B775" s="1136"/>
      <c r="C775" s="1129"/>
      <c r="D775" s="1098"/>
      <c r="E775" s="1098"/>
      <c r="F775" s="1099"/>
      <c r="G775" s="1098"/>
      <c r="H775" s="1153"/>
      <c r="I775" s="1099"/>
    </row>
    <row r="776" spans="2:9">
      <c r="B776" s="1136"/>
      <c r="C776" s="1129"/>
      <c r="D776" s="1098"/>
      <c r="E776" s="1098"/>
      <c r="F776" s="1099"/>
      <c r="G776" s="1098"/>
      <c r="H776" s="1153"/>
      <c r="I776" s="1099"/>
    </row>
    <row r="777" spans="2:9">
      <c r="B777" s="1136"/>
      <c r="C777" s="1129"/>
      <c r="D777" s="1098"/>
      <c r="E777" s="1098"/>
      <c r="F777" s="1099"/>
      <c r="G777" s="1098"/>
      <c r="H777" s="1153"/>
      <c r="I777" s="1099"/>
    </row>
    <row r="778" spans="2:9">
      <c r="B778" s="1136"/>
      <c r="C778" s="1129"/>
      <c r="D778" s="1098"/>
      <c r="E778" s="1098"/>
      <c r="F778" s="1099"/>
      <c r="G778" s="1098"/>
      <c r="H778" s="1153"/>
      <c r="I778" s="1099"/>
    </row>
    <row r="779" spans="2:9">
      <c r="B779" s="1136"/>
      <c r="C779" s="1129"/>
      <c r="D779" s="1098"/>
      <c r="E779" s="1098"/>
      <c r="F779" s="1099"/>
      <c r="G779" s="1098"/>
      <c r="H779" s="1153"/>
      <c r="I779" s="1099"/>
    </row>
    <row r="780" spans="2:9">
      <c r="B780" s="1136"/>
      <c r="C780" s="1129"/>
      <c r="D780" s="1098"/>
      <c r="E780" s="1098"/>
      <c r="F780" s="1099"/>
      <c r="G780" s="1098"/>
      <c r="H780" s="1153"/>
      <c r="I780" s="1099"/>
    </row>
    <row r="781" spans="2:9">
      <c r="B781" s="1136"/>
      <c r="C781" s="1129"/>
      <c r="D781" s="1098"/>
      <c r="E781" s="1098"/>
      <c r="F781" s="1099"/>
      <c r="G781" s="1098"/>
      <c r="H781" s="1153"/>
      <c r="I781" s="1099"/>
    </row>
    <row r="782" spans="2:9">
      <c r="B782" s="1136"/>
      <c r="C782" s="1129"/>
      <c r="D782" s="1098"/>
      <c r="E782" s="1098"/>
      <c r="F782" s="1099"/>
      <c r="G782" s="1098"/>
      <c r="H782" s="1153"/>
      <c r="I782" s="1099"/>
    </row>
    <row r="783" spans="2:9">
      <c r="B783" s="1136"/>
      <c r="C783" s="1129"/>
      <c r="D783" s="1098"/>
      <c r="E783" s="1098"/>
      <c r="F783" s="1099"/>
      <c r="G783" s="1098"/>
      <c r="H783" s="1153"/>
      <c r="I783" s="1099"/>
    </row>
    <row r="784" spans="2:9">
      <c r="B784" s="1136"/>
      <c r="C784" s="1129"/>
      <c r="D784" s="1098"/>
      <c r="E784" s="1098"/>
      <c r="F784" s="1099"/>
      <c r="G784" s="1098"/>
      <c r="H784" s="1153"/>
      <c r="I784" s="1099"/>
    </row>
    <row r="785" spans="2:9">
      <c r="B785" s="1136"/>
      <c r="C785" s="1129"/>
      <c r="D785" s="1098"/>
      <c r="E785" s="1098"/>
      <c r="F785" s="1099"/>
      <c r="G785" s="1098"/>
      <c r="H785" s="1153"/>
      <c r="I785" s="1099"/>
    </row>
    <row r="786" spans="2:9">
      <c r="B786" s="1136"/>
      <c r="C786" s="1129"/>
      <c r="D786" s="1098"/>
      <c r="E786" s="1098"/>
      <c r="F786" s="1099"/>
      <c r="G786" s="1098"/>
      <c r="H786" s="1153"/>
      <c r="I786" s="1099"/>
    </row>
    <row r="787" spans="2:9">
      <c r="B787" s="1136"/>
      <c r="C787" s="1129"/>
      <c r="D787" s="1098"/>
      <c r="E787" s="1098"/>
      <c r="F787" s="1099"/>
      <c r="G787" s="1098"/>
      <c r="H787" s="1153"/>
      <c r="I787" s="1099"/>
    </row>
    <row r="788" spans="2:9">
      <c r="B788" s="1136"/>
      <c r="C788" s="1129"/>
      <c r="D788" s="1098"/>
      <c r="E788" s="1098"/>
      <c r="F788" s="1099"/>
      <c r="G788" s="1098"/>
      <c r="H788" s="1153"/>
      <c r="I788" s="1099"/>
    </row>
    <row r="789" spans="2:9">
      <c r="B789" s="1136"/>
      <c r="C789" s="1129"/>
      <c r="D789" s="1098"/>
      <c r="E789" s="1098"/>
      <c r="F789" s="1099"/>
      <c r="G789" s="1098"/>
      <c r="H789" s="1153"/>
      <c r="I789" s="1099"/>
    </row>
    <row r="790" spans="2:9">
      <c r="B790" s="1136"/>
      <c r="C790" s="1129"/>
      <c r="D790" s="1098"/>
      <c r="E790" s="1098"/>
      <c r="F790" s="1099"/>
      <c r="G790" s="1098"/>
      <c r="H790" s="1153"/>
      <c r="I790" s="1099"/>
    </row>
    <row r="791" spans="2:9">
      <c r="B791" s="1136"/>
      <c r="C791" s="1129"/>
      <c r="D791" s="1098"/>
      <c r="E791" s="1098"/>
      <c r="F791" s="1099"/>
      <c r="G791" s="1098"/>
      <c r="H791" s="1153"/>
      <c r="I791" s="1099"/>
    </row>
    <row r="792" spans="2:9">
      <c r="B792" s="1136"/>
      <c r="C792" s="1129"/>
      <c r="D792" s="1098"/>
      <c r="E792" s="1098"/>
      <c r="F792" s="1099"/>
      <c r="G792" s="1098"/>
      <c r="H792" s="1153"/>
      <c r="I792" s="1099"/>
    </row>
    <row r="793" spans="2:9">
      <c r="B793" s="1136"/>
      <c r="C793" s="1129"/>
      <c r="D793" s="1098"/>
      <c r="E793" s="1098"/>
      <c r="F793" s="1099"/>
      <c r="G793" s="1098"/>
      <c r="H793" s="1153"/>
      <c r="I793" s="1099"/>
    </row>
    <row r="794" spans="2:9">
      <c r="B794" s="1136"/>
      <c r="C794" s="1129"/>
      <c r="D794" s="1098"/>
      <c r="E794" s="1098"/>
      <c r="F794" s="1099"/>
      <c r="G794" s="1098"/>
      <c r="H794" s="1153"/>
      <c r="I794" s="1099"/>
    </row>
    <row r="795" spans="2:9">
      <c r="B795" s="1136"/>
      <c r="C795" s="1129"/>
      <c r="D795" s="1098"/>
      <c r="E795" s="1098"/>
      <c r="F795" s="1099"/>
      <c r="G795" s="1098"/>
      <c r="H795" s="1153"/>
      <c r="I795" s="1099"/>
    </row>
    <row r="796" spans="2:9">
      <c r="B796" s="1136"/>
      <c r="C796" s="1129"/>
      <c r="D796" s="1098"/>
      <c r="E796" s="1098"/>
      <c r="F796" s="1099"/>
      <c r="G796" s="1098"/>
      <c r="H796" s="1153"/>
      <c r="I796" s="1099"/>
    </row>
    <row r="797" spans="2:9">
      <c r="B797" s="1136"/>
      <c r="C797" s="1129"/>
      <c r="D797" s="1098"/>
      <c r="E797" s="1098"/>
      <c r="F797" s="1099"/>
      <c r="G797" s="1098"/>
      <c r="H797" s="1153"/>
      <c r="I797" s="1099"/>
    </row>
    <row r="798" spans="2:9">
      <c r="B798" s="1136"/>
      <c r="C798" s="1129"/>
      <c r="D798" s="1098"/>
      <c r="E798" s="1098"/>
      <c r="F798" s="1099"/>
      <c r="G798" s="1098"/>
      <c r="H798" s="1153"/>
      <c r="I798" s="1099"/>
    </row>
    <row r="799" spans="2:9">
      <c r="B799" s="1136"/>
      <c r="C799" s="1129"/>
      <c r="D799" s="1098"/>
      <c r="E799" s="1098"/>
      <c r="F799" s="1099"/>
      <c r="G799" s="1098"/>
      <c r="H799" s="1153"/>
      <c r="I799" s="1099"/>
    </row>
    <row r="800" spans="2:9">
      <c r="B800" s="1136"/>
      <c r="C800" s="1129"/>
      <c r="D800" s="1098"/>
      <c r="E800" s="1098"/>
      <c r="F800" s="1099"/>
      <c r="G800" s="1098"/>
      <c r="H800" s="1153"/>
      <c r="I800" s="1099"/>
    </row>
    <row r="801" spans="2:9">
      <c r="B801" s="1136"/>
      <c r="C801" s="1129"/>
      <c r="D801" s="1098"/>
      <c r="E801" s="1098"/>
      <c r="F801" s="1099"/>
      <c r="G801" s="1098"/>
      <c r="H801" s="1153"/>
      <c r="I801" s="1099"/>
    </row>
    <row r="802" spans="2:9">
      <c r="B802" s="1136"/>
      <c r="C802" s="1129"/>
      <c r="D802" s="1098"/>
      <c r="E802" s="1098"/>
      <c r="F802" s="1099"/>
      <c r="G802" s="1098"/>
      <c r="H802" s="1153"/>
      <c r="I802" s="1099"/>
    </row>
    <row r="803" spans="2:9">
      <c r="B803" s="1136"/>
      <c r="C803" s="1129"/>
      <c r="D803" s="1098"/>
      <c r="E803" s="1098"/>
      <c r="F803" s="1099"/>
      <c r="G803" s="1098"/>
      <c r="H803" s="1153"/>
      <c r="I803" s="1099"/>
    </row>
    <row r="804" spans="2:9">
      <c r="B804" s="1136"/>
      <c r="C804" s="1129"/>
      <c r="D804" s="1098"/>
      <c r="E804" s="1098"/>
      <c r="F804" s="1099"/>
      <c r="G804" s="1098"/>
      <c r="H804" s="1153"/>
      <c r="I804" s="1099"/>
    </row>
    <row r="805" spans="2:9">
      <c r="B805" s="1136"/>
      <c r="C805" s="1129"/>
      <c r="D805" s="1098"/>
      <c r="E805" s="1098"/>
      <c r="F805" s="1099"/>
      <c r="G805" s="1098"/>
      <c r="H805" s="1153"/>
      <c r="I805" s="1099"/>
    </row>
    <row r="806" spans="2:9">
      <c r="B806" s="1136"/>
      <c r="C806" s="1129"/>
      <c r="D806" s="1098"/>
      <c r="E806" s="1098"/>
      <c r="F806" s="1099"/>
      <c r="G806" s="1098"/>
      <c r="H806" s="1153"/>
      <c r="I806" s="1099"/>
    </row>
    <row r="807" spans="2:9">
      <c r="B807" s="1136"/>
      <c r="C807" s="1129"/>
      <c r="D807" s="1098"/>
      <c r="E807" s="1098"/>
      <c r="F807" s="1099"/>
      <c r="G807" s="1098"/>
      <c r="H807" s="1153"/>
      <c r="I807" s="1099"/>
    </row>
    <row r="808" spans="2:9">
      <c r="B808" s="1136"/>
      <c r="C808" s="1129"/>
      <c r="D808" s="1098"/>
      <c r="E808" s="1098"/>
      <c r="F808" s="1099"/>
      <c r="G808" s="1098"/>
      <c r="H808" s="1153"/>
      <c r="I808" s="1099"/>
    </row>
    <row r="809" spans="2:9">
      <c r="B809" s="1136"/>
      <c r="C809" s="1129"/>
      <c r="D809" s="1098"/>
      <c r="E809" s="1098"/>
      <c r="F809" s="1099"/>
      <c r="G809" s="1098"/>
      <c r="H809" s="1153"/>
      <c r="I809" s="1099"/>
    </row>
    <row r="810" spans="2:9">
      <c r="B810" s="1136"/>
      <c r="C810" s="1129"/>
      <c r="D810" s="1098"/>
      <c r="E810" s="1098"/>
      <c r="F810" s="1099"/>
      <c r="G810" s="1098"/>
      <c r="H810" s="1153"/>
      <c r="I810" s="1099"/>
    </row>
    <row r="811" spans="2:9">
      <c r="B811" s="1136"/>
      <c r="C811" s="1129"/>
      <c r="D811" s="1098"/>
      <c r="E811" s="1098"/>
      <c r="F811" s="1099"/>
      <c r="G811" s="1098"/>
      <c r="H811" s="1153"/>
      <c r="I811" s="1099"/>
    </row>
    <row r="812" spans="2:9">
      <c r="B812" s="1136"/>
      <c r="C812" s="1129"/>
      <c r="D812" s="1098"/>
      <c r="E812" s="1098"/>
      <c r="F812" s="1099"/>
      <c r="G812" s="1098"/>
      <c r="H812" s="1153"/>
      <c r="I812" s="1099"/>
    </row>
    <row r="813" spans="2:9">
      <c r="B813" s="1136"/>
      <c r="C813" s="1129"/>
      <c r="D813" s="1098"/>
      <c r="E813" s="1098"/>
      <c r="F813" s="1099"/>
      <c r="G813" s="1098"/>
      <c r="H813" s="1153"/>
      <c r="I813" s="1099"/>
    </row>
    <row r="814" spans="2:9">
      <c r="B814" s="1136"/>
      <c r="C814" s="1129"/>
      <c r="D814" s="1098"/>
      <c r="E814" s="1098"/>
      <c r="F814" s="1099"/>
      <c r="G814" s="1098"/>
      <c r="H814" s="1153"/>
      <c r="I814" s="1099"/>
    </row>
    <row r="815" spans="2:9">
      <c r="B815" s="1136"/>
      <c r="C815" s="1129"/>
      <c r="D815" s="1098"/>
      <c r="E815" s="1098"/>
      <c r="F815" s="1099"/>
      <c r="G815" s="1098"/>
      <c r="H815" s="1153"/>
      <c r="I815" s="1099"/>
    </row>
    <row r="816" spans="2:9">
      <c r="B816" s="1136"/>
      <c r="C816" s="1129"/>
      <c r="D816" s="1098"/>
      <c r="E816" s="1098"/>
      <c r="F816" s="1099"/>
      <c r="G816" s="1098"/>
      <c r="H816" s="1153"/>
      <c r="I816" s="1099"/>
    </row>
    <row r="817" spans="2:9">
      <c r="B817" s="1136"/>
      <c r="C817" s="1129"/>
      <c r="D817" s="1098"/>
      <c r="E817" s="1098"/>
      <c r="F817" s="1099"/>
      <c r="G817" s="1098"/>
      <c r="H817" s="1153"/>
      <c r="I817" s="1099"/>
    </row>
    <row r="818" spans="2:9">
      <c r="B818" s="1136"/>
      <c r="C818" s="1129"/>
      <c r="D818" s="1098"/>
      <c r="E818" s="1098"/>
      <c r="F818" s="1099"/>
      <c r="G818" s="1098"/>
      <c r="H818" s="1153"/>
      <c r="I818" s="1099"/>
    </row>
    <row r="819" spans="2:9">
      <c r="B819" s="1136"/>
      <c r="C819" s="1129"/>
      <c r="D819" s="1098"/>
      <c r="E819" s="1098"/>
      <c r="F819" s="1099"/>
      <c r="G819" s="1098"/>
      <c r="H819" s="1153"/>
      <c r="I819" s="1099"/>
    </row>
    <row r="820" spans="2:9">
      <c r="B820" s="1136"/>
      <c r="C820" s="1129"/>
      <c r="D820" s="1098"/>
      <c r="E820" s="1098"/>
      <c r="F820" s="1099"/>
      <c r="G820" s="1098"/>
      <c r="H820" s="1153"/>
      <c r="I820" s="1099"/>
    </row>
    <row r="821" spans="2:9">
      <c r="B821" s="1136"/>
      <c r="C821" s="1129"/>
      <c r="D821" s="1098"/>
      <c r="E821" s="1098"/>
      <c r="F821" s="1099"/>
      <c r="G821" s="1098"/>
      <c r="H821" s="1153"/>
      <c r="I821" s="1099"/>
    </row>
    <row r="822" spans="2:9">
      <c r="B822" s="1136"/>
      <c r="C822" s="1129"/>
      <c r="D822" s="1098"/>
      <c r="E822" s="1098"/>
      <c r="F822" s="1099"/>
      <c r="G822" s="1098"/>
      <c r="H822" s="1153"/>
      <c r="I822" s="1099"/>
    </row>
    <row r="823" spans="2:9">
      <c r="B823" s="1136"/>
      <c r="C823" s="1129"/>
      <c r="D823" s="1098"/>
      <c r="E823" s="1098"/>
      <c r="F823" s="1099"/>
      <c r="G823" s="1098"/>
      <c r="H823" s="1153"/>
      <c r="I823" s="1099"/>
    </row>
    <row r="824" spans="2:9">
      <c r="B824" s="1136"/>
      <c r="C824" s="1129"/>
      <c r="D824" s="1098"/>
      <c r="E824" s="1098"/>
      <c r="F824" s="1099"/>
      <c r="G824" s="1098"/>
      <c r="H824" s="1153"/>
      <c r="I824" s="1099"/>
    </row>
    <row r="825" spans="2:9">
      <c r="B825" s="1136"/>
      <c r="C825" s="1129"/>
      <c r="D825" s="1098"/>
      <c r="E825" s="1098"/>
      <c r="F825" s="1099"/>
      <c r="G825" s="1098"/>
      <c r="H825" s="1153"/>
      <c r="I825" s="1099"/>
    </row>
    <row r="826" spans="2:9">
      <c r="B826" s="1136"/>
      <c r="C826" s="1129"/>
      <c r="D826" s="1098"/>
      <c r="E826" s="1098"/>
      <c r="F826" s="1099"/>
      <c r="G826" s="1098"/>
      <c r="H826" s="1153"/>
      <c r="I826" s="1099"/>
    </row>
    <row r="827" spans="2:9">
      <c r="B827" s="1136"/>
      <c r="C827" s="1129"/>
      <c r="D827" s="1098"/>
      <c r="E827" s="1098"/>
      <c r="F827" s="1099"/>
      <c r="G827" s="1098"/>
      <c r="H827" s="1153"/>
      <c r="I827" s="1099"/>
    </row>
    <row r="828" spans="2:9">
      <c r="B828" s="1136"/>
      <c r="C828" s="1129"/>
      <c r="D828" s="1098"/>
      <c r="E828" s="1098"/>
      <c r="F828" s="1099"/>
      <c r="G828" s="1098"/>
      <c r="H828" s="1153"/>
      <c r="I828" s="1099"/>
    </row>
    <row r="829" spans="2:9">
      <c r="B829" s="1136"/>
      <c r="C829" s="1129"/>
      <c r="D829" s="1098"/>
      <c r="E829" s="1098"/>
      <c r="F829" s="1099"/>
      <c r="G829" s="1098"/>
      <c r="H829" s="1153"/>
      <c r="I829" s="1099"/>
    </row>
    <row r="830" spans="2:9">
      <c r="B830" s="1136"/>
      <c r="C830" s="1129"/>
      <c r="D830" s="1098"/>
      <c r="E830" s="1098"/>
      <c r="F830" s="1099"/>
      <c r="G830" s="1098"/>
      <c r="H830" s="1153"/>
      <c r="I830" s="1099"/>
    </row>
    <row r="831" spans="2:9">
      <c r="B831" s="1136"/>
      <c r="C831" s="1129"/>
      <c r="D831" s="1098"/>
      <c r="E831" s="1098"/>
      <c r="F831" s="1099"/>
      <c r="G831" s="1098"/>
      <c r="H831" s="1153"/>
      <c r="I831" s="1099"/>
    </row>
    <row r="832" spans="2:9">
      <c r="B832" s="1136"/>
      <c r="C832" s="1129"/>
      <c r="D832" s="1098"/>
      <c r="E832" s="1098"/>
      <c r="F832" s="1099"/>
      <c r="G832" s="1098"/>
      <c r="H832" s="1153"/>
      <c r="I832" s="1099"/>
    </row>
    <row r="833" spans="2:9">
      <c r="B833" s="1136"/>
      <c r="C833" s="1129"/>
      <c r="D833" s="1098"/>
      <c r="E833" s="1098"/>
      <c r="F833" s="1099"/>
      <c r="G833" s="1098"/>
      <c r="H833" s="1153"/>
      <c r="I833" s="1099"/>
    </row>
    <row r="834" spans="2:9">
      <c r="B834" s="1136"/>
      <c r="C834" s="1129"/>
      <c r="D834" s="1098"/>
      <c r="E834" s="1098"/>
      <c r="F834" s="1099"/>
      <c r="G834" s="1098"/>
      <c r="H834" s="1153"/>
      <c r="I834" s="1099"/>
    </row>
    <row r="835" spans="2:9">
      <c r="B835" s="1136"/>
      <c r="C835" s="1129"/>
      <c r="D835" s="1098"/>
      <c r="E835" s="1098"/>
      <c r="F835" s="1099"/>
      <c r="G835" s="1098"/>
      <c r="H835" s="1153"/>
      <c r="I835" s="1099"/>
    </row>
    <row r="836" spans="2:9">
      <c r="B836" s="1136"/>
      <c r="C836" s="1129"/>
      <c r="D836" s="1098"/>
      <c r="E836" s="1098"/>
      <c r="F836" s="1099"/>
      <c r="G836" s="1098"/>
      <c r="H836" s="1153"/>
      <c r="I836" s="1099"/>
    </row>
    <row r="837" spans="2:9">
      <c r="B837" s="1136"/>
      <c r="C837" s="1129"/>
      <c r="D837" s="1098"/>
      <c r="E837" s="1098"/>
      <c r="F837" s="1099"/>
      <c r="G837" s="1098"/>
      <c r="H837" s="1153"/>
      <c r="I837" s="1099"/>
    </row>
    <row r="838" spans="2:9">
      <c r="B838" s="1136"/>
      <c r="C838" s="1129"/>
      <c r="D838" s="1098"/>
      <c r="E838" s="1098"/>
      <c r="F838" s="1099"/>
      <c r="G838" s="1098"/>
      <c r="H838" s="1153"/>
      <c r="I838" s="1099"/>
    </row>
    <row r="839" spans="2:9">
      <c r="B839" s="1136"/>
      <c r="C839" s="1129"/>
      <c r="D839" s="1098"/>
      <c r="E839" s="1098"/>
      <c r="F839" s="1099"/>
      <c r="G839" s="1098"/>
      <c r="H839" s="1153"/>
      <c r="I839" s="1099"/>
    </row>
    <row r="840" spans="2:9">
      <c r="B840" s="1136"/>
      <c r="C840" s="1129"/>
      <c r="D840" s="1098"/>
      <c r="E840" s="1098"/>
      <c r="F840" s="1099"/>
      <c r="G840" s="1098"/>
      <c r="H840" s="1153"/>
      <c r="I840" s="1099"/>
    </row>
    <row r="841" spans="2:9">
      <c r="B841" s="1136"/>
      <c r="C841" s="1129"/>
      <c r="D841" s="1098"/>
      <c r="E841" s="1098"/>
      <c r="F841" s="1099"/>
      <c r="G841" s="1098"/>
      <c r="H841" s="1153"/>
      <c r="I841" s="1099"/>
    </row>
    <row r="842" spans="2:9">
      <c r="B842" s="1136"/>
      <c r="C842" s="1129"/>
      <c r="D842" s="1098"/>
      <c r="E842" s="1098"/>
      <c r="F842" s="1099"/>
      <c r="G842" s="1098"/>
      <c r="H842" s="1153"/>
      <c r="I842" s="1099"/>
    </row>
    <row r="843" spans="2:9">
      <c r="B843" s="1136"/>
      <c r="C843" s="1129"/>
      <c r="D843" s="1098"/>
      <c r="E843" s="1098"/>
      <c r="F843" s="1099"/>
      <c r="G843" s="1098"/>
      <c r="H843" s="1153"/>
      <c r="I843" s="1099"/>
    </row>
    <row r="844" spans="2:9">
      <c r="B844" s="1136"/>
      <c r="C844" s="1129"/>
      <c r="D844" s="1098"/>
      <c r="E844" s="1098"/>
      <c r="F844" s="1099"/>
      <c r="G844" s="1098"/>
      <c r="H844" s="1153"/>
      <c r="I844" s="1099"/>
    </row>
    <row r="845" spans="2:9">
      <c r="B845" s="1136"/>
      <c r="C845" s="1129"/>
      <c r="D845" s="1098"/>
      <c r="E845" s="1098"/>
      <c r="F845" s="1099"/>
      <c r="G845" s="1098"/>
      <c r="H845" s="1153"/>
      <c r="I845" s="1099"/>
    </row>
    <row r="846" spans="2:9">
      <c r="B846" s="1136"/>
      <c r="C846" s="1129"/>
      <c r="D846" s="1098"/>
      <c r="E846" s="1098"/>
      <c r="F846" s="1099"/>
      <c r="G846" s="1098"/>
      <c r="H846" s="1153"/>
      <c r="I846" s="1099"/>
    </row>
    <row r="847" spans="2:9">
      <c r="B847" s="1136"/>
      <c r="C847" s="1129"/>
      <c r="D847" s="1098"/>
      <c r="E847" s="1098"/>
      <c r="F847" s="1099"/>
      <c r="G847" s="1098"/>
      <c r="H847" s="1153"/>
      <c r="I847" s="1099"/>
    </row>
    <row r="848" spans="2:9">
      <c r="B848" s="1136"/>
      <c r="C848" s="1129"/>
      <c r="D848" s="1098"/>
      <c r="E848" s="1098"/>
      <c r="F848" s="1099"/>
      <c r="G848" s="1098"/>
      <c r="H848" s="1153"/>
      <c r="I848" s="1099"/>
    </row>
    <row r="849" spans="2:9">
      <c r="B849" s="1136"/>
      <c r="C849" s="1129"/>
      <c r="D849" s="1098"/>
      <c r="E849" s="1098"/>
      <c r="F849" s="1099"/>
      <c r="G849" s="1098"/>
      <c r="H849" s="1153"/>
      <c r="I849" s="1099"/>
    </row>
    <row r="850" spans="2:9">
      <c r="B850" s="1136"/>
      <c r="C850" s="1129"/>
      <c r="D850" s="1098"/>
      <c r="E850" s="1098"/>
      <c r="F850" s="1099"/>
      <c r="G850" s="1098"/>
      <c r="H850" s="1153"/>
      <c r="I850" s="1099"/>
    </row>
    <row r="851" spans="2:9">
      <c r="B851" s="1136"/>
      <c r="C851" s="1129"/>
      <c r="D851" s="1098"/>
      <c r="E851" s="1098"/>
      <c r="F851" s="1099"/>
      <c r="G851" s="1098"/>
      <c r="H851" s="1153"/>
      <c r="I851" s="1099"/>
    </row>
    <row r="852" spans="2:9">
      <c r="B852" s="1136"/>
      <c r="C852" s="1129"/>
      <c r="D852" s="1098"/>
      <c r="E852" s="1098"/>
      <c r="F852" s="1099"/>
      <c r="G852" s="1098"/>
      <c r="H852" s="1153"/>
      <c r="I852" s="1099"/>
    </row>
    <row r="853" spans="2:9">
      <c r="B853" s="1136"/>
      <c r="C853" s="1129"/>
      <c r="D853" s="1098"/>
      <c r="E853" s="1098"/>
      <c r="F853" s="1099"/>
      <c r="G853" s="1098"/>
      <c r="H853" s="1153"/>
      <c r="I853" s="1099"/>
    </row>
    <row r="854" spans="2:9">
      <c r="B854" s="1136"/>
      <c r="C854" s="1129"/>
      <c r="D854" s="1098"/>
      <c r="E854" s="1098"/>
      <c r="F854" s="1099"/>
      <c r="G854" s="1098"/>
      <c r="H854" s="1153"/>
      <c r="I854" s="1099"/>
    </row>
    <row r="855" spans="2:9">
      <c r="B855" s="1136"/>
      <c r="C855" s="1129"/>
      <c r="D855" s="1098"/>
      <c r="E855" s="1098"/>
      <c r="F855" s="1099"/>
      <c r="G855" s="1098"/>
      <c r="H855" s="1153"/>
      <c r="I855" s="1099"/>
    </row>
    <row r="856" spans="2:9">
      <c r="B856" s="1136"/>
      <c r="C856" s="1129"/>
      <c r="D856" s="1098"/>
      <c r="E856" s="1098"/>
      <c r="F856" s="1099"/>
      <c r="G856" s="1098"/>
      <c r="H856" s="1153"/>
      <c r="I856" s="1099"/>
    </row>
    <row r="857" spans="2:9">
      <c r="B857" s="1136"/>
      <c r="C857" s="1129"/>
      <c r="D857" s="1098"/>
      <c r="E857" s="1098"/>
      <c r="F857" s="1099"/>
      <c r="G857" s="1098"/>
      <c r="H857" s="1153"/>
      <c r="I857" s="1099"/>
    </row>
    <row r="858" spans="2:9">
      <c r="B858" s="1136"/>
      <c r="C858" s="1129"/>
      <c r="D858" s="1098"/>
      <c r="E858" s="1098"/>
      <c r="F858" s="1099"/>
      <c r="G858" s="1098"/>
      <c r="H858" s="1153"/>
      <c r="I858" s="1099"/>
    </row>
    <row r="859" spans="2:9">
      <c r="B859" s="1136"/>
      <c r="C859" s="1129"/>
      <c r="D859" s="1098"/>
      <c r="E859" s="1098"/>
      <c r="F859" s="1099"/>
      <c r="G859" s="1098"/>
      <c r="H859" s="1153"/>
      <c r="I859" s="1099"/>
    </row>
    <row r="860" spans="2:9">
      <c r="B860" s="1136"/>
      <c r="C860" s="1129"/>
      <c r="D860" s="1098"/>
      <c r="E860" s="1098"/>
      <c r="F860" s="1099"/>
      <c r="G860" s="1098"/>
      <c r="H860" s="1153"/>
      <c r="I860" s="1099"/>
    </row>
    <row r="861" spans="2:9">
      <c r="B861" s="1136"/>
      <c r="C861" s="1129"/>
      <c r="D861" s="1098"/>
      <c r="E861" s="1098"/>
      <c r="F861" s="1099"/>
      <c r="G861" s="1098"/>
      <c r="H861" s="1153"/>
      <c r="I861" s="1099"/>
    </row>
    <row r="862" spans="2:9">
      <c r="B862" s="1136"/>
      <c r="C862" s="1129"/>
      <c r="D862" s="1098"/>
      <c r="E862" s="1098"/>
      <c r="F862" s="1099"/>
      <c r="G862" s="1098"/>
      <c r="H862" s="1153"/>
      <c r="I862" s="1099"/>
    </row>
    <row r="863" spans="2:9">
      <c r="B863" s="1136"/>
      <c r="C863" s="1129"/>
      <c r="D863" s="1098"/>
      <c r="E863" s="1098"/>
      <c r="F863" s="1099"/>
      <c r="G863" s="1098"/>
      <c r="H863" s="1153"/>
      <c r="I863" s="1099"/>
    </row>
    <row r="864" spans="2:9">
      <c r="B864" s="1136"/>
      <c r="C864" s="1129"/>
      <c r="D864" s="1098"/>
      <c r="E864" s="1098"/>
      <c r="F864" s="1099"/>
      <c r="G864" s="1098"/>
      <c r="H864" s="1153"/>
      <c r="I864" s="1099"/>
    </row>
    <row r="865" spans="2:9">
      <c r="B865" s="1136"/>
      <c r="C865" s="1129"/>
      <c r="D865" s="1098"/>
      <c r="E865" s="1098"/>
      <c r="F865" s="1099"/>
      <c r="G865" s="1098"/>
      <c r="H865" s="1153"/>
      <c r="I865" s="1099"/>
    </row>
    <row r="866" spans="2:9">
      <c r="B866" s="1136"/>
      <c r="C866" s="1129"/>
      <c r="D866" s="1098"/>
      <c r="E866" s="1098"/>
      <c r="F866" s="1099"/>
      <c r="G866" s="1098"/>
      <c r="H866" s="1153"/>
      <c r="I866" s="1099"/>
    </row>
    <row r="867" spans="2:9">
      <c r="B867" s="1136"/>
      <c r="C867" s="1129"/>
      <c r="D867" s="1098"/>
      <c r="E867" s="1098"/>
      <c r="F867" s="1099"/>
      <c r="G867" s="1098"/>
      <c r="H867" s="1153"/>
      <c r="I867" s="1099"/>
    </row>
    <row r="868" spans="2:9">
      <c r="B868" s="1136"/>
      <c r="C868" s="1129"/>
      <c r="D868" s="1098"/>
      <c r="E868" s="1098"/>
      <c r="F868" s="1099"/>
      <c r="G868" s="1098"/>
      <c r="H868" s="1153"/>
      <c r="I868" s="1099"/>
    </row>
    <row r="869" spans="2:9">
      <c r="B869" s="1136"/>
      <c r="C869" s="1129"/>
      <c r="D869" s="1098"/>
      <c r="E869" s="1098"/>
      <c r="F869" s="1099"/>
      <c r="G869" s="1098"/>
      <c r="H869" s="1153"/>
      <c r="I869" s="1099"/>
    </row>
    <row r="870" spans="2:9">
      <c r="B870" s="1136"/>
      <c r="C870" s="1129"/>
      <c r="D870" s="1098"/>
      <c r="E870" s="1098"/>
      <c r="F870" s="1099"/>
      <c r="G870" s="1098"/>
      <c r="H870" s="1153"/>
      <c r="I870" s="1099"/>
    </row>
    <row r="871" spans="2:9">
      <c r="B871" s="1136"/>
      <c r="C871" s="1129"/>
      <c r="D871" s="1098"/>
      <c r="E871" s="1098"/>
      <c r="F871" s="1099"/>
      <c r="G871" s="1098"/>
      <c r="H871" s="1153"/>
      <c r="I871" s="1099"/>
    </row>
    <row r="872" spans="2:9">
      <c r="B872" s="1136"/>
      <c r="C872" s="1129"/>
      <c r="D872" s="1098"/>
      <c r="E872" s="1098"/>
      <c r="F872" s="1099"/>
      <c r="G872" s="1098"/>
      <c r="H872" s="1153"/>
      <c r="I872" s="1099"/>
    </row>
    <row r="873" spans="2:9">
      <c r="B873" s="1136"/>
      <c r="C873" s="1129"/>
      <c r="D873" s="1098"/>
      <c r="E873" s="1098"/>
      <c r="F873" s="1099"/>
      <c r="G873" s="1098"/>
      <c r="H873" s="1153"/>
      <c r="I873" s="1099"/>
    </row>
    <row r="874" spans="2:9">
      <c r="B874" s="1136"/>
      <c r="C874" s="1129"/>
      <c r="D874" s="1098"/>
      <c r="E874" s="1098"/>
      <c r="F874" s="1099"/>
      <c r="G874" s="1098"/>
      <c r="H874" s="1153"/>
      <c r="I874" s="1099"/>
    </row>
    <row r="875" spans="2:9">
      <c r="B875" s="1136"/>
      <c r="C875" s="1129"/>
      <c r="D875" s="1098"/>
      <c r="E875" s="1098"/>
      <c r="F875" s="1099"/>
      <c r="G875" s="1098"/>
      <c r="H875" s="1153"/>
      <c r="I875" s="1099"/>
    </row>
    <row r="876" spans="2:9">
      <c r="B876" s="1136"/>
      <c r="C876" s="1129"/>
      <c r="D876" s="1098"/>
      <c r="E876" s="1098"/>
      <c r="F876" s="1099"/>
      <c r="G876" s="1098"/>
      <c r="H876" s="1153"/>
      <c r="I876" s="1099"/>
    </row>
    <row r="877" spans="2:9">
      <c r="B877" s="1136"/>
      <c r="C877" s="1129"/>
      <c r="D877" s="1098"/>
      <c r="E877" s="1098"/>
      <c r="F877" s="1099"/>
      <c r="G877" s="1098"/>
      <c r="H877" s="1153"/>
      <c r="I877" s="1099"/>
    </row>
    <row r="878" spans="2:9">
      <c r="B878" s="1136"/>
      <c r="C878" s="1129"/>
      <c r="D878" s="1098"/>
      <c r="E878" s="1098"/>
      <c r="F878" s="1099"/>
      <c r="G878" s="1098"/>
      <c r="H878" s="1153"/>
      <c r="I878" s="1099"/>
    </row>
    <row r="879" spans="2:9">
      <c r="B879" s="1136"/>
      <c r="C879" s="1129"/>
      <c r="D879" s="1098"/>
      <c r="E879" s="1098"/>
      <c r="F879" s="1099"/>
      <c r="G879" s="1098"/>
      <c r="H879" s="1153"/>
      <c r="I879" s="1099"/>
    </row>
    <row r="880" spans="2:9">
      <c r="B880" s="1136"/>
      <c r="C880" s="1129"/>
      <c r="D880" s="1098"/>
      <c r="E880" s="1098"/>
      <c r="F880" s="1099"/>
      <c r="G880" s="1098"/>
      <c r="H880" s="1153"/>
      <c r="I880" s="1099"/>
    </row>
    <row r="881" spans="2:9">
      <c r="B881" s="1136"/>
      <c r="C881" s="1129"/>
      <c r="D881" s="1098"/>
      <c r="E881" s="1098"/>
      <c r="F881" s="1099"/>
      <c r="G881" s="1098"/>
      <c r="H881" s="1153"/>
      <c r="I881" s="1099"/>
    </row>
    <row r="882" spans="2:9">
      <c r="B882" s="1136"/>
      <c r="C882" s="1129"/>
      <c r="D882" s="1098"/>
      <c r="E882" s="1098"/>
      <c r="F882" s="1099"/>
      <c r="G882" s="1098"/>
      <c r="H882" s="1153"/>
      <c r="I882" s="1099"/>
    </row>
    <row r="883" spans="2:9">
      <c r="B883" s="1136"/>
      <c r="C883" s="1129"/>
      <c r="D883" s="1098"/>
      <c r="E883" s="1098"/>
      <c r="F883" s="1099"/>
      <c r="G883" s="1098"/>
      <c r="H883" s="1153"/>
      <c r="I883" s="1099"/>
    </row>
    <row r="884" spans="2:9">
      <c r="B884" s="1136"/>
      <c r="C884" s="1129"/>
      <c r="D884" s="1098"/>
      <c r="E884" s="1098"/>
      <c r="F884" s="1099"/>
      <c r="G884" s="1098"/>
      <c r="H884" s="1153"/>
      <c r="I884" s="1099"/>
    </row>
    <row r="885" spans="2:9">
      <c r="B885" s="1136"/>
      <c r="C885" s="1129"/>
      <c r="D885" s="1098"/>
      <c r="E885" s="1098"/>
      <c r="F885" s="1099"/>
      <c r="G885" s="1098"/>
      <c r="H885" s="1153"/>
      <c r="I885" s="1099"/>
    </row>
    <row r="886" spans="2:9">
      <c r="B886" s="1136"/>
      <c r="C886" s="1129"/>
      <c r="D886" s="1098"/>
      <c r="E886" s="1098"/>
      <c r="F886" s="1099"/>
      <c r="G886" s="1098"/>
      <c r="H886" s="1153"/>
      <c r="I886" s="1099"/>
    </row>
    <row r="887" spans="2:9">
      <c r="B887" s="1136"/>
      <c r="C887" s="1129"/>
      <c r="D887" s="1098"/>
      <c r="E887" s="1098"/>
      <c r="F887" s="1099"/>
      <c r="G887" s="1098"/>
      <c r="H887" s="1153"/>
      <c r="I887" s="1099"/>
    </row>
    <row r="888" spans="2:9">
      <c r="B888" s="1136"/>
      <c r="C888" s="1129"/>
      <c r="D888" s="1098"/>
      <c r="E888" s="1098"/>
      <c r="F888" s="1099"/>
      <c r="G888" s="1098"/>
      <c r="H888" s="1153"/>
      <c r="I888" s="1099"/>
    </row>
    <row r="889" spans="2:9">
      <c r="B889" s="1136"/>
      <c r="C889" s="1129"/>
      <c r="D889" s="1098"/>
      <c r="E889" s="1098"/>
      <c r="F889" s="1099"/>
      <c r="G889" s="1098"/>
      <c r="H889" s="1153"/>
      <c r="I889" s="1099"/>
    </row>
    <row r="890" spans="2:9">
      <c r="B890" s="1136"/>
      <c r="C890" s="1129"/>
      <c r="D890" s="1098"/>
      <c r="E890" s="1098"/>
      <c r="F890" s="1099"/>
      <c r="G890" s="1098"/>
      <c r="H890" s="1153"/>
      <c r="I890" s="1099"/>
    </row>
    <row r="891" spans="2:9">
      <c r="B891" s="1136"/>
      <c r="C891" s="1129"/>
      <c r="D891" s="1098"/>
      <c r="E891" s="1098"/>
      <c r="F891" s="1099"/>
      <c r="G891" s="1098"/>
      <c r="H891" s="1153"/>
      <c r="I891" s="1099"/>
    </row>
    <row r="892" spans="2:9">
      <c r="B892" s="1136"/>
      <c r="C892" s="1129"/>
      <c r="D892" s="1098"/>
      <c r="E892" s="1098"/>
      <c r="F892" s="1099"/>
      <c r="G892" s="1098"/>
      <c r="H892" s="1153"/>
      <c r="I892" s="1099"/>
    </row>
    <row r="893" spans="2:9">
      <c r="B893" s="1136"/>
      <c r="C893" s="1129"/>
      <c r="D893" s="1098"/>
      <c r="E893" s="1098"/>
      <c r="F893" s="1099"/>
      <c r="G893" s="1098"/>
      <c r="H893" s="1153"/>
      <c r="I893" s="1099"/>
    </row>
    <row r="894" spans="2:9">
      <c r="B894" s="1136"/>
      <c r="C894" s="1129"/>
      <c r="D894" s="1098"/>
      <c r="E894" s="1098"/>
      <c r="F894" s="1099"/>
      <c r="G894" s="1098"/>
      <c r="H894" s="1153"/>
      <c r="I894" s="1099"/>
    </row>
    <row r="895" spans="2:9">
      <c r="B895" s="1136"/>
      <c r="C895" s="1129"/>
      <c r="D895" s="1098"/>
      <c r="E895" s="1098"/>
      <c r="F895" s="1099"/>
      <c r="G895" s="1098"/>
      <c r="H895" s="1153"/>
      <c r="I895" s="1099"/>
    </row>
    <row r="896" spans="2:9">
      <c r="B896" s="1136"/>
      <c r="C896" s="1129"/>
      <c r="D896" s="1098"/>
      <c r="E896" s="1098"/>
      <c r="F896" s="1099"/>
      <c r="G896" s="1098"/>
      <c r="H896" s="1153"/>
      <c r="I896" s="1099"/>
    </row>
    <row r="897" spans="2:9">
      <c r="B897" s="1136"/>
      <c r="C897" s="1129"/>
      <c r="D897" s="1098"/>
      <c r="E897" s="1098"/>
      <c r="F897" s="1099"/>
      <c r="G897" s="1098"/>
      <c r="H897" s="1153"/>
      <c r="I897" s="1099"/>
    </row>
    <row r="898" spans="2:9">
      <c r="B898" s="1136"/>
      <c r="C898" s="1129"/>
      <c r="D898" s="1098"/>
      <c r="E898" s="1098"/>
      <c r="F898" s="1099"/>
      <c r="G898" s="1098"/>
      <c r="H898" s="1153"/>
      <c r="I898" s="1099"/>
    </row>
    <row r="899" spans="2:9">
      <c r="B899" s="1136"/>
      <c r="C899" s="1129"/>
      <c r="D899" s="1098"/>
      <c r="E899" s="1098"/>
      <c r="F899" s="1099"/>
      <c r="G899" s="1098"/>
      <c r="H899" s="1153"/>
      <c r="I899" s="1099"/>
    </row>
    <row r="900" spans="2:9">
      <c r="B900" s="1136"/>
      <c r="C900" s="1129"/>
      <c r="D900" s="1098"/>
      <c r="E900" s="1098"/>
      <c r="F900" s="1099"/>
      <c r="G900" s="1098"/>
      <c r="H900" s="1153"/>
      <c r="I900" s="1099"/>
    </row>
    <row r="901" spans="2:9">
      <c r="B901" s="1136"/>
      <c r="C901" s="1129"/>
      <c r="D901" s="1098"/>
      <c r="E901" s="1098"/>
      <c r="F901" s="1099"/>
      <c r="G901" s="1098"/>
      <c r="H901" s="1153"/>
      <c r="I901" s="1099"/>
    </row>
    <row r="902" spans="2:9">
      <c r="B902" s="1136"/>
      <c r="C902" s="1129"/>
      <c r="D902" s="1098"/>
      <c r="E902" s="1098"/>
      <c r="F902" s="1099"/>
      <c r="G902" s="1098"/>
      <c r="H902" s="1153"/>
      <c r="I902" s="1099"/>
    </row>
    <row r="903" spans="2:9">
      <c r="B903" s="1136"/>
      <c r="C903" s="1129"/>
      <c r="D903" s="1098"/>
      <c r="E903" s="1098"/>
      <c r="F903" s="1099"/>
      <c r="G903" s="1098"/>
      <c r="H903" s="1153"/>
      <c r="I903" s="1099"/>
    </row>
    <row r="904" spans="2:9">
      <c r="B904" s="1136"/>
      <c r="C904" s="1129"/>
      <c r="D904" s="1098"/>
      <c r="E904" s="1098"/>
      <c r="F904" s="1099"/>
      <c r="G904" s="1098"/>
      <c r="H904" s="1153"/>
      <c r="I904" s="1099"/>
    </row>
    <row r="905" spans="2:9">
      <c r="B905" s="1136"/>
      <c r="C905" s="1129"/>
      <c r="D905" s="1098"/>
      <c r="E905" s="1098"/>
      <c r="F905" s="1099"/>
      <c r="G905" s="1098"/>
      <c r="H905" s="1153"/>
      <c r="I905" s="1099"/>
    </row>
    <row r="906" spans="2:9">
      <c r="B906" s="1136"/>
      <c r="C906" s="1129"/>
      <c r="D906" s="1098"/>
      <c r="E906" s="1098"/>
      <c r="F906" s="1099"/>
      <c r="G906" s="1098"/>
      <c r="H906" s="1153"/>
      <c r="I906" s="1099"/>
    </row>
    <row r="907" spans="2:9">
      <c r="B907" s="1136"/>
      <c r="C907" s="1129"/>
      <c r="D907" s="1098"/>
      <c r="E907" s="1098"/>
      <c r="F907" s="1099"/>
      <c r="G907" s="1098"/>
      <c r="H907" s="1153"/>
      <c r="I907" s="1099"/>
    </row>
    <row r="908" spans="2:9">
      <c r="B908" s="1136"/>
      <c r="C908" s="1129"/>
      <c r="D908" s="1098"/>
      <c r="E908" s="1098"/>
      <c r="F908" s="1099"/>
      <c r="G908" s="1098"/>
      <c r="H908" s="1153"/>
      <c r="I908" s="1099"/>
    </row>
    <row r="909" spans="2:9">
      <c r="B909" s="1136"/>
      <c r="C909" s="1129"/>
      <c r="D909" s="1098"/>
      <c r="E909" s="1098"/>
      <c r="F909" s="1099"/>
      <c r="G909" s="1098"/>
      <c r="H909" s="1153"/>
      <c r="I909" s="1099"/>
    </row>
    <row r="910" spans="2:9">
      <c r="B910" s="1136"/>
      <c r="C910" s="1129"/>
      <c r="D910" s="1098"/>
      <c r="E910" s="1098"/>
      <c r="F910" s="1099"/>
      <c r="G910" s="1098"/>
      <c r="H910" s="1153"/>
      <c r="I910" s="1099"/>
    </row>
    <row r="911" spans="2:9">
      <c r="B911" s="1136"/>
      <c r="C911" s="1129"/>
      <c r="D911" s="1098"/>
      <c r="E911" s="1098"/>
      <c r="F911" s="1099"/>
      <c r="G911" s="1098"/>
      <c r="H911" s="1153"/>
      <c r="I911" s="1099"/>
    </row>
    <row r="912" spans="2:9">
      <c r="B912" s="1136"/>
      <c r="C912" s="1129"/>
      <c r="D912" s="1098"/>
      <c r="E912" s="1098"/>
      <c r="F912" s="1099"/>
      <c r="G912" s="1098"/>
      <c r="H912" s="1153"/>
      <c r="I912" s="1099"/>
    </row>
    <row r="913" spans="2:9">
      <c r="B913" s="1136"/>
      <c r="C913" s="1129"/>
      <c r="D913" s="1098"/>
      <c r="E913" s="1098"/>
      <c r="F913" s="1099"/>
      <c r="G913" s="1098"/>
      <c r="H913" s="1153"/>
      <c r="I913" s="1099"/>
    </row>
    <row r="914" spans="2:9">
      <c r="B914" s="1136"/>
      <c r="C914" s="1129"/>
      <c r="D914" s="1098"/>
      <c r="E914" s="1098"/>
      <c r="F914" s="1099"/>
      <c r="G914" s="1098"/>
      <c r="H914" s="1153"/>
      <c r="I914" s="1099"/>
    </row>
    <row r="915" spans="2:9">
      <c r="B915" s="1136"/>
      <c r="C915" s="1129"/>
      <c r="D915" s="1098"/>
      <c r="E915" s="1098"/>
      <c r="F915" s="1099"/>
      <c r="G915" s="1098"/>
      <c r="H915" s="1153"/>
      <c r="I915" s="1099"/>
    </row>
    <row r="916" spans="2:9">
      <c r="B916" s="1136"/>
      <c r="C916" s="1129"/>
      <c r="D916" s="1098"/>
      <c r="E916" s="1098"/>
      <c r="F916" s="1099"/>
      <c r="G916" s="1098"/>
      <c r="H916" s="1153"/>
      <c r="I916" s="1099"/>
    </row>
    <row r="917" spans="2:9">
      <c r="B917" s="1136"/>
      <c r="C917" s="1129"/>
      <c r="D917" s="1098"/>
      <c r="E917" s="1098"/>
      <c r="F917" s="1099"/>
      <c r="G917" s="1098"/>
      <c r="H917" s="1153"/>
      <c r="I917" s="1099"/>
    </row>
    <row r="918" spans="2:9">
      <c r="B918" s="1136"/>
      <c r="C918" s="1129"/>
      <c r="D918" s="1098"/>
      <c r="E918" s="1098"/>
      <c r="F918" s="1099"/>
      <c r="G918" s="1098"/>
      <c r="H918" s="1153"/>
      <c r="I918" s="1099"/>
    </row>
    <row r="919" spans="2:9">
      <c r="B919" s="1136"/>
      <c r="C919" s="1129"/>
      <c r="D919" s="1098"/>
      <c r="E919" s="1098"/>
      <c r="F919" s="1099"/>
      <c r="G919" s="1098"/>
      <c r="H919" s="1153"/>
      <c r="I919" s="1099"/>
    </row>
    <row r="920" spans="2:9">
      <c r="B920" s="1136"/>
      <c r="C920" s="1129"/>
      <c r="D920" s="1098"/>
      <c r="E920" s="1098"/>
      <c r="F920" s="1099"/>
      <c r="G920" s="1098"/>
      <c r="H920" s="1153"/>
      <c r="I920" s="1099"/>
    </row>
    <row r="921" spans="2:9">
      <c r="B921" s="1136"/>
      <c r="C921" s="1129"/>
      <c r="D921" s="1098"/>
      <c r="E921" s="1098"/>
      <c r="F921" s="1099"/>
      <c r="G921" s="1098"/>
      <c r="H921" s="1153"/>
      <c r="I921" s="1099"/>
    </row>
    <row r="922" spans="2:9">
      <c r="B922" s="1136"/>
      <c r="C922" s="1129"/>
      <c r="D922" s="1098"/>
      <c r="E922" s="1098"/>
      <c r="F922" s="1099"/>
      <c r="G922" s="1098"/>
      <c r="H922" s="1153"/>
      <c r="I922" s="1099"/>
    </row>
    <row r="923" spans="2:9">
      <c r="B923" s="1136"/>
      <c r="C923" s="1129"/>
      <c r="D923" s="1098"/>
      <c r="E923" s="1098"/>
      <c r="F923" s="1099"/>
      <c r="G923" s="1098"/>
      <c r="H923" s="1153"/>
      <c r="I923" s="1099"/>
    </row>
    <row r="924" spans="2:9">
      <c r="B924" s="1136"/>
      <c r="C924" s="1129"/>
      <c r="D924" s="1098"/>
      <c r="E924" s="1098"/>
      <c r="F924" s="1099"/>
      <c r="G924" s="1098"/>
      <c r="H924" s="1153"/>
      <c r="I924" s="1099"/>
    </row>
    <row r="925" spans="2:9">
      <c r="B925" s="1136"/>
      <c r="C925" s="1129"/>
      <c r="D925" s="1098"/>
      <c r="E925" s="1098"/>
      <c r="F925" s="1099"/>
      <c r="G925" s="1098"/>
      <c r="H925" s="1153"/>
      <c r="I925" s="1099"/>
    </row>
    <row r="926" spans="2:9">
      <c r="B926" s="1136"/>
      <c r="C926" s="1129"/>
      <c r="D926" s="1098"/>
      <c r="E926" s="1098"/>
      <c r="F926" s="1099"/>
      <c r="G926" s="1098"/>
      <c r="H926" s="1153"/>
      <c r="I926" s="1099"/>
    </row>
    <row r="927" spans="2:9">
      <c r="B927" s="1136"/>
      <c r="C927" s="1129"/>
      <c r="D927" s="1098"/>
      <c r="E927" s="1098"/>
      <c r="F927" s="1099"/>
      <c r="G927" s="1098"/>
      <c r="H927" s="1153"/>
      <c r="I927" s="1099"/>
    </row>
    <row r="928" spans="2:9">
      <c r="B928" s="1136"/>
      <c r="C928" s="1129"/>
      <c r="D928" s="1098"/>
      <c r="E928" s="1098"/>
      <c r="F928" s="1099"/>
      <c r="G928" s="1098"/>
      <c r="H928" s="1153"/>
      <c r="I928" s="1099"/>
    </row>
    <row r="929" spans="2:9">
      <c r="B929" s="1136"/>
      <c r="C929" s="1129"/>
      <c r="D929" s="1098"/>
      <c r="E929" s="1098"/>
      <c r="F929" s="1099"/>
      <c r="G929" s="1098"/>
      <c r="H929" s="1153"/>
      <c r="I929" s="1099"/>
    </row>
    <row r="930" spans="2:9">
      <c r="B930" s="1136"/>
      <c r="C930" s="1129"/>
      <c r="D930" s="1098"/>
      <c r="E930" s="1098"/>
      <c r="F930" s="1099"/>
      <c r="G930" s="1098"/>
      <c r="H930" s="1153"/>
      <c r="I930" s="1099"/>
    </row>
    <row r="931" spans="2:9">
      <c r="B931" s="1136"/>
      <c r="C931" s="1129"/>
      <c r="D931" s="1098"/>
      <c r="E931" s="1098"/>
      <c r="F931" s="1099"/>
      <c r="G931" s="1098"/>
      <c r="H931" s="1153"/>
      <c r="I931" s="1099"/>
    </row>
    <row r="932" spans="2:9">
      <c r="B932" s="1136"/>
      <c r="C932" s="1129"/>
      <c r="D932" s="1098"/>
      <c r="E932" s="1098"/>
      <c r="F932" s="1099"/>
      <c r="G932" s="1098"/>
      <c r="H932" s="1153"/>
      <c r="I932" s="1099"/>
    </row>
    <row r="933" spans="2:9">
      <c r="B933" s="1136"/>
      <c r="C933" s="1129"/>
      <c r="D933" s="1098"/>
      <c r="E933" s="1098"/>
      <c r="F933" s="1099"/>
      <c r="G933" s="1098"/>
      <c r="H933" s="1153"/>
      <c r="I933" s="1099"/>
    </row>
    <row r="934" spans="2:9">
      <c r="B934" s="1136"/>
      <c r="C934" s="1129"/>
      <c r="D934" s="1098"/>
      <c r="E934" s="1098"/>
      <c r="F934" s="1099"/>
      <c r="G934" s="1098"/>
      <c r="H934" s="1153"/>
      <c r="I934" s="1099"/>
    </row>
    <row r="935" spans="2:9">
      <c r="B935" s="1136"/>
      <c r="C935" s="1129"/>
      <c r="D935" s="1098"/>
      <c r="E935" s="1098"/>
      <c r="F935" s="1099"/>
      <c r="G935" s="1098"/>
      <c r="H935" s="1153"/>
      <c r="I935" s="1099"/>
    </row>
    <row r="936" spans="2:9">
      <c r="B936" s="1136"/>
      <c r="C936" s="1129"/>
      <c r="D936" s="1098"/>
      <c r="E936" s="1098"/>
      <c r="F936" s="1099"/>
      <c r="G936" s="1098"/>
      <c r="H936" s="1153"/>
      <c r="I936" s="1099"/>
    </row>
    <row r="937" spans="2:9">
      <c r="B937" s="1136"/>
      <c r="C937" s="1129"/>
      <c r="D937" s="1098"/>
      <c r="E937" s="1098"/>
      <c r="F937" s="1099"/>
      <c r="G937" s="1098"/>
      <c r="H937" s="1153"/>
      <c r="I937" s="1099"/>
    </row>
    <row r="938" spans="2:9">
      <c r="B938" s="1136"/>
      <c r="C938" s="1129"/>
      <c r="D938" s="1098"/>
      <c r="E938" s="1098"/>
      <c r="F938" s="1099"/>
      <c r="G938" s="1098"/>
      <c r="H938" s="1153"/>
      <c r="I938" s="1099"/>
    </row>
    <row r="939" spans="2:9">
      <c r="B939" s="1136"/>
      <c r="C939" s="1129"/>
      <c r="D939" s="1098"/>
      <c r="E939" s="1098"/>
      <c r="F939" s="1099"/>
      <c r="G939" s="1098"/>
      <c r="H939" s="1153"/>
      <c r="I939" s="1099"/>
    </row>
    <row r="940" spans="2:9">
      <c r="B940" s="1136"/>
      <c r="C940" s="1129"/>
      <c r="D940" s="1098"/>
      <c r="E940" s="1098"/>
      <c r="F940" s="1099"/>
      <c r="G940" s="1098"/>
      <c r="H940" s="1153"/>
      <c r="I940" s="1099"/>
    </row>
    <row r="941" spans="2:9">
      <c r="B941" s="1136"/>
      <c r="C941" s="1129"/>
      <c r="D941" s="1098"/>
      <c r="E941" s="1098"/>
      <c r="F941" s="1099"/>
      <c r="G941" s="1098"/>
      <c r="H941" s="1153"/>
      <c r="I941" s="1099"/>
    </row>
    <row r="942" spans="2:9">
      <c r="B942" s="1136"/>
      <c r="C942" s="1129"/>
      <c r="D942" s="1098"/>
      <c r="E942" s="1098"/>
      <c r="F942" s="1099"/>
      <c r="G942" s="1098"/>
      <c r="H942" s="1153"/>
      <c r="I942" s="1099"/>
    </row>
    <row r="943" spans="2:9">
      <c r="B943" s="1136"/>
      <c r="C943" s="1129"/>
      <c r="D943" s="1098"/>
      <c r="E943" s="1098"/>
      <c r="F943" s="1099"/>
      <c r="G943" s="1098"/>
      <c r="H943" s="1153"/>
      <c r="I943" s="1099"/>
    </row>
    <row r="944" spans="2:9">
      <c r="B944" s="1136"/>
      <c r="C944" s="1129"/>
      <c r="D944" s="1098"/>
      <c r="E944" s="1098"/>
      <c r="F944" s="1099"/>
      <c r="G944" s="1098"/>
      <c r="H944" s="1153"/>
      <c r="I944" s="1099"/>
    </row>
    <row r="945" spans="2:9">
      <c r="B945" s="1136"/>
      <c r="C945" s="1129"/>
      <c r="D945" s="1098"/>
      <c r="E945" s="1098"/>
      <c r="F945" s="1099"/>
      <c r="G945" s="1098"/>
      <c r="H945" s="1153"/>
      <c r="I945" s="1099"/>
    </row>
    <row r="946" spans="2:9">
      <c r="B946" s="1136"/>
      <c r="C946" s="1129"/>
      <c r="D946" s="1098"/>
      <c r="E946" s="1098"/>
      <c r="F946" s="1099"/>
      <c r="G946" s="1098"/>
      <c r="H946" s="1153"/>
      <c r="I946" s="1099"/>
    </row>
    <row r="947" spans="2:9">
      <c r="B947" s="1136"/>
      <c r="C947" s="1129"/>
      <c r="D947" s="1098"/>
      <c r="E947" s="1098"/>
      <c r="F947" s="1099"/>
      <c r="G947" s="1098"/>
      <c r="H947" s="1153"/>
      <c r="I947" s="1099"/>
    </row>
    <row r="948" spans="2:9">
      <c r="B948" s="1136"/>
      <c r="C948" s="1129"/>
      <c r="D948" s="1098"/>
      <c r="E948" s="1098"/>
      <c r="F948" s="1099"/>
      <c r="G948" s="1098"/>
      <c r="H948" s="1153"/>
      <c r="I948" s="1099"/>
    </row>
    <row r="949" spans="2:9">
      <c r="B949" s="1136"/>
      <c r="C949" s="1129"/>
      <c r="D949" s="1098"/>
      <c r="E949" s="1098"/>
      <c r="F949" s="1099"/>
      <c r="G949" s="1098"/>
      <c r="H949" s="1153"/>
      <c r="I949" s="1099"/>
    </row>
    <row r="950" spans="2:9">
      <c r="B950" s="1136"/>
      <c r="C950" s="1129"/>
      <c r="D950" s="1098"/>
      <c r="E950" s="1098"/>
      <c r="F950" s="1099"/>
      <c r="G950" s="1098"/>
      <c r="H950" s="1153"/>
      <c r="I950" s="1099"/>
    </row>
    <row r="951" spans="2:9">
      <c r="B951" s="1136"/>
      <c r="C951" s="1129"/>
      <c r="D951" s="1098"/>
      <c r="E951" s="1098"/>
      <c r="F951" s="1099"/>
      <c r="G951" s="1098"/>
      <c r="H951" s="1153"/>
      <c r="I951" s="1099"/>
    </row>
    <row r="952" spans="2:9">
      <c r="B952" s="1136"/>
      <c r="C952" s="1129"/>
      <c r="D952" s="1098"/>
      <c r="E952" s="1098"/>
      <c r="F952" s="1099"/>
      <c r="G952" s="1098"/>
      <c r="H952" s="1153"/>
      <c r="I952" s="1099"/>
    </row>
    <row r="953" spans="2:9">
      <c r="B953" s="1136"/>
      <c r="C953" s="1129"/>
      <c r="D953" s="1098"/>
      <c r="E953" s="1098"/>
      <c r="F953" s="1099"/>
      <c r="G953" s="1098"/>
      <c r="H953" s="1153"/>
      <c r="I953" s="1099"/>
    </row>
    <row r="954" spans="2:9">
      <c r="B954" s="1136"/>
      <c r="C954" s="1129"/>
      <c r="D954" s="1098"/>
      <c r="E954" s="1098"/>
      <c r="F954" s="1099"/>
      <c r="G954" s="1098"/>
      <c r="H954" s="1153"/>
      <c r="I954" s="1099"/>
    </row>
    <row r="955" spans="2:9">
      <c r="B955" s="1136"/>
      <c r="C955" s="1129"/>
      <c r="D955" s="1098"/>
      <c r="E955" s="1098"/>
      <c r="F955" s="1099"/>
      <c r="G955" s="1098"/>
      <c r="H955" s="1153"/>
      <c r="I955" s="1099"/>
    </row>
    <row r="956" spans="2:9">
      <c r="B956" s="1136"/>
      <c r="C956" s="1129"/>
      <c r="D956" s="1098"/>
      <c r="E956" s="1098"/>
      <c r="F956" s="1099"/>
      <c r="G956" s="1098"/>
      <c r="H956" s="1153"/>
      <c r="I956" s="1099"/>
    </row>
    <row r="957" spans="2:9">
      <c r="B957" s="1136"/>
      <c r="C957" s="1129"/>
      <c r="D957" s="1098"/>
      <c r="E957" s="1098"/>
      <c r="F957" s="1099"/>
      <c r="G957" s="1098"/>
      <c r="H957" s="1153"/>
      <c r="I957" s="1099"/>
    </row>
    <row r="958" spans="2:9">
      <c r="B958" s="1136"/>
      <c r="C958" s="1129"/>
      <c r="D958" s="1098"/>
      <c r="E958" s="1098"/>
      <c r="F958" s="1099"/>
      <c r="G958" s="1098"/>
      <c r="H958" s="1153"/>
      <c r="I958" s="1099"/>
    </row>
    <row r="959" spans="2:9">
      <c r="B959" s="1136"/>
      <c r="C959" s="1129"/>
      <c r="D959" s="1098"/>
      <c r="E959" s="1098"/>
      <c r="F959" s="1099"/>
      <c r="G959" s="1098"/>
      <c r="H959" s="1153"/>
      <c r="I959" s="1099"/>
    </row>
    <row r="960" spans="2:9">
      <c r="B960" s="1136"/>
      <c r="C960" s="1129"/>
      <c r="D960" s="1098"/>
      <c r="E960" s="1098"/>
      <c r="F960" s="1099"/>
      <c r="G960" s="1098"/>
      <c r="H960" s="1153"/>
      <c r="I960" s="1099"/>
    </row>
    <row r="961" spans="2:9">
      <c r="B961" s="1136"/>
      <c r="C961" s="1129"/>
      <c r="D961" s="1098"/>
      <c r="E961" s="1098"/>
      <c r="F961" s="1099"/>
      <c r="G961" s="1098"/>
      <c r="H961" s="1153"/>
      <c r="I961" s="1099"/>
    </row>
    <row r="962" spans="2:9">
      <c r="B962" s="1136"/>
      <c r="C962" s="1129"/>
      <c r="D962" s="1098"/>
      <c r="E962" s="1098"/>
      <c r="F962" s="1099"/>
      <c r="G962" s="1098"/>
      <c r="H962" s="1153"/>
      <c r="I962" s="1099"/>
    </row>
    <row r="963" spans="2:9">
      <c r="B963" s="1136"/>
      <c r="C963" s="1129"/>
      <c r="D963" s="1098"/>
      <c r="E963" s="1098"/>
      <c r="F963" s="1099"/>
      <c r="G963" s="1098"/>
      <c r="H963" s="1153"/>
      <c r="I963" s="1099"/>
    </row>
    <row r="964" spans="2:9">
      <c r="B964" s="1136"/>
      <c r="C964" s="1129"/>
      <c r="D964" s="1098"/>
      <c r="E964" s="1098"/>
      <c r="F964" s="1099"/>
      <c r="G964" s="1098"/>
      <c r="H964" s="1153"/>
      <c r="I964" s="1099"/>
    </row>
    <row r="965" spans="2:9">
      <c r="B965" s="1136"/>
      <c r="C965" s="1129"/>
      <c r="D965" s="1098"/>
      <c r="E965" s="1098"/>
      <c r="F965" s="1099"/>
      <c r="G965" s="1098"/>
      <c r="H965" s="1153"/>
      <c r="I965" s="1099"/>
    </row>
    <row r="966" spans="2:9">
      <c r="B966" s="1136"/>
      <c r="C966" s="1129"/>
      <c r="D966" s="1098"/>
      <c r="E966" s="1098"/>
      <c r="F966" s="1099"/>
      <c r="G966" s="1098"/>
      <c r="H966" s="1153"/>
      <c r="I966" s="1099"/>
    </row>
    <row r="967" spans="2:9">
      <c r="B967" s="1136"/>
      <c r="C967" s="1129"/>
      <c r="D967" s="1098"/>
      <c r="E967" s="1098"/>
      <c r="F967" s="1099"/>
      <c r="G967" s="1098"/>
      <c r="H967" s="1153"/>
      <c r="I967" s="1099"/>
    </row>
    <row r="968" spans="2:9">
      <c r="B968" s="1136"/>
      <c r="C968" s="1129"/>
      <c r="D968" s="1098"/>
      <c r="E968" s="1098"/>
      <c r="F968" s="1099"/>
      <c r="G968" s="1098"/>
      <c r="H968" s="1153"/>
      <c r="I968" s="1099"/>
    </row>
    <row r="969" spans="2:9">
      <c r="B969" s="1136"/>
      <c r="C969" s="1129"/>
      <c r="D969" s="1098"/>
      <c r="E969" s="1098"/>
      <c r="F969" s="1099"/>
      <c r="G969" s="1098"/>
      <c r="H969" s="1153"/>
      <c r="I969" s="1099"/>
    </row>
    <row r="970" spans="2:9">
      <c r="B970" s="1136"/>
      <c r="C970" s="1129"/>
      <c r="D970" s="1098"/>
      <c r="E970" s="1098"/>
      <c r="F970" s="1099"/>
      <c r="G970" s="1098"/>
      <c r="H970" s="1153"/>
      <c r="I970" s="1099"/>
    </row>
    <row r="971" spans="2:9">
      <c r="B971" s="1136"/>
      <c r="C971" s="1129"/>
      <c r="D971" s="1098"/>
      <c r="E971" s="1098"/>
      <c r="F971" s="1099"/>
      <c r="G971" s="1098"/>
      <c r="H971" s="1153"/>
      <c r="I971" s="1099"/>
    </row>
    <row r="972" spans="2:9">
      <c r="B972" s="1136"/>
      <c r="C972" s="1129"/>
      <c r="D972" s="1098"/>
      <c r="E972" s="1098"/>
      <c r="F972" s="1099"/>
      <c r="G972" s="1098"/>
      <c r="H972" s="1153"/>
      <c r="I972" s="1099"/>
    </row>
    <row r="973" spans="2:9">
      <c r="B973" s="1136"/>
      <c r="C973" s="1129"/>
      <c r="D973" s="1098"/>
      <c r="E973" s="1098"/>
      <c r="F973" s="1099"/>
      <c r="G973" s="1098"/>
      <c r="H973" s="1153"/>
      <c r="I973" s="1099"/>
    </row>
    <row r="974" spans="2:9">
      <c r="B974" s="1136"/>
      <c r="C974" s="1129"/>
      <c r="D974" s="1098"/>
      <c r="E974" s="1098"/>
      <c r="F974" s="1099"/>
      <c r="G974" s="1098"/>
      <c r="H974" s="1153"/>
      <c r="I974" s="1099"/>
    </row>
    <row r="975" spans="2:9">
      <c r="B975" s="1136"/>
      <c r="C975" s="1129"/>
      <c r="D975" s="1098"/>
      <c r="E975" s="1098"/>
      <c r="F975" s="1099"/>
      <c r="G975" s="1098"/>
      <c r="H975" s="1153"/>
      <c r="I975" s="1099"/>
    </row>
    <row r="976" spans="2:9">
      <c r="B976" s="1136"/>
      <c r="C976" s="1129"/>
      <c r="D976" s="1098"/>
      <c r="E976" s="1098"/>
      <c r="F976" s="1099"/>
      <c r="G976" s="1098"/>
      <c r="H976" s="1153"/>
      <c r="I976" s="1099"/>
    </row>
    <row r="977" spans="2:9">
      <c r="B977" s="1136"/>
      <c r="C977" s="1129"/>
      <c r="D977" s="1098"/>
      <c r="E977" s="1098"/>
      <c r="F977" s="1099"/>
      <c r="G977" s="1098"/>
      <c r="H977" s="1153"/>
      <c r="I977" s="1099"/>
    </row>
    <row r="978" spans="2:9">
      <c r="B978" s="1136"/>
      <c r="C978" s="1129"/>
      <c r="D978" s="1098"/>
      <c r="E978" s="1098"/>
      <c r="F978" s="1099"/>
      <c r="G978" s="1098"/>
      <c r="H978" s="1153"/>
      <c r="I978" s="1099"/>
    </row>
    <row r="979" spans="2:9">
      <c r="B979" s="1136"/>
      <c r="C979" s="1129"/>
      <c r="D979" s="1098"/>
      <c r="E979" s="1098"/>
      <c r="F979" s="1099"/>
      <c r="G979" s="1098"/>
      <c r="H979" s="1153"/>
      <c r="I979" s="1099"/>
    </row>
    <row r="980" spans="2:9">
      <c r="B980" s="1136"/>
      <c r="C980" s="1129"/>
      <c r="D980" s="1098"/>
      <c r="E980" s="1098"/>
      <c r="F980" s="1099"/>
      <c r="G980" s="1098"/>
      <c r="H980" s="1153"/>
      <c r="I980" s="1099"/>
    </row>
    <row r="981" spans="2:9">
      <c r="B981" s="1136"/>
      <c r="C981" s="1129"/>
      <c r="D981" s="1098"/>
      <c r="E981" s="1098"/>
      <c r="F981" s="1099"/>
      <c r="G981" s="1098"/>
      <c r="H981" s="1153"/>
      <c r="I981" s="1099"/>
    </row>
    <row r="982" spans="2:9">
      <c r="B982" s="1136"/>
      <c r="C982" s="1129"/>
      <c r="D982" s="1098"/>
      <c r="E982" s="1098"/>
      <c r="F982" s="1099"/>
      <c r="G982" s="1098"/>
      <c r="H982" s="1153"/>
      <c r="I982" s="1099"/>
    </row>
    <row r="983" spans="2:9">
      <c r="B983" s="1136"/>
      <c r="C983" s="1129"/>
      <c r="D983" s="1098"/>
      <c r="E983" s="1098"/>
      <c r="F983" s="1099"/>
      <c r="G983" s="1098"/>
      <c r="H983" s="1153"/>
      <c r="I983" s="1099"/>
    </row>
    <row r="984" spans="2:9">
      <c r="B984" s="1136"/>
      <c r="C984" s="1129"/>
      <c r="D984" s="1098"/>
      <c r="E984" s="1098"/>
      <c r="F984" s="1099"/>
      <c r="G984" s="1098"/>
      <c r="H984" s="1153"/>
      <c r="I984" s="1099"/>
    </row>
    <row r="985" spans="2:9">
      <c r="B985" s="1136"/>
      <c r="C985" s="1129"/>
      <c r="D985" s="1098"/>
      <c r="E985" s="1098"/>
      <c r="F985" s="1099"/>
      <c r="G985" s="1098"/>
      <c r="H985" s="1153"/>
      <c r="I985" s="1099"/>
    </row>
    <row r="986" spans="2:9">
      <c r="B986" s="1136"/>
      <c r="C986" s="1129"/>
      <c r="D986" s="1098"/>
      <c r="E986" s="1098"/>
      <c r="F986" s="1099"/>
      <c r="G986" s="1098"/>
      <c r="H986" s="1153"/>
      <c r="I986" s="1099"/>
    </row>
    <row r="987" spans="2:9">
      <c r="B987" s="1136"/>
      <c r="C987" s="1129"/>
      <c r="D987" s="1098"/>
      <c r="E987" s="1098"/>
      <c r="F987" s="1099"/>
      <c r="G987" s="1098"/>
      <c r="H987" s="1153"/>
      <c r="I987" s="1099"/>
    </row>
    <row r="988" spans="2:9">
      <c r="B988" s="1136"/>
      <c r="C988" s="1129"/>
      <c r="D988" s="1098"/>
      <c r="E988" s="1098"/>
      <c r="F988" s="1099"/>
      <c r="G988" s="1098"/>
      <c r="H988" s="1153"/>
      <c r="I988" s="1099"/>
    </row>
    <row r="989" spans="2:9">
      <c r="B989" s="1136"/>
      <c r="C989" s="1129"/>
      <c r="D989" s="1098"/>
      <c r="E989" s="1098"/>
      <c r="F989" s="1099"/>
      <c r="G989" s="1098"/>
      <c r="H989" s="1153"/>
      <c r="I989" s="1099"/>
    </row>
    <row r="990" spans="2:9">
      <c r="B990" s="1136"/>
      <c r="C990" s="1129"/>
      <c r="D990" s="1098"/>
      <c r="E990" s="1098"/>
      <c r="F990" s="1099"/>
      <c r="G990" s="1098"/>
      <c r="H990" s="1153"/>
      <c r="I990" s="1099"/>
    </row>
    <row r="991" spans="2:9">
      <c r="B991" s="1136"/>
      <c r="C991" s="1129"/>
      <c r="D991" s="1098"/>
      <c r="E991" s="1098"/>
      <c r="F991" s="1099"/>
      <c r="G991" s="1098"/>
      <c r="H991" s="1153"/>
      <c r="I991" s="1099"/>
    </row>
    <row r="992" spans="2:9">
      <c r="B992" s="1136"/>
      <c r="C992" s="1129"/>
      <c r="D992" s="1098"/>
      <c r="E992" s="1098"/>
      <c r="F992" s="1099"/>
      <c r="G992" s="1098"/>
      <c r="H992" s="1153"/>
      <c r="I992" s="1099"/>
    </row>
    <row r="993" spans="2:9">
      <c r="B993" s="1136"/>
      <c r="C993" s="1129"/>
      <c r="D993" s="1098"/>
      <c r="E993" s="1098"/>
      <c r="F993" s="1099"/>
      <c r="G993" s="1098"/>
      <c r="H993" s="1153"/>
      <c r="I993" s="1099"/>
    </row>
    <row r="994" spans="2:9">
      <c r="B994" s="1136"/>
      <c r="C994" s="1129"/>
      <c r="D994" s="1098"/>
      <c r="E994" s="1098"/>
      <c r="F994" s="1099"/>
      <c r="G994" s="1098"/>
      <c r="H994" s="1153"/>
      <c r="I994" s="1099"/>
    </row>
    <row r="995" spans="2:9">
      <c r="B995" s="1136"/>
      <c r="C995" s="1129"/>
      <c r="D995" s="1098"/>
      <c r="E995" s="1098"/>
      <c r="F995" s="1099"/>
      <c r="G995" s="1098"/>
      <c r="H995" s="1153"/>
      <c r="I995" s="1099"/>
    </row>
    <row r="996" spans="2:9">
      <c r="B996" s="1136"/>
      <c r="C996" s="1129"/>
      <c r="D996" s="1098"/>
      <c r="E996" s="1098"/>
      <c r="F996" s="1099"/>
      <c r="G996" s="1098"/>
      <c r="H996" s="1153"/>
      <c r="I996" s="1099"/>
    </row>
    <row r="997" spans="2:9">
      <c r="B997" s="1136"/>
      <c r="C997" s="1129"/>
      <c r="D997" s="1098"/>
      <c r="E997" s="1098"/>
      <c r="F997" s="1099"/>
      <c r="G997" s="1098"/>
      <c r="H997" s="1153"/>
      <c r="I997" s="1099"/>
    </row>
    <row r="998" spans="2:9">
      <c r="B998" s="1136"/>
      <c r="C998" s="1129"/>
      <c r="D998" s="1098"/>
      <c r="E998" s="1098"/>
      <c r="F998" s="1099"/>
      <c r="G998" s="1098"/>
      <c r="H998" s="1153"/>
      <c r="I998" s="1099"/>
    </row>
    <row r="999" spans="2:9">
      <c r="B999" s="1136"/>
      <c r="C999" s="1129"/>
      <c r="D999" s="1098"/>
      <c r="E999" s="1098"/>
      <c r="F999" s="1099"/>
      <c r="G999" s="1098"/>
      <c r="H999" s="1153"/>
      <c r="I999" s="1099"/>
    </row>
    <row r="1000" spans="2:9">
      <c r="B1000" s="1136"/>
      <c r="C1000" s="1129"/>
      <c r="D1000" s="1098"/>
      <c r="E1000" s="1098"/>
      <c r="F1000" s="1099"/>
      <c r="G1000" s="1098"/>
      <c r="H1000" s="1153"/>
      <c r="I1000" s="1099"/>
    </row>
    <row r="1001" spans="2:9">
      <c r="B1001" s="1136"/>
      <c r="C1001" s="1129"/>
      <c r="D1001" s="1098"/>
      <c r="E1001" s="1098"/>
      <c r="F1001" s="1099"/>
      <c r="G1001" s="1098"/>
      <c r="H1001" s="1153"/>
      <c r="I1001" s="1099"/>
    </row>
    <row r="1002" spans="2:9">
      <c r="B1002" s="1136"/>
      <c r="C1002" s="1129"/>
      <c r="D1002" s="1098"/>
      <c r="E1002" s="1098"/>
      <c r="F1002" s="1099"/>
      <c r="G1002" s="1098"/>
      <c r="H1002" s="1153"/>
      <c r="I1002" s="1099"/>
    </row>
    <row r="1003" spans="2:9">
      <c r="B1003" s="1136"/>
      <c r="C1003" s="1129"/>
      <c r="D1003" s="1098"/>
      <c r="E1003" s="1098"/>
      <c r="F1003" s="1099"/>
      <c r="G1003" s="1098"/>
      <c r="H1003" s="1153"/>
      <c r="I1003" s="1099"/>
    </row>
    <row r="1004" spans="2:9">
      <c r="B1004" s="1136"/>
      <c r="C1004" s="1129"/>
      <c r="D1004" s="1098"/>
      <c r="E1004" s="1098"/>
      <c r="F1004" s="1099"/>
      <c r="G1004" s="1098"/>
      <c r="H1004" s="1153"/>
      <c r="I1004" s="1099"/>
    </row>
    <row r="1005" spans="2:9">
      <c r="B1005" s="1136"/>
      <c r="C1005" s="1129"/>
      <c r="D1005" s="1098"/>
      <c r="E1005" s="1098"/>
      <c r="F1005" s="1099"/>
      <c r="G1005" s="1098"/>
      <c r="H1005" s="1153"/>
      <c r="I1005" s="1099"/>
    </row>
    <row r="1006" spans="2:9">
      <c r="B1006" s="1136"/>
      <c r="C1006" s="1129"/>
      <c r="D1006" s="1098"/>
      <c r="E1006" s="1098"/>
      <c r="F1006" s="1099"/>
      <c r="G1006" s="1098"/>
      <c r="H1006" s="1153"/>
      <c r="I1006" s="1099"/>
    </row>
    <row r="1007" spans="2:9">
      <c r="B1007" s="1136"/>
      <c r="C1007" s="1129"/>
      <c r="D1007" s="1098"/>
      <c r="E1007" s="1098"/>
      <c r="F1007" s="1099"/>
      <c r="G1007" s="1098"/>
      <c r="H1007" s="1153"/>
      <c r="I1007" s="1099"/>
    </row>
    <row r="1008" spans="2:9">
      <c r="B1008" s="1136"/>
      <c r="C1008" s="1129"/>
      <c r="D1008" s="1098"/>
      <c r="E1008" s="1098"/>
      <c r="F1008" s="1099"/>
      <c r="G1008" s="1098"/>
      <c r="H1008" s="1153"/>
      <c r="I1008" s="1099"/>
    </row>
    <row r="1009" spans="2:9">
      <c r="B1009" s="1136"/>
      <c r="C1009" s="1129"/>
      <c r="D1009" s="1098"/>
      <c r="E1009" s="1098"/>
      <c r="F1009" s="1099"/>
      <c r="G1009" s="1098"/>
      <c r="H1009" s="1153"/>
      <c r="I1009" s="1099"/>
    </row>
    <row r="1010" spans="2:9">
      <c r="B1010" s="1136"/>
      <c r="C1010" s="1129"/>
      <c r="D1010" s="1098"/>
      <c r="E1010" s="1098"/>
      <c r="F1010" s="1099"/>
      <c r="G1010" s="1098"/>
      <c r="H1010" s="1153"/>
      <c r="I1010" s="1099"/>
    </row>
    <row r="1011" spans="2:9">
      <c r="B1011" s="1136"/>
      <c r="C1011" s="1129"/>
      <c r="D1011" s="1098"/>
      <c r="E1011" s="1098"/>
      <c r="F1011" s="1099"/>
      <c r="G1011" s="1098"/>
      <c r="H1011" s="1153"/>
      <c r="I1011" s="1099"/>
    </row>
    <row r="1012" spans="2:9">
      <c r="B1012" s="1136"/>
      <c r="C1012" s="1129"/>
      <c r="D1012" s="1098"/>
      <c r="E1012" s="1098"/>
      <c r="F1012" s="1099"/>
      <c r="G1012" s="1098"/>
      <c r="H1012" s="1153"/>
      <c r="I1012" s="1099"/>
    </row>
    <row r="1013" spans="2:9">
      <c r="B1013" s="1136"/>
      <c r="C1013" s="1129"/>
      <c r="D1013" s="1098"/>
      <c r="E1013" s="1098"/>
      <c r="F1013" s="1099"/>
      <c r="G1013" s="1098"/>
      <c r="H1013" s="1153"/>
      <c r="I1013" s="1099"/>
    </row>
    <row r="1014" spans="2:9">
      <c r="B1014" s="1136"/>
      <c r="C1014" s="1129"/>
      <c r="D1014" s="1098"/>
      <c r="E1014" s="1098"/>
      <c r="F1014" s="1099"/>
      <c r="G1014" s="1098"/>
      <c r="H1014" s="1153"/>
      <c r="I1014" s="1099"/>
    </row>
    <row r="1015" spans="2:9">
      <c r="B1015" s="1136"/>
      <c r="C1015" s="1129"/>
      <c r="D1015" s="1098"/>
      <c r="E1015" s="1098"/>
      <c r="F1015" s="1099"/>
      <c r="G1015" s="1098"/>
      <c r="H1015" s="1153"/>
      <c r="I1015" s="1099"/>
    </row>
    <row r="1016" spans="2:9">
      <c r="B1016" s="1136"/>
      <c r="C1016" s="1129"/>
      <c r="D1016" s="1098"/>
      <c r="E1016" s="1098"/>
      <c r="F1016" s="1099"/>
      <c r="G1016" s="1098"/>
      <c r="H1016" s="1153"/>
      <c r="I1016" s="1099"/>
    </row>
    <row r="1017" spans="2:9">
      <c r="B1017" s="1136"/>
      <c r="C1017" s="1129"/>
      <c r="D1017" s="1098"/>
      <c r="E1017" s="1098"/>
      <c r="F1017" s="1099"/>
      <c r="G1017" s="1098"/>
      <c r="H1017" s="1153"/>
      <c r="I1017" s="1099"/>
    </row>
    <row r="1018" spans="2:9">
      <c r="B1018" s="1136"/>
      <c r="C1018" s="1129"/>
      <c r="D1018" s="1098"/>
      <c r="E1018" s="1098"/>
      <c r="F1018" s="1099"/>
      <c r="G1018" s="1098"/>
      <c r="H1018" s="1153"/>
      <c r="I1018" s="1099"/>
    </row>
    <row r="1019" spans="2:9">
      <c r="B1019" s="1136"/>
      <c r="C1019" s="1129"/>
      <c r="D1019" s="1098"/>
      <c r="E1019" s="1098"/>
      <c r="F1019" s="1099"/>
      <c r="G1019" s="1098"/>
      <c r="H1019" s="1153"/>
      <c r="I1019" s="1099"/>
    </row>
    <row r="1020" spans="2:9">
      <c r="B1020" s="1136"/>
      <c r="C1020" s="1129"/>
      <c r="D1020" s="1098"/>
      <c r="E1020" s="1098"/>
      <c r="F1020" s="1099"/>
      <c r="G1020" s="1098"/>
      <c r="H1020" s="1153"/>
      <c r="I1020" s="1099"/>
    </row>
    <row r="1021" spans="2:9">
      <c r="B1021" s="1136"/>
      <c r="C1021" s="1129"/>
      <c r="D1021" s="1098"/>
      <c r="E1021" s="1098"/>
      <c r="F1021" s="1099"/>
      <c r="G1021" s="1098"/>
      <c r="H1021" s="1153"/>
      <c r="I1021" s="1099"/>
    </row>
    <row r="1022" spans="2:9">
      <c r="B1022" s="1136"/>
      <c r="C1022" s="1129"/>
      <c r="D1022" s="1098"/>
      <c r="E1022" s="1098"/>
      <c r="F1022" s="1099"/>
      <c r="G1022" s="1098"/>
      <c r="H1022" s="1153"/>
      <c r="I1022" s="1099"/>
    </row>
    <row r="1023" spans="2:9">
      <c r="B1023" s="1136"/>
      <c r="C1023" s="1129"/>
      <c r="D1023" s="1098"/>
      <c r="E1023" s="1098"/>
      <c r="F1023" s="1099"/>
      <c r="G1023" s="1098"/>
      <c r="H1023" s="1153"/>
      <c r="I1023" s="1099"/>
    </row>
    <row r="1024" spans="2:9">
      <c r="B1024" s="1136"/>
      <c r="C1024" s="1129"/>
      <c r="D1024" s="1098"/>
      <c r="E1024" s="1098"/>
      <c r="F1024" s="1099"/>
      <c r="G1024" s="1098"/>
      <c r="H1024" s="1153"/>
      <c r="I1024" s="1099"/>
    </row>
    <row r="1025" spans="2:9">
      <c r="B1025" s="1136"/>
      <c r="C1025" s="1129"/>
      <c r="D1025" s="1098"/>
      <c r="E1025" s="1098"/>
      <c r="F1025" s="1099"/>
      <c r="G1025" s="1098"/>
      <c r="H1025" s="1153"/>
      <c r="I1025" s="1099"/>
    </row>
    <row r="1026" spans="2:9">
      <c r="B1026" s="1136"/>
      <c r="C1026" s="1129"/>
      <c r="D1026" s="1098"/>
      <c r="E1026" s="1098"/>
      <c r="F1026" s="1099"/>
      <c r="G1026" s="1098"/>
      <c r="H1026" s="1153"/>
      <c r="I1026" s="1099"/>
    </row>
    <row r="1027" spans="2:9">
      <c r="B1027" s="1136"/>
      <c r="C1027" s="1129"/>
      <c r="D1027" s="1098"/>
      <c r="E1027" s="1098"/>
      <c r="F1027" s="1099"/>
      <c r="G1027" s="1098"/>
      <c r="H1027" s="1153"/>
      <c r="I1027" s="1099"/>
    </row>
    <row r="1028" spans="2:9">
      <c r="B1028" s="1136"/>
      <c r="C1028" s="1129"/>
      <c r="D1028" s="1098"/>
      <c r="E1028" s="1098"/>
      <c r="F1028" s="1099"/>
      <c r="G1028" s="1098"/>
      <c r="H1028" s="1153"/>
      <c r="I1028" s="1099"/>
    </row>
    <row r="1029" spans="2:9">
      <c r="B1029" s="1136"/>
      <c r="C1029" s="1129"/>
      <c r="D1029" s="1098"/>
      <c r="E1029" s="1098"/>
      <c r="F1029" s="1099"/>
      <c r="G1029" s="1098"/>
      <c r="H1029" s="1153"/>
      <c r="I1029" s="1099"/>
    </row>
    <row r="1030" spans="2:9">
      <c r="B1030" s="1136"/>
      <c r="C1030" s="1129"/>
      <c r="D1030" s="1098"/>
      <c r="E1030" s="1098"/>
      <c r="F1030" s="1099"/>
      <c r="G1030" s="1098"/>
      <c r="H1030" s="1153"/>
      <c r="I1030" s="1099"/>
    </row>
    <row r="1031" spans="2:9">
      <c r="B1031" s="1136"/>
      <c r="C1031" s="1129"/>
      <c r="D1031" s="1098"/>
      <c r="E1031" s="1098"/>
      <c r="F1031" s="1099"/>
      <c r="G1031" s="1098"/>
      <c r="H1031" s="1153"/>
      <c r="I1031" s="1099"/>
    </row>
    <row r="1032" spans="2:9">
      <c r="B1032" s="1136"/>
      <c r="C1032" s="1129"/>
      <c r="D1032" s="1098"/>
      <c r="E1032" s="1098"/>
      <c r="F1032" s="1099"/>
      <c r="G1032" s="1098"/>
      <c r="H1032" s="1153"/>
      <c r="I1032" s="1099"/>
    </row>
    <row r="1033" spans="2:9">
      <c r="B1033" s="1136"/>
      <c r="C1033" s="1129"/>
      <c r="D1033" s="1098"/>
      <c r="E1033" s="1098"/>
      <c r="F1033" s="1099"/>
      <c r="G1033" s="1098"/>
      <c r="H1033" s="1153"/>
      <c r="I1033" s="1099"/>
    </row>
    <row r="1034" spans="2:9">
      <c r="B1034" s="1136"/>
      <c r="C1034" s="1129"/>
      <c r="D1034" s="1098"/>
      <c r="E1034" s="1098"/>
      <c r="F1034" s="1099"/>
      <c r="G1034" s="1098"/>
      <c r="H1034" s="1153"/>
      <c r="I1034" s="1099"/>
    </row>
    <row r="1035" spans="2:9">
      <c r="B1035" s="1136"/>
      <c r="C1035" s="1129"/>
      <c r="D1035" s="1098"/>
      <c r="E1035" s="1098"/>
      <c r="F1035" s="1099"/>
      <c r="G1035" s="1098"/>
      <c r="H1035" s="1153"/>
      <c r="I1035" s="1099"/>
    </row>
    <row r="1036" spans="2:9">
      <c r="B1036" s="1136"/>
      <c r="C1036" s="1129"/>
      <c r="D1036" s="1098"/>
      <c r="E1036" s="1098"/>
      <c r="F1036" s="1099"/>
      <c r="G1036" s="1098"/>
      <c r="H1036" s="1153"/>
      <c r="I1036" s="1099"/>
    </row>
    <row r="1037" spans="2:9">
      <c r="B1037" s="1136"/>
      <c r="C1037" s="1129"/>
      <c r="D1037" s="1098"/>
      <c r="E1037" s="1098"/>
      <c r="F1037" s="1099"/>
      <c r="G1037" s="1098"/>
      <c r="H1037" s="1153"/>
      <c r="I1037" s="1099"/>
    </row>
    <row r="1038" spans="2:9">
      <c r="B1038" s="1136"/>
      <c r="C1038" s="1129"/>
      <c r="D1038" s="1098"/>
      <c r="E1038" s="1098"/>
      <c r="F1038" s="1099"/>
      <c r="G1038" s="1098"/>
      <c r="H1038" s="1153"/>
      <c r="I1038" s="1099"/>
    </row>
    <row r="1039" spans="2:9">
      <c r="B1039" s="1136"/>
      <c r="C1039" s="1129"/>
      <c r="D1039" s="1098"/>
      <c r="E1039" s="1098"/>
      <c r="F1039" s="1099"/>
      <c r="G1039" s="1098"/>
      <c r="H1039" s="1153"/>
      <c r="I1039" s="1099"/>
    </row>
    <row r="1040" spans="2:9">
      <c r="B1040" s="1136"/>
      <c r="C1040" s="1129"/>
      <c r="D1040" s="1098"/>
      <c r="E1040" s="1098"/>
      <c r="F1040" s="1099"/>
      <c r="G1040" s="1098"/>
      <c r="H1040" s="1153"/>
      <c r="I1040" s="1099"/>
    </row>
    <row r="1041" spans="2:9">
      <c r="B1041" s="1136"/>
      <c r="C1041" s="1129"/>
      <c r="D1041" s="1098"/>
      <c r="E1041" s="1098"/>
      <c r="F1041" s="1099"/>
      <c r="G1041" s="1098"/>
      <c r="H1041" s="1153"/>
      <c r="I1041" s="1099"/>
    </row>
    <row r="1042" spans="2:9">
      <c r="B1042" s="1136"/>
      <c r="C1042" s="1129"/>
      <c r="D1042" s="1098"/>
      <c r="E1042" s="1098"/>
      <c r="F1042" s="1099"/>
      <c r="G1042" s="1098"/>
      <c r="H1042" s="1153"/>
      <c r="I1042" s="1099"/>
    </row>
    <row r="1043" spans="2:9">
      <c r="B1043" s="1136"/>
      <c r="C1043" s="1129"/>
      <c r="D1043" s="1098"/>
      <c r="E1043" s="1098"/>
      <c r="F1043" s="1099"/>
      <c r="G1043" s="1098"/>
      <c r="H1043" s="1153"/>
      <c r="I1043" s="1099"/>
    </row>
    <row r="1044" spans="2:9">
      <c r="B1044" s="1136"/>
      <c r="C1044" s="1129"/>
      <c r="D1044" s="1098"/>
      <c r="E1044" s="1098"/>
      <c r="F1044" s="1099"/>
      <c r="G1044" s="1098"/>
      <c r="H1044" s="1153"/>
      <c r="I1044" s="1099"/>
    </row>
    <row r="1045" spans="2:9">
      <c r="B1045" s="1136"/>
      <c r="C1045" s="1129"/>
      <c r="D1045" s="1098"/>
      <c r="E1045" s="1098"/>
      <c r="F1045" s="1099"/>
      <c r="G1045" s="1098"/>
      <c r="H1045" s="1153"/>
      <c r="I1045" s="1099"/>
    </row>
    <row r="1046" spans="2:9">
      <c r="B1046" s="1136"/>
      <c r="C1046" s="1129"/>
      <c r="D1046" s="1098"/>
      <c r="E1046" s="1098"/>
      <c r="F1046" s="1099"/>
      <c r="G1046" s="1098"/>
      <c r="H1046" s="1153"/>
      <c r="I1046" s="1099"/>
    </row>
    <row r="1047" spans="2:9">
      <c r="B1047" s="1136"/>
      <c r="C1047" s="1129"/>
      <c r="D1047" s="1098"/>
      <c r="E1047" s="1098"/>
      <c r="F1047" s="1099"/>
      <c r="G1047" s="1098"/>
      <c r="H1047" s="1153"/>
      <c r="I1047" s="1099"/>
    </row>
    <row r="1048" spans="2:9">
      <c r="B1048" s="1136"/>
      <c r="C1048" s="1129"/>
      <c r="D1048" s="1098"/>
      <c r="E1048" s="1098"/>
      <c r="F1048" s="1099"/>
      <c r="G1048" s="1098"/>
      <c r="H1048" s="1153"/>
      <c r="I1048" s="1099"/>
    </row>
    <row r="1049" spans="2:9">
      <c r="B1049" s="1136"/>
      <c r="C1049" s="1129"/>
      <c r="D1049" s="1098"/>
      <c r="E1049" s="1098"/>
      <c r="F1049" s="1099"/>
      <c r="G1049" s="1098"/>
      <c r="H1049" s="1153"/>
      <c r="I1049" s="1099"/>
    </row>
    <row r="1050" spans="2:9">
      <c r="B1050" s="1136"/>
      <c r="C1050" s="1129"/>
      <c r="D1050" s="1098"/>
      <c r="E1050" s="1098"/>
      <c r="F1050" s="1099"/>
      <c r="G1050" s="1098"/>
      <c r="H1050" s="1153"/>
      <c r="I1050" s="1099"/>
    </row>
    <row r="1051" spans="2:9">
      <c r="B1051" s="1136"/>
      <c r="C1051" s="1129"/>
      <c r="D1051" s="1098"/>
      <c r="E1051" s="1098"/>
      <c r="F1051" s="1099"/>
      <c r="G1051" s="1098"/>
      <c r="H1051" s="1153"/>
      <c r="I1051" s="1099"/>
    </row>
    <row r="1052" spans="2:9">
      <c r="B1052" s="1136"/>
      <c r="C1052" s="1129"/>
      <c r="D1052" s="1098"/>
      <c r="E1052" s="1098"/>
      <c r="F1052" s="1099"/>
      <c r="G1052" s="1098"/>
      <c r="H1052" s="1153"/>
      <c r="I1052" s="1099"/>
    </row>
    <row r="1053" spans="2:9">
      <c r="B1053" s="1136"/>
      <c r="C1053" s="1129"/>
      <c r="D1053" s="1098"/>
      <c r="E1053" s="1098"/>
      <c r="F1053" s="1099"/>
      <c r="G1053" s="1098"/>
      <c r="H1053" s="1153"/>
      <c r="I1053" s="1099"/>
    </row>
    <row r="1054" spans="2:9">
      <c r="B1054" s="1136"/>
      <c r="C1054" s="1129"/>
      <c r="D1054" s="1098"/>
      <c r="E1054" s="1098"/>
      <c r="F1054" s="1099"/>
      <c r="G1054" s="1098"/>
      <c r="H1054" s="1153"/>
      <c r="I1054" s="1099"/>
    </row>
    <row r="1055" spans="2:9">
      <c r="B1055" s="1136"/>
      <c r="C1055" s="1129"/>
      <c r="D1055" s="1098"/>
      <c r="E1055" s="1098"/>
      <c r="F1055" s="1099"/>
      <c r="G1055" s="1098"/>
      <c r="H1055" s="1153"/>
      <c r="I1055" s="1099"/>
    </row>
    <row r="1056" spans="2:9">
      <c r="B1056" s="1136"/>
      <c r="C1056" s="1129"/>
      <c r="D1056" s="1098"/>
      <c r="E1056" s="1098"/>
      <c r="F1056" s="1099"/>
      <c r="G1056" s="1098"/>
      <c r="H1056" s="1153"/>
      <c r="I1056" s="1099"/>
    </row>
    <row r="1057" spans="2:9">
      <c r="B1057" s="1136"/>
      <c r="C1057" s="1129"/>
      <c r="D1057" s="1098"/>
      <c r="E1057" s="1098"/>
      <c r="F1057" s="1099"/>
      <c r="G1057" s="1098"/>
      <c r="H1057" s="1153"/>
      <c r="I1057" s="1099"/>
    </row>
    <row r="1058" spans="2:9">
      <c r="B1058" s="1136"/>
      <c r="C1058" s="1129"/>
      <c r="D1058" s="1098"/>
      <c r="E1058" s="1098"/>
      <c r="F1058" s="1099"/>
      <c r="G1058" s="1098"/>
      <c r="H1058" s="1153"/>
      <c r="I1058" s="1099"/>
    </row>
    <row r="1059" spans="2:9">
      <c r="B1059" s="1136"/>
      <c r="C1059" s="1129"/>
      <c r="D1059" s="1098"/>
      <c r="E1059" s="1098"/>
      <c r="F1059" s="1099"/>
      <c r="G1059" s="1098"/>
      <c r="H1059" s="1153"/>
      <c r="I1059" s="1099"/>
    </row>
    <row r="1060" spans="2:9">
      <c r="B1060" s="1136"/>
      <c r="C1060" s="1129"/>
      <c r="D1060" s="1098"/>
      <c r="E1060" s="1098"/>
      <c r="F1060" s="1099"/>
      <c r="G1060" s="1098"/>
      <c r="H1060" s="1153"/>
      <c r="I1060" s="1099"/>
    </row>
    <row r="1061" spans="2:9">
      <c r="B1061" s="1136"/>
      <c r="C1061" s="1129"/>
      <c r="D1061" s="1098"/>
      <c r="E1061" s="1098"/>
      <c r="F1061" s="1099"/>
      <c r="G1061" s="1098"/>
      <c r="H1061" s="1153"/>
      <c r="I1061" s="1099"/>
    </row>
    <row r="1062" spans="2:9">
      <c r="B1062" s="1136"/>
      <c r="C1062" s="1129"/>
      <c r="D1062" s="1098"/>
      <c r="E1062" s="1098"/>
      <c r="F1062" s="1099"/>
      <c r="G1062" s="1098"/>
      <c r="H1062" s="1153"/>
      <c r="I1062" s="1099"/>
    </row>
    <row r="1063" spans="2:9">
      <c r="B1063" s="1136"/>
      <c r="C1063" s="1129"/>
      <c r="D1063" s="1098"/>
      <c r="E1063" s="1098"/>
      <c r="F1063" s="1099"/>
      <c r="G1063" s="1098"/>
      <c r="H1063" s="1153"/>
      <c r="I1063" s="1099"/>
    </row>
    <row r="1064" spans="2:9">
      <c r="B1064" s="1136"/>
      <c r="C1064" s="1129"/>
      <c r="D1064" s="1098"/>
      <c r="E1064" s="1098"/>
      <c r="F1064" s="1099"/>
      <c r="G1064" s="1098"/>
      <c r="H1064" s="1153"/>
      <c r="I1064" s="1099"/>
    </row>
    <row r="1065" spans="2:9">
      <c r="B1065" s="1136"/>
      <c r="C1065" s="1129"/>
      <c r="D1065" s="1098"/>
      <c r="E1065" s="1098"/>
      <c r="F1065" s="1099"/>
      <c r="G1065" s="1098"/>
      <c r="H1065" s="1153"/>
      <c r="I1065" s="1099"/>
    </row>
    <row r="1066" spans="2:9">
      <c r="B1066" s="1136"/>
      <c r="C1066" s="1129"/>
      <c r="D1066" s="1098"/>
      <c r="E1066" s="1098"/>
      <c r="F1066" s="1099"/>
      <c r="G1066" s="1098"/>
      <c r="H1066" s="1153"/>
      <c r="I1066" s="1099"/>
    </row>
    <row r="1067" spans="2:9">
      <c r="B1067" s="1136"/>
      <c r="C1067" s="1129"/>
      <c r="D1067" s="1098"/>
      <c r="E1067" s="1098"/>
      <c r="F1067" s="1099"/>
      <c r="G1067" s="1098"/>
      <c r="H1067" s="1153"/>
      <c r="I1067" s="1099"/>
    </row>
    <row r="1068" spans="2:9">
      <c r="B1068" s="1136"/>
      <c r="C1068" s="1129"/>
      <c r="D1068" s="1098"/>
      <c r="E1068" s="1098"/>
      <c r="F1068" s="1099"/>
      <c r="G1068" s="1098"/>
      <c r="H1068" s="1153"/>
      <c r="I1068" s="1099"/>
    </row>
    <row r="1069" spans="2:9">
      <c r="B1069" s="1136"/>
      <c r="C1069" s="1129"/>
      <c r="D1069" s="1098"/>
      <c r="E1069" s="1098"/>
      <c r="F1069" s="1099"/>
      <c r="G1069" s="1098"/>
      <c r="H1069" s="1153"/>
      <c r="I1069" s="1099"/>
    </row>
    <row r="1070" spans="2:9">
      <c r="B1070" s="1136"/>
      <c r="C1070" s="1129"/>
      <c r="D1070" s="1098"/>
      <c r="E1070" s="1098"/>
      <c r="F1070" s="1099"/>
      <c r="G1070" s="1098"/>
      <c r="H1070" s="1153"/>
      <c r="I1070" s="1099"/>
    </row>
    <row r="1071" spans="2:9">
      <c r="B1071" s="1136"/>
      <c r="C1071" s="1129"/>
      <c r="D1071" s="1098"/>
      <c r="E1071" s="1098"/>
      <c r="F1071" s="1099"/>
      <c r="G1071" s="1098"/>
      <c r="H1071" s="1153"/>
      <c r="I1071" s="1099"/>
    </row>
    <row r="1072" spans="2:9">
      <c r="B1072" s="1136"/>
      <c r="C1072" s="1129"/>
      <c r="D1072" s="1098"/>
      <c r="E1072" s="1098"/>
      <c r="F1072" s="1099"/>
      <c r="G1072" s="1098"/>
      <c r="H1072" s="1153"/>
      <c r="I1072" s="1099"/>
    </row>
    <row r="1073" spans="2:9">
      <c r="B1073" s="1136"/>
      <c r="C1073" s="1129"/>
      <c r="D1073" s="1098"/>
      <c r="E1073" s="1098"/>
      <c r="F1073" s="1099"/>
      <c r="G1073" s="1098"/>
      <c r="H1073" s="1153"/>
      <c r="I1073" s="1099"/>
    </row>
    <row r="1074" spans="2:9">
      <c r="B1074" s="1136"/>
      <c r="C1074" s="1129"/>
      <c r="D1074" s="1098"/>
      <c r="E1074" s="1098"/>
      <c r="F1074" s="1099"/>
      <c r="G1074" s="1098"/>
      <c r="H1074" s="1153"/>
      <c r="I1074" s="1099"/>
    </row>
    <row r="1075" spans="2:9">
      <c r="B1075" s="1136"/>
      <c r="C1075" s="1129"/>
      <c r="D1075" s="1098"/>
      <c r="E1075" s="1098"/>
      <c r="F1075" s="1099"/>
      <c r="G1075" s="1098"/>
      <c r="H1075" s="1153"/>
      <c r="I1075" s="1099"/>
    </row>
    <row r="1076" spans="2:9">
      <c r="B1076" s="1136"/>
      <c r="C1076" s="1129"/>
      <c r="D1076" s="1098"/>
      <c r="E1076" s="1098"/>
      <c r="F1076" s="1099"/>
      <c r="G1076" s="1098"/>
      <c r="H1076" s="1153"/>
      <c r="I1076" s="1099"/>
    </row>
    <row r="1077" spans="2:9">
      <c r="B1077" s="1136"/>
      <c r="C1077" s="1129"/>
      <c r="D1077" s="1098"/>
      <c r="E1077" s="1098"/>
      <c r="F1077" s="1099"/>
      <c r="G1077" s="1098"/>
      <c r="H1077" s="1153"/>
      <c r="I1077" s="1099"/>
    </row>
    <row r="1078" spans="2:9">
      <c r="B1078" s="1136"/>
      <c r="C1078" s="1129"/>
      <c r="D1078" s="1098"/>
      <c r="E1078" s="1098"/>
      <c r="F1078" s="1099"/>
      <c r="G1078" s="1098"/>
      <c r="H1078" s="1153"/>
      <c r="I1078" s="1099"/>
    </row>
    <row r="1079" spans="2:9">
      <c r="B1079" s="1136"/>
      <c r="C1079" s="1129"/>
      <c r="D1079" s="1098"/>
      <c r="E1079" s="1098"/>
      <c r="F1079" s="1099"/>
      <c r="G1079" s="1098"/>
      <c r="H1079" s="1153"/>
      <c r="I1079" s="1099"/>
    </row>
    <row r="1080" spans="2:9">
      <c r="B1080" s="1136"/>
      <c r="C1080" s="1129"/>
      <c r="D1080" s="1098"/>
      <c r="E1080" s="1098"/>
      <c r="F1080" s="1099"/>
      <c r="G1080" s="1098"/>
      <c r="H1080" s="1153"/>
      <c r="I1080" s="1099"/>
    </row>
    <row r="1081" spans="2:9">
      <c r="B1081" s="1136"/>
      <c r="C1081" s="1129"/>
      <c r="D1081" s="1098"/>
      <c r="E1081" s="1098"/>
      <c r="F1081" s="1099"/>
      <c r="G1081" s="1098"/>
      <c r="H1081" s="1153"/>
      <c r="I1081" s="1099"/>
    </row>
    <row r="1082" spans="2:9">
      <c r="B1082" s="1136"/>
      <c r="C1082" s="1129"/>
      <c r="D1082" s="1098"/>
      <c r="E1082" s="1098"/>
      <c r="F1082" s="1099"/>
      <c r="G1082" s="1098"/>
      <c r="H1082" s="1153"/>
      <c r="I1082" s="1099"/>
    </row>
    <row r="1083" spans="2:9">
      <c r="B1083" s="1136"/>
      <c r="C1083" s="1129"/>
      <c r="D1083" s="1098"/>
      <c r="E1083" s="1098"/>
      <c r="F1083" s="1099"/>
      <c r="G1083" s="1098"/>
      <c r="H1083" s="1153"/>
      <c r="I1083" s="1099"/>
    </row>
    <row r="1084" spans="2:9">
      <c r="B1084" s="1136"/>
      <c r="C1084" s="1129"/>
      <c r="D1084" s="1098"/>
      <c r="E1084" s="1098"/>
      <c r="F1084" s="1099"/>
      <c r="G1084" s="1098"/>
      <c r="H1084" s="1153"/>
      <c r="I1084" s="1099"/>
    </row>
    <row r="1085" spans="2:9">
      <c r="B1085" s="1136"/>
      <c r="C1085" s="1129"/>
      <c r="D1085" s="1098"/>
      <c r="E1085" s="1098"/>
      <c r="F1085" s="1099"/>
      <c r="G1085" s="1098"/>
      <c r="H1085" s="1153"/>
      <c r="I1085" s="1099"/>
    </row>
    <row r="1086" spans="2:9">
      <c r="B1086" s="1136"/>
      <c r="C1086" s="1129"/>
      <c r="D1086" s="1098"/>
      <c r="E1086" s="1098"/>
      <c r="F1086" s="1099"/>
      <c r="G1086" s="1098"/>
      <c r="H1086" s="1153"/>
      <c r="I1086" s="1099"/>
    </row>
    <row r="1087" spans="2:9">
      <c r="B1087" s="1136"/>
      <c r="C1087" s="1129"/>
      <c r="D1087" s="1098"/>
      <c r="E1087" s="1098"/>
      <c r="F1087" s="1099"/>
      <c r="G1087" s="1098"/>
      <c r="H1087" s="1153"/>
      <c r="I1087" s="1099"/>
    </row>
    <row r="1088" spans="2:9">
      <c r="B1088" s="1136"/>
      <c r="C1088" s="1129"/>
      <c r="D1088" s="1098"/>
      <c r="E1088" s="1098"/>
      <c r="F1088" s="1099"/>
      <c r="G1088" s="1098"/>
      <c r="H1088" s="1153"/>
      <c r="I1088" s="1099"/>
    </row>
    <row r="1089" spans="2:9">
      <c r="B1089" s="1136"/>
      <c r="C1089" s="1129"/>
      <c r="D1089" s="1098"/>
      <c r="E1089" s="1098"/>
      <c r="F1089" s="1099"/>
      <c r="G1089" s="1098"/>
      <c r="H1089" s="1153"/>
      <c r="I1089" s="1099"/>
    </row>
    <row r="1090" spans="2:9">
      <c r="B1090" s="1136"/>
      <c r="C1090" s="1129"/>
      <c r="D1090" s="1098"/>
      <c r="E1090" s="1098"/>
      <c r="F1090" s="1099"/>
      <c r="G1090" s="1098"/>
      <c r="H1090" s="1153"/>
      <c r="I1090" s="1099"/>
    </row>
    <row r="1091" spans="2:9">
      <c r="B1091" s="1136"/>
      <c r="C1091" s="1129"/>
      <c r="D1091" s="1098"/>
      <c r="E1091" s="1098"/>
      <c r="F1091" s="1099"/>
      <c r="G1091" s="1098"/>
      <c r="H1091" s="1153"/>
      <c r="I1091" s="1099"/>
    </row>
    <row r="1092" spans="2:9">
      <c r="B1092" s="1136"/>
      <c r="C1092" s="1129"/>
      <c r="D1092" s="1098"/>
      <c r="E1092" s="1098"/>
      <c r="F1092" s="1099"/>
      <c r="G1092" s="1098"/>
      <c r="H1092" s="1153"/>
      <c r="I1092" s="1099"/>
    </row>
    <row r="1093" spans="2:9">
      <c r="B1093" s="1136"/>
      <c r="C1093" s="1129"/>
      <c r="D1093" s="1098"/>
      <c r="E1093" s="1098"/>
      <c r="F1093" s="1099"/>
      <c r="G1093" s="1098"/>
      <c r="H1093" s="1153"/>
      <c r="I1093" s="1099"/>
    </row>
    <row r="1094" spans="2:9">
      <c r="B1094" s="1136"/>
      <c r="C1094" s="1129"/>
      <c r="D1094" s="1098"/>
      <c r="E1094" s="1098"/>
      <c r="F1094" s="1099"/>
      <c r="G1094" s="1098"/>
      <c r="H1094" s="1153"/>
      <c r="I1094" s="1099"/>
    </row>
    <row r="1095" spans="2:9">
      <c r="B1095" s="1136"/>
      <c r="C1095" s="1129"/>
      <c r="D1095" s="1098"/>
      <c r="E1095" s="1098"/>
      <c r="F1095" s="1099"/>
      <c r="G1095" s="1098"/>
      <c r="H1095" s="1153"/>
      <c r="I1095" s="1099"/>
    </row>
    <row r="1096" spans="2:9">
      <c r="B1096" s="1136"/>
      <c r="C1096" s="1129"/>
      <c r="D1096" s="1098"/>
      <c r="E1096" s="1098"/>
      <c r="F1096" s="1099"/>
      <c r="G1096" s="1098"/>
      <c r="H1096" s="1153"/>
      <c r="I1096" s="1099"/>
    </row>
    <row r="1097" spans="2:9">
      <c r="B1097" s="1136"/>
      <c r="C1097" s="1129"/>
      <c r="D1097" s="1098"/>
      <c r="E1097" s="1098"/>
      <c r="F1097" s="1099"/>
      <c r="G1097" s="1098"/>
      <c r="H1097" s="1153"/>
      <c r="I1097" s="1099"/>
    </row>
    <row r="1098" spans="2:9">
      <c r="B1098" s="1136"/>
      <c r="C1098" s="1129"/>
      <c r="D1098" s="1098"/>
      <c r="E1098" s="1098"/>
      <c r="F1098" s="1099"/>
      <c r="G1098" s="1098"/>
      <c r="H1098" s="1153"/>
      <c r="I1098" s="1099"/>
    </row>
    <row r="1099" spans="2:9">
      <c r="B1099" s="1136"/>
      <c r="C1099" s="1129"/>
      <c r="D1099" s="1098"/>
      <c r="E1099" s="1098"/>
      <c r="F1099" s="1099"/>
      <c r="G1099" s="1098"/>
      <c r="H1099" s="1153"/>
      <c r="I1099" s="1099"/>
    </row>
    <row r="1100" spans="2:9">
      <c r="B1100" s="1136"/>
      <c r="C1100" s="1129"/>
      <c r="D1100" s="1098"/>
      <c r="E1100" s="1098"/>
      <c r="F1100" s="1099"/>
      <c r="G1100" s="1098"/>
      <c r="H1100" s="1153"/>
      <c r="I1100" s="1099"/>
    </row>
    <row r="1101" spans="2:9">
      <c r="B1101" s="1136"/>
      <c r="C1101" s="1129"/>
      <c r="D1101" s="1098"/>
      <c r="E1101" s="1098"/>
      <c r="F1101" s="1099"/>
      <c r="G1101" s="1098"/>
      <c r="H1101" s="1153"/>
      <c r="I1101" s="1099"/>
    </row>
    <row r="1102" spans="2:9">
      <c r="B1102" s="1136"/>
      <c r="C1102" s="1129"/>
      <c r="D1102" s="1098"/>
      <c r="E1102" s="1098"/>
      <c r="F1102" s="1099"/>
      <c r="G1102" s="1098"/>
      <c r="H1102" s="1153"/>
      <c r="I1102" s="1099"/>
    </row>
    <row r="1103" spans="2:9">
      <c r="B1103" s="1136"/>
      <c r="C1103" s="1129"/>
      <c r="D1103" s="1098"/>
      <c r="E1103" s="1098"/>
      <c r="F1103" s="1099"/>
      <c r="G1103" s="1098"/>
      <c r="H1103" s="1153"/>
      <c r="I1103" s="1099"/>
    </row>
    <row r="1104" spans="2:9">
      <c r="B1104" s="1136"/>
      <c r="C1104" s="1129"/>
      <c r="D1104" s="1098"/>
      <c r="E1104" s="1098"/>
      <c r="F1104" s="1099"/>
      <c r="G1104" s="1098"/>
      <c r="H1104" s="1153"/>
      <c r="I1104" s="1099"/>
    </row>
    <row r="1105" spans="2:9">
      <c r="B1105" s="1136"/>
      <c r="C1105" s="1129"/>
      <c r="D1105" s="1098"/>
      <c r="E1105" s="1098"/>
      <c r="F1105" s="1099"/>
      <c r="G1105" s="1098"/>
      <c r="H1105" s="1153"/>
      <c r="I1105" s="1099"/>
    </row>
    <row r="1106" spans="2:9">
      <c r="B1106" s="1136"/>
      <c r="C1106" s="1129"/>
      <c r="D1106" s="1098"/>
      <c r="E1106" s="1098"/>
      <c r="F1106" s="1099"/>
      <c r="G1106" s="1098"/>
      <c r="H1106" s="1153"/>
      <c r="I1106" s="1099"/>
    </row>
    <row r="1107" spans="2:9">
      <c r="B1107" s="1136"/>
      <c r="C1107" s="1129"/>
      <c r="D1107" s="1098"/>
      <c r="E1107" s="1098"/>
      <c r="F1107" s="1099"/>
      <c r="G1107" s="1098"/>
      <c r="H1107" s="1153"/>
      <c r="I1107" s="1099"/>
    </row>
    <row r="1108" spans="2:9">
      <c r="B1108" s="1136"/>
      <c r="C1108" s="1129"/>
      <c r="D1108" s="1098"/>
      <c r="E1108" s="1098"/>
      <c r="F1108" s="1099"/>
      <c r="G1108" s="1098"/>
      <c r="H1108" s="1153"/>
      <c r="I1108" s="1099"/>
    </row>
    <row r="1109" spans="2:9">
      <c r="B1109" s="1136"/>
      <c r="C1109" s="1129"/>
      <c r="D1109" s="1098"/>
      <c r="E1109" s="1098"/>
      <c r="F1109" s="1099"/>
      <c r="G1109" s="1098"/>
      <c r="H1109" s="1153"/>
      <c r="I1109" s="1099"/>
    </row>
    <row r="1110" spans="2:9">
      <c r="B1110" s="1136"/>
      <c r="C1110" s="1129"/>
      <c r="D1110" s="1098"/>
      <c r="E1110" s="1098"/>
      <c r="F1110" s="1099"/>
      <c r="G1110" s="1098"/>
      <c r="H1110" s="1153"/>
      <c r="I1110" s="1099"/>
    </row>
    <row r="1111" spans="2:9">
      <c r="B1111" s="1136"/>
      <c r="C1111" s="1129"/>
      <c r="D1111" s="1098"/>
      <c r="E1111" s="1098"/>
      <c r="F1111" s="1099"/>
      <c r="G1111" s="1098"/>
      <c r="H1111" s="1153"/>
      <c r="I1111" s="1099"/>
    </row>
    <row r="1112" spans="2:9">
      <c r="B1112" s="1136"/>
      <c r="C1112" s="1129"/>
      <c r="D1112" s="1098"/>
      <c r="E1112" s="1098"/>
      <c r="F1112" s="1099"/>
      <c r="G1112" s="1098"/>
      <c r="H1112" s="1153"/>
      <c r="I1112" s="1099"/>
    </row>
    <row r="1113" spans="2:9">
      <c r="B1113" s="1136"/>
      <c r="C1113" s="1129"/>
      <c r="D1113" s="1098"/>
      <c r="E1113" s="1098"/>
      <c r="F1113" s="1099"/>
      <c r="G1113" s="1098"/>
      <c r="H1113" s="1153"/>
      <c r="I1113" s="1099"/>
    </row>
    <row r="1114" spans="2:9">
      <c r="B1114" s="1136"/>
      <c r="C1114" s="1129"/>
      <c r="D1114" s="1098"/>
      <c r="E1114" s="1098"/>
      <c r="F1114" s="1099"/>
      <c r="G1114" s="1098"/>
      <c r="H1114" s="1153"/>
      <c r="I1114" s="1099"/>
    </row>
    <row r="1115" spans="2:9">
      <c r="B1115" s="1136"/>
      <c r="C1115" s="1129"/>
      <c r="D1115" s="1098"/>
      <c r="E1115" s="1098"/>
      <c r="F1115" s="1099"/>
      <c r="G1115" s="1098"/>
      <c r="H1115" s="1153"/>
      <c r="I1115" s="1099"/>
    </row>
    <row r="1116" spans="2:9">
      <c r="B1116" s="1136"/>
      <c r="C1116" s="1129"/>
      <c r="D1116" s="1098"/>
      <c r="E1116" s="1098"/>
      <c r="F1116" s="1099"/>
      <c r="G1116" s="1098"/>
      <c r="H1116" s="1153"/>
      <c r="I1116" s="1099"/>
    </row>
    <row r="1117" spans="2:9">
      <c r="B1117" s="1136"/>
      <c r="C1117" s="1129"/>
      <c r="D1117" s="1098"/>
      <c r="E1117" s="1098"/>
      <c r="F1117" s="1099"/>
      <c r="G1117" s="1098"/>
      <c r="H1117" s="1153"/>
      <c r="I1117" s="1099"/>
    </row>
    <row r="1118" spans="2:9">
      <c r="B1118" s="1136"/>
      <c r="C1118" s="1129"/>
      <c r="D1118" s="1098"/>
      <c r="E1118" s="1098"/>
      <c r="F1118" s="1099"/>
      <c r="G1118" s="1098"/>
      <c r="H1118" s="1153"/>
      <c r="I1118" s="1099"/>
    </row>
    <row r="1119" spans="2:9">
      <c r="B1119" s="1136"/>
      <c r="C1119" s="1129"/>
      <c r="D1119" s="1098"/>
      <c r="E1119" s="1098"/>
      <c r="F1119" s="1099"/>
      <c r="G1119" s="1098"/>
      <c r="H1119" s="1153"/>
      <c r="I1119" s="1099"/>
    </row>
    <row r="1120" spans="2:9">
      <c r="B1120" s="1136"/>
      <c r="C1120" s="1129"/>
      <c r="D1120" s="1098"/>
      <c r="E1120" s="1098"/>
      <c r="F1120" s="1099"/>
      <c r="G1120" s="1098"/>
      <c r="H1120" s="1153"/>
      <c r="I1120" s="1099"/>
    </row>
    <row r="1121" spans="2:9">
      <c r="B1121" s="1136"/>
      <c r="C1121" s="1129"/>
      <c r="D1121" s="1098"/>
      <c r="E1121" s="1098"/>
      <c r="F1121" s="1099"/>
      <c r="G1121" s="1098"/>
      <c r="H1121" s="1153"/>
      <c r="I1121" s="1099"/>
    </row>
    <row r="1122" spans="2:9">
      <c r="B1122" s="1136"/>
      <c r="C1122" s="1129"/>
      <c r="D1122" s="1098"/>
      <c r="E1122" s="1098"/>
      <c r="F1122" s="1099"/>
      <c r="G1122" s="1098"/>
      <c r="H1122" s="1153"/>
      <c r="I1122" s="1099"/>
    </row>
    <row r="1123" spans="2:9">
      <c r="B1123" s="1136"/>
      <c r="C1123" s="1129"/>
      <c r="D1123" s="1098"/>
      <c r="E1123" s="1098"/>
      <c r="F1123" s="1099"/>
      <c r="G1123" s="1098"/>
      <c r="H1123" s="1153"/>
      <c r="I1123" s="1099"/>
    </row>
    <row r="1124" spans="2:9">
      <c r="B1124" s="1136"/>
      <c r="C1124" s="1129"/>
      <c r="D1124" s="1098"/>
      <c r="E1124" s="1098"/>
      <c r="F1124" s="1099"/>
      <c r="G1124" s="1098"/>
      <c r="H1124" s="1153"/>
      <c r="I1124" s="1099"/>
    </row>
    <row r="1125" spans="2:9">
      <c r="B1125" s="1136"/>
      <c r="C1125" s="1129"/>
      <c r="D1125" s="1098"/>
      <c r="E1125" s="1098"/>
      <c r="F1125" s="1099"/>
      <c r="G1125" s="1098"/>
      <c r="H1125" s="1153"/>
      <c r="I1125" s="1099"/>
    </row>
    <row r="1126" spans="2:9">
      <c r="B1126" s="1136"/>
      <c r="C1126" s="1129"/>
      <c r="D1126" s="1098"/>
      <c r="E1126" s="1098"/>
      <c r="F1126" s="1099"/>
      <c r="G1126" s="1098"/>
      <c r="H1126" s="1153"/>
      <c r="I1126" s="1099"/>
    </row>
    <row r="1127" spans="2:9">
      <c r="B1127" s="1136"/>
      <c r="C1127" s="1129"/>
      <c r="D1127" s="1098"/>
      <c r="E1127" s="1098"/>
      <c r="F1127" s="1099"/>
      <c r="G1127" s="1098"/>
      <c r="H1127" s="1153"/>
      <c r="I1127" s="1099"/>
    </row>
    <row r="1128" spans="2:9">
      <c r="B1128" s="1136"/>
      <c r="C1128" s="1129"/>
      <c r="D1128" s="1098"/>
      <c r="E1128" s="1098"/>
      <c r="F1128" s="1099"/>
      <c r="G1128" s="1098"/>
      <c r="H1128" s="1153"/>
      <c r="I1128" s="1099"/>
    </row>
    <row r="1129" spans="2:9">
      <c r="B1129" s="1136"/>
      <c r="C1129" s="1129"/>
      <c r="D1129" s="1098"/>
      <c r="E1129" s="1098"/>
      <c r="F1129" s="1099"/>
      <c r="G1129" s="1098"/>
      <c r="H1129" s="1153"/>
      <c r="I1129" s="1099"/>
    </row>
    <row r="1130" spans="2:9">
      <c r="B1130" s="1136"/>
      <c r="C1130" s="1129"/>
      <c r="D1130" s="1098"/>
      <c r="E1130" s="1098"/>
      <c r="F1130" s="1099"/>
      <c r="G1130" s="1098"/>
      <c r="H1130" s="1153"/>
      <c r="I1130" s="1099"/>
    </row>
    <row r="1131" spans="2:9">
      <c r="B1131" s="1136"/>
      <c r="C1131" s="1129"/>
      <c r="D1131" s="1098"/>
      <c r="E1131" s="1098"/>
      <c r="F1131" s="1099"/>
      <c r="G1131" s="1098"/>
      <c r="H1131" s="1153"/>
      <c r="I1131" s="1099"/>
    </row>
    <row r="1132" spans="2:9">
      <c r="B1132" s="1136"/>
      <c r="C1132" s="1129"/>
      <c r="D1132" s="1098"/>
      <c r="E1132" s="1098"/>
      <c r="F1132" s="1099"/>
      <c r="G1132" s="1098"/>
      <c r="H1132" s="1153"/>
      <c r="I1132" s="1099"/>
    </row>
    <row r="1133" spans="2:9">
      <c r="B1133" s="1136"/>
      <c r="C1133" s="1129"/>
      <c r="D1133" s="1098"/>
      <c r="E1133" s="1098"/>
      <c r="F1133" s="1099"/>
      <c r="G1133" s="1098"/>
      <c r="H1133" s="1153"/>
      <c r="I1133" s="1099"/>
    </row>
    <row r="1134" spans="2:9">
      <c r="B1134" s="1136"/>
      <c r="C1134" s="1129"/>
      <c r="D1134" s="1098"/>
      <c r="E1134" s="1098"/>
      <c r="F1134" s="1099"/>
      <c r="G1134" s="1098"/>
      <c r="H1134" s="1153"/>
      <c r="I1134" s="1099"/>
    </row>
    <row r="1135" spans="2:9">
      <c r="B1135" s="1136"/>
      <c r="C1135" s="1129"/>
      <c r="D1135" s="1098"/>
      <c r="E1135" s="1098"/>
      <c r="F1135" s="1099"/>
      <c r="G1135" s="1098"/>
      <c r="H1135" s="1153"/>
      <c r="I1135" s="1099"/>
    </row>
    <row r="1136" spans="2:9">
      <c r="B1136" s="1136"/>
      <c r="C1136" s="1129"/>
      <c r="D1136" s="1098"/>
      <c r="E1136" s="1098"/>
      <c r="F1136" s="1099"/>
      <c r="G1136" s="1098"/>
      <c r="H1136" s="1153"/>
      <c r="I1136" s="1099"/>
    </row>
    <row r="1137" spans="2:9">
      <c r="B1137" s="1136"/>
      <c r="C1137" s="1129"/>
      <c r="D1137" s="1098"/>
      <c r="E1137" s="1098"/>
      <c r="F1137" s="1099"/>
      <c r="G1137" s="1098"/>
      <c r="H1137" s="1153"/>
      <c r="I1137" s="1099"/>
    </row>
    <row r="1138" spans="2:9">
      <c r="B1138" s="1136"/>
      <c r="C1138" s="1129"/>
      <c r="D1138" s="1098"/>
      <c r="E1138" s="1098"/>
      <c r="F1138" s="1099"/>
      <c r="G1138" s="1098"/>
      <c r="H1138" s="1153"/>
      <c r="I1138" s="1099"/>
    </row>
    <row r="1139" spans="2:9">
      <c r="B1139" s="1136"/>
      <c r="C1139" s="1129"/>
      <c r="D1139" s="1098"/>
      <c r="E1139" s="1098"/>
      <c r="F1139" s="1099"/>
      <c r="G1139" s="1098"/>
      <c r="H1139" s="1153"/>
      <c r="I1139" s="1099"/>
    </row>
    <row r="1140" spans="2:9">
      <c r="B1140" s="1136"/>
      <c r="C1140" s="1129"/>
      <c r="D1140" s="1098"/>
      <c r="E1140" s="1098"/>
      <c r="F1140" s="1099"/>
      <c r="G1140" s="1098"/>
      <c r="H1140" s="1153"/>
      <c r="I1140" s="1099"/>
    </row>
    <row r="1141" spans="2:9">
      <c r="B1141" s="1136"/>
      <c r="C1141" s="1129"/>
      <c r="D1141" s="1098"/>
      <c r="E1141" s="1098"/>
      <c r="F1141" s="1099"/>
      <c r="G1141" s="1098"/>
      <c r="H1141" s="1153"/>
      <c r="I1141" s="1099"/>
    </row>
    <row r="1142" spans="2:9">
      <c r="B1142" s="1136"/>
      <c r="C1142" s="1129"/>
      <c r="D1142" s="1098"/>
      <c r="E1142" s="1098"/>
      <c r="F1142" s="1099"/>
      <c r="G1142" s="1098"/>
      <c r="H1142" s="1153"/>
      <c r="I1142" s="1099"/>
    </row>
    <row r="1143" spans="2:9">
      <c r="B1143" s="1136"/>
      <c r="C1143" s="1129"/>
      <c r="D1143" s="1098"/>
      <c r="E1143" s="1098"/>
      <c r="F1143" s="1099"/>
      <c r="G1143" s="1098"/>
      <c r="H1143" s="1153"/>
      <c r="I1143" s="1099"/>
    </row>
    <row r="1144" spans="2:9">
      <c r="B1144" s="1136"/>
      <c r="C1144" s="1129"/>
      <c r="D1144" s="1098"/>
      <c r="E1144" s="1098"/>
      <c r="F1144" s="1099"/>
      <c r="G1144" s="1098"/>
      <c r="H1144" s="1153"/>
      <c r="I1144" s="1099"/>
    </row>
    <row r="1145" spans="2:9">
      <c r="B1145" s="1136"/>
      <c r="C1145" s="1129"/>
      <c r="D1145" s="1098"/>
      <c r="E1145" s="1098"/>
      <c r="F1145" s="1099"/>
      <c r="G1145" s="1098"/>
      <c r="H1145" s="1153"/>
      <c r="I1145" s="1099"/>
    </row>
    <row r="1146" spans="2:9">
      <c r="B1146" s="1136"/>
      <c r="C1146" s="1129"/>
      <c r="D1146" s="1098"/>
      <c r="E1146" s="1098"/>
      <c r="F1146" s="1099"/>
      <c r="G1146" s="1098"/>
      <c r="H1146" s="1153"/>
      <c r="I1146" s="1099"/>
    </row>
    <row r="1147" spans="2:9">
      <c r="B1147" s="1136"/>
      <c r="C1147" s="1129"/>
      <c r="D1147" s="1098"/>
      <c r="E1147" s="1098"/>
      <c r="F1147" s="1099"/>
      <c r="G1147" s="1098"/>
      <c r="H1147" s="1153"/>
      <c r="I1147" s="1099"/>
    </row>
    <row r="1148" spans="2:9">
      <c r="B1148" s="1136"/>
      <c r="C1148" s="1129"/>
      <c r="D1148" s="1098"/>
      <c r="E1148" s="1098"/>
      <c r="F1148" s="1099"/>
      <c r="G1148" s="1098"/>
      <c r="H1148" s="1153"/>
      <c r="I1148" s="1099"/>
    </row>
    <row r="1149" spans="2:9">
      <c r="B1149" s="1136"/>
      <c r="C1149" s="1129"/>
      <c r="D1149" s="1098"/>
      <c r="E1149" s="1098"/>
      <c r="F1149" s="1099"/>
      <c r="G1149" s="1098"/>
      <c r="H1149" s="1153"/>
      <c r="I1149" s="1099"/>
    </row>
    <row r="1150" spans="2:9">
      <c r="B1150" s="1136"/>
      <c r="C1150" s="1129"/>
      <c r="D1150" s="1098"/>
      <c r="E1150" s="1098"/>
      <c r="F1150" s="1099"/>
      <c r="G1150" s="1098"/>
      <c r="H1150" s="1153"/>
      <c r="I1150" s="1099"/>
    </row>
    <row r="1151" spans="2:9">
      <c r="B1151" s="1136"/>
      <c r="C1151" s="1129"/>
      <c r="D1151" s="1098"/>
      <c r="E1151" s="1098"/>
      <c r="F1151" s="1099"/>
      <c r="G1151" s="1098"/>
      <c r="H1151" s="1153"/>
      <c r="I1151" s="1099"/>
    </row>
    <row r="1152" spans="2:9">
      <c r="B1152" s="1136"/>
      <c r="C1152" s="1129"/>
      <c r="D1152" s="1098"/>
      <c r="E1152" s="1098"/>
      <c r="F1152" s="1099"/>
      <c r="G1152" s="1098"/>
      <c r="H1152" s="1153"/>
      <c r="I1152" s="1099"/>
    </row>
    <row r="1153" spans="2:9">
      <c r="B1153" s="1136"/>
      <c r="C1153" s="1129"/>
      <c r="D1153" s="1098"/>
      <c r="E1153" s="1098"/>
      <c r="F1153" s="1099"/>
      <c r="G1153" s="1098"/>
      <c r="H1153" s="1153"/>
      <c r="I1153" s="1099"/>
    </row>
    <row r="1154" spans="2:9">
      <c r="B1154" s="1136"/>
      <c r="C1154" s="1129"/>
      <c r="D1154" s="1098"/>
      <c r="E1154" s="1098"/>
      <c r="F1154" s="1099"/>
      <c r="G1154" s="1098"/>
      <c r="H1154" s="1153"/>
      <c r="I1154" s="1099"/>
    </row>
    <row r="1155" spans="2:9">
      <c r="B1155" s="1136"/>
      <c r="C1155" s="1129"/>
      <c r="D1155" s="1098"/>
      <c r="E1155" s="1098"/>
      <c r="F1155" s="1099"/>
      <c r="G1155" s="1098"/>
      <c r="H1155" s="1153"/>
      <c r="I1155" s="1099"/>
    </row>
    <row r="1156" spans="2:9">
      <c r="B1156" s="1136"/>
      <c r="C1156" s="1129"/>
      <c r="D1156" s="1098"/>
      <c r="E1156" s="1098"/>
      <c r="F1156" s="1099"/>
      <c r="G1156" s="1098"/>
      <c r="H1156" s="1153"/>
      <c r="I1156" s="1099"/>
    </row>
    <row r="1157" spans="2:9">
      <c r="B1157" s="1136"/>
      <c r="C1157" s="1129"/>
      <c r="D1157" s="1098"/>
      <c r="E1157" s="1098"/>
      <c r="F1157" s="1099"/>
      <c r="G1157" s="1098"/>
      <c r="H1157" s="1153"/>
      <c r="I1157" s="1099"/>
    </row>
    <row r="1158" spans="2:9">
      <c r="B1158" s="1136"/>
      <c r="C1158" s="1129"/>
      <c r="D1158" s="1098"/>
      <c r="E1158" s="1098"/>
      <c r="F1158" s="1099"/>
      <c r="G1158" s="1098"/>
      <c r="H1158" s="1153"/>
      <c r="I1158" s="1099"/>
    </row>
    <row r="1159" spans="2:9">
      <c r="B1159" s="1136"/>
      <c r="C1159" s="1129"/>
      <c r="D1159" s="1098"/>
      <c r="E1159" s="1098"/>
      <c r="F1159" s="1099"/>
      <c r="G1159" s="1098"/>
      <c r="H1159" s="1153"/>
      <c r="I1159" s="1099"/>
    </row>
    <row r="1160" spans="2:9">
      <c r="B1160" s="1136"/>
      <c r="C1160" s="1129"/>
      <c r="D1160" s="1098"/>
      <c r="E1160" s="1098"/>
      <c r="F1160" s="1099"/>
      <c r="G1160" s="1098"/>
      <c r="H1160" s="1153"/>
      <c r="I1160" s="1099"/>
    </row>
    <row r="1161" spans="2:9">
      <c r="B1161" s="1136"/>
      <c r="C1161" s="1129"/>
      <c r="D1161" s="1098"/>
      <c r="E1161" s="1098"/>
      <c r="F1161" s="1099"/>
      <c r="G1161" s="1098"/>
      <c r="H1161" s="1153"/>
      <c r="I1161" s="1099"/>
    </row>
    <row r="1162" spans="2:9">
      <c r="B1162" s="1136"/>
      <c r="C1162" s="1129"/>
      <c r="D1162" s="1098"/>
      <c r="E1162" s="1098"/>
      <c r="F1162" s="1099"/>
      <c r="G1162" s="1098"/>
      <c r="H1162" s="1153"/>
      <c r="I1162" s="1099"/>
    </row>
    <row r="1163" spans="2:9">
      <c r="B1163" s="1136"/>
      <c r="C1163" s="1129"/>
      <c r="D1163" s="1098"/>
      <c r="E1163" s="1098"/>
      <c r="F1163" s="1099"/>
      <c r="G1163" s="1098"/>
      <c r="H1163" s="1153"/>
      <c r="I1163" s="1099"/>
    </row>
    <row r="1164" spans="2:9">
      <c r="B1164" s="1136"/>
      <c r="C1164" s="1129"/>
      <c r="D1164" s="1098"/>
      <c r="E1164" s="1098"/>
      <c r="F1164" s="1099"/>
      <c r="G1164" s="1098"/>
      <c r="H1164" s="1153"/>
      <c r="I1164" s="1099"/>
    </row>
    <row r="1165" spans="2:9">
      <c r="B1165" s="1136"/>
      <c r="C1165" s="1129"/>
      <c r="D1165" s="1098"/>
      <c r="E1165" s="1098"/>
      <c r="F1165" s="1099"/>
      <c r="G1165" s="1098"/>
      <c r="H1165" s="1153"/>
      <c r="I1165" s="1099"/>
    </row>
    <row r="1166" spans="2:9">
      <c r="B1166" s="1136"/>
      <c r="C1166" s="1129"/>
      <c r="D1166" s="1098"/>
      <c r="E1166" s="1098"/>
      <c r="F1166" s="1099"/>
      <c r="G1166" s="1098"/>
      <c r="H1166" s="1153"/>
      <c r="I1166" s="1099"/>
    </row>
    <row r="1167" spans="2:9">
      <c r="B1167" s="1136"/>
      <c r="C1167" s="1129"/>
      <c r="D1167" s="1098"/>
      <c r="E1167" s="1098"/>
      <c r="F1167" s="1099"/>
      <c r="G1167" s="1098"/>
      <c r="H1167" s="1153"/>
      <c r="I1167" s="1099"/>
    </row>
    <row r="1168" spans="2:9">
      <c r="B1168" s="1136"/>
      <c r="C1168" s="1129"/>
      <c r="D1168" s="1098"/>
      <c r="E1168" s="1098"/>
      <c r="F1168" s="1099"/>
      <c r="G1168" s="1098"/>
      <c r="H1168" s="1153"/>
      <c r="I1168" s="1099"/>
    </row>
    <row r="1169" spans="2:9">
      <c r="B1169" s="1136"/>
      <c r="C1169" s="1129"/>
      <c r="D1169" s="1098"/>
      <c r="E1169" s="1098"/>
      <c r="F1169" s="1099"/>
      <c r="G1169" s="1098"/>
      <c r="H1169" s="1153"/>
      <c r="I1169" s="1099"/>
    </row>
    <row r="1170" spans="2:9">
      <c r="B1170" s="1136"/>
      <c r="C1170" s="1129"/>
      <c r="D1170" s="1098"/>
      <c r="E1170" s="1098"/>
      <c r="F1170" s="1099"/>
      <c r="G1170" s="1098"/>
      <c r="H1170" s="1153"/>
      <c r="I1170" s="1099"/>
    </row>
    <row r="1171" spans="2:9">
      <c r="B1171" s="1136"/>
      <c r="C1171" s="1129"/>
      <c r="D1171" s="1098"/>
      <c r="E1171" s="1098"/>
      <c r="F1171" s="1099"/>
      <c r="G1171" s="1098"/>
      <c r="H1171" s="1153"/>
      <c r="I1171" s="1099"/>
    </row>
    <row r="1172" spans="2:9">
      <c r="B1172" s="1136"/>
      <c r="C1172" s="1129"/>
      <c r="D1172" s="1098"/>
      <c r="E1172" s="1098"/>
      <c r="F1172" s="1099"/>
      <c r="G1172" s="1098"/>
      <c r="H1172" s="1153"/>
      <c r="I1172" s="1099"/>
    </row>
    <row r="1173" spans="2:9">
      <c r="B1173" s="1136"/>
      <c r="C1173" s="1129"/>
      <c r="D1173" s="1098"/>
      <c r="E1173" s="1098"/>
      <c r="F1173" s="1099"/>
      <c r="G1173" s="1098"/>
      <c r="H1173" s="1153"/>
      <c r="I1173" s="1099"/>
    </row>
    <row r="1174" spans="2:9">
      <c r="B1174" s="1136"/>
      <c r="C1174" s="1129"/>
      <c r="D1174" s="1098"/>
      <c r="E1174" s="1098"/>
      <c r="F1174" s="1099"/>
      <c r="G1174" s="1098"/>
      <c r="H1174" s="1153"/>
      <c r="I1174" s="1099"/>
    </row>
    <row r="1175" spans="2:9">
      <c r="B1175" s="1136"/>
      <c r="C1175" s="1129"/>
      <c r="D1175" s="1098"/>
      <c r="E1175" s="1098"/>
      <c r="F1175" s="1099"/>
      <c r="G1175" s="1098"/>
      <c r="H1175" s="1153"/>
      <c r="I1175" s="1099"/>
    </row>
    <row r="1176" spans="2:9">
      <c r="B1176" s="1136"/>
      <c r="C1176" s="1129"/>
      <c r="D1176" s="1098"/>
      <c r="E1176" s="1098"/>
      <c r="F1176" s="1099"/>
      <c r="G1176" s="1098"/>
      <c r="H1176" s="1153"/>
      <c r="I1176" s="1099"/>
    </row>
    <row r="1177" spans="2:9">
      <c r="B1177" s="1136"/>
      <c r="C1177" s="1129"/>
      <c r="D1177" s="1098"/>
      <c r="E1177" s="1098"/>
      <c r="F1177" s="1099"/>
      <c r="G1177" s="1098"/>
      <c r="H1177" s="1153"/>
      <c r="I1177" s="1099"/>
    </row>
    <row r="1178" spans="2:9">
      <c r="B1178" s="1136"/>
      <c r="C1178" s="1129"/>
      <c r="D1178" s="1098"/>
      <c r="E1178" s="1098"/>
      <c r="F1178" s="1099"/>
      <c r="G1178" s="1098"/>
      <c r="H1178" s="1153"/>
      <c r="I1178" s="1099"/>
    </row>
    <row r="1179" spans="2:9">
      <c r="B1179" s="1136"/>
      <c r="C1179" s="1129"/>
      <c r="D1179" s="1098"/>
      <c r="E1179" s="1098"/>
      <c r="F1179" s="1099"/>
      <c r="G1179" s="1098"/>
      <c r="H1179" s="1153"/>
      <c r="I1179" s="1099"/>
    </row>
    <row r="1180" spans="2:9">
      <c r="B1180" s="1136"/>
      <c r="C1180" s="1129"/>
      <c r="D1180" s="1098"/>
      <c r="E1180" s="1098"/>
      <c r="F1180" s="1099"/>
      <c r="G1180" s="1098"/>
      <c r="H1180" s="1153"/>
      <c r="I1180" s="1099"/>
    </row>
    <row r="1181" spans="2:9">
      <c r="B1181" s="1136"/>
      <c r="C1181" s="1129"/>
      <c r="D1181" s="1098"/>
      <c r="E1181" s="1098"/>
      <c r="F1181" s="1099"/>
      <c r="G1181" s="1098"/>
      <c r="H1181" s="1153"/>
      <c r="I1181" s="1099"/>
    </row>
    <row r="1182" spans="2:9">
      <c r="B1182" s="1136"/>
      <c r="C1182" s="1129"/>
      <c r="D1182" s="1098"/>
      <c r="E1182" s="1098"/>
      <c r="F1182" s="1099"/>
      <c r="G1182" s="1098"/>
      <c r="H1182" s="1153"/>
      <c r="I1182" s="1099"/>
    </row>
    <row r="1183" spans="2:9">
      <c r="B1183" s="1136"/>
      <c r="C1183" s="1129"/>
      <c r="D1183" s="1098"/>
      <c r="E1183" s="1098"/>
      <c r="F1183" s="1099"/>
      <c r="G1183" s="1098"/>
      <c r="H1183" s="1153"/>
      <c r="I1183" s="1099"/>
    </row>
    <row r="1184" spans="2:9">
      <c r="B1184" s="1136"/>
      <c r="C1184" s="1129"/>
      <c r="D1184" s="1098"/>
      <c r="E1184" s="1098"/>
      <c r="F1184" s="1099"/>
      <c r="G1184" s="1098"/>
      <c r="H1184" s="1153"/>
      <c r="I1184" s="1099"/>
    </row>
    <row r="1185" spans="2:9">
      <c r="B1185" s="1136"/>
      <c r="C1185" s="1129"/>
      <c r="D1185" s="1098"/>
      <c r="E1185" s="1098"/>
      <c r="F1185" s="1099"/>
      <c r="G1185" s="1098"/>
      <c r="H1185" s="1153"/>
      <c r="I1185" s="1099"/>
    </row>
    <row r="1186" spans="2:9">
      <c r="B1186" s="1136"/>
      <c r="C1186" s="1129"/>
      <c r="D1186" s="1098"/>
      <c r="E1186" s="1098"/>
      <c r="F1186" s="1099"/>
      <c r="G1186" s="1098"/>
      <c r="H1186" s="1153"/>
      <c r="I1186" s="1099"/>
    </row>
    <row r="1187" spans="2:9">
      <c r="B1187" s="1136"/>
      <c r="C1187" s="1129"/>
      <c r="D1187" s="1098"/>
      <c r="E1187" s="1098"/>
      <c r="F1187" s="1099"/>
      <c r="G1187" s="1098"/>
      <c r="H1187" s="1153"/>
      <c r="I1187" s="1099"/>
    </row>
    <row r="1188" spans="2:9">
      <c r="B1188" s="1136"/>
      <c r="C1188" s="1129"/>
      <c r="D1188" s="1098"/>
      <c r="E1188" s="1098"/>
      <c r="F1188" s="1099"/>
      <c r="G1188" s="1098"/>
      <c r="H1188" s="1153"/>
      <c r="I1188" s="1099"/>
    </row>
    <row r="1189" spans="2:9">
      <c r="B1189" s="1136"/>
      <c r="C1189" s="1129"/>
      <c r="D1189" s="1098"/>
      <c r="E1189" s="1098"/>
      <c r="F1189" s="1099"/>
      <c r="G1189" s="1098"/>
      <c r="H1189" s="1153"/>
      <c r="I1189" s="1099"/>
    </row>
    <row r="1190" spans="2:9">
      <c r="B1190" s="1136"/>
      <c r="C1190" s="1129"/>
      <c r="D1190" s="1098"/>
      <c r="E1190" s="1098"/>
      <c r="F1190" s="1099"/>
      <c r="G1190" s="1098"/>
      <c r="H1190" s="1153"/>
      <c r="I1190" s="1099"/>
    </row>
    <row r="1191" spans="2:9">
      <c r="B1191" s="1136"/>
      <c r="C1191" s="1129"/>
      <c r="D1191" s="1098"/>
      <c r="E1191" s="1098"/>
      <c r="F1191" s="1099"/>
      <c r="G1191" s="1098"/>
      <c r="H1191" s="1153"/>
      <c r="I1191" s="1099"/>
    </row>
    <row r="1192" spans="2:9">
      <c r="B1192" s="1136"/>
      <c r="C1192" s="1129"/>
      <c r="D1192" s="1098"/>
      <c r="E1192" s="1098"/>
      <c r="F1192" s="1099"/>
      <c r="G1192" s="1098"/>
      <c r="H1192" s="1153"/>
      <c r="I1192" s="1099"/>
    </row>
    <row r="1193" spans="2:9">
      <c r="B1193" s="1136"/>
      <c r="C1193" s="1129"/>
      <c r="D1193" s="1098"/>
      <c r="E1193" s="1098"/>
      <c r="F1193" s="1099"/>
      <c r="G1193" s="1098"/>
      <c r="H1193" s="1153"/>
      <c r="I1193" s="1099"/>
    </row>
    <row r="1194" spans="2:9">
      <c r="B1194" s="1136"/>
      <c r="C1194" s="1129"/>
      <c r="D1194" s="1098"/>
      <c r="E1194" s="1098"/>
      <c r="F1194" s="1099"/>
      <c r="G1194" s="1098"/>
      <c r="H1194" s="1153"/>
      <c r="I1194" s="1099"/>
    </row>
    <row r="1195" spans="2:9">
      <c r="B1195" s="1136"/>
      <c r="C1195" s="1129"/>
      <c r="D1195" s="1098"/>
      <c r="E1195" s="1098"/>
      <c r="F1195" s="1099"/>
      <c r="G1195" s="1098"/>
      <c r="H1195" s="1153"/>
      <c r="I1195" s="1099"/>
    </row>
    <row r="1196" spans="2:9">
      <c r="B1196" s="1136"/>
      <c r="C1196" s="1129"/>
      <c r="D1196" s="1098"/>
      <c r="E1196" s="1098"/>
      <c r="F1196" s="1099"/>
      <c r="G1196" s="1098"/>
      <c r="H1196" s="1153"/>
      <c r="I1196" s="1099"/>
    </row>
    <row r="1197" spans="2:9">
      <c r="B1197" s="1136"/>
      <c r="C1197" s="1129"/>
      <c r="D1197" s="1098"/>
      <c r="E1197" s="1098"/>
      <c r="F1197" s="1099"/>
      <c r="G1197" s="1098"/>
      <c r="H1197" s="1153"/>
      <c r="I1197" s="1099"/>
    </row>
    <row r="1198" spans="2:9">
      <c r="B1198" s="1136"/>
      <c r="C1198" s="1129"/>
      <c r="D1198" s="1098"/>
      <c r="E1198" s="1098"/>
      <c r="F1198" s="1099"/>
      <c r="G1198" s="1098"/>
      <c r="H1198" s="1153"/>
      <c r="I1198" s="1099"/>
    </row>
    <row r="1199" spans="2:9">
      <c r="B1199" s="1136"/>
      <c r="C1199" s="1129"/>
      <c r="D1199" s="1098"/>
      <c r="E1199" s="1098"/>
      <c r="F1199" s="1099"/>
      <c r="G1199" s="1098"/>
      <c r="H1199" s="1153"/>
      <c r="I1199" s="1099"/>
    </row>
    <row r="1200" spans="2:9">
      <c r="B1200" s="1136"/>
      <c r="C1200" s="1129"/>
      <c r="D1200" s="1098"/>
      <c r="E1200" s="1098"/>
      <c r="F1200" s="1099"/>
      <c r="G1200" s="1098"/>
      <c r="H1200" s="1153"/>
      <c r="I1200" s="1099"/>
    </row>
    <row r="1201" spans="2:9">
      <c r="B1201" s="1136"/>
      <c r="C1201" s="1129"/>
      <c r="D1201" s="1098"/>
      <c r="E1201" s="1098"/>
      <c r="F1201" s="1099"/>
      <c r="G1201" s="1098"/>
      <c r="H1201" s="1153"/>
      <c r="I1201" s="1099"/>
    </row>
    <row r="1202" spans="2:9">
      <c r="B1202" s="1136"/>
      <c r="C1202" s="1129"/>
      <c r="D1202" s="1098"/>
      <c r="E1202" s="1098"/>
      <c r="F1202" s="1099"/>
      <c r="G1202" s="1098"/>
      <c r="H1202" s="1153"/>
      <c r="I1202" s="1099"/>
    </row>
    <row r="1203" spans="2:9">
      <c r="B1203" s="1136"/>
      <c r="C1203" s="1129"/>
      <c r="D1203" s="1098"/>
      <c r="E1203" s="1098"/>
      <c r="F1203" s="1099"/>
      <c r="G1203" s="1098"/>
      <c r="H1203" s="1153"/>
      <c r="I1203" s="1099"/>
    </row>
    <row r="1204" spans="2:9">
      <c r="B1204" s="1136"/>
      <c r="C1204" s="1129"/>
      <c r="D1204" s="1098"/>
      <c r="E1204" s="1098"/>
      <c r="F1204" s="1099"/>
      <c r="G1204" s="1098"/>
      <c r="H1204" s="1153"/>
      <c r="I1204" s="1099"/>
    </row>
    <row r="1205" spans="2:9">
      <c r="B1205" s="1136"/>
      <c r="C1205" s="1129"/>
      <c r="D1205" s="1098"/>
      <c r="E1205" s="1098"/>
      <c r="F1205" s="1099"/>
      <c r="G1205" s="1098"/>
      <c r="H1205" s="1153"/>
      <c r="I1205" s="1099"/>
    </row>
    <row r="1206" spans="2:9">
      <c r="B1206" s="1136"/>
      <c r="C1206" s="1129"/>
      <c r="D1206" s="1098"/>
      <c r="E1206" s="1098"/>
      <c r="F1206" s="1099"/>
      <c r="G1206" s="1098"/>
      <c r="H1206" s="1153"/>
      <c r="I1206" s="1099"/>
    </row>
    <row r="1207" spans="2:9">
      <c r="B1207" s="1136"/>
      <c r="C1207" s="1129"/>
      <c r="D1207" s="1098"/>
      <c r="E1207" s="1098"/>
      <c r="F1207" s="1099"/>
      <c r="G1207" s="1098"/>
      <c r="H1207" s="1153"/>
      <c r="I1207" s="1099"/>
    </row>
    <row r="1208" spans="2:9">
      <c r="B1208" s="1136"/>
      <c r="C1208" s="1129"/>
      <c r="D1208" s="1098"/>
      <c r="E1208" s="1098"/>
      <c r="F1208" s="1099"/>
      <c r="G1208" s="1098"/>
      <c r="H1208" s="1153"/>
      <c r="I1208" s="1099"/>
    </row>
    <row r="1209" spans="2:9">
      <c r="B1209" s="1136"/>
      <c r="C1209" s="1129"/>
      <c r="D1209" s="1098"/>
      <c r="E1209" s="1098"/>
      <c r="F1209" s="1099"/>
      <c r="G1209" s="1098"/>
      <c r="H1209" s="1153"/>
      <c r="I1209" s="1099"/>
    </row>
    <row r="1210" spans="2:9">
      <c r="B1210" s="1136"/>
      <c r="C1210" s="1129"/>
      <c r="D1210" s="1098"/>
      <c r="E1210" s="1098"/>
      <c r="F1210" s="1099"/>
      <c r="G1210" s="1098"/>
      <c r="H1210" s="1153"/>
      <c r="I1210" s="1099"/>
    </row>
    <row r="1211" spans="2:9">
      <c r="B1211" s="1136"/>
      <c r="C1211" s="1129"/>
      <c r="D1211" s="1098"/>
      <c r="E1211" s="1098"/>
      <c r="F1211" s="1099"/>
      <c r="G1211" s="1098"/>
      <c r="H1211" s="1153"/>
      <c r="I1211" s="1099"/>
    </row>
    <row r="1212" spans="2:9">
      <c r="B1212" s="1136"/>
      <c r="C1212" s="1129"/>
      <c r="D1212" s="1098"/>
      <c r="E1212" s="1098"/>
      <c r="F1212" s="1099"/>
      <c r="G1212" s="1098"/>
      <c r="H1212" s="1153"/>
      <c r="I1212" s="1099"/>
    </row>
    <row r="1213" spans="2:9">
      <c r="B1213" s="1136"/>
      <c r="C1213" s="1129"/>
      <c r="D1213" s="1098"/>
      <c r="E1213" s="1098"/>
      <c r="F1213" s="1099"/>
      <c r="G1213" s="1098"/>
      <c r="H1213" s="1153"/>
      <c r="I1213" s="1099"/>
    </row>
    <row r="1214" spans="2:9">
      <c r="B1214" s="1136"/>
      <c r="C1214" s="1129"/>
      <c r="D1214" s="1098"/>
      <c r="E1214" s="1098"/>
      <c r="F1214" s="1099"/>
      <c r="G1214" s="1098"/>
      <c r="H1214" s="1153"/>
      <c r="I1214" s="1099"/>
    </row>
    <row r="1215" spans="2:9">
      <c r="B1215" s="1136"/>
      <c r="C1215" s="1129"/>
      <c r="D1215" s="1098"/>
      <c r="E1215" s="1098"/>
      <c r="F1215" s="1099"/>
      <c r="G1215" s="1098"/>
      <c r="H1215" s="1153"/>
      <c r="I1215" s="1099"/>
    </row>
    <row r="1216" spans="2:9">
      <c r="B1216" s="1136"/>
      <c r="C1216" s="1129"/>
      <c r="D1216" s="1098"/>
      <c r="E1216" s="1098"/>
      <c r="F1216" s="1099"/>
      <c r="G1216" s="1098"/>
      <c r="H1216" s="1153"/>
      <c r="I1216" s="1099"/>
    </row>
    <row r="1217" spans="2:9">
      <c r="B1217" s="1136"/>
      <c r="C1217" s="1129"/>
      <c r="D1217" s="1098"/>
      <c r="E1217" s="1098"/>
      <c r="F1217" s="1099"/>
      <c r="G1217" s="1098"/>
      <c r="H1217" s="1153"/>
      <c r="I1217" s="1099"/>
    </row>
    <row r="1218" spans="2:9">
      <c r="B1218" s="1136"/>
      <c r="C1218" s="1129"/>
      <c r="D1218" s="1098"/>
      <c r="E1218" s="1098"/>
      <c r="F1218" s="1099"/>
      <c r="G1218" s="1098"/>
      <c r="H1218" s="1153"/>
      <c r="I1218" s="1099"/>
    </row>
    <row r="1219" spans="2:9">
      <c r="B1219" s="1136"/>
      <c r="C1219" s="1129"/>
      <c r="D1219" s="1098"/>
      <c r="E1219" s="1098"/>
      <c r="F1219" s="1099"/>
      <c r="G1219" s="1098"/>
      <c r="H1219" s="1153"/>
      <c r="I1219" s="1099"/>
    </row>
    <row r="1220" spans="2:9">
      <c r="B1220" s="1136"/>
      <c r="C1220" s="1129"/>
      <c r="D1220" s="1098"/>
      <c r="E1220" s="1098"/>
      <c r="F1220" s="1099"/>
      <c r="G1220" s="1098"/>
      <c r="H1220" s="1153"/>
      <c r="I1220" s="1099"/>
    </row>
    <row r="1221" spans="2:9">
      <c r="B1221" s="1136"/>
      <c r="C1221" s="1129"/>
      <c r="D1221" s="1098"/>
      <c r="E1221" s="1098"/>
      <c r="F1221" s="1099"/>
      <c r="G1221" s="1098"/>
      <c r="H1221" s="1153"/>
      <c r="I1221" s="1099"/>
    </row>
    <row r="1222" spans="2:9">
      <c r="B1222" s="1136"/>
      <c r="C1222" s="1129"/>
      <c r="D1222" s="1098"/>
      <c r="E1222" s="1098"/>
      <c r="F1222" s="1099"/>
      <c r="G1222" s="1098"/>
      <c r="H1222" s="1153"/>
      <c r="I1222" s="1099"/>
    </row>
    <row r="1223" spans="2:9">
      <c r="B1223" s="1136"/>
      <c r="C1223" s="1129"/>
      <c r="D1223" s="1098"/>
      <c r="E1223" s="1098"/>
      <c r="F1223" s="1099"/>
      <c r="G1223" s="1098"/>
      <c r="H1223" s="1153"/>
      <c r="I1223" s="1099"/>
    </row>
    <row r="1224" spans="2:9">
      <c r="B1224" s="1136"/>
      <c r="C1224" s="1129"/>
      <c r="D1224" s="1098"/>
      <c r="E1224" s="1098"/>
      <c r="F1224" s="1099"/>
      <c r="G1224" s="1098"/>
      <c r="H1224" s="1153"/>
      <c r="I1224" s="1099"/>
    </row>
    <row r="1225" spans="2:9">
      <c r="B1225" s="1136"/>
      <c r="C1225" s="1129"/>
      <c r="D1225" s="1098"/>
      <c r="E1225" s="1098"/>
      <c r="F1225" s="1099"/>
      <c r="G1225" s="1098"/>
      <c r="H1225" s="1153"/>
      <c r="I1225" s="1099"/>
    </row>
    <row r="1226" spans="2:9">
      <c r="B1226" s="1136"/>
      <c r="C1226" s="1129"/>
      <c r="D1226" s="1098"/>
      <c r="E1226" s="1098"/>
      <c r="F1226" s="1099"/>
      <c r="G1226" s="1098"/>
      <c r="H1226" s="1153"/>
      <c r="I1226" s="1099"/>
    </row>
    <row r="1227" spans="2:9">
      <c r="B1227" s="1136"/>
      <c r="C1227" s="1129"/>
      <c r="D1227" s="1098"/>
      <c r="E1227" s="1098"/>
      <c r="F1227" s="1099"/>
      <c r="G1227" s="1098"/>
      <c r="H1227" s="1153"/>
      <c r="I1227" s="1099"/>
    </row>
    <row r="1228" spans="2:9">
      <c r="B1228" s="1136"/>
      <c r="C1228" s="1129"/>
      <c r="D1228" s="1098"/>
      <c r="E1228" s="1098"/>
      <c r="F1228" s="1099"/>
      <c r="G1228" s="1098"/>
      <c r="H1228" s="1153"/>
      <c r="I1228" s="1099"/>
    </row>
    <row r="1229" spans="2:9">
      <c r="B1229" s="1136"/>
      <c r="C1229" s="1129"/>
      <c r="D1229" s="1098"/>
      <c r="E1229" s="1098"/>
      <c r="F1229" s="1099"/>
      <c r="G1229" s="1098"/>
      <c r="H1229" s="1153"/>
      <c r="I1229" s="1099"/>
    </row>
    <row r="1230" spans="2:9">
      <c r="B1230" s="1136"/>
      <c r="C1230" s="1129"/>
      <c r="D1230" s="1098"/>
      <c r="E1230" s="1098"/>
      <c r="F1230" s="1099"/>
      <c r="G1230" s="1098"/>
      <c r="H1230" s="1153"/>
      <c r="I1230" s="1099"/>
    </row>
    <row r="1231" spans="2:9">
      <c r="B1231" s="1136"/>
      <c r="C1231" s="1129"/>
      <c r="D1231" s="1098"/>
      <c r="E1231" s="1098"/>
      <c r="F1231" s="1099"/>
      <c r="G1231" s="1098"/>
      <c r="H1231" s="1153"/>
      <c r="I1231" s="1099"/>
    </row>
    <row r="1232" spans="2:9">
      <c r="B1232" s="1136"/>
      <c r="C1232" s="1129"/>
      <c r="D1232" s="1098"/>
      <c r="E1232" s="1098"/>
      <c r="F1232" s="1099"/>
      <c r="G1232" s="1098"/>
      <c r="H1232" s="1153"/>
      <c r="I1232" s="1099"/>
    </row>
    <row r="1233" spans="2:9">
      <c r="B1233" s="1136"/>
      <c r="C1233" s="1129"/>
      <c r="D1233" s="1098"/>
      <c r="E1233" s="1098"/>
      <c r="F1233" s="1099"/>
      <c r="G1233" s="1098"/>
      <c r="H1233" s="1153"/>
      <c r="I1233" s="1099"/>
    </row>
    <row r="1234" spans="2:9">
      <c r="B1234" s="1136"/>
      <c r="C1234" s="1129"/>
      <c r="D1234" s="1098"/>
      <c r="E1234" s="1098"/>
      <c r="F1234" s="1099"/>
      <c r="G1234" s="1098"/>
      <c r="H1234" s="1153"/>
      <c r="I1234" s="1099"/>
    </row>
    <row r="1235" spans="2:9">
      <c r="B1235" s="1136"/>
      <c r="C1235" s="1129"/>
      <c r="D1235" s="1098"/>
      <c r="E1235" s="1098"/>
      <c r="F1235" s="1099"/>
      <c r="G1235" s="1098"/>
      <c r="H1235" s="1153"/>
      <c r="I1235" s="1099"/>
    </row>
    <row r="1236" spans="2:9">
      <c r="B1236" s="1136"/>
      <c r="C1236" s="1129"/>
      <c r="D1236" s="1098"/>
      <c r="E1236" s="1098"/>
      <c r="F1236" s="1099"/>
      <c r="G1236" s="1098"/>
      <c r="H1236" s="1153"/>
      <c r="I1236" s="1099"/>
    </row>
    <row r="1237" spans="2:9">
      <c r="B1237" s="1136"/>
      <c r="C1237" s="1129"/>
      <c r="D1237" s="1098"/>
      <c r="E1237" s="1098"/>
      <c r="F1237" s="1099"/>
      <c r="G1237" s="1098"/>
      <c r="H1237" s="1153"/>
      <c r="I1237" s="1099"/>
    </row>
    <row r="1238" spans="2:9">
      <c r="B1238" s="1136"/>
      <c r="C1238" s="1129"/>
      <c r="D1238" s="1098"/>
      <c r="E1238" s="1098"/>
      <c r="F1238" s="1099"/>
      <c r="G1238" s="1098"/>
      <c r="H1238" s="1153"/>
      <c r="I1238" s="1099"/>
    </row>
    <row r="1239" spans="2:9">
      <c r="B1239" s="1136"/>
      <c r="C1239" s="1129"/>
      <c r="D1239" s="1098"/>
      <c r="E1239" s="1098"/>
      <c r="F1239" s="1099"/>
      <c r="G1239" s="1098"/>
      <c r="H1239" s="1153"/>
      <c r="I1239" s="1099"/>
    </row>
    <row r="1240" spans="2:9">
      <c r="B1240" s="1136"/>
      <c r="C1240" s="1129"/>
      <c r="D1240" s="1098"/>
      <c r="E1240" s="1098"/>
      <c r="F1240" s="1099"/>
      <c r="G1240" s="1098"/>
      <c r="H1240" s="1153"/>
      <c r="I1240" s="1099"/>
    </row>
    <row r="1241" spans="2:9">
      <c r="B1241" s="1136"/>
      <c r="C1241" s="1129"/>
      <c r="D1241" s="1098"/>
      <c r="E1241" s="1098"/>
      <c r="F1241" s="1099"/>
      <c r="G1241" s="1098"/>
      <c r="H1241" s="1153"/>
      <c r="I1241" s="1099"/>
    </row>
    <row r="1242" spans="2:9">
      <c r="B1242" s="1136"/>
      <c r="C1242" s="1129"/>
      <c r="D1242" s="1098"/>
      <c r="E1242" s="1098"/>
      <c r="F1242" s="1099"/>
      <c r="G1242" s="1098"/>
      <c r="H1242" s="1153"/>
      <c r="I1242" s="1099"/>
    </row>
    <row r="1243" spans="2:9">
      <c r="B1243" s="1136"/>
      <c r="C1243" s="1129"/>
      <c r="D1243" s="1098"/>
      <c r="E1243" s="1098"/>
      <c r="F1243" s="1099"/>
      <c r="G1243" s="1098"/>
      <c r="H1243" s="1153"/>
      <c r="I1243" s="1099"/>
    </row>
    <row r="1244" spans="2:9">
      <c r="B1244" s="1136"/>
      <c r="C1244" s="1129"/>
      <c r="D1244" s="1098"/>
      <c r="E1244" s="1098"/>
      <c r="F1244" s="1099"/>
      <c r="G1244" s="1098"/>
      <c r="H1244" s="1153"/>
      <c r="I1244" s="1099"/>
    </row>
    <row r="1245" spans="2:9">
      <c r="B1245" s="1136"/>
      <c r="C1245" s="1129"/>
      <c r="D1245" s="1098"/>
      <c r="E1245" s="1098"/>
      <c r="F1245" s="1099"/>
      <c r="G1245" s="1098"/>
      <c r="H1245" s="1153"/>
      <c r="I1245" s="1099"/>
    </row>
    <row r="1246" spans="2:9">
      <c r="B1246" s="1136"/>
      <c r="C1246" s="1129"/>
      <c r="D1246" s="1098"/>
      <c r="E1246" s="1098"/>
      <c r="F1246" s="1099"/>
      <c r="G1246" s="1098"/>
      <c r="H1246" s="1153"/>
      <c r="I1246" s="1099"/>
    </row>
    <row r="1247" spans="2:9">
      <c r="B1247" s="1136"/>
      <c r="C1247" s="1129"/>
      <c r="D1247" s="1098"/>
      <c r="E1247" s="1098"/>
      <c r="F1247" s="1099"/>
      <c r="G1247" s="1098"/>
      <c r="H1247" s="1153"/>
      <c r="I1247" s="1099"/>
    </row>
    <row r="1248" spans="2:9">
      <c r="B1248" s="1136"/>
      <c r="C1248" s="1129"/>
      <c r="D1248" s="1098"/>
      <c r="E1248" s="1098"/>
      <c r="F1248" s="1099"/>
      <c r="G1248" s="1098"/>
      <c r="H1248" s="1153"/>
      <c r="I1248" s="1099"/>
    </row>
    <row r="1249" spans="2:9">
      <c r="B1249" s="1136"/>
      <c r="C1249" s="1129"/>
      <c r="D1249" s="1098"/>
      <c r="E1249" s="1098"/>
      <c r="F1249" s="1099"/>
      <c r="G1249" s="1098"/>
      <c r="H1249" s="1153"/>
      <c r="I1249" s="1099"/>
    </row>
    <row r="1250" spans="2:9">
      <c r="B1250" s="1136"/>
      <c r="C1250" s="1129"/>
      <c r="D1250" s="1098"/>
      <c r="E1250" s="1098"/>
      <c r="F1250" s="1099"/>
      <c r="G1250" s="1098"/>
      <c r="H1250" s="1153"/>
      <c r="I1250" s="1099"/>
    </row>
    <row r="1251" spans="2:9">
      <c r="B1251" s="1136"/>
      <c r="C1251" s="1129"/>
      <c r="D1251" s="1098"/>
      <c r="E1251" s="1098"/>
      <c r="F1251" s="1099"/>
      <c r="G1251" s="1098"/>
      <c r="H1251" s="1153"/>
      <c r="I1251" s="1099"/>
    </row>
    <row r="1252" spans="2:9">
      <c r="B1252" s="1136"/>
      <c r="C1252" s="1129"/>
      <c r="D1252" s="1098"/>
      <c r="E1252" s="1098"/>
      <c r="F1252" s="1099"/>
      <c r="G1252" s="1098"/>
      <c r="H1252" s="1153"/>
      <c r="I1252" s="1099"/>
    </row>
    <row r="1253" spans="2:9">
      <c r="B1253" s="1136"/>
      <c r="C1253" s="1129"/>
      <c r="D1253" s="1098"/>
      <c r="E1253" s="1098"/>
      <c r="F1253" s="1099"/>
      <c r="G1253" s="1098"/>
      <c r="H1253" s="1153"/>
      <c r="I1253" s="1099"/>
    </row>
    <row r="1254" spans="2:9">
      <c r="B1254" s="1136"/>
      <c r="C1254" s="1129"/>
      <c r="D1254" s="1098"/>
      <c r="E1254" s="1098"/>
      <c r="F1254" s="1099"/>
      <c r="G1254" s="1098"/>
      <c r="H1254" s="1153"/>
      <c r="I1254" s="1099"/>
    </row>
    <row r="1255" spans="2:9">
      <c r="B1255" s="1136"/>
      <c r="C1255" s="1129"/>
      <c r="D1255" s="1098"/>
      <c r="E1255" s="1098"/>
      <c r="F1255" s="1099"/>
      <c r="G1255" s="1098"/>
      <c r="H1255" s="1153"/>
      <c r="I1255" s="1099"/>
    </row>
    <row r="1256" spans="2:9">
      <c r="B1256" s="1136"/>
      <c r="C1256" s="1129"/>
      <c r="D1256" s="1098"/>
      <c r="E1256" s="1098"/>
      <c r="F1256" s="1099"/>
      <c r="G1256" s="1098"/>
      <c r="H1256" s="1153"/>
      <c r="I1256" s="1099"/>
    </row>
    <row r="1257" spans="2:9">
      <c r="B1257" s="1136"/>
      <c r="C1257" s="1129"/>
      <c r="D1257" s="1098"/>
      <c r="E1257" s="1098"/>
      <c r="F1257" s="1099"/>
      <c r="G1257" s="1098"/>
      <c r="H1257" s="1153"/>
      <c r="I1257" s="1099"/>
    </row>
    <row r="1258" spans="2:9">
      <c r="B1258" s="1136"/>
      <c r="C1258" s="1129"/>
      <c r="D1258" s="1098"/>
      <c r="E1258" s="1098"/>
      <c r="F1258" s="1099"/>
      <c r="G1258" s="1098"/>
      <c r="H1258" s="1153"/>
      <c r="I1258" s="1099"/>
    </row>
    <row r="1259" spans="2:9">
      <c r="B1259" s="1136"/>
      <c r="C1259" s="1129"/>
      <c r="D1259" s="1098"/>
      <c r="E1259" s="1098"/>
      <c r="F1259" s="1099"/>
      <c r="G1259" s="1098"/>
      <c r="H1259" s="1153"/>
      <c r="I1259" s="1099"/>
    </row>
    <row r="1260" spans="2:9">
      <c r="B1260" s="1136"/>
      <c r="C1260" s="1129"/>
      <c r="D1260" s="1098"/>
      <c r="E1260" s="1098"/>
      <c r="F1260" s="1099"/>
      <c r="G1260" s="1098"/>
      <c r="H1260" s="1153"/>
      <c r="I1260" s="1099"/>
    </row>
    <row r="1261" spans="2:9">
      <c r="B1261" s="1136"/>
      <c r="C1261" s="1129"/>
      <c r="D1261" s="1098"/>
      <c r="E1261" s="1098"/>
      <c r="F1261" s="1099"/>
      <c r="G1261" s="1098"/>
      <c r="H1261" s="1153"/>
      <c r="I1261" s="1099"/>
    </row>
    <row r="1262" spans="2:9">
      <c r="B1262" s="1136"/>
      <c r="C1262" s="1129"/>
      <c r="D1262" s="1098"/>
      <c r="E1262" s="1098"/>
      <c r="F1262" s="1099"/>
      <c r="G1262" s="1098"/>
      <c r="H1262" s="1153"/>
      <c r="I1262" s="1099"/>
    </row>
    <row r="1263" spans="2:9">
      <c r="B1263" s="1136"/>
      <c r="C1263" s="1129"/>
      <c r="D1263" s="1098"/>
      <c r="E1263" s="1098"/>
      <c r="F1263" s="1099"/>
      <c r="G1263" s="1098"/>
      <c r="H1263" s="1153"/>
      <c r="I1263" s="1099"/>
    </row>
    <row r="1264" spans="2:9">
      <c r="B1264" s="1136"/>
      <c r="C1264" s="1129"/>
      <c r="D1264" s="1098"/>
      <c r="E1264" s="1098"/>
      <c r="F1264" s="1099"/>
      <c r="G1264" s="1098"/>
      <c r="H1264" s="1153"/>
      <c r="I1264" s="1099"/>
    </row>
    <row r="1265" spans="2:9">
      <c r="B1265" s="1136"/>
      <c r="C1265" s="1129"/>
      <c r="D1265" s="1098"/>
      <c r="E1265" s="1098"/>
      <c r="F1265" s="1099"/>
      <c r="G1265" s="1098"/>
      <c r="H1265" s="1153"/>
      <c r="I1265" s="1099"/>
    </row>
    <row r="1266" spans="2:9">
      <c r="B1266" s="1136"/>
      <c r="C1266" s="1129"/>
      <c r="D1266" s="1098"/>
      <c r="E1266" s="1098"/>
      <c r="F1266" s="1099"/>
      <c r="G1266" s="1098"/>
      <c r="H1266" s="1153"/>
      <c r="I1266" s="1099"/>
    </row>
    <row r="1267" spans="2:9">
      <c r="B1267" s="1136"/>
      <c r="C1267" s="1129"/>
      <c r="D1267" s="1098"/>
      <c r="E1267" s="1098"/>
      <c r="F1267" s="1099"/>
      <c r="G1267" s="1098"/>
      <c r="H1267" s="1153"/>
      <c r="I1267" s="1099"/>
    </row>
    <row r="1268" spans="2:9">
      <c r="B1268" s="1136"/>
      <c r="C1268" s="1129"/>
      <c r="D1268" s="1098"/>
      <c r="E1268" s="1098"/>
      <c r="F1268" s="1099"/>
      <c r="G1268" s="1098"/>
      <c r="H1268" s="1153"/>
      <c r="I1268" s="1099"/>
    </row>
    <row r="1269" spans="2:9">
      <c r="B1269" s="1136"/>
      <c r="C1269" s="1129"/>
      <c r="D1269" s="1098"/>
      <c r="E1269" s="1098"/>
      <c r="F1269" s="1099"/>
      <c r="G1269" s="1098"/>
      <c r="H1269" s="1153"/>
      <c r="I1269" s="1099"/>
    </row>
    <row r="1270" spans="2:9">
      <c r="B1270" s="1136"/>
      <c r="C1270" s="1129"/>
      <c r="D1270" s="1098"/>
      <c r="E1270" s="1098"/>
      <c r="F1270" s="1099"/>
      <c r="G1270" s="1098"/>
      <c r="H1270" s="1153"/>
      <c r="I1270" s="1099"/>
    </row>
    <row r="1271" spans="2:9">
      <c r="B1271" s="1136"/>
      <c r="C1271" s="1129"/>
      <c r="D1271" s="1098"/>
      <c r="E1271" s="1098"/>
      <c r="F1271" s="1099"/>
      <c r="G1271" s="1098"/>
      <c r="H1271" s="1153"/>
      <c r="I1271" s="1099"/>
    </row>
    <row r="1272" spans="2:9">
      <c r="B1272" s="1136"/>
      <c r="C1272" s="1129"/>
      <c r="D1272" s="1098"/>
      <c r="E1272" s="1098"/>
      <c r="F1272" s="1099"/>
      <c r="G1272" s="1098"/>
      <c r="H1272" s="1153"/>
      <c r="I1272" s="1099"/>
    </row>
    <row r="1273" spans="2:9">
      <c r="B1273" s="1136"/>
      <c r="C1273" s="1129"/>
      <c r="D1273" s="1098"/>
      <c r="E1273" s="1098"/>
      <c r="F1273" s="1099"/>
      <c r="G1273" s="1098"/>
      <c r="H1273" s="1153"/>
      <c r="I1273" s="1099"/>
    </row>
    <row r="1274" spans="2:9">
      <c r="B1274" s="1136"/>
      <c r="C1274" s="1129"/>
      <c r="D1274" s="1098"/>
      <c r="E1274" s="1098"/>
      <c r="F1274" s="1099"/>
      <c r="G1274" s="1098"/>
      <c r="H1274" s="1153"/>
      <c r="I1274" s="1099"/>
    </row>
    <row r="1275" spans="2:9">
      <c r="B1275" s="1136"/>
      <c r="C1275" s="1129"/>
      <c r="D1275" s="1098"/>
      <c r="E1275" s="1098"/>
      <c r="F1275" s="1099"/>
      <c r="G1275" s="1098"/>
      <c r="H1275" s="1153"/>
      <c r="I1275" s="1099"/>
    </row>
    <row r="1276" spans="2:9">
      <c r="B1276" s="1136"/>
      <c r="C1276" s="1129"/>
      <c r="D1276" s="1098"/>
      <c r="E1276" s="1098"/>
      <c r="F1276" s="1099"/>
      <c r="G1276" s="1098"/>
      <c r="H1276" s="1153"/>
      <c r="I1276" s="1099"/>
    </row>
    <row r="1277" spans="2:9">
      <c r="B1277" s="1136"/>
      <c r="C1277" s="1129"/>
      <c r="D1277" s="1098"/>
      <c r="E1277" s="1098"/>
      <c r="F1277" s="1099"/>
      <c r="G1277" s="1098"/>
      <c r="H1277" s="1153"/>
      <c r="I1277" s="1099"/>
    </row>
    <row r="1278" spans="2:9">
      <c r="B1278" s="1136"/>
      <c r="C1278" s="1129"/>
      <c r="D1278" s="1098"/>
      <c r="E1278" s="1098"/>
      <c r="F1278" s="1099"/>
      <c r="G1278" s="1098"/>
      <c r="H1278" s="1153"/>
      <c r="I1278" s="1099"/>
    </row>
    <row r="1279" spans="2:9">
      <c r="B1279" s="1136"/>
      <c r="C1279" s="1129"/>
      <c r="D1279" s="1098"/>
      <c r="E1279" s="1098"/>
      <c r="F1279" s="1099"/>
      <c r="G1279" s="1098"/>
      <c r="H1279" s="1153"/>
      <c r="I1279" s="1099"/>
    </row>
    <row r="1280" spans="2:9">
      <c r="B1280" s="1136"/>
      <c r="C1280" s="1129"/>
      <c r="D1280" s="1098"/>
      <c r="E1280" s="1098"/>
      <c r="F1280" s="1099"/>
      <c r="G1280" s="1098"/>
      <c r="H1280" s="1153"/>
      <c r="I1280" s="1099"/>
    </row>
    <row r="1281" spans="2:9">
      <c r="B1281" s="1136"/>
      <c r="C1281" s="1129"/>
      <c r="D1281" s="1098"/>
      <c r="E1281" s="1098"/>
      <c r="F1281" s="1099"/>
      <c r="G1281" s="1098"/>
      <c r="H1281" s="1153"/>
      <c r="I1281" s="1099"/>
    </row>
    <row r="1282" spans="2:9">
      <c r="B1282" s="1136"/>
      <c r="C1282" s="1129"/>
      <c r="D1282" s="1098"/>
      <c r="E1282" s="1098"/>
      <c r="F1282" s="1099"/>
      <c r="G1282" s="1098"/>
      <c r="H1282" s="1153"/>
      <c r="I1282" s="1099"/>
    </row>
    <row r="1283" spans="2:9">
      <c r="B1283" s="1136"/>
      <c r="C1283" s="1129"/>
      <c r="D1283" s="1098"/>
      <c r="E1283" s="1098"/>
      <c r="F1283" s="1099"/>
      <c r="G1283" s="1098"/>
      <c r="H1283" s="1153"/>
      <c r="I1283" s="1099"/>
    </row>
    <row r="1284" spans="2:9">
      <c r="B1284" s="1136"/>
      <c r="C1284" s="1129"/>
      <c r="D1284" s="1098"/>
      <c r="E1284" s="1098"/>
      <c r="F1284" s="1099"/>
      <c r="G1284" s="1098"/>
      <c r="H1284" s="1153"/>
      <c r="I1284" s="1099"/>
    </row>
    <row r="1285" spans="2:9">
      <c r="B1285" s="1136"/>
      <c r="C1285" s="1129"/>
      <c r="D1285" s="1098"/>
      <c r="E1285" s="1098"/>
      <c r="F1285" s="1099"/>
      <c r="G1285" s="1098"/>
      <c r="H1285" s="1153"/>
      <c r="I1285" s="1099"/>
    </row>
    <row r="1286" spans="2:9">
      <c r="B1286" s="1136"/>
      <c r="C1286" s="1129"/>
      <c r="D1286" s="1098"/>
      <c r="E1286" s="1098"/>
      <c r="F1286" s="1099"/>
      <c r="G1286" s="1098"/>
      <c r="H1286" s="1153"/>
      <c r="I1286" s="1099"/>
    </row>
    <row r="1287" spans="2:9">
      <c r="B1287" s="1136"/>
      <c r="C1287" s="1129"/>
      <c r="D1287" s="1098"/>
      <c r="E1287" s="1098"/>
      <c r="F1287" s="1099"/>
      <c r="G1287" s="1098"/>
      <c r="H1287" s="1153"/>
      <c r="I1287" s="1099"/>
    </row>
    <row r="1288" spans="2:9">
      <c r="B1288" s="1136"/>
      <c r="C1288" s="1129"/>
      <c r="D1288" s="1098"/>
      <c r="E1288" s="1098"/>
      <c r="F1288" s="1099"/>
      <c r="G1288" s="1098"/>
      <c r="H1288" s="1153"/>
      <c r="I1288" s="1099"/>
    </row>
    <row r="1289" spans="2:9">
      <c r="B1289" s="1136"/>
      <c r="C1289" s="1129"/>
      <c r="D1289" s="1098"/>
      <c r="E1289" s="1098"/>
      <c r="F1289" s="1099"/>
      <c r="G1289" s="1098"/>
      <c r="H1289" s="1153"/>
      <c r="I1289" s="1099"/>
    </row>
    <row r="1290" spans="2:9">
      <c r="B1290" s="1136"/>
      <c r="C1290" s="1129"/>
      <c r="D1290" s="1098"/>
      <c r="E1290" s="1098"/>
      <c r="F1290" s="1099"/>
      <c r="G1290" s="1098"/>
      <c r="H1290" s="1153"/>
      <c r="I1290" s="1099"/>
    </row>
    <row r="1291" spans="2:9">
      <c r="B1291" s="1136"/>
      <c r="C1291" s="1129"/>
      <c r="D1291" s="1098"/>
      <c r="E1291" s="1098"/>
      <c r="F1291" s="1099"/>
      <c r="G1291" s="1098"/>
      <c r="H1291" s="1153"/>
      <c r="I1291" s="1099"/>
    </row>
    <row r="1292" spans="2:9">
      <c r="B1292" s="1136"/>
      <c r="C1292" s="1129"/>
      <c r="D1292" s="1098"/>
      <c r="E1292" s="1098"/>
      <c r="F1292" s="1099"/>
      <c r="G1292" s="1098"/>
      <c r="H1292" s="1153"/>
      <c r="I1292" s="1099"/>
    </row>
    <row r="1293" spans="2:9">
      <c r="B1293" s="1136"/>
      <c r="C1293" s="1129"/>
      <c r="D1293" s="1098"/>
      <c r="E1293" s="1098"/>
      <c r="F1293" s="1099"/>
      <c r="G1293" s="1098"/>
      <c r="H1293" s="1153"/>
      <c r="I1293" s="1099"/>
    </row>
    <row r="1294" spans="2:9">
      <c r="B1294" s="1136"/>
      <c r="C1294" s="1129"/>
      <c r="D1294" s="1098"/>
      <c r="E1294" s="1098"/>
      <c r="F1294" s="1099"/>
      <c r="G1294" s="1098"/>
      <c r="H1294" s="1153"/>
      <c r="I1294" s="1099"/>
    </row>
    <row r="1295" spans="2:9">
      <c r="B1295" s="1136"/>
      <c r="C1295" s="1129"/>
      <c r="D1295" s="1098"/>
      <c r="E1295" s="1098"/>
      <c r="F1295" s="1099"/>
      <c r="G1295" s="1098"/>
      <c r="H1295" s="1153"/>
      <c r="I1295" s="1099"/>
    </row>
    <row r="1296" spans="2:9">
      <c r="B1296" s="1136"/>
      <c r="C1296" s="1129"/>
      <c r="D1296" s="1098"/>
      <c r="E1296" s="1098"/>
      <c r="F1296" s="1099"/>
      <c r="G1296" s="1098"/>
      <c r="H1296" s="1153"/>
      <c r="I1296" s="1099"/>
    </row>
    <row r="1297" spans="2:9">
      <c r="B1297" s="1136"/>
      <c r="C1297" s="1129"/>
      <c r="D1297" s="1098"/>
      <c r="E1297" s="1098"/>
      <c r="F1297" s="1099"/>
      <c r="G1297" s="1098"/>
      <c r="H1297" s="1153"/>
      <c r="I1297" s="1099"/>
    </row>
    <row r="1298" spans="2:9">
      <c r="B1298" s="1136"/>
      <c r="C1298" s="1129"/>
      <c r="D1298" s="1098"/>
      <c r="E1298" s="1098"/>
      <c r="F1298" s="1099"/>
      <c r="G1298" s="1098"/>
      <c r="H1298" s="1153"/>
      <c r="I1298" s="1099"/>
    </row>
    <row r="1299" spans="2:9">
      <c r="B1299" s="1136"/>
      <c r="C1299" s="1129"/>
      <c r="D1299" s="1098"/>
      <c r="E1299" s="1098"/>
      <c r="F1299" s="1099"/>
      <c r="G1299" s="1098"/>
      <c r="H1299" s="1153"/>
      <c r="I1299" s="1099"/>
    </row>
    <row r="1300" spans="2:9">
      <c r="B1300" s="1136"/>
      <c r="C1300" s="1129"/>
      <c r="D1300" s="1098"/>
      <c r="E1300" s="1098"/>
      <c r="F1300" s="1099"/>
      <c r="G1300" s="1098"/>
      <c r="H1300" s="1153"/>
      <c r="I1300" s="1099"/>
    </row>
    <row r="1301" spans="2:9">
      <c r="B1301" s="1136"/>
      <c r="C1301" s="1129"/>
      <c r="D1301" s="1098"/>
      <c r="E1301" s="1098"/>
      <c r="F1301" s="1099"/>
      <c r="G1301" s="1098"/>
      <c r="H1301" s="1153"/>
      <c r="I1301" s="1099"/>
    </row>
    <row r="1302" spans="2:9">
      <c r="B1302" s="1136"/>
      <c r="C1302" s="1129"/>
      <c r="D1302" s="1098"/>
      <c r="E1302" s="1098"/>
      <c r="F1302" s="1099"/>
      <c r="G1302" s="1098"/>
      <c r="H1302" s="1153"/>
      <c r="I1302" s="1099"/>
    </row>
    <row r="1303" spans="2:9">
      <c r="B1303" s="1136"/>
      <c r="C1303" s="1129"/>
      <c r="D1303" s="1098"/>
      <c r="E1303" s="1098"/>
      <c r="F1303" s="1099"/>
      <c r="G1303" s="1098"/>
      <c r="H1303" s="1153"/>
      <c r="I1303" s="1099"/>
    </row>
    <row r="1304" spans="2:9">
      <c r="B1304" s="1136"/>
      <c r="C1304" s="1129"/>
      <c r="D1304" s="1098"/>
      <c r="E1304" s="1098"/>
      <c r="F1304" s="1099"/>
      <c r="G1304" s="1098"/>
      <c r="H1304" s="1153"/>
      <c r="I1304" s="1099"/>
    </row>
    <row r="1305" spans="2:9">
      <c r="B1305" s="1136"/>
      <c r="C1305" s="1129"/>
      <c r="D1305" s="1098"/>
      <c r="E1305" s="1098"/>
      <c r="F1305" s="1099"/>
      <c r="G1305" s="1098"/>
      <c r="H1305" s="1153"/>
      <c r="I1305" s="1099"/>
    </row>
    <row r="1306" spans="2:9">
      <c r="B1306" s="1136"/>
      <c r="C1306" s="1129"/>
      <c r="D1306" s="1098"/>
      <c r="E1306" s="1098"/>
      <c r="F1306" s="1099"/>
      <c r="G1306" s="1098"/>
      <c r="H1306" s="1153"/>
      <c r="I1306" s="1099"/>
    </row>
    <row r="1307" spans="2:9">
      <c r="B1307" s="1136"/>
      <c r="C1307" s="1129"/>
      <c r="D1307" s="1098"/>
      <c r="E1307" s="1098"/>
      <c r="F1307" s="1099"/>
      <c r="G1307" s="1098"/>
      <c r="H1307" s="1153"/>
      <c r="I1307" s="1099"/>
    </row>
    <row r="1308" spans="2:9">
      <c r="B1308" s="1136"/>
      <c r="C1308" s="1129"/>
      <c r="D1308" s="1098"/>
      <c r="E1308" s="1098"/>
      <c r="F1308" s="1099"/>
      <c r="G1308" s="1098"/>
      <c r="H1308" s="1153"/>
      <c r="I1308" s="1099"/>
    </row>
    <row r="1309" spans="2:9">
      <c r="B1309" s="1136"/>
      <c r="C1309" s="1129"/>
      <c r="D1309" s="1098"/>
      <c r="E1309" s="1098"/>
      <c r="F1309" s="1099"/>
      <c r="G1309" s="1098"/>
      <c r="H1309" s="1153"/>
      <c r="I1309" s="1099"/>
    </row>
    <row r="1310" spans="2:9">
      <c r="B1310" s="1136"/>
      <c r="C1310" s="1129"/>
      <c r="D1310" s="1098"/>
      <c r="E1310" s="1098"/>
      <c r="F1310" s="1099"/>
      <c r="G1310" s="1098"/>
      <c r="H1310" s="1153"/>
      <c r="I1310" s="1099"/>
    </row>
    <row r="1311" spans="2:9">
      <c r="B1311" s="1136"/>
      <c r="C1311" s="1129"/>
      <c r="D1311" s="1098"/>
      <c r="E1311" s="1098"/>
      <c r="F1311" s="1099"/>
      <c r="G1311" s="1098"/>
      <c r="H1311" s="1153"/>
      <c r="I1311" s="1099"/>
    </row>
    <row r="1312" spans="2:9">
      <c r="B1312" s="1136"/>
      <c r="C1312" s="1129"/>
      <c r="D1312" s="1098"/>
      <c r="E1312" s="1098"/>
      <c r="F1312" s="1099"/>
      <c r="G1312" s="1098"/>
      <c r="H1312" s="1153"/>
      <c r="I1312" s="1099"/>
    </row>
    <row r="1313" spans="2:9">
      <c r="B1313" s="1136"/>
      <c r="C1313" s="1129"/>
      <c r="D1313" s="1098"/>
      <c r="E1313" s="1098"/>
      <c r="F1313" s="1099"/>
      <c r="G1313" s="1098"/>
      <c r="H1313" s="1153"/>
      <c r="I1313" s="1099"/>
    </row>
    <row r="1314" spans="2:9">
      <c r="B1314" s="1136"/>
      <c r="C1314" s="1129"/>
      <c r="D1314" s="1098"/>
      <c r="E1314" s="1098"/>
      <c r="F1314" s="1099"/>
      <c r="G1314" s="1098"/>
      <c r="H1314" s="1153"/>
      <c r="I1314" s="1099"/>
    </row>
    <row r="1315" spans="2:9">
      <c r="B1315" s="1136"/>
      <c r="C1315" s="1129"/>
      <c r="D1315" s="1098"/>
      <c r="E1315" s="1098"/>
      <c r="F1315" s="1099"/>
      <c r="G1315" s="1098"/>
      <c r="H1315" s="1153"/>
      <c r="I1315" s="1099"/>
    </row>
    <row r="1316" spans="2:9">
      <c r="B1316" s="1136"/>
      <c r="C1316" s="1129"/>
      <c r="D1316" s="1098"/>
      <c r="E1316" s="1098"/>
      <c r="F1316" s="1099"/>
      <c r="G1316" s="1098"/>
      <c r="H1316" s="1153"/>
      <c r="I1316" s="1099"/>
    </row>
    <row r="1317" spans="2:9">
      <c r="B1317" s="1136"/>
      <c r="C1317" s="1129"/>
      <c r="D1317" s="1098"/>
      <c r="E1317" s="1098"/>
      <c r="F1317" s="1099"/>
      <c r="G1317" s="1098"/>
      <c r="H1317" s="1153"/>
      <c r="I1317" s="1099"/>
    </row>
    <row r="1318" spans="2:9">
      <c r="B1318" s="1136"/>
      <c r="C1318" s="1129"/>
      <c r="D1318" s="1098"/>
      <c r="E1318" s="1098"/>
      <c r="F1318" s="1099"/>
      <c r="G1318" s="1098"/>
      <c r="H1318" s="1153"/>
      <c r="I1318" s="1099"/>
    </row>
    <row r="1319" spans="2:9">
      <c r="B1319" s="1136"/>
      <c r="C1319" s="1129"/>
      <c r="D1319" s="1098"/>
      <c r="E1319" s="1098"/>
      <c r="F1319" s="1099"/>
      <c r="G1319" s="1098"/>
      <c r="H1319" s="1153"/>
      <c r="I1319" s="1099"/>
    </row>
    <row r="1320" spans="2:9">
      <c r="B1320" s="1136"/>
      <c r="C1320" s="1129"/>
      <c r="D1320" s="1098"/>
      <c r="E1320" s="1098"/>
      <c r="F1320" s="1099"/>
      <c r="G1320" s="1098"/>
      <c r="H1320" s="1153"/>
      <c r="I1320" s="1099"/>
    </row>
    <row r="1321" spans="2:9">
      <c r="B1321" s="1136"/>
      <c r="C1321" s="1129"/>
      <c r="D1321" s="1098"/>
      <c r="E1321" s="1098"/>
      <c r="F1321" s="1099"/>
      <c r="G1321" s="1098"/>
      <c r="H1321" s="1153"/>
      <c r="I1321" s="1099"/>
    </row>
    <row r="1322" spans="2:9">
      <c r="B1322" s="1136"/>
      <c r="C1322" s="1129"/>
      <c r="D1322" s="1098"/>
      <c r="E1322" s="1098"/>
      <c r="F1322" s="1099"/>
      <c r="G1322" s="1098"/>
      <c r="H1322" s="1153"/>
      <c r="I1322" s="1099"/>
    </row>
    <row r="1323" spans="2:9">
      <c r="B1323" s="1136"/>
      <c r="C1323" s="1129"/>
      <c r="D1323" s="1098"/>
      <c r="E1323" s="1098"/>
      <c r="F1323" s="1099"/>
      <c r="G1323" s="1098"/>
      <c r="H1323" s="1153"/>
      <c r="I1323" s="1099"/>
    </row>
    <row r="1324" spans="2:9">
      <c r="B1324" s="1136"/>
      <c r="C1324" s="1129"/>
      <c r="D1324" s="1098"/>
      <c r="E1324" s="1098"/>
      <c r="F1324" s="1099"/>
      <c r="G1324" s="1098"/>
      <c r="H1324" s="1153"/>
      <c r="I1324" s="1099"/>
    </row>
    <row r="1325" spans="2:9">
      <c r="B1325" s="1136"/>
      <c r="C1325" s="1129"/>
      <c r="D1325" s="1098"/>
      <c r="E1325" s="1098"/>
      <c r="F1325" s="1099"/>
      <c r="G1325" s="1098"/>
      <c r="H1325" s="1153"/>
      <c r="I1325" s="1099"/>
    </row>
    <row r="1326" spans="2:9">
      <c r="B1326" s="1136"/>
      <c r="C1326" s="1129"/>
      <c r="D1326" s="1098"/>
      <c r="E1326" s="1098"/>
      <c r="F1326" s="1099"/>
      <c r="G1326" s="1098"/>
      <c r="H1326" s="1153"/>
      <c r="I1326" s="1099"/>
    </row>
    <row r="1327" spans="2:9">
      <c r="B1327" s="1136"/>
      <c r="C1327" s="1129"/>
      <c r="D1327" s="1098"/>
      <c r="E1327" s="1098"/>
      <c r="F1327" s="1099"/>
      <c r="G1327" s="1098"/>
      <c r="H1327" s="1153"/>
      <c r="I1327" s="1099"/>
    </row>
    <row r="1328" spans="2:9">
      <c r="B1328" s="1136"/>
      <c r="C1328" s="1129"/>
      <c r="D1328" s="1098"/>
      <c r="E1328" s="1098"/>
      <c r="F1328" s="1099"/>
      <c r="G1328" s="1098"/>
      <c r="H1328" s="1153"/>
      <c r="I1328" s="1099"/>
    </row>
    <row r="1329" spans="2:9">
      <c r="B1329" s="1136"/>
      <c r="C1329" s="1129"/>
      <c r="D1329" s="1098"/>
      <c r="E1329" s="1098"/>
      <c r="F1329" s="1099"/>
      <c r="G1329" s="1098"/>
      <c r="H1329" s="1153"/>
      <c r="I1329" s="1099"/>
    </row>
    <row r="1330" spans="2:9">
      <c r="B1330" s="1136"/>
      <c r="C1330" s="1129"/>
      <c r="D1330" s="1098"/>
      <c r="E1330" s="1098"/>
      <c r="F1330" s="1099"/>
      <c r="G1330" s="1098"/>
      <c r="H1330" s="1153"/>
      <c r="I1330" s="1099"/>
    </row>
    <row r="1331" spans="2:9">
      <c r="B1331" s="1136"/>
      <c r="C1331" s="1129"/>
      <c r="D1331" s="1098"/>
      <c r="E1331" s="1098"/>
      <c r="F1331" s="1099"/>
      <c r="G1331" s="1098"/>
      <c r="H1331" s="1153"/>
      <c r="I1331" s="1099"/>
    </row>
    <row r="1332" spans="2:9">
      <c r="B1332" s="1136"/>
      <c r="C1332" s="1129"/>
      <c r="D1332" s="1098"/>
      <c r="E1332" s="1098"/>
      <c r="F1332" s="1099"/>
      <c r="G1332" s="1098"/>
      <c r="H1332" s="1153"/>
      <c r="I1332" s="1099"/>
    </row>
    <row r="1333" spans="2:9">
      <c r="B1333" s="1136"/>
      <c r="C1333" s="1129"/>
      <c r="D1333" s="1098"/>
      <c r="E1333" s="1098"/>
      <c r="F1333" s="1099"/>
      <c r="G1333" s="1098"/>
      <c r="H1333" s="1153"/>
      <c r="I1333" s="1099"/>
    </row>
    <row r="1334" spans="2:9">
      <c r="B1334" s="1136"/>
      <c r="C1334" s="1129"/>
      <c r="D1334" s="1098"/>
      <c r="E1334" s="1098"/>
      <c r="F1334" s="1099"/>
      <c r="G1334" s="1098"/>
      <c r="H1334" s="1153"/>
      <c r="I1334" s="1099"/>
    </row>
    <row r="1335" spans="2:9">
      <c r="B1335" s="1136"/>
      <c r="C1335" s="1129"/>
      <c r="D1335" s="1098"/>
      <c r="E1335" s="1098"/>
      <c r="F1335" s="1099"/>
      <c r="G1335" s="1098"/>
      <c r="H1335" s="1153"/>
      <c r="I1335" s="1099"/>
    </row>
    <row r="1336" spans="2:9">
      <c r="B1336" s="1136"/>
      <c r="C1336" s="1129"/>
      <c r="D1336" s="1098"/>
      <c r="E1336" s="1098"/>
      <c r="F1336" s="1099"/>
      <c r="G1336" s="1098"/>
      <c r="H1336" s="1153"/>
      <c r="I1336" s="1099"/>
    </row>
    <row r="1337" spans="2:9">
      <c r="B1337" s="1136"/>
      <c r="C1337" s="1129"/>
      <c r="D1337" s="1098"/>
      <c r="E1337" s="1098"/>
      <c r="F1337" s="1099"/>
      <c r="G1337" s="1098"/>
      <c r="H1337" s="1153"/>
      <c r="I1337" s="1099"/>
    </row>
    <row r="1338" spans="2:9">
      <c r="B1338" s="1136"/>
      <c r="C1338" s="1129"/>
      <c r="D1338" s="1098"/>
      <c r="E1338" s="1098"/>
      <c r="F1338" s="1099"/>
      <c r="G1338" s="1098"/>
      <c r="H1338" s="1153"/>
      <c r="I1338" s="1099"/>
    </row>
    <row r="1339" spans="2:9">
      <c r="B1339" s="1136"/>
      <c r="C1339" s="1129"/>
      <c r="D1339" s="1098"/>
      <c r="E1339" s="1098"/>
      <c r="F1339" s="1099"/>
      <c r="G1339" s="1098"/>
      <c r="H1339" s="1153"/>
      <c r="I1339" s="1099"/>
    </row>
    <row r="1340" spans="2:9">
      <c r="B1340" s="1136"/>
      <c r="C1340" s="1129"/>
      <c r="D1340" s="1098"/>
      <c r="E1340" s="1098"/>
      <c r="F1340" s="1099"/>
      <c r="G1340" s="1098"/>
      <c r="H1340" s="1153"/>
      <c r="I1340" s="1099"/>
    </row>
    <row r="1341" spans="2:9">
      <c r="B1341" s="1136"/>
      <c r="C1341" s="1129"/>
      <c r="D1341" s="1098"/>
      <c r="E1341" s="1098"/>
      <c r="F1341" s="1099"/>
      <c r="G1341" s="1098"/>
      <c r="H1341" s="1153"/>
      <c r="I1341" s="1099"/>
    </row>
    <row r="1342" spans="2:9">
      <c r="B1342" s="1136"/>
      <c r="C1342" s="1129"/>
      <c r="D1342" s="1098"/>
      <c r="E1342" s="1098"/>
      <c r="F1342" s="1099"/>
      <c r="G1342" s="1098"/>
      <c r="H1342" s="1153"/>
      <c r="I1342" s="1099"/>
    </row>
    <row r="1343" spans="2:9">
      <c r="B1343" s="1136"/>
      <c r="C1343" s="1129"/>
      <c r="D1343" s="1098"/>
      <c r="E1343" s="1098"/>
      <c r="F1343" s="1099"/>
      <c r="G1343" s="1098"/>
      <c r="H1343" s="1153"/>
      <c r="I1343" s="1099"/>
    </row>
    <row r="1344" spans="2:9">
      <c r="B1344" s="1136"/>
      <c r="C1344" s="1129"/>
      <c r="D1344" s="1098"/>
      <c r="E1344" s="1098"/>
      <c r="F1344" s="1099"/>
      <c r="G1344" s="1098"/>
      <c r="H1344" s="1153"/>
      <c r="I1344" s="1099"/>
    </row>
    <row r="1345" spans="2:9">
      <c r="B1345" s="1136"/>
      <c r="C1345" s="1129"/>
      <c r="D1345" s="1098"/>
      <c r="E1345" s="1098"/>
      <c r="F1345" s="1099"/>
      <c r="G1345" s="1098"/>
      <c r="H1345" s="1153"/>
      <c r="I1345" s="1099"/>
    </row>
    <row r="1346" spans="2:9">
      <c r="B1346" s="1136"/>
      <c r="C1346" s="1129"/>
      <c r="D1346" s="1098"/>
      <c r="E1346" s="1098"/>
      <c r="F1346" s="1099"/>
      <c r="G1346" s="1098"/>
      <c r="H1346" s="1153"/>
      <c r="I1346" s="1099"/>
    </row>
    <row r="1347" spans="2:9">
      <c r="B1347" s="1136"/>
      <c r="C1347" s="1129"/>
      <c r="D1347" s="1098"/>
      <c r="E1347" s="1098"/>
      <c r="F1347" s="1099"/>
      <c r="G1347" s="1098"/>
      <c r="H1347" s="1153"/>
      <c r="I1347" s="1099"/>
    </row>
    <row r="1348" spans="2:9">
      <c r="B1348" s="1136"/>
      <c r="C1348" s="1129"/>
      <c r="D1348" s="1098"/>
      <c r="E1348" s="1098"/>
      <c r="F1348" s="1099"/>
      <c r="G1348" s="1098"/>
      <c r="H1348" s="1153"/>
      <c r="I1348" s="1099"/>
    </row>
    <row r="1349" spans="2:9">
      <c r="B1349" s="1136"/>
      <c r="C1349" s="1129"/>
      <c r="D1349" s="1098"/>
      <c r="E1349" s="1098"/>
      <c r="F1349" s="1099"/>
      <c r="G1349" s="1098"/>
      <c r="H1349" s="1153"/>
      <c r="I1349" s="1099"/>
    </row>
    <row r="1350" spans="2:9">
      <c r="B1350" s="1136"/>
      <c r="C1350" s="1129"/>
      <c r="D1350" s="1098"/>
      <c r="E1350" s="1098"/>
      <c r="F1350" s="1099"/>
      <c r="G1350" s="1098"/>
      <c r="H1350" s="1153"/>
      <c r="I1350" s="1099"/>
    </row>
    <row r="1351" spans="2:9">
      <c r="B1351" s="1136"/>
      <c r="C1351" s="1129"/>
      <c r="D1351" s="1098"/>
      <c r="E1351" s="1098"/>
      <c r="F1351" s="1099"/>
      <c r="G1351" s="1098"/>
      <c r="H1351" s="1153"/>
      <c r="I1351" s="1099"/>
    </row>
    <row r="1352" spans="2:9">
      <c r="B1352" s="1136"/>
      <c r="C1352" s="1129"/>
      <c r="D1352" s="1098"/>
      <c r="E1352" s="1098"/>
      <c r="F1352" s="1099"/>
      <c r="G1352" s="1098"/>
      <c r="H1352" s="1153"/>
      <c r="I1352" s="1099"/>
    </row>
    <row r="1353" spans="2:9">
      <c r="B1353" s="1136"/>
      <c r="C1353" s="1129"/>
      <c r="D1353" s="1098"/>
      <c r="E1353" s="1098"/>
      <c r="F1353" s="1099"/>
      <c r="G1353" s="1098"/>
      <c r="H1353" s="1153"/>
      <c r="I1353" s="1099"/>
    </row>
    <row r="1354" spans="2:9">
      <c r="B1354" s="1136"/>
      <c r="C1354" s="1129"/>
      <c r="D1354" s="1098"/>
      <c r="E1354" s="1098"/>
      <c r="F1354" s="1099"/>
      <c r="G1354" s="1098"/>
      <c r="H1354" s="1153"/>
      <c r="I1354" s="1099"/>
    </row>
    <row r="1355" spans="2:9">
      <c r="B1355" s="1136"/>
      <c r="C1355" s="1129"/>
      <c r="D1355" s="1098"/>
      <c r="E1355" s="1098"/>
      <c r="F1355" s="1099"/>
      <c r="G1355" s="1098"/>
      <c r="H1355" s="1153"/>
      <c r="I1355" s="1099"/>
    </row>
    <row r="1356" spans="2:9">
      <c r="B1356" s="1136"/>
      <c r="C1356" s="1129"/>
      <c r="D1356" s="1098"/>
      <c r="E1356" s="1098"/>
      <c r="F1356" s="1099"/>
      <c r="G1356" s="1098"/>
      <c r="H1356" s="1153"/>
      <c r="I1356" s="1099"/>
    </row>
    <row r="1357" spans="2:9">
      <c r="B1357" s="1136"/>
      <c r="C1357" s="1129"/>
      <c r="D1357" s="1098"/>
      <c r="E1357" s="1098"/>
      <c r="F1357" s="1099"/>
      <c r="G1357" s="1098"/>
      <c r="H1357" s="1153"/>
      <c r="I1357" s="1099"/>
    </row>
    <row r="1358" spans="2:9">
      <c r="B1358" s="1136"/>
      <c r="C1358" s="1129"/>
      <c r="D1358" s="1098"/>
      <c r="E1358" s="1098"/>
      <c r="F1358" s="1099"/>
      <c r="G1358" s="1098"/>
      <c r="H1358" s="1153"/>
      <c r="I1358" s="1099"/>
    </row>
    <row r="1359" spans="2:9">
      <c r="B1359" s="1136"/>
      <c r="C1359" s="1129"/>
      <c r="D1359" s="1098"/>
      <c r="E1359" s="1098"/>
      <c r="F1359" s="1099"/>
      <c r="G1359" s="1098"/>
      <c r="H1359" s="1153"/>
      <c r="I1359" s="1099"/>
    </row>
    <row r="1360" spans="2:9">
      <c r="B1360" s="1136"/>
      <c r="C1360" s="1129"/>
      <c r="D1360" s="1098"/>
      <c r="E1360" s="1098"/>
      <c r="F1360" s="1099"/>
      <c r="G1360" s="1098"/>
      <c r="H1360" s="1153"/>
      <c r="I1360" s="1099"/>
    </row>
    <row r="1361" spans="2:9">
      <c r="B1361" s="1136"/>
      <c r="C1361" s="1129"/>
      <c r="D1361" s="1098"/>
      <c r="E1361" s="1098"/>
      <c r="F1361" s="1099"/>
      <c r="G1361" s="1098"/>
      <c r="H1361" s="1153"/>
      <c r="I1361" s="1099"/>
    </row>
    <row r="1362" spans="2:9">
      <c r="B1362" s="1136"/>
      <c r="C1362" s="1129"/>
      <c r="D1362" s="1098"/>
      <c r="E1362" s="1098"/>
      <c r="F1362" s="1099"/>
      <c r="G1362" s="1098"/>
      <c r="H1362" s="1153"/>
      <c r="I1362" s="1099"/>
    </row>
    <row r="1363" spans="2:9">
      <c r="B1363" s="1136"/>
      <c r="C1363" s="1129"/>
      <c r="D1363" s="1098"/>
      <c r="E1363" s="1098"/>
      <c r="F1363" s="1099"/>
      <c r="G1363" s="1098"/>
      <c r="H1363" s="1153"/>
      <c r="I1363" s="1099"/>
    </row>
    <row r="1364" spans="2:9">
      <c r="B1364" s="1136"/>
      <c r="C1364" s="1129"/>
      <c r="D1364" s="1098"/>
      <c r="E1364" s="1098"/>
      <c r="F1364" s="1099"/>
      <c r="G1364" s="1098"/>
      <c r="H1364" s="1153"/>
      <c r="I1364" s="1099"/>
    </row>
    <row r="1365" spans="2:9">
      <c r="B1365" s="1136"/>
      <c r="C1365" s="1129"/>
      <c r="D1365" s="1098"/>
      <c r="E1365" s="1098"/>
      <c r="F1365" s="1099"/>
      <c r="G1365" s="1098"/>
      <c r="H1365" s="1153"/>
      <c r="I1365" s="1099"/>
    </row>
    <row r="1366" spans="2:9">
      <c r="B1366" s="1136"/>
      <c r="C1366" s="1129"/>
      <c r="D1366" s="1098"/>
      <c r="E1366" s="1098"/>
      <c r="F1366" s="1099"/>
      <c r="G1366" s="1098"/>
      <c r="H1366" s="1153"/>
      <c r="I1366" s="1099"/>
    </row>
    <row r="1367" spans="2:9">
      <c r="B1367" s="1136"/>
      <c r="C1367" s="1129"/>
      <c r="D1367" s="1098"/>
      <c r="E1367" s="1098"/>
      <c r="F1367" s="1099"/>
      <c r="G1367" s="1098"/>
      <c r="H1367" s="1153"/>
      <c r="I1367" s="1099"/>
    </row>
    <row r="1368" spans="2:9">
      <c r="B1368" s="1136"/>
      <c r="C1368" s="1129"/>
      <c r="D1368" s="1098"/>
      <c r="E1368" s="1098"/>
      <c r="F1368" s="1099"/>
      <c r="G1368" s="1098"/>
      <c r="H1368" s="1153"/>
      <c r="I1368" s="1099"/>
    </row>
    <row r="1369" spans="2:9">
      <c r="B1369" s="1136"/>
      <c r="C1369" s="1129"/>
      <c r="D1369" s="1098"/>
      <c r="E1369" s="1098"/>
      <c r="F1369" s="1099"/>
      <c r="G1369" s="1098"/>
      <c r="H1369" s="1153"/>
      <c r="I1369" s="1099"/>
    </row>
    <row r="1370" spans="2:9">
      <c r="B1370" s="1136"/>
      <c r="C1370" s="1129"/>
      <c r="D1370" s="1098"/>
      <c r="E1370" s="1098"/>
      <c r="F1370" s="1099"/>
      <c r="G1370" s="1098"/>
      <c r="H1370" s="1153"/>
      <c r="I1370" s="1099"/>
    </row>
    <row r="1371" spans="2:9">
      <c r="B1371" s="1136"/>
      <c r="C1371" s="1129"/>
      <c r="D1371" s="1098"/>
      <c r="E1371" s="1098"/>
      <c r="F1371" s="1099"/>
      <c r="G1371" s="1098"/>
      <c r="H1371" s="1153"/>
      <c r="I1371" s="1099"/>
    </row>
    <row r="1372" spans="2:9">
      <c r="B1372" s="1136"/>
      <c r="C1372" s="1129"/>
      <c r="D1372" s="1098"/>
      <c r="E1372" s="1098"/>
      <c r="F1372" s="1099"/>
      <c r="G1372" s="1098"/>
      <c r="H1372" s="1153"/>
      <c r="I1372" s="1099"/>
    </row>
    <row r="1373" spans="2:9">
      <c r="B1373" s="1136"/>
      <c r="C1373" s="1129"/>
      <c r="D1373" s="1098"/>
      <c r="E1373" s="1098"/>
      <c r="F1373" s="1099"/>
      <c r="G1373" s="1098"/>
      <c r="H1373" s="1153"/>
      <c r="I1373" s="1099"/>
    </row>
    <row r="1374" spans="2:9">
      <c r="B1374" s="1136"/>
      <c r="C1374" s="1129"/>
      <c r="D1374" s="1098"/>
      <c r="E1374" s="1098"/>
      <c r="F1374" s="1099"/>
      <c r="G1374" s="1098"/>
      <c r="H1374" s="1153"/>
      <c r="I1374" s="1099"/>
    </row>
    <row r="1375" spans="2:9">
      <c r="B1375" s="1136"/>
      <c r="C1375" s="1129"/>
      <c r="D1375" s="1098"/>
      <c r="E1375" s="1098"/>
      <c r="F1375" s="1099"/>
      <c r="G1375" s="1098"/>
      <c r="H1375" s="1153"/>
      <c r="I1375" s="1099"/>
    </row>
    <row r="1376" spans="2:9">
      <c r="B1376" s="1136"/>
      <c r="C1376" s="1129"/>
      <c r="D1376" s="1098"/>
      <c r="E1376" s="1098"/>
      <c r="F1376" s="1099"/>
      <c r="G1376" s="1098"/>
      <c r="H1376" s="1153"/>
      <c r="I1376" s="1099"/>
    </row>
    <row r="1377" spans="2:9">
      <c r="B1377" s="1136"/>
      <c r="C1377" s="1129"/>
      <c r="D1377" s="1098"/>
      <c r="E1377" s="1098"/>
      <c r="F1377" s="1099"/>
      <c r="G1377" s="1098"/>
      <c r="H1377" s="1153"/>
      <c r="I1377" s="1099"/>
    </row>
    <row r="1378" spans="2:9">
      <c r="B1378" s="1136"/>
      <c r="C1378" s="1129"/>
      <c r="D1378" s="1098"/>
      <c r="E1378" s="1098"/>
      <c r="F1378" s="1099"/>
      <c r="G1378" s="1098"/>
      <c r="H1378" s="1153"/>
      <c r="I1378" s="1099"/>
    </row>
    <row r="1379" spans="2:9">
      <c r="B1379" s="1136"/>
      <c r="C1379" s="1129"/>
      <c r="D1379" s="1098"/>
      <c r="E1379" s="1098"/>
      <c r="F1379" s="1099"/>
      <c r="G1379" s="1098"/>
      <c r="H1379" s="1153"/>
      <c r="I1379" s="1099"/>
    </row>
    <row r="1380" spans="2:9">
      <c r="B1380" s="1136"/>
      <c r="C1380" s="1129"/>
      <c r="D1380" s="1098"/>
      <c r="E1380" s="1098"/>
      <c r="F1380" s="1099"/>
      <c r="G1380" s="1098"/>
      <c r="H1380" s="1153"/>
      <c r="I1380" s="1099"/>
    </row>
    <row r="1381" spans="2:9">
      <c r="B1381" s="1136"/>
      <c r="C1381" s="1129"/>
      <c r="D1381" s="1098"/>
      <c r="E1381" s="1098"/>
      <c r="F1381" s="1099"/>
      <c r="G1381" s="1098"/>
      <c r="H1381" s="1153"/>
      <c r="I1381" s="1099"/>
    </row>
    <row r="1382" spans="2:9">
      <c r="B1382" s="1136"/>
      <c r="C1382" s="1129"/>
      <c r="D1382" s="1098"/>
      <c r="E1382" s="1098"/>
      <c r="F1382" s="1099"/>
      <c r="G1382" s="1098"/>
      <c r="H1382" s="1153"/>
      <c r="I1382" s="1099"/>
    </row>
    <row r="1383" spans="2:9">
      <c r="B1383" s="1136"/>
      <c r="C1383" s="1129"/>
      <c r="D1383" s="1098"/>
      <c r="E1383" s="1098"/>
      <c r="F1383" s="1099"/>
      <c r="G1383" s="1098"/>
      <c r="H1383" s="1153"/>
      <c r="I1383" s="1099"/>
    </row>
    <row r="1384" spans="2:9">
      <c r="B1384" s="1136"/>
      <c r="C1384" s="1129"/>
      <c r="D1384" s="1098"/>
      <c r="E1384" s="1098"/>
      <c r="F1384" s="1099"/>
      <c r="G1384" s="1098"/>
      <c r="H1384" s="1153"/>
      <c r="I1384" s="1099"/>
    </row>
    <row r="1385" spans="2:9">
      <c r="B1385" s="1136"/>
      <c r="C1385" s="1129"/>
      <c r="D1385" s="1098"/>
      <c r="E1385" s="1098"/>
      <c r="F1385" s="1099"/>
      <c r="G1385" s="1098"/>
      <c r="H1385" s="1153"/>
      <c r="I1385" s="1099"/>
    </row>
    <row r="1386" spans="2:9">
      <c r="B1386" s="1136"/>
      <c r="C1386" s="1129"/>
      <c r="D1386" s="1098"/>
      <c r="E1386" s="1098"/>
      <c r="F1386" s="1099"/>
      <c r="G1386" s="1098"/>
      <c r="H1386" s="1153"/>
      <c r="I1386" s="1099"/>
    </row>
    <row r="1387" spans="2:9">
      <c r="B1387" s="1136"/>
      <c r="C1387" s="1129"/>
      <c r="D1387" s="1098"/>
      <c r="E1387" s="1098"/>
      <c r="F1387" s="1099"/>
      <c r="G1387" s="1098"/>
      <c r="H1387" s="1153"/>
      <c r="I1387" s="1099"/>
    </row>
    <row r="1388" spans="2:9">
      <c r="B1388" s="1136"/>
      <c r="C1388" s="1129"/>
      <c r="D1388" s="1098"/>
      <c r="E1388" s="1098"/>
      <c r="F1388" s="1099"/>
      <c r="G1388" s="1098"/>
      <c r="H1388" s="1153"/>
      <c r="I1388" s="1099"/>
    </row>
    <row r="1389" spans="2:9">
      <c r="B1389" s="1136"/>
      <c r="C1389" s="1129"/>
      <c r="D1389" s="1098"/>
      <c r="E1389" s="1098"/>
      <c r="F1389" s="1099"/>
      <c r="G1389" s="1098"/>
      <c r="H1389" s="1153"/>
      <c r="I1389" s="1099"/>
    </row>
    <row r="1390" spans="2:9">
      <c r="B1390" s="1136"/>
      <c r="C1390" s="1129"/>
      <c r="D1390" s="1098"/>
      <c r="E1390" s="1098"/>
      <c r="F1390" s="1099"/>
      <c r="G1390" s="1098"/>
      <c r="H1390" s="1153"/>
      <c r="I1390" s="1099"/>
    </row>
    <row r="1391" spans="2:9">
      <c r="B1391" s="1136"/>
      <c r="C1391" s="1129"/>
      <c r="D1391" s="1098"/>
      <c r="E1391" s="1098"/>
      <c r="F1391" s="1099"/>
      <c r="G1391" s="1098"/>
      <c r="H1391" s="1153"/>
      <c r="I1391" s="1099"/>
    </row>
    <row r="1392" spans="2:9">
      <c r="B1392" s="1136"/>
      <c r="C1392" s="1129"/>
      <c r="D1392" s="1098"/>
      <c r="E1392" s="1098"/>
      <c r="F1392" s="1099"/>
      <c r="G1392" s="1098"/>
      <c r="H1392" s="1153"/>
      <c r="I1392" s="1099"/>
    </row>
    <row r="1393" spans="2:9">
      <c r="B1393" s="1136"/>
      <c r="C1393" s="1129"/>
      <c r="D1393" s="1098"/>
      <c r="E1393" s="1098"/>
      <c r="F1393" s="1099"/>
      <c r="G1393" s="1098"/>
      <c r="H1393" s="1153"/>
      <c r="I1393" s="1099"/>
    </row>
    <row r="1394" spans="2:9">
      <c r="B1394" s="1136"/>
      <c r="C1394" s="1129"/>
      <c r="D1394" s="1098"/>
      <c r="E1394" s="1098"/>
      <c r="F1394" s="1099"/>
      <c r="G1394" s="1098"/>
      <c r="H1394" s="1153"/>
      <c r="I1394" s="1099"/>
    </row>
    <row r="1395" spans="2:9">
      <c r="B1395" s="1136"/>
      <c r="C1395" s="1129"/>
      <c r="D1395" s="1098"/>
      <c r="E1395" s="1098"/>
      <c r="F1395" s="1099"/>
      <c r="G1395" s="1098"/>
      <c r="H1395" s="1153"/>
      <c r="I1395" s="1099"/>
    </row>
    <row r="1396" spans="2:9">
      <c r="B1396" s="1136"/>
      <c r="C1396" s="1129"/>
      <c r="D1396" s="1098"/>
      <c r="E1396" s="1098"/>
      <c r="F1396" s="1099"/>
      <c r="G1396" s="1098"/>
      <c r="H1396" s="1153"/>
      <c r="I1396" s="1099"/>
    </row>
    <row r="1397" spans="2:9">
      <c r="B1397" s="1136"/>
      <c r="C1397" s="1129"/>
      <c r="D1397" s="1098"/>
      <c r="E1397" s="1098"/>
      <c r="F1397" s="1099"/>
      <c r="G1397" s="1098"/>
      <c r="H1397" s="1153"/>
      <c r="I1397" s="1099"/>
    </row>
    <row r="1398" spans="2:9">
      <c r="B1398" s="1136"/>
      <c r="C1398" s="1129"/>
      <c r="D1398" s="1098"/>
      <c r="E1398" s="1098"/>
      <c r="F1398" s="1099"/>
      <c r="G1398" s="1098"/>
      <c r="H1398" s="1153"/>
      <c r="I1398" s="1099"/>
    </row>
    <row r="1399" spans="2:9">
      <c r="B1399" s="1136"/>
      <c r="C1399" s="1129"/>
      <c r="D1399" s="1098"/>
      <c r="E1399" s="1098"/>
      <c r="F1399" s="1099"/>
      <c r="G1399" s="1098"/>
      <c r="H1399" s="1153"/>
      <c r="I1399" s="1099"/>
    </row>
    <row r="1400" spans="2:9">
      <c r="B1400" s="1136"/>
      <c r="C1400" s="1129"/>
      <c r="D1400" s="1098"/>
      <c r="E1400" s="1098"/>
      <c r="F1400" s="1099"/>
      <c r="G1400" s="1098"/>
      <c r="H1400" s="1153"/>
      <c r="I1400" s="1099"/>
    </row>
    <row r="1401" spans="2:9">
      <c r="B1401" s="1136"/>
      <c r="C1401" s="1129"/>
      <c r="D1401" s="1098"/>
      <c r="E1401" s="1098"/>
      <c r="F1401" s="1099"/>
      <c r="G1401" s="1098"/>
      <c r="H1401" s="1153"/>
      <c r="I1401" s="1099"/>
    </row>
    <row r="1402" spans="2:9">
      <c r="B1402" s="1136"/>
      <c r="C1402" s="1129"/>
      <c r="D1402" s="1098"/>
      <c r="E1402" s="1098"/>
      <c r="F1402" s="1099"/>
      <c r="G1402" s="1098"/>
      <c r="H1402" s="1153"/>
      <c r="I1402" s="1099"/>
    </row>
    <row r="1403" spans="2:9">
      <c r="B1403" s="1136"/>
      <c r="C1403" s="1129"/>
      <c r="D1403" s="1098"/>
      <c r="E1403" s="1098"/>
      <c r="F1403" s="1099"/>
      <c r="G1403" s="1098"/>
      <c r="H1403" s="1153"/>
      <c r="I1403" s="1099"/>
    </row>
    <row r="1404" spans="2:9">
      <c r="B1404" s="1136"/>
      <c r="C1404" s="1129"/>
      <c r="D1404" s="1098"/>
      <c r="E1404" s="1098"/>
      <c r="F1404" s="1099"/>
      <c r="G1404" s="1098"/>
      <c r="H1404" s="1153"/>
      <c r="I1404" s="1099"/>
    </row>
    <row r="1405" spans="2:9">
      <c r="B1405" s="1136"/>
      <c r="C1405" s="1129"/>
      <c r="D1405" s="1098"/>
      <c r="E1405" s="1098"/>
      <c r="F1405" s="1099"/>
      <c r="G1405" s="1098"/>
      <c r="H1405" s="1153"/>
      <c r="I1405" s="1099"/>
    </row>
    <row r="1406" spans="2:9">
      <c r="B1406" s="1136"/>
      <c r="C1406" s="1129"/>
      <c r="D1406" s="1098"/>
      <c r="E1406" s="1098"/>
      <c r="F1406" s="1099"/>
      <c r="G1406" s="1098"/>
      <c r="H1406" s="1153"/>
      <c r="I1406" s="1099"/>
    </row>
    <row r="1407" spans="2:9">
      <c r="B1407" s="1136"/>
      <c r="C1407" s="1129"/>
      <c r="D1407" s="1098"/>
      <c r="E1407" s="1098"/>
      <c r="F1407" s="1099"/>
      <c r="G1407" s="1098"/>
      <c r="H1407" s="1153"/>
      <c r="I1407" s="1099"/>
    </row>
    <row r="1408" spans="2:9">
      <c r="B1408" s="1136"/>
      <c r="C1408" s="1129"/>
      <c r="D1408" s="1098"/>
      <c r="E1408" s="1098"/>
      <c r="F1408" s="1099"/>
      <c r="G1408" s="1098"/>
      <c r="H1408" s="1153"/>
      <c r="I1408" s="1099"/>
    </row>
    <row r="1409" spans="2:9">
      <c r="B1409" s="1136"/>
      <c r="C1409" s="1129"/>
      <c r="D1409" s="1098"/>
      <c r="E1409" s="1098"/>
      <c r="F1409" s="1099"/>
      <c r="G1409" s="1098"/>
      <c r="H1409" s="1153"/>
      <c r="I1409" s="1099"/>
    </row>
    <row r="1410" spans="2:9">
      <c r="B1410" s="1136"/>
      <c r="C1410" s="1129"/>
      <c r="D1410" s="1098"/>
      <c r="E1410" s="1098"/>
      <c r="F1410" s="1099"/>
      <c r="G1410" s="1098"/>
      <c r="H1410" s="1153"/>
      <c r="I1410" s="1099"/>
    </row>
    <row r="1411" spans="2:9">
      <c r="B1411" s="1136"/>
      <c r="C1411" s="1129"/>
      <c r="D1411" s="1098"/>
      <c r="E1411" s="1098"/>
      <c r="F1411" s="1099"/>
      <c r="G1411" s="1098"/>
      <c r="H1411" s="1153"/>
      <c r="I1411" s="1099"/>
    </row>
    <row r="1412" spans="2:9">
      <c r="B1412" s="1136"/>
      <c r="C1412" s="1129"/>
      <c r="D1412" s="1098"/>
      <c r="E1412" s="1098"/>
      <c r="F1412" s="1099"/>
      <c r="G1412" s="1098"/>
      <c r="H1412" s="1153"/>
      <c r="I1412" s="1099"/>
    </row>
    <row r="1413" spans="2:9">
      <c r="B1413" s="1136"/>
      <c r="C1413" s="1129"/>
      <c r="D1413" s="1098"/>
      <c r="E1413" s="1098"/>
      <c r="F1413" s="1099"/>
      <c r="G1413" s="1098"/>
      <c r="H1413" s="1153"/>
      <c r="I1413" s="1099"/>
    </row>
    <row r="1414" spans="2:9">
      <c r="B1414" s="1136"/>
      <c r="C1414" s="1129"/>
      <c r="D1414" s="1098"/>
      <c r="E1414" s="1098"/>
      <c r="F1414" s="1099"/>
      <c r="G1414" s="1098"/>
      <c r="H1414" s="1153"/>
      <c r="I1414" s="1099"/>
    </row>
    <row r="1415" spans="2:9">
      <c r="B1415" s="1136"/>
      <c r="C1415" s="1129"/>
      <c r="D1415" s="1098"/>
      <c r="E1415" s="1098"/>
      <c r="F1415" s="1099"/>
      <c r="G1415" s="1098"/>
      <c r="H1415" s="1153"/>
      <c r="I1415" s="1099"/>
    </row>
    <row r="1416" spans="2:9">
      <c r="B1416" s="1136"/>
      <c r="C1416" s="1129"/>
      <c r="D1416" s="1098"/>
      <c r="E1416" s="1098"/>
      <c r="F1416" s="1099"/>
      <c r="G1416" s="1098"/>
      <c r="H1416" s="1153"/>
      <c r="I1416" s="1099"/>
    </row>
    <row r="1417" spans="2:9">
      <c r="B1417" s="1136"/>
      <c r="C1417" s="1129"/>
      <c r="D1417" s="1098"/>
      <c r="E1417" s="1098"/>
      <c r="F1417" s="1099"/>
      <c r="G1417" s="1098"/>
      <c r="H1417" s="1153"/>
      <c r="I1417" s="1099"/>
    </row>
    <row r="1418" spans="2:9">
      <c r="B1418" s="1136"/>
      <c r="C1418" s="1129"/>
      <c r="D1418" s="1098"/>
      <c r="E1418" s="1098"/>
      <c r="F1418" s="1099"/>
      <c r="G1418" s="1098"/>
      <c r="H1418" s="1153"/>
      <c r="I1418" s="1099"/>
    </row>
    <row r="1419" spans="2:9">
      <c r="B1419" s="1136"/>
      <c r="C1419" s="1129"/>
      <c r="D1419" s="1098"/>
      <c r="E1419" s="1098"/>
      <c r="F1419" s="1099"/>
      <c r="G1419" s="1098"/>
      <c r="H1419" s="1153"/>
      <c r="I1419" s="1099"/>
    </row>
    <row r="1420" spans="2:9">
      <c r="B1420" s="1136"/>
      <c r="C1420" s="1129"/>
      <c r="D1420" s="1098"/>
      <c r="E1420" s="1098"/>
      <c r="F1420" s="1099"/>
      <c r="G1420" s="1098"/>
      <c r="H1420" s="1153"/>
      <c r="I1420" s="1099"/>
    </row>
    <row r="1421" spans="2:9">
      <c r="B1421" s="1136"/>
      <c r="C1421" s="1129"/>
      <c r="D1421" s="1098"/>
      <c r="E1421" s="1098"/>
      <c r="F1421" s="1099"/>
      <c r="G1421" s="1098"/>
      <c r="H1421" s="1153"/>
      <c r="I1421" s="1099"/>
    </row>
    <row r="1422" spans="2:9">
      <c r="B1422" s="1136"/>
      <c r="C1422" s="1129"/>
      <c r="D1422" s="1098"/>
      <c r="E1422" s="1098"/>
      <c r="F1422" s="1099"/>
      <c r="G1422" s="1098"/>
      <c r="H1422" s="1153"/>
      <c r="I1422" s="1099"/>
    </row>
    <row r="1423" spans="2:9">
      <c r="B1423" s="1136"/>
      <c r="C1423" s="1129"/>
      <c r="D1423" s="1098"/>
      <c r="E1423" s="1098"/>
      <c r="F1423" s="1099"/>
      <c r="G1423" s="1098"/>
      <c r="H1423" s="1153"/>
      <c r="I1423" s="1099"/>
    </row>
    <row r="1424" spans="2:9">
      <c r="B1424" s="1136"/>
      <c r="C1424" s="1129"/>
      <c r="D1424" s="1098"/>
      <c r="E1424" s="1098"/>
      <c r="F1424" s="1099"/>
      <c r="G1424" s="1098"/>
      <c r="H1424" s="1153"/>
      <c r="I1424" s="1099"/>
    </row>
    <row r="1425" spans="2:9">
      <c r="B1425" s="1136"/>
      <c r="C1425" s="1129"/>
      <c r="D1425" s="1098"/>
      <c r="E1425" s="1098"/>
      <c r="F1425" s="1099"/>
      <c r="G1425" s="1098"/>
      <c r="H1425" s="1153"/>
      <c r="I1425" s="1099"/>
    </row>
    <row r="1426" spans="2:9">
      <c r="B1426" s="1136"/>
      <c r="C1426" s="1129"/>
      <c r="D1426" s="1098"/>
      <c r="E1426" s="1098"/>
      <c r="F1426" s="1099"/>
      <c r="G1426" s="1098"/>
      <c r="H1426" s="1153"/>
      <c r="I1426" s="1099"/>
    </row>
    <row r="1427" spans="2:9">
      <c r="B1427" s="1136"/>
      <c r="C1427" s="1129"/>
      <c r="D1427" s="1098"/>
      <c r="E1427" s="1098"/>
      <c r="F1427" s="1099"/>
      <c r="G1427" s="1098"/>
      <c r="H1427" s="1153"/>
      <c r="I1427" s="1099"/>
    </row>
    <row r="1428" spans="2:9">
      <c r="B1428" s="1136"/>
      <c r="C1428" s="1129"/>
      <c r="D1428" s="1098"/>
      <c r="E1428" s="1098"/>
      <c r="F1428" s="1099"/>
      <c r="G1428" s="1098"/>
      <c r="H1428" s="1153"/>
      <c r="I1428" s="1099"/>
    </row>
    <row r="1429" spans="2:9">
      <c r="B1429" s="1136"/>
      <c r="C1429" s="1129"/>
      <c r="D1429" s="1098"/>
      <c r="E1429" s="1098"/>
      <c r="F1429" s="1099"/>
      <c r="G1429" s="1098"/>
      <c r="H1429" s="1153"/>
      <c r="I1429" s="1099"/>
    </row>
    <row r="1430" spans="2:9">
      <c r="B1430" s="1136"/>
      <c r="C1430" s="1129"/>
      <c r="D1430" s="1098"/>
      <c r="E1430" s="1098"/>
      <c r="F1430" s="1099"/>
      <c r="G1430" s="1098"/>
      <c r="H1430" s="1153"/>
      <c r="I1430" s="1099"/>
    </row>
    <row r="1431" spans="2:9">
      <c r="B1431" s="1136"/>
      <c r="C1431" s="1129"/>
      <c r="D1431" s="1098"/>
      <c r="E1431" s="1098"/>
      <c r="F1431" s="1099"/>
      <c r="G1431" s="1098"/>
      <c r="H1431" s="1153"/>
      <c r="I1431" s="1099"/>
    </row>
    <row r="1432" spans="2:9">
      <c r="B1432" s="1136"/>
      <c r="C1432" s="1129"/>
      <c r="D1432" s="1098"/>
      <c r="E1432" s="1098"/>
      <c r="F1432" s="1099"/>
      <c r="G1432" s="1098"/>
      <c r="H1432" s="1153"/>
      <c r="I1432" s="1099"/>
    </row>
    <row r="1433" spans="2:9">
      <c r="B1433" s="1136"/>
      <c r="C1433" s="1129"/>
      <c r="D1433" s="1098"/>
      <c r="E1433" s="1098"/>
      <c r="F1433" s="1099"/>
      <c r="G1433" s="1098"/>
      <c r="H1433" s="1153"/>
      <c r="I1433" s="1099"/>
    </row>
    <row r="1434" spans="2:9">
      <c r="B1434" s="1136"/>
      <c r="C1434" s="1129"/>
      <c r="D1434" s="1098"/>
      <c r="E1434" s="1098"/>
      <c r="F1434" s="1099"/>
      <c r="G1434" s="1098"/>
      <c r="H1434" s="1153"/>
      <c r="I1434" s="1099"/>
    </row>
    <row r="1435" spans="2:9">
      <c r="B1435" s="1136"/>
      <c r="C1435" s="1129"/>
      <c r="D1435" s="1098"/>
      <c r="E1435" s="1098"/>
      <c r="F1435" s="1099"/>
      <c r="G1435" s="1098"/>
      <c r="H1435" s="1153"/>
      <c r="I1435" s="1099"/>
    </row>
    <row r="1436" spans="2:9">
      <c r="B1436" s="1136"/>
      <c r="C1436" s="1129"/>
      <c r="D1436" s="1098"/>
      <c r="E1436" s="1098"/>
      <c r="F1436" s="1099"/>
      <c r="G1436" s="1098"/>
      <c r="H1436" s="1153"/>
      <c r="I1436" s="1099"/>
    </row>
    <row r="1437" spans="2:9">
      <c r="B1437" s="1136"/>
      <c r="C1437" s="1129"/>
      <c r="D1437" s="1098"/>
      <c r="E1437" s="1098"/>
      <c r="F1437" s="1099"/>
      <c r="G1437" s="1098"/>
      <c r="H1437" s="1153"/>
      <c r="I1437" s="1099"/>
    </row>
    <row r="1438" spans="2:9">
      <c r="B1438" s="1136"/>
      <c r="C1438" s="1129"/>
      <c r="D1438" s="1098"/>
      <c r="E1438" s="1098"/>
      <c r="F1438" s="1099"/>
      <c r="G1438" s="1098"/>
      <c r="H1438" s="1153"/>
      <c r="I1438" s="1099"/>
    </row>
    <row r="1439" spans="2:9">
      <c r="B1439" s="1136"/>
      <c r="C1439" s="1129"/>
      <c r="D1439" s="1098"/>
      <c r="E1439" s="1098"/>
      <c r="F1439" s="1099"/>
      <c r="G1439" s="1098"/>
      <c r="H1439" s="1153"/>
      <c r="I1439" s="1099"/>
    </row>
    <row r="1440" spans="2:9">
      <c r="B1440" s="1136"/>
      <c r="C1440" s="1129"/>
      <c r="D1440" s="1098"/>
      <c r="E1440" s="1098"/>
      <c r="F1440" s="1099"/>
      <c r="G1440" s="1098"/>
      <c r="H1440" s="1153"/>
      <c r="I1440" s="1099"/>
    </row>
    <row r="1441" spans="2:9">
      <c r="B1441" s="1136"/>
      <c r="C1441" s="1129"/>
      <c r="D1441" s="1098"/>
      <c r="E1441" s="1098"/>
      <c r="F1441" s="1099"/>
      <c r="G1441" s="1098"/>
      <c r="H1441" s="1153"/>
      <c r="I1441" s="1099"/>
    </row>
    <row r="1442" spans="2:9">
      <c r="B1442" s="1136"/>
      <c r="C1442" s="1129"/>
      <c r="D1442" s="1098"/>
      <c r="E1442" s="1098"/>
      <c r="F1442" s="1099"/>
      <c r="G1442" s="1098"/>
      <c r="H1442" s="1153"/>
      <c r="I1442" s="1099"/>
    </row>
    <row r="1443" spans="2:9">
      <c r="B1443" s="1136"/>
      <c r="C1443" s="1129"/>
      <c r="D1443" s="1098"/>
      <c r="E1443" s="1098"/>
      <c r="F1443" s="1099"/>
      <c r="G1443" s="1098"/>
      <c r="H1443" s="1153"/>
      <c r="I1443" s="1099"/>
    </row>
    <row r="1444" spans="2:9">
      <c r="B1444" s="1136"/>
      <c r="C1444" s="1129"/>
      <c r="D1444" s="1098"/>
      <c r="E1444" s="1098"/>
      <c r="F1444" s="1099"/>
      <c r="G1444" s="1098"/>
      <c r="H1444" s="1153"/>
      <c r="I1444" s="1099"/>
    </row>
    <row r="1445" spans="2:9">
      <c r="B1445" s="1136"/>
      <c r="C1445" s="1129"/>
      <c r="D1445" s="1098"/>
      <c r="E1445" s="1098"/>
      <c r="F1445" s="1099"/>
      <c r="G1445" s="1098"/>
      <c r="H1445" s="1153"/>
      <c r="I1445" s="1099"/>
    </row>
    <row r="1446" spans="2:9">
      <c r="B1446" s="1136"/>
      <c r="C1446" s="1129"/>
      <c r="D1446" s="1098"/>
      <c r="E1446" s="1098"/>
      <c r="F1446" s="1099"/>
      <c r="G1446" s="1098"/>
      <c r="H1446" s="1153"/>
      <c r="I1446" s="1099"/>
    </row>
    <row r="1447" spans="2:9">
      <c r="B1447" s="1136"/>
      <c r="C1447" s="1129"/>
      <c r="D1447" s="1098"/>
      <c r="E1447" s="1098"/>
      <c r="F1447" s="1099"/>
      <c r="G1447" s="1098"/>
      <c r="H1447" s="1153"/>
      <c r="I1447" s="1099"/>
    </row>
    <row r="1448" spans="2:9">
      <c r="B1448" s="1136"/>
      <c r="C1448" s="1129"/>
      <c r="D1448" s="1098"/>
      <c r="E1448" s="1098"/>
      <c r="F1448" s="1099"/>
      <c r="G1448" s="1098"/>
      <c r="H1448" s="1153"/>
      <c r="I1448" s="1099"/>
    </row>
    <row r="1449" spans="2:9">
      <c r="B1449" s="1136"/>
      <c r="C1449" s="1129"/>
      <c r="D1449" s="1098"/>
      <c r="E1449" s="1098"/>
      <c r="F1449" s="1099"/>
      <c r="G1449" s="1098"/>
      <c r="H1449" s="1153"/>
      <c r="I1449" s="1099"/>
    </row>
    <row r="1450" spans="2:9">
      <c r="B1450" s="1136"/>
      <c r="C1450" s="1129"/>
      <c r="D1450" s="1098"/>
      <c r="E1450" s="1098"/>
      <c r="F1450" s="1099"/>
      <c r="G1450" s="1098"/>
      <c r="H1450" s="1153"/>
      <c r="I1450" s="1099"/>
    </row>
    <row r="1451" spans="2:9">
      <c r="B1451" s="1136"/>
      <c r="C1451" s="1129"/>
      <c r="D1451" s="1098"/>
      <c r="E1451" s="1098"/>
      <c r="F1451" s="1099"/>
      <c r="G1451" s="1098"/>
      <c r="H1451" s="1153"/>
      <c r="I1451" s="1099"/>
    </row>
    <row r="1452" spans="2:9">
      <c r="B1452" s="1136"/>
      <c r="C1452" s="1129"/>
      <c r="D1452" s="1098"/>
      <c r="E1452" s="1098"/>
      <c r="F1452" s="1099"/>
      <c r="G1452" s="1098"/>
      <c r="H1452" s="1153"/>
      <c r="I1452" s="1099"/>
    </row>
    <row r="1453" spans="2:9">
      <c r="B1453" s="1136"/>
      <c r="C1453" s="1129"/>
      <c r="D1453" s="1098"/>
      <c r="E1453" s="1098"/>
      <c r="F1453" s="1099"/>
      <c r="G1453" s="1098"/>
      <c r="H1453" s="1153"/>
      <c r="I1453" s="1099"/>
    </row>
    <row r="1454" spans="2:9">
      <c r="B1454" s="1136"/>
      <c r="C1454" s="1129"/>
      <c r="D1454" s="1098"/>
      <c r="E1454" s="1098"/>
      <c r="F1454" s="1099"/>
      <c r="G1454" s="1098"/>
      <c r="H1454" s="1153"/>
      <c r="I1454" s="1099"/>
    </row>
    <row r="1455" spans="2:9">
      <c r="B1455" s="1136"/>
      <c r="C1455" s="1129"/>
      <c r="D1455" s="1098"/>
      <c r="E1455" s="1098"/>
      <c r="F1455" s="1099"/>
      <c r="G1455" s="1098"/>
      <c r="H1455" s="1153"/>
      <c r="I1455" s="1099"/>
    </row>
    <row r="1456" spans="2:9">
      <c r="B1456" s="1136"/>
      <c r="C1456" s="1129"/>
      <c r="D1456" s="1098"/>
      <c r="E1456" s="1098"/>
      <c r="F1456" s="1099"/>
      <c r="G1456" s="1098"/>
      <c r="H1456" s="1153"/>
      <c r="I1456" s="1099"/>
    </row>
    <row r="1457" spans="2:9">
      <c r="B1457" s="1136"/>
      <c r="C1457" s="1129"/>
      <c r="D1457" s="1098"/>
      <c r="E1457" s="1098"/>
      <c r="F1457" s="1099"/>
      <c r="G1457" s="1098"/>
      <c r="H1457" s="1153"/>
      <c r="I1457" s="1099"/>
    </row>
    <row r="1458" spans="2:9">
      <c r="B1458" s="1136"/>
      <c r="C1458" s="1129"/>
      <c r="D1458" s="1098"/>
      <c r="E1458" s="1098"/>
      <c r="F1458" s="1099"/>
      <c r="G1458" s="1098"/>
      <c r="H1458" s="1153"/>
      <c r="I1458" s="1099"/>
    </row>
    <row r="1459" spans="2:9">
      <c r="B1459" s="1136"/>
      <c r="C1459" s="1129"/>
      <c r="D1459" s="1098"/>
      <c r="E1459" s="1098"/>
      <c r="F1459" s="1099"/>
      <c r="G1459" s="1098"/>
      <c r="H1459" s="1153"/>
      <c r="I1459" s="1099"/>
    </row>
    <row r="1460" spans="2:9">
      <c r="B1460" s="1136"/>
      <c r="C1460" s="1129"/>
      <c r="D1460" s="1098"/>
      <c r="E1460" s="1098"/>
      <c r="F1460" s="1099"/>
      <c r="G1460" s="1098"/>
      <c r="H1460" s="1153"/>
      <c r="I1460" s="1099"/>
    </row>
    <row r="1461" spans="2:9">
      <c r="B1461" s="1136"/>
      <c r="C1461" s="1129"/>
      <c r="D1461" s="1098"/>
      <c r="E1461" s="1098"/>
      <c r="F1461" s="1099"/>
      <c r="G1461" s="1098"/>
      <c r="H1461" s="1153"/>
      <c r="I1461" s="1099"/>
    </row>
    <row r="1462" spans="2:9">
      <c r="B1462" s="1136"/>
      <c r="C1462" s="1129"/>
      <c r="D1462" s="1098"/>
      <c r="E1462" s="1098"/>
      <c r="F1462" s="1099"/>
      <c r="G1462" s="1098"/>
      <c r="H1462" s="1153"/>
      <c r="I1462" s="1099"/>
    </row>
    <row r="1463" spans="2:9">
      <c r="B1463" s="1136"/>
      <c r="C1463" s="1129"/>
      <c r="D1463" s="1098"/>
      <c r="E1463" s="1098"/>
      <c r="F1463" s="1099"/>
      <c r="G1463" s="1098"/>
      <c r="H1463" s="1153"/>
      <c r="I1463" s="1099"/>
    </row>
    <row r="1464" spans="2:9">
      <c r="B1464" s="1136"/>
      <c r="C1464" s="1129"/>
      <c r="D1464" s="1098"/>
      <c r="E1464" s="1098"/>
      <c r="F1464" s="1099"/>
      <c r="G1464" s="1098"/>
      <c r="H1464" s="1153"/>
      <c r="I1464" s="1099"/>
    </row>
    <row r="1465" spans="2:9">
      <c r="B1465" s="1136"/>
      <c r="C1465" s="1129"/>
      <c r="D1465" s="1098"/>
      <c r="E1465" s="1098"/>
      <c r="F1465" s="1099"/>
      <c r="G1465" s="1098"/>
      <c r="H1465" s="1153"/>
      <c r="I1465" s="1099"/>
    </row>
    <row r="1466" spans="2:9">
      <c r="B1466" s="1136"/>
      <c r="C1466" s="1129"/>
      <c r="D1466" s="1098"/>
      <c r="E1466" s="1098"/>
      <c r="F1466" s="1099"/>
      <c r="G1466" s="1098"/>
      <c r="H1466" s="1153"/>
      <c r="I1466" s="1099"/>
    </row>
    <row r="1467" spans="2:9">
      <c r="B1467" s="1136"/>
      <c r="C1467" s="1129"/>
      <c r="D1467" s="1098"/>
      <c r="E1467" s="1098"/>
      <c r="F1467" s="1099"/>
      <c r="G1467" s="1098"/>
      <c r="H1467" s="1153"/>
      <c r="I1467" s="1099"/>
    </row>
    <row r="1468" spans="2:9">
      <c r="B1468" s="1136"/>
      <c r="C1468" s="1129"/>
      <c r="D1468" s="1098"/>
      <c r="E1468" s="1098"/>
      <c r="F1468" s="1099"/>
      <c r="G1468" s="1098"/>
      <c r="H1468" s="1153"/>
      <c r="I1468" s="1099"/>
    </row>
    <row r="1469" spans="2:9">
      <c r="B1469" s="1136"/>
      <c r="C1469" s="1129"/>
      <c r="D1469" s="1098"/>
      <c r="E1469" s="1098"/>
      <c r="F1469" s="1099"/>
      <c r="G1469" s="1098"/>
      <c r="H1469" s="1153"/>
      <c r="I1469" s="1099"/>
    </row>
    <row r="1470" spans="2:9">
      <c r="B1470" s="1136"/>
      <c r="C1470" s="1129"/>
      <c r="D1470" s="1098"/>
      <c r="E1470" s="1098"/>
      <c r="F1470" s="1099"/>
      <c r="G1470" s="1098"/>
      <c r="H1470" s="1153"/>
      <c r="I1470" s="1099"/>
    </row>
    <row r="1471" spans="2:9">
      <c r="B1471" s="1136"/>
      <c r="C1471" s="1129"/>
      <c r="D1471" s="1098"/>
      <c r="E1471" s="1098"/>
      <c r="F1471" s="1099"/>
      <c r="G1471" s="1098"/>
      <c r="H1471" s="1153"/>
      <c r="I1471" s="1099"/>
    </row>
    <row r="1472" spans="2:9">
      <c r="B1472" s="1136"/>
      <c r="C1472" s="1129"/>
      <c r="D1472" s="1098"/>
      <c r="E1472" s="1098"/>
      <c r="F1472" s="1099"/>
      <c r="G1472" s="1098"/>
      <c r="H1472" s="1153"/>
      <c r="I1472" s="1099"/>
    </row>
    <row r="1473" spans="2:9">
      <c r="B1473" s="1136"/>
      <c r="C1473" s="1129"/>
      <c r="D1473" s="1098"/>
      <c r="E1473" s="1098"/>
      <c r="F1473" s="1099"/>
      <c r="G1473" s="1098"/>
      <c r="H1473" s="1153"/>
      <c r="I1473" s="1099"/>
    </row>
    <row r="1474" spans="2:9">
      <c r="B1474" s="1136"/>
      <c r="C1474" s="1129"/>
      <c r="D1474" s="1098"/>
      <c r="E1474" s="1098"/>
      <c r="F1474" s="1099"/>
      <c r="G1474" s="1098"/>
      <c r="H1474" s="1153"/>
      <c r="I1474" s="1099"/>
    </row>
    <row r="1475" spans="2:9">
      <c r="B1475" s="1136"/>
      <c r="C1475" s="1129"/>
      <c r="D1475" s="1098"/>
      <c r="E1475" s="1098"/>
      <c r="F1475" s="1099"/>
      <c r="G1475" s="1098"/>
      <c r="H1475" s="1153"/>
      <c r="I1475" s="1099"/>
    </row>
    <row r="1476" spans="2:9">
      <c r="B1476" s="1136"/>
      <c r="C1476" s="1129"/>
      <c r="D1476" s="1098"/>
      <c r="E1476" s="1098"/>
      <c r="F1476" s="1099"/>
      <c r="G1476" s="1098"/>
      <c r="H1476" s="1153"/>
      <c r="I1476" s="1099"/>
    </row>
    <row r="1477" spans="2:9">
      <c r="B1477" s="1136"/>
      <c r="C1477" s="1129"/>
      <c r="D1477" s="1098"/>
      <c r="E1477" s="1098"/>
      <c r="F1477" s="1099"/>
      <c r="G1477" s="1098"/>
      <c r="H1477" s="1153"/>
      <c r="I1477" s="1099"/>
    </row>
    <row r="1478" spans="2:9">
      <c r="B1478" s="1136"/>
      <c r="C1478" s="1129"/>
      <c r="D1478" s="1098"/>
      <c r="E1478" s="1098"/>
      <c r="F1478" s="1099"/>
      <c r="G1478" s="1098"/>
      <c r="H1478" s="1153"/>
      <c r="I1478" s="1099"/>
    </row>
    <row r="1479" spans="2:9">
      <c r="B1479" s="1136"/>
      <c r="C1479" s="1129"/>
      <c r="D1479" s="1098"/>
      <c r="E1479" s="1098"/>
      <c r="F1479" s="1099"/>
      <c r="G1479" s="1098"/>
      <c r="H1479" s="1153"/>
      <c r="I1479" s="1099"/>
    </row>
    <row r="1480" spans="2:9">
      <c r="B1480" s="1136"/>
      <c r="C1480" s="1129"/>
      <c r="D1480" s="1098"/>
      <c r="E1480" s="1098"/>
      <c r="F1480" s="1099"/>
      <c r="G1480" s="1098"/>
      <c r="H1480" s="1153"/>
      <c r="I1480" s="1099"/>
    </row>
    <row r="1481" spans="2:9">
      <c r="B1481" s="1136"/>
      <c r="C1481" s="1129"/>
      <c r="D1481" s="1098"/>
      <c r="E1481" s="1098"/>
      <c r="F1481" s="1099"/>
      <c r="G1481" s="1098"/>
      <c r="H1481" s="1153"/>
      <c r="I1481" s="1099"/>
    </row>
    <row r="1482" spans="2:9">
      <c r="B1482" s="1136"/>
      <c r="C1482" s="1129"/>
      <c r="D1482" s="1098"/>
      <c r="E1482" s="1098"/>
      <c r="F1482" s="1099"/>
      <c r="G1482" s="1098"/>
      <c r="H1482" s="1153"/>
      <c r="I1482" s="1099"/>
    </row>
    <row r="1483" spans="2:9">
      <c r="B1483" s="1136"/>
      <c r="C1483" s="1129"/>
      <c r="D1483" s="1098"/>
      <c r="E1483" s="1098"/>
      <c r="F1483" s="1099"/>
      <c r="G1483" s="1098"/>
      <c r="H1483" s="1153"/>
      <c r="I1483" s="1099"/>
    </row>
    <row r="1484" spans="2:9">
      <c r="B1484" s="1136"/>
      <c r="C1484" s="1129"/>
      <c r="D1484" s="1098"/>
      <c r="E1484" s="1098"/>
      <c r="F1484" s="1099"/>
      <c r="G1484" s="1098"/>
      <c r="H1484" s="1153"/>
      <c r="I1484" s="1099"/>
    </row>
    <row r="1485" spans="2:9">
      <c r="B1485" s="1136"/>
      <c r="C1485" s="1129"/>
      <c r="D1485" s="1098"/>
      <c r="E1485" s="1098"/>
      <c r="F1485" s="1099"/>
      <c r="G1485" s="1098"/>
      <c r="H1485" s="1153"/>
      <c r="I1485" s="1099"/>
    </row>
    <row r="1486" spans="2:9">
      <c r="B1486" s="1136"/>
      <c r="C1486" s="1129"/>
      <c r="D1486" s="1098"/>
      <c r="E1486" s="1098"/>
      <c r="F1486" s="1099"/>
      <c r="G1486" s="1098"/>
      <c r="H1486" s="1153"/>
      <c r="I1486" s="1099"/>
    </row>
    <row r="1487" spans="2:9">
      <c r="B1487" s="1136"/>
      <c r="C1487" s="1129"/>
      <c r="D1487" s="1098"/>
      <c r="E1487" s="1098"/>
      <c r="F1487" s="1099"/>
      <c r="G1487" s="1098"/>
      <c r="H1487" s="1153"/>
      <c r="I1487" s="1099"/>
    </row>
    <row r="1488" spans="2:9">
      <c r="B1488" s="1136"/>
      <c r="C1488" s="1129"/>
      <c r="D1488" s="1098"/>
      <c r="E1488" s="1098"/>
      <c r="F1488" s="1099"/>
      <c r="G1488" s="1098"/>
      <c r="H1488" s="1153"/>
      <c r="I1488" s="1099"/>
    </row>
    <row r="1489" spans="2:9">
      <c r="B1489" s="1136"/>
      <c r="C1489" s="1129"/>
      <c r="D1489" s="1098"/>
      <c r="E1489" s="1098"/>
      <c r="F1489" s="1099"/>
      <c r="G1489" s="1098"/>
      <c r="H1489" s="1153"/>
      <c r="I1489" s="1099"/>
    </row>
    <row r="1490" spans="2:9">
      <c r="B1490" s="1136"/>
      <c r="C1490" s="1129"/>
      <c r="D1490" s="1098"/>
      <c r="E1490" s="1098"/>
      <c r="F1490" s="1099"/>
      <c r="G1490" s="1098"/>
      <c r="H1490" s="1153"/>
      <c r="I1490" s="1099"/>
    </row>
    <row r="1491" spans="2:9">
      <c r="B1491" s="1136"/>
      <c r="C1491" s="1129"/>
      <c r="D1491" s="1098"/>
      <c r="E1491" s="1098"/>
      <c r="F1491" s="1099"/>
      <c r="G1491" s="1098"/>
      <c r="H1491" s="1153"/>
      <c r="I1491" s="1099"/>
    </row>
    <row r="1492" spans="2:9">
      <c r="B1492" s="1136"/>
      <c r="C1492" s="1129"/>
      <c r="D1492" s="1098"/>
      <c r="E1492" s="1098"/>
      <c r="F1492" s="1099"/>
      <c r="G1492" s="1098"/>
      <c r="H1492" s="1153"/>
      <c r="I1492" s="1099"/>
    </row>
    <row r="1493" spans="2:9">
      <c r="B1493" s="1136"/>
      <c r="C1493" s="1129"/>
      <c r="D1493" s="1098"/>
      <c r="E1493" s="1098"/>
      <c r="F1493" s="1099"/>
      <c r="G1493" s="1098"/>
      <c r="H1493" s="1153"/>
      <c r="I1493" s="1099"/>
    </row>
    <row r="1494" spans="2:9">
      <c r="B1494" s="1136"/>
      <c r="C1494" s="1129"/>
      <c r="D1494" s="1098"/>
      <c r="E1494" s="1098"/>
      <c r="F1494" s="1099"/>
      <c r="G1494" s="1098"/>
      <c r="H1494" s="1153"/>
      <c r="I1494" s="1099"/>
    </row>
    <row r="1495" spans="2:9">
      <c r="B1495" s="1136"/>
      <c r="C1495" s="1129"/>
      <c r="D1495" s="1098"/>
      <c r="E1495" s="1098"/>
      <c r="F1495" s="1099"/>
      <c r="G1495" s="1098"/>
      <c r="H1495" s="1153"/>
      <c r="I1495" s="1099"/>
    </row>
    <row r="1496" spans="2:9">
      <c r="B1496" s="1136"/>
      <c r="C1496" s="1129"/>
      <c r="D1496" s="1098"/>
      <c r="E1496" s="1098"/>
      <c r="F1496" s="1099"/>
      <c r="G1496" s="1098"/>
      <c r="H1496" s="1153"/>
      <c r="I1496" s="1099"/>
    </row>
    <row r="1497" spans="2:9">
      <c r="B1497" s="1136"/>
      <c r="C1497" s="1129"/>
      <c r="D1497" s="1098"/>
      <c r="E1497" s="1098"/>
      <c r="F1497" s="1099"/>
      <c r="G1497" s="1098"/>
      <c r="H1497" s="1153"/>
      <c r="I1497" s="1099"/>
    </row>
    <row r="1498" spans="2:9">
      <c r="B1498" s="1136"/>
      <c r="C1498" s="1129"/>
      <c r="D1498" s="1098"/>
      <c r="E1498" s="1098"/>
      <c r="F1498" s="1099"/>
      <c r="G1498" s="1098"/>
      <c r="H1498" s="1153"/>
      <c r="I1498" s="1099"/>
    </row>
    <row r="1499" spans="2:9">
      <c r="B1499" s="1136"/>
      <c r="C1499" s="1129"/>
      <c r="D1499" s="1098"/>
      <c r="E1499" s="1098"/>
      <c r="F1499" s="1099"/>
      <c r="G1499" s="1098"/>
      <c r="H1499" s="1153"/>
      <c r="I1499" s="1099"/>
    </row>
    <row r="1500" spans="2:9">
      <c r="B1500" s="1136"/>
      <c r="C1500" s="1129"/>
      <c r="D1500" s="1098"/>
      <c r="E1500" s="1098"/>
      <c r="F1500" s="1099"/>
      <c r="G1500" s="1098"/>
      <c r="H1500" s="1153"/>
      <c r="I1500" s="1099"/>
    </row>
    <row r="1501" spans="2:9">
      <c r="B1501" s="1136"/>
      <c r="C1501" s="1129"/>
      <c r="D1501" s="1098"/>
      <c r="E1501" s="1098"/>
      <c r="F1501" s="1099"/>
      <c r="G1501" s="1098"/>
      <c r="H1501" s="1153"/>
      <c r="I1501" s="1099"/>
    </row>
    <row r="1502" spans="2:9">
      <c r="B1502" s="1136"/>
      <c r="C1502" s="1129"/>
      <c r="D1502" s="1098"/>
      <c r="E1502" s="1098"/>
      <c r="F1502" s="1099"/>
      <c r="G1502" s="1098"/>
      <c r="H1502" s="1153"/>
      <c r="I1502" s="1099"/>
    </row>
    <row r="1503" spans="2:9">
      <c r="B1503" s="1136"/>
      <c r="C1503" s="1129"/>
      <c r="D1503" s="1098"/>
      <c r="E1503" s="1098"/>
      <c r="F1503" s="1099"/>
      <c r="G1503" s="1098"/>
      <c r="H1503" s="1153"/>
      <c r="I1503" s="1099"/>
    </row>
    <row r="1504" spans="2:9">
      <c r="B1504" s="1136"/>
      <c r="C1504" s="1129"/>
      <c r="D1504" s="1098"/>
      <c r="E1504" s="1098"/>
      <c r="F1504" s="1099"/>
      <c r="G1504" s="1098"/>
      <c r="H1504" s="1153"/>
      <c r="I1504" s="1099"/>
    </row>
    <row r="1505" spans="2:9">
      <c r="B1505" s="1136"/>
      <c r="C1505" s="1129"/>
      <c r="D1505" s="1098"/>
      <c r="E1505" s="1098"/>
      <c r="F1505" s="1099"/>
      <c r="G1505" s="1098"/>
      <c r="H1505" s="1153"/>
      <c r="I1505" s="1099"/>
    </row>
    <row r="1506" spans="2:9">
      <c r="B1506" s="1136"/>
      <c r="C1506" s="1129"/>
      <c r="D1506" s="1098"/>
      <c r="E1506" s="1098"/>
      <c r="F1506" s="1099"/>
      <c r="G1506" s="1098"/>
      <c r="H1506" s="1153"/>
      <c r="I1506" s="1099"/>
    </row>
    <row r="1507" spans="2:9">
      <c r="B1507" s="1136"/>
      <c r="C1507" s="1129"/>
      <c r="D1507" s="1098"/>
      <c r="E1507" s="1098"/>
      <c r="F1507" s="1099"/>
      <c r="G1507" s="1098"/>
      <c r="H1507" s="1153"/>
      <c r="I1507" s="1099"/>
    </row>
    <row r="1508" spans="2:9">
      <c r="B1508" s="1136"/>
      <c r="C1508" s="1129"/>
      <c r="D1508" s="1098"/>
      <c r="E1508" s="1098"/>
      <c r="F1508" s="1099"/>
      <c r="G1508" s="1098"/>
      <c r="H1508" s="1153"/>
      <c r="I1508" s="1099"/>
    </row>
    <row r="1509" spans="2:9">
      <c r="B1509" s="1136"/>
      <c r="C1509" s="1129"/>
      <c r="D1509" s="1098"/>
      <c r="E1509" s="1098"/>
      <c r="F1509" s="1099"/>
      <c r="G1509" s="1098"/>
      <c r="H1509" s="1153"/>
      <c r="I1509" s="1099"/>
    </row>
    <row r="1510" spans="2:9">
      <c r="B1510" s="1136"/>
      <c r="C1510" s="1129"/>
      <c r="D1510" s="1098"/>
      <c r="E1510" s="1098"/>
      <c r="F1510" s="1099"/>
      <c r="G1510" s="1098"/>
      <c r="H1510" s="1153"/>
      <c r="I1510" s="1099"/>
    </row>
    <row r="1511" spans="2:9">
      <c r="B1511" s="1136"/>
      <c r="C1511" s="1129"/>
      <c r="D1511" s="1098"/>
      <c r="E1511" s="1098"/>
      <c r="F1511" s="1099"/>
      <c r="G1511" s="1098"/>
      <c r="H1511" s="1153"/>
      <c r="I1511" s="1099"/>
    </row>
    <row r="1512" spans="2:9">
      <c r="B1512" s="1136"/>
      <c r="C1512" s="1129"/>
      <c r="D1512" s="1098"/>
      <c r="E1512" s="1098"/>
      <c r="F1512" s="1099"/>
      <c r="G1512" s="1098"/>
      <c r="H1512" s="1153"/>
      <c r="I1512" s="1099"/>
    </row>
    <row r="1513" spans="2:9">
      <c r="B1513" s="1136"/>
      <c r="C1513" s="1129"/>
      <c r="D1513" s="1098"/>
      <c r="E1513" s="1098"/>
      <c r="F1513" s="1099"/>
      <c r="G1513" s="1098"/>
      <c r="H1513" s="1153"/>
      <c r="I1513" s="1099"/>
    </row>
    <row r="1514" spans="2:9">
      <c r="B1514" s="1136"/>
      <c r="C1514" s="1129"/>
      <c r="D1514" s="1098"/>
      <c r="E1514" s="1098"/>
      <c r="F1514" s="1099"/>
      <c r="G1514" s="1098"/>
      <c r="H1514" s="1153"/>
      <c r="I1514" s="1099"/>
    </row>
    <row r="1515" spans="2:9">
      <c r="B1515" s="1136"/>
      <c r="C1515" s="1129"/>
      <c r="D1515" s="1098"/>
      <c r="E1515" s="1098"/>
      <c r="F1515" s="1099"/>
      <c r="G1515" s="1098"/>
      <c r="H1515" s="1153"/>
      <c r="I1515" s="1099"/>
    </row>
    <row r="1516" spans="2:9">
      <c r="B1516" s="1136"/>
      <c r="C1516" s="1129"/>
      <c r="D1516" s="1098"/>
      <c r="E1516" s="1098"/>
      <c r="F1516" s="1099"/>
      <c r="G1516" s="1098"/>
      <c r="H1516" s="1153"/>
      <c r="I1516" s="1099"/>
    </row>
    <row r="1517" spans="2:9">
      <c r="B1517" s="1136"/>
      <c r="C1517" s="1129"/>
      <c r="D1517" s="1098"/>
      <c r="E1517" s="1098"/>
      <c r="F1517" s="1099"/>
      <c r="G1517" s="1098"/>
      <c r="H1517" s="1153"/>
      <c r="I1517" s="1099"/>
    </row>
    <row r="1518" spans="2:9">
      <c r="B1518" s="1136"/>
      <c r="C1518" s="1129"/>
      <c r="D1518" s="1098"/>
      <c r="E1518" s="1098"/>
      <c r="F1518" s="1099"/>
      <c r="G1518" s="1098"/>
      <c r="H1518" s="1153"/>
      <c r="I1518" s="1099"/>
    </row>
    <row r="1519" spans="2:9">
      <c r="B1519" s="1136"/>
      <c r="C1519" s="1129"/>
      <c r="D1519" s="1098"/>
      <c r="E1519" s="1098"/>
      <c r="F1519" s="1099"/>
      <c r="G1519" s="1098"/>
      <c r="H1519" s="1153"/>
      <c r="I1519" s="1099"/>
    </row>
    <row r="1520" spans="2:9">
      <c r="B1520" s="1136"/>
      <c r="C1520" s="1129"/>
      <c r="D1520" s="1098"/>
      <c r="E1520" s="1098"/>
      <c r="F1520" s="1099"/>
      <c r="G1520" s="1098"/>
      <c r="H1520" s="1153"/>
      <c r="I1520" s="1099"/>
    </row>
    <row r="1521" spans="2:9">
      <c r="B1521" s="1136"/>
      <c r="C1521" s="1129"/>
      <c r="D1521" s="1098"/>
      <c r="E1521" s="1098"/>
      <c r="F1521" s="1099"/>
      <c r="G1521" s="1098"/>
      <c r="H1521" s="1153"/>
      <c r="I1521" s="1099"/>
    </row>
    <row r="1522" spans="2:9">
      <c r="B1522" s="1136"/>
      <c r="C1522" s="1129"/>
      <c r="D1522" s="1098"/>
      <c r="E1522" s="1098"/>
      <c r="F1522" s="1099"/>
      <c r="G1522" s="1098"/>
      <c r="H1522" s="1153"/>
      <c r="I1522" s="1099"/>
    </row>
    <row r="1523" spans="2:9">
      <c r="B1523" s="1136"/>
      <c r="C1523" s="1129"/>
      <c r="D1523" s="1098"/>
      <c r="E1523" s="1098"/>
      <c r="F1523" s="1099"/>
      <c r="G1523" s="1098"/>
      <c r="H1523" s="1153"/>
      <c r="I1523" s="1099"/>
    </row>
    <row r="1524" spans="2:9">
      <c r="B1524" s="1136"/>
      <c r="C1524" s="1129"/>
      <c r="D1524" s="1098"/>
      <c r="E1524" s="1098"/>
      <c r="F1524" s="1099"/>
      <c r="G1524" s="1098"/>
      <c r="H1524" s="1153"/>
      <c r="I1524" s="1099"/>
    </row>
    <row r="1525" spans="2:9">
      <c r="B1525" s="1136"/>
      <c r="C1525" s="1129"/>
      <c r="D1525" s="1098"/>
      <c r="E1525" s="1098"/>
      <c r="F1525" s="1099"/>
      <c r="G1525" s="1098"/>
      <c r="H1525" s="1153"/>
      <c r="I1525" s="1099"/>
    </row>
    <row r="1526" spans="2:9">
      <c r="B1526" s="1136"/>
      <c r="C1526" s="1129"/>
      <c r="D1526" s="1098"/>
      <c r="E1526" s="1098"/>
      <c r="F1526" s="1099"/>
      <c r="G1526" s="1098"/>
      <c r="H1526" s="1153"/>
      <c r="I1526" s="1099"/>
    </row>
    <row r="1527" spans="2:9">
      <c r="B1527" s="1136"/>
      <c r="C1527" s="1129"/>
      <c r="D1527" s="1098"/>
      <c r="E1527" s="1098"/>
      <c r="F1527" s="1099"/>
      <c r="G1527" s="1098"/>
      <c r="H1527" s="1153"/>
      <c r="I1527" s="1099"/>
    </row>
    <row r="1528" spans="2:9">
      <c r="B1528" s="1136"/>
      <c r="C1528" s="1129"/>
      <c r="D1528" s="1098"/>
      <c r="E1528" s="1098"/>
      <c r="F1528" s="1099"/>
      <c r="G1528" s="1098"/>
      <c r="H1528" s="1153"/>
      <c r="I1528" s="1099"/>
    </row>
    <row r="1529" spans="2:9">
      <c r="B1529" s="1136"/>
      <c r="C1529" s="1129"/>
      <c r="D1529" s="1098"/>
      <c r="E1529" s="1098"/>
      <c r="F1529" s="1099"/>
      <c r="G1529" s="1098"/>
      <c r="H1529" s="1153"/>
      <c r="I1529" s="1099"/>
    </row>
    <row r="1530" spans="2:9">
      <c r="B1530" s="1136"/>
      <c r="C1530" s="1129"/>
      <c r="D1530" s="1098"/>
      <c r="E1530" s="1098"/>
      <c r="F1530" s="1099"/>
      <c r="G1530" s="1098"/>
      <c r="H1530" s="1153"/>
      <c r="I1530" s="1099"/>
    </row>
    <row r="1531" spans="2:9">
      <c r="B1531" s="1136"/>
      <c r="C1531" s="1129"/>
      <c r="D1531" s="1098"/>
      <c r="E1531" s="1098"/>
      <c r="F1531" s="1099"/>
      <c r="G1531" s="1098"/>
      <c r="H1531" s="1153"/>
      <c r="I1531" s="1099"/>
    </row>
    <row r="1532" spans="2:9">
      <c r="B1532" s="1136"/>
      <c r="C1532" s="1129"/>
      <c r="D1532" s="1098"/>
      <c r="E1532" s="1098"/>
      <c r="F1532" s="1099"/>
      <c r="G1532" s="1098"/>
      <c r="H1532" s="1153"/>
      <c r="I1532" s="1099"/>
    </row>
    <row r="1533" spans="2:9">
      <c r="B1533" s="1136"/>
      <c r="C1533" s="1129"/>
      <c r="D1533" s="1098"/>
      <c r="E1533" s="1098"/>
      <c r="F1533" s="1099"/>
      <c r="G1533" s="1098"/>
      <c r="H1533" s="1153"/>
      <c r="I1533" s="1099"/>
    </row>
    <row r="1534" spans="2:9">
      <c r="B1534" s="1136"/>
      <c r="C1534" s="1129"/>
      <c r="D1534" s="1098"/>
      <c r="E1534" s="1098"/>
      <c r="F1534" s="1099"/>
      <c r="G1534" s="1098"/>
      <c r="H1534" s="1153"/>
      <c r="I1534" s="1099"/>
    </row>
    <row r="1535" spans="2:9">
      <c r="B1535" s="1136"/>
      <c r="C1535" s="1129"/>
      <c r="D1535" s="1098"/>
      <c r="E1535" s="1098"/>
      <c r="F1535" s="1099"/>
      <c r="G1535" s="1098"/>
      <c r="H1535" s="1153"/>
      <c r="I1535" s="1099"/>
    </row>
    <row r="1536" spans="2:9">
      <c r="B1536" s="1136"/>
      <c r="C1536" s="1129"/>
      <c r="D1536" s="1098"/>
      <c r="E1536" s="1098"/>
      <c r="F1536" s="1099"/>
      <c r="G1536" s="1098"/>
      <c r="H1536" s="1153"/>
      <c r="I1536" s="1099"/>
    </row>
    <row r="1537" spans="2:9">
      <c r="B1537" s="1136"/>
      <c r="C1537" s="1129"/>
      <c r="D1537" s="1098"/>
      <c r="E1537" s="1098"/>
      <c r="F1537" s="1099"/>
      <c r="G1537" s="1098"/>
      <c r="H1537" s="1153"/>
      <c r="I1537" s="1099"/>
    </row>
    <row r="1538" spans="2:9">
      <c r="B1538" s="1136"/>
      <c r="C1538" s="1129"/>
      <c r="D1538" s="1098"/>
      <c r="E1538" s="1098"/>
      <c r="F1538" s="1099"/>
      <c r="G1538" s="1098"/>
      <c r="H1538" s="1153"/>
      <c r="I1538" s="1099"/>
    </row>
    <row r="1539" spans="2:9">
      <c r="B1539" s="1136"/>
      <c r="C1539" s="1129"/>
      <c r="D1539" s="1098"/>
      <c r="E1539" s="1098"/>
      <c r="F1539" s="1099"/>
      <c r="G1539" s="1098"/>
      <c r="H1539" s="1153"/>
      <c r="I1539" s="1099"/>
    </row>
    <row r="1540" spans="2:9">
      <c r="B1540" s="1136"/>
      <c r="C1540" s="1129"/>
      <c r="D1540" s="1098"/>
      <c r="E1540" s="1098"/>
      <c r="F1540" s="1099"/>
      <c r="G1540" s="1098"/>
      <c r="H1540" s="1153"/>
      <c r="I1540" s="1099"/>
    </row>
    <row r="1541" spans="2:9">
      <c r="B1541" s="1136"/>
      <c r="C1541" s="1129"/>
      <c r="D1541" s="1098"/>
      <c r="E1541" s="1098"/>
      <c r="F1541" s="1099"/>
      <c r="G1541" s="1098"/>
      <c r="H1541" s="1153"/>
      <c r="I1541" s="1099"/>
    </row>
    <row r="1542" spans="2:9">
      <c r="B1542" s="1136"/>
      <c r="C1542" s="1129"/>
      <c r="D1542" s="1098"/>
      <c r="E1542" s="1098"/>
      <c r="F1542" s="1099"/>
      <c r="G1542" s="1098"/>
      <c r="H1542" s="1153"/>
      <c r="I1542" s="1099"/>
    </row>
    <row r="1543" spans="2:9">
      <c r="B1543" s="1136"/>
      <c r="C1543" s="1129"/>
      <c r="D1543" s="1098"/>
      <c r="E1543" s="1098"/>
      <c r="F1543" s="1099"/>
      <c r="G1543" s="1098"/>
      <c r="H1543" s="1153"/>
      <c r="I1543" s="1099"/>
    </row>
    <row r="1544" spans="2:9">
      <c r="B1544" s="1136"/>
      <c r="C1544" s="1129"/>
      <c r="D1544" s="1098"/>
      <c r="E1544" s="1098"/>
      <c r="F1544" s="1099"/>
      <c r="G1544" s="1098"/>
      <c r="H1544" s="1153"/>
      <c r="I1544" s="1099"/>
    </row>
    <row r="1545" spans="2:9">
      <c r="B1545" s="1136"/>
      <c r="C1545" s="1129"/>
      <c r="D1545" s="1098"/>
      <c r="E1545" s="1098"/>
      <c r="F1545" s="1099"/>
      <c r="G1545" s="1098"/>
      <c r="H1545" s="1153"/>
      <c r="I1545" s="1099"/>
    </row>
    <row r="1546" spans="2:9">
      <c r="B1546" s="1136"/>
      <c r="C1546" s="1129"/>
      <c r="D1546" s="1098"/>
      <c r="E1546" s="1098"/>
      <c r="F1546" s="1099"/>
      <c r="G1546" s="1098"/>
      <c r="H1546" s="1153"/>
      <c r="I1546" s="1099"/>
    </row>
    <row r="1547" spans="2:9">
      <c r="B1547" s="1136"/>
      <c r="C1547" s="1129"/>
      <c r="D1547" s="1098"/>
      <c r="E1547" s="1098"/>
      <c r="F1547" s="1099"/>
      <c r="G1547" s="1098"/>
      <c r="H1547" s="1153"/>
      <c r="I1547" s="1099"/>
    </row>
    <row r="1548" spans="2:9">
      <c r="B1548" s="1136"/>
      <c r="C1548" s="1129"/>
      <c r="D1548" s="1098"/>
      <c r="E1548" s="1098"/>
      <c r="F1548" s="1099"/>
      <c r="G1548" s="1098"/>
      <c r="H1548" s="1153"/>
      <c r="I1548" s="1099"/>
    </row>
    <row r="1549" spans="2:9">
      <c r="B1549" s="1136"/>
      <c r="C1549" s="1129"/>
      <c r="D1549" s="1098"/>
      <c r="E1549" s="1098"/>
      <c r="F1549" s="1099"/>
      <c r="G1549" s="1098"/>
      <c r="H1549" s="1153"/>
      <c r="I1549" s="1099"/>
    </row>
    <row r="1550" spans="2:9">
      <c r="B1550" s="1136"/>
      <c r="C1550" s="1129"/>
      <c r="D1550" s="1098"/>
      <c r="E1550" s="1098"/>
      <c r="F1550" s="1099"/>
      <c r="G1550" s="1098"/>
      <c r="H1550" s="1153"/>
      <c r="I1550" s="1099"/>
    </row>
    <row r="1551" spans="2:9">
      <c r="B1551" s="1136"/>
      <c r="C1551" s="1129"/>
      <c r="D1551" s="1098"/>
      <c r="E1551" s="1098"/>
      <c r="F1551" s="1099"/>
      <c r="G1551" s="1098"/>
      <c r="H1551" s="1153"/>
      <c r="I1551" s="1099"/>
    </row>
    <row r="1552" spans="2:9">
      <c r="B1552" s="1136"/>
      <c r="C1552" s="1129"/>
      <c r="D1552" s="1098"/>
      <c r="E1552" s="1098"/>
      <c r="F1552" s="1099"/>
      <c r="G1552" s="1098"/>
      <c r="H1552" s="1153"/>
      <c r="I1552" s="1099"/>
    </row>
    <row r="1553" spans="2:9">
      <c r="B1553" s="1136"/>
      <c r="C1553" s="1129"/>
      <c r="D1553" s="1098"/>
      <c r="E1553" s="1098"/>
      <c r="F1553" s="1099"/>
      <c r="G1553" s="1098"/>
      <c r="H1553" s="1153"/>
      <c r="I1553" s="1099"/>
    </row>
    <row r="1554" spans="2:9">
      <c r="B1554" s="1136"/>
      <c r="C1554" s="1129"/>
      <c r="D1554" s="1098"/>
      <c r="E1554" s="1098"/>
      <c r="F1554" s="1099"/>
      <c r="G1554" s="1098"/>
      <c r="H1554" s="1153"/>
      <c r="I1554" s="1099"/>
    </row>
    <row r="1555" spans="2:9">
      <c r="B1555" s="1136"/>
      <c r="C1555" s="1129"/>
      <c r="D1555" s="1098"/>
      <c r="E1555" s="1098"/>
      <c r="F1555" s="1099"/>
      <c r="G1555" s="1098"/>
      <c r="H1555" s="1153"/>
      <c r="I1555" s="1099"/>
    </row>
    <row r="1556" spans="2:9">
      <c r="B1556" s="1136"/>
      <c r="C1556" s="1129"/>
      <c r="D1556" s="1098"/>
      <c r="E1556" s="1098"/>
      <c r="F1556" s="1099"/>
      <c r="G1556" s="1098"/>
      <c r="H1556" s="1153"/>
      <c r="I1556" s="1099"/>
    </row>
    <row r="1557" spans="2:9">
      <c r="B1557" s="1136"/>
      <c r="C1557" s="1129"/>
      <c r="D1557" s="1098"/>
      <c r="E1557" s="1098"/>
      <c r="F1557" s="1099"/>
      <c r="G1557" s="1098"/>
      <c r="H1557" s="1153"/>
      <c r="I1557" s="1099"/>
    </row>
    <row r="1558" spans="2:9">
      <c r="B1558" s="1136"/>
      <c r="C1558" s="1129"/>
      <c r="D1558" s="1098"/>
      <c r="E1558" s="1098"/>
      <c r="F1558" s="1099"/>
      <c r="G1558" s="1098"/>
      <c r="H1558" s="1153"/>
      <c r="I1558" s="1099"/>
    </row>
    <row r="1559" spans="2:9">
      <c r="B1559" s="1136"/>
      <c r="C1559" s="1129"/>
      <c r="D1559" s="1098"/>
      <c r="E1559" s="1098"/>
      <c r="F1559" s="1099"/>
      <c r="G1559" s="1098"/>
      <c r="H1559" s="1153"/>
      <c r="I1559" s="1099"/>
    </row>
    <row r="1560" spans="2:9">
      <c r="B1560" s="1136"/>
      <c r="C1560" s="1129"/>
      <c r="D1560" s="1098"/>
      <c r="E1560" s="1098"/>
      <c r="F1560" s="1099"/>
      <c r="G1560" s="1098"/>
      <c r="H1560" s="1153"/>
      <c r="I1560" s="1099"/>
    </row>
    <row r="1561" spans="2:9">
      <c r="B1561" s="1136"/>
      <c r="C1561" s="1129"/>
      <c r="D1561" s="1098"/>
      <c r="E1561" s="1098"/>
      <c r="F1561" s="1099"/>
      <c r="G1561" s="1098"/>
      <c r="H1561" s="1153"/>
      <c r="I1561" s="1099"/>
    </row>
    <row r="1562" spans="2:9">
      <c r="B1562" s="1136"/>
      <c r="C1562" s="1129"/>
      <c r="D1562" s="1098"/>
      <c r="E1562" s="1098"/>
      <c r="F1562" s="1099"/>
      <c r="G1562" s="1098"/>
      <c r="H1562" s="1153"/>
      <c r="I1562" s="1099"/>
    </row>
    <row r="1563" spans="2:9">
      <c r="B1563" s="1136"/>
      <c r="C1563" s="1129"/>
      <c r="D1563" s="1098"/>
      <c r="E1563" s="1098"/>
      <c r="F1563" s="1099"/>
      <c r="G1563" s="1098"/>
      <c r="H1563" s="1153"/>
      <c r="I1563" s="1099"/>
    </row>
    <row r="1564" spans="2:9">
      <c r="B1564" s="1136"/>
      <c r="C1564" s="1129"/>
      <c r="D1564" s="1098"/>
      <c r="E1564" s="1098"/>
      <c r="F1564" s="1099"/>
      <c r="G1564" s="1098"/>
      <c r="H1564" s="1153"/>
      <c r="I1564" s="1099"/>
    </row>
    <row r="1565" spans="2:9">
      <c r="B1565" s="1136"/>
      <c r="C1565" s="1129"/>
      <c r="D1565" s="1098"/>
      <c r="E1565" s="1098"/>
      <c r="F1565" s="1099"/>
      <c r="G1565" s="1098"/>
      <c r="H1565" s="1153"/>
      <c r="I1565" s="1099"/>
    </row>
    <row r="1566" spans="2:9">
      <c r="B1566" s="1136"/>
      <c r="C1566" s="1129"/>
      <c r="D1566" s="1098"/>
      <c r="E1566" s="1098"/>
      <c r="F1566" s="1099"/>
      <c r="G1566" s="1098"/>
      <c r="H1566" s="1153"/>
      <c r="I1566" s="1099"/>
    </row>
    <row r="1567" spans="2:9">
      <c r="B1567" s="1136"/>
      <c r="C1567" s="1129"/>
      <c r="D1567" s="1098"/>
      <c r="E1567" s="1098"/>
      <c r="F1567" s="1099"/>
      <c r="G1567" s="1098"/>
      <c r="H1567" s="1153"/>
      <c r="I1567" s="1099"/>
    </row>
    <row r="1568" spans="2:9">
      <c r="B1568" s="1136"/>
      <c r="C1568" s="1129"/>
      <c r="D1568" s="1098"/>
      <c r="E1568" s="1098"/>
      <c r="F1568" s="1099"/>
      <c r="G1568" s="1098"/>
      <c r="H1568" s="1153"/>
      <c r="I1568" s="1099"/>
    </row>
    <row r="1569" spans="2:9">
      <c r="B1569" s="1136"/>
      <c r="C1569" s="1129"/>
      <c r="D1569" s="1098"/>
      <c r="E1569" s="1098"/>
      <c r="F1569" s="1099"/>
      <c r="G1569" s="1098"/>
      <c r="H1569" s="1153"/>
      <c r="I1569" s="1099"/>
    </row>
    <row r="1570" spans="2:9">
      <c r="B1570" s="1136"/>
      <c r="C1570" s="1129"/>
      <c r="D1570" s="1098"/>
      <c r="E1570" s="1098"/>
      <c r="F1570" s="1099"/>
      <c r="G1570" s="1098"/>
      <c r="H1570" s="1153"/>
      <c r="I1570" s="1099"/>
    </row>
    <row r="1571" spans="2:9">
      <c r="B1571" s="1136"/>
      <c r="C1571" s="1129"/>
      <c r="D1571" s="1098"/>
      <c r="E1571" s="1098"/>
      <c r="F1571" s="1099"/>
      <c r="G1571" s="1098"/>
      <c r="H1571" s="1153"/>
      <c r="I1571" s="1099"/>
    </row>
    <row r="1572" spans="2:9">
      <c r="B1572" s="1136"/>
      <c r="C1572" s="1129"/>
      <c r="D1572" s="1098"/>
      <c r="E1572" s="1098"/>
      <c r="F1572" s="1099"/>
      <c r="G1572" s="1098"/>
      <c r="H1572" s="1153"/>
      <c r="I1572" s="1099"/>
    </row>
    <row r="1573" spans="2:9">
      <c r="B1573" s="1136"/>
      <c r="C1573" s="1129"/>
      <c r="D1573" s="1098"/>
      <c r="E1573" s="1098"/>
      <c r="F1573" s="1099"/>
      <c r="G1573" s="1098"/>
      <c r="H1573" s="1153"/>
      <c r="I1573" s="1099"/>
    </row>
    <row r="1574" spans="2:9">
      <c r="B1574" s="1136"/>
      <c r="C1574" s="1129"/>
      <c r="D1574" s="1098"/>
      <c r="E1574" s="1098"/>
      <c r="F1574" s="1099"/>
      <c r="G1574" s="1098"/>
      <c r="H1574" s="1153"/>
      <c r="I1574" s="1099"/>
    </row>
    <row r="1575" spans="2:9">
      <c r="B1575" s="1136"/>
      <c r="C1575" s="1129"/>
      <c r="D1575" s="1098"/>
      <c r="E1575" s="1098"/>
      <c r="F1575" s="1099"/>
      <c r="G1575" s="1098"/>
      <c r="H1575" s="1153"/>
      <c r="I1575" s="1099"/>
    </row>
    <row r="1576" spans="2:9">
      <c r="B1576" s="1136"/>
      <c r="C1576" s="1129"/>
      <c r="D1576" s="1098"/>
      <c r="E1576" s="1098"/>
      <c r="F1576" s="1099"/>
      <c r="G1576" s="1098"/>
      <c r="H1576" s="1153"/>
      <c r="I1576" s="1099"/>
    </row>
    <row r="1577" spans="2:9">
      <c r="B1577" s="1136"/>
      <c r="C1577" s="1129"/>
      <c r="D1577" s="1098"/>
      <c r="E1577" s="1098"/>
      <c r="F1577" s="1099"/>
      <c r="G1577" s="1098"/>
      <c r="H1577" s="1153"/>
      <c r="I1577" s="1099"/>
    </row>
    <row r="1578" spans="2:9">
      <c r="B1578" s="1136"/>
      <c r="C1578" s="1129"/>
      <c r="D1578" s="1098"/>
      <c r="E1578" s="1098"/>
      <c r="F1578" s="1099"/>
      <c r="G1578" s="1098"/>
      <c r="H1578" s="1153"/>
      <c r="I1578" s="1099"/>
    </row>
    <row r="1579" spans="2:9">
      <c r="B1579" s="1136"/>
      <c r="C1579" s="1129"/>
      <c r="D1579" s="1098"/>
      <c r="E1579" s="1098"/>
      <c r="F1579" s="1099"/>
      <c r="G1579" s="1098"/>
      <c r="H1579" s="1153"/>
      <c r="I1579" s="1099"/>
    </row>
    <row r="1580" spans="2:9">
      <c r="B1580" s="1136"/>
      <c r="C1580" s="1129"/>
      <c r="D1580" s="1098"/>
      <c r="E1580" s="1098"/>
      <c r="F1580" s="1099"/>
      <c r="G1580" s="1098"/>
      <c r="H1580" s="1153"/>
      <c r="I1580" s="1099"/>
    </row>
    <row r="1581" spans="2:9">
      <c r="B1581" s="1136"/>
      <c r="C1581" s="1129"/>
      <c r="D1581" s="1098"/>
      <c r="E1581" s="1098"/>
      <c r="F1581" s="1099"/>
      <c r="G1581" s="1098"/>
      <c r="H1581" s="1153"/>
      <c r="I1581" s="1099"/>
    </row>
    <row r="1582" spans="2:9">
      <c r="B1582" s="1136"/>
      <c r="C1582" s="1129"/>
      <c r="D1582" s="1098"/>
      <c r="E1582" s="1098"/>
      <c r="F1582" s="1099"/>
      <c r="G1582" s="1098"/>
      <c r="H1582" s="1153"/>
      <c r="I1582" s="1099"/>
    </row>
    <row r="1583" spans="2:9">
      <c r="B1583" s="1136"/>
      <c r="C1583" s="1129"/>
      <c r="D1583" s="1098"/>
      <c r="E1583" s="1098"/>
      <c r="F1583" s="1099"/>
      <c r="G1583" s="1098"/>
      <c r="H1583" s="1153"/>
      <c r="I1583" s="1099"/>
    </row>
    <row r="1584" spans="2:9">
      <c r="B1584" s="1136"/>
      <c r="C1584" s="1129"/>
      <c r="D1584" s="1098"/>
      <c r="E1584" s="1098"/>
      <c r="F1584" s="1099"/>
      <c r="G1584" s="1098"/>
      <c r="H1584" s="1153"/>
      <c r="I1584" s="1099"/>
    </row>
    <row r="1585" spans="2:9">
      <c r="B1585" s="1136"/>
      <c r="C1585" s="1129"/>
      <c r="D1585" s="1098"/>
      <c r="E1585" s="1098"/>
      <c r="F1585" s="1099"/>
      <c r="G1585" s="1098"/>
      <c r="H1585" s="1153"/>
      <c r="I1585" s="1099"/>
    </row>
    <row r="1586" spans="2:9">
      <c r="B1586" s="1136"/>
      <c r="C1586" s="1129"/>
      <c r="D1586" s="1098"/>
      <c r="E1586" s="1098"/>
      <c r="F1586" s="1099"/>
      <c r="G1586" s="1098"/>
      <c r="H1586" s="1153"/>
      <c r="I1586" s="1099"/>
    </row>
    <row r="1587" spans="2:9">
      <c r="B1587" s="1136"/>
      <c r="C1587" s="1129"/>
      <c r="D1587" s="1098"/>
      <c r="E1587" s="1098"/>
      <c r="F1587" s="1099"/>
      <c r="G1587" s="1098"/>
      <c r="H1587" s="1153"/>
      <c r="I1587" s="1099"/>
    </row>
    <row r="1588" spans="2:9">
      <c r="B1588" s="1136"/>
      <c r="C1588" s="1129"/>
      <c r="D1588" s="1098"/>
      <c r="E1588" s="1098"/>
      <c r="F1588" s="1099"/>
      <c r="G1588" s="1098"/>
      <c r="H1588" s="1153"/>
      <c r="I1588" s="1099"/>
    </row>
    <row r="1589" spans="2:9">
      <c r="B1589" s="1136"/>
      <c r="C1589" s="1129"/>
      <c r="D1589" s="1098"/>
      <c r="E1589" s="1098"/>
      <c r="F1589" s="1099"/>
      <c r="G1589" s="1098"/>
      <c r="H1589" s="1153"/>
      <c r="I1589" s="1099"/>
    </row>
    <row r="1590" spans="2:9">
      <c r="B1590" s="1136"/>
      <c r="C1590" s="1129"/>
      <c r="D1590" s="1098"/>
      <c r="E1590" s="1098"/>
      <c r="F1590" s="1099"/>
      <c r="G1590" s="1098"/>
      <c r="H1590" s="1153"/>
      <c r="I1590" s="1099"/>
    </row>
    <row r="1591" spans="2:9">
      <c r="B1591" s="1136"/>
      <c r="C1591" s="1129"/>
      <c r="D1591" s="1098"/>
      <c r="E1591" s="1098"/>
      <c r="F1591" s="1099"/>
      <c r="G1591" s="1098"/>
      <c r="H1591" s="1153"/>
      <c r="I1591" s="1099"/>
    </row>
    <row r="1592" spans="2:9">
      <c r="B1592" s="1136"/>
      <c r="C1592" s="1129"/>
      <c r="D1592" s="1098"/>
      <c r="E1592" s="1098"/>
      <c r="F1592" s="1099"/>
      <c r="G1592" s="1098"/>
      <c r="H1592" s="1153"/>
      <c r="I1592" s="1099"/>
    </row>
    <row r="1593" spans="2:9">
      <c r="B1593" s="1136"/>
      <c r="C1593" s="1129"/>
      <c r="D1593" s="1098"/>
      <c r="E1593" s="1098"/>
      <c r="F1593" s="1099"/>
      <c r="G1593" s="1098"/>
      <c r="H1593" s="1153"/>
      <c r="I1593" s="1099"/>
    </row>
    <row r="1594" spans="2:9">
      <c r="B1594" s="1136"/>
      <c r="C1594" s="1129"/>
      <c r="D1594" s="1098"/>
      <c r="E1594" s="1098"/>
      <c r="F1594" s="1099"/>
      <c r="G1594" s="1098"/>
      <c r="H1594" s="1153"/>
      <c r="I1594" s="1099"/>
    </row>
    <row r="1595" spans="2:9">
      <c r="B1595" s="1136"/>
      <c r="C1595" s="1129"/>
      <c r="D1595" s="1098"/>
      <c r="E1595" s="1098"/>
      <c r="F1595" s="1099"/>
      <c r="G1595" s="1098"/>
      <c r="H1595" s="1153"/>
      <c r="I1595" s="1099"/>
    </row>
    <row r="1596" spans="2:9">
      <c r="B1596" s="1136"/>
      <c r="C1596" s="1129"/>
      <c r="D1596" s="1098"/>
      <c r="E1596" s="1098"/>
      <c r="F1596" s="1099"/>
      <c r="G1596" s="1098"/>
      <c r="H1596" s="1153"/>
      <c r="I1596" s="1099"/>
    </row>
    <row r="1597" spans="2:9">
      <c r="B1597" s="1136"/>
      <c r="C1597" s="1129"/>
      <c r="D1597" s="1098"/>
      <c r="E1597" s="1098"/>
      <c r="F1597" s="1099"/>
      <c r="G1597" s="1098"/>
      <c r="H1597" s="1153"/>
      <c r="I1597" s="1099"/>
    </row>
    <row r="1598" spans="2:9">
      <c r="B1598" s="1136"/>
      <c r="C1598" s="1129"/>
      <c r="D1598" s="1098"/>
      <c r="E1598" s="1098"/>
      <c r="F1598" s="1099"/>
      <c r="G1598" s="1098"/>
      <c r="H1598" s="1153"/>
      <c r="I1598" s="1099"/>
    </row>
    <row r="1599" spans="2:9">
      <c r="B1599" s="1136"/>
      <c r="C1599" s="1129"/>
      <c r="D1599" s="1098"/>
      <c r="E1599" s="1098"/>
      <c r="F1599" s="1099"/>
      <c r="G1599" s="1098"/>
      <c r="H1599" s="1153"/>
      <c r="I1599" s="1099"/>
    </row>
    <row r="1600" spans="2:9">
      <c r="B1600" s="1136"/>
      <c r="C1600" s="1129"/>
      <c r="D1600" s="1098"/>
      <c r="E1600" s="1098"/>
      <c r="F1600" s="1099"/>
      <c r="G1600" s="1098"/>
      <c r="H1600" s="1153"/>
      <c r="I1600" s="1099"/>
    </row>
    <row r="1601" spans="2:9">
      <c r="B1601" s="1136"/>
      <c r="C1601" s="1129"/>
      <c r="D1601" s="1098"/>
      <c r="E1601" s="1098"/>
      <c r="F1601" s="1099"/>
      <c r="G1601" s="1098"/>
      <c r="H1601" s="1153"/>
      <c r="I1601" s="1099"/>
    </row>
    <row r="1602" spans="2:9">
      <c r="B1602" s="1136"/>
      <c r="C1602" s="1129"/>
      <c r="D1602" s="1098"/>
      <c r="E1602" s="1098"/>
      <c r="F1602" s="1099"/>
      <c r="G1602" s="1098"/>
      <c r="H1602" s="1153"/>
      <c r="I1602" s="1099"/>
    </row>
    <row r="1603" spans="2:9">
      <c r="B1603" s="1136"/>
      <c r="C1603" s="1129"/>
      <c r="D1603" s="1098"/>
      <c r="E1603" s="1098"/>
      <c r="F1603" s="1099"/>
      <c r="G1603" s="1098"/>
      <c r="H1603" s="1153"/>
      <c r="I1603" s="1099"/>
    </row>
    <row r="1604" spans="2:9">
      <c r="B1604" s="1136"/>
      <c r="C1604" s="1129"/>
      <c r="D1604" s="1098"/>
      <c r="E1604" s="1098"/>
      <c r="F1604" s="1099"/>
      <c r="G1604" s="1098"/>
      <c r="H1604" s="1153"/>
      <c r="I1604" s="1099"/>
    </row>
    <row r="1605" spans="2:9">
      <c r="B1605" s="1136"/>
      <c r="C1605" s="1129"/>
      <c r="D1605" s="1098"/>
      <c r="E1605" s="1098"/>
      <c r="F1605" s="1099"/>
      <c r="G1605" s="1098"/>
      <c r="H1605" s="1153"/>
      <c r="I1605" s="1099"/>
    </row>
    <row r="1606" spans="2:9">
      <c r="B1606" s="1136"/>
      <c r="C1606" s="1129"/>
      <c r="D1606" s="1098"/>
      <c r="E1606" s="1098"/>
      <c r="F1606" s="1099"/>
      <c r="G1606" s="1098"/>
      <c r="H1606" s="1153"/>
      <c r="I1606" s="1099"/>
    </row>
    <row r="1607" spans="2:9">
      <c r="B1607" s="1136"/>
      <c r="C1607" s="1129"/>
      <c r="D1607" s="1098"/>
      <c r="E1607" s="1098"/>
      <c r="F1607" s="1099"/>
      <c r="G1607" s="1098"/>
      <c r="H1607" s="1153"/>
      <c r="I1607" s="1099"/>
    </row>
    <row r="1608" spans="2:9">
      <c r="B1608" s="1136"/>
      <c r="C1608" s="1129"/>
      <c r="D1608" s="1098"/>
      <c r="E1608" s="1098"/>
      <c r="F1608" s="1099"/>
      <c r="G1608" s="1098"/>
      <c r="H1608" s="1153"/>
      <c r="I1608" s="1099"/>
    </row>
    <row r="1609" spans="2:9">
      <c r="B1609" s="1136"/>
      <c r="C1609" s="1129"/>
      <c r="D1609" s="1098"/>
      <c r="E1609" s="1098"/>
      <c r="F1609" s="1099"/>
      <c r="G1609" s="1098"/>
      <c r="H1609" s="1153"/>
      <c r="I1609" s="1099"/>
    </row>
    <row r="1610" spans="2:9">
      <c r="B1610" s="1136"/>
      <c r="C1610" s="1129"/>
      <c r="D1610" s="1098"/>
      <c r="E1610" s="1098"/>
      <c r="F1610" s="1099"/>
      <c r="G1610" s="1098"/>
      <c r="H1610" s="1153"/>
      <c r="I1610" s="1099"/>
    </row>
    <row r="1611" spans="2:9">
      <c r="B1611" s="1136"/>
      <c r="C1611" s="1129"/>
      <c r="D1611" s="1098"/>
      <c r="E1611" s="1098"/>
      <c r="F1611" s="1099"/>
      <c r="G1611" s="1098"/>
      <c r="H1611" s="1153"/>
      <c r="I1611" s="1099"/>
    </row>
    <row r="1612" spans="2:9">
      <c r="B1612" s="1136"/>
      <c r="C1612" s="1129"/>
      <c r="D1612" s="1098"/>
      <c r="E1612" s="1098"/>
      <c r="F1612" s="1099"/>
      <c r="G1612" s="1098"/>
      <c r="H1612" s="1153"/>
      <c r="I1612" s="1099"/>
    </row>
    <row r="1613" spans="2:9">
      <c r="B1613" s="1136"/>
      <c r="C1613" s="1129"/>
      <c r="D1613" s="1098"/>
      <c r="E1613" s="1098"/>
      <c r="F1613" s="1099"/>
      <c r="G1613" s="1098"/>
      <c r="H1613" s="1153"/>
      <c r="I1613" s="1099"/>
    </row>
    <row r="1614" spans="2:9">
      <c r="B1614" s="1136"/>
      <c r="C1614" s="1129"/>
      <c r="D1614" s="1098"/>
      <c r="E1614" s="1098"/>
      <c r="F1614" s="1099"/>
      <c r="G1614" s="1098"/>
      <c r="H1614" s="1153"/>
      <c r="I1614" s="1099"/>
    </row>
    <row r="1615" spans="2:9">
      <c r="B1615" s="1136"/>
      <c r="C1615" s="1129"/>
      <c r="D1615" s="1098"/>
      <c r="E1615" s="1098"/>
      <c r="F1615" s="1099"/>
      <c r="G1615" s="1098"/>
      <c r="H1615" s="1153"/>
      <c r="I1615" s="1099"/>
    </row>
    <row r="1616" spans="2:9">
      <c r="B1616" s="1136"/>
      <c r="C1616" s="1129"/>
      <c r="D1616" s="1098"/>
      <c r="E1616" s="1098"/>
      <c r="F1616" s="1099"/>
      <c r="G1616" s="1098"/>
      <c r="H1616" s="1153"/>
      <c r="I1616" s="1099"/>
    </row>
    <row r="1617" spans="2:9">
      <c r="B1617" s="1136"/>
      <c r="C1617" s="1129"/>
      <c r="D1617" s="1098"/>
      <c r="E1617" s="1098"/>
      <c r="F1617" s="1099"/>
      <c r="G1617" s="1098"/>
      <c r="H1617" s="1153"/>
      <c r="I1617" s="1099"/>
    </row>
    <row r="1618" spans="2:9">
      <c r="B1618" s="1136"/>
      <c r="C1618" s="1129"/>
      <c r="D1618" s="1098"/>
      <c r="E1618" s="1098"/>
      <c r="F1618" s="1099"/>
      <c r="G1618" s="1098"/>
      <c r="H1618" s="1153"/>
      <c r="I1618" s="1099"/>
    </row>
    <row r="1619" spans="2:9">
      <c r="B1619" s="1136"/>
      <c r="C1619" s="1129"/>
      <c r="D1619" s="1098"/>
      <c r="E1619" s="1098"/>
      <c r="F1619" s="1099"/>
      <c r="G1619" s="1098"/>
      <c r="H1619" s="1153"/>
      <c r="I1619" s="1099"/>
    </row>
    <row r="1620" spans="2:9">
      <c r="B1620" s="1136"/>
      <c r="C1620" s="1129"/>
      <c r="D1620" s="1098"/>
      <c r="E1620" s="1098"/>
      <c r="F1620" s="1099"/>
      <c r="G1620" s="1098"/>
      <c r="H1620" s="1153"/>
      <c r="I1620" s="1099"/>
    </row>
    <row r="1621" spans="2:9">
      <c r="B1621" s="1136"/>
      <c r="C1621" s="1129"/>
      <c r="D1621" s="1098"/>
      <c r="E1621" s="1098"/>
      <c r="F1621" s="1099"/>
      <c r="G1621" s="1098"/>
      <c r="H1621" s="1153"/>
      <c r="I1621" s="1099"/>
    </row>
    <row r="1622" spans="2:9">
      <c r="B1622" s="1136"/>
      <c r="C1622" s="1129"/>
      <c r="D1622" s="1098"/>
      <c r="E1622" s="1098"/>
      <c r="F1622" s="1099"/>
      <c r="G1622" s="1098"/>
      <c r="H1622" s="1153"/>
      <c r="I1622" s="1099"/>
    </row>
    <row r="1623" spans="2:9">
      <c r="B1623" s="1136"/>
      <c r="C1623" s="1129"/>
      <c r="D1623" s="1098"/>
      <c r="E1623" s="1098"/>
      <c r="F1623" s="1099"/>
      <c r="G1623" s="1098"/>
      <c r="H1623" s="1153"/>
      <c r="I1623" s="1099"/>
    </row>
    <row r="1624" spans="2:9">
      <c r="B1624" s="1136"/>
      <c r="C1624" s="1129"/>
      <c r="D1624" s="1098"/>
      <c r="E1624" s="1098"/>
      <c r="F1624" s="1099"/>
      <c r="G1624" s="1098"/>
      <c r="H1624" s="1153"/>
      <c r="I1624" s="1099"/>
    </row>
    <row r="1625" spans="2:9">
      <c r="B1625" s="1136"/>
      <c r="C1625" s="1129"/>
      <c r="D1625" s="1098"/>
      <c r="E1625" s="1098"/>
      <c r="F1625" s="1099"/>
      <c r="G1625" s="1098"/>
      <c r="H1625" s="1153"/>
      <c r="I1625" s="1099"/>
    </row>
    <row r="1626" spans="2:9">
      <c r="B1626" s="1136"/>
      <c r="C1626" s="1129"/>
      <c r="D1626" s="1098"/>
      <c r="E1626" s="1098"/>
      <c r="F1626" s="1099"/>
      <c r="G1626" s="1098"/>
      <c r="H1626" s="1153"/>
      <c r="I1626" s="1099"/>
    </row>
    <row r="1627" spans="2:9">
      <c r="B1627" s="1136"/>
      <c r="C1627" s="1129"/>
      <c r="D1627" s="1098"/>
      <c r="E1627" s="1098"/>
      <c r="F1627" s="1099"/>
      <c r="G1627" s="1098"/>
      <c r="H1627" s="1153"/>
      <c r="I1627" s="1099"/>
    </row>
    <row r="1628" spans="2:9">
      <c r="B1628" s="1136"/>
      <c r="C1628" s="1129"/>
      <c r="D1628" s="1098"/>
      <c r="E1628" s="1098"/>
      <c r="F1628" s="1099"/>
      <c r="G1628" s="1098"/>
      <c r="H1628" s="1153"/>
      <c r="I1628" s="1099"/>
    </row>
    <row r="1629" spans="2:9">
      <c r="B1629" s="1136"/>
      <c r="C1629" s="1129"/>
      <c r="D1629" s="1098"/>
      <c r="E1629" s="1098"/>
      <c r="F1629" s="1099"/>
      <c r="G1629" s="1098"/>
      <c r="H1629" s="1153"/>
      <c r="I1629" s="1099"/>
    </row>
    <row r="1630" spans="2:9">
      <c r="B1630" s="1136"/>
      <c r="C1630" s="1129"/>
      <c r="D1630" s="1098"/>
      <c r="E1630" s="1098"/>
      <c r="F1630" s="1099"/>
      <c r="G1630" s="1098"/>
      <c r="H1630" s="1153"/>
      <c r="I1630" s="1099"/>
    </row>
    <row r="1631" spans="2:9">
      <c r="B1631" s="1136"/>
      <c r="C1631" s="1129"/>
      <c r="D1631" s="1098"/>
      <c r="E1631" s="1098"/>
      <c r="F1631" s="1099"/>
      <c r="G1631" s="1098"/>
      <c r="H1631" s="1153"/>
      <c r="I1631" s="1099"/>
    </row>
    <row r="1632" spans="2:9">
      <c r="B1632" s="1136"/>
      <c r="C1632" s="1129"/>
      <c r="D1632" s="1098"/>
      <c r="E1632" s="1098"/>
      <c r="F1632" s="1099"/>
      <c r="G1632" s="1098"/>
      <c r="H1632" s="1153"/>
      <c r="I1632" s="1099"/>
    </row>
    <row r="1633" spans="2:9">
      <c r="B1633" s="1136"/>
      <c r="C1633" s="1129"/>
      <c r="D1633" s="1098"/>
      <c r="E1633" s="1098"/>
      <c r="F1633" s="1099"/>
      <c r="G1633" s="1098"/>
      <c r="H1633" s="1153"/>
      <c r="I1633" s="1099"/>
    </row>
    <row r="1634" spans="2:9">
      <c r="B1634" s="1136"/>
      <c r="C1634" s="1129"/>
      <c r="D1634" s="1098"/>
      <c r="E1634" s="1098"/>
      <c r="F1634" s="1099"/>
      <c r="G1634" s="1098"/>
      <c r="H1634" s="1153"/>
      <c r="I1634" s="1099"/>
    </row>
    <row r="1635" spans="2:9">
      <c r="B1635" s="1136"/>
      <c r="C1635" s="1129"/>
      <c r="D1635" s="1098"/>
      <c r="E1635" s="1098"/>
      <c r="F1635" s="1099"/>
      <c r="G1635" s="1098"/>
      <c r="H1635" s="1153"/>
      <c r="I1635" s="1099"/>
    </row>
    <row r="1636" spans="2:9">
      <c r="B1636" s="1136"/>
      <c r="C1636" s="1129"/>
      <c r="D1636" s="1098"/>
      <c r="E1636" s="1098"/>
      <c r="F1636" s="1099"/>
      <c r="G1636" s="1098"/>
      <c r="H1636" s="1153"/>
      <c r="I1636" s="1099"/>
    </row>
    <row r="1637" spans="2:9">
      <c r="B1637" s="1136"/>
      <c r="C1637" s="1129"/>
      <c r="D1637" s="1098"/>
      <c r="E1637" s="1098"/>
      <c r="F1637" s="1099"/>
      <c r="G1637" s="1098"/>
      <c r="H1637" s="1153"/>
      <c r="I1637" s="1099"/>
    </row>
    <row r="1638" spans="2:9">
      <c r="B1638" s="1136"/>
      <c r="C1638" s="1129"/>
      <c r="D1638" s="1098"/>
      <c r="E1638" s="1098"/>
      <c r="F1638" s="1099"/>
      <c r="G1638" s="1098"/>
      <c r="H1638" s="1153"/>
      <c r="I1638" s="1099"/>
    </row>
    <row r="1639" spans="2:9">
      <c r="B1639" s="1136"/>
      <c r="C1639" s="1129"/>
      <c r="D1639" s="1098"/>
      <c r="E1639" s="1098"/>
      <c r="F1639" s="1099"/>
      <c r="G1639" s="1098"/>
      <c r="H1639" s="1153"/>
      <c r="I1639" s="1099"/>
    </row>
    <row r="1640" spans="2:9">
      <c r="B1640" s="1136"/>
      <c r="C1640" s="1129"/>
      <c r="D1640" s="1098"/>
      <c r="E1640" s="1098"/>
      <c r="F1640" s="1099"/>
      <c r="G1640" s="1098"/>
      <c r="H1640" s="1153"/>
      <c r="I1640" s="1099"/>
    </row>
    <row r="1641" spans="2:9">
      <c r="B1641" s="1136"/>
      <c r="C1641" s="1129"/>
      <c r="D1641" s="1098"/>
      <c r="E1641" s="1098"/>
      <c r="F1641" s="1099"/>
      <c r="G1641" s="1098"/>
      <c r="H1641" s="1153"/>
      <c r="I1641" s="1099"/>
    </row>
    <row r="1642" spans="2:9">
      <c r="B1642" s="1136"/>
      <c r="C1642" s="1129"/>
      <c r="D1642" s="1098"/>
      <c r="E1642" s="1098"/>
      <c r="F1642" s="1099"/>
      <c r="G1642" s="1098"/>
      <c r="H1642" s="1153"/>
      <c r="I1642" s="1099"/>
    </row>
    <row r="1643" spans="2:9">
      <c r="B1643" s="1136"/>
      <c r="C1643" s="1129"/>
      <c r="D1643" s="1098"/>
      <c r="E1643" s="1098"/>
      <c r="F1643" s="1099"/>
      <c r="G1643" s="1098"/>
      <c r="H1643" s="1153"/>
      <c r="I1643" s="1099"/>
    </row>
    <row r="1644" spans="2:9">
      <c r="B1644" s="1136"/>
      <c r="C1644" s="1129"/>
      <c r="D1644" s="1098"/>
      <c r="E1644" s="1098"/>
      <c r="F1644" s="1099"/>
      <c r="G1644" s="1098"/>
      <c r="H1644" s="1153"/>
      <c r="I1644" s="1099"/>
    </row>
    <row r="1645" spans="2:9">
      <c r="B1645" s="1136"/>
      <c r="C1645" s="1129"/>
      <c r="D1645" s="1098"/>
      <c r="E1645" s="1098"/>
      <c r="F1645" s="1099"/>
      <c r="G1645" s="1098"/>
      <c r="H1645" s="1153"/>
      <c r="I1645" s="1099"/>
    </row>
    <row r="1646" spans="2:9">
      <c r="B1646" s="1136"/>
      <c r="C1646" s="1129"/>
      <c r="D1646" s="1098"/>
      <c r="E1646" s="1098"/>
      <c r="F1646" s="1099"/>
      <c r="G1646" s="1098"/>
      <c r="H1646" s="1153"/>
      <c r="I1646" s="1099"/>
    </row>
    <row r="1647" spans="2:9">
      <c r="B1647" s="1136"/>
      <c r="C1647" s="1129"/>
      <c r="D1647" s="1098"/>
      <c r="E1647" s="1098"/>
      <c r="F1647" s="1099"/>
      <c r="G1647" s="1098"/>
      <c r="H1647" s="1153"/>
      <c r="I1647" s="1099"/>
    </row>
    <row r="1648" spans="2:9">
      <c r="B1648" s="1136"/>
      <c r="C1648" s="1129"/>
      <c r="D1648" s="1098"/>
      <c r="E1648" s="1098"/>
      <c r="F1648" s="1099"/>
      <c r="G1648" s="1098"/>
      <c r="H1648" s="1153"/>
      <c r="I1648" s="1099"/>
    </row>
    <row r="1649" spans="2:9">
      <c r="B1649" s="1136"/>
      <c r="C1649" s="1129"/>
      <c r="D1649" s="1098"/>
      <c r="E1649" s="1098"/>
      <c r="F1649" s="1099"/>
      <c r="G1649" s="1098"/>
      <c r="H1649" s="1153"/>
      <c r="I1649" s="1099"/>
    </row>
    <row r="1650" spans="2:9">
      <c r="B1650" s="1136"/>
      <c r="C1650" s="1129"/>
      <c r="D1650" s="1098"/>
      <c r="E1650" s="1098"/>
      <c r="F1650" s="1099"/>
      <c r="G1650" s="1098"/>
      <c r="H1650" s="1153"/>
      <c r="I1650" s="1099"/>
    </row>
    <row r="1651" spans="2:9">
      <c r="B1651" s="1136"/>
      <c r="C1651" s="1129"/>
      <c r="D1651" s="1098"/>
      <c r="E1651" s="1098"/>
      <c r="F1651" s="1099"/>
      <c r="G1651" s="1098"/>
      <c r="H1651" s="1153"/>
      <c r="I1651" s="1099"/>
    </row>
    <row r="1652" spans="2:9">
      <c r="B1652" s="1136"/>
      <c r="C1652" s="1129"/>
      <c r="D1652" s="1098"/>
      <c r="E1652" s="1098"/>
      <c r="F1652" s="1099"/>
      <c r="G1652" s="1098"/>
      <c r="H1652" s="1153"/>
      <c r="I1652" s="1099"/>
    </row>
    <row r="1653" spans="2:9">
      <c r="B1653" s="1136"/>
      <c r="C1653" s="1129"/>
      <c r="D1653" s="1098"/>
      <c r="E1653" s="1098"/>
      <c r="F1653" s="1099"/>
      <c r="G1653" s="1098"/>
      <c r="H1653" s="1153"/>
      <c r="I1653" s="1099"/>
    </row>
    <row r="1654" spans="2:9">
      <c r="B1654" s="1136"/>
      <c r="C1654" s="1129"/>
      <c r="D1654" s="1098"/>
      <c r="E1654" s="1098"/>
      <c r="F1654" s="1099"/>
      <c r="G1654" s="1098"/>
      <c r="H1654" s="1153"/>
      <c r="I1654" s="1099"/>
    </row>
    <row r="1655" spans="2:9">
      <c r="B1655" s="1136"/>
      <c r="C1655" s="1129"/>
      <c r="D1655" s="1098"/>
      <c r="E1655" s="1098"/>
      <c r="F1655" s="1099"/>
      <c r="G1655" s="1098"/>
      <c r="H1655" s="1153"/>
      <c r="I1655" s="1099"/>
    </row>
    <row r="1656" spans="2:9">
      <c r="B1656" s="1136"/>
      <c r="C1656" s="1129"/>
      <c r="D1656" s="1098"/>
      <c r="E1656" s="1098"/>
      <c r="F1656" s="1099"/>
      <c r="G1656" s="1098"/>
      <c r="H1656" s="1153"/>
      <c r="I1656" s="1099"/>
    </row>
    <row r="1657" spans="2:9">
      <c r="B1657" s="1136"/>
      <c r="C1657" s="1129"/>
      <c r="D1657" s="1098"/>
      <c r="E1657" s="1098"/>
      <c r="F1657" s="1099"/>
      <c r="G1657" s="1098"/>
      <c r="H1657" s="1153"/>
      <c r="I1657" s="1099"/>
    </row>
    <row r="1658" spans="2:9">
      <c r="B1658" s="1136"/>
      <c r="C1658" s="1129"/>
      <c r="D1658" s="1098"/>
      <c r="E1658" s="1098"/>
      <c r="F1658" s="1099"/>
      <c r="G1658" s="1098"/>
      <c r="H1658" s="1153"/>
      <c r="I1658" s="1099"/>
    </row>
    <row r="1659" spans="2:9">
      <c r="B1659" s="1136"/>
      <c r="C1659" s="1129"/>
      <c r="D1659" s="1098"/>
      <c r="E1659" s="1098"/>
      <c r="F1659" s="1099"/>
      <c r="G1659" s="1098"/>
      <c r="H1659" s="1153"/>
      <c r="I1659" s="1099"/>
    </row>
    <row r="1660" spans="2:9">
      <c r="B1660" s="1136"/>
      <c r="C1660" s="1129"/>
      <c r="D1660" s="1098"/>
      <c r="E1660" s="1098"/>
      <c r="F1660" s="1099"/>
      <c r="G1660" s="1098"/>
      <c r="H1660" s="1153"/>
      <c r="I1660" s="1099"/>
    </row>
    <row r="1661" spans="2:9">
      <c r="B1661" s="1136"/>
      <c r="C1661" s="1129"/>
      <c r="D1661" s="1098"/>
      <c r="E1661" s="1098"/>
      <c r="F1661" s="1099"/>
      <c r="G1661" s="1098"/>
      <c r="H1661" s="1153"/>
      <c r="I1661" s="1099"/>
    </row>
    <row r="1662" spans="2:9">
      <c r="B1662" s="1136"/>
      <c r="C1662" s="1129"/>
      <c r="D1662" s="1098"/>
      <c r="E1662" s="1098"/>
      <c r="F1662" s="1099"/>
      <c r="G1662" s="1098"/>
      <c r="H1662" s="1153"/>
      <c r="I1662" s="1099"/>
    </row>
    <row r="1663" spans="2:9">
      <c r="B1663" s="1136"/>
      <c r="C1663" s="1129"/>
      <c r="D1663" s="1098"/>
      <c r="E1663" s="1098"/>
      <c r="F1663" s="1099"/>
      <c r="G1663" s="1098"/>
      <c r="H1663" s="1153"/>
      <c r="I1663" s="1099"/>
    </row>
    <row r="1664" spans="2:9">
      <c r="B1664" s="1136"/>
      <c r="C1664" s="1129"/>
      <c r="D1664" s="1098"/>
      <c r="E1664" s="1098"/>
      <c r="F1664" s="1099"/>
      <c r="G1664" s="1098"/>
      <c r="H1664" s="1153"/>
      <c r="I1664" s="1099"/>
    </row>
    <row r="1665" spans="2:9">
      <c r="B1665" s="1136"/>
      <c r="C1665" s="1129"/>
      <c r="D1665" s="1098"/>
      <c r="E1665" s="1098"/>
      <c r="F1665" s="1099"/>
      <c r="G1665" s="1098"/>
      <c r="H1665" s="1153"/>
      <c r="I1665" s="1099"/>
    </row>
    <row r="1666" spans="2:9">
      <c r="B1666" s="1136"/>
      <c r="C1666" s="1129"/>
      <c r="D1666" s="1098"/>
      <c r="E1666" s="1098"/>
      <c r="F1666" s="1099"/>
      <c r="G1666" s="1098"/>
      <c r="H1666" s="1153"/>
      <c r="I1666" s="1099"/>
    </row>
    <row r="1667" spans="2:9">
      <c r="B1667" s="1136"/>
      <c r="C1667" s="1129"/>
      <c r="D1667" s="1098"/>
      <c r="E1667" s="1098"/>
      <c r="F1667" s="1099"/>
      <c r="G1667" s="1098"/>
      <c r="H1667" s="1153"/>
      <c r="I1667" s="1099"/>
    </row>
    <row r="1668" spans="2:9">
      <c r="B1668" s="1136"/>
      <c r="C1668" s="1129"/>
      <c r="D1668" s="1098"/>
      <c r="E1668" s="1098"/>
      <c r="F1668" s="1099"/>
      <c r="G1668" s="1098"/>
      <c r="H1668" s="1153"/>
      <c r="I1668" s="1099"/>
    </row>
    <row r="1669" spans="2:9">
      <c r="B1669" s="1136"/>
      <c r="C1669" s="1129"/>
      <c r="D1669" s="1098"/>
      <c r="E1669" s="1098"/>
      <c r="F1669" s="1099"/>
      <c r="G1669" s="1098"/>
      <c r="H1669" s="1153"/>
      <c r="I1669" s="1099"/>
    </row>
    <row r="1670" spans="2:9">
      <c r="B1670" s="1136"/>
      <c r="C1670" s="1129"/>
      <c r="D1670" s="1098"/>
      <c r="E1670" s="1098"/>
      <c r="F1670" s="1099"/>
      <c r="G1670" s="1098"/>
      <c r="H1670" s="1153"/>
      <c r="I1670" s="1099"/>
    </row>
    <row r="1671" spans="2:9">
      <c r="B1671" s="1136"/>
      <c r="C1671" s="1129"/>
      <c r="D1671" s="1098"/>
      <c r="E1671" s="1098"/>
      <c r="F1671" s="1099"/>
      <c r="G1671" s="1098"/>
      <c r="H1671" s="1153"/>
      <c r="I1671" s="1099"/>
    </row>
    <row r="1672" spans="2:9">
      <c r="B1672" s="1136"/>
      <c r="C1672" s="1129"/>
      <c r="D1672" s="1098"/>
      <c r="E1672" s="1098"/>
      <c r="F1672" s="1099"/>
      <c r="G1672" s="1098"/>
      <c r="H1672" s="1153"/>
      <c r="I1672" s="1099"/>
    </row>
    <row r="1673" spans="2:9">
      <c r="B1673" s="1136"/>
      <c r="C1673" s="1129"/>
      <c r="D1673" s="1098"/>
      <c r="E1673" s="1098"/>
      <c r="F1673" s="1099"/>
      <c r="G1673" s="1098"/>
      <c r="H1673" s="1153"/>
      <c r="I1673" s="1099"/>
    </row>
    <row r="1674" spans="2:9">
      <c r="B1674" s="1136"/>
      <c r="C1674" s="1129"/>
      <c r="D1674" s="1098"/>
      <c r="E1674" s="1098"/>
      <c r="F1674" s="1099"/>
      <c r="G1674" s="1098"/>
      <c r="H1674" s="1153"/>
      <c r="I1674" s="1099"/>
    </row>
    <row r="1675" spans="2:9">
      <c r="B1675" s="1136"/>
      <c r="C1675" s="1129"/>
      <c r="D1675" s="1098"/>
      <c r="E1675" s="1098"/>
      <c r="F1675" s="1099"/>
      <c r="G1675" s="1098"/>
      <c r="H1675" s="1153"/>
      <c r="I1675" s="1099"/>
    </row>
    <row r="1676" spans="2:9">
      <c r="B1676" s="1136"/>
      <c r="C1676" s="1129"/>
      <c r="D1676" s="1098"/>
      <c r="E1676" s="1098"/>
      <c r="F1676" s="1099"/>
      <c r="G1676" s="1098"/>
      <c r="H1676" s="1153"/>
      <c r="I1676" s="1099"/>
    </row>
    <row r="1677" spans="2:9">
      <c r="B1677" s="1136"/>
      <c r="C1677" s="1129"/>
      <c r="D1677" s="1098"/>
      <c r="E1677" s="1098"/>
      <c r="F1677" s="1099"/>
      <c r="G1677" s="1098"/>
      <c r="H1677" s="1153"/>
      <c r="I1677" s="1099"/>
    </row>
    <row r="1678" spans="2:9">
      <c r="B1678" s="1136"/>
      <c r="C1678" s="1129"/>
      <c r="D1678" s="1098"/>
      <c r="E1678" s="1098"/>
      <c r="F1678" s="1099"/>
      <c r="G1678" s="1098"/>
      <c r="H1678" s="1153"/>
      <c r="I1678" s="1099"/>
    </row>
    <row r="1679" spans="2:9">
      <c r="B1679" s="1136"/>
      <c r="C1679" s="1129"/>
      <c r="D1679" s="1098"/>
      <c r="E1679" s="1098"/>
      <c r="F1679" s="1099"/>
      <c r="G1679" s="1098"/>
      <c r="H1679" s="1153"/>
      <c r="I1679" s="1099"/>
    </row>
    <row r="1680" spans="2:9">
      <c r="B1680" s="1136"/>
      <c r="C1680" s="1129"/>
      <c r="D1680" s="1098"/>
      <c r="E1680" s="1098"/>
      <c r="F1680" s="1099"/>
      <c r="G1680" s="1098"/>
      <c r="H1680" s="1153"/>
      <c r="I1680" s="1099"/>
    </row>
    <row r="1681" spans="2:9">
      <c r="B1681" s="1136"/>
      <c r="C1681" s="1129"/>
      <c r="D1681" s="1098"/>
      <c r="E1681" s="1098"/>
      <c r="F1681" s="1099"/>
      <c r="G1681" s="1098"/>
      <c r="H1681" s="1153"/>
      <c r="I1681" s="1099"/>
    </row>
    <row r="1682" spans="2:9">
      <c r="B1682" s="1136"/>
      <c r="C1682" s="1129"/>
      <c r="D1682" s="1098"/>
      <c r="E1682" s="1098"/>
      <c r="F1682" s="1099"/>
      <c r="G1682" s="1098"/>
      <c r="H1682" s="1153"/>
      <c r="I1682" s="1099"/>
    </row>
    <row r="1683" spans="2:9">
      <c r="B1683" s="1136"/>
      <c r="C1683" s="1129"/>
      <c r="D1683" s="1098"/>
      <c r="E1683" s="1098"/>
      <c r="F1683" s="1099"/>
      <c r="G1683" s="1098"/>
      <c r="H1683" s="1153"/>
      <c r="I1683" s="1099"/>
    </row>
    <row r="1684" spans="2:9">
      <c r="B1684" s="1136"/>
      <c r="C1684" s="1129"/>
      <c r="D1684" s="1098"/>
      <c r="E1684" s="1098"/>
      <c r="F1684" s="1099"/>
      <c r="G1684" s="1098"/>
      <c r="H1684" s="1153"/>
      <c r="I1684" s="1099"/>
    </row>
    <row r="1685" spans="2:9">
      <c r="B1685" s="1136"/>
      <c r="C1685" s="1129"/>
      <c r="D1685" s="1098"/>
      <c r="E1685" s="1098"/>
      <c r="F1685" s="1099"/>
      <c r="G1685" s="1098"/>
      <c r="H1685" s="1153"/>
      <c r="I1685" s="1099"/>
    </row>
    <row r="1686" spans="2:9">
      <c r="B1686" s="1136"/>
      <c r="C1686" s="1129"/>
      <c r="D1686" s="1098"/>
      <c r="E1686" s="1098"/>
      <c r="F1686" s="1099"/>
      <c r="G1686" s="1098"/>
      <c r="H1686" s="1153"/>
      <c r="I1686" s="1099"/>
    </row>
    <row r="1687" spans="2:9">
      <c r="B1687" s="1136"/>
      <c r="C1687" s="1129"/>
      <c r="D1687" s="1098"/>
      <c r="E1687" s="1098"/>
      <c r="F1687" s="1099"/>
      <c r="G1687" s="1098"/>
      <c r="H1687" s="1153"/>
      <c r="I1687" s="1099"/>
    </row>
    <row r="1688" spans="2:9">
      <c r="B1688" s="1136"/>
      <c r="C1688" s="1129"/>
      <c r="D1688" s="1098"/>
      <c r="E1688" s="1098"/>
      <c r="F1688" s="1099"/>
      <c r="G1688" s="1098"/>
      <c r="H1688" s="1153"/>
      <c r="I1688" s="1099"/>
    </row>
    <row r="1689" spans="2:9">
      <c r="B1689" s="1136"/>
      <c r="C1689" s="1129"/>
      <c r="D1689" s="1098"/>
      <c r="E1689" s="1098"/>
      <c r="F1689" s="1099"/>
      <c r="G1689" s="1098"/>
      <c r="H1689" s="1153"/>
      <c r="I1689" s="1099"/>
    </row>
    <row r="1690" spans="2:9">
      <c r="B1690" s="1136"/>
      <c r="C1690" s="1129"/>
      <c r="D1690" s="1098"/>
      <c r="E1690" s="1098"/>
      <c r="F1690" s="1099"/>
      <c r="G1690" s="1098"/>
      <c r="H1690" s="1153"/>
      <c r="I1690" s="1099"/>
    </row>
    <row r="1691" spans="2:9">
      <c r="B1691" s="1136"/>
      <c r="C1691" s="1129"/>
      <c r="D1691" s="1098"/>
      <c r="E1691" s="1098"/>
      <c r="F1691" s="1099"/>
      <c r="G1691" s="1098"/>
      <c r="H1691" s="1153"/>
      <c r="I1691" s="1099"/>
    </row>
    <row r="1692" spans="2:9">
      <c r="B1692" s="1136"/>
      <c r="C1692" s="1129"/>
      <c r="D1692" s="1098"/>
      <c r="E1692" s="1098"/>
      <c r="F1692" s="1099"/>
      <c r="G1692" s="1098"/>
      <c r="H1692" s="1153"/>
      <c r="I1692" s="1099"/>
    </row>
    <row r="1693" spans="2:9">
      <c r="B1693" s="1136"/>
      <c r="C1693" s="1129"/>
      <c r="D1693" s="1098"/>
      <c r="E1693" s="1098"/>
      <c r="F1693" s="1099"/>
      <c r="G1693" s="1098"/>
      <c r="H1693" s="1153"/>
      <c r="I1693" s="1099"/>
    </row>
    <row r="1694" spans="2:9">
      <c r="B1694" s="1136"/>
      <c r="C1694" s="1129"/>
      <c r="D1694" s="1098"/>
      <c r="E1694" s="1098"/>
      <c r="F1694" s="1099"/>
      <c r="G1694" s="1098"/>
      <c r="H1694" s="1153"/>
      <c r="I1694" s="1099"/>
    </row>
    <row r="1695" spans="2:9">
      <c r="B1695" s="1136"/>
      <c r="C1695" s="1129"/>
      <c r="D1695" s="1098"/>
      <c r="E1695" s="1098"/>
      <c r="F1695" s="1099"/>
      <c r="G1695" s="1098"/>
      <c r="H1695" s="1153"/>
      <c r="I1695" s="1099"/>
    </row>
    <row r="1696" spans="2:9">
      <c r="B1696" s="1136"/>
      <c r="C1696" s="1129"/>
      <c r="D1696" s="1098"/>
      <c r="E1696" s="1098"/>
      <c r="F1696" s="1099"/>
      <c r="G1696" s="1098"/>
      <c r="H1696" s="1153"/>
      <c r="I1696" s="1099"/>
    </row>
    <row r="1697" spans="2:9">
      <c r="B1697" s="1136"/>
      <c r="C1697" s="1129"/>
      <c r="D1697" s="1098"/>
      <c r="E1697" s="1098"/>
      <c r="F1697" s="1099"/>
      <c r="G1697" s="1098"/>
      <c r="H1697" s="1153"/>
      <c r="I1697" s="1099"/>
    </row>
    <row r="1698" spans="2:9">
      <c r="B1698" s="1136"/>
      <c r="C1698" s="1129"/>
      <c r="D1698" s="1098"/>
      <c r="E1698" s="1098"/>
      <c r="F1698" s="1099"/>
      <c r="G1698" s="1098"/>
      <c r="H1698" s="1153"/>
      <c r="I1698" s="1099"/>
    </row>
    <row r="1699" spans="2:9">
      <c r="B1699" s="1136"/>
      <c r="C1699" s="1129"/>
      <c r="D1699" s="1098"/>
      <c r="E1699" s="1098"/>
      <c r="F1699" s="1099"/>
      <c r="G1699" s="1098"/>
      <c r="H1699" s="1153"/>
      <c r="I1699" s="1099"/>
    </row>
    <row r="1700" spans="2:9">
      <c r="B1700" s="1136"/>
      <c r="C1700" s="1129"/>
      <c r="D1700" s="1098"/>
      <c r="E1700" s="1098"/>
      <c r="F1700" s="1099"/>
      <c r="G1700" s="1098"/>
      <c r="H1700" s="1153"/>
      <c r="I1700" s="1099"/>
    </row>
    <row r="1701" spans="2:9">
      <c r="B1701" s="1136"/>
      <c r="C1701" s="1129"/>
      <c r="D1701" s="1098"/>
      <c r="E1701" s="1098"/>
      <c r="F1701" s="1099"/>
      <c r="G1701" s="1098"/>
      <c r="H1701" s="1153"/>
      <c r="I1701" s="1099"/>
    </row>
    <row r="1702" spans="2:9">
      <c r="B1702" s="1136"/>
      <c r="C1702" s="1129"/>
      <c r="D1702" s="1098"/>
      <c r="E1702" s="1098"/>
      <c r="F1702" s="1099"/>
      <c r="G1702" s="1098"/>
      <c r="H1702" s="1153"/>
      <c r="I1702" s="1099"/>
    </row>
    <row r="1703" spans="2:9">
      <c r="B1703" s="1136"/>
      <c r="C1703" s="1129"/>
      <c r="D1703" s="1098"/>
      <c r="E1703" s="1098"/>
      <c r="F1703" s="1099"/>
      <c r="G1703" s="1098"/>
      <c r="H1703" s="1153"/>
      <c r="I1703" s="1099"/>
    </row>
    <row r="1704" spans="2:9">
      <c r="B1704" s="1136"/>
      <c r="C1704" s="1129"/>
      <c r="D1704" s="1098"/>
      <c r="E1704" s="1098"/>
      <c r="F1704" s="1099"/>
      <c r="G1704" s="1098"/>
      <c r="H1704" s="1153"/>
      <c r="I1704" s="1099"/>
    </row>
    <row r="1705" spans="2:9">
      <c r="B1705" s="1136"/>
      <c r="C1705" s="1129"/>
      <c r="D1705" s="1098"/>
      <c r="E1705" s="1098"/>
      <c r="F1705" s="1099"/>
      <c r="G1705" s="1098"/>
      <c r="H1705" s="1153"/>
      <c r="I1705" s="1099"/>
    </row>
    <row r="1706" spans="2:9">
      <c r="B1706" s="1136"/>
      <c r="C1706" s="1129"/>
      <c r="D1706" s="1098"/>
      <c r="E1706" s="1098"/>
      <c r="F1706" s="1099"/>
      <c r="G1706" s="1098"/>
      <c r="H1706" s="1153"/>
      <c r="I1706" s="1099"/>
    </row>
    <row r="1707" spans="2:9">
      <c r="B1707" s="1136"/>
      <c r="C1707" s="1129"/>
      <c r="D1707" s="1098"/>
      <c r="E1707" s="1098"/>
      <c r="F1707" s="1099"/>
      <c r="G1707" s="1098"/>
      <c r="H1707" s="1153"/>
      <c r="I1707" s="1099"/>
    </row>
    <row r="1708" spans="2:9">
      <c r="B1708" s="1136"/>
      <c r="C1708" s="1129"/>
      <c r="D1708" s="1098"/>
      <c r="E1708" s="1098"/>
      <c r="F1708" s="1099"/>
      <c r="G1708" s="1098"/>
      <c r="H1708" s="1153"/>
      <c r="I1708" s="1099"/>
    </row>
    <row r="1709" spans="2:9">
      <c r="B1709" s="1136"/>
      <c r="C1709" s="1129"/>
      <c r="D1709" s="1098"/>
      <c r="E1709" s="1098"/>
      <c r="F1709" s="1099"/>
      <c r="G1709" s="1098"/>
      <c r="H1709" s="1153"/>
      <c r="I1709" s="1099"/>
    </row>
    <row r="1710" spans="2:9">
      <c r="B1710" s="1136"/>
      <c r="C1710" s="1129"/>
      <c r="D1710" s="1098"/>
      <c r="E1710" s="1098"/>
      <c r="F1710" s="1099"/>
      <c r="G1710" s="1098"/>
      <c r="H1710" s="1153"/>
      <c r="I1710" s="1099"/>
    </row>
    <row r="1711" spans="2:9">
      <c r="B1711" s="1136"/>
      <c r="C1711" s="1129"/>
      <c r="D1711" s="1098"/>
      <c r="E1711" s="1098"/>
      <c r="F1711" s="1099"/>
      <c r="G1711" s="1098"/>
      <c r="H1711" s="1153"/>
      <c r="I1711" s="1099"/>
    </row>
    <row r="1712" spans="2:9">
      <c r="B1712" s="1136"/>
      <c r="C1712" s="1129"/>
      <c r="D1712" s="1098"/>
      <c r="E1712" s="1098"/>
      <c r="F1712" s="1099"/>
      <c r="G1712" s="1098"/>
      <c r="H1712" s="1153"/>
      <c r="I1712" s="1099"/>
    </row>
    <row r="1713" spans="2:9">
      <c r="B1713" s="1136"/>
      <c r="C1713" s="1129"/>
      <c r="D1713" s="1098"/>
      <c r="E1713" s="1098"/>
      <c r="F1713" s="1099"/>
      <c r="G1713" s="1098"/>
      <c r="H1713" s="1153"/>
      <c r="I1713" s="1099"/>
    </row>
    <row r="1714" spans="2:9">
      <c r="B1714" s="1136"/>
      <c r="C1714" s="1129"/>
      <c r="D1714" s="1098"/>
      <c r="E1714" s="1098"/>
      <c r="F1714" s="1099"/>
      <c r="G1714" s="1098"/>
      <c r="H1714" s="1153"/>
      <c r="I1714" s="1099"/>
    </row>
    <row r="1715" spans="2:9">
      <c r="B1715" s="1136"/>
      <c r="C1715" s="1129"/>
      <c r="D1715" s="1098"/>
      <c r="E1715" s="1098"/>
      <c r="F1715" s="1099"/>
      <c r="G1715" s="1098"/>
      <c r="H1715" s="1153"/>
      <c r="I1715" s="1099"/>
    </row>
    <row r="1716" spans="2:9">
      <c r="B1716" s="1136"/>
      <c r="C1716" s="1129"/>
      <c r="D1716" s="1098"/>
      <c r="E1716" s="1098"/>
      <c r="F1716" s="1099"/>
      <c r="G1716" s="1098"/>
      <c r="H1716" s="1153"/>
      <c r="I1716" s="1099"/>
    </row>
    <row r="1717" spans="2:9">
      <c r="B1717" s="1136"/>
      <c r="C1717" s="1129"/>
      <c r="D1717" s="1098"/>
      <c r="E1717" s="1098"/>
      <c r="F1717" s="1099"/>
      <c r="G1717" s="1098"/>
      <c r="H1717" s="1153"/>
      <c r="I1717" s="1099"/>
    </row>
    <row r="1718" spans="2:9">
      <c r="B1718" s="1136"/>
      <c r="C1718" s="1129"/>
      <c r="D1718" s="1098"/>
      <c r="E1718" s="1098"/>
      <c r="F1718" s="1099"/>
      <c r="G1718" s="1098"/>
      <c r="H1718" s="1153"/>
      <c r="I1718" s="1099"/>
    </row>
    <row r="1719" spans="2:9">
      <c r="B1719" s="1136"/>
      <c r="C1719" s="1129"/>
      <c r="D1719" s="1098"/>
      <c r="E1719" s="1098"/>
      <c r="F1719" s="1099"/>
      <c r="G1719" s="1098"/>
      <c r="H1719" s="1153"/>
      <c r="I1719" s="1099"/>
    </row>
    <row r="1720" spans="2:9">
      <c r="B1720" s="1136"/>
      <c r="C1720" s="1129"/>
      <c r="D1720" s="1098"/>
      <c r="E1720" s="1098"/>
      <c r="F1720" s="1099"/>
      <c r="G1720" s="1098"/>
      <c r="H1720" s="1153"/>
      <c r="I1720" s="1099"/>
    </row>
    <row r="1721" spans="2:9">
      <c r="B1721" s="1136"/>
      <c r="C1721" s="1129"/>
      <c r="D1721" s="1098"/>
      <c r="E1721" s="1098"/>
      <c r="F1721" s="1099"/>
      <c r="G1721" s="1098"/>
      <c r="H1721" s="1153"/>
      <c r="I1721" s="1099"/>
    </row>
    <row r="1722" spans="2:9">
      <c r="B1722" s="1136"/>
      <c r="C1722" s="1129"/>
      <c r="D1722" s="1098"/>
      <c r="E1722" s="1098"/>
      <c r="F1722" s="1099"/>
      <c r="G1722" s="1098"/>
      <c r="H1722" s="1153"/>
      <c r="I1722" s="1099"/>
    </row>
    <row r="1723" spans="2:9">
      <c r="B1723" s="1136"/>
      <c r="C1723" s="1129"/>
      <c r="D1723" s="1098"/>
      <c r="E1723" s="1098"/>
      <c r="F1723" s="1099"/>
      <c r="G1723" s="1098"/>
      <c r="H1723" s="1153"/>
      <c r="I1723" s="1099"/>
    </row>
    <row r="1724" spans="2:9">
      <c r="B1724" s="1136"/>
      <c r="C1724" s="1129"/>
      <c r="D1724" s="1098"/>
      <c r="E1724" s="1098"/>
      <c r="F1724" s="1099"/>
      <c r="G1724" s="1098"/>
      <c r="H1724" s="1153"/>
      <c r="I1724" s="1099"/>
    </row>
    <row r="1725" spans="2:9">
      <c r="B1725" s="1136"/>
      <c r="C1725" s="1129"/>
      <c r="D1725" s="1098"/>
      <c r="E1725" s="1098"/>
      <c r="F1725" s="1099"/>
      <c r="G1725" s="1098"/>
      <c r="H1725" s="1153"/>
      <c r="I1725" s="1099"/>
    </row>
    <row r="1726" spans="2:9">
      <c r="B1726" s="1136"/>
      <c r="C1726" s="1129"/>
      <c r="D1726" s="1098"/>
      <c r="E1726" s="1098"/>
      <c r="F1726" s="1099"/>
      <c r="G1726" s="1098"/>
      <c r="H1726" s="1153"/>
      <c r="I1726" s="1099"/>
    </row>
    <row r="1727" spans="2:9">
      <c r="B1727" s="1136"/>
      <c r="C1727" s="1129"/>
      <c r="D1727" s="1098"/>
      <c r="E1727" s="1098"/>
      <c r="F1727" s="1099"/>
      <c r="G1727" s="1098"/>
      <c r="H1727" s="1153"/>
      <c r="I1727" s="1099"/>
    </row>
    <row r="1728" spans="2:9">
      <c r="B1728" s="1136"/>
      <c r="C1728" s="1129"/>
      <c r="D1728" s="1098"/>
      <c r="E1728" s="1098"/>
      <c r="F1728" s="1099"/>
      <c r="G1728" s="1098"/>
      <c r="H1728" s="1153"/>
      <c r="I1728" s="1099"/>
    </row>
    <row r="1729" spans="2:9">
      <c r="B1729" s="1136"/>
      <c r="C1729" s="1129"/>
      <c r="D1729" s="1098"/>
      <c r="E1729" s="1098"/>
      <c r="F1729" s="1099"/>
      <c r="G1729" s="1098"/>
      <c r="H1729" s="1153"/>
      <c r="I1729" s="1099"/>
    </row>
    <row r="1730" spans="2:9">
      <c r="B1730" s="1136"/>
      <c r="C1730" s="1129"/>
      <c r="D1730" s="1098"/>
      <c r="E1730" s="1098"/>
      <c r="F1730" s="1099"/>
      <c r="G1730" s="1098"/>
      <c r="H1730" s="1153"/>
      <c r="I1730" s="1099"/>
    </row>
    <row r="1731" spans="2:9">
      <c r="B1731" s="1136"/>
      <c r="C1731" s="1129"/>
      <c r="D1731" s="1098"/>
      <c r="E1731" s="1098"/>
      <c r="F1731" s="1099"/>
      <c r="G1731" s="1098"/>
      <c r="H1731" s="1153"/>
      <c r="I1731" s="1099"/>
    </row>
    <row r="1732" spans="2:9">
      <c r="B1732" s="1136"/>
      <c r="C1732" s="1129"/>
      <c r="D1732" s="1098"/>
      <c r="E1732" s="1098"/>
      <c r="F1732" s="1099"/>
      <c r="G1732" s="1098"/>
      <c r="H1732" s="1153"/>
      <c r="I1732" s="1099"/>
    </row>
    <row r="1733" spans="2:9">
      <c r="B1733" s="1136"/>
      <c r="C1733" s="1129"/>
      <c r="D1733" s="1098"/>
      <c r="E1733" s="1098"/>
      <c r="F1733" s="1099"/>
      <c r="G1733" s="1098"/>
      <c r="H1733" s="1153"/>
      <c r="I1733" s="1099"/>
    </row>
    <row r="1734" spans="2:9">
      <c r="B1734" s="1136"/>
      <c r="C1734" s="1129"/>
      <c r="D1734" s="1098"/>
      <c r="E1734" s="1098"/>
      <c r="F1734" s="1099"/>
      <c r="G1734" s="1098"/>
      <c r="H1734" s="1153"/>
      <c r="I1734" s="1099"/>
    </row>
    <row r="1735" spans="2:9">
      <c r="B1735" s="1136"/>
      <c r="C1735" s="1129"/>
      <c r="D1735" s="1098"/>
      <c r="E1735" s="1098"/>
      <c r="F1735" s="1099"/>
      <c r="G1735" s="1098"/>
      <c r="H1735" s="1153"/>
      <c r="I1735" s="1099"/>
    </row>
    <row r="1736" spans="2:9">
      <c r="B1736" s="1136"/>
      <c r="C1736" s="1129"/>
      <c r="D1736" s="1098"/>
      <c r="E1736" s="1098"/>
      <c r="F1736" s="1099"/>
      <c r="G1736" s="1098"/>
      <c r="H1736" s="1153"/>
      <c r="I1736" s="1099"/>
    </row>
    <row r="1737" spans="2:9">
      <c r="B1737" s="1136"/>
      <c r="C1737" s="1129"/>
      <c r="D1737" s="1098"/>
      <c r="E1737" s="1098"/>
      <c r="F1737" s="1099"/>
      <c r="G1737" s="1098"/>
      <c r="H1737" s="1153"/>
      <c r="I1737" s="1099"/>
    </row>
    <row r="1738" spans="2:9">
      <c r="B1738" s="1136"/>
      <c r="C1738" s="1129"/>
      <c r="D1738" s="1098"/>
      <c r="E1738" s="1098"/>
      <c r="F1738" s="1099"/>
      <c r="G1738" s="1098"/>
      <c r="H1738" s="1153"/>
      <c r="I1738" s="1099"/>
    </row>
    <row r="1739" spans="2:9">
      <c r="B1739" s="1136"/>
      <c r="C1739" s="1129"/>
      <c r="D1739" s="1098"/>
      <c r="E1739" s="1098"/>
      <c r="F1739" s="1099"/>
      <c r="G1739" s="1098"/>
      <c r="H1739" s="1153"/>
      <c r="I1739" s="1099"/>
    </row>
    <row r="1740" spans="2:9">
      <c r="B1740" s="1136"/>
      <c r="C1740" s="1129"/>
      <c r="D1740" s="1098"/>
      <c r="E1740" s="1098"/>
      <c r="F1740" s="1099"/>
      <c r="G1740" s="1098"/>
      <c r="H1740" s="1153"/>
      <c r="I1740" s="1099"/>
    </row>
    <row r="1741" spans="2:9">
      <c r="B1741" s="1136"/>
      <c r="C1741" s="1129"/>
      <c r="D1741" s="1098"/>
      <c r="E1741" s="1098"/>
      <c r="F1741" s="1099"/>
      <c r="G1741" s="1098"/>
      <c r="H1741" s="1153"/>
      <c r="I1741" s="1099"/>
    </row>
    <row r="1742" spans="2:9">
      <c r="B1742" s="1136"/>
      <c r="C1742" s="1129"/>
      <c r="D1742" s="1098"/>
      <c r="E1742" s="1098"/>
      <c r="F1742" s="1099"/>
      <c r="G1742" s="1098"/>
      <c r="H1742" s="1153"/>
      <c r="I1742" s="1099"/>
    </row>
    <row r="1743" spans="2:9">
      <c r="B1743" s="1136"/>
      <c r="C1743" s="1129"/>
      <c r="D1743" s="1098"/>
      <c r="E1743" s="1098"/>
      <c r="F1743" s="1099"/>
      <c r="G1743" s="1098"/>
      <c r="H1743" s="1153"/>
      <c r="I1743" s="1099"/>
    </row>
    <row r="1744" spans="2:9">
      <c r="B1744" s="1136"/>
      <c r="C1744" s="1129"/>
      <c r="D1744" s="1098"/>
      <c r="E1744" s="1098"/>
      <c r="F1744" s="1099"/>
      <c r="G1744" s="1098"/>
      <c r="H1744" s="1153"/>
      <c r="I1744" s="1099"/>
    </row>
    <row r="1745" spans="2:9">
      <c r="B1745" s="1136"/>
      <c r="C1745" s="1129"/>
      <c r="D1745" s="1098"/>
      <c r="E1745" s="1098"/>
      <c r="F1745" s="1099"/>
      <c r="G1745" s="1098"/>
      <c r="H1745" s="1153"/>
      <c r="I1745" s="1099"/>
    </row>
    <row r="1746" spans="2:9">
      <c r="B1746" s="1136"/>
      <c r="C1746" s="1129"/>
      <c r="D1746" s="1098"/>
      <c r="E1746" s="1098"/>
      <c r="F1746" s="1099"/>
      <c r="G1746" s="1098"/>
      <c r="H1746" s="1153"/>
      <c r="I1746" s="1099"/>
    </row>
    <row r="1747" spans="2:9">
      <c r="B1747" s="1136"/>
      <c r="C1747" s="1129"/>
      <c r="D1747" s="1098"/>
      <c r="E1747" s="1098"/>
      <c r="F1747" s="1099"/>
      <c r="G1747" s="1098"/>
      <c r="H1747" s="1153"/>
      <c r="I1747" s="1099"/>
    </row>
    <row r="1748" spans="2:9">
      <c r="B1748" s="1136"/>
      <c r="C1748" s="1129"/>
      <c r="D1748" s="1098"/>
      <c r="E1748" s="1098"/>
      <c r="F1748" s="1099"/>
      <c r="G1748" s="1098"/>
      <c r="H1748" s="1153"/>
      <c r="I1748" s="1099"/>
    </row>
    <row r="1749" spans="2:9">
      <c r="B1749" s="1136"/>
      <c r="C1749" s="1129"/>
      <c r="D1749" s="1098"/>
      <c r="E1749" s="1098"/>
      <c r="F1749" s="1099"/>
      <c r="G1749" s="1098"/>
      <c r="H1749" s="1153"/>
      <c r="I1749" s="1099"/>
    </row>
    <row r="1750" spans="2:9">
      <c r="B1750" s="1136"/>
      <c r="C1750" s="1129"/>
      <c r="D1750" s="1098"/>
      <c r="E1750" s="1098"/>
      <c r="F1750" s="1099"/>
      <c r="G1750" s="1098"/>
      <c r="H1750" s="1153"/>
      <c r="I1750" s="1099"/>
    </row>
    <row r="1751" spans="2:9">
      <c r="B1751" s="1136"/>
      <c r="C1751" s="1129"/>
      <c r="D1751" s="1098"/>
      <c r="E1751" s="1098"/>
      <c r="F1751" s="1099"/>
      <c r="G1751" s="1098"/>
      <c r="H1751" s="1153"/>
      <c r="I1751" s="1099"/>
    </row>
    <row r="1752" spans="2:9">
      <c r="B1752" s="1136"/>
      <c r="C1752" s="1129"/>
      <c r="D1752" s="1098"/>
      <c r="E1752" s="1098"/>
      <c r="F1752" s="1099"/>
      <c r="G1752" s="1098"/>
      <c r="H1752" s="1153"/>
      <c r="I1752" s="1099"/>
    </row>
    <row r="1753" spans="2:9">
      <c r="B1753" s="1136"/>
      <c r="C1753" s="1129"/>
      <c r="D1753" s="1098"/>
      <c r="E1753" s="1098"/>
      <c r="F1753" s="1099"/>
      <c r="G1753" s="1098"/>
      <c r="H1753" s="1153"/>
      <c r="I1753" s="1099"/>
    </row>
    <row r="1754" spans="2:9">
      <c r="B1754" s="1136"/>
      <c r="C1754" s="1129"/>
      <c r="D1754" s="1098"/>
      <c r="E1754" s="1098"/>
      <c r="F1754" s="1099"/>
      <c r="G1754" s="1098"/>
      <c r="H1754" s="1153"/>
      <c r="I1754" s="1099"/>
    </row>
    <row r="1755" spans="2:9">
      <c r="B1755" s="1136"/>
      <c r="C1755" s="1129"/>
      <c r="D1755" s="1098"/>
      <c r="E1755" s="1098"/>
      <c r="F1755" s="1099"/>
      <c r="G1755" s="1098"/>
      <c r="H1755" s="1153"/>
      <c r="I1755" s="1099"/>
    </row>
    <row r="1756" spans="2:9">
      <c r="B1756" s="1136"/>
      <c r="C1756" s="1129"/>
      <c r="D1756" s="1098"/>
      <c r="E1756" s="1098"/>
      <c r="F1756" s="1099"/>
      <c r="G1756" s="1098"/>
      <c r="H1756" s="1153"/>
      <c r="I1756" s="1099"/>
    </row>
    <row r="1757" spans="2:9">
      <c r="B1757" s="1136"/>
      <c r="C1757" s="1129"/>
      <c r="D1757" s="1098"/>
      <c r="E1757" s="1098"/>
      <c r="F1757" s="1099"/>
      <c r="G1757" s="1098"/>
      <c r="H1757" s="1153"/>
      <c r="I1757" s="1099"/>
    </row>
    <row r="1758" spans="2:9">
      <c r="B1758" s="1136"/>
      <c r="C1758" s="1129"/>
      <c r="D1758" s="1098"/>
      <c r="E1758" s="1098"/>
      <c r="F1758" s="1099"/>
      <c r="G1758" s="1098"/>
      <c r="H1758" s="1153"/>
      <c r="I1758" s="1099"/>
    </row>
    <row r="1759" spans="2:9">
      <c r="B1759" s="1136"/>
      <c r="C1759" s="1129"/>
      <c r="D1759" s="1098"/>
      <c r="E1759" s="1098"/>
      <c r="F1759" s="1099"/>
      <c r="G1759" s="1098"/>
      <c r="H1759" s="1153"/>
      <c r="I1759" s="1099"/>
    </row>
    <row r="1760" spans="2:9">
      <c r="B1760" s="1136"/>
      <c r="C1760" s="1129"/>
      <c r="D1760" s="1098"/>
      <c r="E1760" s="1098"/>
      <c r="F1760" s="1099"/>
      <c r="G1760" s="1098"/>
      <c r="H1760" s="1153"/>
      <c r="I1760" s="1099"/>
    </row>
    <row r="1761" spans="2:9">
      <c r="B1761" s="1136"/>
      <c r="C1761" s="1129"/>
      <c r="D1761" s="1098"/>
      <c r="E1761" s="1098"/>
      <c r="F1761" s="1099"/>
      <c r="G1761" s="1098"/>
      <c r="H1761" s="1153"/>
      <c r="I1761" s="1099"/>
    </row>
    <row r="1762" spans="2:9">
      <c r="B1762" s="1136"/>
      <c r="C1762" s="1129"/>
      <c r="D1762" s="1098"/>
      <c r="E1762" s="1098"/>
      <c r="F1762" s="1099"/>
      <c r="G1762" s="1098"/>
      <c r="H1762" s="1153"/>
      <c r="I1762" s="1099"/>
    </row>
    <row r="1763" spans="2:9">
      <c r="B1763" s="1136"/>
      <c r="C1763" s="1129"/>
      <c r="D1763" s="1098"/>
      <c r="E1763" s="1098"/>
      <c r="F1763" s="1099"/>
      <c r="G1763" s="1098"/>
      <c r="H1763" s="1153"/>
      <c r="I1763" s="1099"/>
    </row>
    <row r="1764" spans="2:9">
      <c r="B1764" s="1136"/>
      <c r="C1764" s="1129"/>
      <c r="D1764" s="1098"/>
      <c r="E1764" s="1098"/>
      <c r="F1764" s="1099"/>
      <c r="G1764" s="1098"/>
      <c r="H1764" s="1153"/>
      <c r="I1764" s="1099"/>
    </row>
    <row r="1765" spans="2:9">
      <c r="B1765" s="1136"/>
      <c r="C1765" s="1129"/>
      <c r="D1765" s="1098"/>
      <c r="E1765" s="1098"/>
      <c r="F1765" s="1099"/>
      <c r="G1765" s="1098"/>
      <c r="H1765" s="1153"/>
      <c r="I1765" s="1099"/>
    </row>
    <row r="1766" spans="2:9">
      <c r="B1766" s="1136"/>
      <c r="C1766" s="1129"/>
      <c r="D1766" s="1098"/>
      <c r="E1766" s="1098"/>
      <c r="F1766" s="1099"/>
      <c r="G1766" s="1098"/>
      <c r="H1766" s="1153"/>
      <c r="I1766" s="1099"/>
    </row>
    <row r="1767" spans="2:9">
      <c r="B1767" s="1136"/>
      <c r="C1767" s="1129"/>
      <c r="D1767" s="1098"/>
      <c r="E1767" s="1098"/>
      <c r="F1767" s="1099"/>
      <c r="G1767" s="1098"/>
      <c r="H1767" s="1153"/>
      <c r="I1767" s="1099"/>
    </row>
    <row r="1768" spans="2:9">
      <c r="B1768" s="1136"/>
      <c r="C1768" s="1129"/>
      <c r="D1768" s="1098"/>
      <c r="E1768" s="1098"/>
      <c r="F1768" s="1099"/>
      <c r="G1768" s="1098"/>
      <c r="H1768" s="1153"/>
      <c r="I1768" s="1099"/>
    </row>
    <row r="1769" spans="2:9">
      <c r="B1769" s="1136"/>
      <c r="C1769" s="1129"/>
      <c r="D1769" s="1098"/>
      <c r="E1769" s="1098"/>
      <c r="F1769" s="1099"/>
      <c r="G1769" s="1098"/>
      <c r="H1769" s="1153"/>
      <c r="I1769" s="1099"/>
    </row>
    <row r="1770" spans="2:9">
      <c r="B1770" s="1136"/>
      <c r="C1770" s="1129"/>
      <c r="D1770" s="1098"/>
      <c r="E1770" s="1098"/>
      <c r="F1770" s="1099"/>
      <c r="G1770" s="1098"/>
      <c r="H1770" s="1153"/>
      <c r="I1770" s="1099"/>
    </row>
    <row r="1771" spans="2:9">
      <c r="B1771" s="1136"/>
      <c r="C1771" s="1129"/>
      <c r="D1771" s="1098"/>
      <c r="E1771" s="1098"/>
      <c r="F1771" s="1099"/>
      <c r="G1771" s="1098"/>
      <c r="H1771" s="1153"/>
      <c r="I1771" s="1099"/>
    </row>
    <row r="1772" spans="2:9">
      <c r="B1772" s="1136"/>
      <c r="C1772" s="1129"/>
      <c r="D1772" s="1098"/>
      <c r="E1772" s="1098"/>
      <c r="F1772" s="1099"/>
      <c r="G1772" s="1098"/>
      <c r="H1772" s="1153"/>
      <c r="I1772" s="1099"/>
    </row>
    <row r="1773" spans="2:9">
      <c r="B1773" s="1136"/>
      <c r="C1773" s="1129"/>
      <c r="D1773" s="1098"/>
      <c r="E1773" s="1098"/>
      <c r="F1773" s="1099"/>
      <c r="G1773" s="1098"/>
      <c r="H1773" s="1153"/>
      <c r="I1773" s="1099"/>
    </row>
    <row r="1774" spans="2:9">
      <c r="B1774" s="1136"/>
      <c r="C1774" s="1129"/>
      <c r="D1774" s="1098"/>
      <c r="E1774" s="1098"/>
      <c r="F1774" s="1099"/>
      <c r="G1774" s="1098"/>
      <c r="H1774" s="1153"/>
      <c r="I1774" s="1099"/>
    </row>
    <row r="1775" spans="2:9">
      <c r="B1775" s="1136"/>
      <c r="C1775" s="1129"/>
      <c r="D1775" s="1098"/>
      <c r="E1775" s="1098"/>
      <c r="F1775" s="1099"/>
      <c r="G1775" s="1098"/>
      <c r="H1775" s="1153"/>
      <c r="I1775" s="1099"/>
    </row>
    <row r="1776" spans="2:9">
      <c r="B1776" s="1136"/>
      <c r="C1776" s="1129"/>
      <c r="D1776" s="1098"/>
      <c r="E1776" s="1098"/>
      <c r="F1776" s="1099"/>
      <c r="G1776" s="1098"/>
      <c r="H1776" s="1153"/>
      <c r="I1776" s="1099"/>
    </row>
    <row r="1777" spans="2:9">
      <c r="B1777" s="1136"/>
      <c r="C1777" s="1129"/>
      <c r="D1777" s="1098"/>
      <c r="E1777" s="1098"/>
      <c r="F1777" s="1099"/>
      <c r="G1777" s="1098"/>
      <c r="H1777" s="1153"/>
      <c r="I1777" s="1099"/>
    </row>
    <row r="1778" spans="2:9">
      <c r="B1778" s="1136"/>
      <c r="C1778" s="1129"/>
      <c r="D1778" s="1098"/>
      <c r="E1778" s="1098"/>
      <c r="F1778" s="1099"/>
      <c r="G1778" s="1098"/>
      <c r="H1778" s="1153"/>
      <c r="I1778" s="1099"/>
    </row>
    <row r="1779" spans="2:9">
      <c r="B1779" s="1136"/>
      <c r="C1779" s="1129"/>
      <c r="D1779" s="1098"/>
      <c r="E1779" s="1098"/>
      <c r="F1779" s="1099"/>
      <c r="G1779" s="1098"/>
      <c r="H1779" s="1153"/>
      <c r="I1779" s="1099"/>
    </row>
    <row r="1780" spans="2:9">
      <c r="B1780" s="1136"/>
      <c r="C1780" s="1129"/>
      <c r="D1780" s="1098"/>
      <c r="E1780" s="1098"/>
      <c r="F1780" s="1099"/>
      <c r="G1780" s="1098"/>
      <c r="H1780" s="1153"/>
      <c r="I1780" s="1099"/>
    </row>
    <row r="1781" spans="2:9">
      <c r="B1781" s="1136"/>
      <c r="C1781" s="1129"/>
      <c r="D1781" s="1098"/>
      <c r="E1781" s="1098"/>
      <c r="F1781" s="1099"/>
      <c r="G1781" s="1098"/>
      <c r="H1781" s="1153"/>
      <c r="I1781" s="1099"/>
    </row>
    <row r="1782" spans="2:9">
      <c r="B1782" s="1136"/>
      <c r="C1782" s="1129"/>
      <c r="D1782" s="1098"/>
      <c r="E1782" s="1098"/>
      <c r="F1782" s="1099"/>
      <c r="G1782" s="1098"/>
      <c r="H1782" s="1153"/>
      <c r="I1782" s="1099"/>
    </row>
    <row r="1783" spans="2:9">
      <c r="B1783" s="1136"/>
      <c r="C1783" s="1129"/>
      <c r="D1783" s="1098"/>
      <c r="E1783" s="1098"/>
      <c r="F1783" s="1099"/>
      <c r="G1783" s="1098"/>
      <c r="H1783" s="1153"/>
      <c r="I1783" s="1099"/>
    </row>
    <row r="1784" spans="2:9">
      <c r="B1784" s="1136"/>
      <c r="C1784" s="1129"/>
      <c r="D1784" s="1098"/>
      <c r="E1784" s="1098"/>
      <c r="F1784" s="1099"/>
      <c r="G1784" s="1098"/>
      <c r="H1784" s="1153"/>
      <c r="I1784" s="1099"/>
    </row>
    <row r="1785" spans="2:9">
      <c r="B1785" s="1136"/>
      <c r="C1785" s="1129"/>
      <c r="D1785" s="1098"/>
      <c r="E1785" s="1098"/>
      <c r="F1785" s="1099"/>
      <c r="G1785" s="1098"/>
      <c r="H1785" s="1153"/>
      <c r="I1785" s="1099"/>
    </row>
    <row r="1786" spans="2:9">
      <c r="B1786" s="1136"/>
      <c r="C1786" s="1129"/>
      <c r="D1786" s="1098"/>
      <c r="E1786" s="1098"/>
      <c r="F1786" s="1099"/>
      <c r="G1786" s="1098"/>
      <c r="H1786" s="1153"/>
      <c r="I1786" s="1099"/>
    </row>
    <row r="1787" spans="2:9">
      <c r="B1787" s="1136"/>
      <c r="C1787" s="1129"/>
      <c r="D1787" s="1098"/>
      <c r="E1787" s="1098"/>
      <c r="F1787" s="1099"/>
      <c r="G1787" s="1098"/>
      <c r="H1787" s="1153"/>
      <c r="I1787" s="1099"/>
    </row>
    <row r="1788" spans="2:9">
      <c r="B1788" s="1136"/>
      <c r="C1788" s="1129"/>
      <c r="D1788" s="1098"/>
      <c r="E1788" s="1098"/>
      <c r="F1788" s="1099"/>
      <c r="G1788" s="1098"/>
      <c r="H1788" s="1153"/>
      <c r="I1788" s="1099"/>
    </row>
    <row r="1789" spans="2:9">
      <c r="B1789" s="1136"/>
      <c r="C1789" s="1129"/>
      <c r="D1789" s="1098"/>
      <c r="E1789" s="1098"/>
      <c r="F1789" s="1099"/>
      <c r="G1789" s="1098"/>
      <c r="H1789" s="1153"/>
      <c r="I1789" s="1099"/>
    </row>
    <row r="1790" spans="2:9">
      <c r="B1790" s="1136"/>
      <c r="C1790" s="1129"/>
      <c r="D1790" s="1098"/>
      <c r="E1790" s="1098"/>
      <c r="F1790" s="1099"/>
      <c r="G1790" s="1098"/>
      <c r="H1790" s="1153"/>
      <c r="I1790" s="1099"/>
    </row>
    <row r="1791" spans="2:9">
      <c r="B1791" s="1136"/>
      <c r="C1791" s="1129"/>
      <c r="D1791" s="1098"/>
      <c r="E1791" s="1098"/>
      <c r="F1791" s="1099"/>
      <c r="G1791" s="1098"/>
      <c r="H1791" s="1153"/>
      <c r="I1791" s="1099"/>
    </row>
    <row r="1792" spans="2:9">
      <c r="B1792" s="1136"/>
      <c r="C1792" s="1129"/>
      <c r="D1792" s="1098"/>
      <c r="E1792" s="1098"/>
      <c r="F1792" s="1099"/>
      <c r="G1792" s="1098"/>
      <c r="H1792" s="1153"/>
      <c r="I1792" s="1099"/>
    </row>
    <row r="1793" spans="2:9">
      <c r="B1793" s="1136"/>
      <c r="C1793" s="1129"/>
      <c r="D1793" s="1098"/>
      <c r="E1793" s="1098"/>
      <c r="F1793" s="1099"/>
      <c r="G1793" s="1098"/>
      <c r="H1793" s="1153"/>
      <c r="I1793" s="1099"/>
    </row>
    <row r="1794" spans="2:9">
      <c r="B1794" s="1136"/>
      <c r="C1794" s="1129"/>
      <c r="D1794" s="1098"/>
      <c r="E1794" s="1098"/>
      <c r="F1794" s="1099"/>
      <c r="G1794" s="1098"/>
      <c r="H1794" s="1153"/>
      <c r="I1794" s="1099"/>
    </row>
    <row r="1795" spans="2:9">
      <c r="B1795" s="1136"/>
      <c r="C1795" s="1129"/>
      <c r="D1795" s="1098"/>
      <c r="E1795" s="1098"/>
      <c r="F1795" s="1099"/>
      <c r="G1795" s="1098"/>
      <c r="H1795" s="1153"/>
      <c r="I1795" s="1099"/>
    </row>
    <row r="1796" spans="2:9">
      <c r="B1796" s="1136"/>
      <c r="C1796" s="1129"/>
      <c r="D1796" s="1098"/>
      <c r="E1796" s="1098"/>
      <c r="F1796" s="1099"/>
      <c r="G1796" s="1098"/>
      <c r="H1796" s="1153"/>
      <c r="I1796" s="1099"/>
    </row>
    <row r="1797" spans="2:9">
      <c r="B1797" s="1136"/>
      <c r="C1797" s="1129"/>
      <c r="D1797" s="1098"/>
      <c r="E1797" s="1098"/>
      <c r="F1797" s="1099"/>
      <c r="G1797" s="1098"/>
      <c r="H1797" s="1153"/>
      <c r="I1797" s="1099"/>
    </row>
    <row r="1798" spans="2:9">
      <c r="B1798" s="1136"/>
      <c r="C1798" s="1129"/>
      <c r="D1798" s="1098"/>
      <c r="E1798" s="1098"/>
      <c r="F1798" s="1099"/>
      <c r="G1798" s="1098"/>
      <c r="H1798" s="1153"/>
      <c r="I1798" s="1099"/>
    </row>
    <row r="1799" spans="2:9">
      <c r="B1799" s="1136"/>
      <c r="C1799" s="1129"/>
      <c r="D1799" s="1098"/>
      <c r="E1799" s="1098"/>
      <c r="F1799" s="1099"/>
      <c r="G1799" s="1098"/>
      <c r="H1799" s="1153"/>
      <c r="I1799" s="1099"/>
    </row>
    <row r="1800" spans="2:9">
      <c r="B1800" s="1136"/>
      <c r="C1800" s="1129"/>
      <c r="D1800" s="1098"/>
      <c r="E1800" s="1098"/>
      <c r="F1800" s="1099"/>
      <c r="G1800" s="1098"/>
      <c r="H1800" s="1153"/>
      <c r="I1800" s="1099"/>
    </row>
    <row r="1801" spans="2:9">
      <c r="B1801" s="1136"/>
      <c r="C1801" s="1129"/>
      <c r="D1801" s="1098"/>
      <c r="E1801" s="1098"/>
      <c r="F1801" s="1099"/>
      <c r="G1801" s="1098"/>
      <c r="H1801" s="1153"/>
      <c r="I1801" s="1099"/>
    </row>
    <row r="1802" spans="2:9">
      <c r="B1802" s="1136"/>
      <c r="C1802" s="1129"/>
      <c r="D1802" s="1098"/>
      <c r="E1802" s="1098"/>
      <c r="F1802" s="1099"/>
      <c r="G1802" s="1098"/>
      <c r="H1802" s="1153"/>
      <c r="I1802" s="1099"/>
    </row>
    <row r="1803" spans="2:9">
      <c r="B1803" s="1136"/>
      <c r="C1803" s="1129"/>
      <c r="D1803" s="1098"/>
      <c r="E1803" s="1098"/>
      <c r="F1803" s="1099"/>
      <c r="G1803" s="1098"/>
      <c r="H1803" s="1153"/>
      <c r="I1803" s="1099"/>
    </row>
    <row r="1804" spans="2:9">
      <c r="B1804" s="1136"/>
      <c r="C1804" s="1129"/>
      <c r="D1804" s="1098"/>
      <c r="E1804" s="1098"/>
      <c r="F1804" s="1099"/>
      <c r="G1804" s="1098"/>
      <c r="H1804" s="1153"/>
      <c r="I1804" s="1099"/>
    </row>
    <row r="1805" spans="2:9">
      <c r="B1805" s="1136"/>
      <c r="C1805" s="1129"/>
      <c r="D1805" s="1098"/>
      <c r="E1805" s="1098"/>
      <c r="F1805" s="1099"/>
      <c r="G1805" s="1098"/>
      <c r="H1805" s="1153"/>
      <c r="I1805" s="1099"/>
    </row>
    <row r="1806" spans="2:9">
      <c r="B1806" s="1136"/>
      <c r="C1806" s="1129"/>
      <c r="D1806" s="1098"/>
      <c r="E1806" s="1098"/>
      <c r="F1806" s="1099"/>
      <c r="G1806" s="1098"/>
      <c r="H1806" s="1153"/>
      <c r="I1806" s="1099"/>
    </row>
    <row r="1807" spans="2:9">
      <c r="B1807" s="1136"/>
      <c r="C1807" s="1129"/>
      <c r="D1807" s="1098"/>
      <c r="E1807" s="1098"/>
      <c r="F1807" s="1099"/>
      <c r="G1807" s="1098"/>
      <c r="H1807" s="1153"/>
      <c r="I1807" s="1099"/>
    </row>
    <row r="1808" spans="2:9">
      <c r="B1808" s="1136"/>
      <c r="C1808" s="1129"/>
      <c r="D1808" s="1098"/>
      <c r="E1808" s="1098"/>
      <c r="F1808" s="1099"/>
      <c r="G1808" s="1098"/>
      <c r="H1808" s="1153"/>
      <c r="I1808" s="1099"/>
    </row>
    <row r="1809" spans="2:9">
      <c r="B1809" s="1136"/>
      <c r="C1809" s="1129"/>
      <c r="D1809" s="1098"/>
      <c r="E1809" s="1098"/>
      <c r="F1809" s="1099"/>
      <c r="G1809" s="1098"/>
      <c r="H1809" s="1153"/>
      <c r="I1809" s="1099"/>
    </row>
    <row r="1810" spans="2:9">
      <c r="B1810" s="1136"/>
      <c r="C1810" s="1129"/>
      <c r="D1810" s="1098"/>
      <c r="E1810" s="1098"/>
      <c r="F1810" s="1099"/>
      <c r="G1810" s="1098"/>
      <c r="H1810" s="1153"/>
      <c r="I1810" s="1099"/>
    </row>
    <row r="1811" spans="2:9">
      <c r="B1811" s="1136"/>
      <c r="C1811" s="1129"/>
      <c r="D1811" s="1098"/>
      <c r="E1811" s="1098"/>
      <c r="F1811" s="1099"/>
      <c r="G1811" s="1098"/>
      <c r="H1811" s="1153"/>
      <c r="I1811" s="1099"/>
    </row>
    <row r="1812" spans="2:9">
      <c r="B1812" s="1136"/>
      <c r="C1812" s="1129"/>
      <c r="D1812" s="1098"/>
      <c r="E1812" s="1098"/>
      <c r="F1812" s="1099"/>
      <c r="G1812" s="1098"/>
      <c r="H1812" s="1153"/>
      <c r="I1812" s="1099"/>
    </row>
    <row r="1813" spans="2:9">
      <c r="B1813" s="1136"/>
      <c r="C1813" s="1129"/>
      <c r="D1813" s="1098"/>
      <c r="E1813" s="1098"/>
      <c r="F1813" s="1099"/>
      <c r="G1813" s="1098"/>
      <c r="H1813" s="1153"/>
      <c r="I1813" s="1099"/>
    </row>
    <row r="1814" spans="2:9">
      <c r="B1814" s="1136"/>
      <c r="C1814" s="1129"/>
      <c r="D1814" s="1098"/>
      <c r="E1814" s="1098"/>
      <c r="F1814" s="1099"/>
      <c r="G1814" s="1098"/>
      <c r="H1814" s="1153"/>
      <c r="I1814" s="1099"/>
    </row>
    <row r="1815" spans="2:9">
      <c r="B1815" s="1136"/>
      <c r="C1815" s="1129"/>
      <c r="D1815" s="1098"/>
      <c r="E1815" s="1098"/>
      <c r="F1815" s="1099"/>
      <c r="G1815" s="1098"/>
      <c r="H1815" s="1153"/>
      <c r="I1815" s="1099"/>
    </row>
    <row r="1816" spans="2:9">
      <c r="B1816" s="1136"/>
      <c r="C1816" s="1129"/>
      <c r="D1816" s="1098"/>
      <c r="E1816" s="1098"/>
      <c r="F1816" s="1099"/>
      <c r="G1816" s="1098"/>
      <c r="H1816" s="1153"/>
      <c r="I1816" s="1099"/>
    </row>
    <row r="1817" spans="2:9">
      <c r="B1817" s="1136"/>
      <c r="C1817" s="1129"/>
      <c r="D1817" s="1098"/>
      <c r="E1817" s="1098"/>
      <c r="F1817" s="1099"/>
      <c r="G1817" s="1098"/>
      <c r="H1817" s="1153"/>
      <c r="I1817" s="1099"/>
    </row>
    <row r="1818" spans="2:9">
      <c r="B1818" s="1136"/>
      <c r="C1818" s="1129"/>
      <c r="D1818" s="1098"/>
      <c r="E1818" s="1098"/>
      <c r="F1818" s="1099"/>
      <c r="G1818" s="1098"/>
      <c r="H1818" s="1153"/>
      <c r="I1818" s="1099"/>
    </row>
    <row r="1819" spans="2:9">
      <c r="B1819" s="1136"/>
      <c r="C1819" s="1129"/>
      <c r="D1819" s="1098"/>
      <c r="E1819" s="1098"/>
      <c r="F1819" s="1099"/>
      <c r="G1819" s="1098"/>
      <c r="H1819" s="1153"/>
      <c r="I1819" s="1099"/>
    </row>
    <row r="1820" spans="2:9">
      <c r="B1820" s="1136"/>
      <c r="C1820" s="1129"/>
      <c r="D1820" s="1098"/>
      <c r="E1820" s="1098"/>
      <c r="F1820" s="1099"/>
      <c r="G1820" s="1098"/>
      <c r="H1820" s="1153"/>
      <c r="I1820" s="1099"/>
    </row>
    <row r="1821" spans="2:9">
      <c r="B1821" s="1136"/>
      <c r="C1821" s="1129"/>
      <c r="D1821" s="1098"/>
      <c r="E1821" s="1098"/>
      <c r="F1821" s="1099"/>
      <c r="G1821" s="1098"/>
      <c r="H1821" s="1153"/>
      <c r="I1821" s="1099"/>
    </row>
    <row r="1822" spans="2:9">
      <c r="B1822" s="1136"/>
      <c r="C1822" s="1129"/>
      <c r="D1822" s="1098"/>
      <c r="E1822" s="1098"/>
      <c r="F1822" s="1099"/>
      <c r="G1822" s="1098"/>
      <c r="H1822" s="1153"/>
      <c r="I1822" s="1099"/>
    </row>
    <row r="1823" spans="2:9">
      <c r="B1823" s="1136"/>
      <c r="C1823" s="1129"/>
      <c r="D1823" s="1098"/>
      <c r="E1823" s="1098"/>
      <c r="F1823" s="1099"/>
      <c r="G1823" s="1098"/>
      <c r="H1823" s="1153"/>
      <c r="I1823" s="1099"/>
    </row>
    <row r="1824" spans="2:9">
      <c r="B1824" s="1136"/>
      <c r="C1824" s="1129"/>
      <c r="D1824" s="1098"/>
      <c r="E1824" s="1098"/>
      <c r="F1824" s="1099"/>
      <c r="G1824" s="1098"/>
      <c r="H1824" s="1153"/>
      <c r="I1824" s="1099"/>
    </row>
    <row r="1825" spans="2:9">
      <c r="B1825" s="1136"/>
      <c r="C1825" s="1129"/>
      <c r="D1825" s="1098"/>
      <c r="E1825" s="1098"/>
      <c r="F1825" s="1099"/>
      <c r="G1825" s="1098"/>
      <c r="H1825" s="1153"/>
      <c r="I1825" s="1099"/>
    </row>
    <row r="1826" spans="2:9">
      <c r="B1826" s="1136"/>
      <c r="C1826" s="1129"/>
      <c r="D1826" s="1098"/>
      <c r="E1826" s="1098"/>
      <c r="F1826" s="1099"/>
      <c r="G1826" s="1098"/>
      <c r="H1826" s="1153"/>
      <c r="I1826" s="1099"/>
    </row>
    <row r="1827" spans="2:9">
      <c r="B1827" s="1136"/>
      <c r="C1827" s="1129"/>
      <c r="D1827" s="1098"/>
      <c r="E1827" s="1098"/>
      <c r="F1827" s="1099"/>
      <c r="G1827" s="1098"/>
      <c r="H1827" s="1153"/>
      <c r="I1827" s="1099"/>
    </row>
    <row r="1828" spans="2:9">
      <c r="B1828" s="1136"/>
      <c r="C1828" s="1129"/>
      <c r="D1828" s="1098"/>
      <c r="E1828" s="1098"/>
      <c r="F1828" s="1099"/>
      <c r="G1828" s="1098"/>
      <c r="H1828" s="1153"/>
      <c r="I1828" s="1099"/>
    </row>
    <row r="1829" spans="2:9">
      <c r="B1829" s="1136"/>
      <c r="C1829" s="1129"/>
      <c r="D1829" s="1098"/>
      <c r="E1829" s="1098"/>
      <c r="F1829" s="1099"/>
      <c r="G1829" s="1098"/>
      <c r="H1829" s="1153"/>
      <c r="I1829" s="1099"/>
    </row>
    <row r="1830" spans="2:9">
      <c r="B1830" s="1136"/>
      <c r="C1830" s="1129"/>
      <c r="D1830" s="1098"/>
      <c r="E1830" s="1098"/>
      <c r="F1830" s="1099"/>
      <c r="G1830" s="1098"/>
      <c r="H1830" s="1153"/>
      <c r="I1830" s="1099"/>
    </row>
    <row r="1831" spans="2:9">
      <c r="B1831" s="1136"/>
      <c r="C1831" s="1129"/>
      <c r="D1831" s="1098"/>
      <c r="E1831" s="1098"/>
      <c r="F1831" s="1099"/>
      <c r="G1831" s="1098"/>
      <c r="H1831" s="1153"/>
      <c r="I1831" s="1099"/>
    </row>
    <row r="1832" spans="2:9">
      <c r="B1832" s="1136"/>
      <c r="C1832" s="1129"/>
      <c r="D1832" s="1098"/>
      <c r="E1832" s="1098"/>
      <c r="F1832" s="1099"/>
      <c r="G1832" s="1098"/>
      <c r="H1832" s="1153"/>
      <c r="I1832" s="1099"/>
    </row>
    <row r="1833" spans="2:9">
      <c r="B1833" s="1136"/>
      <c r="C1833" s="1129"/>
      <c r="D1833" s="1098"/>
      <c r="E1833" s="1098"/>
      <c r="F1833" s="1099"/>
      <c r="G1833" s="1098"/>
      <c r="H1833" s="1153"/>
      <c r="I1833" s="1099"/>
    </row>
    <row r="1834" spans="2:9">
      <c r="B1834" s="1136"/>
      <c r="C1834" s="1129"/>
      <c r="D1834" s="1098"/>
      <c r="E1834" s="1098"/>
      <c r="F1834" s="1099"/>
      <c r="G1834" s="1098"/>
      <c r="H1834" s="1153"/>
      <c r="I1834" s="1099"/>
    </row>
    <row r="1835" spans="2:9">
      <c r="B1835" s="1136"/>
      <c r="C1835" s="1129"/>
      <c r="D1835" s="1098"/>
      <c r="E1835" s="1098"/>
      <c r="F1835" s="1099"/>
      <c r="G1835" s="1098"/>
      <c r="H1835" s="1153"/>
      <c r="I1835" s="1099"/>
    </row>
    <row r="1836" spans="2:9">
      <c r="B1836" s="1136"/>
      <c r="C1836" s="1129"/>
      <c r="D1836" s="1098"/>
      <c r="E1836" s="1098"/>
      <c r="F1836" s="1099"/>
      <c r="G1836" s="1098"/>
      <c r="H1836" s="1153"/>
      <c r="I1836" s="1099"/>
    </row>
    <row r="1837" spans="2:9">
      <c r="B1837" s="1136"/>
      <c r="C1837" s="1129"/>
      <c r="D1837" s="1098"/>
      <c r="E1837" s="1098"/>
      <c r="F1837" s="1099"/>
      <c r="G1837" s="1098"/>
      <c r="H1837" s="1153"/>
      <c r="I1837" s="1099"/>
    </row>
    <row r="1838" spans="2:9">
      <c r="B1838" s="1136"/>
      <c r="C1838" s="1129"/>
      <c r="D1838" s="1098"/>
      <c r="E1838" s="1098"/>
      <c r="F1838" s="1099"/>
      <c r="G1838" s="1098"/>
      <c r="H1838" s="1153"/>
      <c r="I1838" s="1099"/>
    </row>
    <row r="1839" spans="2:9">
      <c r="B1839" s="1136"/>
      <c r="C1839" s="1129"/>
      <c r="D1839" s="1098"/>
      <c r="E1839" s="1098"/>
      <c r="F1839" s="1099"/>
      <c r="G1839" s="1098"/>
      <c r="H1839" s="1153"/>
      <c r="I1839" s="1099"/>
    </row>
    <row r="1840" spans="2:9">
      <c r="B1840" s="1136"/>
      <c r="C1840" s="1129"/>
      <c r="D1840" s="1098"/>
      <c r="E1840" s="1098"/>
      <c r="F1840" s="1099"/>
      <c r="G1840" s="1098"/>
      <c r="H1840" s="1153"/>
      <c r="I1840" s="1099"/>
    </row>
    <row r="1841" spans="2:9">
      <c r="B1841" s="1136"/>
      <c r="C1841" s="1129"/>
      <c r="D1841" s="1098"/>
      <c r="E1841" s="1098"/>
      <c r="F1841" s="1099"/>
      <c r="G1841" s="1098"/>
      <c r="H1841" s="1153"/>
      <c r="I1841" s="1099"/>
    </row>
    <row r="1842" spans="2:9">
      <c r="B1842" s="1136"/>
      <c r="C1842" s="1129"/>
      <c r="D1842" s="1098"/>
      <c r="E1842" s="1098"/>
      <c r="F1842" s="1099"/>
      <c r="G1842" s="1098"/>
      <c r="H1842" s="1153"/>
      <c r="I1842" s="1099"/>
    </row>
    <row r="1843" spans="2:9">
      <c r="B1843" s="1136"/>
      <c r="C1843" s="1129"/>
      <c r="D1843" s="1098"/>
      <c r="E1843" s="1098"/>
      <c r="F1843" s="1099"/>
      <c r="G1843" s="1098"/>
      <c r="H1843" s="1153"/>
      <c r="I1843" s="1099"/>
    </row>
    <row r="1844" spans="2:9">
      <c r="B1844" s="1136"/>
      <c r="C1844" s="1129"/>
      <c r="D1844" s="1098"/>
      <c r="E1844" s="1098"/>
      <c r="F1844" s="1099"/>
      <c r="G1844" s="1098"/>
      <c r="H1844" s="1153"/>
      <c r="I1844" s="1099"/>
    </row>
    <row r="1845" spans="2:9">
      <c r="B1845" s="1136"/>
      <c r="C1845" s="1129"/>
      <c r="D1845" s="1098"/>
      <c r="E1845" s="1098"/>
      <c r="F1845" s="1099"/>
      <c r="G1845" s="1098"/>
      <c r="H1845" s="1153"/>
      <c r="I1845" s="1099"/>
    </row>
    <row r="1846" spans="2:9">
      <c r="B1846" s="1136"/>
      <c r="C1846" s="1129"/>
      <c r="D1846" s="1098"/>
      <c r="E1846" s="1098"/>
      <c r="F1846" s="1099"/>
      <c r="G1846" s="1098"/>
      <c r="H1846" s="1153"/>
      <c r="I1846" s="1099"/>
    </row>
    <row r="1847" spans="2:9">
      <c r="B1847" s="1136"/>
      <c r="C1847" s="1129"/>
      <c r="D1847" s="1098"/>
      <c r="E1847" s="1098"/>
      <c r="F1847" s="1099"/>
      <c r="G1847" s="1098"/>
      <c r="H1847" s="1153"/>
      <c r="I1847" s="1099"/>
    </row>
    <row r="1848" spans="2:9">
      <c r="B1848" s="1136"/>
      <c r="C1848" s="1129"/>
      <c r="D1848" s="1098"/>
      <c r="E1848" s="1098"/>
      <c r="F1848" s="1099"/>
      <c r="G1848" s="1098"/>
      <c r="H1848" s="1153"/>
      <c r="I1848" s="1099"/>
    </row>
    <row r="1849" spans="2:9">
      <c r="B1849" s="1136"/>
      <c r="C1849" s="1129"/>
      <c r="D1849" s="1098"/>
      <c r="E1849" s="1098"/>
      <c r="F1849" s="1099"/>
      <c r="G1849" s="1098"/>
      <c r="H1849" s="1153"/>
      <c r="I1849" s="1099"/>
    </row>
    <row r="1850" spans="2:9">
      <c r="B1850" s="1136"/>
      <c r="C1850" s="1129"/>
      <c r="D1850" s="1098"/>
      <c r="E1850" s="1098"/>
      <c r="F1850" s="1099"/>
      <c r="G1850" s="1098"/>
      <c r="H1850" s="1153"/>
      <c r="I1850" s="1099"/>
    </row>
    <row r="1851" spans="2:9">
      <c r="B1851" s="1136"/>
      <c r="C1851" s="1129"/>
      <c r="D1851" s="1098"/>
      <c r="E1851" s="1098"/>
      <c r="F1851" s="1099"/>
      <c r="G1851" s="1098"/>
      <c r="H1851" s="1153"/>
      <c r="I1851" s="1099"/>
    </row>
    <row r="1852" spans="2:9">
      <c r="B1852" s="1136"/>
      <c r="C1852" s="1129"/>
      <c r="D1852" s="1098"/>
      <c r="E1852" s="1098"/>
      <c r="F1852" s="1099"/>
      <c r="G1852" s="1098"/>
      <c r="H1852" s="1153"/>
      <c r="I1852" s="1099"/>
    </row>
    <row r="1853" spans="2:9">
      <c r="B1853" s="1136"/>
      <c r="C1853" s="1129"/>
      <c r="D1853" s="1098"/>
      <c r="E1853" s="1098"/>
      <c r="F1853" s="1099"/>
      <c r="G1853" s="1098"/>
      <c r="H1853" s="1153"/>
      <c r="I1853" s="1099"/>
    </row>
    <row r="1854" spans="2:9">
      <c r="B1854" s="1136"/>
      <c r="C1854" s="1129"/>
      <c r="D1854" s="1098"/>
      <c r="E1854" s="1098"/>
      <c r="F1854" s="1099"/>
      <c r="G1854" s="1098"/>
      <c r="H1854" s="1153"/>
      <c r="I1854" s="1099"/>
    </row>
    <row r="1855" spans="2:9">
      <c r="B1855" s="1136"/>
      <c r="C1855" s="1129"/>
      <c r="D1855" s="1098"/>
      <c r="E1855" s="1098"/>
      <c r="F1855" s="1099"/>
      <c r="G1855" s="1098"/>
      <c r="H1855" s="1153"/>
      <c r="I1855" s="1099"/>
    </row>
    <row r="1856" spans="2:9">
      <c r="B1856" s="1136"/>
      <c r="C1856" s="1129"/>
      <c r="D1856" s="1098"/>
      <c r="E1856" s="1098"/>
      <c r="F1856" s="1099"/>
      <c r="G1856" s="1098"/>
      <c r="H1856" s="1153"/>
      <c r="I1856" s="1099"/>
    </row>
    <row r="1857" spans="2:9">
      <c r="B1857" s="1136"/>
      <c r="C1857" s="1129"/>
      <c r="D1857" s="1098"/>
      <c r="E1857" s="1098"/>
      <c r="F1857" s="1099"/>
      <c r="G1857" s="1098"/>
      <c r="H1857" s="1153"/>
      <c r="I1857" s="1099"/>
    </row>
    <row r="1858" spans="2:9">
      <c r="B1858" s="1136"/>
      <c r="C1858" s="1129"/>
      <c r="D1858" s="1098"/>
      <c r="E1858" s="1098"/>
      <c r="F1858" s="1099"/>
      <c r="G1858" s="1098"/>
      <c r="H1858" s="1153"/>
      <c r="I1858" s="1099"/>
    </row>
    <row r="1859" spans="2:9">
      <c r="B1859" s="1136"/>
      <c r="C1859" s="1129"/>
      <c r="D1859" s="1098"/>
      <c r="E1859" s="1098"/>
      <c r="F1859" s="1099"/>
      <c r="G1859" s="1098"/>
      <c r="H1859" s="1153"/>
      <c r="I1859" s="1099"/>
    </row>
    <row r="1860" spans="2:9">
      <c r="B1860" s="1136"/>
      <c r="C1860" s="1129"/>
      <c r="D1860" s="1098"/>
      <c r="E1860" s="1098"/>
      <c r="F1860" s="1099"/>
      <c r="G1860" s="1098"/>
      <c r="H1860" s="1153"/>
      <c r="I1860" s="1099"/>
    </row>
    <row r="1861" spans="2:9">
      <c r="B1861" s="1136"/>
      <c r="C1861" s="1129"/>
      <c r="D1861" s="1098"/>
      <c r="E1861" s="1098"/>
      <c r="F1861" s="1099"/>
      <c r="G1861" s="1098"/>
      <c r="H1861" s="1153"/>
      <c r="I1861" s="1099"/>
    </row>
    <row r="1862" spans="2:9">
      <c r="B1862" s="1136"/>
      <c r="C1862" s="1129"/>
      <c r="D1862" s="1098"/>
      <c r="E1862" s="1098"/>
      <c r="F1862" s="1099"/>
      <c r="G1862" s="1098"/>
      <c r="H1862" s="1153"/>
      <c r="I1862" s="1099"/>
    </row>
    <row r="1863" spans="2:9">
      <c r="B1863" s="1136"/>
      <c r="C1863" s="1129"/>
      <c r="D1863" s="1098"/>
      <c r="E1863" s="1098"/>
      <c r="F1863" s="1099"/>
      <c r="G1863" s="1098"/>
      <c r="H1863" s="1153"/>
      <c r="I1863" s="1099"/>
    </row>
    <row r="1864" spans="2:9">
      <c r="B1864" s="1136"/>
      <c r="C1864" s="1129"/>
      <c r="D1864" s="1098"/>
      <c r="E1864" s="1098"/>
      <c r="F1864" s="1099"/>
      <c r="G1864" s="1098"/>
      <c r="H1864" s="1153"/>
      <c r="I1864" s="1099"/>
    </row>
    <row r="1865" spans="2:9">
      <c r="B1865" s="1136"/>
      <c r="C1865" s="1129"/>
      <c r="D1865" s="1098"/>
      <c r="E1865" s="1098"/>
      <c r="F1865" s="1099"/>
      <c r="G1865" s="1098"/>
      <c r="H1865" s="1153"/>
      <c r="I1865" s="1099"/>
    </row>
    <row r="1866" spans="2:9">
      <c r="B1866" s="1136"/>
      <c r="C1866" s="1129"/>
      <c r="D1866" s="1098"/>
      <c r="E1866" s="1098"/>
      <c r="F1866" s="1099"/>
      <c r="G1866" s="1098"/>
      <c r="H1866" s="1153"/>
      <c r="I1866" s="1099"/>
    </row>
    <row r="1867" spans="2:9">
      <c r="B1867" s="1136"/>
      <c r="C1867" s="1129"/>
      <c r="D1867" s="1098"/>
      <c r="E1867" s="1098"/>
      <c r="F1867" s="1099"/>
      <c r="G1867" s="1098"/>
      <c r="H1867" s="1153"/>
      <c r="I1867" s="1099"/>
    </row>
    <row r="1868" spans="2:9">
      <c r="B1868" s="1136"/>
      <c r="C1868" s="1129"/>
      <c r="D1868" s="1098"/>
      <c r="E1868" s="1098"/>
      <c r="F1868" s="1099"/>
      <c r="G1868" s="1098"/>
      <c r="H1868" s="1153"/>
      <c r="I1868" s="1099"/>
    </row>
    <row r="1869" spans="2:9">
      <c r="B1869" s="1136"/>
      <c r="C1869" s="1129"/>
      <c r="D1869" s="1098"/>
      <c r="E1869" s="1098"/>
      <c r="F1869" s="1099"/>
      <c r="G1869" s="1098"/>
      <c r="H1869" s="1153"/>
      <c r="I1869" s="1099"/>
    </row>
    <row r="1870" spans="2:9">
      <c r="B1870" s="1136"/>
      <c r="C1870" s="1129"/>
      <c r="D1870" s="1098"/>
      <c r="E1870" s="1098"/>
      <c r="F1870" s="1099"/>
      <c r="G1870" s="1098"/>
      <c r="H1870" s="1153"/>
      <c r="I1870" s="1099"/>
    </row>
    <row r="1871" spans="2:9">
      <c r="B1871" s="1136"/>
      <c r="C1871" s="1129"/>
      <c r="D1871" s="1098"/>
      <c r="E1871" s="1098"/>
      <c r="F1871" s="1099"/>
      <c r="G1871" s="1098"/>
      <c r="H1871" s="1153"/>
      <c r="I1871" s="1099"/>
    </row>
    <row r="1872" spans="2:9">
      <c r="B1872" s="1136"/>
      <c r="C1872" s="1129"/>
      <c r="D1872" s="1098"/>
      <c r="E1872" s="1098"/>
      <c r="F1872" s="1099"/>
      <c r="G1872" s="1098"/>
      <c r="H1872" s="1153"/>
      <c r="I1872" s="1099"/>
    </row>
    <row r="1873" spans="2:9">
      <c r="B1873" s="1136"/>
      <c r="C1873" s="1129"/>
      <c r="D1873" s="1098"/>
      <c r="E1873" s="1098"/>
      <c r="F1873" s="1099"/>
      <c r="G1873" s="1098"/>
      <c r="H1873" s="1153"/>
      <c r="I1873" s="1099"/>
    </row>
    <row r="1874" spans="2:9">
      <c r="B1874" s="1136"/>
      <c r="C1874" s="1129"/>
      <c r="D1874" s="1098"/>
      <c r="E1874" s="1098"/>
      <c r="F1874" s="1099"/>
      <c r="G1874" s="1098"/>
      <c r="H1874" s="1153"/>
      <c r="I1874" s="1099"/>
    </row>
    <row r="1875" spans="2:9">
      <c r="B1875" s="1136"/>
      <c r="C1875" s="1129"/>
      <c r="D1875" s="1098"/>
      <c r="E1875" s="1098"/>
      <c r="F1875" s="1099"/>
      <c r="G1875" s="1098"/>
      <c r="H1875" s="1153"/>
      <c r="I1875" s="1099"/>
    </row>
    <row r="1876" spans="2:9">
      <c r="B1876" s="1136"/>
      <c r="C1876" s="1129"/>
      <c r="D1876" s="1098"/>
      <c r="E1876" s="1098"/>
      <c r="F1876" s="1099"/>
      <c r="G1876" s="1098"/>
      <c r="H1876" s="1153"/>
      <c r="I1876" s="1099"/>
    </row>
    <row r="1877" spans="2:9">
      <c r="B1877" s="1136"/>
      <c r="C1877" s="1129"/>
      <c r="D1877" s="1098"/>
      <c r="E1877" s="1098"/>
      <c r="F1877" s="1099"/>
      <c r="G1877" s="1098"/>
      <c r="H1877" s="1153"/>
      <c r="I1877" s="1099"/>
    </row>
    <row r="1878" spans="2:9">
      <c r="B1878" s="1136"/>
      <c r="C1878" s="1129"/>
      <c r="D1878" s="1098"/>
      <c r="E1878" s="1098"/>
      <c r="F1878" s="1099"/>
      <c r="G1878" s="1098"/>
      <c r="H1878" s="1153"/>
      <c r="I1878" s="1099"/>
    </row>
    <row r="1879" spans="2:9">
      <c r="B1879" s="1136"/>
      <c r="C1879" s="1129"/>
      <c r="D1879" s="1098"/>
      <c r="E1879" s="1098"/>
      <c r="F1879" s="1099"/>
      <c r="G1879" s="1098"/>
      <c r="H1879" s="1153"/>
      <c r="I1879" s="1099"/>
    </row>
    <row r="1880" spans="2:9">
      <c r="B1880" s="1136"/>
      <c r="C1880" s="1129"/>
      <c r="D1880" s="1098"/>
      <c r="E1880" s="1098"/>
      <c r="F1880" s="1099"/>
      <c r="G1880" s="1098"/>
      <c r="H1880" s="1153"/>
      <c r="I1880" s="1099"/>
    </row>
    <row r="1881" spans="2:9">
      <c r="B1881" s="1136"/>
      <c r="C1881" s="1129"/>
      <c r="D1881" s="1098"/>
      <c r="E1881" s="1098"/>
      <c r="F1881" s="1099"/>
      <c r="G1881" s="1098"/>
      <c r="H1881" s="1153"/>
      <c r="I1881" s="1099"/>
    </row>
    <row r="1882" spans="2:9">
      <c r="B1882" s="1136"/>
      <c r="C1882" s="1129"/>
      <c r="D1882" s="1098"/>
      <c r="E1882" s="1098"/>
      <c r="F1882" s="1099"/>
      <c r="G1882" s="1098"/>
      <c r="H1882" s="1153"/>
      <c r="I1882" s="1099"/>
    </row>
    <row r="1883" spans="2:9">
      <c r="B1883" s="1136"/>
      <c r="C1883" s="1129"/>
      <c r="D1883" s="1098"/>
      <c r="E1883" s="1098"/>
      <c r="F1883" s="1099"/>
      <c r="G1883" s="1098"/>
      <c r="H1883" s="1153"/>
      <c r="I1883" s="1099"/>
    </row>
    <row r="1884" spans="2:9">
      <c r="B1884" s="1136"/>
      <c r="C1884" s="1129"/>
      <c r="D1884" s="1098"/>
      <c r="E1884" s="1098"/>
      <c r="F1884" s="1099"/>
      <c r="G1884" s="1098"/>
      <c r="H1884" s="1153"/>
      <c r="I1884" s="1099"/>
    </row>
    <row r="1885" spans="2:9">
      <c r="B1885" s="1136"/>
      <c r="C1885" s="1129"/>
      <c r="D1885" s="1098"/>
      <c r="E1885" s="1098"/>
      <c r="F1885" s="1099"/>
      <c r="G1885" s="1098"/>
      <c r="H1885" s="1153"/>
      <c r="I1885" s="1099"/>
    </row>
    <row r="1886" spans="2:9">
      <c r="B1886" s="1136"/>
      <c r="C1886" s="1129"/>
      <c r="D1886" s="1098"/>
      <c r="E1886" s="1098"/>
      <c r="F1886" s="1099"/>
      <c r="G1886" s="1098"/>
      <c r="H1886" s="1153"/>
      <c r="I1886" s="1099"/>
    </row>
    <row r="1887" spans="2:9">
      <c r="B1887" s="1136"/>
      <c r="C1887" s="1129"/>
      <c r="D1887" s="1098"/>
      <c r="E1887" s="1098"/>
      <c r="F1887" s="1099"/>
      <c r="G1887" s="1098"/>
      <c r="H1887" s="1153"/>
      <c r="I1887" s="1099"/>
    </row>
    <row r="1888" spans="2:9">
      <c r="B1888" s="1136"/>
      <c r="C1888" s="1129"/>
      <c r="D1888" s="1098"/>
      <c r="E1888" s="1098"/>
      <c r="F1888" s="1099"/>
      <c r="G1888" s="1098"/>
      <c r="H1888" s="1153"/>
      <c r="I1888" s="1099"/>
    </row>
    <row r="1889" spans="2:9">
      <c r="B1889" s="1136"/>
      <c r="C1889" s="1129"/>
      <c r="D1889" s="1098"/>
      <c r="E1889" s="1098"/>
      <c r="F1889" s="1099"/>
      <c r="G1889" s="1098"/>
      <c r="H1889" s="1153"/>
      <c r="I1889" s="1099"/>
    </row>
    <row r="1890" spans="2:9">
      <c r="B1890" s="1136"/>
      <c r="C1890" s="1129"/>
      <c r="D1890" s="1098"/>
      <c r="E1890" s="1098"/>
      <c r="F1890" s="1099"/>
      <c r="G1890" s="1098"/>
      <c r="H1890" s="1153"/>
      <c r="I1890" s="1099"/>
    </row>
    <row r="1891" spans="2:9">
      <c r="B1891" s="1136"/>
      <c r="C1891" s="1129"/>
      <c r="D1891" s="1098"/>
      <c r="E1891" s="1098"/>
      <c r="F1891" s="1099"/>
      <c r="G1891" s="1098"/>
      <c r="H1891" s="1153"/>
      <c r="I1891" s="1099"/>
    </row>
    <row r="1892" spans="2:9">
      <c r="B1892" s="1136"/>
      <c r="C1892" s="1129"/>
      <c r="D1892" s="1098"/>
      <c r="E1892" s="1098"/>
      <c r="F1892" s="1099"/>
      <c r="G1892" s="1098"/>
      <c r="H1892" s="1153"/>
      <c r="I1892" s="1099"/>
    </row>
    <row r="1893" spans="2:9">
      <c r="B1893" s="1136"/>
      <c r="C1893" s="1129"/>
      <c r="D1893" s="1098"/>
      <c r="E1893" s="1098"/>
      <c r="F1893" s="1099"/>
      <c r="G1893" s="1098"/>
      <c r="H1893" s="1153"/>
      <c r="I1893" s="1099"/>
    </row>
    <row r="1894" spans="2:9">
      <c r="B1894" s="1136"/>
      <c r="C1894" s="1129"/>
      <c r="D1894" s="1098"/>
      <c r="E1894" s="1098"/>
      <c r="F1894" s="1099"/>
      <c r="G1894" s="1098"/>
      <c r="H1894" s="1153"/>
      <c r="I1894" s="1099"/>
    </row>
    <row r="1895" spans="2:9">
      <c r="B1895" s="1136"/>
      <c r="C1895" s="1129"/>
      <c r="D1895" s="1098"/>
      <c r="E1895" s="1098"/>
      <c r="F1895" s="1099"/>
      <c r="G1895" s="1098"/>
      <c r="H1895" s="1153"/>
      <c r="I1895" s="1099"/>
    </row>
    <row r="1896" spans="2:9">
      <c r="B1896" s="1136"/>
      <c r="C1896" s="1129"/>
      <c r="D1896" s="1098"/>
      <c r="E1896" s="1098"/>
      <c r="F1896" s="1099"/>
      <c r="G1896" s="1098"/>
      <c r="H1896" s="1153"/>
      <c r="I1896" s="1099"/>
    </row>
    <row r="1897" spans="2:9">
      <c r="B1897" s="1136"/>
      <c r="C1897" s="1129"/>
      <c r="D1897" s="1098"/>
      <c r="E1897" s="1098"/>
      <c r="F1897" s="1099"/>
      <c r="G1897" s="1098"/>
      <c r="H1897" s="1153"/>
      <c r="I1897" s="1099"/>
    </row>
    <row r="1898" spans="2:9">
      <c r="B1898" s="1136"/>
      <c r="C1898" s="1129"/>
      <c r="D1898" s="1098"/>
      <c r="E1898" s="1098"/>
      <c r="F1898" s="1099"/>
      <c r="G1898" s="1098"/>
      <c r="H1898" s="1153"/>
      <c r="I1898" s="1099"/>
    </row>
    <row r="1899" spans="2:9">
      <c r="B1899" s="1136"/>
      <c r="C1899" s="1129"/>
      <c r="D1899" s="1098"/>
      <c r="E1899" s="1098"/>
      <c r="F1899" s="1099"/>
      <c r="G1899" s="1098"/>
      <c r="H1899" s="1153"/>
      <c r="I1899" s="1099"/>
    </row>
    <row r="1900" spans="2:9">
      <c r="B1900" s="1136"/>
      <c r="C1900" s="1129"/>
      <c r="D1900" s="1098"/>
      <c r="E1900" s="1098"/>
      <c r="F1900" s="1099"/>
      <c r="G1900" s="1098"/>
      <c r="H1900" s="1153"/>
      <c r="I1900" s="1099"/>
    </row>
    <row r="1901" spans="2:9">
      <c r="B1901" s="1136"/>
      <c r="C1901" s="1129"/>
      <c r="D1901" s="1098"/>
      <c r="E1901" s="1098"/>
      <c r="F1901" s="1099"/>
      <c r="G1901" s="1098"/>
      <c r="H1901" s="1153"/>
      <c r="I1901" s="1099"/>
    </row>
    <row r="1902" spans="2:9">
      <c r="B1902" s="1136"/>
      <c r="C1902" s="1129"/>
      <c r="D1902" s="1098"/>
      <c r="E1902" s="1098"/>
      <c r="F1902" s="1099"/>
      <c r="G1902" s="1098"/>
      <c r="H1902" s="1153"/>
      <c r="I1902" s="1099"/>
    </row>
    <row r="1903" spans="2:9">
      <c r="B1903" s="1136"/>
      <c r="C1903" s="1129"/>
      <c r="D1903" s="1098"/>
      <c r="E1903" s="1098"/>
      <c r="F1903" s="1099"/>
      <c r="G1903" s="1098"/>
      <c r="H1903" s="1153"/>
      <c r="I1903" s="1099"/>
    </row>
    <row r="1904" spans="2:9">
      <c r="B1904" s="1136"/>
      <c r="C1904" s="1129"/>
      <c r="D1904" s="1098"/>
      <c r="E1904" s="1098"/>
      <c r="F1904" s="1099"/>
      <c r="G1904" s="1098"/>
      <c r="H1904" s="1153"/>
      <c r="I1904" s="1099"/>
    </row>
    <row r="1905" spans="2:9">
      <c r="B1905" s="1136"/>
      <c r="C1905" s="1129"/>
      <c r="D1905" s="1098"/>
      <c r="E1905" s="1098"/>
      <c r="F1905" s="1099"/>
      <c r="G1905" s="1098"/>
      <c r="H1905" s="1153"/>
      <c r="I1905" s="1099"/>
    </row>
    <row r="1906" spans="2:9">
      <c r="B1906" s="1136"/>
      <c r="C1906" s="1129"/>
      <c r="D1906" s="1098"/>
      <c r="E1906" s="1098"/>
      <c r="F1906" s="1099"/>
      <c r="G1906" s="1098"/>
      <c r="H1906" s="1153"/>
      <c r="I1906" s="1099"/>
    </row>
    <row r="1907" spans="2:9">
      <c r="B1907" s="1136"/>
      <c r="C1907" s="1129"/>
      <c r="D1907" s="1098"/>
      <c r="E1907" s="1098"/>
      <c r="F1907" s="1099"/>
      <c r="G1907" s="1098"/>
      <c r="H1907" s="1153"/>
      <c r="I1907" s="1099"/>
    </row>
    <row r="1908" spans="2:9">
      <c r="B1908" s="1136"/>
      <c r="C1908" s="1129"/>
      <c r="D1908" s="1098"/>
      <c r="E1908" s="1098"/>
      <c r="F1908" s="1099"/>
      <c r="G1908" s="1098"/>
      <c r="H1908" s="1153"/>
      <c r="I1908" s="1099"/>
    </row>
    <row r="1909" spans="2:9">
      <c r="B1909" s="1136"/>
      <c r="C1909" s="1129"/>
      <c r="D1909" s="1098"/>
      <c r="E1909" s="1098"/>
      <c r="F1909" s="1099"/>
      <c r="G1909" s="1098"/>
      <c r="H1909" s="1153"/>
      <c r="I1909" s="1099"/>
    </row>
    <row r="1910" spans="2:9">
      <c r="B1910" s="1136"/>
      <c r="C1910" s="1129"/>
      <c r="D1910" s="1098"/>
      <c r="E1910" s="1098"/>
      <c r="F1910" s="1099"/>
      <c r="G1910" s="1098"/>
      <c r="H1910" s="1153"/>
      <c r="I1910" s="1099"/>
    </row>
    <row r="1911" spans="2:9">
      <c r="B1911" s="1136"/>
      <c r="C1911" s="1129"/>
      <c r="D1911" s="1098"/>
      <c r="E1911" s="1098"/>
      <c r="F1911" s="1099"/>
      <c r="G1911" s="1098"/>
      <c r="H1911" s="1153"/>
      <c r="I1911" s="1099"/>
    </row>
    <row r="1912" spans="2:9">
      <c r="B1912" s="1136"/>
      <c r="C1912" s="1129"/>
      <c r="D1912" s="1098"/>
      <c r="E1912" s="1098"/>
      <c r="F1912" s="1099"/>
      <c r="G1912" s="1098"/>
      <c r="H1912" s="1153"/>
      <c r="I1912" s="1099"/>
    </row>
    <row r="1913" spans="2:9">
      <c r="B1913" s="1136"/>
      <c r="C1913" s="1129"/>
      <c r="D1913" s="1098"/>
      <c r="E1913" s="1098"/>
      <c r="F1913" s="1099"/>
      <c r="G1913" s="1098"/>
      <c r="H1913" s="1153"/>
      <c r="I1913" s="1099"/>
    </row>
    <row r="1914" spans="2:9">
      <c r="B1914" s="1136"/>
      <c r="C1914" s="1129"/>
      <c r="D1914" s="1098"/>
      <c r="E1914" s="1098"/>
      <c r="F1914" s="1099"/>
      <c r="G1914" s="1098"/>
      <c r="H1914" s="1153"/>
      <c r="I1914" s="1099"/>
    </row>
    <row r="1915" spans="2:9">
      <c r="B1915" s="1136"/>
      <c r="C1915" s="1129"/>
      <c r="D1915" s="1098"/>
      <c r="E1915" s="1098"/>
      <c r="F1915" s="1099"/>
      <c r="G1915" s="1098"/>
      <c r="H1915" s="1153"/>
      <c r="I1915" s="1099"/>
    </row>
    <row r="1916" spans="2:9">
      <c r="B1916" s="1136"/>
      <c r="C1916" s="1129"/>
      <c r="D1916" s="1098"/>
      <c r="E1916" s="1098"/>
      <c r="F1916" s="1099"/>
      <c r="G1916" s="1098"/>
      <c r="H1916" s="1153"/>
      <c r="I1916" s="1099"/>
    </row>
    <row r="1917" spans="2:9">
      <c r="B1917" s="1136"/>
      <c r="C1917" s="1129"/>
      <c r="D1917" s="1098"/>
      <c r="E1917" s="1098"/>
      <c r="F1917" s="1099"/>
      <c r="G1917" s="1098"/>
      <c r="H1917" s="1153"/>
      <c r="I1917" s="1099"/>
    </row>
    <row r="1918" spans="2:9">
      <c r="B1918" s="1136"/>
      <c r="C1918" s="1129"/>
      <c r="D1918" s="1098"/>
      <c r="E1918" s="1098"/>
      <c r="F1918" s="1099"/>
      <c r="G1918" s="1098"/>
      <c r="H1918" s="1153"/>
      <c r="I1918" s="1099"/>
    </row>
    <row r="1919" spans="2:9">
      <c r="B1919" s="1136"/>
      <c r="C1919" s="1129"/>
      <c r="D1919" s="1098"/>
      <c r="E1919" s="1098"/>
      <c r="F1919" s="1099"/>
      <c r="G1919" s="1098"/>
      <c r="H1919" s="1153"/>
      <c r="I1919" s="1099"/>
    </row>
    <row r="1920" spans="2:9">
      <c r="B1920" s="1136"/>
      <c r="C1920" s="1129"/>
      <c r="D1920" s="1098"/>
      <c r="E1920" s="1098"/>
      <c r="F1920" s="1099"/>
      <c r="G1920" s="1098"/>
      <c r="H1920" s="1153"/>
      <c r="I1920" s="1099"/>
    </row>
    <row r="1921" spans="2:9">
      <c r="B1921" s="1136"/>
      <c r="C1921" s="1129"/>
      <c r="D1921" s="1098"/>
      <c r="E1921" s="1098"/>
      <c r="F1921" s="1099"/>
      <c r="G1921" s="1098"/>
      <c r="H1921" s="1153"/>
      <c r="I1921" s="1099"/>
    </row>
    <row r="1922" spans="2:9">
      <c r="B1922" s="1136"/>
      <c r="C1922" s="1129"/>
      <c r="D1922" s="1098"/>
      <c r="E1922" s="1098"/>
      <c r="F1922" s="1099"/>
      <c r="G1922" s="1098"/>
      <c r="H1922" s="1153"/>
      <c r="I1922" s="1099"/>
    </row>
    <row r="1923" spans="2:9">
      <c r="B1923" s="1136"/>
      <c r="C1923" s="1129"/>
      <c r="D1923" s="1098"/>
      <c r="E1923" s="1098"/>
      <c r="F1923" s="1099"/>
      <c r="G1923" s="1098"/>
      <c r="H1923" s="1153"/>
      <c r="I1923" s="1099"/>
    </row>
    <row r="1924" spans="2:9">
      <c r="B1924" s="1136"/>
      <c r="C1924" s="1129"/>
      <c r="D1924" s="1098"/>
      <c r="E1924" s="1098"/>
      <c r="F1924" s="1099"/>
      <c r="G1924" s="1098"/>
      <c r="H1924" s="1153"/>
      <c r="I1924" s="1099"/>
    </row>
    <row r="1925" spans="2:9">
      <c r="B1925" s="1136"/>
      <c r="C1925" s="1129"/>
      <c r="D1925" s="1098"/>
      <c r="E1925" s="1098"/>
      <c r="F1925" s="1099"/>
      <c r="G1925" s="1098"/>
      <c r="H1925" s="1153"/>
      <c r="I1925" s="1099"/>
    </row>
    <row r="1926" spans="2:9">
      <c r="B1926" s="1136"/>
      <c r="C1926" s="1129"/>
      <c r="D1926" s="1098"/>
      <c r="E1926" s="1098"/>
      <c r="F1926" s="1099"/>
      <c r="G1926" s="1098"/>
      <c r="H1926" s="1153"/>
      <c r="I1926" s="1099"/>
    </row>
    <row r="1927" spans="2:9">
      <c r="B1927" s="1136"/>
      <c r="C1927" s="1129"/>
      <c r="D1927" s="1098"/>
      <c r="E1927" s="1098"/>
      <c r="F1927" s="1099"/>
      <c r="G1927" s="1098"/>
      <c r="H1927" s="1153"/>
      <c r="I1927" s="1099"/>
    </row>
    <row r="1928" spans="2:9">
      <c r="B1928" s="1136"/>
      <c r="C1928" s="1129"/>
      <c r="D1928" s="1098"/>
      <c r="E1928" s="1098"/>
      <c r="F1928" s="1099"/>
      <c r="G1928" s="1098"/>
      <c r="H1928" s="1153"/>
      <c r="I1928" s="1099"/>
    </row>
    <row r="1929" spans="2:9">
      <c r="B1929" s="1136"/>
      <c r="C1929" s="1129"/>
      <c r="D1929" s="1098"/>
      <c r="E1929" s="1098"/>
      <c r="F1929" s="1099"/>
      <c r="G1929" s="1098"/>
      <c r="H1929" s="1153"/>
      <c r="I1929" s="1099"/>
    </row>
    <row r="1930" spans="2:9">
      <c r="B1930" s="1136"/>
      <c r="C1930" s="1129"/>
      <c r="D1930" s="1098"/>
      <c r="E1930" s="1098"/>
      <c r="F1930" s="1099"/>
      <c r="G1930" s="1098"/>
      <c r="H1930" s="1153"/>
      <c r="I1930" s="1099"/>
    </row>
    <row r="1931" spans="2:9">
      <c r="B1931" s="1136"/>
      <c r="C1931" s="1129"/>
      <c r="D1931" s="1098"/>
      <c r="E1931" s="1098"/>
      <c r="F1931" s="1099"/>
      <c r="G1931" s="1098"/>
      <c r="H1931" s="1153"/>
      <c r="I1931" s="1099"/>
    </row>
    <row r="1932" spans="2:9">
      <c r="B1932" s="1136"/>
      <c r="C1932" s="1129"/>
      <c r="D1932" s="1098"/>
      <c r="E1932" s="1098"/>
      <c r="F1932" s="1099"/>
      <c r="G1932" s="1098"/>
      <c r="H1932" s="1153"/>
      <c r="I1932" s="1099"/>
    </row>
    <row r="1933" spans="2:9">
      <c r="B1933" s="1136"/>
      <c r="C1933" s="1129"/>
      <c r="D1933" s="1098"/>
      <c r="E1933" s="1098"/>
      <c r="F1933" s="1099"/>
      <c r="G1933" s="1098"/>
      <c r="H1933" s="1153"/>
      <c r="I1933" s="1099"/>
    </row>
    <row r="1934" spans="2:9">
      <c r="B1934" s="1136"/>
      <c r="C1934" s="1129"/>
      <c r="D1934" s="1098"/>
      <c r="E1934" s="1098"/>
      <c r="F1934" s="1099"/>
      <c r="G1934" s="1098"/>
      <c r="H1934" s="1153"/>
      <c r="I1934" s="1099"/>
    </row>
    <row r="1935" spans="2:9">
      <c r="B1935" s="1136"/>
      <c r="C1935" s="1129"/>
      <c r="D1935" s="1098"/>
      <c r="E1935" s="1098"/>
      <c r="F1935" s="1099"/>
      <c r="G1935" s="1098"/>
      <c r="H1935" s="1153"/>
      <c r="I1935" s="1099"/>
    </row>
    <row r="1936" spans="2:9">
      <c r="B1936" s="1136"/>
      <c r="C1936" s="1129"/>
      <c r="D1936" s="1098"/>
      <c r="E1936" s="1098"/>
      <c r="F1936" s="1099"/>
      <c r="G1936" s="1098"/>
      <c r="H1936" s="1153"/>
      <c r="I1936" s="1099"/>
    </row>
    <row r="1937" spans="2:9">
      <c r="B1937" s="1136"/>
      <c r="C1937" s="1129"/>
      <c r="D1937" s="1098"/>
      <c r="E1937" s="1098"/>
      <c r="F1937" s="1099"/>
      <c r="G1937" s="1098"/>
      <c r="H1937" s="1153"/>
      <c r="I1937" s="1099"/>
    </row>
    <row r="1938" spans="2:9">
      <c r="B1938" s="1136"/>
      <c r="C1938" s="1129"/>
      <c r="D1938" s="1098"/>
      <c r="E1938" s="1098"/>
      <c r="F1938" s="1099"/>
      <c r="G1938" s="1098"/>
      <c r="H1938" s="1153"/>
      <c r="I1938" s="1099"/>
    </row>
    <row r="1939" spans="2:9">
      <c r="B1939" s="1136"/>
      <c r="C1939" s="1129"/>
      <c r="D1939" s="1098"/>
      <c r="E1939" s="1098"/>
      <c r="F1939" s="1099"/>
      <c r="G1939" s="1098"/>
      <c r="H1939" s="1153"/>
      <c r="I1939" s="1099"/>
    </row>
    <row r="1940" spans="2:9">
      <c r="B1940" s="1136"/>
      <c r="C1940" s="1129"/>
      <c r="D1940" s="1098"/>
      <c r="E1940" s="1098"/>
      <c r="F1940" s="1099"/>
      <c r="G1940" s="1098"/>
      <c r="H1940" s="1153"/>
      <c r="I1940" s="1099"/>
    </row>
    <row r="1941" spans="2:9">
      <c r="B1941" s="1136"/>
      <c r="C1941" s="1129"/>
      <c r="D1941" s="1098"/>
      <c r="E1941" s="1098"/>
      <c r="F1941" s="1099"/>
      <c r="G1941" s="1098"/>
      <c r="H1941" s="1153"/>
      <c r="I1941" s="1099"/>
    </row>
    <row r="1942" spans="2:9">
      <c r="B1942" s="1136"/>
      <c r="C1942" s="1129"/>
      <c r="D1942" s="1098"/>
      <c r="E1942" s="1098"/>
      <c r="F1942" s="1099"/>
      <c r="G1942" s="1098"/>
      <c r="H1942" s="1153"/>
      <c r="I1942" s="1099"/>
    </row>
    <row r="1943" spans="2:9">
      <c r="B1943" s="1136"/>
      <c r="C1943" s="1129"/>
      <c r="D1943" s="1098"/>
      <c r="E1943" s="1098"/>
      <c r="F1943" s="1099"/>
      <c r="G1943" s="1098"/>
      <c r="H1943" s="1153"/>
      <c r="I1943" s="1099"/>
    </row>
    <row r="1944" spans="2:9">
      <c r="B1944" s="1136"/>
      <c r="C1944" s="1129"/>
      <c r="D1944" s="1098"/>
      <c r="E1944" s="1098"/>
      <c r="F1944" s="1099"/>
      <c r="G1944" s="1098"/>
      <c r="H1944" s="1153"/>
      <c r="I1944" s="1099"/>
    </row>
    <row r="1945" spans="2:9">
      <c r="B1945" s="1136"/>
      <c r="C1945" s="1129"/>
      <c r="D1945" s="1098"/>
      <c r="E1945" s="1098"/>
      <c r="F1945" s="1099"/>
      <c r="G1945" s="1098"/>
      <c r="H1945" s="1153"/>
      <c r="I1945" s="1099"/>
    </row>
    <row r="1946" spans="2:9">
      <c r="B1946" s="1136"/>
      <c r="C1946" s="1129"/>
      <c r="D1946" s="1098"/>
      <c r="E1946" s="1098"/>
      <c r="F1946" s="1099"/>
      <c r="G1946" s="1098"/>
      <c r="H1946" s="1153"/>
      <c r="I1946" s="1099"/>
    </row>
    <row r="1947" spans="2:9">
      <c r="B1947" s="1136"/>
      <c r="C1947" s="1129"/>
      <c r="D1947" s="1098"/>
      <c r="E1947" s="1098"/>
      <c r="F1947" s="1099"/>
      <c r="G1947" s="1098"/>
      <c r="H1947" s="1153"/>
      <c r="I1947" s="1099"/>
    </row>
    <row r="1948" spans="2:9">
      <c r="B1948" s="1136"/>
      <c r="C1948" s="1129"/>
      <c r="D1948" s="1098"/>
      <c r="E1948" s="1098"/>
      <c r="F1948" s="1099"/>
      <c r="G1948" s="1098"/>
      <c r="H1948" s="1153"/>
      <c r="I1948" s="1099"/>
    </row>
    <row r="1949" spans="2:9">
      <c r="B1949" s="1136"/>
      <c r="C1949" s="1129"/>
      <c r="D1949" s="1098"/>
      <c r="E1949" s="1098"/>
      <c r="F1949" s="1099"/>
      <c r="G1949" s="1098"/>
      <c r="H1949" s="1153"/>
      <c r="I1949" s="1099"/>
    </row>
    <row r="1950" spans="2:9">
      <c r="B1950" s="1136"/>
      <c r="C1950" s="1129"/>
      <c r="D1950" s="1098"/>
      <c r="E1950" s="1098"/>
      <c r="F1950" s="1099"/>
      <c r="G1950" s="1098"/>
      <c r="H1950" s="1153"/>
      <c r="I1950" s="1099"/>
    </row>
    <row r="1951" spans="2:9">
      <c r="B1951" s="1136"/>
      <c r="C1951" s="1129"/>
      <c r="D1951" s="1098"/>
      <c r="E1951" s="1098"/>
      <c r="F1951" s="1099"/>
      <c r="G1951" s="1098"/>
      <c r="H1951" s="1153"/>
      <c r="I1951" s="1099"/>
    </row>
    <row r="1952" spans="2:9">
      <c r="B1952" s="1136"/>
      <c r="C1952" s="1129"/>
      <c r="D1952" s="1098"/>
      <c r="E1952" s="1098"/>
      <c r="F1952" s="1099"/>
      <c r="G1952" s="1098"/>
      <c r="H1952" s="1153"/>
      <c r="I1952" s="1099"/>
    </row>
    <row r="1953" spans="2:9">
      <c r="B1953" s="1136"/>
      <c r="C1953" s="1129"/>
      <c r="D1953" s="1098"/>
      <c r="E1953" s="1098"/>
      <c r="F1953" s="1099"/>
      <c r="G1953" s="1098"/>
      <c r="H1953" s="1153"/>
      <c r="I1953" s="1099"/>
    </row>
    <row r="1954" spans="2:9">
      <c r="B1954" s="1136"/>
      <c r="C1954" s="1129"/>
      <c r="D1954" s="1098"/>
      <c r="E1954" s="1098"/>
      <c r="F1954" s="1099"/>
      <c r="G1954" s="1098"/>
      <c r="H1954" s="1153"/>
      <c r="I1954" s="1099"/>
    </row>
    <row r="1955" spans="2:9">
      <c r="B1955" s="1136"/>
      <c r="C1955" s="1129"/>
      <c r="D1955" s="1098"/>
      <c r="E1955" s="1098"/>
      <c r="F1955" s="1099"/>
      <c r="G1955" s="1098"/>
      <c r="H1955" s="1153"/>
      <c r="I1955" s="1099"/>
    </row>
    <row r="1956" spans="2:9">
      <c r="B1956" s="1136"/>
      <c r="C1956" s="1129"/>
      <c r="D1956" s="1098"/>
      <c r="E1956" s="1098"/>
      <c r="F1956" s="1099"/>
      <c r="G1956" s="1098"/>
      <c r="H1956" s="1153"/>
      <c r="I1956" s="1099"/>
    </row>
    <row r="1957" spans="2:9">
      <c r="B1957" s="1136"/>
      <c r="C1957" s="1129"/>
      <c r="D1957" s="1098"/>
      <c r="E1957" s="1098"/>
      <c r="F1957" s="1099"/>
      <c r="G1957" s="1098"/>
      <c r="H1957" s="1153"/>
      <c r="I1957" s="1099"/>
    </row>
    <row r="1958" spans="2:9">
      <c r="B1958" s="1136"/>
      <c r="C1958" s="1129"/>
      <c r="D1958" s="1098"/>
      <c r="E1958" s="1098"/>
      <c r="F1958" s="1099"/>
      <c r="G1958" s="1098"/>
      <c r="H1958" s="1153"/>
      <c r="I1958" s="1099"/>
    </row>
    <row r="1959" spans="2:9">
      <c r="B1959" s="1136"/>
      <c r="C1959" s="1129"/>
      <c r="D1959" s="1098"/>
      <c r="E1959" s="1098"/>
      <c r="F1959" s="1099"/>
      <c r="G1959" s="1098"/>
      <c r="H1959" s="1153"/>
      <c r="I1959" s="1099"/>
    </row>
    <row r="1960" spans="2:9">
      <c r="B1960" s="1136"/>
      <c r="C1960" s="1129"/>
      <c r="D1960" s="1098"/>
      <c r="E1960" s="1098"/>
      <c r="F1960" s="1099"/>
      <c r="G1960" s="1098"/>
      <c r="H1960" s="1153"/>
      <c r="I1960" s="1099"/>
    </row>
    <row r="1961" spans="2:9">
      <c r="B1961" s="1136"/>
      <c r="C1961" s="1129"/>
      <c r="D1961" s="1098"/>
      <c r="E1961" s="1098"/>
      <c r="F1961" s="1099"/>
      <c r="G1961" s="1098"/>
      <c r="H1961" s="1153"/>
      <c r="I1961" s="1099"/>
    </row>
    <row r="1962" spans="2:9">
      <c r="B1962" s="1136"/>
      <c r="C1962" s="1129"/>
      <c r="D1962" s="1098"/>
      <c r="E1962" s="1098"/>
      <c r="F1962" s="1099"/>
      <c r="G1962" s="1098"/>
      <c r="H1962" s="1153"/>
      <c r="I1962" s="1099"/>
    </row>
    <row r="1963" spans="2:9">
      <c r="B1963" s="1136"/>
      <c r="C1963" s="1129"/>
      <c r="D1963" s="1098"/>
      <c r="E1963" s="1098"/>
      <c r="F1963" s="1099"/>
      <c r="G1963" s="1098"/>
      <c r="H1963" s="1153"/>
      <c r="I1963" s="1099"/>
    </row>
    <row r="1964" spans="2:9">
      <c r="B1964" s="1136"/>
      <c r="C1964" s="1129"/>
      <c r="D1964" s="1098"/>
      <c r="E1964" s="1098"/>
      <c r="F1964" s="1099"/>
      <c r="G1964" s="1098"/>
      <c r="H1964" s="1153"/>
      <c r="I1964" s="1099"/>
    </row>
    <row r="1965" spans="2:9">
      <c r="B1965" s="1136"/>
      <c r="C1965" s="1129"/>
      <c r="D1965" s="1098"/>
      <c r="E1965" s="1098"/>
      <c r="F1965" s="1099"/>
      <c r="G1965" s="1098"/>
      <c r="H1965" s="1153"/>
      <c r="I1965" s="1099"/>
    </row>
    <row r="1966" spans="2:9">
      <c r="B1966" s="1136"/>
      <c r="C1966" s="1129"/>
      <c r="D1966" s="1098"/>
      <c r="E1966" s="1098"/>
      <c r="F1966" s="1099"/>
      <c r="G1966" s="1098"/>
      <c r="H1966" s="1153"/>
      <c r="I1966" s="1099"/>
    </row>
    <row r="1967" spans="2:9">
      <c r="B1967" s="1136"/>
      <c r="C1967" s="1129"/>
      <c r="D1967" s="1098"/>
      <c r="E1967" s="1098"/>
      <c r="F1967" s="1099"/>
      <c r="G1967" s="1098"/>
      <c r="H1967" s="1153"/>
      <c r="I1967" s="1099"/>
    </row>
    <row r="1968" spans="2:9">
      <c r="B1968" s="1136"/>
      <c r="C1968" s="1129"/>
      <c r="D1968" s="1098"/>
      <c r="E1968" s="1098"/>
      <c r="F1968" s="1099"/>
      <c r="G1968" s="1098"/>
      <c r="H1968" s="1153"/>
      <c r="I1968" s="1099"/>
    </row>
    <row r="1969" spans="2:9">
      <c r="B1969" s="1136"/>
      <c r="C1969" s="1129"/>
      <c r="D1969" s="1098"/>
      <c r="E1969" s="1098"/>
      <c r="F1969" s="1099"/>
      <c r="G1969" s="1098"/>
      <c r="H1969" s="1153"/>
      <c r="I1969" s="1099"/>
    </row>
    <row r="1970" spans="2:9">
      <c r="B1970" s="1136"/>
      <c r="C1970" s="1129"/>
      <c r="D1970" s="1098"/>
      <c r="E1970" s="1098"/>
      <c r="F1970" s="1099"/>
      <c r="G1970" s="1098"/>
      <c r="H1970" s="1153"/>
      <c r="I1970" s="1099"/>
    </row>
    <row r="1971" spans="2:9">
      <c r="B1971" s="1136"/>
      <c r="C1971" s="1129"/>
      <c r="D1971" s="1098"/>
      <c r="E1971" s="1098"/>
      <c r="F1971" s="1099"/>
      <c r="G1971" s="1098"/>
      <c r="H1971" s="1153"/>
      <c r="I1971" s="1099"/>
    </row>
    <row r="1972" spans="2:9">
      <c r="B1972" s="1136"/>
      <c r="C1972" s="1129"/>
      <c r="D1972" s="1098"/>
      <c r="E1972" s="1098"/>
      <c r="F1972" s="1099"/>
      <c r="G1972" s="1098"/>
      <c r="H1972" s="1153"/>
      <c r="I1972" s="1099"/>
    </row>
    <row r="1973" spans="2:9">
      <c r="B1973" s="1136"/>
      <c r="C1973" s="1129"/>
      <c r="D1973" s="1098"/>
      <c r="E1973" s="1098"/>
      <c r="F1973" s="1099"/>
      <c r="G1973" s="1098"/>
      <c r="H1973" s="1153"/>
      <c r="I1973" s="1099"/>
    </row>
    <row r="1974" spans="2:9">
      <c r="B1974" s="1136"/>
      <c r="C1974" s="1129"/>
      <c r="D1974" s="1098"/>
      <c r="E1974" s="1098"/>
      <c r="F1974" s="1099"/>
      <c r="G1974" s="1098"/>
      <c r="H1974" s="1153"/>
      <c r="I1974" s="1099"/>
    </row>
    <row r="1975" spans="2:9">
      <c r="B1975" s="1136"/>
      <c r="C1975" s="1129"/>
      <c r="D1975" s="1098"/>
      <c r="E1975" s="1098"/>
      <c r="F1975" s="1099"/>
      <c r="G1975" s="1098"/>
      <c r="H1975" s="1153"/>
      <c r="I1975" s="1099"/>
    </row>
    <row r="1976" spans="2:9">
      <c r="B1976" s="1136"/>
      <c r="C1976" s="1129"/>
      <c r="D1976" s="1098"/>
      <c r="E1976" s="1098"/>
      <c r="F1976" s="1099"/>
      <c r="G1976" s="1098"/>
      <c r="H1976" s="1153"/>
      <c r="I1976" s="1099"/>
    </row>
    <row r="1977" spans="2:9">
      <c r="B1977" s="1136"/>
      <c r="C1977" s="1129"/>
      <c r="D1977" s="1098"/>
      <c r="E1977" s="1098"/>
      <c r="F1977" s="1099"/>
      <c r="G1977" s="1098"/>
      <c r="H1977" s="1153"/>
      <c r="I1977" s="1099"/>
    </row>
    <row r="1978" spans="2:9">
      <c r="B1978" s="1136"/>
      <c r="C1978" s="1129"/>
      <c r="D1978" s="1098"/>
      <c r="E1978" s="1098"/>
      <c r="F1978" s="1099"/>
      <c r="G1978" s="1098"/>
      <c r="H1978" s="1153"/>
      <c r="I1978" s="1099"/>
    </row>
    <row r="1979" spans="2:9">
      <c r="B1979" s="1136"/>
      <c r="C1979" s="1129"/>
      <c r="D1979" s="1098"/>
      <c r="E1979" s="1098"/>
      <c r="F1979" s="1099"/>
      <c r="G1979" s="1098"/>
      <c r="H1979" s="1153"/>
      <c r="I1979" s="1099"/>
    </row>
    <row r="1980" spans="2:9">
      <c r="B1980" s="1136"/>
      <c r="C1980" s="1129"/>
      <c r="D1980" s="1098"/>
      <c r="E1980" s="1098"/>
      <c r="F1980" s="1099"/>
      <c r="G1980" s="1098"/>
      <c r="H1980" s="1153"/>
      <c r="I1980" s="1099"/>
    </row>
    <row r="1981" spans="2:9">
      <c r="B1981" s="1136"/>
      <c r="C1981" s="1129"/>
      <c r="D1981" s="1098"/>
      <c r="E1981" s="1098"/>
      <c r="F1981" s="1099"/>
      <c r="G1981" s="1098"/>
      <c r="H1981" s="1153"/>
      <c r="I1981" s="1099"/>
    </row>
    <row r="1982" spans="2:9">
      <c r="B1982" s="1136"/>
      <c r="C1982" s="1129"/>
      <c r="D1982" s="1098"/>
      <c r="E1982" s="1098"/>
      <c r="F1982" s="1099"/>
      <c r="G1982" s="1098"/>
      <c r="H1982" s="1153"/>
      <c r="I1982" s="1099"/>
    </row>
    <row r="1983" spans="2:9">
      <c r="B1983" s="1136"/>
      <c r="C1983" s="1129"/>
      <c r="D1983" s="1098"/>
      <c r="E1983" s="1098"/>
      <c r="F1983" s="1099"/>
      <c r="G1983" s="1098"/>
      <c r="H1983" s="1153"/>
      <c r="I1983" s="1099"/>
    </row>
    <row r="1984" spans="2:9">
      <c r="B1984" s="1136"/>
      <c r="C1984" s="1129"/>
      <c r="D1984" s="1098"/>
      <c r="E1984" s="1098"/>
      <c r="F1984" s="1099"/>
      <c r="G1984" s="1098"/>
      <c r="H1984" s="1153"/>
      <c r="I1984" s="1099"/>
    </row>
    <row r="1985" spans="2:9">
      <c r="B1985" s="1136"/>
      <c r="C1985" s="1129"/>
      <c r="D1985" s="1098"/>
      <c r="E1985" s="1098"/>
      <c r="F1985" s="1099"/>
      <c r="G1985" s="1098"/>
      <c r="H1985" s="1153"/>
      <c r="I1985" s="1099"/>
    </row>
    <row r="1986" spans="2:9">
      <c r="B1986" s="1136"/>
      <c r="C1986" s="1129"/>
      <c r="D1986" s="1098"/>
      <c r="E1986" s="1098"/>
      <c r="F1986" s="1099"/>
      <c r="G1986" s="1098"/>
      <c r="H1986" s="1153"/>
      <c r="I1986" s="1099"/>
    </row>
    <row r="1987" spans="2:9">
      <c r="B1987" s="1136"/>
      <c r="C1987" s="1129"/>
      <c r="D1987" s="1098"/>
      <c r="E1987" s="1098"/>
      <c r="F1987" s="1099"/>
      <c r="G1987" s="1098"/>
      <c r="H1987" s="1153"/>
      <c r="I1987" s="1099"/>
    </row>
    <row r="1988" spans="2:9">
      <c r="B1988" s="1136"/>
      <c r="C1988" s="1129"/>
      <c r="D1988" s="1098"/>
      <c r="E1988" s="1098"/>
      <c r="F1988" s="1099"/>
      <c r="G1988" s="1098"/>
      <c r="H1988" s="1153"/>
      <c r="I1988" s="1099"/>
    </row>
    <row r="1989" spans="2:9">
      <c r="B1989" s="1136"/>
      <c r="C1989" s="1129"/>
      <c r="D1989" s="1098"/>
      <c r="E1989" s="1098"/>
      <c r="F1989" s="1099"/>
      <c r="G1989" s="1098"/>
      <c r="H1989" s="1153"/>
      <c r="I1989" s="1099"/>
    </row>
    <row r="1990" spans="2:9">
      <c r="B1990" s="1136"/>
      <c r="C1990" s="1129"/>
      <c r="D1990" s="1098"/>
      <c r="E1990" s="1098"/>
      <c r="F1990" s="1099"/>
      <c r="G1990" s="1098"/>
      <c r="H1990" s="1153"/>
      <c r="I1990" s="1099"/>
    </row>
    <row r="1991" spans="2:9">
      <c r="B1991" s="1136"/>
      <c r="C1991" s="1129"/>
      <c r="D1991" s="1098"/>
      <c r="E1991" s="1098"/>
      <c r="F1991" s="1099"/>
      <c r="G1991" s="1098"/>
      <c r="H1991" s="1153"/>
      <c r="I1991" s="1099"/>
    </row>
    <row r="1992" spans="2:9">
      <c r="B1992" s="1136"/>
      <c r="C1992" s="1129"/>
      <c r="D1992" s="1098"/>
      <c r="E1992" s="1098"/>
      <c r="F1992" s="1099"/>
      <c r="G1992" s="1098"/>
      <c r="H1992" s="1153"/>
      <c r="I1992" s="1099"/>
    </row>
    <row r="1993" spans="2:9">
      <c r="B1993" s="1136"/>
      <c r="C1993" s="1129"/>
      <c r="D1993" s="1098"/>
      <c r="E1993" s="1098"/>
      <c r="F1993" s="1099"/>
      <c r="G1993" s="1098"/>
      <c r="H1993" s="1153"/>
      <c r="I1993" s="1099"/>
    </row>
    <row r="1994" spans="2:9">
      <c r="B1994" s="1136"/>
      <c r="C1994" s="1129"/>
      <c r="D1994" s="1098"/>
      <c r="E1994" s="1098"/>
      <c r="F1994" s="1099"/>
      <c r="G1994" s="1098"/>
      <c r="H1994" s="1153"/>
      <c r="I1994" s="1099"/>
    </row>
    <row r="1995" spans="2:9">
      <c r="B1995" s="1136"/>
      <c r="C1995" s="1129"/>
      <c r="D1995" s="1098"/>
      <c r="E1995" s="1098"/>
      <c r="F1995" s="1099"/>
      <c r="G1995" s="1098"/>
      <c r="H1995" s="1153"/>
      <c r="I1995" s="1099"/>
    </row>
    <row r="1996" spans="2:9">
      <c r="B1996" s="1136"/>
      <c r="C1996" s="1129"/>
      <c r="D1996" s="1098"/>
      <c r="E1996" s="1098"/>
      <c r="F1996" s="1099"/>
      <c r="G1996" s="1098"/>
      <c r="H1996" s="1153"/>
      <c r="I1996" s="1099"/>
    </row>
    <row r="1997" spans="2:9">
      <c r="B1997" s="1136"/>
      <c r="C1997" s="1129"/>
      <c r="D1997" s="1098"/>
      <c r="E1997" s="1098"/>
      <c r="F1997" s="1099"/>
      <c r="G1997" s="1098"/>
      <c r="H1997" s="1153"/>
      <c r="I1997" s="1099"/>
    </row>
    <row r="1998" spans="2:9">
      <c r="B1998" s="1136"/>
      <c r="C1998" s="1129"/>
      <c r="D1998" s="1098"/>
      <c r="E1998" s="1098"/>
      <c r="F1998" s="1099"/>
      <c r="G1998" s="1098"/>
      <c r="H1998" s="1153"/>
      <c r="I1998" s="1099"/>
    </row>
    <row r="1999" spans="2:9">
      <c r="B1999" s="1136"/>
      <c r="C1999" s="1129"/>
      <c r="D1999" s="1098"/>
      <c r="E1999" s="1098"/>
      <c r="F1999" s="1099"/>
      <c r="G1999" s="1098"/>
      <c r="H1999" s="1153"/>
      <c r="I1999" s="1099"/>
    </row>
    <row r="2000" spans="2:9">
      <c r="B2000" s="1136"/>
      <c r="C2000" s="1129"/>
      <c r="D2000" s="1098"/>
      <c r="E2000" s="1098"/>
      <c r="F2000" s="1099"/>
      <c r="G2000" s="1098"/>
      <c r="H2000" s="1153"/>
      <c r="I2000" s="1099"/>
    </row>
  </sheetData>
  <mergeCells count="9">
    <mergeCell ref="B8:C8"/>
    <mergeCell ref="D8:E8"/>
    <mergeCell ref="C4:D4"/>
    <mergeCell ref="B1:I1"/>
    <mergeCell ref="B5:E5"/>
    <mergeCell ref="B6:C6"/>
    <mergeCell ref="D6:E6"/>
    <mergeCell ref="B7:C7"/>
    <mergeCell ref="D7:E7"/>
  </mergeCells>
  <dataValidations count="5">
    <dataValidation type="custom" errorStyle="warning" allowBlank="1" showInputMessage="1" showErrorMessage="1" errorTitle="Fecha" error="Escriba una fecha real (dd/mm/aaaa), no futura." sqref="C13:C2000" xr:uid="{43A23D30-A7DF-451C-9118-FD747D46587E}">
      <formula1>AND(ISNUMBER(C13),C13&gt;=DATE(2020,1,1),C13&lt;=TODAY())</formula1>
    </dataValidation>
    <dataValidation type="list" allowBlank="1" showInputMessage="1" showErrorMessage="1" errorTitle="Turno" error="Elija A, B o C." sqref="D13:D2000" xr:uid="{60653C0D-E77B-45C3-BE13-28B5A8E85275}">
      <formula1>L_GUARDIA</formula1>
    </dataValidation>
    <dataValidation type="list" errorStyle="warning" allowBlank="1" showInputMessage="1" showErrorMessage="1" errorTitle="Equipo" error="El equipo no está en Maestro Equipos. ¿Usarlo de todos modos?" sqref="E13:E2000" xr:uid="{26B94031-8A3F-420E-A71C-4ED8D5ABE269}">
      <formula1>L_EQUIPOS</formula1>
    </dataValidation>
    <dataValidation type="list" allowBlank="1" showInputMessage="1" showErrorMessage="1" errorTitle="Tipo de mantenimiento" error="Elija Preventivo, Correctivo, Predictivo o Mejora." sqref="G13:G2000" xr:uid="{00F2D308-580E-458B-A20C-B6C29AED03F0}">
      <formula1>"Preventivo,Correctivo,Predictivo,Mejora"</formula1>
    </dataValidation>
    <dataValidation type="decimal" allowBlank="1" showInputMessage="1" showErrorMessage="1" errorTitle="Horas equipo" error="Escriba las horas del equipo (número mayor o igual a 0)." sqref="H13:H2000" xr:uid="{AEC95724-48E5-4423-99DB-4DBCD4EF151C}">
      <formula1>0</formula1>
      <formula2>200000</formula2>
    </dataValidation>
  </dataValidations>
  <printOptions horizontalCentered="1"/>
  <pageMargins left="0.5" right="0.5" top="0.61111111111111116" bottom="0.61111111111111116" header="0.3" footer="0.3"/>
  <pageSetup paperSize="0" scale="0" fitToHeight="0" orientation="portrait" horizontalDpi="0" verticalDpi="0" copies="0"/>
  <headerFooter>
    <oddHeader>&amp;Z&amp;R</oddHeader>
    <oddFooter>&amp;CShougang Hierro Perú S.A.A. — Beneficio ZA — Mantto Bombas — Página &amp;P de &amp;F</oddFooter>
  </headerFooter>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31291-2477-4AC4-875F-4A289507FA0F}">
  <sheetPr codeName="Hoja45">
    <tabColor rgb="FF548235"/>
    <pageSetUpPr fitToPage="1"/>
  </sheetPr>
  <dimension ref="B1:O21"/>
  <sheetViews>
    <sheetView workbookViewId="0">
      <selection activeCell="K30" sqref="K30"/>
    </sheetView>
  </sheetViews>
  <sheetFormatPr baseColWidth="10" defaultColWidth="9.140625" defaultRowHeight="15"/>
  <cols>
    <col min="2" max="2" width="14.85546875" style="56" customWidth="1"/>
    <col min="3" max="3" width="10.28515625" customWidth="1"/>
    <col min="4" max="4" width="14.42578125" customWidth="1"/>
    <col min="5" max="5" width="16.28515625" customWidth="1"/>
    <col min="6" max="6" width="18" customWidth="1"/>
    <col min="7" max="7" width="14.5703125" customWidth="1"/>
    <col min="8" max="8" width="28.42578125" customWidth="1"/>
    <col min="9" max="9" width="23.7109375" customWidth="1"/>
    <col min="10" max="10" width="16.42578125" customWidth="1"/>
    <col min="11" max="11" width="18.140625" customWidth="1"/>
    <col min="12" max="12" width="15.5703125" customWidth="1"/>
    <col min="13" max="13" width="28.5703125" customWidth="1"/>
    <col min="14" max="14" width="23.85546875" customWidth="1"/>
    <col min="15" max="15" width="34" customWidth="1"/>
  </cols>
  <sheetData>
    <row r="1" spans="2:15" ht="28.5" customHeight="1">
      <c r="B1" s="1328" t="s">
        <v>454</v>
      </c>
      <c r="C1" s="1328"/>
      <c r="D1" s="1328"/>
      <c r="E1" s="1328"/>
      <c r="F1" s="1328"/>
      <c r="G1" s="1328"/>
      <c r="H1" s="1328"/>
      <c r="I1" s="1328"/>
      <c r="J1" s="1328"/>
      <c r="K1" s="1328"/>
      <c r="L1" s="1328"/>
      <c r="M1" s="1328"/>
      <c r="N1" s="1328"/>
      <c r="O1" s="1328"/>
    </row>
    <row r="2" spans="2:15" ht="4.5" customHeight="1">
      <c r="B2" s="211" t="s">
        <v>36</v>
      </c>
      <c r="C2" s="210" t="s">
        <v>36</v>
      </c>
      <c r="D2" s="210" t="s">
        <v>36</v>
      </c>
      <c r="E2" s="210" t="s">
        <v>36</v>
      </c>
      <c r="F2" s="210" t="s">
        <v>36</v>
      </c>
      <c r="G2" s="210" t="s">
        <v>36</v>
      </c>
      <c r="H2" s="210" t="s">
        <v>36</v>
      </c>
      <c r="I2" s="210" t="s">
        <v>36</v>
      </c>
      <c r="J2" s="210" t="s">
        <v>36</v>
      </c>
      <c r="K2" s="210" t="s">
        <v>36</v>
      </c>
      <c r="L2" s="210" t="s">
        <v>36</v>
      </c>
      <c r="M2" s="210" t="s">
        <v>36</v>
      </c>
      <c r="N2" s="210" t="s">
        <v>36</v>
      </c>
      <c r="O2" s="210" t="s">
        <v>36</v>
      </c>
    </row>
    <row r="3" spans="2:15" ht="38.25" customHeight="1">
      <c r="B3" s="998" t="s">
        <v>322</v>
      </c>
      <c r="C3" s="999" t="s">
        <v>455</v>
      </c>
      <c r="D3" s="1000" t="s">
        <v>456</v>
      </c>
      <c r="E3" s="1000" t="s">
        <v>457</v>
      </c>
      <c r="F3" s="1000" t="s">
        <v>458</v>
      </c>
      <c r="G3" s="1000" t="s">
        <v>459</v>
      </c>
      <c r="H3" s="1001" t="s">
        <v>460</v>
      </c>
      <c r="I3" s="1001" t="s">
        <v>461</v>
      </c>
      <c r="J3" s="1000" t="s">
        <v>462</v>
      </c>
      <c r="K3" s="1000" t="s">
        <v>463</v>
      </c>
      <c r="L3" s="1000" t="s">
        <v>464</v>
      </c>
      <c r="M3" s="1002" t="s">
        <v>465</v>
      </c>
      <c r="N3" s="1002" t="s">
        <v>466</v>
      </c>
      <c r="O3" s="999" t="s">
        <v>467</v>
      </c>
    </row>
    <row r="4" spans="2:15" ht="20.25" customHeight="1">
      <c r="B4" s="996">
        <v>46140</v>
      </c>
      <c r="C4" s="295" t="s">
        <v>468</v>
      </c>
      <c r="D4" s="295" t="s">
        <v>469</v>
      </c>
      <c r="E4" s="296">
        <v>28522</v>
      </c>
      <c r="F4" s="296">
        <v>28553</v>
      </c>
      <c r="G4" s="296">
        <f t="shared" ref="G4:G11" si="0">F4-E4</f>
        <v>31</v>
      </c>
      <c r="H4" s="213">
        <v>0.08</v>
      </c>
      <c r="I4" s="213">
        <v>0.02</v>
      </c>
      <c r="J4" s="295">
        <v>1542890</v>
      </c>
      <c r="K4" s="295">
        <v>1540453</v>
      </c>
      <c r="L4" s="295">
        <f t="shared" ref="L4:L11" si="1">K4-J4</f>
        <v>-2437</v>
      </c>
      <c r="M4" s="213">
        <v>0.16</v>
      </c>
      <c r="N4" s="213">
        <v>0.01</v>
      </c>
      <c r="O4" s="297" t="s">
        <v>470</v>
      </c>
    </row>
    <row r="5" spans="2:15" ht="20.25" customHeight="1">
      <c r="B5" s="997">
        <v>46140</v>
      </c>
      <c r="C5" s="298" t="s">
        <v>471</v>
      </c>
      <c r="D5" s="298" t="s">
        <v>472</v>
      </c>
      <c r="E5" s="299">
        <v>28223</v>
      </c>
      <c r="F5" s="299">
        <v>28260</v>
      </c>
      <c r="G5" s="299">
        <f t="shared" si="0"/>
        <v>37</v>
      </c>
      <c r="H5" s="214">
        <v>0.09</v>
      </c>
      <c r="I5" s="214">
        <v>0.01</v>
      </c>
      <c r="J5" s="298">
        <v>1512326</v>
      </c>
      <c r="K5" s="298">
        <v>1496894</v>
      </c>
      <c r="L5" s="298">
        <f t="shared" si="1"/>
        <v>-15432</v>
      </c>
      <c r="M5" s="214">
        <v>1.03</v>
      </c>
      <c r="N5" s="214">
        <v>-0.02</v>
      </c>
      <c r="O5" s="300" t="s">
        <v>470</v>
      </c>
    </row>
    <row r="6" spans="2:15" ht="20.25" customHeight="1">
      <c r="B6" s="997">
        <v>46140</v>
      </c>
      <c r="C6" s="298" t="s">
        <v>473</v>
      </c>
      <c r="D6" s="298" t="s">
        <v>474</v>
      </c>
      <c r="E6" s="299">
        <v>37173</v>
      </c>
      <c r="F6" s="299">
        <v>37118</v>
      </c>
      <c r="G6" s="299">
        <f t="shared" si="0"/>
        <v>-55</v>
      </c>
      <c r="H6" s="214">
        <v>-0.12</v>
      </c>
      <c r="I6" s="214">
        <v>-0.01</v>
      </c>
      <c r="J6" s="298">
        <v>1484329</v>
      </c>
      <c r="K6" s="298">
        <v>1474927</v>
      </c>
      <c r="L6" s="298">
        <f t="shared" si="1"/>
        <v>-9402</v>
      </c>
      <c r="M6" s="214">
        <v>0.64</v>
      </c>
      <c r="N6" s="214">
        <v>7.0000000000000007E-2</v>
      </c>
      <c r="O6" s="301" t="s">
        <v>470</v>
      </c>
    </row>
    <row r="7" spans="2:15" ht="20.25" customHeight="1">
      <c r="B7" s="997">
        <v>46140</v>
      </c>
      <c r="C7" s="298" t="s">
        <v>475</v>
      </c>
      <c r="D7" s="298" t="s">
        <v>476</v>
      </c>
      <c r="E7" s="299">
        <v>117969</v>
      </c>
      <c r="F7" s="299">
        <v>107574</v>
      </c>
      <c r="G7" s="299">
        <f t="shared" si="0"/>
        <v>-10395</v>
      </c>
      <c r="H7" s="214">
        <v>0.36</v>
      </c>
      <c r="I7" s="214">
        <v>0.01</v>
      </c>
      <c r="J7" s="298">
        <v>309004.56</v>
      </c>
      <c r="K7" s="298">
        <v>299558.43</v>
      </c>
      <c r="L7" s="298">
        <f t="shared" si="1"/>
        <v>-9446.1300000000047</v>
      </c>
      <c r="M7" s="214">
        <v>3.15</v>
      </c>
      <c r="N7" s="214">
        <v>0.03</v>
      </c>
      <c r="O7" s="300" t="s">
        <v>477</v>
      </c>
    </row>
    <row r="8" spans="2:15" ht="20.25" customHeight="1">
      <c r="B8" s="997">
        <v>46140</v>
      </c>
      <c r="C8" s="298" t="s">
        <v>478</v>
      </c>
      <c r="D8" s="298" t="s">
        <v>479</v>
      </c>
      <c r="E8" s="299">
        <v>16014</v>
      </c>
      <c r="F8" s="299">
        <v>16091</v>
      </c>
      <c r="G8" s="299">
        <f t="shared" si="0"/>
        <v>77</v>
      </c>
      <c r="H8" s="214">
        <v>0.35</v>
      </c>
      <c r="I8" s="214">
        <v>0.02</v>
      </c>
      <c r="J8" s="298">
        <v>1406831</v>
      </c>
      <c r="K8" s="298">
        <v>1402003</v>
      </c>
      <c r="L8" s="298">
        <f t="shared" si="1"/>
        <v>-4828</v>
      </c>
      <c r="M8" s="214">
        <v>0.34</v>
      </c>
      <c r="N8" s="214">
        <v>0.15</v>
      </c>
      <c r="O8" s="301" t="s">
        <v>477</v>
      </c>
    </row>
    <row r="9" spans="2:15" ht="20.25" customHeight="1">
      <c r="B9" s="997">
        <v>46140</v>
      </c>
      <c r="C9" s="298" t="s">
        <v>480</v>
      </c>
      <c r="D9" s="298" t="s">
        <v>481</v>
      </c>
      <c r="E9" s="299">
        <v>32083</v>
      </c>
      <c r="F9" s="299">
        <v>33780</v>
      </c>
      <c r="G9" s="299">
        <f t="shared" si="0"/>
        <v>1697</v>
      </c>
      <c r="H9" s="214">
        <v>7.99</v>
      </c>
      <c r="I9" s="214">
        <v>-0.02</v>
      </c>
      <c r="J9" s="298">
        <v>1483913</v>
      </c>
      <c r="K9" s="298">
        <v>1498968</v>
      </c>
      <c r="L9" s="298">
        <f t="shared" si="1"/>
        <v>15055</v>
      </c>
      <c r="M9" s="214">
        <v>-1</v>
      </c>
      <c r="N9" s="214">
        <v>-0.15</v>
      </c>
      <c r="O9" s="300" t="s">
        <v>477</v>
      </c>
    </row>
    <row r="10" spans="2:15" ht="20.25" customHeight="1">
      <c r="B10" s="997">
        <v>46140</v>
      </c>
      <c r="C10" s="298" t="s">
        <v>482</v>
      </c>
      <c r="D10" s="298" t="s">
        <v>483</v>
      </c>
      <c r="E10" s="299">
        <v>25622</v>
      </c>
      <c r="F10" s="299">
        <v>25273</v>
      </c>
      <c r="G10" s="299">
        <f t="shared" si="0"/>
        <v>-349</v>
      </c>
      <c r="H10" s="214">
        <v>-1.03</v>
      </c>
      <c r="I10" s="214">
        <v>-0.02</v>
      </c>
      <c r="J10" s="298">
        <v>1610420</v>
      </c>
      <c r="K10" s="298">
        <v>1653108</v>
      </c>
      <c r="L10" s="298">
        <f t="shared" si="1"/>
        <v>42688</v>
      </c>
      <c r="M10" s="214">
        <v>-2.58</v>
      </c>
      <c r="N10" s="214">
        <v>-0.03</v>
      </c>
      <c r="O10" s="301" t="s">
        <v>470</v>
      </c>
    </row>
    <row r="11" spans="2:15" ht="20.25" customHeight="1">
      <c r="B11" s="1003">
        <v>46140</v>
      </c>
      <c r="C11" s="1004" t="s">
        <v>484</v>
      </c>
      <c r="D11" s="1004" t="s">
        <v>485</v>
      </c>
      <c r="E11" s="1005">
        <v>32796</v>
      </c>
      <c r="F11" s="1005">
        <v>32496</v>
      </c>
      <c r="G11" s="1005">
        <f t="shared" si="0"/>
        <v>-300</v>
      </c>
      <c r="H11" s="1006">
        <v>0.42</v>
      </c>
      <c r="I11" s="1006">
        <v>0.05</v>
      </c>
      <c r="J11" s="1004">
        <v>1478849</v>
      </c>
      <c r="K11" s="1004">
        <v>1484256</v>
      </c>
      <c r="L11" s="1004">
        <f t="shared" si="1"/>
        <v>5407</v>
      </c>
      <c r="M11" s="1006">
        <v>-0.36</v>
      </c>
      <c r="N11" s="1006">
        <v>0.01</v>
      </c>
      <c r="O11" s="1007" t="s">
        <v>470</v>
      </c>
    </row>
    <row r="12" spans="2:15">
      <c r="C12" s="212"/>
      <c r="D12" s="212"/>
      <c r="E12" s="212"/>
      <c r="F12" s="212"/>
      <c r="G12" s="212"/>
      <c r="H12" s="212"/>
      <c r="I12" s="212"/>
      <c r="J12" s="212"/>
      <c r="K12" s="212"/>
      <c r="L12" s="212"/>
      <c r="M12" s="56"/>
      <c r="N12" s="56"/>
    </row>
    <row r="13" spans="2:15">
      <c r="C13" s="212"/>
      <c r="D13" s="212"/>
      <c r="E13" s="212"/>
      <c r="F13" s="212"/>
      <c r="G13" s="212"/>
      <c r="H13" s="212"/>
      <c r="I13" s="212"/>
      <c r="J13" s="212"/>
      <c r="K13" s="212"/>
      <c r="L13" s="212"/>
      <c r="M13" s="212"/>
      <c r="N13" s="212"/>
    </row>
    <row r="14" spans="2:15">
      <c r="C14" s="212"/>
      <c r="D14" s="212"/>
      <c r="E14" s="212"/>
      <c r="F14" s="212"/>
      <c r="G14" s="212"/>
      <c r="H14" s="212"/>
      <c r="I14" s="212"/>
      <c r="J14" s="212"/>
      <c r="K14" s="212"/>
      <c r="L14" s="212"/>
      <c r="M14" s="212"/>
      <c r="N14" s="212"/>
    </row>
    <row r="15" spans="2:15">
      <c r="C15" s="212"/>
      <c r="D15" s="212"/>
      <c r="E15" s="212"/>
      <c r="F15" s="212"/>
      <c r="G15" s="212"/>
      <c r="H15" s="212"/>
      <c r="I15" s="212"/>
      <c r="J15" s="212"/>
      <c r="K15" s="212"/>
      <c r="L15" s="212"/>
      <c r="M15" s="212"/>
      <c r="N15" s="212"/>
    </row>
    <row r="16" spans="2:15">
      <c r="C16" s="212"/>
      <c r="D16" s="212"/>
      <c r="E16" s="212"/>
      <c r="F16" s="212"/>
      <c r="G16" s="212"/>
      <c r="H16" s="212"/>
      <c r="I16" s="212"/>
      <c r="J16" s="212"/>
      <c r="K16" s="212"/>
      <c r="L16" s="212"/>
      <c r="M16" s="212"/>
      <c r="N16" s="212"/>
    </row>
    <row r="17" spans="3:14">
      <c r="C17" s="212"/>
      <c r="D17" s="212"/>
      <c r="E17" s="212"/>
      <c r="F17" s="212"/>
      <c r="G17" s="212"/>
      <c r="H17" s="212"/>
      <c r="I17" s="212"/>
      <c r="J17" s="212"/>
      <c r="K17" s="212"/>
      <c r="L17" s="212"/>
      <c r="M17" s="212"/>
      <c r="N17" s="212"/>
    </row>
    <row r="18" spans="3:14">
      <c r="C18" s="212"/>
      <c r="D18" s="212"/>
      <c r="E18" s="212"/>
      <c r="F18" s="212"/>
      <c r="G18" s="212"/>
      <c r="H18" s="212"/>
      <c r="I18" s="212"/>
      <c r="J18" s="212"/>
      <c r="K18" s="212"/>
      <c r="L18" s="212"/>
      <c r="M18" s="212"/>
      <c r="N18" s="212"/>
    </row>
    <row r="19" spans="3:14">
      <c r="C19" s="212"/>
      <c r="D19" s="212"/>
      <c r="E19" s="212"/>
      <c r="F19" s="212"/>
      <c r="G19" s="212"/>
      <c r="H19" s="212"/>
      <c r="I19" s="212"/>
      <c r="J19" s="212"/>
      <c r="K19" s="212"/>
      <c r="L19" s="212"/>
      <c r="M19" s="212"/>
      <c r="N19" s="212"/>
    </row>
    <row r="20" spans="3:14">
      <c r="C20" s="212"/>
      <c r="D20" s="212"/>
      <c r="E20" s="212"/>
      <c r="F20" s="212"/>
      <c r="G20" s="212"/>
      <c r="H20" s="212"/>
      <c r="I20" s="212"/>
      <c r="J20" s="212"/>
      <c r="K20" s="212"/>
      <c r="L20" s="212"/>
      <c r="M20" s="212"/>
      <c r="N20" s="212"/>
    </row>
    <row r="21" spans="3:14">
      <c r="C21" s="212"/>
      <c r="D21" s="212"/>
      <c r="E21" s="212"/>
      <c r="F21" s="212"/>
      <c r="G21" s="212"/>
      <c r="H21" s="212"/>
      <c r="I21" s="212"/>
      <c r="J21" s="212"/>
      <c r="K21" s="212"/>
      <c r="L21" s="212"/>
      <c r="M21" s="212"/>
      <c r="N21" s="212"/>
    </row>
  </sheetData>
  <mergeCells count="1">
    <mergeCell ref="B1:O1"/>
  </mergeCells>
  <dataValidations count="1">
    <dataValidation type="custom" allowBlank="1" showInputMessage="1" showErrorMessage="1" errorTitle="Fecha no válida" error="Ingrese una fecha real (dd/mm/aaaa), no futura." sqref="B4:B2000" xr:uid="{2D59B19D-1024-4C2F-8AA1-0AF1DF06C27E}">
      <formula1>AND(ISNUMBER(B4),B4&gt;=DATE(2020,1,1),B4&lt;=TODAY())</formula1>
    </dataValidation>
  </dataValidations>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BALANZAS — Página &amp;P de &amp;F</oddFooter>
  </headerFooter>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D6850-40EB-409C-9F31-DA145A80BDA6}">
  <sheetPr codeName="Hoja32">
    <tabColor rgb="FF548235"/>
    <pageSetUpPr fitToPage="1"/>
  </sheetPr>
  <dimension ref="B1:Q490"/>
  <sheetViews>
    <sheetView showGridLines="0" workbookViewId="0">
      <pane ySplit="4" topLeftCell="A5" activePane="bottomLeft" state="frozen"/>
      <selection pane="bottomLeft" activeCell="C4" sqref="C4"/>
    </sheetView>
  </sheetViews>
  <sheetFormatPr baseColWidth="10" defaultRowHeight="15"/>
  <cols>
    <col min="2" max="2" width="6.7109375" customWidth="1"/>
    <col min="3" max="6" width="15.28515625" customWidth="1"/>
    <col min="7" max="7" width="61" customWidth="1"/>
    <col min="8" max="8" width="21" customWidth="1"/>
    <col min="9" max="10" width="17.140625" customWidth="1"/>
    <col min="11" max="11" width="13.28515625" customWidth="1"/>
    <col min="12" max="12" width="15.28515625" customWidth="1"/>
    <col min="13" max="13" width="19" customWidth="1"/>
    <col min="14" max="14" width="41.85546875" customWidth="1"/>
    <col min="15" max="15" width="11.42578125" customWidth="1"/>
    <col min="16" max="16" width="18.140625" customWidth="1"/>
    <col min="17" max="17" width="22.85546875" customWidth="1"/>
  </cols>
  <sheetData>
    <row r="1" spans="2:17" ht="18.75">
      <c r="B1" s="885" t="s">
        <v>3200</v>
      </c>
    </row>
    <row r="2" spans="2:17">
      <c r="B2" s="886" t="s">
        <v>3201</v>
      </c>
    </row>
    <row r="4" spans="2:17" ht="30" customHeight="1">
      <c r="B4" s="381" t="s">
        <v>325</v>
      </c>
      <c r="C4" s="381" t="s">
        <v>2500</v>
      </c>
      <c r="D4" s="381" t="s">
        <v>2517</v>
      </c>
      <c r="E4" s="381" t="s">
        <v>653</v>
      </c>
      <c r="F4" s="381" t="s">
        <v>254</v>
      </c>
      <c r="G4" s="381" t="s">
        <v>654</v>
      </c>
      <c r="H4" s="381" t="s">
        <v>2505</v>
      </c>
      <c r="I4" s="381" t="s">
        <v>2510</v>
      </c>
      <c r="J4" s="381" t="s">
        <v>2513</v>
      </c>
      <c r="K4" s="381" t="s">
        <v>656</v>
      </c>
      <c r="L4" s="381" t="s">
        <v>2518</v>
      </c>
      <c r="M4" s="381" t="s">
        <v>2519</v>
      </c>
      <c r="N4" s="381" t="s">
        <v>2520</v>
      </c>
      <c r="O4" s="381" t="s">
        <v>2521</v>
      </c>
      <c r="P4" s="381" t="s">
        <v>2522</v>
      </c>
      <c r="Q4" s="381" t="s">
        <v>2523</v>
      </c>
    </row>
    <row r="5" spans="2:17">
      <c r="B5" s="853" cm="1">
        <f t="array" ref="B5">ROW()-ROW(tblAvisos[#Headers])</f>
        <v>1</v>
      </c>
      <c r="C5" t="s">
        <v>2501</v>
      </c>
      <c r="D5" s="871">
        <v>45982</v>
      </c>
      <c r="E5" s="900" t="s">
        <v>2524</v>
      </c>
      <c r="F5" t="s">
        <v>658</v>
      </c>
      <c r="G5" t="s">
        <v>2525</v>
      </c>
      <c r="H5" t="s">
        <v>1158</v>
      </c>
      <c r="I5" t="s">
        <v>2512</v>
      </c>
      <c r="K5" t="s">
        <v>672</v>
      </c>
      <c r="L5" s="871"/>
      <c r="O5" s="256" t="str">
        <f ca="1">IF(OR(tblAvisos[[#This Row],[Estado trabajo]]="Cerrado",tblAvisos[[#This Row],[Fecha reporte]]=""),"",TODAY()-tblAvisos[[#This Row],[Fecha reporte]])</f>
        <v/>
      </c>
      <c r="P5" t="str">
        <f ca="1">IF(tblAvisos[[#This Row],[Fecha reporte]]="","Sin fecha",IF(tblAvisos[[#This Row],[Fecha reporte]]&lt;DATE(2020,1,1),"Fecha inválida",IF(tblAvisos[[#This Row],[Fecha reporte]]&gt;TODAY(),"Fecha futura",IF(tblAvisos[[#This Row],[Aviso SAP]]="","Sin aviso SAP",IF(tblAvisos[[#This Row],[Criticidad]]="","Sin criticidad","OK")))))</f>
        <v>OK</v>
      </c>
      <c r="Q5" s="901" t="s">
        <v>2526</v>
      </c>
    </row>
    <row r="6" spans="2:17">
      <c r="B6" s="853" cm="1">
        <f t="array" ref="B6">ROW()-ROW(tblAvisos[#Headers])</f>
        <v>2</v>
      </c>
      <c r="C6" t="s">
        <v>2501</v>
      </c>
      <c r="D6" s="871">
        <v>45982</v>
      </c>
      <c r="E6" s="900" t="s">
        <v>2527</v>
      </c>
      <c r="F6" t="s">
        <v>663</v>
      </c>
      <c r="G6" t="s">
        <v>664</v>
      </c>
      <c r="H6" t="s">
        <v>1158</v>
      </c>
      <c r="I6" t="s">
        <v>2512</v>
      </c>
      <c r="K6" t="s">
        <v>668</v>
      </c>
      <c r="L6" s="871"/>
      <c r="O6" s="256" t="str">
        <f ca="1">IF(OR(tblAvisos[[#This Row],[Estado trabajo]]="Cerrado",tblAvisos[[#This Row],[Fecha reporte]]=""),"",TODAY()-tblAvisos[[#This Row],[Fecha reporte]])</f>
        <v/>
      </c>
      <c r="P6" t="str">
        <f ca="1">IF(tblAvisos[[#This Row],[Fecha reporte]]="","Sin fecha",IF(tblAvisos[[#This Row],[Fecha reporte]]&lt;DATE(2020,1,1),"Fecha inválida",IF(tblAvisos[[#This Row],[Fecha reporte]]&gt;TODAY(),"Fecha futura",IF(tblAvisos[[#This Row],[Aviso SAP]]="","Sin aviso SAP",IF(tblAvisos[[#This Row],[Criticidad]]="","Sin criticidad","OK")))))</f>
        <v>OK</v>
      </c>
      <c r="Q6" s="901" t="s">
        <v>2528</v>
      </c>
    </row>
    <row r="7" spans="2:17">
      <c r="B7" s="853" cm="1">
        <f t="array" ref="B7">ROW()-ROW(tblAvisos[#Headers])</f>
        <v>3</v>
      </c>
      <c r="C7" t="s">
        <v>2501</v>
      </c>
      <c r="D7" s="871">
        <v>45982</v>
      </c>
      <c r="E7" s="900" t="s">
        <v>2529</v>
      </c>
      <c r="F7" t="s">
        <v>666</v>
      </c>
      <c r="G7" t="s">
        <v>2530</v>
      </c>
      <c r="H7" t="s">
        <v>1158</v>
      </c>
      <c r="I7" t="s">
        <v>2512</v>
      </c>
      <c r="K7" t="s">
        <v>668</v>
      </c>
      <c r="L7" s="871"/>
      <c r="O7" s="256" t="str">
        <f ca="1">IF(OR(tblAvisos[[#This Row],[Estado trabajo]]="Cerrado",tblAvisos[[#This Row],[Fecha reporte]]=""),"",TODAY()-tblAvisos[[#This Row],[Fecha reporte]])</f>
        <v/>
      </c>
      <c r="P7" t="str">
        <f ca="1">IF(tblAvisos[[#This Row],[Fecha reporte]]="","Sin fecha",IF(tblAvisos[[#This Row],[Fecha reporte]]&lt;DATE(2020,1,1),"Fecha inválida",IF(tblAvisos[[#This Row],[Fecha reporte]]&gt;TODAY(),"Fecha futura",IF(tblAvisos[[#This Row],[Aviso SAP]]="","Sin aviso SAP",IF(tblAvisos[[#This Row],[Criticidad]]="","Sin criticidad","OK")))))</f>
        <v>OK</v>
      </c>
      <c r="Q7" s="901" t="s">
        <v>2531</v>
      </c>
    </row>
    <row r="8" spans="2:17">
      <c r="B8" s="853" cm="1">
        <f t="array" ref="B8">ROW()-ROW(tblAvisos[#Headers])</f>
        <v>4</v>
      </c>
      <c r="C8" t="s">
        <v>2501</v>
      </c>
      <c r="D8" s="871">
        <v>45983</v>
      </c>
      <c r="E8" s="900" t="s">
        <v>2532</v>
      </c>
      <c r="F8" t="s">
        <v>670</v>
      </c>
      <c r="G8" t="s">
        <v>671</v>
      </c>
      <c r="H8" t="s">
        <v>1158</v>
      </c>
      <c r="I8" t="s">
        <v>2512</v>
      </c>
      <c r="K8" t="s">
        <v>668</v>
      </c>
      <c r="L8" s="871"/>
      <c r="O8" s="256" t="str">
        <f ca="1">IF(OR(tblAvisos[[#This Row],[Estado trabajo]]="Cerrado",tblAvisos[[#This Row],[Fecha reporte]]=""),"",TODAY()-tblAvisos[[#This Row],[Fecha reporte]])</f>
        <v/>
      </c>
      <c r="P8" t="str">
        <f ca="1">IF(tblAvisos[[#This Row],[Fecha reporte]]="","Sin fecha",IF(tblAvisos[[#This Row],[Fecha reporte]]&lt;DATE(2020,1,1),"Fecha inválida",IF(tblAvisos[[#This Row],[Fecha reporte]]&gt;TODAY(),"Fecha futura",IF(tblAvisos[[#This Row],[Aviso SAP]]="","Sin aviso SAP",IF(tblAvisos[[#This Row],[Criticidad]]="","Sin criticidad","OK")))))</f>
        <v>OK</v>
      </c>
      <c r="Q8" s="901" t="s">
        <v>2533</v>
      </c>
    </row>
    <row r="9" spans="2:17">
      <c r="B9" s="853" cm="1">
        <f t="array" ref="B9">ROW()-ROW(tblAvisos[#Headers])</f>
        <v>5</v>
      </c>
      <c r="C9" t="s">
        <v>2501</v>
      </c>
      <c r="D9" s="871">
        <v>45983</v>
      </c>
      <c r="E9" s="900" t="s">
        <v>2534</v>
      </c>
      <c r="F9" t="s">
        <v>673</v>
      </c>
      <c r="G9" t="s">
        <v>674</v>
      </c>
      <c r="H9" t="s">
        <v>1170</v>
      </c>
      <c r="I9" t="s">
        <v>2512</v>
      </c>
      <c r="K9" t="s">
        <v>668</v>
      </c>
      <c r="L9" s="871"/>
      <c r="O9" s="256" t="str">
        <f ca="1">IF(OR(tblAvisos[[#This Row],[Estado trabajo]]="Cerrado",tblAvisos[[#This Row],[Fecha reporte]]=""),"",TODAY()-tblAvisos[[#This Row],[Fecha reporte]])</f>
        <v/>
      </c>
      <c r="P9" t="str">
        <f ca="1">IF(tblAvisos[[#This Row],[Fecha reporte]]="","Sin fecha",IF(tblAvisos[[#This Row],[Fecha reporte]]&lt;DATE(2020,1,1),"Fecha inválida",IF(tblAvisos[[#This Row],[Fecha reporte]]&gt;TODAY(),"Fecha futura",IF(tblAvisos[[#This Row],[Aviso SAP]]="","Sin aviso SAP",IF(tblAvisos[[#This Row],[Criticidad]]="","Sin criticidad","OK")))))</f>
        <v>OK</v>
      </c>
      <c r="Q9" s="901" t="s">
        <v>2535</v>
      </c>
    </row>
    <row r="10" spans="2:17">
      <c r="B10" s="853" cm="1">
        <f t="array" ref="B10">ROW()-ROW(tblAvisos[#Headers])</f>
        <v>6</v>
      </c>
      <c r="C10" t="s">
        <v>2501</v>
      </c>
      <c r="D10" s="871">
        <v>45985</v>
      </c>
      <c r="E10" s="900" t="s">
        <v>2536</v>
      </c>
      <c r="F10" t="s">
        <v>677</v>
      </c>
      <c r="G10" t="s">
        <v>2537</v>
      </c>
      <c r="H10" t="s">
        <v>1158</v>
      </c>
      <c r="I10" t="s">
        <v>2512</v>
      </c>
      <c r="K10" t="s">
        <v>665</v>
      </c>
      <c r="L10" s="871"/>
      <c r="O10" s="256" t="str">
        <f ca="1">IF(OR(tblAvisos[[#This Row],[Estado trabajo]]="Cerrado",tblAvisos[[#This Row],[Fecha reporte]]=""),"",TODAY()-tblAvisos[[#This Row],[Fecha reporte]])</f>
        <v/>
      </c>
      <c r="P10" t="str">
        <f ca="1">IF(tblAvisos[[#This Row],[Fecha reporte]]="","Sin fecha",IF(tblAvisos[[#This Row],[Fecha reporte]]&lt;DATE(2020,1,1),"Fecha inválida",IF(tblAvisos[[#This Row],[Fecha reporte]]&gt;TODAY(),"Fecha futura",IF(tblAvisos[[#This Row],[Aviso SAP]]="","Sin aviso SAP",IF(tblAvisos[[#This Row],[Criticidad]]="","Sin criticidad","OK")))))</f>
        <v>Sin aviso SAP</v>
      </c>
      <c r="Q10" s="901" t="s">
        <v>2538</v>
      </c>
    </row>
    <row r="11" spans="2:17">
      <c r="B11" s="853" cm="1">
        <f t="array" ref="B11">ROW()-ROW(tblAvisos[#Headers])</f>
        <v>7</v>
      </c>
      <c r="C11" t="s">
        <v>2501</v>
      </c>
      <c r="D11" s="871">
        <v>45986</v>
      </c>
      <c r="E11" s="900" t="s">
        <v>2536</v>
      </c>
      <c r="F11" t="s">
        <v>680</v>
      </c>
      <c r="G11" t="s">
        <v>681</v>
      </c>
      <c r="H11" t="s">
        <v>1170</v>
      </c>
      <c r="I11" t="s">
        <v>2512</v>
      </c>
      <c r="K11" t="s">
        <v>668</v>
      </c>
      <c r="L11" s="871"/>
      <c r="O11" s="256" t="str">
        <f ca="1">IF(OR(tblAvisos[[#This Row],[Estado trabajo]]="Cerrado",tblAvisos[[#This Row],[Fecha reporte]]=""),"",TODAY()-tblAvisos[[#This Row],[Fecha reporte]])</f>
        <v/>
      </c>
      <c r="P11" t="str">
        <f ca="1">IF(tblAvisos[[#This Row],[Fecha reporte]]="","Sin fecha",IF(tblAvisos[[#This Row],[Fecha reporte]]&lt;DATE(2020,1,1),"Fecha inválida",IF(tblAvisos[[#This Row],[Fecha reporte]]&gt;TODAY(),"Fecha futura",IF(tblAvisos[[#This Row],[Aviso SAP]]="","Sin aviso SAP",IF(tblAvisos[[#This Row],[Criticidad]]="","Sin criticidad","OK")))))</f>
        <v>Sin aviso SAP</v>
      </c>
      <c r="Q11" s="901" t="s">
        <v>2539</v>
      </c>
    </row>
    <row r="12" spans="2:17">
      <c r="B12" s="853" cm="1">
        <f t="array" ref="B12">ROW()-ROW(tblAvisos[#Headers])</f>
        <v>8</v>
      </c>
      <c r="C12" t="s">
        <v>2501</v>
      </c>
      <c r="D12" s="871">
        <v>45942</v>
      </c>
      <c r="E12" s="900" t="s">
        <v>2536</v>
      </c>
      <c r="F12" t="s">
        <v>682</v>
      </c>
      <c r="G12" t="s">
        <v>683</v>
      </c>
      <c r="H12" t="s">
        <v>1158</v>
      </c>
      <c r="I12" t="s">
        <v>2512</v>
      </c>
      <c r="K12" t="s">
        <v>668</v>
      </c>
      <c r="L12" s="871"/>
      <c r="O12" s="256" t="str">
        <f ca="1">IF(OR(tblAvisos[[#This Row],[Estado trabajo]]="Cerrado",tblAvisos[[#This Row],[Fecha reporte]]=""),"",TODAY()-tblAvisos[[#This Row],[Fecha reporte]])</f>
        <v/>
      </c>
      <c r="P12" t="str">
        <f ca="1">IF(tblAvisos[[#This Row],[Fecha reporte]]="","Sin fecha",IF(tblAvisos[[#This Row],[Fecha reporte]]&lt;DATE(2020,1,1),"Fecha inválida",IF(tblAvisos[[#This Row],[Fecha reporte]]&gt;TODAY(),"Fecha futura",IF(tblAvisos[[#This Row],[Aviso SAP]]="","Sin aviso SAP",IF(tblAvisos[[#This Row],[Criticidad]]="","Sin criticidad","OK")))))</f>
        <v>Sin aviso SAP</v>
      </c>
      <c r="Q12" s="901" t="s">
        <v>2540</v>
      </c>
    </row>
    <row r="13" spans="2:17">
      <c r="B13" s="853" cm="1">
        <f t="array" ref="B13">ROW()-ROW(tblAvisos[#Headers])</f>
        <v>9</v>
      </c>
      <c r="C13" t="s">
        <v>2501</v>
      </c>
      <c r="D13" s="871">
        <v>45942</v>
      </c>
      <c r="E13" s="900" t="s">
        <v>2536</v>
      </c>
      <c r="F13" t="s">
        <v>684</v>
      </c>
      <c r="G13" t="s">
        <v>683</v>
      </c>
      <c r="H13" t="s">
        <v>1158</v>
      </c>
      <c r="I13" t="s">
        <v>2512</v>
      </c>
      <c r="K13" t="s">
        <v>668</v>
      </c>
      <c r="L13" s="871"/>
      <c r="O13" s="256" t="str">
        <f ca="1">IF(OR(tblAvisos[[#This Row],[Estado trabajo]]="Cerrado",tblAvisos[[#This Row],[Fecha reporte]]=""),"",TODAY()-tblAvisos[[#This Row],[Fecha reporte]])</f>
        <v/>
      </c>
      <c r="P13" t="str">
        <f ca="1">IF(tblAvisos[[#This Row],[Fecha reporte]]="","Sin fecha",IF(tblAvisos[[#This Row],[Fecha reporte]]&lt;DATE(2020,1,1),"Fecha inválida",IF(tblAvisos[[#This Row],[Fecha reporte]]&gt;TODAY(),"Fecha futura",IF(tblAvisos[[#This Row],[Aviso SAP]]="","Sin aviso SAP",IF(tblAvisos[[#This Row],[Criticidad]]="","Sin criticidad","OK")))))</f>
        <v>Sin aviso SAP</v>
      </c>
      <c r="Q13" s="901" t="s">
        <v>2541</v>
      </c>
    </row>
    <row r="14" spans="2:17">
      <c r="B14" s="853" cm="1">
        <f t="array" ref="B14">ROW()-ROW(tblAvisos[#Headers])</f>
        <v>10</v>
      </c>
      <c r="C14" t="s">
        <v>2501</v>
      </c>
      <c r="D14" s="871">
        <v>45942</v>
      </c>
      <c r="E14" s="900" t="s">
        <v>2536</v>
      </c>
      <c r="F14" t="s">
        <v>686</v>
      </c>
      <c r="G14" t="s">
        <v>683</v>
      </c>
      <c r="H14" t="s">
        <v>1158</v>
      </c>
      <c r="I14" t="s">
        <v>2512</v>
      </c>
      <c r="K14" t="s">
        <v>668</v>
      </c>
      <c r="L14" s="871"/>
      <c r="O14" s="256" t="str">
        <f ca="1">IF(OR(tblAvisos[[#This Row],[Estado trabajo]]="Cerrado",tblAvisos[[#This Row],[Fecha reporte]]=""),"",TODAY()-tblAvisos[[#This Row],[Fecha reporte]])</f>
        <v/>
      </c>
      <c r="P14" t="str">
        <f ca="1">IF(tblAvisos[[#This Row],[Fecha reporte]]="","Sin fecha",IF(tblAvisos[[#This Row],[Fecha reporte]]&lt;DATE(2020,1,1),"Fecha inválida",IF(tblAvisos[[#This Row],[Fecha reporte]]&gt;TODAY(),"Fecha futura",IF(tblAvisos[[#This Row],[Aviso SAP]]="","Sin aviso SAP",IF(tblAvisos[[#This Row],[Criticidad]]="","Sin criticidad","OK")))))</f>
        <v>Sin aviso SAP</v>
      </c>
      <c r="Q14" s="901" t="s">
        <v>2542</v>
      </c>
    </row>
    <row r="15" spans="2:17">
      <c r="B15" s="853" cm="1">
        <f t="array" ref="B15">ROW()-ROW(tblAvisos[#Headers])</f>
        <v>11</v>
      </c>
      <c r="C15" t="s">
        <v>2501</v>
      </c>
      <c r="D15" s="871">
        <v>45942</v>
      </c>
      <c r="E15" s="900" t="s">
        <v>2536</v>
      </c>
      <c r="F15" t="s">
        <v>677</v>
      </c>
      <c r="G15" t="s">
        <v>683</v>
      </c>
      <c r="H15" t="s">
        <v>1158</v>
      </c>
      <c r="I15" t="s">
        <v>2512</v>
      </c>
      <c r="K15" t="s">
        <v>668</v>
      </c>
      <c r="L15" s="871"/>
      <c r="O15" s="256" t="str">
        <f ca="1">IF(OR(tblAvisos[[#This Row],[Estado trabajo]]="Cerrado",tblAvisos[[#This Row],[Fecha reporte]]=""),"",TODAY()-tblAvisos[[#This Row],[Fecha reporte]])</f>
        <v/>
      </c>
      <c r="P15" t="str">
        <f ca="1">IF(tblAvisos[[#This Row],[Fecha reporte]]="","Sin fecha",IF(tblAvisos[[#This Row],[Fecha reporte]]&lt;DATE(2020,1,1),"Fecha inválida",IF(tblAvisos[[#This Row],[Fecha reporte]]&gt;TODAY(),"Fecha futura",IF(tblAvisos[[#This Row],[Aviso SAP]]="","Sin aviso SAP",IF(tblAvisos[[#This Row],[Criticidad]]="","Sin criticidad","OK")))))</f>
        <v>Sin aviso SAP</v>
      </c>
      <c r="Q15" s="901" t="s">
        <v>2543</v>
      </c>
    </row>
    <row r="16" spans="2:17">
      <c r="B16" s="853" cm="1">
        <f t="array" ref="B16">ROW()-ROW(tblAvisos[#Headers])</f>
        <v>12</v>
      </c>
      <c r="C16" t="s">
        <v>2501</v>
      </c>
      <c r="D16" s="871">
        <v>45942</v>
      </c>
      <c r="E16" s="900" t="s">
        <v>2536</v>
      </c>
      <c r="F16" t="s">
        <v>687</v>
      </c>
      <c r="G16" t="s">
        <v>688</v>
      </c>
      <c r="H16" t="s">
        <v>1158</v>
      </c>
      <c r="I16" t="s">
        <v>2512</v>
      </c>
      <c r="K16" t="s">
        <v>668</v>
      </c>
      <c r="L16" s="871"/>
      <c r="O16" s="256" t="str">
        <f ca="1">IF(OR(tblAvisos[[#This Row],[Estado trabajo]]="Cerrado",tblAvisos[[#This Row],[Fecha reporte]]=""),"",TODAY()-tblAvisos[[#This Row],[Fecha reporte]])</f>
        <v/>
      </c>
      <c r="P16" t="str">
        <f ca="1">IF(tblAvisos[[#This Row],[Fecha reporte]]="","Sin fecha",IF(tblAvisos[[#This Row],[Fecha reporte]]&lt;DATE(2020,1,1),"Fecha inválida",IF(tblAvisos[[#This Row],[Fecha reporte]]&gt;TODAY(),"Fecha futura",IF(tblAvisos[[#This Row],[Aviso SAP]]="","Sin aviso SAP",IF(tblAvisos[[#This Row],[Criticidad]]="","Sin criticidad","OK")))))</f>
        <v>Sin aviso SAP</v>
      </c>
      <c r="Q16" s="901" t="s">
        <v>2544</v>
      </c>
    </row>
    <row r="17" spans="2:17">
      <c r="B17" s="853" cm="1">
        <f t="array" ref="B17">ROW()-ROW(tblAvisos[#Headers])</f>
        <v>13</v>
      </c>
      <c r="C17" t="s">
        <v>2501</v>
      </c>
      <c r="D17" s="871">
        <v>46003</v>
      </c>
      <c r="E17" s="900" t="s">
        <v>2536</v>
      </c>
      <c r="F17" t="s">
        <v>689</v>
      </c>
      <c r="G17" t="s">
        <v>792</v>
      </c>
      <c r="H17" t="s">
        <v>1158</v>
      </c>
      <c r="I17" t="s">
        <v>2512</v>
      </c>
      <c r="K17" t="s">
        <v>665</v>
      </c>
      <c r="L17" s="871"/>
      <c r="O17" s="256" t="str">
        <f ca="1">IF(OR(tblAvisos[[#This Row],[Estado trabajo]]="Cerrado",tblAvisos[[#This Row],[Fecha reporte]]=""),"",TODAY()-tblAvisos[[#This Row],[Fecha reporte]])</f>
        <v/>
      </c>
      <c r="P17" t="str">
        <f ca="1">IF(tblAvisos[[#This Row],[Fecha reporte]]="","Sin fecha",IF(tblAvisos[[#This Row],[Fecha reporte]]&lt;DATE(2020,1,1),"Fecha inválida",IF(tblAvisos[[#This Row],[Fecha reporte]]&gt;TODAY(),"Fecha futura",IF(tblAvisos[[#This Row],[Aviso SAP]]="","Sin aviso SAP",IF(tblAvisos[[#This Row],[Criticidad]]="","Sin criticidad","OK")))))</f>
        <v>Sin aviso SAP</v>
      </c>
      <c r="Q17" s="901" t="s">
        <v>2545</v>
      </c>
    </row>
    <row r="18" spans="2:17">
      <c r="B18" s="853" cm="1">
        <f t="array" ref="B18">ROW()-ROW(tblAvisos[#Headers])</f>
        <v>14</v>
      </c>
      <c r="C18" t="s">
        <v>2501</v>
      </c>
      <c r="D18" s="871">
        <v>46008</v>
      </c>
      <c r="E18" s="900" t="s">
        <v>2536</v>
      </c>
      <c r="F18" t="s">
        <v>692</v>
      </c>
      <c r="G18" t="s">
        <v>693</v>
      </c>
      <c r="H18" t="s">
        <v>1158</v>
      </c>
      <c r="I18" t="s">
        <v>2512</v>
      </c>
      <c r="K18" t="s">
        <v>668</v>
      </c>
      <c r="L18" s="871"/>
      <c r="O18" s="256" t="str">
        <f ca="1">IF(OR(tblAvisos[[#This Row],[Estado trabajo]]="Cerrado",tblAvisos[[#This Row],[Fecha reporte]]=""),"",TODAY()-tblAvisos[[#This Row],[Fecha reporte]])</f>
        <v/>
      </c>
      <c r="P18" t="str">
        <f ca="1">IF(tblAvisos[[#This Row],[Fecha reporte]]="","Sin fecha",IF(tblAvisos[[#This Row],[Fecha reporte]]&lt;DATE(2020,1,1),"Fecha inválida",IF(tblAvisos[[#This Row],[Fecha reporte]]&gt;TODAY(),"Fecha futura",IF(tblAvisos[[#This Row],[Aviso SAP]]="","Sin aviso SAP",IF(tblAvisos[[#This Row],[Criticidad]]="","Sin criticidad","OK")))))</f>
        <v>Sin aviso SAP</v>
      </c>
      <c r="Q18" s="901" t="s">
        <v>2546</v>
      </c>
    </row>
    <row r="19" spans="2:17">
      <c r="B19" s="853" cm="1">
        <f t="array" ref="B19">ROW()-ROW(tblAvisos[#Headers])</f>
        <v>15</v>
      </c>
      <c r="C19" t="s">
        <v>2501</v>
      </c>
      <c r="D19" s="871">
        <v>46013</v>
      </c>
      <c r="E19" s="900" t="s">
        <v>2536</v>
      </c>
      <c r="F19" t="s">
        <v>695</v>
      </c>
      <c r="G19" t="s">
        <v>696</v>
      </c>
      <c r="H19" t="s">
        <v>1158</v>
      </c>
      <c r="I19" t="s">
        <v>2512</v>
      </c>
      <c r="K19" t="s">
        <v>665</v>
      </c>
      <c r="L19" s="871"/>
      <c r="O19" s="256" t="str">
        <f ca="1">IF(OR(tblAvisos[[#This Row],[Estado trabajo]]="Cerrado",tblAvisos[[#This Row],[Fecha reporte]]=""),"",TODAY()-tblAvisos[[#This Row],[Fecha reporte]])</f>
        <v/>
      </c>
      <c r="P19" t="str">
        <f ca="1">IF(tblAvisos[[#This Row],[Fecha reporte]]="","Sin fecha",IF(tblAvisos[[#This Row],[Fecha reporte]]&lt;DATE(2020,1,1),"Fecha inválida",IF(tblAvisos[[#This Row],[Fecha reporte]]&gt;TODAY(),"Fecha futura",IF(tblAvisos[[#This Row],[Aviso SAP]]="","Sin aviso SAP",IF(tblAvisos[[#This Row],[Criticidad]]="","Sin criticidad","OK")))))</f>
        <v>Sin aviso SAP</v>
      </c>
      <c r="Q19" s="901" t="s">
        <v>2547</v>
      </c>
    </row>
    <row r="20" spans="2:17">
      <c r="B20" s="853" cm="1">
        <f t="array" ref="B20">ROW()-ROW(tblAvisos[#Headers])</f>
        <v>16</v>
      </c>
      <c r="C20" t="s">
        <v>2501</v>
      </c>
      <c r="D20" s="871">
        <v>46014</v>
      </c>
      <c r="E20" s="900" t="s">
        <v>2536</v>
      </c>
      <c r="F20" t="s">
        <v>670</v>
      </c>
      <c r="G20" t="s">
        <v>2548</v>
      </c>
      <c r="H20" t="s">
        <v>1158</v>
      </c>
      <c r="I20" t="s">
        <v>2512</v>
      </c>
      <c r="K20" t="s">
        <v>668</v>
      </c>
      <c r="L20" s="871"/>
      <c r="O20" s="256" t="str">
        <f ca="1">IF(OR(tblAvisos[[#This Row],[Estado trabajo]]="Cerrado",tblAvisos[[#This Row],[Fecha reporte]]=""),"",TODAY()-tblAvisos[[#This Row],[Fecha reporte]])</f>
        <v/>
      </c>
      <c r="P20" t="str">
        <f ca="1">IF(tblAvisos[[#This Row],[Fecha reporte]]="","Sin fecha",IF(tblAvisos[[#This Row],[Fecha reporte]]&lt;DATE(2020,1,1),"Fecha inválida",IF(tblAvisos[[#This Row],[Fecha reporte]]&gt;TODAY(),"Fecha futura",IF(tblAvisos[[#This Row],[Aviso SAP]]="","Sin aviso SAP",IF(tblAvisos[[#This Row],[Criticidad]]="","Sin criticidad","OK")))))</f>
        <v>Sin aviso SAP</v>
      </c>
      <c r="Q20" s="901" t="s">
        <v>2549</v>
      </c>
    </row>
    <row r="21" spans="2:17">
      <c r="B21" s="853" cm="1">
        <f t="array" ref="B21">ROW()-ROW(tblAvisos[#Headers])</f>
        <v>17</v>
      </c>
      <c r="C21" t="s">
        <v>2501</v>
      </c>
      <c r="D21" s="871">
        <v>46014</v>
      </c>
      <c r="E21" s="900" t="s">
        <v>2536</v>
      </c>
      <c r="F21" t="s">
        <v>699</v>
      </c>
      <c r="G21" t="s">
        <v>700</v>
      </c>
      <c r="H21" t="s">
        <v>1158</v>
      </c>
      <c r="I21" t="s">
        <v>2512</v>
      </c>
      <c r="K21" t="s">
        <v>668</v>
      </c>
      <c r="L21" s="871"/>
      <c r="O21" s="256" t="str">
        <f ca="1">IF(OR(tblAvisos[[#This Row],[Estado trabajo]]="Cerrado",tblAvisos[[#This Row],[Fecha reporte]]=""),"",TODAY()-tblAvisos[[#This Row],[Fecha reporte]])</f>
        <v/>
      </c>
      <c r="P21" t="str">
        <f ca="1">IF(tblAvisos[[#This Row],[Fecha reporte]]="","Sin fecha",IF(tblAvisos[[#This Row],[Fecha reporte]]&lt;DATE(2020,1,1),"Fecha inválida",IF(tblAvisos[[#This Row],[Fecha reporte]]&gt;TODAY(),"Fecha futura",IF(tblAvisos[[#This Row],[Aviso SAP]]="","Sin aviso SAP",IF(tblAvisos[[#This Row],[Criticidad]]="","Sin criticidad","OK")))))</f>
        <v>Sin aviso SAP</v>
      </c>
      <c r="Q21" s="901" t="s">
        <v>2550</v>
      </c>
    </row>
    <row r="22" spans="2:17">
      <c r="B22" s="853" cm="1">
        <f t="array" ref="B22">ROW()-ROW(tblAvisos[#Headers])</f>
        <v>18</v>
      </c>
      <c r="C22" t="s">
        <v>2501</v>
      </c>
      <c r="D22" s="871">
        <v>46015</v>
      </c>
      <c r="E22" s="900" t="s">
        <v>2536</v>
      </c>
      <c r="F22" t="s">
        <v>663</v>
      </c>
      <c r="G22" t="s">
        <v>702</v>
      </c>
      <c r="H22" t="s">
        <v>1158</v>
      </c>
      <c r="I22" t="s">
        <v>2512</v>
      </c>
      <c r="K22" t="s">
        <v>668</v>
      </c>
      <c r="L22" s="871"/>
      <c r="O22" s="256" t="str">
        <f ca="1">IF(OR(tblAvisos[[#This Row],[Estado trabajo]]="Cerrado",tblAvisos[[#This Row],[Fecha reporte]]=""),"",TODAY()-tblAvisos[[#This Row],[Fecha reporte]])</f>
        <v/>
      </c>
      <c r="P22" t="str">
        <f ca="1">IF(tblAvisos[[#This Row],[Fecha reporte]]="","Sin fecha",IF(tblAvisos[[#This Row],[Fecha reporte]]&lt;DATE(2020,1,1),"Fecha inválida",IF(tblAvisos[[#This Row],[Fecha reporte]]&gt;TODAY(),"Fecha futura",IF(tblAvisos[[#This Row],[Aviso SAP]]="","Sin aviso SAP",IF(tblAvisos[[#This Row],[Criticidad]]="","Sin criticidad","OK")))))</f>
        <v>Sin aviso SAP</v>
      </c>
      <c r="Q22" s="901" t="s">
        <v>2551</v>
      </c>
    </row>
    <row r="23" spans="2:17">
      <c r="B23" s="853" cm="1">
        <f t="array" ref="B23">ROW()-ROW(tblAvisos[#Headers])</f>
        <v>19</v>
      </c>
      <c r="C23" t="s">
        <v>2501</v>
      </c>
      <c r="D23" s="871">
        <v>46017</v>
      </c>
      <c r="E23" s="900" t="s">
        <v>2536</v>
      </c>
      <c r="F23" t="s">
        <v>699</v>
      </c>
      <c r="G23" t="s">
        <v>704</v>
      </c>
      <c r="H23" t="s">
        <v>1158</v>
      </c>
      <c r="I23" t="s">
        <v>2512</v>
      </c>
      <c r="K23" t="s">
        <v>668</v>
      </c>
      <c r="L23" s="871"/>
      <c r="O23" s="256" t="str">
        <f ca="1">IF(OR(tblAvisos[[#This Row],[Estado trabajo]]="Cerrado",tblAvisos[[#This Row],[Fecha reporte]]=""),"",TODAY()-tblAvisos[[#This Row],[Fecha reporte]])</f>
        <v/>
      </c>
      <c r="P23" t="str">
        <f ca="1">IF(tblAvisos[[#This Row],[Fecha reporte]]="","Sin fecha",IF(tblAvisos[[#This Row],[Fecha reporte]]&lt;DATE(2020,1,1),"Fecha inválida",IF(tblAvisos[[#This Row],[Fecha reporte]]&gt;TODAY(),"Fecha futura",IF(tblAvisos[[#This Row],[Aviso SAP]]="","Sin aviso SAP",IF(tblAvisos[[#This Row],[Criticidad]]="","Sin criticidad","OK")))))</f>
        <v>Sin aviso SAP</v>
      </c>
      <c r="Q23" s="901" t="s">
        <v>2552</v>
      </c>
    </row>
    <row r="24" spans="2:17">
      <c r="B24" s="853" cm="1">
        <f t="array" ref="B24">ROW()-ROW(tblAvisos[#Headers])</f>
        <v>20</v>
      </c>
      <c r="C24" t="s">
        <v>2501</v>
      </c>
      <c r="D24" s="871">
        <v>46018</v>
      </c>
      <c r="E24" s="900" t="s">
        <v>2536</v>
      </c>
      <c r="F24" t="s">
        <v>706</v>
      </c>
      <c r="G24" t="s">
        <v>707</v>
      </c>
      <c r="H24" t="s">
        <v>1158</v>
      </c>
      <c r="I24" t="s">
        <v>2512</v>
      </c>
      <c r="K24" t="s">
        <v>665</v>
      </c>
      <c r="L24" s="871"/>
      <c r="O24" s="256" t="str">
        <f ca="1">IF(OR(tblAvisos[[#This Row],[Estado trabajo]]="Cerrado",tblAvisos[[#This Row],[Fecha reporte]]=""),"",TODAY()-tblAvisos[[#This Row],[Fecha reporte]])</f>
        <v/>
      </c>
      <c r="P24" t="str">
        <f ca="1">IF(tblAvisos[[#This Row],[Fecha reporte]]="","Sin fecha",IF(tblAvisos[[#This Row],[Fecha reporte]]&lt;DATE(2020,1,1),"Fecha inválida",IF(tblAvisos[[#This Row],[Fecha reporte]]&gt;TODAY(),"Fecha futura",IF(tblAvisos[[#This Row],[Aviso SAP]]="","Sin aviso SAP",IF(tblAvisos[[#This Row],[Criticidad]]="","Sin criticidad","OK")))))</f>
        <v>Sin aviso SAP</v>
      </c>
      <c r="Q24" s="901" t="s">
        <v>2553</v>
      </c>
    </row>
    <row r="25" spans="2:17">
      <c r="B25" s="853" cm="1">
        <f t="array" ref="B25">ROW()-ROW(tblAvisos[#Headers])</f>
        <v>21</v>
      </c>
      <c r="C25" t="s">
        <v>2501</v>
      </c>
      <c r="D25" s="871">
        <v>46019</v>
      </c>
      <c r="E25" s="900" t="s">
        <v>2536</v>
      </c>
      <c r="F25" t="s">
        <v>709</v>
      </c>
      <c r="G25" t="s">
        <v>710</v>
      </c>
      <c r="H25" t="s">
        <v>1158</v>
      </c>
      <c r="I25" t="s">
        <v>2512</v>
      </c>
      <c r="K25" t="s">
        <v>668</v>
      </c>
      <c r="L25" s="871"/>
      <c r="O25" s="256" t="str">
        <f ca="1">IF(OR(tblAvisos[[#This Row],[Estado trabajo]]="Cerrado",tblAvisos[[#This Row],[Fecha reporte]]=""),"",TODAY()-tblAvisos[[#This Row],[Fecha reporte]])</f>
        <v/>
      </c>
      <c r="P25" t="str">
        <f ca="1">IF(tblAvisos[[#This Row],[Fecha reporte]]="","Sin fecha",IF(tblAvisos[[#This Row],[Fecha reporte]]&lt;DATE(2020,1,1),"Fecha inválida",IF(tblAvisos[[#This Row],[Fecha reporte]]&gt;TODAY(),"Fecha futura",IF(tblAvisos[[#This Row],[Aviso SAP]]="","Sin aviso SAP",IF(tblAvisos[[#This Row],[Criticidad]]="","Sin criticidad","OK")))))</f>
        <v>Sin aviso SAP</v>
      </c>
      <c r="Q25" s="901" t="s">
        <v>2554</v>
      </c>
    </row>
    <row r="26" spans="2:17">
      <c r="B26" s="853" cm="1">
        <f t="array" ref="B26">ROW()-ROW(tblAvisos[#Headers])</f>
        <v>22</v>
      </c>
      <c r="C26" t="s">
        <v>2501</v>
      </c>
      <c r="D26" s="871">
        <v>46020</v>
      </c>
      <c r="E26" s="900" t="s">
        <v>2555</v>
      </c>
      <c r="F26" t="s">
        <v>712</v>
      </c>
      <c r="G26" t="s">
        <v>2556</v>
      </c>
      <c r="H26" t="s">
        <v>1158</v>
      </c>
      <c r="I26" t="s">
        <v>2512</v>
      </c>
      <c r="K26" t="s">
        <v>668</v>
      </c>
      <c r="L26" s="871"/>
      <c r="O26" s="256" t="str">
        <f ca="1">IF(OR(tblAvisos[[#This Row],[Estado trabajo]]="Cerrado",tblAvisos[[#This Row],[Fecha reporte]]=""),"",TODAY()-tblAvisos[[#This Row],[Fecha reporte]])</f>
        <v/>
      </c>
      <c r="P26" t="str">
        <f ca="1">IF(tblAvisos[[#This Row],[Fecha reporte]]="","Sin fecha",IF(tblAvisos[[#This Row],[Fecha reporte]]&lt;DATE(2020,1,1),"Fecha inválida",IF(tblAvisos[[#This Row],[Fecha reporte]]&gt;TODAY(),"Fecha futura",IF(tblAvisos[[#This Row],[Aviso SAP]]="","Sin aviso SAP",IF(tblAvisos[[#This Row],[Criticidad]]="","Sin criticidad","OK")))))</f>
        <v>OK</v>
      </c>
      <c r="Q26" s="901" t="s">
        <v>2557</v>
      </c>
    </row>
    <row r="27" spans="2:17">
      <c r="B27" s="853" cm="1">
        <f t="array" ref="B27">ROW()-ROW(tblAvisos[#Headers])</f>
        <v>23</v>
      </c>
      <c r="C27" t="s">
        <v>2501</v>
      </c>
      <c r="D27" s="871">
        <v>46021</v>
      </c>
      <c r="E27" s="900" t="s">
        <v>2536</v>
      </c>
      <c r="F27" t="s">
        <v>699</v>
      </c>
      <c r="G27" t="s">
        <v>715</v>
      </c>
      <c r="H27" t="s">
        <v>1158</v>
      </c>
      <c r="I27" t="s">
        <v>2512</v>
      </c>
      <c r="K27" t="s">
        <v>668</v>
      </c>
      <c r="L27" s="871"/>
      <c r="O27" s="256" t="str">
        <f ca="1">IF(OR(tblAvisos[[#This Row],[Estado trabajo]]="Cerrado",tblAvisos[[#This Row],[Fecha reporte]]=""),"",TODAY()-tblAvisos[[#This Row],[Fecha reporte]])</f>
        <v/>
      </c>
      <c r="P27" t="str">
        <f ca="1">IF(tblAvisos[[#This Row],[Fecha reporte]]="","Sin fecha",IF(tblAvisos[[#This Row],[Fecha reporte]]&lt;DATE(2020,1,1),"Fecha inválida",IF(tblAvisos[[#This Row],[Fecha reporte]]&gt;TODAY(),"Fecha futura",IF(tblAvisos[[#This Row],[Aviso SAP]]="","Sin aviso SAP",IF(tblAvisos[[#This Row],[Criticidad]]="","Sin criticidad","OK")))))</f>
        <v>Sin aviso SAP</v>
      </c>
      <c r="Q27" s="901" t="s">
        <v>2558</v>
      </c>
    </row>
    <row r="28" spans="2:17">
      <c r="B28" s="853" cm="1">
        <f t="array" ref="B28">ROW()-ROW(tblAvisos[#Headers])</f>
        <v>24</v>
      </c>
      <c r="C28" t="s">
        <v>2501</v>
      </c>
      <c r="D28" s="871">
        <v>46021</v>
      </c>
      <c r="E28" s="900" t="s">
        <v>2536</v>
      </c>
      <c r="F28" t="s">
        <v>716</v>
      </c>
      <c r="G28" t="s">
        <v>717</v>
      </c>
      <c r="H28" t="s">
        <v>1158</v>
      </c>
      <c r="I28" t="s">
        <v>2512</v>
      </c>
      <c r="K28" t="s">
        <v>668</v>
      </c>
      <c r="L28" s="871"/>
      <c r="O28" s="256" t="str">
        <f ca="1">IF(OR(tblAvisos[[#This Row],[Estado trabajo]]="Cerrado",tblAvisos[[#This Row],[Fecha reporte]]=""),"",TODAY()-tblAvisos[[#This Row],[Fecha reporte]])</f>
        <v/>
      </c>
      <c r="P28" t="str">
        <f ca="1">IF(tblAvisos[[#This Row],[Fecha reporte]]="","Sin fecha",IF(tblAvisos[[#This Row],[Fecha reporte]]&lt;DATE(2020,1,1),"Fecha inválida",IF(tblAvisos[[#This Row],[Fecha reporte]]&gt;TODAY(),"Fecha futura",IF(tblAvisos[[#This Row],[Aviso SAP]]="","Sin aviso SAP",IF(tblAvisos[[#This Row],[Criticidad]]="","Sin criticidad","OK")))))</f>
        <v>Sin aviso SAP</v>
      </c>
      <c r="Q28" s="901" t="s">
        <v>2559</v>
      </c>
    </row>
    <row r="29" spans="2:17">
      <c r="B29" s="853" cm="1">
        <f t="array" ref="B29">ROW()-ROW(tblAvisos[#Headers])</f>
        <v>25</v>
      </c>
      <c r="C29" t="s">
        <v>2501</v>
      </c>
      <c r="D29" s="871">
        <v>46024</v>
      </c>
      <c r="E29" s="900" t="s">
        <v>2536</v>
      </c>
      <c r="F29" t="s">
        <v>699</v>
      </c>
      <c r="G29" t="s">
        <v>718</v>
      </c>
      <c r="H29" t="s">
        <v>1170</v>
      </c>
      <c r="I29" t="s">
        <v>2512</v>
      </c>
      <c r="K29" t="s">
        <v>668</v>
      </c>
      <c r="L29" s="871"/>
      <c r="O29" s="256" t="str">
        <f ca="1">IF(OR(tblAvisos[[#This Row],[Estado trabajo]]="Cerrado",tblAvisos[[#This Row],[Fecha reporte]]=""),"",TODAY()-tblAvisos[[#This Row],[Fecha reporte]])</f>
        <v/>
      </c>
      <c r="P29" t="str">
        <f ca="1">IF(tblAvisos[[#This Row],[Fecha reporte]]="","Sin fecha",IF(tblAvisos[[#This Row],[Fecha reporte]]&lt;DATE(2020,1,1),"Fecha inválida",IF(tblAvisos[[#This Row],[Fecha reporte]]&gt;TODAY(),"Fecha futura",IF(tblAvisos[[#This Row],[Aviso SAP]]="","Sin aviso SAP",IF(tblAvisos[[#This Row],[Criticidad]]="","Sin criticidad","OK")))))</f>
        <v>Sin aviso SAP</v>
      </c>
      <c r="Q29" s="901" t="s">
        <v>2560</v>
      </c>
    </row>
    <row r="30" spans="2:17">
      <c r="B30" s="853" cm="1">
        <f t="array" ref="B30">ROW()-ROW(tblAvisos[#Headers])</f>
        <v>26</v>
      </c>
      <c r="C30" t="s">
        <v>2501</v>
      </c>
      <c r="D30" s="871">
        <v>46024</v>
      </c>
      <c r="E30" s="900" t="s">
        <v>2536</v>
      </c>
      <c r="F30" t="s">
        <v>719</v>
      </c>
      <c r="G30" t="s">
        <v>700</v>
      </c>
      <c r="H30" t="s">
        <v>1158</v>
      </c>
      <c r="I30" t="s">
        <v>2512</v>
      </c>
      <c r="K30" t="s">
        <v>668</v>
      </c>
      <c r="L30" s="871"/>
      <c r="O30" s="256" t="str">
        <f ca="1">IF(OR(tblAvisos[[#This Row],[Estado trabajo]]="Cerrado",tblAvisos[[#This Row],[Fecha reporte]]=""),"",TODAY()-tblAvisos[[#This Row],[Fecha reporte]])</f>
        <v/>
      </c>
      <c r="P30" t="str">
        <f ca="1">IF(tblAvisos[[#This Row],[Fecha reporte]]="","Sin fecha",IF(tblAvisos[[#This Row],[Fecha reporte]]&lt;DATE(2020,1,1),"Fecha inválida",IF(tblAvisos[[#This Row],[Fecha reporte]]&gt;TODAY(),"Fecha futura",IF(tblAvisos[[#This Row],[Aviso SAP]]="","Sin aviso SAP",IF(tblAvisos[[#This Row],[Criticidad]]="","Sin criticidad","OK")))))</f>
        <v>Sin aviso SAP</v>
      </c>
      <c r="Q30" s="901" t="s">
        <v>2561</v>
      </c>
    </row>
    <row r="31" spans="2:17">
      <c r="B31" s="853" cm="1">
        <f t="array" ref="B31">ROW()-ROW(tblAvisos[#Headers])</f>
        <v>27</v>
      </c>
      <c r="C31" t="s">
        <v>2501</v>
      </c>
      <c r="D31" s="871">
        <v>46024</v>
      </c>
      <c r="E31" s="900" t="s">
        <v>2536</v>
      </c>
      <c r="F31" t="s">
        <v>720</v>
      </c>
      <c r="G31" t="s">
        <v>721</v>
      </c>
      <c r="H31" t="s">
        <v>1158</v>
      </c>
      <c r="I31" t="s">
        <v>2512</v>
      </c>
      <c r="K31" t="s">
        <v>668</v>
      </c>
      <c r="L31" s="871"/>
      <c r="O31" s="256" t="str">
        <f ca="1">IF(OR(tblAvisos[[#This Row],[Estado trabajo]]="Cerrado",tblAvisos[[#This Row],[Fecha reporte]]=""),"",TODAY()-tblAvisos[[#This Row],[Fecha reporte]])</f>
        <v/>
      </c>
      <c r="P31" t="str">
        <f ca="1">IF(tblAvisos[[#This Row],[Fecha reporte]]="","Sin fecha",IF(tblAvisos[[#This Row],[Fecha reporte]]&lt;DATE(2020,1,1),"Fecha inválida",IF(tblAvisos[[#This Row],[Fecha reporte]]&gt;TODAY(),"Fecha futura",IF(tblAvisos[[#This Row],[Aviso SAP]]="","Sin aviso SAP",IF(tblAvisos[[#This Row],[Criticidad]]="","Sin criticidad","OK")))))</f>
        <v>Sin aviso SAP</v>
      </c>
      <c r="Q31" s="901" t="s">
        <v>2562</v>
      </c>
    </row>
    <row r="32" spans="2:17">
      <c r="B32" s="853" cm="1">
        <f t="array" ref="B32">ROW()-ROW(tblAvisos[#Headers])</f>
        <v>28</v>
      </c>
      <c r="C32" t="s">
        <v>2501</v>
      </c>
      <c r="D32" s="871">
        <v>46025</v>
      </c>
      <c r="E32" s="900" t="s">
        <v>2536</v>
      </c>
      <c r="F32" t="s">
        <v>722</v>
      </c>
      <c r="G32" t="s">
        <v>723</v>
      </c>
      <c r="H32" t="s">
        <v>2506</v>
      </c>
      <c r="I32" t="s">
        <v>2512</v>
      </c>
      <c r="K32" t="s">
        <v>665</v>
      </c>
      <c r="L32" s="871"/>
      <c r="O32" s="256" t="str">
        <f ca="1">IF(OR(tblAvisos[[#This Row],[Estado trabajo]]="Cerrado",tblAvisos[[#This Row],[Fecha reporte]]=""),"",TODAY()-tblAvisos[[#This Row],[Fecha reporte]])</f>
        <v/>
      </c>
      <c r="P32" t="str">
        <f ca="1">IF(tblAvisos[[#This Row],[Fecha reporte]]="","Sin fecha",IF(tblAvisos[[#This Row],[Fecha reporte]]&lt;DATE(2020,1,1),"Fecha inválida",IF(tblAvisos[[#This Row],[Fecha reporte]]&gt;TODAY(),"Fecha futura",IF(tblAvisos[[#This Row],[Aviso SAP]]="","Sin aviso SAP",IF(tblAvisos[[#This Row],[Criticidad]]="","Sin criticidad","OK")))))</f>
        <v>Sin aviso SAP</v>
      </c>
      <c r="Q32" s="901" t="s">
        <v>2563</v>
      </c>
    </row>
    <row r="33" spans="2:17">
      <c r="B33" s="853" cm="1">
        <f t="array" ref="B33">ROW()-ROW(tblAvisos[#Headers])</f>
        <v>29</v>
      </c>
      <c r="C33" t="s">
        <v>2501</v>
      </c>
      <c r="D33" s="871">
        <v>46026</v>
      </c>
      <c r="E33" s="900" t="s">
        <v>2536</v>
      </c>
      <c r="F33" t="s">
        <v>725</v>
      </c>
      <c r="G33" t="s">
        <v>726</v>
      </c>
      <c r="H33" t="s">
        <v>1158</v>
      </c>
      <c r="I33" t="s">
        <v>2512</v>
      </c>
      <c r="K33" t="s">
        <v>665</v>
      </c>
      <c r="L33" s="871"/>
      <c r="O33" s="256" t="str">
        <f ca="1">IF(OR(tblAvisos[[#This Row],[Estado trabajo]]="Cerrado",tblAvisos[[#This Row],[Fecha reporte]]=""),"",TODAY()-tblAvisos[[#This Row],[Fecha reporte]])</f>
        <v/>
      </c>
      <c r="P33" t="str">
        <f ca="1">IF(tblAvisos[[#This Row],[Fecha reporte]]="","Sin fecha",IF(tblAvisos[[#This Row],[Fecha reporte]]&lt;DATE(2020,1,1),"Fecha inválida",IF(tblAvisos[[#This Row],[Fecha reporte]]&gt;TODAY(),"Fecha futura",IF(tblAvisos[[#This Row],[Aviso SAP]]="","Sin aviso SAP",IF(tblAvisos[[#This Row],[Criticidad]]="","Sin criticidad","OK")))))</f>
        <v>Sin aviso SAP</v>
      </c>
      <c r="Q33" s="901" t="s">
        <v>2564</v>
      </c>
    </row>
    <row r="34" spans="2:17">
      <c r="B34" s="853" cm="1">
        <f t="array" ref="B34">ROW()-ROW(tblAvisos[#Headers])</f>
        <v>30</v>
      </c>
      <c r="C34" t="s">
        <v>2501</v>
      </c>
      <c r="D34" s="871">
        <v>46027</v>
      </c>
      <c r="E34" s="900" t="s">
        <v>2536</v>
      </c>
      <c r="F34" t="s">
        <v>727</v>
      </c>
      <c r="G34" t="s">
        <v>728</v>
      </c>
      <c r="H34" t="s">
        <v>1158</v>
      </c>
      <c r="I34" t="s">
        <v>2512</v>
      </c>
      <c r="K34" t="s">
        <v>668</v>
      </c>
      <c r="L34" s="871"/>
      <c r="O34" s="256" t="str">
        <f ca="1">IF(OR(tblAvisos[[#This Row],[Estado trabajo]]="Cerrado",tblAvisos[[#This Row],[Fecha reporte]]=""),"",TODAY()-tblAvisos[[#This Row],[Fecha reporte]])</f>
        <v/>
      </c>
      <c r="P34" t="str">
        <f ca="1">IF(tblAvisos[[#This Row],[Fecha reporte]]="","Sin fecha",IF(tblAvisos[[#This Row],[Fecha reporte]]&lt;DATE(2020,1,1),"Fecha inválida",IF(tblAvisos[[#This Row],[Fecha reporte]]&gt;TODAY(),"Fecha futura",IF(tblAvisos[[#This Row],[Aviso SAP]]="","Sin aviso SAP",IF(tblAvisos[[#This Row],[Criticidad]]="","Sin criticidad","OK")))))</f>
        <v>Sin aviso SAP</v>
      </c>
      <c r="Q34" s="901" t="s">
        <v>2565</v>
      </c>
    </row>
    <row r="35" spans="2:17">
      <c r="B35" s="853" cm="1">
        <f t="array" ref="B35">ROW()-ROW(tblAvisos[#Headers])</f>
        <v>31</v>
      </c>
      <c r="C35" t="s">
        <v>2501</v>
      </c>
      <c r="D35" s="871">
        <v>46028</v>
      </c>
      <c r="E35" s="900" t="s">
        <v>2536</v>
      </c>
      <c r="F35" t="s">
        <v>729</v>
      </c>
      <c r="G35" t="s">
        <v>730</v>
      </c>
      <c r="H35" t="s">
        <v>1170</v>
      </c>
      <c r="I35" t="s">
        <v>2512</v>
      </c>
      <c r="K35" t="s">
        <v>668</v>
      </c>
      <c r="L35" s="871"/>
      <c r="O35" s="256" t="str">
        <f ca="1">IF(OR(tblAvisos[[#This Row],[Estado trabajo]]="Cerrado",tblAvisos[[#This Row],[Fecha reporte]]=""),"",TODAY()-tblAvisos[[#This Row],[Fecha reporte]])</f>
        <v/>
      </c>
      <c r="P35" t="str">
        <f ca="1">IF(tblAvisos[[#This Row],[Fecha reporte]]="","Sin fecha",IF(tblAvisos[[#This Row],[Fecha reporte]]&lt;DATE(2020,1,1),"Fecha inválida",IF(tblAvisos[[#This Row],[Fecha reporte]]&gt;TODAY(),"Fecha futura",IF(tblAvisos[[#This Row],[Aviso SAP]]="","Sin aviso SAP",IF(tblAvisos[[#This Row],[Criticidad]]="","Sin criticidad","OK")))))</f>
        <v>Sin aviso SAP</v>
      </c>
      <c r="Q35" s="901" t="s">
        <v>2566</v>
      </c>
    </row>
    <row r="36" spans="2:17">
      <c r="B36" s="853" cm="1">
        <f t="array" ref="B36">ROW()-ROW(tblAvisos[#Headers])</f>
        <v>32</v>
      </c>
      <c r="C36" t="s">
        <v>2501</v>
      </c>
      <c r="D36" s="871">
        <v>46029</v>
      </c>
      <c r="E36" s="900" t="s">
        <v>2536</v>
      </c>
      <c r="F36" t="s">
        <v>731</v>
      </c>
      <c r="G36" t="s">
        <v>715</v>
      </c>
      <c r="H36" t="s">
        <v>1158</v>
      </c>
      <c r="I36" t="s">
        <v>2512</v>
      </c>
      <c r="K36" t="s">
        <v>668</v>
      </c>
      <c r="L36" s="871"/>
      <c r="O36" s="256" t="str">
        <f ca="1">IF(OR(tblAvisos[[#This Row],[Estado trabajo]]="Cerrado",tblAvisos[[#This Row],[Fecha reporte]]=""),"",TODAY()-tblAvisos[[#This Row],[Fecha reporte]])</f>
        <v/>
      </c>
      <c r="P36" t="str">
        <f ca="1">IF(tblAvisos[[#This Row],[Fecha reporte]]="","Sin fecha",IF(tblAvisos[[#This Row],[Fecha reporte]]&lt;DATE(2020,1,1),"Fecha inválida",IF(tblAvisos[[#This Row],[Fecha reporte]]&gt;TODAY(),"Fecha futura",IF(tblAvisos[[#This Row],[Aviso SAP]]="","Sin aviso SAP",IF(tblAvisos[[#This Row],[Criticidad]]="","Sin criticidad","OK")))))</f>
        <v>Sin aviso SAP</v>
      </c>
      <c r="Q36" s="901" t="s">
        <v>2567</v>
      </c>
    </row>
    <row r="37" spans="2:17">
      <c r="B37" s="853" cm="1">
        <f t="array" ref="B37">ROW()-ROW(tblAvisos[#Headers])</f>
        <v>33</v>
      </c>
      <c r="C37" t="s">
        <v>2501</v>
      </c>
      <c r="D37" s="871">
        <v>46029</v>
      </c>
      <c r="E37" s="900" t="s">
        <v>2536</v>
      </c>
      <c r="F37" t="s">
        <v>732</v>
      </c>
      <c r="G37" t="s">
        <v>733</v>
      </c>
      <c r="H37" t="s">
        <v>1158</v>
      </c>
      <c r="I37" t="s">
        <v>2512</v>
      </c>
      <c r="K37" t="s">
        <v>668</v>
      </c>
      <c r="L37" s="871"/>
      <c r="O37" s="256" t="str">
        <f ca="1">IF(OR(tblAvisos[[#This Row],[Estado trabajo]]="Cerrado",tblAvisos[[#This Row],[Fecha reporte]]=""),"",TODAY()-tblAvisos[[#This Row],[Fecha reporte]])</f>
        <v/>
      </c>
      <c r="P37" t="str">
        <f ca="1">IF(tblAvisos[[#This Row],[Fecha reporte]]="","Sin fecha",IF(tblAvisos[[#This Row],[Fecha reporte]]&lt;DATE(2020,1,1),"Fecha inválida",IF(tblAvisos[[#This Row],[Fecha reporte]]&gt;TODAY(),"Fecha futura",IF(tblAvisos[[#This Row],[Aviso SAP]]="","Sin aviso SAP",IF(tblAvisos[[#This Row],[Criticidad]]="","Sin criticidad","OK")))))</f>
        <v>Sin aviso SAP</v>
      </c>
      <c r="Q37" s="901" t="s">
        <v>2568</v>
      </c>
    </row>
    <row r="38" spans="2:17">
      <c r="B38" s="853" cm="1">
        <f t="array" ref="B38">ROW()-ROW(tblAvisos[#Headers])</f>
        <v>34</v>
      </c>
      <c r="C38" t="s">
        <v>2501</v>
      </c>
      <c r="D38" s="871">
        <v>46029</v>
      </c>
      <c r="E38" s="900" t="s">
        <v>2536</v>
      </c>
      <c r="F38" t="s">
        <v>734</v>
      </c>
      <c r="G38" t="s">
        <v>735</v>
      </c>
      <c r="H38" t="s">
        <v>1158</v>
      </c>
      <c r="I38" t="s">
        <v>2512</v>
      </c>
      <c r="K38" t="s">
        <v>668</v>
      </c>
      <c r="L38" s="871"/>
      <c r="O38" s="256" t="str">
        <f ca="1">IF(OR(tblAvisos[[#This Row],[Estado trabajo]]="Cerrado",tblAvisos[[#This Row],[Fecha reporte]]=""),"",TODAY()-tblAvisos[[#This Row],[Fecha reporte]])</f>
        <v/>
      </c>
      <c r="P38" t="str">
        <f ca="1">IF(tblAvisos[[#This Row],[Fecha reporte]]="","Sin fecha",IF(tblAvisos[[#This Row],[Fecha reporte]]&lt;DATE(2020,1,1),"Fecha inválida",IF(tblAvisos[[#This Row],[Fecha reporte]]&gt;TODAY(),"Fecha futura",IF(tblAvisos[[#This Row],[Aviso SAP]]="","Sin aviso SAP",IF(tblAvisos[[#This Row],[Criticidad]]="","Sin criticidad","OK")))))</f>
        <v>Sin aviso SAP</v>
      </c>
      <c r="Q38" s="901" t="s">
        <v>2569</v>
      </c>
    </row>
    <row r="39" spans="2:17">
      <c r="B39" s="853" cm="1">
        <f t="array" ref="B39">ROW()-ROW(tblAvisos[#Headers])</f>
        <v>35</v>
      </c>
      <c r="C39" t="s">
        <v>2501</v>
      </c>
      <c r="D39" s="871">
        <v>46030</v>
      </c>
      <c r="E39" s="900" t="s">
        <v>2536</v>
      </c>
      <c r="F39" t="s">
        <v>719</v>
      </c>
      <c r="G39" t="s">
        <v>736</v>
      </c>
      <c r="H39" t="s">
        <v>1158</v>
      </c>
      <c r="I39" t="s">
        <v>2512</v>
      </c>
      <c r="K39" t="s">
        <v>672</v>
      </c>
      <c r="L39" s="871"/>
      <c r="O39" s="256" t="str">
        <f ca="1">IF(OR(tblAvisos[[#This Row],[Estado trabajo]]="Cerrado",tblAvisos[[#This Row],[Fecha reporte]]=""),"",TODAY()-tblAvisos[[#This Row],[Fecha reporte]])</f>
        <v/>
      </c>
      <c r="P39" t="str">
        <f ca="1">IF(tblAvisos[[#This Row],[Fecha reporte]]="","Sin fecha",IF(tblAvisos[[#This Row],[Fecha reporte]]&lt;DATE(2020,1,1),"Fecha inválida",IF(tblAvisos[[#This Row],[Fecha reporte]]&gt;TODAY(),"Fecha futura",IF(tblAvisos[[#This Row],[Aviso SAP]]="","Sin aviso SAP",IF(tblAvisos[[#This Row],[Criticidad]]="","Sin criticidad","OK")))))</f>
        <v>Sin aviso SAP</v>
      </c>
      <c r="Q39" s="901" t="s">
        <v>2570</v>
      </c>
    </row>
    <row r="40" spans="2:17">
      <c r="B40" s="853" cm="1">
        <f t="array" ref="B40">ROW()-ROW(tblAvisos[#Headers])</f>
        <v>36</v>
      </c>
      <c r="C40" t="s">
        <v>2501</v>
      </c>
      <c r="D40" s="871">
        <v>46030</v>
      </c>
      <c r="E40" s="900" t="s">
        <v>2536</v>
      </c>
      <c r="F40" t="s">
        <v>737</v>
      </c>
      <c r="G40" t="s">
        <v>738</v>
      </c>
      <c r="H40" t="s">
        <v>1158</v>
      </c>
      <c r="I40" t="s">
        <v>2512</v>
      </c>
      <c r="K40" t="s">
        <v>668</v>
      </c>
      <c r="L40" s="871"/>
      <c r="O40" s="256" t="str">
        <f ca="1">IF(OR(tblAvisos[[#This Row],[Estado trabajo]]="Cerrado",tblAvisos[[#This Row],[Fecha reporte]]=""),"",TODAY()-tblAvisos[[#This Row],[Fecha reporte]])</f>
        <v/>
      </c>
      <c r="P40" t="str">
        <f ca="1">IF(tblAvisos[[#This Row],[Fecha reporte]]="","Sin fecha",IF(tblAvisos[[#This Row],[Fecha reporte]]&lt;DATE(2020,1,1),"Fecha inválida",IF(tblAvisos[[#This Row],[Fecha reporte]]&gt;TODAY(),"Fecha futura",IF(tblAvisos[[#This Row],[Aviso SAP]]="","Sin aviso SAP",IF(tblAvisos[[#This Row],[Criticidad]]="","Sin criticidad","OK")))))</f>
        <v>Sin aviso SAP</v>
      </c>
      <c r="Q40" s="901" t="s">
        <v>2571</v>
      </c>
    </row>
    <row r="41" spans="2:17">
      <c r="B41" s="853" cm="1">
        <f t="array" ref="B41">ROW()-ROW(tblAvisos[#Headers])</f>
        <v>37</v>
      </c>
      <c r="C41" t="s">
        <v>2501</v>
      </c>
      <c r="D41" s="871">
        <v>46031</v>
      </c>
      <c r="E41" s="900" t="s">
        <v>2536</v>
      </c>
      <c r="F41" t="s">
        <v>739</v>
      </c>
      <c r="G41" t="s">
        <v>740</v>
      </c>
      <c r="H41" t="s">
        <v>1158</v>
      </c>
      <c r="I41" t="s">
        <v>2512</v>
      </c>
      <c r="K41" t="s">
        <v>668</v>
      </c>
      <c r="L41" s="871"/>
      <c r="O41" s="256" t="str">
        <f ca="1">IF(OR(tblAvisos[[#This Row],[Estado trabajo]]="Cerrado",tblAvisos[[#This Row],[Fecha reporte]]=""),"",TODAY()-tblAvisos[[#This Row],[Fecha reporte]])</f>
        <v/>
      </c>
      <c r="P41" t="str">
        <f ca="1">IF(tblAvisos[[#This Row],[Fecha reporte]]="","Sin fecha",IF(tblAvisos[[#This Row],[Fecha reporte]]&lt;DATE(2020,1,1),"Fecha inválida",IF(tblAvisos[[#This Row],[Fecha reporte]]&gt;TODAY(),"Fecha futura",IF(tblAvisos[[#This Row],[Aviso SAP]]="","Sin aviso SAP",IF(tblAvisos[[#This Row],[Criticidad]]="","Sin criticidad","OK")))))</f>
        <v>Sin aviso SAP</v>
      </c>
      <c r="Q41" s="901" t="s">
        <v>2572</v>
      </c>
    </row>
    <row r="42" spans="2:17">
      <c r="B42" s="853" cm="1">
        <f t="array" ref="B42">ROW()-ROW(tblAvisos[#Headers])</f>
        <v>38</v>
      </c>
      <c r="C42" t="s">
        <v>2501</v>
      </c>
      <c r="D42" s="871">
        <v>46032</v>
      </c>
      <c r="E42" s="900" t="s">
        <v>2536</v>
      </c>
      <c r="F42" t="s">
        <v>699</v>
      </c>
      <c r="G42" t="s">
        <v>704</v>
      </c>
      <c r="H42" t="s">
        <v>1158</v>
      </c>
      <c r="I42" t="s">
        <v>2512</v>
      </c>
      <c r="K42" t="s">
        <v>668</v>
      </c>
      <c r="L42" s="871"/>
      <c r="O42" s="256" t="str">
        <f ca="1">IF(OR(tblAvisos[[#This Row],[Estado trabajo]]="Cerrado",tblAvisos[[#This Row],[Fecha reporte]]=""),"",TODAY()-tblAvisos[[#This Row],[Fecha reporte]])</f>
        <v/>
      </c>
      <c r="P42" t="str">
        <f ca="1">IF(tblAvisos[[#This Row],[Fecha reporte]]="","Sin fecha",IF(tblAvisos[[#This Row],[Fecha reporte]]&lt;DATE(2020,1,1),"Fecha inválida",IF(tblAvisos[[#This Row],[Fecha reporte]]&gt;TODAY(),"Fecha futura",IF(tblAvisos[[#This Row],[Aviso SAP]]="","Sin aviso SAP",IF(tblAvisos[[#This Row],[Criticidad]]="","Sin criticidad","OK")))))</f>
        <v>Sin aviso SAP</v>
      </c>
      <c r="Q42" s="901" t="s">
        <v>2573</v>
      </c>
    </row>
    <row r="43" spans="2:17">
      <c r="B43" s="853" cm="1">
        <f t="array" ref="B43">ROW()-ROW(tblAvisos[#Headers])</f>
        <v>39</v>
      </c>
      <c r="C43" t="s">
        <v>2501</v>
      </c>
      <c r="D43" s="871">
        <v>46032</v>
      </c>
      <c r="E43" s="900" t="s">
        <v>2536</v>
      </c>
      <c r="F43" t="s">
        <v>741</v>
      </c>
      <c r="G43" t="s">
        <v>742</v>
      </c>
      <c r="H43" t="s">
        <v>2507</v>
      </c>
      <c r="I43" t="s">
        <v>2512</v>
      </c>
      <c r="K43" t="s">
        <v>668</v>
      </c>
      <c r="L43" s="871"/>
      <c r="O43" s="256" t="str">
        <f ca="1">IF(OR(tblAvisos[[#This Row],[Estado trabajo]]="Cerrado",tblAvisos[[#This Row],[Fecha reporte]]=""),"",TODAY()-tblAvisos[[#This Row],[Fecha reporte]])</f>
        <v/>
      </c>
      <c r="P43" t="str">
        <f ca="1">IF(tblAvisos[[#This Row],[Fecha reporte]]="","Sin fecha",IF(tblAvisos[[#This Row],[Fecha reporte]]&lt;DATE(2020,1,1),"Fecha inválida",IF(tblAvisos[[#This Row],[Fecha reporte]]&gt;TODAY(),"Fecha futura",IF(tblAvisos[[#This Row],[Aviso SAP]]="","Sin aviso SAP",IF(tblAvisos[[#This Row],[Criticidad]]="","Sin criticidad","OK")))))</f>
        <v>Sin aviso SAP</v>
      </c>
      <c r="Q43" s="901" t="s">
        <v>2574</v>
      </c>
    </row>
    <row r="44" spans="2:17">
      <c r="B44" s="853" cm="1">
        <f t="array" ref="B44">ROW()-ROW(tblAvisos[#Headers])</f>
        <v>40</v>
      </c>
      <c r="C44" t="s">
        <v>2501</v>
      </c>
      <c r="D44" s="871">
        <v>46034</v>
      </c>
      <c r="E44" s="900" t="s">
        <v>2536</v>
      </c>
      <c r="F44" t="s">
        <v>744</v>
      </c>
      <c r="G44" t="s">
        <v>2575</v>
      </c>
      <c r="H44" t="s">
        <v>1158</v>
      </c>
      <c r="I44" t="s">
        <v>2512</v>
      </c>
      <c r="K44" t="s">
        <v>668</v>
      </c>
      <c r="L44" s="871"/>
      <c r="O44" s="256" t="str">
        <f ca="1">IF(OR(tblAvisos[[#This Row],[Estado trabajo]]="Cerrado",tblAvisos[[#This Row],[Fecha reporte]]=""),"",TODAY()-tblAvisos[[#This Row],[Fecha reporte]])</f>
        <v/>
      </c>
      <c r="P44" t="str">
        <f ca="1">IF(tblAvisos[[#This Row],[Fecha reporte]]="","Sin fecha",IF(tblAvisos[[#This Row],[Fecha reporte]]&lt;DATE(2020,1,1),"Fecha inválida",IF(tblAvisos[[#This Row],[Fecha reporte]]&gt;TODAY(),"Fecha futura",IF(tblAvisos[[#This Row],[Aviso SAP]]="","Sin aviso SAP",IF(tblAvisos[[#This Row],[Criticidad]]="","Sin criticidad","OK")))))</f>
        <v>Sin aviso SAP</v>
      </c>
      <c r="Q44" s="901" t="s">
        <v>2576</v>
      </c>
    </row>
    <row r="45" spans="2:17">
      <c r="B45" s="853" cm="1">
        <f t="array" ref="B45">ROW()-ROW(tblAvisos[#Headers])</f>
        <v>41</v>
      </c>
      <c r="C45" t="s">
        <v>2501</v>
      </c>
      <c r="D45" s="871">
        <v>46035</v>
      </c>
      <c r="E45" s="900" t="s">
        <v>2536</v>
      </c>
      <c r="F45" t="s">
        <v>746</v>
      </c>
      <c r="G45" t="s">
        <v>747</v>
      </c>
      <c r="H45" t="s">
        <v>1158</v>
      </c>
      <c r="I45" t="s">
        <v>2512</v>
      </c>
      <c r="K45" t="s">
        <v>668</v>
      </c>
      <c r="L45" s="871"/>
      <c r="O45" s="256" t="str">
        <f ca="1">IF(OR(tblAvisos[[#This Row],[Estado trabajo]]="Cerrado",tblAvisos[[#This Row],[Fecha reporte]]=""),"",TODAY()-tblAvisos[[#This Row],[Fecha reporte]])</f>
        <v/>
      </c>
      <c r="P45" t="str">
        <f ca="1">IF(tblAvisos[[#This Row],[Fecha reporte]]="","Sin fecha",IF(tblAvisos[[#This Row],[Fecha reporte]]&lt;DATE(2020,1,1),"Fecha inválida",IF(tblAvisos[[#This Row],[Fecha reporte]]&gt;TODAY(),"Fecha futura",IF(tblAvisos[[#This Row],[Aviso SAP]]="","Sin aviso SAP",IF(tblAvisos[[#This Row],[Criticidad]]="","Sin criticidad","OK")))))</f>
        <v>Sin aviso SAP</v>
      </c>
      <c r="Q45" s="901" t="s">
        <v>2577</v>
      </c>
    </row>
    <row r="46" spans="2:17">
      <c r="B46" s="853" cm="1">
        <f t="array" ref="B46">ROW()-ROW(tblAvisos[#Headers])</f>
        <v>42</v>
      </c>
      <c r="C46" t="s">
        <v>2501</v>
      </c>
      <c r="D46" s="871">
        <v>46036</v>
      </c>
      <c r="E46" s="900" t="s">
        <v>2536</v>
      </c>
      <c r="F46" t="s">
        <v>684</v>
      </c>
      <c r="G46" t="s">
        <v>2578</v>
      </c>
      <c r="H46" t="s">
        <v>2507</v>
      </c>
      <c r="I46" t="s">
        <v>2512</v>
      </c>
      <c r="K46" t="s">
        <v>668</v>
      </c>
      <c r="L46" s="871"/>
      <c r="O46" s="256" t="str">
        <f ca="1">IF(OR(tblAvisos[[#This Row],[Estado trabajo]]="Cerrado",tblAvisos[[#This Row],[Fecha reporte]]=""),"",TODAY()-tblAvisos[[#This Row],[Fecha reporte]])</f>
        <v/>
      </c>
      <c r="P46" t="str">
        <f ca="1">IF(tblAvisos[[#This Row],[Fecha reporte]]="","Sin fecha",IF(tblAvisos[[#This Row],[Fecha reporte]]&lt;DATE(2020,1,1),"Fecha inválida",IF(tblAvisos[[#This Row],[Fecha reporte]]&gt;TODAY(),"Fecha futura",IF(tblAvisos[[#This Row],[Aviso SAP]]="","Sin aviso SAP",IF(tblAvisos[[#This Row],[Criticidad]]="","Sin criticidad","OK")))))</f>
        <v>Sin aviso SAP</v>
      </c>
      <c r="Q46" s="901" t="s">
        <v>2579</v>
      </c>
    </row>
    <row r="47" spans="2:17">
      <c r="B47" s="853" cm="1">
        <f t="array" ref="B47">ROW()-ROW(tblAvisos[#Headers])</f>
        <v>43</v>
      </c>
      <c r="C47" t="s">
        <v>2501</v>
      </c>
      <c r="D47" s="871">
        <v>46036</v>
      </c>
      <c r="E47" s="900" t="s">
        <v>2536</v>
      </c>
      <c r="F47" t="s">
        <v>729</v>
      </c>
      <c r="G47" t="s">
        <v>749</v>
      </c>
      <c r="H47" t="s">
        <v>1158</v>
      </c>
      <c r="I47" t="s">
        <v>2512</v>
      </c>
      <c r="K47" t="s">
        <v>668</v>
      </c>
      <c r="L47" s="871"/>
      <c r="O47" s="256" t="str">
        <f ca="1">IF(OR(tblAvisos[[#This Row],[Estado trabajo]]="Cerrado",tblAvisos[[#This Row],[Fecha reporte]]=""),"",TODAY()-tblAvisos[[#This Row],[Fecha reporte]])</f>
        <v/>
      </c>
      <c r="P47" t="str">
        <f ca="1">IF(tblAvisos[[#This Row],[Fecha reporte]]="","Sin fecha",IF(tblAvisos[[#This Row],[Fecha reporte]]&lt;DATE(2020,1,1),"Fecha inválida",IF(tblAvisos[[#This Row],[Fecha reporte]]&gt;TODAY(),"Fecha futura",IF(tblAvisos[[#This Row],[Aviso SAP]]="","Sin aviso SAP",IF(tblAvisos[[#This Row],[Criticidad]]="","Sin criticidad","OK")))))</f>
        <v>Sin aviso SAP</v>
      </c>
      <c r="Q47" s="901" t="s">
        <v>2580</v>
      </c>
    </row>
    <row r="48" spans="2:17">
      <c r="B48" s="853" cm="1">
        <f t="array" ref="B48">ROW()-ROW(tblAvisos[#Headers])</f>
        <v>44</v>
      </c>
      <c r="C48" t="s">
        <v>2501</v>
      </c>
      <c r="D48" s="871">
        <v>46036</v>
      </c>
      <c r="E48" s="900" t="s">
        <v>2536</v>
      </c>
      <c r="F48" t="s">
        <v>739</v>
      </c>
      <c r="G48" t="s">
        <v>750</v>
      </c>
      <c r="H48" t="s">
        <v>1158</v>
      </c>
      <c r="I48" t="s">
        <v>2512</v>
      </c>
      <c r="K48" t="s">
        <v>668</v>
      </c>
      <c r="L48" s="871"/>
      <c r="O48" s="256" t="str">
        <f ca="1">IF(OR(tblAvisos[[#This Row],[Estado trabajo]]="Cerrado",tblAvisos[[#This Row],[Fecha reporte]]=""),"",TODAY()-tblAvisos[[#This Row],[Fecha reporte]])</f>
        <v/>
      </c>
      <c r="P48" t="str">
        <f ca="1">IF(tblAvisos[[#This Row],[Fecha reporte]]="","Sin fecha",IF(tblAvisos[[#This Row],[Fecha reporte]]&lt;DATE(2020,1,1),"Fecha inválida",IF(tblAvisos[[#This Row],[Fecha reporte]]&gt;TODAY(),"Fecha futura",IF(tblAvisos[[#This Row],[Aviso SAP]]="","Sin aviso SAP",IF(tblAvisos[[#This Row],[Criticidad]]="","Sin criticidad","OK")))))</f>
        <v>Sin aviso SAP</v>
      </c>
      <c r="Q48" s="901" t="s">
        <v>2581</v>
      </c>
    </row>
    <row r="49" spans="2:17">
      <c r="B49" s="853" cm="1">
        <f t="array" ref="B49">ROW()-ROW(tblAvisos[#Headers])</f>
        <v>45</v>
      </c>
      <c r="C49" t="s">
        <v>2501</v>
      </c>
      <c r="D49" s="871">
        <v>46037</v>
      </c>
      <c r="E49" s="900" t="s">
        <v>2536</v>
      </c>
      <c r="F49" t="s">
        <v>751</v>
      </c>
      <c r="G49" t="s">
        <v>752</v>
      </c>
      <c r="H49" t="s">
        <v>1158</v>
      </c>
      <c r="I49" t="s">
        <v>2512</v>
      </c>
      <c r="K49" t="s">
        <v>665</v>
      </c>
      <c r="L49" s="871"/>
      <c r="O49" s="256" t="str">
        <f ca="1">IF(OR(tblAvisos[[#This Row],[Estado trabajo]]="Cerrado",tblAvisos[[#This Row],[Fecha reporte]]=""),"",TODAY()-tblAvisos[[#This Row],[Fecha reporte]])</f>
        <v/>
      </c>
      <c r="P49" t="str">
        <f ca="1">IF(tblAvisos[[#This Row],[Fecha reporte]]="","Sin fecha",IF(tblAvisos[[#This Row],[Fecha reporte]]&lt;DATE(2020,1,1),"Fecha inválida",IF(tblAvisos[[#This Row],[Fecha reporte]]&gt;TODAY(),"Fecha futura",IF(tblAvisos[[#This Row],[Aviso SAP]]="","Sin aviso SAP",IF(tblAvisos[[#This Row],[Criticidad]]="","Sin criticidad","OK")))))</f>
        <v>Sin aviso SAP</v>
      </c>
      <c r="Q49" s="901" t="s">
        <v>2582</v>
      </c>
    </row>
    <row r="50" spans="2:17">
      <c r="B50" s="853" cm="1">
        <f t="array" ref="B50">ROW()-ROW(tblAvisos[#Headers])</f>
        <v>46</v>
      </c>
      <c r="C50" t="s">
        <v>2501</v>
      </c>
      <c r="D50" s="871">
        <v>46038</v>
      </c>
      <c r="E50" s="900" t="s">
        <v>2536</v>
      </c>
      <c r="F50" t="s">
        <v>663</v>
      </c>
      <c r="G50" t="s">
        <v>753</v>
      </c>
      <c r="H50" t="s">
        <v>1158</v>
      </c>
      <c r="I50" t="s">
        <v>2512</v>
      </c>
      <c r="K50" t="s">
        <v>668</v>
      </c>
      <c r="L50" s="871"/>
      <c r="O50" s="256" t="str">
        <f ca="1">IF(OR(tblAvisos[[#This Row],[Estado trabajo]]="Cerrado",tblAvisos[[#This Row],[Fecha reporte]]=""),"",TODAY()-tblAvisos[[#This Row],[Fecha reporte]])</f>
        <v/>
      </c>
      <c r="P50" t="str">
        <f ca="1">IF(tblAvisos[[#This Row],[Fecha reporte]]="","Sin fecha",IF(tblAvisos[[#This Row],[Fecha reporte]]&lt;DATE(2020,1,1),"Fecha inválida",IF(tblAvisos[[#This Row],[Fecha reporte]]&gt;TODAY(),"Fecha futura",IF(tblAvisos[[#This Row],[Aviso SAP]]="","Sin aviso SAP",IF(tblAvisos[[#This Row],[Criticidad]]="","Sin criticidad","OK")))))</f>
        <v>Sin aviso SAP</v>
      </c>
      <c r="Q50" s="901" t="s">
        <v>2583</v>
      </c>
    </row>
    <row r="51" spans="2:17">
      <c r="B51" s="853" cm="1">
        <f t="array" ref="B51">ROW()-ROW(tblAvisos[#Headers])</f>
        <v>47</v>
      </c>
      <c r="C51" t="s">
        <v>2501</v>
      </c>
      <c r="D51" s="871">
        <v>46039</v>
      </c>
      <c r="E51" s="900" t="s">
        <v>2536</v>
      </c>
      <c r="F51" t="s">
        <v>754</v>
      </c>
      <c r="G51" t="s">
        <v>755</v>
      </c>
      <c r="H51" t="s">
        <v>1158</v>
      </c>
      <c r="I51" t="s">
        <v>2512</v>
      </c>
      <c r="K51" t="s">
        <v>668</v>
      </c>
      <c r="L51" s="871"/>
      <c r="O51" s="256" t="str">
        <f ca="1">IF(OR(tblAvisos[[#This Row],[Estado trabajo]]="Cerrado",tblAvisos[[#This Row],[Fecha reporte]]=""),"",TODAY()-tblAvisos[[#This Row],[Fecha reporte]])</f>
        <v/>
      </c>
      <c r="P51" t="str">
        <f ca="1">IF(tblAvisos[[#This Row],[Fecha reporte]]="","Sin fecha",IF(tblAvisos[[#This Row],[Fecha reporte]]&lt;DATE(2020,1,1),"Fecha inválida",IF(tblAvisos[[#This Row],[Fecha reporte]]&gt;TODAY(),"Fecha futura",IF(tblAvisos[[#This Row],[Aviso SAP]]="","Sin aviso SAP",IF(tblAvisos[[#This Row],[Criticidad]]="","Sin criticidad","OK")))))</f>
        <v>Sin aviso SAP</v>
      </c>
      <c r="Q51" s="901" t="s">
        <v>2584</v>
      </c>
    </row>
    <row r="52" spans="2:17">
      <c r="B52" s="853" cm="1">
        <f t="array" ref="B52">ROW()-ROW(tblAvisos[#Headers])</f>
        <v>48</v>
      </c>
      <c r="C52" t="s">
        <v>2501</v>
      </c>
      <c r="D52" s="871">
        <v>46041</v>
      </c>
      <c r="E52" s="900" t="s">
        <v>2536</v>
      </c>
      <c r="F52" t="s">
        <v>756</v>
      </c>
      <c r="G52" t="s">
        <v>757</v>
      </c>
      <c r="H52" t="s">
        <v>1158</v>
      </c>
      <c r="I52" t="s">
        <v>2512</v>
      </c>
      <c r="K52" t="s">
        <v>665</v>
      </c>
      <c r="L52" s="871"/>
      <c r="O52" s="256" t="str">
        <f ca="1">IF(OR(tblAvisos[[#This Row],[Estado trabajo]]="Cerrado",tblAvisos[[#This Row],[Fecha reporte]]=""),"",TODAY()-tblAvisos[[#This Row],[Fecha reporte]])</f>
        <v/>
      </c>
      <c r="P52" t="str">
        <f ca="1">IF(tblAvisos[[#This Row],[Fecha reporte]]="","Sin fecha",IF(tblAvisos[[#This Row],[Fecha reporte]]&lt;DATE(2020,1,1),"Fecha inválida",IF(tblAvisos[[#This Row],[Fecha reporte]]&gt;TODAY(),"Fecha futura",IF(tblAvisos[[#This Row],[Aviso SAP]]="","Sin aviso SAP",IF(tblAvisos[[#This Row],[Criticidad]]="","Sin criticidad","OK")))))</f>
        <v>Sin aviso SAP</v>
      </c>
      <c r="Q52" s="901" t="s">
        <v>2585</v>
      </c>
    </row>
    <row r="53" spans="2:17">
      <c r="B53" s="853" cm="1">
        <f t="array" ref="B53">ROW()-ROW(tblAvisos[#Headers])</f>
        <v>49</v>
      </c>
      <c r="C53" t="s">
        <v>2501</v>
      </c>
      <c r="D53" s="871">
        <v>46042</v>
      </c>
      <c r="E53" s="900" t="s">
        <v>2536</v>
      </c>
      <c r="F53" t="s">
        <v>699</v>
      </c>
      <c r="G53" t="s">
        <v>758</v>
      </c>
      <c r="H53" t="s">
        <v>1158</v>
      </c>
      <c r="I53" t="s">
        <v>2512</v>
      </c>
      <c r="K53" t="s">
        <v>668</v>
      </c>
      <c r="L53" s="871"/>
      <c r="O53" s="256" t="str">
        <f ca="1">IF(OR(tblAvisos[[#This Row],[Estado trabajo]]="Cerrado",tblAvisos[[#This Row],[Fecha reporte]]=""),"",TODAY()-tblAvisos[[#This Row],[Fecha reporte]])</f>
        <v/>
      </c>
      <c r="P53" t="str">
        <f ca="1">IF(tblAvisos[[#This Row],[Fecha reporte]]="","Sin fecha",IF(tblAvisos[[#This Row],[Fecha reporte]]&lt;DATE(2020,1,1),"Fecha inválida",IF(tblAvisos[[#This Row],[Fecha reporte]]&gt;TODAY(),"Fecha futura",IF(tblAvisos[[#This Row],[Aviso SAP]]="","Sin aviso SAP",IF(tblAvisos[[#This Row],[Criticidad]]="","Sin criticidad","OK")))))</f>
        <v>Sin aviso SAP</v>
      </c>
      <c r="Q53" s="901" t="s">
        <v>2586</v>
      </c>
    </row>
    <row r="54" spans="2:17">
      <c r="B54" s="853" cm="1">
        <f t="array" ref="B54">ROW()-ROW(tblAvisos[#Headers])</f>
        <v>50</v>
      </c>
      <c r="C54" t="s">
        <v>2501</v>
      </c>
      <c r="D54" s="871">
        <v>46044</v>
      </c>
      <c r="E54" s="900" t="s">
        <v>2536</v>
      </c>
      <c r="F54" t="s">
        <v>759</v>
      </c>
      <c r="G54" t="s">
        <v>760</v>
      </c>
      <c r="H54" t="s">
        <v>1158</v>
      </c>
      <c r="I54" t="s">
        <v>2512</v>
      </c>
      <c r="K54" t="s">
        <v>665</v>
      </c>
      <c r="L54" s="871"/>
      <c r="O54" s="256" t="str">
        <f ca="1">IF(OR(tblAvisos[[#This Row],[Estado trabajo]]="Cerrado",tblAvisos[[#This Row],[Fecha reporte]]=""),"",TODAY()-tblAvisos[[#This Row],[Fecha reporte]])</f>
        <v/>
      </c>
      <c r="P54" t="str">
        <f ca="1">IF(tblAvisos[[#This Row],[Fecha reporte]]="","Sin fecha",IF(tblAvisos[[#This Row],[Fecha reporte]]&lt;DATE(2020,1,1),"Fecha inválida",IF(tblAvisos[[#This Row],[Fecha reporte]]&gt;TODAY(),"Fecha futura",IF(tblAvisos[[#This Row],[Aviso SAP]]="","Sin aviso SAP",IF(tblAvisos[[#This Row],[Criticidad]]="","Sin criticidad","OK")))))</f>
        <v>Sin aviso SAP</v>
      </c>
      <c r="Q54" s="901" t="s">
        <v>2587</v>
      </c>
    </row>
    <row r="55" spans="2:17">
      <c r="B55" s="853" cm="1">
        <f t="array" ref="B55">ROW()-ROW(tblAvisos[#Headers])</f>
        <v>51</v>
      </c>
      <c r="C55" t="s">
        <v>2501</v>
      </c>
      <c r="D55" s="871">
        <v>46044</v>
      </c>
      <c r="E55" s="900" t="s">
        <v>2536</v>
      </c>
      <c r="F55" t="s">
        <v>761</v>
      </c>
      <c r="G55" t="s">
        <v>762</v>
      </c>
      <c r="H55" t="s">
        <v>1158</v>
      </c>
      <c r="I55" t="s">
        <v>2512</v>
      </c>
      <c r="K55" t="s">
        <v>665</v>
      </c>
      <c r="L55" s="871"/>
      <c r="O55" s="256" t="str">
        <f ca="1">IF(OR(tblAvisos[[#This Row],[Estado trabajo]]="Cerrado",tblAvisos[[#This Row],[Fecha reporte]]=""),"",TODAY()-tblAvisos[[#This Row],[Fecha reporte]])</f>
        <v/>
      </c>
      <c r="P55" t="str">
        <f ca="1">IF(tblAvisos[[#This Row],[Fecha reporte]]="","Sin fecha",IF(tblAvisos[[#This Row],[Fecha reporte]]&lt;DATE(2020,1,1),"Fecha inválida",IF(tblAvisos[[#This Row],[Fecha reporte]]&gt;TODAY(),"Fecha futura",IF(tblAvisos[[#This Row],[Aviso SAP]]="","Sin aviso SAP",IF(tblAvisos[[#This Row],[Criticidad]]="","Sin criticidad","OK")))))</f>
        <v>Sin aviso SAP</v>
      </c>
      <c r="Q55" s="901" t="s">
        <v>2588</v>
      </c>
    </row>
    <row r="56" spans="2:17">
      <c r="B56" s="853" cm="1">
        <f t="array" ref="B56">ROW()-ROW(tblAvisos[#Headers])</f>
        <v>52</v>
      </c>
      <c r="C56" t="s">
        <v>2501</v>
      </c>
      <c r="D56" s="871">
        <v>46045</v>
      </c>
      <c r="E56" s="900" t="s">
        <v>2536</v>
      </c>
      <c r="F56" t="s">
        <v>751</v>
      </c>
      <c r="G56" t="s">
        <v>763</v>
      </c>
      <c r="H56" t="s">
        <v>1158</v>
      </c>
      <c r="I56" t="s">
        <v>2512</v>
      </c>
      <c r="K56" t="s">
        <v>665</v>
      </c>
      <c r="L56" s="871"/>
      <c r="O56" s="256" t="str">
        <f ca="1">IF(OR(tblAvisos[[#This Row],[Estado trabajo]]="Cerrado",tblAvisos[[#This Row],[Fecha reporte]]=""),"",TODAY()-tblAvisos[[#This Row],[Fecha reporte]])</f>
        <v/>
      </c>
      <c r="P56" t="str">
        <f ca="1">IF(tblAvisos[[#This Row],[Fecha reporte]]="","Sin fecha",IF(tblAvisos[[#This Row],[Fecha reporte]]&lt;DATE(2020,1,1),"Fecha inválida",IF(tblAvisos[[#This Row],[Fecha reporte]]&gt;TODAY(),"Fecha futura",IF(tblAvisos[[#This Row],[Aviso SAP]]="","Sin aviso SAP",IF(tblAvisos[[#This Row],[Criticidad]]="","Sin criticidad","OK")))))</f>
        <v>Sin aviso SAP</v>
      </c>
      <c r="Q56" s="901" t="s">
        <v>2589</v>
      </c>
    </row>
    <row r="57" spans="2:17">
      <c r="B57" s="853" cm="1">
        <f t="array" ref="B57">ROW()-ROW(tblAvisos[#Headers])</f>
        <v>53</v>
      </c>
      <c r="C57" t="s">
        <v>2501</v>
      </c>
      <c r="D57" s="871">
        <v>46046</v>
      </c>
      <c r="E57" s="900" t="s">
        <v>2536</v>
      </c>
      <c r="F57" t="s">
        <v>741</v>
      </c>
      <c r="G57" t="s">
        <v>764</v>
      </c>
      <c r="H57" t="s">
        <v>1158</v>
      </c>
      <c r="I57" t="s">
        <v>2512</v>
      </c>
      <c r="K57" t="s">
        <v>665</v>
      </c>
      <c r="L57" s="871"/>
      <c r="O57" s="256" t="str">
        <f ca="1">IF(OR(tblAvisos[[#This Row],[Estado trabajo]]="Cerrado",tblAvisos[[#This Row],[Fecha reporte]]=""),"",TODAY()-tblAvisos[[#This Row],[Fecha reporte]])</f>
        <v/>
      </c>
      <c r="P57" t="str">
        <f ca="1">IF(tblAvisos[[#This Row],[Fecha reporte]]="","Sin fecha",IF(tblAvisos[[#This Row],[Fecha reporte]]&lt;DATE(2020,1,1),"Fecha inválida",IF(tblAvisos[[#This Row],[Fecha reporte]]&gt;TODAY(),"Fecha futura",IF(tblAvisos[[#This Row],[Aviso SAP]]="","Sin aviso SAP",IF(tblAvisos[[#This Row],[Criticidad]]="","Sin criticidad","OK")))))</f>
        <v>Sin aviso SAP</v>
      </c>
      <c r="Q57" s="901" t="s">
        <v>2590</v>
      </c>
    </row>
    <row r="58" spans="2:17">
      <c r="B58" s="853" cm="1">
        <f t="array" ref="B58">ROW()-ROW(tblAvisos[#Headers])</f>
        <v>54</v>
      </c>
      <c r="C58" t="s">
        <v>2501</v>
      </c>
      <c r="D58" s="871">
        <v>46048</v>
      </c>
      <c r="E58" s="900" t="s">
        <v>2536</v>
      </c>
      <c r="F58" t="s">
        <v>765</v>
      </c>
      <c r="G58" t="s">
        <v>766</v>
      </c>
      <c r="H58" t="s">
        <v>1158</v>
      </c>
      <c r="I58" t="s">
        <v>2512</v>
      </c>
      <c r="K58" t="s">
        <v>668</v>
      </c>
      <c r="L58" s="871"/>
      <c r="O58" s="256" t="str">
        <f ca="1">IF(OR(tblAvisos[[#This Row],[Estado trabajo]]="Cerrado",tblAvisos[[#This Row],[Fecha reporte]]=""),"",TODAY()-tblAvisos[[#This Row],[Fecha reporte]])</f>
        <v/>
      </c>
      <c r="P58" t="str">
        <f ca="1">IF(tblAvisos[[#This Row],[Fecha reporte]]="","Sin fecha",IF(tblAvisos[[#This Row],[Fecha reporte]]&lt;DATE(2020,1,1),"Fecha inválida",IF(tblAvisos[[#This Row],[Fecha reporte]]&gt;TODAY(),"Fecha futura",IF(tblAvisos[[#This Row],[Aviso SAP]]="","Sin aviso SAP",IF(tblAvisos[[#This Row],[Criticidad]]="","Sin criticidad","OK")))))</f>
        <v>Sin aviso SAP</v>
      </c>
      <c r="Q58" s="901" t="s">
        <v>2591</v>
      </c>
    </row>
    <row r="59" spans="2:17">
      <c r="B59" s="853" cm="1">
        <f t="array" ref="B59">ROW()-ROW(tblAvisos[#Headers])</f>
        <v>55</v>
      </c>
      <c r="C59" t="s">
        <v>2501</v>
      </c>
      <c r="D59" s="871">
        <v>46049</v>
      </c>
      <c r="E59" s="900" t="s">
        <v>2536</v>
      </c>
      <c r="F59" t="s">
        <v>767</v>
      </c>
      <c r="G59" t="s">
        <v>768</v>
      </c>
      <c r="H59" t="s">
        <v>1158</v>
      </c>
      <c r="I59" t="s">
        <v>2512</v>
      </c>
      <c r="K59" t="s">
        <v>665</v>
      </c>
      <c r="L59" s="871"/>
      <c r="O59" s="256" t="str">
        <f ca="1">IF(OR(tblAvisos[[#This Row],[Estado trabajo]]="Cerrado",tblAvisos[[#This Row],[Fecha reporte]]=""),"",TODAY()-tblAvisos[[#This Row],[Fecha reporte]])</f>
        <v/>
      </c>
      <c r="P59" t="str">
        <f ca="1">IF(tblAvisos[[#This Row],[Fecha reporte]]="","Sin fecha",IF(tblAvisos[[#This Row],[Fecha reporte]]&lt;DATE(2020,1,1),"Fecha inválida",IF(tblAvisos[[#This Row],[Fecha reporte]]&gt;TODAY(),"Fecha futura",IF(tblAvisos[[#This Row],[Aviso SAP]]="","Sin aviso SAP",IF(tblAvisos[[#This Row],[Criticidad]]="","Sin criticidad","OK")))))</f>
        <v>Sin aviso SAP</v>
      </c>
      <c r="Q59" s="901" t="s">
        <v>2592</v>
      </c>
    </row>
    <row r="60" spans="2:17">
      <c r="B60" s="853" cm="1">
        <f t="array" ref="B60">ROW()-ROW(tblAvisos[#Headers])</f>
        <v>56</v>
      </c>
      <c r="C60" t="s">
        <v>2501</v>
      </c>
      <c r="D60" s="871">
        <v>46050</v>
      </c>
      <c r="E60" s="900" t="s">
        <v>2536</v>
      </c>
      <c r="F60" t="s">
        <v>751</v>
      </c>
      <c r="G60" t="s">
        <v>769</v>
      </c>
      <c r="H60" t="s">
        <v>1158</v>
      </c>
      <c r="I60" t="s">
        <v>2512</v>
      </c>
      <c r="K60" t="s">
        <v>668</v>
      </c>
      <c r="L60" s="871"/>
      <c r="O60" s="256" t="str">
        <f ca="1">IF(OR(tblAvisos[[#This Row],[Estado trabajo]]="Cerrado",tblAvisos[[#This Row],[Fecha reporte]]=""),"",TODAY()-tblAvisos[[#This Row],[Fecha reporte]])</f>
        <v/>
      </c>
      <c r="P60" t="str">
        <f ca="1">IF(tblAvisos[[#This Row],[Fecha reporte]]="","Sin fecha",IF(tblAvisos[[#This Row],[Fecha reporte]]&lt;DATE(2020,1,1),"Fecha inválida",IF(tblAvisos[[#This Row],[Fecha reporte]]&gt;TODAY(),"Fecha futura",IF(tblAvisos[[#This Row],[Aviso SAP]]="","Sin aviso SAP",IF(tblAvisos[[#This Row],[Criticidad]]="","Sin criticidad","OK")))))</f>
        <v>Sin aviso SAP</v>
      </c>
      <c r="Q60" s="901" t="s">
        <v>2593</v>
      </c>
    </row>
    <row r="61" spans="2:17">
      <c r="B61" s="853" cm="1">
        <f t="array" ref="B61">ROW()-ROW(tblAvisos[#Headers])</f>
        <v>57</v>
      </c>
      <c r="C61" t="s">
        <v>2501</v>
      </c>
      <c r="D61" s="871">
        <v>46050</v>
      </c>
      <c r="E61" s="900" t="s">
        <v>2536</v>
      </c>
      <c r="F61" t="s">
        <v>706</v>
      </c>
      <c r="G61" t="s">
        <v>770</v>
      </c>
      <c r="H61" t="s">
        <v>1158</v>
      </c>
      <c r="I61" t="s">
        <v>2512</v>
      </c>
      <c r="K61" t="s">
        <v>665</v>
      </c>
      <c r="L61" s="871"/>
      <c r="O61" s="256" t="str">
        <f ca="1">IF(OR(tblAvisos[[#This Row],[Estado trabajo]]="Cerrado",tblAvisos[[#This Row],[Fecha reporte]]=""),"",TODAY()-tblAvisos[[#This Row],[Fecha reporte]])</f>
        <v/>
      </c>
      <c r="P61" t="str">
        <f ca="1">IF(tblAvisos[[#This Row],[Fecha reporte]]="","Sin fecha",IF(tblAvisos[[#This Row],[Fecha reporte]]&lt;DATE(2020,1,1),"Fecha inválida",IF(tblAvisos[[#This Row],[Fecha reporte]]&gt;TODAY(),"Fecha futura",IF(tblAvisos[[#This Row],[Aviso SAP]]="","Sin aviso SAP",IF(tblAvisos[[#This Row],[Criticidad]]="","Sin criticidad","OK")))))</f>
        <v>Sin aviso SAP</v>
      </c>
      <c r="Q61" s="901" t="s">
        <v>2594</v>
      </c>
    </row>
    <row r="62" spans="2:17">
      <c r="B62" s="853" cm="1">
        <f t="array" ref="B62">ROW()-ROW(tblAvisos[#Headers])</f>
        <v>58</v>
      </c>
      <c r="C62" t="s">
        <v>2501</v>
      </c>
      <c r="D62" s="871">
        <v>46051</v>
      </c>
      <c r="E62" s="900" t="s">
        <v>2536</v>
      </c>
      <c r="F62" t="s">
        <v>754</v>
      </c>
      <c r="G62" t="s">
        <v>771</v>
      </c>
      <c r="H62" t="s">
        <v>1158</v>
      </c>
      <c r="I62" t="s">
        <v>2512</v>
      </c>
      <c r="K62" t="s">
        <v>665</v>
      </c>
      <c r="L62" s="871"/>
      <c r="O62" s="256" t="str">
        <f ca="1">IF(OR(tblAvisos[[#This Row],[Estado trabajo]]="Cerrado",tblAvisos[[#This Row],[Fecha reporte]]=""),"",TODAY()-tblAvisos[[#This Row],[Fecha reporte]])</f>
        <v/>
      </c>
      <c r="P62" t="str">
        <f ca="1">IF(tblAvisos[[#This Row],[Fecha reporte]]="","Sin fecha",IF(tblAvisos[[#This Row],[Fecha reporte]]&lt;DATE(2020,1,1),"Fecha inválida",IF(tblAvisos[[#This Row],[Fecha reporte]]&gt;TODAY(),"Fecha futura",IF(tblAvisos[[#This Row],[Aviso SAP]]="","Sin aviso SAP",IF(tblAvisos[[#This Row],[Criticidad]]="","Sin criticidad","OK")))))</f>
        <v>Sin aviso SAP</v>
      </c>
      <c r="Q62" s="901" t="s">
        <v>2595</v>
      </c>
    </row>
    <row r="63" spans="2:17">
      <c r="B63" s="853" cm="1">
        <f t="array" ref="B63">ROW()-ROW(tblAvisos[#Headers])</f>
        <v>59</v>
      </c>
      <c r="C63" t="s">
        <v>2501</v>
      </c>
      <c r="D63" s="871">
        <v>46052</v>
      </c>
      <c r="E63" s="900" t="s">
        <v>2536</v>
      </c>
      <c r="F63" t="s">
        <v>756</v>
      </c>
      <c r="G63" t="s">
        <v>773</v>
      </c>
      <c r="H63" t="s">
        <v>1158</v>
      </c>
      <c r="I63" t="s">
        <v>2512</v>
      </c>
      <c r="K63" t="s">
        <v>665</v>
      </c>
      <c r="L63" s="871"/>
      <c r="O63" s="256" t="str">
        <f ca="1">IF(OR(tblAvisos[[#This Row],[Estado trabajo]]="Cerrado",tblAvisos[[#This Row],[Fecha reporte]]=""),"",TODAY()-tblAvisos[[#This Row],[Fecha reporte]])</f>
        <v/>
      </c>
      <c r="P63" t="str">
        <f ca="1">IF(tblAvisos[[#This Row],[Fecha reporte]]="","Sin fecha",IF(tblAvisos[[#This Row],[Fecha reporte]]&lt;DATE(2020,1,1),"Fecha inválida",IF(tblAvisos[[#This Row],[Fecha reporte]]&gt;TODAY(),"Fecha futura",IF(tblAvisos[[#This Row],[Aviso SAP]]="","Sin aviso SAP",IF(tblAvisos[[#This Row],[Criticidad]]="","Sin criticidad","OK")))))</f>
        <v>Sin aviso SAP</v>
      </c>
      <c r="Q63" s="901" t="s">
        <v>2596</v>
      </c>
    </row>
    <row r="64" spans="2:17">
      <c r="B64" s="853" cm="1">
        <f t="array" ref="B64">ROW()-ROW(tblAvisos[#Headers])</f>
        <v>60</v>
      </c>
      <c r="C64" t="s">
        <v>2501</v>
      </c>
      <c r="D64" s="871">
        <v>46055</v>
      </c>
      <c r="E64" s="900" t="s">
        <v>2536</v>
      </c>
      <c r="F64" t="s">
        <v>774</v>
      </c>
      <c r="G64" t="s">
        <v>763</v>
      </c>
      <c r="H64" t="s">
        <v>1158</v>
      </c>
      <c r="I64" t="s">
        <v>2512</v>
      </c>
      <c r="K64" t="s">
        <v>665</v>
      </c>
      <c r="L64" s="871"/>
      <c r="O64" s="256" t="str">
        <f ca="1">IF(OR(tblAvisos[[#This Row],[Estado trabajo]]="Cerrado",tblAvisos[[#This Row],[Fecha reporte]]=""),"",TODAY()-tblAvisos[[#This Row],[Fecha reporte]])</f>
        <v/>
      </c>
      <c r="P64" t="str">
        <f ca="1">IF(tblAvisos[[#This Row],[Fecha reporte]]="","Sin fecha",IF(tblAvisos[[#This Row],[Fecha reporte]]&lt;DATE(2020,1,1),"Fecha inválida",IF(tblAvisos[[#This Row],[Fecha reporte]]&gt;TODAY(),"Fecha futura",IF(tblAvisos[[#This Row],[Aviso SAP]]="","Sin aviso SAP",IF(tblAvisos[[#This Row],[Criticidad]]="","Sin criticidad","OK")))))</f>
        <v>Sin aviso SAP</v>
      </c>
      <c r="Q64" s="901" t="s">
        <v>2597</v>
      </c>
    </row>
    <row r="65" spans="2:17">
      <c r="B65" s="853" cm="1">
        <f t="array" ref="B65">ROW()-ROW(tblAvisos[#Headers])</f>
        <v>61</v>
      </c>
      <c r="C65" t="s">
        <v>2501</v>
      </c>
      <c r="D65" s="871">
        <v>46056</v>
      </c>
      <c r="E65" s="900" t="s">
        <v>2536</v>
      </c>
      <c r="F65" t="s">
        <v>775</v>
      </c>
      <c r="G65" t="s">
        <v>776</v>
      </c>
      <c r="H65" t="s">
        <v>1158</v>
      </c>
      <c r="I65" t="s">
        <v>2512</v>
      </c>
      <c r="K65" t="s">
        <v>665</v>
      </c>
      <c r="L65" s="871"/>
      <c r="O65" s="256" t="str">
        <f ca="1">IF(OR(tblAvisos[[#This Row],[Estado trabajo]]="Cerrado",tblAvisos[[#This Row],[Fecha reporte]]=""),"",TODAY()-tblAvisos[[#This Row],[Fecha reporte]])</f>
        <v/>
      </c>
      <c r="P65" t="str">
        <f ca="1">IF(tblAvisos[[#This Row],[Fecha reporte]]="","Sin fecha",IF(tblAvisos[[#This Row],[Fecha reporte]]&lt;DATE(2020,1,1),"Fecha inválida",IF(tblAvisos[[#This Row],[Fecha reporte]]&gt;TODAY(),"Fecha futura",IF(tblAvisos[[#This Row],[Aviso SAP]]="","Sin aviso SAP",IF(tblAvisos[[#This Row],[Criticidad]]="","Sin criticidad","OK")))))</f>
        <v>Sin aviso SAP</v>
      </c>
      <c r="Q65" s="901" t="s">
        <v>2598</v>
      </c>
    </row>
    <row r="66" spans="2:17">
      <c r="B66" s="853" cm="1">
        <f t="array" ref="B66">ROW()-ROW(tblAvisos[#Headers])</f>
        <v>62</v>
      </c>
      <c r="C66" t="s">
        <v>2501</v>
      </c>
      <c r="D66" s="871">
        <v>46057</v>
      </c>
      <c r="E66" s="900" t="s">
        <v>2536</v>
      </c>
      <c r="F66" t="s">
        <v>777</v>
      </c>
      <c r="G66" t="s">
        <v>778</v>
      </c>
      <c r="H66" t="s">
        <v>1158</v>
      </c>
      <c r="I66" t="s">
        <v>2512</v>
      </c>
      <c r="K66" t="s">
        <v>665</v>
      </c>
      <c r="L66" s="871"/>
      <c r="O66" s="256" t="str">
        <f ca="1">IF(OR(tblAvisos[[#This Row],[Estado trabajo]]="Cerrado",tblAvisos[[#This Row],[Fecha reporte]]=""),"",TODAY()-tblAvisos[[#This Row],[Fecha reporte]])</f>
        <v/>
      </c>
      <c r="P66" t="str">
        <f ca="1">IF(tblAvisos[[#This Row],[Fecha reporte]]="","Sin fecha",IF(tblAvisos[[#This Row],[Fecha reporte]]&lt;DATE(2020,1,1),"Fecha inválida",IF(tblAvisos[[#This Row],[Fecha reporte]]&gt;TODAY(),"Fecha futura",IF(tblAvisos[[#This Row],[Aviso SAP]]="","Sin aviso SAP",IF(tblAvisos[[#This Row],[Criticidad]]="","Sin criticidad","OK")))))</f>
        <v>Sin aviso SAP</v>
      </c>
      <c r="Q66" s="901" t="s">
        <v>2599</v>
      </c>
    </row>
    <row r="67" spans="2:17">
      <c r="B67" s="853" cm="1">
        <f t="array" ref="B67">ROW()-ROW(tblAvisos[#Headers])</f>
        <v>63</v>
      </c>
      <c r="C67" t="s">
        <v>2501</v>
      </c>
      <c r="D67" s="871">
        <v>46059</v>
      </c>
      <c r="E67" s="900" t="s">
        <v>2536</v>
      </c>
      <c r="F67" t="s">
        <v>779</v>
      </c>
      <c r="G67" t="s">
        <v>740</v>
      </c>
      <c r="H67" t="s">
        <v>1158</v>
      </c>
      <c r="I67" t="s">
        <v>2512</v>
      </c>
      <c r="K67" t="s">
        <v>665</v>
      </c>
      <c r="L67" s="871"/>
      <c r="O67" s="256" t="str">
        <f ca="1">IF(OR(tblAvisos[[#This Row],[Estado trabajo]]="Cerrado",tblAvisos[[#This Row],[Fecha reporte]]=""),"",TODAY()-tblAvisos[[#This Row],[Fecha reporte]])</f>
        <v/>
      </c>
      <c r="P67" t="str">
        <f ca="1">IF(tblAvisos[[#This Row],[Fecha reporte]]="","Sin fecha",IF(tblAvisos[[#This Row],[Fecha reporte]]&lt;DATE(2020,1,1),"Fecha inválida",IF(tblAvisos[[#This Row],[Fecha reporte]]&gt;TODAY(),"Fecha futura",IF(tblAvisos[[#This Row],[Aviso SAP]]="","Sin aviso SAP",IF(tblAvisos[[#This Row],[Criticidad]]="","Sin criticidad","OK")))))</f>
        <v>Sin aviso SAP</v>
      </c>
      <c r="Q67" s="901" t="s">
        <v>2600</v>
      </c>
    </row>
    <row r="68" spans="2:17">
      <c r="B68" s="853" cm="1">
        <f t="array" ref="B68">ROW()-ROW(tblAvisos[#Headers])</f>
        <v>64</v>
      </c>
      <c r="C68" t="s">
        <v>2501</v>
      </c>
      <c r="D68" s="871">
        <v>46060</v>
      </c>
      <c r="E68" s="900" t="s">
        <v>2536</v>
      </c>
      <c r="F68" t="s">
        <v>746</v>
      </c>
      <c r="G68" t="s">
        <v>780</v>
      </c>
      <c r="H68" t="s">
        <v>1158</v>
      </c>
      <c r="I68" t="s">
        <v>2512</v>
      </c>
      <c r="K68" t="s">
        <v>665</v>
      </c>
      <c r="L68" s="871"/>
      <c r="O68" s="256" t="str">
        <f ca="1">IF(OR(tblAvisos[[#This Row],[Estado trabajo]]="Cerrado",tblAvisos[[#This Row],[Fecha reporte]]=""),"",TODAY()-tblAvisos[[#This Row],[Fecha reporte]])</f>
        <v/>
      </c>
      <c r="P68" t="str">
        <f ca="1">IF(tblAvisos[[#This Row],[Fecha reporte]]="","Sin fecha",IF(tblAvisos[[#This Row],[Fecha reporte]]&lt;DATE(2020,1,1),"Fecha inválida",IF(tblAvisos[[#This Row],[Fecha reporte]]&gt;TODAY(),"Fecha futura",IF(tblAvisos[[#This Row],[Aviso SAP]]="","Sin aviso SAP",IF(tblAvisos[[#This Row],[Criticidad]]="","Sin criticidad","OK")))))</f>
        <v>Sin aviso SAP</v>
      </c>
      <c r="Q68" s="901" t="s">
        <v>2601</v>
      </c>
    </row>
    <row r="69" spans="2:17">
      <c r="B69" s="853" cm="1">
        <f t="array" ref="B69">ROW()-ROW(tblAvisos[#Headers])</f>
        <v>65</v>
      </c>
      <c r="C69" t="s">
        <v>2501</v>
      </c>
      <c r="D69" s="871">
        <v>46063</v>
      </c>
      <c r="E69" s="900" t="s">
        <v>2536</v>
      </c>
      <c r="F69" t="s">
        <v>781</v>
      </c>
      <c r="G69" t="s">
        <v>782</v>
      </c>
      <c r="H69" t="s">
        <v>1158</v>
      </c>
      <c r="I69" t="s">
        <v>2512</v>
      </c>
      <c r="K69" t="s">
        <v>665</v>
      </c>
      <c r="L69" s="871"/>
      <c r="O69" s="256" t="str">
        <f ca="1">IF(OR(tblAvisos[[#This Row],[Estado trabajo]]="Cerrado",tblAvisos[[#This Row],[Fecha reporte]]=""),"",TODAY()-tblAvisos[[#This Row],[Fecha reporte]])</f>
        <v/>
      </c>
      <c r="P69" t="str">
        <f ca="1">IF(tblAvisos[[#This Row],[Fecha reporte]]="","Sin fecha",IF(tblAvisos[[#This Row],[Fecha reporte]]&lt;DATE(2020,1,1),"Fecha inválida",IF(tblAvisos[[#This Row],[Fecha reporte]]&gt;TODAY(),"Fecha futura",IF(tblAvisos[[#This Row],[Aviso SAP]]="","Sin aviso SAP",IF(tblAvisos[[#This Row],[Criticidad]]="","Sin criticidad","OK")))))</f>
        <v>Sin aviso SAP</v>
      </c>
      <c r="Q69" s="901" t="s">
        <v>2602</v>
      </c>
    </row>
    <row r="70" spans="2:17">
      <c r="B70" s="853" cm="1">
        <f t="array" ref="B70">ROW()-ROW(tblAvisos[#Headers])</f>
        <v>66</v>
      </c>
      <c r="C70" t="s">
        <v>2501</v>
      </c>
      <c r="D70" s="871">
        <v>46072</v>
      </c>
      <c r="E70" s="900" t="s">
        <v>2536</v>
      </c>
      <c r="F70" t="s">
        <v>663</v>
      </c>
      <c r="G70" t="s">
        <v>783</v>
      </c>
      <c r="H70" t="s">
        <v>1158</v>
      </c>
      <c r="I70" t="s">
        <v>2512</v>
      </c>
      <c r="K70" t="s">
        <v>668</v>
      </c>
      <c r="L70" s="871"/>
      <c r="O70" s="256" t="str">
        <f ca="1">IF(OR(tblAvisos[[#This Row],[Estado trabajo]]="Cerrado",tblAvisos[[#This Row],[Fecha reporte]]=""),"",TODAY()-tblAvisos[[#This Row],[Fecha reporte]])</f>
        <v/>
      </c>
      <c r="P70" t="str">
        <f ca="1">IF(tblAvisos[[#This Row],[Fecha reporte]]="","Sin fecha",IF(tblAvisos[[#This Row],[Fecha reporte]]&lt;DATE(2020,1,1),"Fecha inválida",IF(tblAvisos[[#This Row],[Fecha reporte]]&gt;TODAY(),"Fecha futura",IF(tblAvisos[[#This Row],[Aviso SAP]]="","Sin aviso SAP",IF(tblAvisos[[#This Row],[Criticidad]]="","Sin criticidad","OK")))))</f>
        <v>Sin aviso SAP</v>
      </c>
      <c r="Q70" s="901" t="s">
        <v>2603</v>
      </c>
    </row>
    <row r="71" spans="2:17">
      <c r="B71" s="853" cm="1">
        <f t="array" ref="B71">ROW()-ROW(tblAvisos[#Headers])</f>
        <v>67</v>
      </c>
      <c r="C71" t="s">
        <v>2501</v>
      </c>
      <c r="D71" s="871">
        <v>46078</v>
      </c>
      <c r="E71" s="900" t="s">
        <v>2536</v>
      </c>
      <c r="F71" t="s">
        <v>781</v>
      </c>
      <c r="G71" t="s">
        <v>784</v>
      </c>
      <c r="H71" t="s">
        <v>1158</v>
      </c>
      <c r="I71" t="s">
        <v>2512</v>
      </c>
      <c r="K71" t="s">
        <v>665</v>
      </c>
      <c r="L71" s="871"/>
      <c r="O71" s="256" t="str">
        <f ca="1">IF(OR(tblAvisos[[#This Row],[Estado trabajo]]="Cerrado",tblAvisos[[#This Row],[Fecha reporte]]=""),"",TODAY()-tblAvisos[[#This Row],[Fecha reporte]])</f>
        <v/>
      </c>
      <c r="P71" t="str">
        <f ca="1">IF(tblAvisos[[#This Row],[Fecha reporte]]="","Sin fecha",IF(tblAvisos[[#This Row],[Fecha reporte]]&lt;DATE(2020,1,1),"Fecha inválida",IF(tblAvisos[[#This Row],[Fecha reporte]]&gt;TODAY(),"Fecha futura",IF(tblAvisos[[#This Row],[Aviso SAP]]="","Sin aviso SAP",IF(tblAvisos[[#This Row],[Criticidad]]="","Sin criticidad","OK")))))</f>
        <v>Sin aviso SAP</v>
      </c>
      <c r="Q71" s="901" t="s">
        <v>2604</v>
      </c>
    </row>
    <row r="72" spans="2:17">
      <c r="B72" s="853" cm="1">
        <f t="array" ref="B72">ROW()-ROW(tblAvisos[#Headers])</f>
        <v>68</v>
      </c>
      <c r="C72" t="s">
        <v>2501</v>
      </c>
      <c r="D72" s="871">
        <v>46083</v>
      </c>
      <c r="E72" s="900" t="s">
        <v>2536</v>
      </c>
      <c r="F72" t="s">
        <v>739</v>
      </c>
      <c r="G72" t="s">
        <v>740</v>
      </c>
      <c r="H72" t="s">
        <v>1158</v>
      </c>
      <c r="I72" t="s">
        <v>2512</v>
      </c>
      <c r="K72" t="s">
        <v>665</v>
      </c>
      <c r="L72" s="871"/>
      <c r="O72" s="256" t="str">
        <f ca="1">IF(OR(tblAvisos[[#This Row],[Estado trabajo]]="Cerrado",tblAvisos[[#This Row],[Fecha reporte]]=""),"",TODAY()-tblAvisos[[#This Row],[Fecha reporte]])</f>
        <v/>
      </c>
      <c r="P72" t="str">
        <f ca="1">IF(tblAvisos[[#This Row],[Fecha reporte]]="","Sin fecha",IF(tblAvisos[[#This Row],[Fecha reporte]]&lt;DATE(2020,1,1),"Fecha inválida",IF(tblAvisos[[#This Row],[Fecha reporte]]&gt;TODAY(),"Fecha futura",IF(tblAvisos[[#This Row],[Aviso SAP]]="","Sin aviso SAP",IF(tblAvisos[[#This Row],[Criticidad]]="","Sin criticidad","OK")))))</f>
        <v>Sin aviso SAP</v>
      </c>
      <c r="Q72" s="901" t="s">
        <v>2605</v>
      </c>
    </row>
    <row r="73" spans="2:17">
      <c r="B73" s="853" cm="1">
        <f t="array" ref="B73">ROW()-ROW(tblAvisos[#Headers])</f>
        <v>69</v>
      </c>
      <c r="C73" t="s">
        <v>2501</v>
      </c>
      <c r="D73" s="871">
        <v>46084</v>
      </c>
      <c r="E73" s="900" t="s">
        <v>2536</v>
      </c>
      <c r="F73" t="s">
        <v>684</v>
      </c>
      <c r="G73" t="s">
        <v>740</v>
      </c>
      <c r="H73" t="s">
        <v>1158</v>
      </c>
      <c r="I73" t="s">
        <v>2512</v>
      </c>
      <c r="K73" t="s">
        <v>665</v>
      </c>
      <c r="L73" s="871"/>
      <c r="O73" s="256" t="str">
        <f ca="1">IF(OR(tblAvisos[[#This Row],[Estado trabajo]]="Cerrado",tblAvisos[[#This Row],[Fecha reporte]]=""),"",TODAY()-tblAvisos[[#This Row],[Fecha reporte]])</f>
        <v/>
      </c>
      <c r="P73" t="str">
        <f ca="1">IF(tblAvisos[[#This Row],[Fecha reporte]]="","Sin fecha",IF(tblAvisos[[#This Row],[Fecha reporte]]&lt;DATE(2020,1,1),"Fecha inválida",IF(tblAvisos[[#This Row],[Fecha reporte]]&gt;TODAY(),"Fecha futura",IF(tblAvisos[[#This Row],[Aviso SAP]]="","Sin aviso SAP",IF(tblAvisos[[#This Row],[Criticidad]]="","Sin criticidad","OK")))))</f>
        <v>Sin aviso SAP</v>
      </c>
      <c r="Q73" s="901" t="s">
        <v>2606</v>
      </c>
    </row>
    <row r="74" spans="2:17">
      <c r="B74" s="853" cm="1">
        <f t="array" ref="B74">ROW()-ROW(tblAvisos[#Headers])</f>
        <v>70</v>
      </c>
      <c r="C74" t="s">
        <v>2501</v>
      </c>
      <c r="D74" s="871">
        <v>46085</v>
      </c>
      <c r="E74" s="900" t="s">
        <v>2536</v>
      </c>
      <c r="F74" t="s">
        <v>785</v>
      </c>
      <c r="G74" t="s">
        <v>786</v>
      </c>
      <c r="H74" t="s">
        <v>1158</v>
      </c>
      <c r="I74" t="s">
        <v>2512</v>
      </c>
      <c r="K74" t="s">
        <v>665</v>
      </c>
      <c r="L74" s="871"/>
      <c r="O74" s="256" t="str">
        <f ca="1">IF(OR(tblAvisos[[#This Row],[Estado trabajo]]="Cerrado",tblAvisos[[#This Row],[Fecha reporte]]=""),"",TODAY()-tblAvisos[[#This Row],[Fecha reporte]])</f>
        <v/>
      </c>
      <c r="P74" t="str">
        <f ca="1">IF(tblAvisos[[#This Row],[Fecha reporte]]="","Sin fecha",IF(tblAvisos[[#This Row],[Fecha reporte]]&lt;DATE(2020,1,1),"Fecha inválida",IF(tblAvisos[[#This Row],[Fecha reporte]]&gt;TODAY(),"Fecha futura",IF(tblAvisos[[#This Row],[Aviso SAP]]="","Sin aviso SAP",IF(tblAvisos[[#This Row],[Criticidad]]="","Sin criticidad","OK")))))</f>
        <v>Sin aviso SAP</v>
      </c>
      <c r="Q74" s="901" t="s">
        <v>2607</v>
      </c>
    </row>
    <row r="75" spans="2:17">
      <c r="B75" s="853" cm="1">
        <f t="array" ref="B75">ROW()-ROW(tblAvisos[#Headers])</f>
        <v>71</v>
      </c>
      <c r="C75" t="s">
        <v>2501</v>
      </c>
      <c r="D75" s="871">
        <v>46087</v>
      </c>
      <c r="E75" s="900" t="s">
        <v>2536</v>
      </c>
      <c r="F75" t="s">
        <v>787</v>
      </c>
      <c r="G75" t="s">
        <v>788</v>
      </c>
      <c r="H75" t="s">
        <v>1158</v>
      </c>
      <c r="I75" t="s">
        <v>2512</v>
      </c>
      <c r="K75" t="s">
        <v>665</v>
      </c>
      <c r="L75" s="871"/>
      <c r="O75" s="256" t="str">
        <f ca="1">IF(OR(tblAvisos[[#This Row],[Estado trabajo]]="Cerrado",tblAvisos[[#This Row],[Fecha reporte]]=""),"",TODAY()-tblAvisos[[#This Row],[Fecha reporte]])</f>
        <v/>
      </c>
      <c r="P75" t="str">
        <f ca="1">IF(tblAvisos[[#This Row],[Fecha reporte]]="","Sin fecha",IF(tblAvisos[[#This Row],[Fecha reporte]]&lt;DATE(2020,1,1),"Fecha inválida",IF(tblAvisos[[#This Row],[Fecha reporte]]&gt;TODAY(),"Fecha futura",IF(tblAvisos[[#This Row],[Aviso SAP]]="","Sin aviso SAP",IF(tblAvisos[[#This Row],[Criticidad]]="","Sin criticidad","OK")))))</f>
        <v>Sin aviso SAP</v>
      </c>
      <c r="Q75" s="901" t="s">
        <v>2608</v>
      </c>
    </row>
    <row r="76" spans="2:17">
      <c r="B76" s="853" cm="1">
        <f t="array" ref="B76">ROW()-ROW(tblAvisos[#Headers])</f>
        <v>72</v>
      </c>
      <c r="C76" t="s">
        <v>2501</v>
      </c>
      <c r="D76" s="871">
        <v>46094</v>
      </c>
      <c r="E76" s="900" t="s">
        <v>2536</v>
      </c>
      <c r="F76" t="s">
        <v>789</v>
      </c>
      <c r="G76" t="s">
        <v>790</v>
      </c>
      <c r="H76" t="s">
        <v>1158</v>
      </c>
      <c r="I76" t="s">
        <v>2512</v>
      </c>
      <c r="K76" t="s">
        <v>665</v>
      </c>
      <c r="L76" s="871"/>
      <c r="O76" s="256" t="str">
        <f ca="1">IF(OR(tblAvisos[[#This Row],[Estado trabajo]]="Cerrado",tblAvisos[[#This Row],[Fecha reporte]]=""),"",TODAY()-tblAvisos[[#This Row],[Fecha reporte]])</f>
        <v/>
      </c>
      <c r="P76" t="str">
        <f ca="1">IF(tblAvisos[[#This Row],[Fecha reporte]]="","Sin fecha",IF(tblAvisos[[#This Row],[Fecha reporte]]&lt;DATE(2020,1,1),"Fecha inválida",IF(tblAvisos[[#This Row],[Fecha reporte]]&gt;TODAY(),"Fecha futura",IF(tblAvisos[[#This Row],[Aviso SAP]]="","Sin aviso SAP",IF(tblAvisos[[#This Row],[Criticidad]]="","Sin criticidad","OK")))))</f>
        <v>Sin aviso SAP</v>
      </c>
      <c r="Q76" s="901" t="s">
        <v>2609</v>
      </c>
    </row>
    <row r="77" spans="2:17">
      <c r="B77" s="853" cm="1">
        <f t="array" ref="B77">ROW()-ROW(tblAvisos[#Headers])</f>
        <v>73</v>
      </c>
      <c r="C77" t="s">
        <v>2501</v>
      </c>
      <c r="D77" s="871">
        <v>46102</v>
      </c>
      <c r="E77" s="900" t="s">
        <v>2536</v>
      </c>
      <c r="F77" t="s">
        <v>706</v>
      </c>
      <c r="G77" t="s">
        <v>791</v>
      </c>
      <c r="H77" t="s">
        <v>1158</v>
      </c>
      <c r="I77" t="s">
        <v>2512</v>
      </c>
      <c r="K77" t="s">
        <v>665</v>
      </c>
      <c r="L77" s="871"/>
      <c r="O77" s="256" t="str">
        <f ca="1">IF(OR(tblAvisos[[#This Row],[Estado trabajo]]="Cerrado",tblAvisos[[#This Row],[Fecha reporte]]=""),"",TODAY()-tblAvisos[[#This Row],[Fecha reporte]])</f>
        <v/>
      </c>
      <c r="P77" t="str">
        <f ca="1">IF(tblAvisos[[#This Row],[Fecha reporte]]="","Sin fecha",IF(tblAvisos[[#This Row],[Fecha reporte]]&lt;DATE(2020,1,1),"Fecha inválida",IF(tblAvisos[[#This Row],[Fecha reporte]]&gt;TODAY(),"Fecha futura",IF(tblAvisos[[#This Row],[Aviso SAP]]="","Sin aviso SAP",IF(tblAvisos[[#This Row],[Criticidad]]="","Sin criticidad","OK")))))</f>
        <v>Sin aviso SAP</v>
      </c>
      <c r="Q77" s="901" t="s">
        <v>2610</v>
      </c>
    </row>
    <row r="78" spans="2:17">
      <c r="B78" s="853" cm="1">
        <f t="array" ref="B78">ROW()-ROW(tblAvisos[#Headers])</f>
        <v>74</v>
      </c>
      <c r="C78" t="s">
        <v>2501</v>
      </c>
      <c r="D78" s="871">
        <v>46104</v>
      </c>
      <c r="E78" s="900" t="s">
        <v>2536</v>
      </c>
      <c r="F78" t="s">
        <v>751</v>
      </c>
      <c r="G78" t="s">
        <v>792</v>
      </c>
      <c r="H78" t="s">
        <v>1158</v>
      </c>
      <c r="I78" t="s">
        <v>2512</v>
      </c>
      <c r="K78" t="s">
        <v>665</v>
      </c>
      <c r="L78" s="871"/>
      <c r="O78" s="256" t="str">
        <f ca="1">IF(OR(tblAvisos[[#This Row],[Estado trabajo]]="Cerrado",tblAvisos[[#This Row],[Fecha reporte]]=""),"",TODAY()-tblAvisos[[#This Row],[Fecha reporte]])</f>
        <v/>
      </c>
      <c r="P78" t="str">
        <f ca="1">IF(tblAvisos[[#This Row],[Fecha reporte]]="","Sin fecha",IF(tblAvisos[[#This Row],[Fecha reporte]]&lt;DATE(2020,1,1),"Fecha inválida",IF(tblAvisos[[#This Row],[Fecha reporte]]&gt;TODAY(),"Fecha futura",IF(tblAvisos[[#This Row],[Aviso SAP]]="","Sin aviso SAP",IF(tblAvisos[[#This Row],[Criticidad]]="","Sin criticidad","OK")))))</f>
        <v>Sin aviso SAP</v>
      </c>
      <c r="Q78" s="901" t="s">
        <v>2611</v>
      </c>
    </row>
    <row r="79" spans="2:17">
      <c r="B79" s="853" cm="1">
        <f t="array" ref="B79">ROW()-ROW(tblAvisos[#Headers])</f>
        <v>75</v>
      </c>
      <c r="C79" t="s">
        <v>2501</v>
      </c>
      <c r="D79" s="871">
        <v>46123</v>
      </c>
      <c r="E79" s="900" t="s">
        <v>2536</v>
      </c>
      <c r="F79" t="s">
        <v>774</v>
      </c>
      <c r="G79" t="s">
        <v>792</v>
      </c>
      <c r="H79" t="s">
        <v>1158</v>
      </c>
      <c r="I79" t="s">
        <v>2512</v>
      </c>
      <c r="K79" t="s">
        <v>665</v>
      </c>
      <c r="L79" s="871"/>
      <c r="O79" s="256" t="str">
        <f ca="1">IF(OR(tblAvisos[[#This Row],[Estado trabajo]]="Cerrado",tblAvisos[[#This Row],[Fecha reporte]]=""),"",TODAY()-tblAvisos[[#This Row],[Fecha reporte]])</f>
        <v/>
      </c>
      <c r="P79" t="str">
        <f ca="1">IF(tblAvisos[[#This Row],[Fecha reporte]]="","Sin fecha",IF(tblAvisos[[#This Row],[Fecha reporte]]&lt;DATE(2020,1,1),"Fecha inválida",IF(tblAvisos[[#This Row],[Fecha reporte]]&gt;TODAY(),"Fecha futura",IF(tblAvisos[[#This Row],[Aviso SAP]]="","Sin aviso SAP",IF(tblAvisos[[#This Row],[Criticidad]]="","Sin criticidad","OK")))))</f>
        <v>Sin aviso SAP</v>
      </c>
      <c r="Q79" s="901" t="s">
        <v>2612</v>
      </c>
    </row>
    <row r="80" spans="2:17">
      <c r="B80" s="853" cm="1">
        <f t="array" ref="B80">ROW()-ROW(tblAvisos[#Headers])</f>
        <v>76</v>
      </c>
      <c r="C80" t="s">
        <v>2501</v>
      </c>
      <c r="D80" s="871">
        <v>46150</v>
      </c>
      <c r="E80" s="900" t="s">
        <v>2536</v>
      </c>
      <c r="F80" t="s">
        <v>706</v>
      </c>
      <c r="G80" t="s">
        <v>793</v>
      </c>
      <c r="H80" t="s">
        <v>1158</v>
      </c>
      <c r="I80" t="s">
        <v>2512</v>
      </c>
      <c r="K80" t="s">
        <v>665</v>
      </c>
      <c r="L80" s="871"/>
      <c r="O80" s="256" t="str">
        <f ca="1">IF(OR(tblAvisos[[#This Row],[Estado trabajo]]="Cerrado",tblAvisos[[#This Row],[Fecha reporte]]=""),"",TODAY()-tblAvisos[[#This Row],[Fecha reporte]])</f>
        <v/>
      </c>
      <c r="P80" t="str">
        <f ca="1">IF(tblAvisos[[#This Row],[Fecha reporte]]="","Sin fecha",IF(tblAvisos[[#This Row],[Fecha reporte]]&lt;DATE(2020,1,1),"Fecha inválida",IF(tblAvisos[[#This Row],[Fecha reporte]]&gt;TODAY(),"Fecha futura",IF(tblAvisos[[#This Row],[Aviso SAP]]="","Sin aviso SAP",IF(tblAvisos[[#This Row],[Criticidad]]="","Sin criticidad","OK")))))</f>
        <v>Sin aviso SAP</v>
      </c>
      <c r="Q80" s="901" t="s">
        <v>2613</v>
      </c>
    </row>
    <row r="81" spans="2:17">
      <c r="B81" s="853" cm="1">
        <f t="array" ref="B81">ROW()-ROW(tblAvisos[#Headers])</f>
        <v>77</v>
      </c>
      <c r="C81" t="s">
        <v>2501</v>
      </c>
      <c r="D81" s="871">
        <v>46151</v>
      </c>
      <c r="E81" s="900" t="s">
        <v>2536</v>
      </c>
      <c r="F81" t="s">
        <v>794</v>
      </c>
      <c r="G81" t="s">
        <v>795</v>
      </c>
      <c r="H81" t="s">
        <v>1158</v>
      </c>
      <c r="I81" t="s">
        <v>2512</v>
      </c>
      <c r="K81" t="s">
        <v>665</v>
      </c>
      <c r="L81" s="871"/>
      <c r="O81" s="256" t="str">
        <f ca="1">IF(OR(tblAvisos[[#This Row],[Estado trabajo]]="Cerrado",tblAvisos[[#This Row],[Fecha reporte]]=""),"",TODAY()-tblAvisos[[#This Row],[Fecha reporte]])</f>
        <v/>
      </c>
      <c r="P81" t="str">
        <f ca="1">IF(tblAvisos[[#This Row],[Fecha reporte]]="","Sin fecha",IF(tblAvisos[[#This Row],[Fecha reporte]]&lt;DATE(2020,1,1),"Fecha inválida",IF(tblAvisos[[#This Row],[Fecha reporte]]&gt;TODAY(),"Fecha futura",IF(tblAvisos[[#This Row],[Aviso SAP]]="","Sin aviso SAP",IF(tblAvisos[[#This Row],[Criticidad]]="","Sin criticidad","OK")))))</f>
        <v>Sin aviso SAP</v>
      </c>
      <c r="Q81" s="901" t="s">
        <v>2614</v>
      </c>
    </row>
    <row r="82" spans="2:17">
      <c r="B82" s="853" cm="1">
        <f t="array" ref="B82">ROW()-ROW(tblAvisos[#Headers])</f>
        <v>78</v>
      </c>
      <c r="C82" t="s">
        <v>2502</v>
      </c>
      <c r="D82" s="871">
        <v>45976</v>
      </c>
      <c r="E82" s="900" t="s">
        <v>2615</v>
      </c>
      <c r="F82" t="s">
        <v>469</v>
      </c>
      <c r="G82" t="s">
        <v>797</v>
      </c>
      <c r="H82" t="s">
        <v>1158</v>
      </c>
      <c r="I82" t="s">
        <v>1173</v>
      </c>
      <c r="K82" t="s">
        <v>668</v>
      </c>
      <c r="L82" s="871"/>
      <c r="N82" t="s">
        <v>2616</v>
      </c>
      <c r="O82" s="256">
        <f ca="1">IF(OR(tblAvisos[[#This Row],[Estado trabajo]]="Cerrado",tblAvisos[[#This Row],[Fecha reporte]]=""),"",TODAY()-tblAvisos[[#This Row],[Fecha reporte]])</f>
        <v>319</v>
      </c>
      <c r="P82" t="str">
        <f ca="1">IF(tblAvisos[[#This Row],[Fecha reporte]]="","Sin fecha",IF(tblAvisos[[#This Row],[Fecha reporte]]&lt;DATE(2020,1,1),"Fecha inválida",IF(tblAvisos[[#This Row],[Fecha reporte]]&gt;TODAY(),"Fecha futura",IF(tblAvisos[[#This Row],[Aviso SAP]]="","Sin aviso SAP",IF(tblAvisos[[#This Row],[Criticidad]]="","Sin criticidad","OK")))))</f>
        <v>OK</v>
      </c>
      <c r="Q82" s="901" t="s">
        <v>2617</v>
      </c>
    </row>
    <row r="83" spans="2:17">
      <c r="B83" s="853" cm="1">
        <f t="array" ref="B83">ROW()-ROW(tblAvisos[#Headers])</f>
        <v>79</v>
      </c>
      <c r="C83" t="s">
        <v>2502</v>
      </c>
      <c r="D83" s="871">
        <v>45972</v>
      </c>
      <c r="E83" s="900" t="s">
        <v>2618</v>
      </c>
      <c r="F83" t="s">
        <v>799</v>
      </c>
      <c r="G83" t="s">
        <v>800</v>
      </c>
      <c r="H83" t="s">
        <v>1158</v>
      </c>
      <c r="I83" t="s">
        <v>1173</v>
      </c>
      <c r="K83" t="s">
        <v>668</v>
      </c>
      <c r="L83" s="871"/>
      <c r="N83" t="s">
        <v>2616</v>
      </c>
      <c r="O83" s="256">
        <f ca="1">IF(OR(tblAvisos[[#This Row],[Estado trabajo]]="Cerrado",tblAvisos[[#This Row],[Fecha reporte]]=""),"",TODAY()-tblAvisos[[#This Row],[Fecha reporte]])</f>
        <v>323</v>
      </c>
      <c r="P83" t="str">
        <f ca="1">IF(tblAvisos[[#This Row],[Fecha reporte]]="","Sin fecha",IF(tblAvisos[[#This Row],[Fecha reporte]]&lt;DATE(2020,1,1),"Fecha inválida",IF(tblAvisos[[#This Row],[Fecha reporte]]&gt;TODAY(),"Fecha futura",IF(tblAvisos[[#This Row],[Aviso SAP]]="","Sin aviso SAP",IF(tblAvisos[[#This Row],[Criticidad]]="","Sin criticidad","OK")))))</f>
        <v>OK</v>
      </c>
      <c r="Q83" s="901" t="s">
        <v>2619</v>
      </c>
    </row>
    <row r="84" spans="2:17">
      <c r="B84" s="853" cm="1">
        <f t="array" ref="B84">ROW()-ROW(tblAvisos[#Headers])</f>
        <v>80</v>
      </c>
      <c r="C84" t="s">
        <v>2502</v>
      </c>
      <c r="D84" s="871">
        <v>45940</v>
      </c>
      <c r="E84" s="900" t="s">
        <v>2620</v>
      </c>
      <c r="F84" t="s">
        <v>801</v>
      </c>
      <c r="G84" t="s">
        <v>802</v>
      </c>
      <c r="H84" t="s">
        <v>1158</v>
      </c>
      <c r="I84" t="s">
        <v>1173</v>
      </c>
      <c r="K84" t="s">
        <v>668</v>
      </c>
      <c r="L84" s="871"/>
      <c r="N84" t="s">
        <v>2616</v>
      </c>
      <c r="O84" s="256">
        <f ca="1">IF(OR(tblAvisos[[#This Row],[Estado trabajo]]="Cerrado",tblAvisos[[#This Row],[Fecha reporte]]=""),"",TODAY()-tblAvisos[[#This Row],[Fecha reporte]])</f>
        <v>355</v>
      </c>
      <c r="P84" t="str">
        <f ca="1">IF(tblAvisos[[#This Row],[Fecha reporte]]="","Sin fecha",IF(tblAvisos[[#This Row],[Fecha reporte]]&lt;DATE(2020,1,1),"Fecha inválida",IF(tblAvisos[[#This Row],[Fecha reporte]]&gt;TODAY(),"Fecha futura",IF(tblAvisos[[#This Row],[Aviso SAP]]="","Sin aviso SAP",IF(tblAvisos[[#This Row],[Criticidad]]="","Sin criticidad","OK")))))</f>
        <v>OK</v>
      </c>
      <c r="Q84" s="901" t="s">
        <v>2621</v>
      </c>
    </row>
    <row r="85" spans="2:17">
      <c r="B85" s="853" cm="1">
        <f t="array" ref="B85">ROW()-ROW(tblAvisos[#Headers])</f>
        <v>81</v>
      </c>
      <c r="C85" t="s">
        <v>2502</v>
      </c>
      <c r="D85" s="871">
        <v>45980</v>
      </c>
      <c r="E85" s="900" t="s">
        <v>2622</v>
      </c>
      <c r="F85" t="s">
        <v>804</v>
      </c>
      <c r="G85" t="s">
        <v>805</v>
      </c>
      <c r="H85" t="s">
        <v>1158</v>
      </c>
      <c r="I85" t="s">
        <v>1173</v>
      </c>
      <c r="K85" t="s">
        <v>665</v>
      </c>
      <c r="L85" s="871"/>
      <c r="N85" t="s">
        <v>2616</v>
      </c>
      <c r="O85" s="256">
        <f ca="1">IF(OR(tblAvisos[[#This Row],[Estado trabajo]]="Cerrado",tblAvisos[[#This Row],[Fecha reporte]]=""),"",TODAY()-tblAvisos[[#This Row],[Fecha reporte]])</f>
        <v>315</v>
      </c>
      <c r="P85" t="str">
        <f ca="1">IF(tblAvisos[[#This Row],[Fecha reporte]]="","Sin fecha",IF(tblAvisos[[#This Row],[Fecha reporte]]&lt;DATE(2020,1,1),"Fecha inválida",IF(tblAvisos[[#This Row],[Fecha reporte]]&gt;TODAY(),"Fecha futura",IF(tblAvisos[[#This Row],[Aviso SAP]]="","Sin aviso SAP",IF(tblAvisos[[#This Row],[Criticidad]]="","Sin criticidad","OK")))))</f>
        <v>OK</v>
      </c>
      <c r="Q85" s="901" t="s">
        <v>2623</v>
      </c>
    </row>
    <row r="86" spans="2:17">
      <c r="B86" s="853" cm="1">
        <f t="array" ref="B86">ROW()-ROW(tblAvisos[#Headers])</f>
        <v>82</v>
      </c>
      <c r="C86" t="s">
        <v>2502</v>
      </c>
      <c r="D86" s="871">
        <v>45971</v>
      </c>
      <c r="E86" s="900" t="s">
        <v>2624</v>
      </c>
      <c r="F86" t="s">
        <v>806</v>
      </c>
      <c r="G86" t="s">
        <v>807</v>
      </c>
      <c r="H86" t="s">
        <v>1158</v>
      </c>
      <c r="I86" t="s">
        <v>1173</v>
      </c>
      <c r="K86" t="s">
        <v>668</v>
      </c>
      <c r="L86" s="871"/>
      <c r="N86" t="s">
        <v>2616</v>
      </c>
      <c r="O86" s="256">
        <f ca="1">IF(OR(tblAvisos[[#This Row],[Estado trabajo]]="Cerrado",tblAvisos[[#This Row],[Fecha reporte]]=""),"",TODAY()-tblAvisos[[#This Row],[Fecha reporte]])</f>
        <v>324</v>
      </c>
      <c r="P86" t="str">
        <f ca="1">IF(tblAvisos[[#This Row],[Fecha reporte]]="","Sin fecha",IF(tblAvisos[[#This Row],[Fecha reporte]]&lt;DATE(2020,1,1),"Fecha inválida",IF(tblAvisos[[#This Row],[Fecha reporte]]&gt;TODAY(),"Fecha futura",IF(tblAvisos[[#This Row],[Aviso SAP]]="","Sin aviso SAP",IF(tblAvisos[[#This Row],[Criticidad]]="","Sin criticidad","OK")))))</f>
        <v>OK</v>
      </c>
      <c r="Q86" s="901" t="s">
        <v>2625</v>
      </c>
    </row>
    <row r="87" spans="2:17">
      <c r="B87" s="853" cm="1">
        <f t="array" ref="B87">ROW()-ROW(tblAvisos[#Headers])</f>
        <v>83</v>
      </c>
      <c r="C87" t="s">
        <v>2502</v>
      </c>
      <c r="D87" s="871">
        <v>45969</v>
      </c>
      <c r="E87" s="900" t="s">
        <v>2626</v>
      </c>
      <c r="F87" t="s">
        <v>808</v>
      </c>
      <c r="G87" t="s">
        <v>809</v>
      </c>
      <c r="H87" t="s">
        <v>1158</v>
      </c>
      <c r="I87" t="s">
        <v>1173</v>
      </c>
      <c r="J87" t="s">
        <v>2514</v>
      </c>
      <c r="K87" t="s">
        <v>668</v>
      </c>
      <c r="L87" s="871"/>
      <c r="O87" s="256">
        <f ca="1">IF(OR(tblAvisos[[#This Row],[Estado trabajo]]="Cerrado",tblAvisos[[#This Row],[Fecha reporte]]=""),"",TODAY()-tblAvisos[[#This Row],[Fecha reporte]])</f>
        <v>326</v>
      </c>
      <c r="P87" t="str">
        <f ca="1">IF(tblAvisos[[#This Row],[Fecha reporte]]="","Sin fecha",IF(tblAvisos[[#This Row],[Fecha reporte]]&lt;DATE(2020,1,1),"Fecha inválida",IF(tblAvisos[[#This Row],[Fecha reporte]]&gt;TODAY(),"Fecha futura",IF(tblAvisos[[#This Row],[Aviso SAP]]="","Sin aviso SAP",IF(tblAvisos[[#This Row],[Criticidad]]="","Sin criticidad","OK")))))</f>
        <v>OK</v>
      </c>
      <c r="Q87" s="901" t="s">
        <v>2627</v>
      </c>
    </row>
    <row r="88" spans="2:17">
      <c r="B88" s="853" cm="1">
        <f t="array" ref="B88">ROW()-ROW(tblAvisos[#Headers])</f>
        <v>84</v>
      </c>
      <c r="C88" t="s">
        <v>2502</v>
      </c>
      <c r="D88" s="871">
        <v>45901</v>
      </c>
      <c r="E88" s="900" t="s">
        <v>2536</v>
      </c>
      <c r="F88" t="s">
        <v>808</v>
      </c>
      <c r="G88" t="s">
        <v>811</v>
      </c>
      <c r="H88" t="s">
        <v>1158</v>
      </c>
      <c r="I88" t="s">
        <v>1173</v>
      </c>
      <c r="K88" t="s">
        <v>668</v>
      </c>
      <c r="L88" s="871"/>
      <c r="N88" t="s">
        <v>2616</v>
      </c>
      <c r="O88" s="256">
        <f ca="1">IF(OR(tblAvisos[[#This Row],[Estado trabajo]]="Cerrado",tblAvisos[[#This Row],[Fecha reporte]]=""),"",TODAY()-tblAvisos[[#This Row],[Fecha reporte]])</f>
        <v>394</v>
      </c>
      <c r="P88" t="str">
        <f ca="1">IF(tblAvisos[[#This Row],[Fecha reporte]]="","Sin fecha",IF(tblAvisos[[#This Row],[Fecha reporte]]&lt;DATE(2020,1,1),"Fecha inválida",IF(tblAvisos[[#This Row],[Fecha reporte]]&gt;TODAY(),"Fecha futura",IF(tblAvisos[[#This Row],[Aviso SAP]]="","Sin aviso SAP",IF(tblAvisos[[#This Row],[Criticidad]]="","Sin criticidad","OK")))))</f>
        <v>Sin aviso SAP</v>
      </c>
      <c r="Q88" s="901" t="s">
        <v>2628</v>
      </c>
    </row>
    <row r="89" spans="2:17">
      <c r="B89" s="853" cm="1">
        <f t="array" ref="B89">ROW()-ROW(tblAvisos[#Headers])</f>
        <v>85</v>
      </c>
      <c r="C89" t="s">
        <v>2502</v>
      </c>
      <c r="D89" s="871">
        <v>45976</v>
      </c>
      <c r="E89" s="900" t="s">
        <v>2536</v>
      </c>
      <c r="F89" t="s">
        <v>812</v>
      </c>
      <c r="G89" t="s">
        <v>813</v>
      </c>
      <c r="H89" t="s">
        <v>1158</v>
      </c>
      <c r="I89" t="s">
        <v>1173</v>
      </c>
      <c r="K89" t="s">
        <v>665</v>
      </c>
      <c r="L89" s="871"/>
      <c r="N89" t="s">
        <v>2616</v>
      </c>
      <c r="O89" s="256">
        <f ca="1">IF(OR(tblAvisos[[#This Row],[Estado trabajo]]="Cerrado",tblAvisos[[#This Row],[Fecha reporte]]=""),"",TODAY()-tblAvisos[[#This Row],[Fecha reporte]])</f>
        <v>319</v>
      </c>
      <c r="P89" t="str">
        <f ca="1">IF(tblAvisos[[#This Row],[Fecha reporte]]="","Sin fecha",IF(tblAvisos[[#This Row],[Fecha reporte]]&lt;DATE(2020,1,1),"Fecha inválida",IF(tblAvisos[[#This Row],[Fecha reporte]]&gt;TODAY(),"Fecha futura",IF(tblAvisos[[#This Row],[Aviso SAP]]="","Sin aviso SAP",IF(tblAvisos[[#This Row],[Criticidad]]="","Sin criticidad","OK")))))</f>
        <v>Sin aviso SAP</v>
      </c>
      <c r="Q89" s="901" t="s">
        <v>2629</v>
      </c>
    </row>
    <row r="90" spans="2:17">
      <c r="B90" s="853" cm="1">
        <f t="array" ref="B90">ROW()-ROW(tblAvisos[#Headers])</f>
        <v>86</v>
      </c>
      <c r="C90" t="s">
        <v>2502</v>
      </c>
      <c r="D90" s="871">
        <v>45976</v>
      </c>
      <c r="E90" s="900" t="s">
        <v>2536</v>
      </c>
      <c r="F90" t="s">
        <v>814</v>
      </c>
      <c r="G90" t="s">
        <v>815</v>
      </c>
      <c r="H90" t="s">
        <v>1158</v>
      </c>
      <c r="I90" t="s">
        <v>1173</v>
      </c>
      <c r="K90" t="s">
        <v>668</v>
      </c>
      <c r="L90" s="871"/>
      <c r="N90" t="s">
        <v>2616</v>
      </c>
      <c r="O90" s="256">
        <f ca="1">IF(OR(tblAvisos[[#This Row],[Estado trabajo]]="Cerrado",tblAvisos[[#This Row],[Fecha reporte]]=""),"",TODAY()-tblAvisos[[#This Row],[Fecha reporte]])</f>
        <v>319</v>
      </c>
      <c r="P90" t="str">
        <f ca="1">IF(tblAvisos[[#This Row],[Fecha reporte]]="","Sin fecha",IF(tblAvisos[[#This Row],[Fecha reporte]]&lt;DATE(2020,1,1),"Fecha inválida",IF(tblAvisos[[#This Row],[Fecha reporte]]&gt;TODAY(),"Fecha futura",IF(tblAvisos[[#This Row],[Aviso SAP]]="","Sin aviso SAP",IF(tblAvisos[[#This Row],[Criticidad]]="","Sin criticidad","OK")))))</f>
        <v>Sin aviso SAP</v>
      </c>
      <c r="Q90" s="901" t="s">
        <v>2630</v>
      </c>
    </row>
    <row r="91" spans="2:17">
      <c r="B91" s="853" cm="1">
        <f t="array" ref="B91">ROW()-ROW(tblAvisos[#Headers])</f>
        <v>87</v>
      </c>
      <c r="C91" t="s">
        <v>2502</v>
      </c>
      <c r="D91" s="871">
        <v>45839</v>
      </c>
      <c r="E91" s="900" t="s">
        <v>2536</v>
      </c>
      <c r="F91" t="s">
        <v>259</v>
      </c>
      <c r="G91" t="s">
        <v>816</v>
      </c>
      <c r="H91" t="s">
        <v>1158</v>
      </c>
      <c r="I91" t="s">
        <v>1173</v>
      </c>
      <c r="K91" t="s">
        <v>668</v>
      </c>
      <c r="L91" s="871"/>
      <c r="N91" t="s">
        <v>2616</v>
      </c>
      <c r="O91" s="256">
        <f ca="1">IF(OR(tblAvisos[[#This Row],[Estado trabajo]]="Cerrado",tblAvisos[[#This Row],[Fecha reporte]]=""),"",TODAY()-tblAvisos[[#This Row],[Fecha reporte]])</f>
        <v>456</v>
      </c>
      <c r="P91" t="str">
        <f ca="1">IF(tblAvisos[[#This Row],[Fecha reporte]]="","Sin fecha",IF(tblAvisos[[#This Row],[Fecha reporte]]&lt;DATE(2020,1,1),"Fecha inválida",IF(tblAvisos[[#This Row],[Fecha reporte]]&gt;TODAY(),"Fecha futura",IF(tblAvisos[[#This Row],[Aviso SAP]]="","Sin aviso SAP",IF(tblAvisos[[#This Row],[Criticidad]]="","Sin criticidad","OK")))))</f>
        <v>Sin aviso SAP</v>
      </c>
      <c r="Q91" s="901" t="s">
        <v>2631</v>
      </c>
    </row>
    <row r="92" spans="2:17">
      <c r="B92" s="853" cm="1">
        <f t="array" ref="B92">ROW()-ROW(tblAvisos[#Headers])</f>
        <v>88</v>
      </c>
      <c r="C92" t="s">
        <v>2502</v>
      </c>
      <c r="D92" s="871">
        <v>45981</v>
      </c>
      <c r="E92" s="900" t="s">
        <v>2536</v>
      </c>
      <c r="F92" t="s">
        <v>818</v>
      </c>
      <c r="G92" t="s">
        <v>819</v>
      </c>
      <c r="H92" t="s">
        <v>1158</v>
      </c>
      <c r="I92" t="s">
        <v>1173</v>
      </c>
      <c r="K92" t="s">
        <v>668</v>
      </c>
      <c r="L92" s="871"/>
      <c r="N92" t="s">
        <v>2616</v>
      </c>
      <c r="O92" s="256">
        <f ca="1">IF(OR(tblAvisos[[#This Row],[Estado trabajo]]="Cerrado",tblAvisos[[#This Row],[Fecha reporte]]=""),"",TODAY()-tblAvisos[[#This Row],[Fecha reporte]])</f>
        <v>314</v>
      </c>
      <c r="P92" t="str">
        <f ca="1">IF(tblAvisos[[#This Row],[Fecha reporte]]="","Sin fecha",IF(tblAvisos[[#This Row],[Fecha reporte]]&lt;DATE(2020,1,1),"Fecha inválida",IF(tblAvisos[[#This Row],[Fecha reporte]]&gt;TODAY(),"Fecha futura",IF(tblAvisos[[#This Row],[Aviso SAP]]="","Sin aviso SAP",IF(tblAvisos[[#This Row],[Criticidad]]="","Sin criticidad","OK")))))</f>
        <v>Sin aviso SAP</v>
      </c>
      <c r="Q92" s="901" t="s">
        <v>2632</v>
      </c>
    </row>
    <row r="93" spans="2:17">
      <c r="B93" s="853" cm="1">
        <f t="array" ref="B93">ROW()-ROW(tblAvisos[#Headers])</f>
        <v>89</v>
      </c>
      <c r="C93" t="s">
        <v>2502</v>
      </c>
      <c r="D93" s="871">
        <v>45981</v>
      </c>
      <c r="E93" s="900" t="s">
        <v>2536</v>
      </c>
      <c r="F93" t="s">
        <v>266</v>
      </c>
      <c r="G93" t="s">
        <v>820</v>
      </c>
      <c r="H93" t="s">
        <v>1158</v>
      </c>
      <c r="I93" t="s">
        <v>821</v>
      </c>
      <c r="K93" t="s">
        <v>668</v>
      </c>
      <c r="L93" s="871"/>
      <c r="O93" s="256">
        <f ca="1">IF(OR(tblAvisos[[#This Row],[Estado trabajo]]="Cerrado",tblAvisos[[#This Row],[Fecha reporte]]=""),"",TODAY()-tblAvisos[[#This Row],[Fecha reporte]])</f>
        <v>314</v>
      </c>
      <c r="P93" t="str">
        <f ca="1">IF(tblAvisos[[#This Row],[Fecha reporte]]="","Sin fecha",IF(tblAvisos[[#This Row],[Fecha reporte]]&lt;DATE(2020,1,1),"Fecha inválida",IF(tblAvisos[[#This Row],[Fecha reporte]]&gt;TODAY(),"Fecha futura",IF(tblAvisos[[#This Row],[Aviso SAP]]="","Sin aviso SAP",IF(tblAvisos[[#This Row],[Criticidad]]="","Sin criticidad","OK")))))</f>
        <v>Sin aviso SAP</v>
      </c>
      <c r="Q93" s="901" t="s">
        <v>2633</v>
      </c>
    </row>
    <row r="94" spans="2:17">
      <c r="B94" s="853" cm="1">
        <f t="array" ref="B94">ROW()-ROW(tblAvisos[#Headers])</f>
        <v>90</v>
      </c>
      <c r="C94" t="s">
        <v>2502</v>
      </c>
      <c r="D94" s="871">
        <v>45981</v>
      </c>
      <c r="E94" s="900" t="s">
        <v>2536</v>
      </c>
      <c r="F94" t="s">
        <v>822</v>
      </c>
      <c r="G94" t="s">
        <v>823</v>
      </c>
      <c r="H94" t="s">
        <v>1158</v>
      </c>
      <c r="I94" t="s">
        <v>1173</v>
      </c>
      <c r="K94" t="s">
        <v>665</v>
      </c>
      <c r="L94" s="871"/>
      <c r="N94" t="s">
        <v>2616</v>
      </c>
      <c r="O94" s="256">
        <f ca="1">IF(OR(tblAvisos[[#This Row],[Estado trabajo]]="Cerrado",tblAvisos[[#This Row],[Fecha reporte]]=""),"",TODAY()-tblAvisos[[#This Row],[Fecha reporte]])</f>
        <v>314</v>
      </c>
      <c r="P94" t="str">
        <f ca="1">IF(tblAvisos[[#This Row],[Fecha reporte]]="","Sin fecha",IF(tblAvisos[[#This Row],[Fecha reporte]]&lt;DATE(2020,1,1),"Fecha inválida",IF(tblAvisos[[#This Row],[Fecha reporte]]&gt;TODAY(),"Fecha futura",IF(tblAvisos[[#This Row],[Aviso SAP]]="","Sin aviso SAP",IF(tblAvisos[[#This Row],[Criticidad]]="","Sin criticidad","OK")))))</f>
        <v>Sin aviso SAP</v>
      </c>
      <c r="Q94" s="901" t="s">
        <v>2634</v>
      </c>
    </row>
    <row r="95" spans="2:17">
      <c r="B95" s="853" cm="1">
        <f t="array" ref="B95">ROW()-ROW(tblAvisos[#Headers])</f>
        <v>91</v>
      </c>
      <c r="C95" t="s">
        <v>2502</v>
      </c>
      <c r="D95" s="871">
        <v>45981</v>
      </c>
      <c r="E95" s="900" t="s">
        <v>2536</v>
      </c>
      <c r="F95" t="s">
        <v>824</v>
      </c>
      <c r="G95" t="s">
        <v>825</v>
      </c>
      <c r="H95" t="s">
        <v>1158</v>
      </c>
      <c r="I95" t="s">
        <v>1173</v>
      </c>
      <c r="K95" t="s">
        <v>668</v>
      </c>
      <c r="L95" s="871"/>
      <c r="N95" t="s">
        <v>2616</v>
      </c>
      <c r="O95" s="256">
        <f ca="1">IF(OR(tblAvisos[[#This Row],[Estado trabajo]]="Cerrado",tblAvisos[[#This Row],[Fecha reporte]]=""),"",TODAY()-tblAvisos[[#This Row],[Fecha reporte]])</f>
        <v>314</v>
      </c>
      <c r="P95" t="str">
        <f ca="1">IF(tblAvisos[[#This Row],[Fecha reporte]]="","Sin fecha",IF(tblAvisos[[#This Row],[Fecha reporte]]&lt;DATE(2020,1,1),"Fecha inválida",IF(tblAvisos[[#This Row],[Fecha reporte]]&gt;TODAY(),"Fecha futura",IF(tblAvisos[[#This Row],[Aviso SAP]]="","Sin aviso SAP",IF(tblAvisos[[#This Row],[Criticidad]]="","Sin criticidad","OK")))))</f>
        <v>Sin aviso SAP</v>
      </c>
      <c r="Q95" s="901" t="s">
        <v>2635</v>
      </c>
    </row>
    <row r="96" spans="2:17">
      <c r="B96" s="853" cm="1">
        <f t="array" ref="B96">ROW()-ROW(tblAvisos[#Headers])</f>
        <v>92</v>
      </c>
      <c r="C96" t="s">
        <v>2502</v>
      </c>
      <c r="D96" s="871">
        <v>45981</v>
      </c>
      <c r="E96" s="900" t="s">
        <v>2536</v>
      </c>
      <c r="F96" t="s">
        <v>826</v>
      </c>
      <c r="G96" t="s">
        <v>827</v>
      </c>
      <c r="H96" t="s">
        <v>1158</v>
      </c>
      <c r="I96" t="s">
        <v>1173</v>
      </c>
      <c r="K96" t="s">
        <v>668</v>
      </c>
      <c r="L96" s="871"/>
      <c r="N96" t="s">
        <v>2616</v>
      </c>
      <c r="O96" s="256">
        <f ca="1">IF(OR(tblAvisos[[#This Row],[Estado trabajo]]="Cerrado",tblAvisos[[#This Row],[Fecha reporte]]=""),"",TODAY()-tblAvisos[[#This Row],[Fecha reporte]])</f>
        <v>314</v>
      </c>
      <c r="P96" t="str">
        <f ca="1">IF(tblAvisos[[#This Row],[Fecha reporte]]="","Sin fecha",IF(tblAvisos[[#This Row],[Fecha reporte]]&lt;DATE(2020,1,1),"Fecha inválida",IF(tblAvisos[[#This Row],[Fecha reporte]]&gt;TODAY(),"Fecha futura",IF(tblAvisos[[#This Row],[Aviso SAP]]="","Sin aviso SAP",IF(tblAvisos[[#This Row],[Criticidad]]="","Sin criticidad","OK")))))</f>
        <v>Sin aviso SAP</v>
      </c>
      <c r="Q96" s="901" t="s">
        <v>2636</v>
      </c>
    </row>
    <row r="97" spans="2:17">
      <c r="B97" s="853" cm="1">
        <f t="array" ref="B97">ROW()-ROW(tblAvisos[#Headers])</f>
        <v>93</v>
      </c>
      <c r="C97" t="s">
        <v>2502</v>
      </c>
      <c r="D97" s="871">
        <v>45981</v>
      </c>
      <c r="E97" s="900" t="s">
        <v>2536</v>
      </c>
      <c r="F97" t="s">
        <v>828</v>
      </c>
      <c r="G97" t="s">
        <v>829</v>
      </c>
      <c r="H97" t="s">
        <v>1158</v>
      </c>
      <c r="I97" t="s">
        <v>1173</v>
      </c>
      <c r="J97" t="s">
        <v>2515</v>
      </c>
      <c r="K97" t="s">
        <v>668</v>
      </c>
      <c r="L97" s="871"/>
      <c r="O97" s="256">
        <f ca="1">IF(OR(tblAvisos[[#This Row],[Estado trabajo]]="Cerrado",tblAvisos[[#This Row],[Fecha reporte]]=""),"",TODAY()-tblAvisos[[#This Row],[Fecha reporte]])</f>
        <v>314</v>
      </c>
      <c r="P97" t="str">
        <f ca="1">IF(tblAvisos[[#This Row],[Fecha reporte]]="","Sin fecha",IF(tblAvisos[[#This Row],[Fecha reporte]]&lt;DATE(2020,1,1),"Fecha inválida",IF(tblAvisos[[#This Row],[Fecha reporte]]&gt;TODAY(),"Fecha futura",IF(tblAvisos[[#This Row],[Aviso SAP]]="","Sin aviso SAP",IF(tblAvisos[[#This Row],[Criticidad]]="","Sin criticidad","OK")))))</f>
        <v>Sin aviso SAP</v>
      </c>
      <c r="Q97" s="901" t="s">
        <v>2637</v>
      </c>
    </row>
    <row r="98" spans="2:17">
      <c r="B98" s="853" cm="1">
        <f t="array" ref="B98">ROW()-ROW(tblAvisos[#Headers])</f>
        <v>94</v>
      </c>
      <c r="C98" t="s">
        <v>2502</v>
      </c>
      <c r="D98" s="871">
        <v>45981</v>
      </c>
      <c r="E98" s="900" t="s">
        <v>2536</v>
      </c>
      <c r="F98" t="s">
        <v>831</v>
      </c>
      <c r="G98" t="s">
        <v>827</v>
      </c>
      <c r="H98" t="s">
        <v>1158</v>
      </c>
      <c r="I98" t="s">
        <v>1173</v>
      </c>
      <c r="K98" t="s">
        <v>668</v>
      </c>
      <c r="L98" s="871"/>
      <c r="N98" t="s">
        <v>2616</v>
      </c>
      <c r="O98" s="256">
        <f ca="1">IF(OR(tblAvisos[[#This Row],[Estado trabajo]]="Cerrado",tblAvisos[[#This Row],[Fecha reporte]]=""),"",TODAY()-tblAvisos[[#This Row],[Fecha reporte]])</f>
        <v>314</v>
      </c>
      <c r="P98" t="str">
        <f ca="1">IF(tblAvisos[[#This Row],[Fecha reporte]]="","Sin fecha",IF(tblAvisos[[#This Row],[Fecha reporte]]&lt;DATE(2020,1,1),"Fecha inválida",IF(tblAvisos[[#This Row],[Fecha reporte]]&gt;TODAY(),"Fecha futura",IF(tblAvisos[[#This Row],[Aviso SAP]]="","Sin aviso SAP",IF(tblAvisos[[#This Row],[Criticidad]]="","Sin criticidad","OK")))))</f>
        <v>Sin aviso SAP</v>
      </c>
      <c r="Q98" s="901" t="s">
        <v>2638</v>
      </c>
    </row>
    <row r="99" spans="2:17">
      <c r="B99" s="853" cm="1">
        <f t="array" ref="B99">ROW()-ROW(tblAvisos[#Headers])</f>
        <v>95</v>
      </c>
      <c r="C99" t="s">
        <v>2502</v>
      </c>
      <c r="D99" s="871">
        <v>45981</v>
      </c>
      <c r="E99" s="900" t="s">
        <v>2536</v>
      </c>
      <c r="F99" t="s">
        <v>832</v>
      </c>
      <c r="G99" t="s">
        <v>833</v>
      </c>
      <c r="H99" t="s">
        <v>1158</v>
      </c>
      <c r="I99" t="s">
        <v>1173</v>
      </c>
      <c r="K99" t="s">
        <v>665</v>
      </c>
      <c r="L99" s="871"/>
      <c r="N99" t="s">
        <v>2616</v>
      </c>
      <c r="O99" s="256">
        <f ca="1">IF(OR(tblAvisos[[#This Row],[Estado trabajo]]="Cerrado",tblAvisos[[#This Row],[Fecha reporte]]=""),"",TODAY()-tblAvisos[[#This Row],[Fecha reporte]])</f>
        <v>314</v>
      </c>
      <c r="P99" t="str">
        <f ca="1">IF(tblAvisos[[#This Row],[Fecha reporte]]="","Sin fecha",IF(tblAvisos[[#This Row],[Fecha reporte]]&lt;DATE(2020,1,1),"Fecha inválida",IF(tblAvisos[[#This Row],[Fecha reporte]]&gt;TODAY(),"Fecha futura",IF(tblAvisos[[#This Row],[Aviso SAP]]="","Sin aviso SAP",IF(tblAvisos[[#This Row],[Criticidad]]="","Sin criticidad","OK")))))</f>
        <v>Sin aviso SAP</v>
      </c>
      <c r="Q99" s="901" t="s">
        <v>2639</v>
      </c>
    </row>
    <row r="100" spans="2:17">
      <c r="B100" s="853" cm="1">
        <f t="array" ref="B100">ROW()-ROW(tblAvisos[#Headers])</f>
        <v>96</v>
      </c>
      <c r="C100" t="s">
        <v>2502</v>
      </c>
      <c r="D100" s="871">
        <v>45981</v>
      </c>
      <c r="E100" s="900" t="s">
        <v>2536</v>
      </c>
      <c r="F100" t="s">
        <v>834</v>
      </c>
      <c r="G100" t="s">
        <v>835</v>
      </c>
      <c r="H100" t="s">
        <v>1158</v>
      </c>
      <c r="I100" t="s">
        <v>1173</v>
      </c>
      <c r="K100" t="s">
        <v>665</v>
      </c>
      <c r="L100" s="871"/>
      <c r="N100" t="s">
        <v>2616</v>
      </c>
      <c r="O100" s="256">
        <f ca="1">IF(OR(tblAvisos[[#This Row],[Estado trabajo]]="Cerrado",tblAvisos[[#This Row],[Fecha reporte]]=""),"",TODAY()-tblAvisos[[#This Row],[Fecha reporte]])</f>
        <v>314</v>
      </c>
      <c r="P100" t="str">
        <f ca="1">IF(tblAvisos[[#This Row],[Fecha reporte]]="","Sin fecha",IF(tblAvisos[[#This Row],[Fecha reporte]]&lt;DATE(2020,1,1),"Fecha inválida",IF(tblAvisos[[#This Row],[Fecha reporte]]&gt;TODAY(),"Fecha futura",IF(tblAvisos[[#This Row],[Aviso SAP]]="","Sin aviso SAP",IF(tblAvisos[[#This Row],[Criticidad]]="","Sin criticidad","OK")))))</f>
        <v>Sin aviso SAP</v>
      </c>
      <c r="Q100" s="901" t="s">
        <v>2640</v>
      </c>
    </row>
    <row r="101" spans="2:17">
      <c r="B101" s="853" cm="1">
        <f t="array" ref="B101">ROW()-ROW(tblAvisos[#Headers])</f>
        <v>97</v>
      </c>
      <c r="C101" t="s">
        <v>2502</v>
      </c>
      <c r="D101" s="871">
        <v>45981</v>
      </c>
      <c r="E101" s="900" t="s">
        <v>2536</v>
      </c>
      <c r="F101" t="s">
        <v>836</v>
      </c>
      <c r="G101" t="s">
        <v>837</v>
      </c>
      <c r="H101" t="s">
        <v>1158</v>
      </c>
      <c r="I101" t="s">
        <v>2512</v>
      </c>
      <c r="K101" t="s">
        <v>668</v>
      </c>
      <c r="L101" s="871"/>
      <c r="O101" s="256" t="str">
        <f ca="1">IF(OR(tblAvisos[[#This Row],[Estado trabajo]]="Cerrado",tblAvisos[[#This Row],[Fecha reporte]]=""),"",TODAY()-tblAvisos[[#This Row],[Fecha reporte]])</f>
        <v/>
      </c>
      <c r="P101" t="str">
        <f ca="1">IF(tblAvisos[[#This Row],[Fecha reporte]]="","Sin fecha",IF(tblAvisos[[#This Row],[Fecha reporte]]&lt;DATE(2020,1,1),"Fecha inválida",IF(tblAvisos[[#This Row],[Fecha reporte]]&gt;TODAY(),"Fecha futura",IF(tblAvisos[[#This Row],[Aviso SAP]]="","Sin aviso SAP",IF(tblAvisos[[#This Row],[Criticidad]]="","Sin criticidad","OK")))))</f>
        <v>Sin aviso SAP</v>
      </c>
      <c r="Q101" s="901" t="s">
        <v>2641</v>
      </c>
    </row>
    <row r="102" spans="2:17">
      <c r="B102" s="853" cm="1">
        <f t="array" ref="B102">ROW()-ROW(tblAvisos[#Headers])</f>
        <v>98</v>
      </c>
      <c r="C102" t="s">
        <v>2502</v>
      </c>
      <c r="D102" s="871">
        <v>45982</v>
      </c>
      <c r="E102" s="900" t="s">
        <v>2536</v>
      </c>
      <c r="F102" t="s">
        <v>838</v>
      </c>
      <c r="G102" t="s">
        <v>2642</v>
      </c>
      <c r="H102" t="s">
        <v>1158</v>
      </c>
      <c r="I102" t="s">
        <v>1173</v>
      </c>
      <c r="K102" t="s">
        <v>668</v>
      </c>
      <c r="L102" s="871"/>
      <c r="N102" t="s">
        <v>2616</v>
      </c>
      <c r="O102" s="256">
        <f ca="1">IF(OR(tblAvisos[[#This Row],[Estado trabajo]]="Cerrado",tblAvisos[[#This Row],[Fecha reporte]]=""),"",TODAY()-tblAvisos[[#This Row],[Fecha reporte]])</f>
        <v>313</v>
      </c>
      <c r="P102" t="str">
        <f ca="1">IF(tblAvisos[[#This Row],[Fecha reporte]]="","Sin fecha",IF(tblAvisos[[#This Row],[Fecha reporte]]&lt;DATE(2020,1,1),"Fecha inválida",IF(tblAvisos[[#This Row],[Fecha reporte]]&gt;TODAY(),"Fecha futura",IF(tblAvisos[[#This Row],[Aviso SAP]]="","Sin aviso SAP",IF(tblAvisos[[#This Row],[Criticidad]]="","Sin criticidad","OK")))))</f>
        <v>Sin aviso SAP</v>
      </c>
      <c r="Q102" s="901" t="s">
        <v>2643</v>
      </c>
    </row>
    <row r="103" spans="2:17">
      <c r="B103" s="853" cm="1">
        <f t="array" ref="B103">ROW()-ROW(tblAvisos[#Headers])</f>
        <v>99</v>
      </c>
      <c r="C103" t="s">
        <v>2502</v>
      </c>
      <c r="D103" s="871">
        <v>45982</v>
      </c>
      <c r="E103" s="900" t="s">
        <v>2536</v>
      </c>
      <c r="F103" t="s">
        <v>840</v>
      </c>
      <c r="G103" t="s">
        <v>841</v>
      </c>
      <c r="H103" t="s">
        <v>1158</v>
      </c>
      <c r="I103" t="s">
        <v>1173</v>
      </c>
      <c r="J103" t="s">
        <v>2515</v>
      </c>
      <c r="L103" s="871"/>
      <c r="N103" t="s">
        <v>2644</v>
      </c>
      <c r="O103" s="256">
        <f ca="1">IF(OR(tblAvisos[[#This Row],[Estado trabajo]]="Cerrado",tblAvisos[[#This Row],[Fecha reporte]]=""),"",TODAY()-tblAvisos[[#This Row],[Fecha reporte]])</f>
        <v>313</v>
      </c>
      <c r="P103" t="str">
        <f ca="1">IF(tblAvisos[[#This Row],[Fecha reporte]]="","Sin fecha",IF(tblAvisos[[#This Row],[Fecha reporte]]&lt;DATE(2020,1,1),"Fecha inválida",IF(tblAvisos[[#This Row],[Fecha reporte]]&gt;TODAY(),"Fecha futura",IF(tblAvisos[[#This Row],[Aviso SAP]]="","Sin aviso SAP",IF(tblAvisos[[#This Row],[Criticidad]]="","Sin criticidad","OK")))))</f>
        <v>Sin aviso SAP</v>
      </c>
      <c r="Q103" s="901" t="s">
        <v>2645</v>
      </c>
    </row>
    <row r="104" spans="2:17">
      <c r="B104" s="853" cm="1">
        <f t="array" ref="B104">ROW()-ROW(tblAvisos[#Headers])</f>
        <v>100</v>
      </c>
      <c r="C104" t="s">
        <v>2502</v>
      </c>
      <c r="D104" s="871">
        <v>45982</v>
      </c>
      <c r="E104" s="900" t="s">
        <v>2646</v>
      </c>
      <c r="F104" t="s">
        <v>843</v>
      </c>
      <c r="G104" t="s">
        <v>844</v>
      </c>
      <c r="H104" t="s">
        <v>1158</v>
      </c>
      <c r="I104" t="s">
        <v>1173</v>
      </c>
      <c r="L104" s="871"/>
      <c r="N104" t="s">
        <v>2616</v>
      </c>
      <c r="O104" s="256">
        <f ca="1">IF(OR(tblAvisos[[#This Row],[Estado trabajo]]="Cerrado",tblAvisos[[#This Row],[Fecha reporte]]=""),"",TODAY()-tblAvisos[[#This Row],[Fecha reporte]])</f>
        <v>313</v>
      </c>
      <c r="P104" t="str">
        <f ca="1">IF(tblAvisos[[#This Row],[Fecha reporte]]="","Sin fecha",IF(tblAvisos[[#This Row],[Fecha reporte]]&lt;DATE(2020,1,1),"Fecha inválida",IF(tblAvisos[[#This Row],[Fecha reporte]]&gt;TODAY(),"Fecha futura",IF(tblAvisos[[#This Row],[Aviso SAP]]="","Sin aviso SAP",IF(tblAvisos[[#This Row],[Criticidad]]="","Sin criticidad","OK")))))</f>
        <v>Sin criticidad</v>
      </c>
      <c r="Q104" s="901" t="s">
        <v>2647</v>
      </c>
    </row>
    <row r="105" spans="2:17">
      <c r="B105" s="853" cm="1">
        <f t="array" ref="B105">ROW()-ROW(tblAvisos[#Headers])</f>
        <v>101</v>
      </c>
      <c r="C105" t="s">
        <v>2502</v>
      </c>
      <c r="D105" s="871">
        <v>45983</v>
      </c>
      <c r="E105" s="900" t="s">
        <v>2536</v>
      </c>
      <c r="F105" t="s">
        <v>845</v>
      </c>
      <c r="G105" t="s">
        <v>846</v>
      </c>
      <c r="H105" t="s">
        <v>1158</v>
      </c>
      <c r="I105" t="s">
        <v>1173</v>
      </c>
      <c r="J105" t="s">
        <v>2515</v>
      </c>
      <c r="L105" s="871"/>
      <c r="O105" s="256">
        <f ca="1">IF(OR(tblAvisos[[#This Row],[Estado trabajo]]="Cerrado",tblAvisos[[#This Row],[Fecha reporte]]=""),"",TODAY()-tblAvisos[[#This Row],[Fecha reporte]])</f>
        <v>312</v>
      </c>
      <c r="P105" t="str">
        <f ca="1">IF(tblAvisos[[#This Row],[Fecha reporte]]="","Sin fecha",IF(tblAvisos[[#This Row],[Fecha reporte]]&lt;DATE(2020,1,1),"Fecha inválida",IF(tblAvisos[[#This Row],[Fecha reporte]]&gt;TODAY(),"Fecha futura",IF(tblAvisos[[#This Row],[Aviso SAP]]="","Sin aviso SAP",IF(tblAvisos[[#This Row],[Criticidad]]="","Sin criticidad","OK")))))</f>
        <v>Sin aviso SAP</v>
      </c>
      <c r="Q105" s="901" t="s">
        <v>2648</v>
      </c>
    </row>
    <row r="106" spans="2:17">
      <c r="B106" s="853" cm="1">
        <f t="array" ref="B106">ROW()-ROW(tblAvisos[#Headers])</f>
        <v>102</v>
      </c>
      <c r="C106" t="s">
        <v>2502</v>
      </c>
      <c r="D106" s="871">
        <v>45983</v>
      </c>
      <c r="E106" s="900" t="s">
        <v>2536</v>
      </c>
      <c r="F106" t="s">
        <v>847</v>
      </c>
      <c r="G106" t="s">
        <v>996</v>
      </c>
      <c r="H106" t="s">
        <v>1158</v>
      </c>
      <c r="I106" t="s">
        <v>1173</v>
      </c>
      <c r="L106" s="871"/>
      <c r="N106" t="s">
        <v>2616</v>
      </c>
      <c r="O106" s="256">
        <f ca="1">IF(OR(tblAvisos[[#This Row],[Estado trabajo]]="Cerrado",tblAvisos[[#This Row],[Fecha reporte]]=""),"",TODAY()-tblAvisos[[#This Row],[Fecha reporte]])</f>
        <v>312</v>
      </c>
      <c r="P106" t="str">
        <f ca="1">IF(tblAvisos[[#This Row],[Fecha reporte]]="","Sin fecha",IF(tblAvisos[[#This Row],[Fecha reporte]]&lt;DATE(2020,1,1),"Fecha inválida",IF(tblAvisos[[#This Row],[Fecha reporte]]&gt;TODAY(),"Fecha futura",IF(tblAvisos[[#This Row],[Aviso SAP]]="","Sin aviso SAP",IF(tblAvisos[[#This Row],[Criticidad]]="","Sin criticidad","OK")))))</f>
        <v>Sin aviso SAP</v>
      </c>
      <c r="Q106" s="901" t="s">
        <v>2649</v>
      </c>
    </row>
    <row r="107" spans="2:17">
      <c r="B107" s="853" cm="1">
        <f t="array" ref="B107">ROW()-ROW(tblAvisos[#Headers])</f>
        <v>103</v>
      </c>
      <c r="C107" t="s">
        <v>2502</v>
      </c>
      <c r="D107" s="871">
        <v>45983</v>
      </c>
      <c r="E107" s="900" t="s">
        <v>2650</v>
      </c>
      <c r="F107" t="s">
        <v>849</v>
      </c>
      <c r="G107" t="s">
        <v>850</v>
      </c>
      <c r="H107" t="s">
        <v>1158</v>
      </c>
      <c r="I107" t="s">
        <v>1173</v>
      </c>
      <c r="L107" s="871"/>
      <c r="N107" t="s">
        <v>2616</v>
      </c>
      <c r="O107" s="256">
        <f ca="1">IF(OR(tblAvisos[[#This Row],[Estado trabajo]]="Cerrado",tblAvisos[[#This Row],[Fecha reporte]]=""),"",TODAY()-tblAvisos[[#This Row],[Fecha reporte]])</f>
        <v>312</v>
      </c>
      <c r="P107" t="str">
        <f ca="1">IF(tblAvisos[[#This Row],[Fecha reporte]]="","Sin fecha",IF(tblAvisos[[#This Row],[Fecha reporte]]&lt;DATE(2020,1,1),"Fecha inválida",IF(tblAvisos[[#This Row],[Fecha reporte]]&gt;TODAY(),"Fecha futura",IF(tblAvisos[[#This Row],[Aviso SAP]]="","Sin aviso SAP",IF(tblAvisos[[#This Row],[Criticidad]]="","Sin criticidad","OK")))))</f>
        <v>Sin criticidad</v>
      </c>
      <c r="Q107" s="901" t="s">
        <v>2651</v>
      </c>
    </row>
    <row r="108" spans="2:17">
      <c r="B108" s="853" cm="1">
        <f t="array" ref="B108">ROW()-ROW(tblAvisos[#Headers])</f>
        <v>104</v>
      </c>
      <c r="C108" t="s">
        <v>2502</v>
      </c>
      <c r="D108" s="871">
        <v>45985</v>
      </c>
      <c r="E108" s="900" t="s">
        <v>2536</v>
      </c>
      <c r="F108" t="s">
        <v>851</v>
      </c>
      <c r="G108" t="s">
        <v>852</v>
      </c>
      <c r="H108" t="s">
        <v>1158</v>
      </c>
      <c r="I108" t="s">
        <v>1173</v>
      </c>
      <c r="L108" s="871"/>
      <c r="N108" t="s">
        <v>2616</v>
      </c>
      <c r="O108" s="256">
        <f ca="1">IF(OR(tblAvisos[[#This Row],[Estado trabajo]]="Cerrado",tblAvisos[[#This Row],[Fecha reporte]]=""),"",TODAY()-tblAvisos[[#This Row],[Fecha reporte]])</f>
        <v>310</v>
      </c>
      <c r="P108" t="str">
        <f ca="1">IF(tblAvisos[[#This Row],[Fecha reporte]]="","Sin fecha",IF(tblAvisos[[#This Row],[Fecha reporte]]&lt;DATE(2020,1,1),"Fecha inválida",IF(tblAvisos[[#This Row],[Fecha reporte]]&gt;TODAY(),"Fecha futura",IF(tblAvisos[[#This Row],[Aviso SAP]]="","Sin aviso SAP",IF(tblAvisos[[#This Row],[Criticidad]]="","Sin criticidad","OK")))))</f>
        <v>Sin aviso SAP</v>
      </c>
      <c r="Q108" s="901" t="s">
        <v>2652</v>
      </c>
    </row>
    <row r="109" spans="2:17">
      <c r="B109" s="853" cm="1">
        <f t="array" ref="B109">ROW()-ROW(tblAvisos[#Headers])</f>
        <v>105</v>
      </c>
      <c r="C109" t="s">
        <v>2502</v>
      </c>
      <c r="D109" s="871">
        <v>45985</v>
      </c>
      <c r="E109" s="900" t="s">
        <v>2536</v>
      </c>
      <c r="F109" t="s">
        <v>853</v>
      </c>
      <c r="G109" t="s">
        <v>854</v>
      </c>
      <c r="H109" t="s">
        <v>1158</v>
      </c>
      <c r="I109" t="s">
        <v>1173</v>
      </c>
      <c r="L109" s="871"/>
      <c r="N109" t="s">
        <v>2616</v>
      </c>
      <c r="O109" s="256">
        <f ca="1">IF(OR(tblAvisos[[#This Row],[Estado trabajo]]="Cerrado",tblAvisos[[#This Row],[Fecha reporte]]=""),"",TODAY()-tblAvisos[[#This Row],[Fecha reporte]])</f>
        <v>310</v>
      </c>
      <c r="P109" t="str">
        <f ca="1">IF(tblAvisos[[#This Row],[Fecha reporte]]="","Sin fecha",IF(tblAvisos[[#This Row],[Fecha reporte]]&lt;DATE(2020,1,1),"Fecha inválida",IF(tblAvisos[[#This Row],[Fecha reporte]]&gt;TODAY(),"Fecha futura",IF(tblAvisos[[#This Row],[Aviso SAP]]="","Sin aviso SAP",IF(tblAvisos[[#This Row],[Criticidad]]="","Sin criticidad","OK")))))</f>
        <v>Sin aviso SAP</v>
      </c>
      <c r="Q109" s="901" t="s">
        <v>2653</v>
      </c>
    </row>
    <row r="110" spans="2:17">
      <c r="B110" s="853" cm="1">
        <f t="array" ref="B110">ROW()-ROW(tblAvisos[#Headers])</f>
        <v>106</v>
      </c>
      <c r="C110" t="s">
        <v>2502</v>
      </c>
      <c r="D110" s="871">
        <v>45986</v>
      </c>
      <c r="E110" s="900" t="s">
        <v>2536</v>
      </c>
      <c r="F110" t="s">
        <v>855</v>
      </c>
      <c r="G110" t="s">
        <v>856</v>
      </c>
      <c r="H110" t="s">
        <v>1158</v>
      </c>
      <c r="I110" t="s">
        <v>1173</v>
      </c>
      <c r="L110" s="871"/>
      <c r="N110" t="s">
        <v>2616</v>
      </c>
      <c r="O110" s="256">
        <f ca="1">IF(OR(tblAvisos[[#This Row],[Estado trabajo]]="Cerrado",tblAvisos[[#This Row],[Fecha reporte]]=""),"",TODAY()-tblAvisos[[#This Row],[Fecha reporte]])</f>
        <v>309</v>
      </c>
      <c r="P110" t="str">
        <f ca="1">IF(tblAvisos[[#This Row],[Fecha reporte]]="","Sin fecha",IF(tblAvisos[[#This Row],[Fecha reporte]]&lt;DATE(2020,1,1),"Fecha inválida",IF(tblAvisos[[#This Row],[Fecha reporte]]&gt;TODAY(),"Fecha futura",IF(tblAvisos[[#This Row],[Aviso SAP]]="","Sin aviso SAP",IF(tblAvisos[[#This Row],[Criticidad]]="","Sin criticidad","OK")))))</f>
        <v>Sin aviso SAP</v>
      </c>
      <c r="Q110" s="901" t="s">
        <v>2654</v>
      </c>
    </row>
    <row r="111" spans="2:17">
      <c r="B111" s="853" cm="1">
        <f t="array" ref="B111">ROW()-ROW(tblAvisos[#Headers])</f>
        <v>107</v>
      </c>
      <c r="C111" t="s">
        <v>2502</v>
      </c>
      <c r="D111" s="871"/>
      <c r="E111" s="900" t="s">
        <v>2536</v>
      </c>
      <c r="F111" t="s">
        <v>1067</v>
      </c>
      <c r="G111" t="s">
        <v>858</v>
      </c>
      <c r="H111" t="s">
        <v>1158</v>
      </c>
      <c r="I111" t="s">
        <v>1173</v>
      </c>
      <c r="L111" s="871"/>
      <c r="N111" t="s">
        <v>2616</v>
      </c>
      <c r="O111" s="256" t="str">
        <f ca="1">IF(OR(tblAvisos[[#This Row],[Estado trabajo]]="Cerrado",tblAvisos[[#This Row],[Fecha reporte]]=""),"",TODAY()-tblAvisos[[#This Row],[Fecha reporte]])</f>
        <v/>
      </c>
      <c r="P111" t="str">
        <f ca="1">IF(tblAvisos[[#This Row],[Fecha reporte]]="","Sin fecha",IF(tblAvisos[[#This Row],[Fecha reporte]]&lt;DATE(2020,1,1),"Fecha inválida",IF(tblAvisos[[#This Row],[Fecha reporte]]&gt;TODAY(),"Fecha futura",IF(tblAvisos[[#This Row],[Aviso SAP]]="","Sin aviso SAP",IF(tblAvisos[[#This Row],[Criticidad]]="","Sin criticidad","OK")))))</f>
        <v>Sin fecha</v>
      </c>
      <c r="Q111" s="901" t="s">
        <v>2655</v>
      </c>
    </row>
    <row r="112" spans="2:17">
      <c r="B112" s="853" cm="1">
        <f t="array" ref="B112">ROW()-ROW(tblAvisos[#Headers])</f>
        <v>108</v>
      </c>
      <c r="C112" t="s">
        <v>2502</v>
      </c>
      <c r="D112" s="871"/>
      <c r="E112" s="900" t="s">
        <v>2656</v>
      </c>
      <c r="F112" t="s">
        <v>859</v>
      </c>
      <c r="G112" t="s">
        <v>2657</v>
      </c>
      <c r="H112" t="s">
        <v>1158</v>
      </c>
      <c r="I112" t="s">
        <v>1173</v>
      </c>
      <c r="L112" s="871"/>
      <c r="N112" t="s">
        <v>2616</v>
      </c>
      <c r="O112" s="256" t="str">
        <f ca="1">IF(OR(tblAvisos[[#This Row],[Estado trabajo]]="Cerrado",tblAvisos[[#This Row],[Fecha reporte]]=""),"",TODAY()-tblAvisos[[#This Row],[Fecha reporte]])</f>
        <v/>
      </c>
      <c r="P112" t="str">
        <f ca="1">IF(tblAvisos[[#This Row],[Fecha reporte]]="","Sin fecha",IF(tblAvisos[[#This Row],[Fecha reporte]]&lt;DATE(2020,1,1),"Fecha inválida",IF(tblAvisos[[#This Row],[Fecha reporte]]&gt;TODAY(),"Fecha futura",IF(tblAvisos[[#This Row],[Aviso SAP]]="","Sin aviso SAP",IF(tblAvisos[[#This Row],[Criticidad]]="","Sin criticidad","OK")))))</f>
        <v>Sin fecha</v>
      </c>
      <c r="Q112" s="901" t="s">
        <v>2658</v>
      </c>
    </row>
    <row r="113" spans="2:17">
      <c r="B113" s="853" cm="1">
        <f t="array" ref="B113">ROW()-ROW(tblAvisos[#Headers])</f>
        <v>109</v>
      </c>
      <c r="C113" t="s">
        <v>2502</v>
      </c>
      <c r="D113" s="871">
        <v>45987</v>
      </c>
      <c r="E113" s="900" t="s">
        <v>2659</v>
      </c>
      <c r="F113" t="s">
        <v>406</v>
      </c>
      <c r="G113" t="s">
        <v>862</v>
      </c>
      <c r="H113" t="s">
        <v>1158</v>
      </c>
      <c r="I113" t="s">
        <v>1173</v>
      </c>
      <c r="L113" s="871"/>
      <c r="N113" t="s">
        <v>2616</v>
      </c>
      <c r="O113" s="256">
        <f ca="1">IF(OR(tblAvisos[[#This Row],[Estado trabajo]]="Cerrado",tblAvisos[[#This Row],[Fecha reporte]]=""),"",TODAY()-tblAvisos[[#This Row],[Fecha reporte]])</f>
        <v>308</v>
      </c>
      <c r="P113" t="str">
        <f ca="1">IF(tblAvisos[[#This Row],[Fecha reporte]]="","Sin fecha",IF(tblAvisos[[#This Row],[Fecha reporte]]&lt;DATE(2020,1,1),"Fecha inválida",IF(tblAvisos[[#This Row],[Fecha reporte]]&gt;TODAY(),"Fecha futura",IF(tblAvisos[[#This Row],[Aviso SAP]]="","Sin aviso SAP",IF(tblAvisos[[#This Row],[Criticidad]]="","Sin criticidad","OK")))))</f>
        <v>Sin criticidad</v>
      </c>
      <c r="Q113" s="901" t="s">
        <v>2660</v>
      </c>
    </row>
    <row r="114" spans="2:17">
      <c r="B114" s="853" cm="1">
        <f t="array" ref="B114">ROW()-ROW(tblAvisos[#Headers])</f>
        <v>110</v>
      </c>
      <c r="C114" t="s">
        <v>2502</v>
      </c>
      <c r="D114" s="871"/>
      <c r="E114" s="900" t="s">
        <v>2661</v>
      </c>
      <c r="F114" t="s">
        <v>863</v>
      </c>
      <c r="G114" t="s">
        <v>864</v>
      </c>
      <c r="H114" t="s">
        <v>1158</v>
      </c>
      <c r="I114" t="s">
        <v>1173</v>
      </c>
      <c r="L114" s="871"/>
      <c r="N114" t="s">
        <v>2616</v>
      </c>
      <c r="O114" s="256" t="str">
        <f ca="1">IF(OR(tblAvisos[[#This Row],[Estado trabajo]]="Cerrado",tblAvisos[[#This Row],[Fecha reporte]]=""),"",TODAY()-tblAvisos[[#This Row],[Fecha reporte]])</f>
        <v/>
      </c>
      <c r="P114" t="str">
        <f ca="1">IF(tblAvisos[[#This Row],[Fecha reporte]]="","Sin fecha",IF(tblAvisos[[#This Row],[Fecha reporte]]&lt;DATE(2020,1,1),"Fecha inválida",IF(tblAvisos[[#This Row],[Fecha reporte]]&gt;TODAY(),"Fecha futura",IF(tblAvisos[[#This Row],[Aviso SAP]]="","Sin aviso SAP",IF(tblAvisos[[#This Row],[Criticidad]]="","Sin criticidad","OK")))))</f>
        <v>Sin fecha</v>
      </c>
      <c r="Q114" s="901" t="s">
        <v>2662</v>
      </c>
    </row>
    <row r="115" spans="2:17">
      <c r="B115" s="853" cm="1">
        <f t="array" ref="B115">ROW()-ROW(tblAvisos[#Headers])</f>
        <v>111</v>
      </c>
      <c r="C115" t="s">
        <v>2502</v>
      </c>
      <c r="D115" s="871"/>
      <c r="E115" s="900" t="s">
        <v>2663</v>
      </c>
      <c r="F115" t="s">
        <v>597</v>
      </c>
      <c r="G115" t="s">
        <v>865</v>
      </c>
      <c r="H115" t="s">
        <v>1158</v>
      </c>
      <c r="I115" t="s">
        <v>1173</v>
      </c>
      <c r="L115" s="871"/>
      <c r="N115" t="s">
        <v>2616</v>
      </c>
      <c r="O115" s="256" t="str">
        <f ca="1">IF(OR(tblAvisos[[#This Row],[Estado trabajo]]="Cerrado",tblAvisos[[#This Row],[Fecha reporte]]=""),"",TODAY()-tblAvisos[[#This Row],[Fecha reporte]])</f>
        <v/>
      </c>
      <c r="P115" t="str">
        <f ca="1">IF(tblAvisos[[#This Row],[Fecha reporte]]="","Sin fecha",IF(tblAvisos[[#This Row],[Fecha reporte]]&lt;DATE(2020,1,1),"Fecha inválida",IF(tblAvisos[[#This Row],[Fecha reporte]]&gt;TODAY(),"Fecha futura",IF(tblAvisos[[#This Row],[Aviso SAP]]="","Sin aviso SAP",IF(tblAvisos[[#This Row],[Criticidad]]="","Sin criticidad","OK")))))</f>
        <v>Sin fecha</v>
      </c>
      <c r="Q115" s="901" t="s">
        <v>2664</v>
      </c>
    </row>
    <row r="116" spans="2:17">
      <c r="B116" s="853" cm="1">
        <f t="array" ref="B116">ROW()-ROW(tblAvisos[#Headers])</f>
        <v>112</v>
      </c>
      <c r="C116" t="s">
        <v>2502</v>
      </c>
      <c r="D116" s="871"/>
      <c r="E116" s="900" t="s">
        <v>2665</v>
      </c>
      <c r="F116" t="s">
        <v>828</v>
      </c>
      <c r="G116" t="s">
        <v>866</v>
      </c>
      <c r="H116" t="s">
        <v>1158</v>
      </c>
      <c r="I116" t="s">
        <v>1173</v>
      </c>
      <c r="L116" s="871"/>
      <c r="N116" t="s">
        <v>2616</v>
      </c>
      <c r="O116" s="256" t="str">
        <f ca="1">IF(OR(tblAvisos[[#This Row],[Estado trabajo]]="Cerrado",tblAvisos[[#This Row],[Fecha reporte]]=""),"",TODAY()-tblAvisos[[#This Row],[Fecha reporte]])</f>
        <v/>
      </c>
      <c r="P116" t="str">
        <f ca="1">IF(tblAvisos[[#This Row],[Fecha reporte]]="","Sin fecha",IF(tblAvisos[[#This Row],[Fecha reporte]]&lt;DATE(2020,1,1),"Fecha inválida",IF(tblAvisos[[#This Row],[Fecha reporte]]&gt;TODAY(),"Fecha futura",IF(tblAvisos[[#This Row],[Aviso SAP]]="","Sin aviso SAP",IF(tblAvisos[[#This Row],[Criticidad]]="","Sin criticidad","OK")))))</f>
        <v>Sin fecha</v>
      </c>
      <c r="Q116" s="901" t="s">
        <v>2666</v>
      </c>
    </row>
    <row r="117" spans="2:17">
      <c r="B117" s="853" cm="1">
        <f t="array" ref="B117">ROW()-ROW(tblAvisos[#Headers])</f>
        <v>113</v>
      </c>
      <c r="C117" t="s">
        <v>2502</v>
      </c>
      <c r="D117" s="871">
        <v>45988</v>
      </c>
      <c r="E117" s="900" t="s">
        <v>2536</v>
      </c>
      <c r="G117" t="s">
        <v>868</v>
      </c>
      <c r="H117" t="s">
        <v>1158</v>
      </c>
      <c r="I117" t="s">
        <v>1173</v>
      </c>
      <c r="L117" s="871"/>
      <c r="N117" t="s">
        <v>2616</v>
      </c>
      <c r="O117" s="256">
        <f ca="1">IF(OR(tblAvisos[[#This Row],[Estado trabajo]]="Cerrado",tblAvisos[[#This Row],[Fecha reporte]]=""),"",TODAY()-tblAvisos[[#This Row],[Fecha reporte]])</f>
        <v>307</v>
      </c>
      <c r="P117" t="str">
        <f ca="1">IF(tblAvisos[[#This Row],[Fecha reporte]]="","Sin fecha",IF(tblAvisos[[#This Row],[Fecha reporte]]&lt;DATE(2020,1,1),"Fecha inválida",IF(tblAvisos[[#This Row],[Fecha reporte]]&gt;TODAY(),"Fecha futura",IF(tblAvisos[[#This Row],[Aviso SAP]]="","Sin aviso SAP",IF(tblAvisos[[#This Row],[Criticidad]]="","Sin criticidad","OK")))))</f>
        <v>Sin aviso SAP</v>
      </c>
      <c r="Q117" s="901" t="s">
        <v>2667</v>
      </c>
    </row>
    <row r="118" spans="2:17">
      <c r="B118" s="853" cm="1">
        <f t="array" ref="B118">ROW()-ROW(tblAvisos[#Headers])</f>
        <v>114</v>
      </c>
      <c r="C118" t="s">
        <v>2502</v>
      </c>
      <c r="D118" s="871"/>
      <c r="E118" s="900" t="s">
        <v>2536</v>
      </c>
      <c r="G118" t="s">
        <v>869</v>
      </c>
      <c r="H118" t="s">
        <v>1158</v>
      </c>
      <c r="I118" t="s">
        <v>1173</v>
      </c>
      <c r="L118" s="871"/>
      <c r="N118" t="s">
        <v>2616</v>
      </c>
      <c r="O118" s="256" t="str">
        <f ca="1">IF(OR(tblAvisos[[#This Row],[Estado trabajo]]="Cerrado",tblAvisos[[#This Row],[Fecha reporte]]=""),"",TODAY()-tblAvisos[[#This Row],[Fecha reporte]])</f>
        <v/>
      </c>
      <c r="P118" t="str">
        <f ca="1">IF(tblAvisos[[#This Row],[Fecha reporte]]="","Sin fecha",IF(tblAvisos[[#This Row],[Fecha reporte]]&lt;DATE(2020,1,1),"Fecha inválida",IF(tblAvisos[[#This Row],[Fecha reporte]]&gt;TODAY(),"Fecha futura",IF(tblAvisos[[#This Row],[Aviso SAP]]="","Sin aviso SAP",IF(tblAvisos[[#This Row],[Criticidad]]="","Sin criticidad","OK")))))</f>
        <v>Sin fecha</v>
      </c>
      <c r="Q118" s="901" t="s">
        <v>2668</v>
      </c>
    </row>
    <row r="119" spans="2:17">
      <c r="B119" s="853" cm="1">
        <f t="array" ref="B119">ROW()-ROW(tblAvisos[#Headers])</f>
        <v>115</v>
      </c>
      <c r="C119" t="s">
        <v>2502</v>
      </c>
      <c r="D119" s="871">
        <v>45992</v>
      </c>
      <c r="E119" s="900" t="s">
        <v>2669</v>
      </c>
      <c r="F119" t="s">
        <v>870</v>
      </c>
      <c r="G119" t="s">
        <v>871</v>
      </c>
      <c r="H119" t="s">
        <v>1158</v>
      </c>
      <c r="I119" t="s">
        <v>1173</v>
      </c>
      <c r="L119" s="871"/>
      <c r="N119" t="s">
        <v>2616</v>
      </c>
      <c r="O119" s="256">
        <f ca="1">IF(OR(tblAvisos[[#This Row],[Estado trabajo]]="Cerrado",tblAvisos[[#This Row],[Fecha reporte]]=""),"",TODAY()-tblAvisos[[#This Row],[Fecha reporte]])</f>
        <v>303</v>
      </c>
      <c r="P119" t="str">
        <f ca="1">IF(tblAvisos[[#This Row],[Fecha reporte]]="","Sin fecha",IF(tblAvisos[[#This Row],[Fecha reporte]]&lt;DATE(2020,1,1),"Fecha inválida",IF(tblAvisos[[#This Row],[Fecha reporte]]&gt;TODAY(),"Fecha futura",IF(tblAvisos[[#This Row],[Aviso SAP]]="","Sin aviso SAP",IF(tblAvisos[[#This Row],[Criticidad]]="","Sin criticidad","OK")))))</f>
        <v>Sin criticidad</v>
      </c>
      <c r="Q119" s="901" t="s">
        <v>2670</v>
      </c>
    </row>
    <row r="120" spans="2:17">
      <c r="B120" s="853" cm="1">
        <f t="array" ref="B120">ROW()-ROW(tblAvisos[#Headers])</f>
        <v>116</v>
      </c>
      <c r="C120" t="s">
        <v>2502</v>
      </c>
      <c r="D120" s="871"/>
      <c r="E120" s="900" t="s">
        <v>2671</v>
      </c>
      <c r="F120" t="s">
        <v>870</v>
      </c>
      <c r="G120" t="s">
        <v>872</v>
      </c>
      <c r="H120" t="s">
        <v>1158</v>
      </c>
      <c r="I120" t="s">
        <v>1173</v>
      </c>
      <c r="L120" s="871"/>
      <c r="N120" t="s">
        <v>2616</v>
      </c>
      <c r="O120" s="256" t="str">
        <f ca="1">IF(OR(tblAvisos[[#This Row],[Estado trabajo]]="Cerrado",tblAvisos[[#This Row],[Fecha reporte]]=""),"",TODAY()-tblAvisos[[#This Row],[Fecha reporte]])</f>
        <v/>
      </c>
      <c r="P120" t="str">
        <f ca="1">IF(tblAvisos[[#This Row],[Fecha reporte]]="","Sin fecha",IF(tblAvisos[[#This Row],[Fecha reporte]]&lt;DATE(2020,1,1),"Fecha inválida",IF(tblAvisos[[#This Row],[Fecha reporte]]&gt;TODAY(),"Fecha futura",IF(tblAvisos[[#This Row],[Aviso SAP]]="","Sin aviso SAP",IF(tblAvisos[[#This Row],[Criticidad]]="","Sin criticidad","OK")))))</f>
        <v>Sin fecha</v>
      </c>
      <c r="Q120" s="901" t="s">
        <v>2672</v>
      </c>
    </row>
    <row r="121" spans="2:17">
      <c r="B121" s="853" cm="1">
        <f t="array" ref="B121">ROW()-ROW(tblAvisos[#Headers])</f>
        <v>117</v>
      </c>
      <c r="C121" t="s">
        <v>2502</v>
      </c>
      <c r="D121" s="871"/>
      <c r="E121" s="900" t="s">
        <v>2673</v>
      </c>
      <c r="F121" t="s">
        <v>276</v>
      </c>
      <c r="G121" t="s">
        <v>873</v>
      </c>
      <c r="H121" t="s">
        <v>1158</v>
      </c>
      <c r="I121" t="s">
        <v>1173</v>
      </c>
      <c r="L121" s="871"/>
      <c r="N121" t="s">
        <v>2616</v>
      </c>
      <c r="O121" s="256" t="str">
        <f ca="1">IF(OR(tblAvisos[[#This Row],[Estado trabajo]]="Cerrado",tblAvisos[[#This Row],[Fecha reporte]]=""),"",TODAY()-tblAvisos[[#This Row],[Fecha reporte]])</f>
        <v/>
      </c>
      <c r="P121" t="str">
        <f ca="1">IF(tblAvisos[[#This Row],[Fecha reporte]]="","Sin fecha",IF(tblAvisos[[#This Row],[Fecha reporte]]&lt;DATE(2020,1,1),"Fecha inválida",IF(tblAvisos[[#This Row],[Fecha reporte]]&gt;TODAY(),"Fecha futura",IF(tblAvisos[[#This Row],[Aviso SAP]]="","Sin aviso SAP",IF(tblAvisos[[#This Row],[Criticidad]]="","Sin criticidad","OK")))))</f>
        <v>Sin fecha</v>
      </c>
      <c r="Q121" s="901" t="s">
        <v>2674</v>
      </c>
    </row>
    <row r="122" spans="2:17">
      <c r="B122" s="853" cm="1">
        <f t="array" ref="B122">ROW()-ROW(tblAvisos[#Headers])</f>
        <v>118</v>
      </c>
      <c r="C122" t="s">
        <v>2502</v>
      </c>
      <c r="D122" s="871"/>
      <c r="E122" s="900" t="s">
        <v>2675</v>
      </c>
      <c r="F122" t="s">
        <v>874</v>
      </c>
      <c r="G122" t="s">
        <v>875</v>
      </c>
      <c r="H122" t="s">
        <v>1158</v>
      </c>
      <c r="I122" t="s">
        <v>1173</v>
      </c>
      <c r="L122" s="871"/>
      <c r="N122" t="s">
        <v>2616</v>
      </c>
      <c r="O122" s="256" t="str">
        <f ca="1">IF(OR(tblAvisos[[#This Row],[Estado trabajo]]="Cerrado",tblAvisos[[#This Row],[Fecha reporte]]=""),"",TODAY()-tblAvisos[[#This Row],[Fecha reporte]])</f>
        <v/>
      </c>
      <c r="P122" t="str">
        <f ca="1">IF(tblAvisos[[#This Row],[Fecha reporte]]="","Sin fecha",IF(tblAvisos[[#This Row],[Fecha reporte]]&lt;DATE(2020,1,1),"Fecha inválida",IF(tblAvisos[[#This Row],[Fecha reporte]]&gt;TODAY(),"Fecha futura",IF(tblAvisos[[#This Row],[Aviso SAP]]="","Sin aviso SAP",IF(tblAvisos[[#This Row],[Criticidad]]="","Sin criticidad","OK")))))</f>
        <v>Sin fecha</v>
      </c>
      <c r="Q122" s="901" t="s">
        <v>2676</v>
      </c>
    </row>
    <row r="123" spans="2:17">
      <c r="B123" s="853" cm="1">
        <f t="array" ref="B123">ROW()-ROW(tblAvisos[#Headers])</f>
        <v>119</v>
      </c>
      <c r="C123" t="s">
        <v>2502</v>
      </c>
      <c r="D123" s="871"/>
      <c r="E123" s="900" t="s">
        <v>2677</v>
      </c>
      <c r="F123" t="s">
        <v>377</v>
      </c>
      <c r="G123" t="s">
        <v>876</v>
      </c>
      <c r="H123" t="s">
        <v>1158</v>
      </c>
      <c r="I123" t="s">
        <v>1173</v>
      </c>
      <c r="L123" s="871"/>
      <c r="N123" t="s">
        <v>2616</v>
      </c>
      <c r="O123" s="256" t="str">
        <f ca="1">IF(OR(tblAvisos[[#This Row],[Estado trabajo]]="Cerrado",tblAvisos[[#This Row],[Fecha reporte]]=""),"",TODAY()-tblAvisos[[#This Row],[Fecha reporte]])</f>
        <v/>
      </c>
      <c r="P123" t="str">
        <f ca="1">IF(tblAvisos[[#This Row],[Fecha reporte]]="","Sin fecha",IF(tblAvisos[[#This Row],[Fecha reporte]]&lt;DATE(2020,1,1),"Fecha inválida",IF(tblAvisos[[#This Row],[Fecha reporte]]&gt;TODAY(),"Fecha futura",IF(tblAvisos[[#This Row],[Aviso SAP]]="","Sin aviso SAP",IF(tblAvisos[[#This Row],[Criticidad]]="","Sin criticidad","OK")))))</f>
        <v>Sin fecha</v>
      </c>
      <c r="Q123" s="901" t="s">
        <v>2678</v>
      </c>
    </row>
    <row r="124" spans="2:17">
      <c r="B124" s="853" cm="1">
        <f t="array" ref="B124">ROW()-ROW(tblAvisos[#Headers])</f>
        <v>120</v>
      </c>
      <c r="C124" t="s">
        <v>2502</v>
      </c>
      <c r="D124" s="871"/>
      <c r="E124" s="900" t="s">
        <v>2679</v>
      </c>
      <c r="F124" t="s">
        <v>369</v>
      </c>
      <c r="G124" t="s">
        <v>877</v>
      </c>
      <c r="H124" t="s">
        <v>1158</v>
      </c>
      <c r="I124" t="s">
        <v>1173</v>
      </c>
      <c r="L124" s="871"/>
      <c r="N124" t="s">
        <v>2616</v>
      </c>
      <c r="O124" s="256" t="str">
        <f ca="1">IF(OR(tblAvisos[[#This Row],[Estado trabajo]]="Cerrado",tblAvisos[[#This Row],[Fecha reporte]]=""),"",TODAY()-tblAvisos[[#This Row],[Fecha reporte]])</f>
        <v/>
      </c>
      <c r="P124" t="str">
        <f ca="1">IF(tblAvisos[[#This Row],[Fecha reporte]]="","Sin fecha",IF(tblAvisos[[#This Row],[Fecha reporte]]&lt;DATE(2020,1,1),"Fecha inválida",IF(tblAvisos[[#This Row],[Fecha reporte]]&gt;TODAY(),"Fecha futura",IF(tblAvisos[[#This Row],[Aviso SAP]]="","Sin aviso SAP",IF(tblAvisos[[#This Row],[Criticidad]]="","Sin criticidad","OK")))))</f>
        <v>Sin fecha</v>
      </c>
      <c r="Q124" s="901" t="s">
        <v>2680</v>
      </c>
    </row>
    <row r="125" spans="2:17">
      <c r="B125" s="853" cm="1">
        <f t="array" ref="B125">ROW()-ROW(tblAvisos[#Headers])</f>
        <v>121</v>
      </c>
      <c r="C125" t="s">
        <v>2502</v>
      </c>
      <c r="D125" s="871"/>
      <c r="E125" s="900" t="s">
        <v>2536</v>
      </c>
      <c r="F125" t="s">
        <v>878</v>
      </c>
      <c r="G125" t="s">
        <v>879</v>
      </c>
      <c r="H125" t="s">
        <v>1158</v>
      </c>
      <c r="I125" t="s">
        <v>1173</v>
      </c>
      <c r="L125" s="871"/>
      <c r="N125" t="s">
        <v>2616</v>
      </c>
      <c r="O125" s="256" t="str">
        <f ca="1">IF(OR(tblAvisos[[#This Row],[Estado trabajo]]="Cerrado",tblAvisos[[#This Row],[Fecha reporte]]=""),"",TODAY()-tblAvisos[[#This Row],[Fecha reporte]])</f>
        <v/>
      </c>
      <c r="P125" t="str">
        <f ca="1">IF(tblAvisos[[#This Row],[Fecha reporte]]="","Sin fecha",IF(tblAvisos[[#This Row],[Fecha reporte]]&lt;DATE(2020,1,1),"Fecha inválida",IF(tblAvisos[[#This Row],[Fecha reporte]]&gt;TODAY(),"Fecha futura",IF(tblAvisos[[#This Row],[Aviso SAP]]="","Sin aviso SAP",IF(tblAvisos[[#This Row],[Criticidad]]="","Sin criticidad","OK")))))</f>
        <v>Sin fecha</v>
      </c>
      <c r="Q125" s="901" t="s">
        <v>2681</v>
      </c>
    </row>
    <row r="126" spans="2:17">
      <c r="B126" s="853" cm="1">
        <f t="array" ref="B126">ROW()-ROW(tblAvisos[#Headers])</f>
        <v>122</v>
      </c>
      <c r="C126" t="s">
        <v>2502</v>
      </c>
      <c r="D126" s="871">
        <v>45993</v>
      </c>
      <c r="E126" s="900" t="s">
        <v>2682</v>
      </c>
      <c r="F126" t="s">
        <v>880</v>
      </c>
      <c r="G126" t="s">
        <v>881</v>
      </c>
      <c r="H126" t="s">
        <v>1158</v>
      </c>
      <c r="I126" t="s">
        <v>1173</v>
      </c>
      <c r="J126" t="s">
        <v>2514</v>
      </c>
      <c r="K126" t="s">
        <v>672</v>
      </c>
      <c r="L126" s="871"/>
      <c r="O126" s="256">
        <f ca="1">IF(OR(tblAvisos[[#This Row],[Estado trabajo]]="Cerrado",tblAvisos[[#This Row],[Fecha reporte]]=""),"",TODAY()-tblAvisos[[#This Row],[Fecha reporte]])</f>
        <v>302</v>
      </c>
      <c r="P126" t="str">
        <f ca="1">IF(tblAvisos[[#This Row],[Fecha reporte]]="","Sin fecha",IF(tblAvisos[[#This Row],[Fecha reporte]]&lt;DATE(2020,1,1),"Fecha inválida",IF(tblAvisos[[#This Row],[Fecha reporte]]&gt;TODAY(),"Fecha futura",IF(tblAvisos[[#This Row],[Aviso SAP]]="","Sin aviso SAP",IF(tblAvisos[[#This Row],[Criticidad]]="","Sin criticidad","OK")))))</f>
        <v>OK</v>
      </c>
      <c r="Q126" s="901" t="s">
        <v>2683</v>
      </c>
    </row>
    <row r="127" spans="2:17">
      <c r="B127" s="853" cm="1">
        <f t="array" ref="B127">ROW()-ROW(tblAvisos[#Headers])</f>
        <v>123</v>
      </c>
      <c r="C127" t="s">
        <v>2502</v>
      </c>
      <c r="D127" s="871"/>
      <c r="E127" s="900" t="s">
        <v>2684</v>
      </c>
      <c r="F127" t="s">
        <v>883</v>
      </c>
      <c r="G127" t="s">
        <v>884</v>
      </c>
      <c r="H127" t="s">
        <v>1158</v>
      </c>
      <c r="I127" t="s">
        <v>1173</v>
      </c>
      <c r="J127" t="s">
        <v>2514</v>
      </c>
      <c r="K127" t="s">
        <v>672</v>
      </c>
      <c r="L127" s="871"/>
      <c r="O127" s="256" t="str">
        <f ca="1">IF(OR(tblAvisos[[#This Row],[Estado trabajo]]="Cerrado",tblAvisos[[#This Row],[Fecha reporte]]=""),"",TODAY()-tblAvisos[[#This Row],[Fecha reporte]])</f>
        <v/>
      </c>
      <c r="P127" t="str">
        <f ca="1">IF(tblAvisos[[#This Row],[Fecha reporte]]="","Sin fecha",IF(tblAvisos[[#This Row],[Fecha reporte]]&lt;DATE(2020,1,1),"Fecha inválida",IF(tblAvisos[[#This Row],[Fecha reporte]]&gt;TODAY(),"Fecha futura",IF(tblAvisos[[#This Row],[Aviso SAP]]="","Sin aviso SAP",IF(tblAvisos[[#This Row],[Criticidad]]="","Sin criticidad","OK")))))</f>
        <v>Sin fecha</v>
      </c>
      <c r="Q127" s="901" t="s">
        <v>2685</v>
      </c>
    </row>
    <row r="128" spans="2:17">
      <c r="B128" s="853" cm="1">
        <f t="array" ref="B128">ROW()-ROW(tblAvisos[#Headers])</f>
        <v>124</v>
      </c>
      <c r="C128" t="s">
        <v>2502</v>
      </c>
      <c r="D128" s="871"/>
      <c r="E128" s="900" t="s">
        <v>2686</v>
      </c>
      <c r="F128" t="s">
        <v>885</v>
      </c>
      <c r="G128" t="s">
        <v>886</v>
      </c>
      <c r="H128" t="s">
        <v>1158</v>
      </c>
      <c r="I128" t="s">
        <v>1173</v>
      </c>
      <c r="J128" t="s">
        <v>2514</v>
      </c>
      <c r="K128" t="s">
        <v>672</v>
      </c>
      <c r="L128" s="871"/>
      <c r="O128" s="256" t="str">
        <f ca="1">IF(OR(tblAvisos[[#This Row],[Estado trabajo]]="Cerrado",tblAvisos[[#This Row],[Fecha reporte]]=""),"",TODAY()-tblAvisos[[#This Row],[Fecha reporte]])</f>
        <v/>
      </c>
      <c r="P128" t="str">
        <f ca="1">IF(tblAvisos[[#This Row],[Fecha reporte]]="","Sin fecha",IF(tblAvisos[[#This Row],[Fecha reporte]]&lt;DATE(2020,1,1),"Fecha inválida",IF(tblAvisos[[#This Row],[Fecha reporte]]&gt;TODAY(),"Fecha futura",IF(tblAvisos[[#This Row],[Aviso SAP]]="","Sin aviso SAP",IF(tblAvisos[[#This Row],[Criticidad]]="","Sin criticidad","OK")))))</f>
        <v>Sin fecha</v>
      </c>
      <c r="Q128" s="901" t="s">
        <v>2687</v>
      </c>
    </row>
    <row r="129" spans="2:17">
      <c r="B129" s="853" cm="1">
        <f t="array" ref="B129">ROW()-ROW(tblAvisos[#Headers])</f>
        <v>125</v>
      </c>
      <c r="C129" t="s">
        <v>2502</v>
      </c>
      <c r="D129" s="871"/>
      <c r="E129" s="900" t="s">
        <v>2688</v>
      </c>
      <c r="F129" t="s">
        <v>378</v>
      </c>
      <c r="G129" t="s">
        <v>850</v>
      </c>
      <c r="H129" t="s">
        <v>1158</v>
      </c>
      <c r="I129" t="s">
        <v>1173</v>
      </c>
      <c r="J129" t="s">
        <v>2514</v>
      </c>
      <c r="K129" t="s">
        <v>672</v>
      </c>
      <c r="L129" s="871"/>
      <c r="O129" s="256" t="str">
        <f ca="1">IF(OR(tblAvisos[[#This Row],[Estado trabajo]]="Cerrado",tblAvisos[[#This Row],[Fecha reporte]]=""),"",TODAY()-tblAvisos[[#This Row],[Fecha reporte]])</f>
        <v/>
      </c>
      <c r="P129" t="str">
        <f ca="1">IF(tblAvisos[[#This Row],[Fecha reporte]]="","Sin fecha",IF(tblAvisos[[#This Row],[Fecha reporte]]&lt;DATE(2020,1,1),"Fecha inválida",IF(tblAvisos[[#This Row],[Fecha reporte]]&gt;TODAY(),"Fecha futura",IF(tblAvisos[[#This Row],[Aviso SAP]]="","Sin aviso SAP",IF(tblAvisos[[#This Row],[Criticidad]]="","Sin criticidad","OK")))))</f>
        <v>Sin fecha</v>
      </c>
      <c r="Q129" s="901" t="s">
        <v>2689</v>
      </c>
    </row>
    <row r="130" spans="2:17">
      <c r="B130" s="853" cm="1">
        <f t="array" ref="B130">ROW()-ROW(tblAvisos[#Headers])</f>
        <v>126</v>
      </c>
      <c r="C130" t="s">
        <v>2502</v>
      </c>
      <c r="D130" s="871"/>
      <c r="E130" s="900" t="s">
        <v>2690</v>
      </c>
      <c r="F130" t="s">
        <v>887</v>
      </c>
      <c r="G130" t="s">
        <v>888</v>
      </c>
      <c r="H130" t="s">
        <v>1158</v>
      </c>
      <c r="I130" t="s">
        <v>1173</v>
      </c>
      <c r="J130" t="s">
        <v>2514</v>
      </c>
      <c r="K130" t="s">
        <v>672</v>
      </c>
      <c r="L130" s="871"/>
      <c r="O130" s="256" t="str">
        <f ca="1">IF(OR(tblAvisos[[#This Row],[Estado trabajo]]="Cerrado",tblAvisos[[#This Row],[Fecha reporte]]=""),"",TODAY()-tblAvisos[[#This Row],[Fecha reporte]])</f>
        <v/>
      </c>
      <c r="P130" t="str">
        <f ca="1">IF(tblAvisos[[#This Row],[Fecha reporte]]="","Sin fecha",IF(tblAvisos[[#This Row],[Fecha reporte]]&lt;DATE(2020,1,1),"Fecha inválida",IF(tblAvisos[[#This Row],[Fecha reporte]]&gt;TODAY(),"Fecha futura",IF(tblAvisos[[#This Row],[Aviso SAP]]="","Sin aviso SAP",IF(tblAvisos[[#This Row],[Criticidad]]="","Sin criticidad","OK")))))</f>
        <v>Sin fecha</v>
      </c>
      <c r="Q130" s="901" t="s">
        <v>2691</v>
      </c>
    </row>
    <row r="131" spans="2:17">
      <c r="B131" s="853" cm="1">
        <f t="array" ref="B131">ROW()-ROW(tblAvisos[#Headers])</f>
        <v>127</v>
      </c>
      <c r="C131" t="s">
        <v>2502</v>
      </c>
      <c r="D131" s="871"/>
      <c r="E131" s="900" t="s">
        <v>2692</v>
      </c>
      <c r="F131" t="s">
        <v>889</v>
      </c>
      <c r="G131" t="s">
        <v>886</v>
      </c>
      <c r="H131" t="s">
        <v>1158</v>
      </c>
      <c r="I131" t="s">
        <v>1173</v>
      </c>
      <c r="J131" t="s">
        <v>2514</v>
      </c>
      <c r="K131" t="s">
        <v>672</v>
      </c>
      <c r="L131" s="871"/>
      <c r="O131" s="256" t="str">
        <f ca="1">IF(OR(tblAvisos[[#This Row],[Estado trabajo]]="Cerrado",tblAvisos[[#This Row],[Fecha reporte]]=""),"",TODAY()-tblAvisos[[#This Row],[Fecha reporte]])</f>
        <v/>
      </c>
      <c r="P131" t="str">
        <f ca="1">IF(tblAvisos[[#This Row],[Fecha reporte]]="","Sin fecha",IF(tblAvisos[[#This Row],[Fecha reporte]]&lt;DATE(2020,1,1),"Fecha inválida",IF(tblAvisos[[#This Row],[Fecha reporte]]&gt;TODAY(),"Fecha futura",IF(tblAvisos[[#This Row],[Aviso SAP]]="","Sin aviso SAP",IF(tblAvisos[[#This Row],[Criticidad]]="","Sin criticidad","OK")))))</f>
        <v>Sin fecha</v>
      </c>
      <c r="Q131" s="901" t="s">
        <v>2693</v>
      </c>
    </row>
    <row r="132" spans="2:17">
      <c r="B132" s="853" cm="1">
        <f t="array" ref="B132">ROW()-ROW(tblAvisos[#Headers])</f>
        <v>128</v>
      </c>
      <c r="C132" t="s">
        <v>2502</v>
      </c>
      <c r="D132" s="871">
        <v>45994</v>
      </c>
      <c r="E132" s="900" t="s">
        <v>2694</v>
      </c>
      <c r="F132" t="s">
        <v>855</v>
      </c>
      <c r="G132" t="s">
        <v>890</v>
      </c>
      <c r="H132" t="s">
        <v>1158</v>
      </c>
      <c r="I132" t="s">
        <v>1173</v>
      </c>
      <c r="J132" t="s">
        <v>2514</v>
      </c>
      <c r="K132" t="s">
        <v>672</v>
      </c>
      <c r="L132" s="871"/>
      <c r="O132" s="256">
        <f ca="1">IF(OR(tblAvisos[[#This Row],[Estado trabajo]]="Cerrado",tblAvisos[[#This Row],[Fecha reporte]]=""),"",TODAY()-tblAvisos[[#This Row],[Fecha reporte]])</f>
        <v>301</v>
      </c>
      <c r="P132" t="str">
        <f ca="1">IF(tblAvisos[[#This Row],[Fecha reporte]]="","Sin fecha",IF(tblAvisos[[#This Row],[Fecha reporte]]&lt;DATE(2020,1,1),"Fecha inválida",IF(tblAvisos[[#This Row],[Fecha reporte]]&gt;TODAY(),"Fecha futura",IF(tblAvisos[[#This Row],[Aviso SAP]]="","Sin aviso SAP",IF(tblAvisos[[#This Row],[Criticidad]]="","Sin criticidad","OK")))))</f>
        <v>OK</v>
      </c>
      <c r="Q132" s="901" t="s">
        <v>2695</v>
      </c>
    </row>
    <row r="133" spans="2:17">
      <c r="B133" s="853" cm="1">
        <f t="array" ref="B133">ROW()-ROW(tblAvisos[#Headers])</f>
        <v>129</v>
      </c>
      <c r="C133" t="s">
        <v>2502</v>
      </c>
      <c r="D133" s="871"/>
      <c r="E133" s="900" t="s">
        <v>2696</v>
      </c>
      <c r="F133" t="s">
        <v>264</v>
      </c>
      <c r="G133" t="s">
        <v>2697</v>
      </c>
      <c r="H133" t="s">
        <v>1158</v>
      </c>
      <c r="I133" t="s">
        <v>1173</v>
      </c>
      <c r="J133" t="s">
        <v>2514</v>
      </c>
      <c r="K133" t="s">
        <v>672</v>
      </c>
      <c r="L133" s="871"/>
      <c r="O133" s="256" t="str">
        <f ca="1">IF(OR(tblAvisos[[#This Row],[Estado trabajo]]="Cerrado",tblAvisos[[#This Row],[Fecha reporte]]=""),"",TODAY()-tblAvisos[[#This Row],[Fecha reporte]])</f>
        <v/>
      </c>
      <c r="P133" t="str">
        <f ca="1">IF(tblAvisos[[#This Row],[Fecha reporte]]="","Sin fecha",IF(tblAvisos[[#This Row],[Fecha reporte]]&lt;DATE(2020,1,1),"Fecha inválida",IF(tblAvisos[[#This Row],[Fecha reporte]]&gt;TODAY(),"Fecha futura",IF(tblAvisos[[#This Row],[Aviso SAP]]="","Sin aviso SAP",IF(tblAvisos[[#This Row],[Criticidad]]="","Sin criticidad","OK")))))</f>
        <v>Sin fecha</v>
      </c>
      <c r="Q133" s="901" t="s">
        <v>2698</v>
      </c>
    </row>
    <row r="134" spans="2:17">
      <c r="B134" s="853" cm="1">
        <f t="array" ref="B134">ROW()-ROW(tblAvisos[#Headers])</f>
        <v>130</v>
      </c>
      <c r="C134" t="s">
        <v>2502</v>
      </c>
      <c r="D134" s="871"/>
      <c r="E134" s="900" t="s">
        <v>2699</v>
      </c>
      <c r="F134" t="s">
        <v>892</v>
      </c>
      <c r="G134" t="s">
        <v>827</v>
      </c>
      <c r="H134" t="s">
        <v>1158</v>
      </c>
      <c r="I134" t="s">
        <v>1173</v>
      </c>
      <c r="J134" t="s">
        <v>2514</v>
      </c>
      <c r="K134" t="s">
        <v>672</v>
      </c>
      <c r="L134" s="871"/>
      <c r="O134" s="256" t="str">
        <f ca="1">IF(OR(tblAvisos[[#This Row],[Estado trabajo]]="Cerrado",tblAvisos[[#This Row],[Fecha reporte]]=""),"",TODAY()-tblAvisos[[#This Row],[Fecha reporte]])</f>
        <v/>
      </c>
      <c r="P134" t="str">
        <f ca="1">IF(tblAvisos[[#This Row],[Fecha reporte]]="","Sin fecha",IF(tblAvisos[[#This Row],[Fecha reporte]]&lt;DATE(2020,1,1),"Fecha inválida",IF(tblAvisos[[#This Row],[Fecha reporte]]&gt;TODAY(),"Fecha futura",IF(tblAvisos[[#This Row],[Aviso SAP]]="","Sin aviso SAP",IF(tblAvisos[[#This Row],[Criticidad]]="","Sin criticidad","OK")))))</f>
        <v>Sin fecha</v>
      </c>
      <c r="Q134" s="901" t="s">
        <v>2700</v>
      </c>
    </row>
    <row r="135" spans="2:17">
      <c r="B135" s="853" cm="1">
        <f t="array" ref="B135">ROW()-ROW(tblAvisos[#Headers])</f>
        <v>131</v>
      </c>
      <c r="C135" t="s">
        <v>2502</v>
      </c>
      <c r="D135" s="871"/>
      <c r="E135" s="900" t="s">
        <v>2701</v>
      </c>
      <c r="F135" t="s">
        <v>893</v>
      </c>
      <c r="G135" t="s">
        <v>894</v>
      </c>
      <c r="H135" t="s">
        <v>1158</v>
      </c>
      <c r="I135" t="s">
        <v>1173</v>
      </c>
      <c r="J135" t="s">
        <v>2514</v>
      </c>
      <c r="K135" t="s">
        <v>672</v>
      </c>
      <c r="L135" s="871"/>
      <c r="O135" s="256" t="str">
        <f ca="1">IF(OR(tblAvisos[[#This Row],[Estado trabajo]]="Cerrado",tblAvisos[[#This Row],[Fecha reporte]]=""),"",TODAY()-tblAvisos[[#This Row],[Fecha reporte]])</f>
        <v/>
      </c>
      <c r="P135" t="str">
        <f ca="1">IF(tblAvisos[[#This Row],[Fecha reporte]]="","Sin fecha",IF(tblAvisos[[#This Row],[Fecha reporte]]&lt;DATE(2020,1,1),"Fecha inválida",IF(tblAvisos[[#This Row],[Fecha reporte]]&gt;TODAY(),"Fecha futura",IF(tblAvisos[[#This Row],[Aviso SAP]]="","Sin aviso SAP",IF(tblAvisos[[#This Row],[Criticidad]]="","Sin criticidad","OK")))))</f>
        <v>Sin fecha</v>
      </c>
      <c r="Q135" s="901" t="s">
        <v>2702</v>
      </c>
    </row>
    <row r="136" spans="2:17">
      <c r="B136" s="853" cm="1">
        <f t="array" ref="B136">ROW()-ROW(tblAvisos[#Headers])</f>
        <v>132</v>
      </c>
      <c r="C136" t="s">
        <v>2502</v>
      </c>
      <c r="D136" s="871">
        <v>45995</v>
      </c>
      <c r="E136" s="900" t="s">
        <v>2703</v>
      </c>
      <c r="F136" t="s">
        <v>870</v>
      </c>
      <c r="G136" t="s">
        <v>895</v>
      </c>
      <c r="H136" t="s">
        <v>1158</v>
      </c>
      <c r="I136" t="s">
        <v>1173</v>
      </c>
      <c r="J136" t="s">
        <v>2514</v>
      </c>
      <c r="K136" t="s">
        <v>672</v>
      </c>
      <c r="L136" s="871"/>
      <c r="O136" s="256">
        <f ca="1">IF(OR(tblAvisos[[#This Row],[Estado trabajo]]="Cerrado",tblAvisos[[#This Row],[Fecha reporte]]=""),"",TODAY()-tblAvisos[[#This Row],[Fecha reporte]])</f>
        <v>300</v>
      </c>
      <c r="P136" t="str">
        <f ca="1">IF(tblAvisos[[#This Row],[Fecha reporte]]="","Sin fecha",IF(tblAvisos[[#This Row],[Fecha reporte]]&lt;DATE(2020,1,1),"Fecha inválida",IF(tblAvisos[[#This Row],[Fecha reporte]]&gt;TODAY(),"Fecha futura",IF(tblAvisos[[#This Row],[Aviso SAP]]="","Sin aviso SAP",IF(tblAvisos[[#This Row],[Criticidad]]="","Sin criticidad","OK")))))</f>
        <v>OK</v>
      </c>
      <c r="Q136" s="901" t="s">
        <v>2704</v>
      </c>
    </row>
    <row r="137" spans="2:17">
      <c r="B137" s="853" cm="1">
        <f t="array" ref="B137">ROW()-ROW(tblAvisos[#Headers])</f>
        <v>133</v>
      </c>
      <c r="C137" t="s">
        <v>2502</v>
      </c>
      <c r="D137" s="871"/>
      <c r="E137" s="900" t="s">
        <v>2705</v>
      </c>
      <c r="F137" t="s">
        <v>896</v>
      </c>
      <c r="G137" t="s">
        <v>2706</v>
      </c>
      <c r="H137" t="s">
        <v>1158</v>
      </c>
      <c r="I137" t="s">
        <v>1173</v>
      </c>
      <c r="J137" t="s">
        <v>2514</v>
      </c>
      <c r="K137" t="s">
        <v>672</v>
      </c>
      <c r="L137" s="871"/>
      <c r="O137" s="256" t="str">
        <f ca="1">IF(OR(tblAvisos[[#This Row],[Estado trabajo]]="Cerrado",tblAvisos[[#This Row],[Fecha reporte]]=""),"",TODAY()-tblAvisos[[#This Row],[Fecha reporte]])</f>
        <v/>
      </c>
      <c r="P137" t="str">
        <f ca="1">IF(tblAvisos[[#This Row],[Fecha reporte]]="","Sin fecha",IF(tblAvisos[[#This Row],[Fecha reporte]]&lt;DATE(2020,1,1),"Fecha inválida",IF(tblAvisos[[#This Row],[Fecha reporte]]&gt;TODAY(),"Fecha futura",IF(tblAvisos[[#This Row],[Aviso SAP]]="","Sin aviso SAP",IF(tblAvisos[[#This Row],[Criticidad]]="","Sin criticidad","OK")))))</f>
        <v>Sin fecha</v>
      </c>
      <c r="Q137" s="901" t="s">
        <v>2707</v>
      </c>
    </row>
    <row r="138" spans="2:17">
      <c r="B138" s="853" cm="1">
        <f t="array" ref="B138">ROW()-ROW(tblAvisos[#Headers])</f>
        <v>134</v>
      </c>
      <c r="C138" t="s">
        <v>2502</v>
      </c>
      <c r="D138" s="871"/>
      <c r="E138" s="900" t="s">
        <v>2708</v>
      </c>
      <c r="F138" t="s">
        <v>898</v>
      </c>
      <c r="G138" t="s">
        <v>2709</v>
      </c>
      <c r="H138" t="s">
        <v>1158</v>
      </c>
      <c r="I138" t="s">
        <v>1173</v>
      </c>
      <c r="J138" t="s">
        <v>2514</v>
      </c>
      <c r="K138" t="s">
        <v>672</v>
      </c>
      <c r="L138" s="871"/>
      <c r="O138" s="256" t="str">
        <f ca="1">IF(OR(tblAvisos[[#This Row],[Estado trabajo]]="Cerrado",tblAvisos[[#This Row],[Fecha reporte]]=""),"",TODAY()-tblAvisos[[#This Row],[Fecha reporte]])</f>
        <v/>
      </c>
      <c r="P138" t="str">
        <f ca="1">IF(tblAvisos[[#This Row],[Fecha reporte]]="","Sin fecha",IF(tblAvisos[[#This Row],[Fecha reporte]]&lt;DATE(2020,1,1),"Fecha inválida",IF(tblAvisos[[#This Row],[Fecha reporte]]&gt;TODAY(),"Fecha futura",IF(tblAvisos[[#This Row],[Aviso SAP]]="","Sin aviso SAP",IF(tblAvisos[[#This Row],[Criticidad]]="","Sin criticidad","OK")))))</f>
        <v>Sin fecha</v>
      </c>
      <c r="Q138" s="901" t="s">
        <v>2710</v>
      </c>
    </row>
    <row r="139" spans="2:17">
      <c r="B139" s="853" cm="1">
        <f t="array" ref="B139">ROW()-ROW(tblAvisos[#Headers])</f>
        <v>135</v>
      </c>
      <c r="C139" t="s">
        <v>2502</v>
      </c>
      <c r="D139" s="871">
        <v>45996</v>
      </c>
      <c r="E139" s="900" t="s">
        <v>2536</v>
      </c>
      <c r="F139" t="s">
        <v>900</v>
      </c>
      <c r="G139" t="s">
        <v>901</v>
      </c>
      <c r="H139" t="s">
        <v>1158</v>
      </c>
      <c r="I139" t="s">
        <v>1173</v>
      </c>
      <c r="J139" t="s">
        <v>2514</v>
      </c>
      <c r="K139" t="s">
        <v>672</v>
      </c>
      <c r="L139" s="871"/>
      <c r="O139" s="256">
        <f ca="1">IF(OR(tblAvisos[[#This Row],[Estado trabajo]]="Cerrado",tblAvisos[[#This Row],[Fecha reporte]]=""),"",TODAY()-tblAvisos[[#This Row],[Fecha reporte]])</f>
        <v>299</v>
      </c>
      <c r="P139" t="str">
        <f ca="1">IF(tblAvisos[[#This Row],[Fecha reporte]]="","Sin fecha",IF(tblAvisos[[#This Row],[Fecha reporte]]&lt;DATE(2020,1,1),"Fecha inválida",IF(tblAvisos[[#This Row],[Fecha reporte]]&gt;TODAY(),"Fecha futura",IF(tblAvisos[[#This Row],[Aviso SAP]]="","Sin aviso SAP",IF(tblAvisos[[#This Row],[Criticidad]]="","Sin criticidad","OK")))))</f>
        <v>Sin aviso SAP</v>
      </c>
      <c r="Q139" s="901" t="s">
        <v>2711</v>
      </c>
    </row>
    <row r="140" spans="2:17">
      <c r="B140" s="853" cm="1">
        <f t="array" ref="B140">ROW()-ROW(tblAvisos[#Headers])</f>
        <v>136</v>
      </c>
      <c r="C140" t="s">
        <v>2502</v>
      </c>
      <c r="D140" s="871"/>
      <c r="E140" s="900" t="s">
        <v>2536</v>
      </c>
      <c r="F140" t="s">
        <v>870</v>
      </c>
      <c r="G140" t="s">
        <v>902</v>
      </c>
      <c r="H140" t="s">
        <v>1158</v>
      </c>
      <c r="I140" t="s">
        <v>1173</v>
      </c>
      <c r="J140" t="s">
        <v>2514</v>
      </c>
      <c r="K140" t="s">
        <v>672</v>
      </c>
      <c r="L140" s="871"/>
      <c r="O140" s="256" t="str">
        <f ca="1">IF(OR(tblAvisos[[#This Row],[Estado trabajo]]="Cerrado",tblAvisos[[#This Row],[Fecha reporte]]=""),"",TODAY()-tblAvisos[[#This Row],[Fecha reporte]])</f>
        <v/>
      </c>
      <c r="P140" t="str">
        <f ca="1">IF(tblAvisos[[#This Row],[Fecha reporte]]="","Sin fecha",IF(tblAvisos[[#This Row],[Fecha reporte]]&lt;DATE(2020,1,1),"Fecha inválida",IF(tblAvisos[[#This Row],[Fecha reporte]]&gt;TODAY(),"Fecha futura",IF(tblAvisos[[#This Row],[Aviso SAP]]="","Sin aviso SAP",IF(tblAvisos[[#This Row],[Criticidad]]="","Sin criticidad","OK")))))</f>
        <v>Sin fecha</v>
      </c>
      <c r="Q140" s="901" t="s">
        <v>2712</v>
      </c>
    </row>
    <row r="141" spans="2:17">
      <c r="B141" s="853" cm="1">
        <f t="array" ref="B141">ROW()-ROW(tblAvisos[#Headers])</f>
        <v>137</v>
      </c>
      <c r="C141" t="s">
        <v>2502</v>
      </c>
      <c r="D141" s="871"/>
      <c r="E141" s="900" t="s">
        <v>2536</v>
      </c>
      <c r="F141" t="s">
        <v>259</v>
      </c>
      <c r="G141" t="s">
        <v>903</v>
      </c>
      <c r="H141" t="s">
        <v>1158</v>
      </c>
      <c r="I141" t="s">
        <v>1173</v>
      </c>
      <c r="J141" t="s">
        <v>2514</v>
      </c>
      <c r="K141" t="s">
        <v>672</v>
      </c>
      <c r="L141" s="871"/>
      <c r="O141" s="256" t="str">
        <f ca="1">IF(OR(tblAvisos[[#This Row],[Estado trabajo]]="Cerrado",tblAvisos[[#This Row],[Fecha reporte]]=""),"",TODAY()-tblAvisos[[#This Row],[Fecha reporte]])</f>
        <v/>
      </c>
      <c r="P141" t="str">
        <f ca="1">IF(tblAvisos[[#This Row],[Fecha reporte]]="","Sin fecha",IF(tblAvisos[[#This Row],[Fecha reporte]]&lt;DATE(2020,1,1),"Fecha inválida",IF(tblAvisos[[#This Row],[Fecha reporte]]&gt;TODAY(),"Fecha futura",IF(tblAvisos[[#This Row],[Aviso SAP]]="","Sin aviso SAP",IF(tblAvisos[[#This Row],[Criticidad]]="","Sin criticidad","OK")))))</f>
        <v>Sin fecha</v>
      </c>
      <c r="Q141" s="901" t="s">
        <v>2713</v>
      </c>
    </row>
    <row r="142" spans="2:17">
      <c r="B142" s="853" cm="1">
        <f t="array" ref="B142">ROW()-ROW(tblAvisos[#Headers])</f>
        <v>138</v>
      </c>
      <c r="C142" t="s">
        <v>2502</v>
      </c>
      <c r="D142" s="871">
        <v>45997</v>
      </c>
      <c r="E142" s="900" t="s">
        <v>2536</v>
      </c>
      <c r="F142" t="s">
        <v>382</v>
      </c>
      <c r="G142" t="s">
        <v>850</v>
      </c>
      <c r="H142" t="s">
        <v>1158</v>
      </c>
      <c r="I142" t="s">
        <v>1173</v>
      </c>
      <c r="J142" t="s">
        <v>2514</v>
      </c>
      <c r="K142" t="s">
        <v>672</v>
      </c>
      <c r="L142" s="871"/>
      <c r="O142" s="256">
        <f ca="1">IF(OR(tblAvisos[[#This Row],[Estado trabajo]]="Cerrado",tblAvisos[[#This Row],[Fecha reporte]]=""),"",TODAY()-tblAvisos[[#This Row],[Fecha reporte]])</f>
        <v>298</v>
      </c>
      <c r="P142" t="str">
        <f ca="1">IF(tblAvisos[[#This Row],[Fecha reporte]]="","Sin fecha",IF(tblAvisos[[#This Row],[Fecha reporte]]&lt;DATE(2020,1,1),"Fecha inválida",IF(tblAvisos[[#This Row],[Fecha reporte]]&gt;TODAY(),"Fecha futura",IF(tblAvisos[[#This Row],[Aviso SAP]]="","Sin aviso SAP",IF(tblAvisos[[#This Row],[Criticidad]]="","Sin criticidad","OK")))))</f>
        <v>Sin aviso SAP</v>
      </c>
      <c r="Q142" s="901" t="s">
        <v>2714</v>
      </c>
    </row>
    <row r="143" spans="2:17">
      <c r="B143" s="853" cm="1">
        <f t="array" ref="B143">ROW()-ROW(tblAvisos[#Headers])</f>
        <v>139</v>
      </c>
      <c r="C143" t="s">
        <v>2502</v>
      </c>
      <c r="D143" s="871"/>
      <c r="E143" s="900" t="s">
        <v>2536</v>
      </c>
      <c r="F143" t="s">
        <v>818</v>
      </c>
      <c r="G143" t="s">
        <v>904</v>
      </c>
      <c r="H143" t="s">
        <v>1158</v>
      </c>
      <c r="I143" t="s">
        <v>1173</v>
      </c>
      <c r="J143" t="s">
        <v>2514</v>
      </c>
      <c r="K143" t="s">
        <v>672</v>
      </c>
      <c r="L143" s="871"/>
      <c r="O143" s="256" t="str">
        <f ca="1">IF(OR(tblAvisos[[#This Row],[Estado trabajo]]="Cerrado",tblAvisos[[#This Row],[Fecha reporte]]=""),"",TODAY()-tblAvisos[[#This Row],[Fecha reporte]])</f>
        <v/>
      </c>
      <c r="P143" t="str">
        <f ca="1">IF(tblAvisos[[#This Row],[Fecha reporte]]="","Sin fecha",IF(tblAvisos[[#This Row],[Fecha reporte]]&lt;DATE(2020,1,1),"Fecha inválida",IF(tblAvisos[[#This Row],[Fecha reporte]]&gt;TODAY(),"Fecha futura",IF(tblAvisos[[#This Row],[Aviso SAP]]="","Sin aviso SAP",IF(tblAvisos[[#This Row],[Criticidad]]="","Sin criticidad","OK")))))</f>
        <v>Sin fecha</v>
      </c>
      <c r="Q143" s="901" t="s">
        <v>2715</v>
      </c>
    </row>
    <row r="144" spans="2:17">
      <c r="B144" s="853" cm="1">
        <f t="array" ref="B144">ROW()-ROW(tblAvisos[#Headers])</f>
        <v>140</v>
      </c>
      <c r="C144" t="s">
        <v>2502</v>
      </c>
      <c r="D144" s="871"/>
      <c r="E144" s="900" t="s">
        <v>2536</v>
      </c>
      <c r="F144" t="s">
        <v>893</v>
      </c>
      <c r="G144" t="s">
        <v>2716</v>
      </c>
      <c r="H144" t="s">
        <v>1158</v>
      </c>
      <c r="I144" t="s">
        <v>1173</v>
      </c>
      <c r="J144" t="s">
        <v>2514</v>
      </c>
      <c r="K144" t="s">
        <v>672</v>
      </c>
      <c r="L144" s="871"/>
      <c r="O144" s="256" t="str">
        <f ca="1">IF(OR(tblAvisos[[#This Row],[Estado trabajo]]="Cerrado",tblAvisos[[#This Row],[Fecha reporte]]=""),"",TODAY()-tblAvisos[[#This Row],[Fecha reporte]])</f>
        <v/>
      </c>
      <c r="P144" t="str">
        <f ca="1">IF(tblAvisos[[#This Row],[Fecha reporte]]="","Sin fecha",IF(tblAvisos[[#This Row],[Fecha reporte]]&lt;DATE(2020,1,1),"Fecha inválida",IF(tblAvisos[[#This Row],[Fecha reporte]]&gt;TODAY(),"Fecha futura",IF(tblAvisos[[#This Row],[Aviso SAP]]="","Sin aviso SAP",IF(tblAvisos[[#This Row],[Criticidad]]="","Sin criticidad","OK")))))</f>
        <v>Sin fecha</v>
      </c>
      <c r="Q144" s="901" t="s">
        <v>2717</v>
      </c>
    </row>
    <row r="145" spans="2:17">
      <c r="B145" s="853" cm="1">
        <f t="array" ref="B145">ROW()-ROW(tblAvisos[#Headers])</f>
        <v>141</v>
      </c>
      <c r="C145" t="s">
        <v>2502</v>
      </c>
      <c r="D145" s="871">
        <v>46001</v>
      </c>
      <c r="E145" s="900" t="s">
        <v>2718</v>
      </c>
      <c r="F145" t="s">
        <v>906</v>
      </c>
      <c r="G145" t="s">
        <v>904</v>
      </c>
      <c r="H145" t="s">
        <v>1158</v>
      </c>
      <c r="I145" t="s">
        <v>1173</v>
      </c>
      <c r="J145" t="s">
        <v>2514</v>
      </c>
      <c r="K145" t="s">
        <v>672</v>
      </c>
      <c r="L145" s="871"/>
      <c r="O145" s="256">
        <f ca="1">IF(OR(tblAvisos[[#This Row],[Estado trabajo]]="Cerrado",tblAvisos[[#This Row],[Fecha reporte]]=""),"",TODAY()-tblAvisos[[#This Row],[Fecha reporte]])</f>
        <v>294</v>
      </c>
      <c r="P145" t="str">
        <f ca="1">IF(tblAvisos[[#This Row],[Fecha reporte]]="","Sin fecha",IF(tblAvisos[[#This Row],[Fecha reporte]]&lt;DATE(2020,1,1),"Fecha inválida",IF(tblAvisos[[#This Row],[Fecha reporte]]&gt;TODAY(),"Fecha futura",IF(tblAvisos[[#This Row],[Aviso SAP]]="","Sin aviso SAP",IF(tblAvisos[[#This Row],[Criticidad]]="","Sin criticidad","OK")))))</f>
        <v>OK</v>
      </c>
      <c r="Q145" s="901" t="s">
        <v>2719</v>
      </c>
    </row>
    <row r="146" spans="2:17">
      <c r="B146" s="853" cm="1">
        <f t="array" ref="B146">ROW()-ROW(tblAvisos[#Headers])</f>
        <v>142</v>
      </c>
      <c r="C146" t="s">
        <v>2502</v>
      </c>
      <c r="D146" s="871"/>
      <c r="E146" s="900" t="s">
        <v>2720</v>
      </c>
      <c r="F146" t="s">
        <v>907</v>
      </c>
      <c r="G146" t="s">
        <v>908</v>
      </c>
      <c r="H146" t="s">
        <v>1158</v>
      </c>
      <c r="I146" t="s">
        <v>1173</v>
      </c>
      <c r="J146" t="s">
        <v>2514</v>
      </c>
      <c r="K146" t="s">
        <v>672</v>
      </c>
      <c r="L146" s="871"/>
      <c r="O146" s="256" t="str">
        <f ca="1">IF(OR(tblAvisos[[#This Row],[Estado trabajo]]="Cerrado",tblAvisos[[#This Row],[Fecha reporte]]=""),"",TODAY()-tblAvisos[[#This Row],[Fecha reporte]])</f>
        <v/>
      </c>
      <c r="P146" t="str">
        <f ca="1">IF(tblAvisos[[#This Row],[Fecha reporte]]="","Sin fecha",IF(tblAvisos[[#This Row],[Fecha reporte]]&lt;DATE(2020,1,1),"Fecha inválida",IF(tblAvisos[[#This Row],[Fecha reporte]]&gt;TODAY(),"Fecha futura",IF(tblAvisos[[#This Row],[Aviso SAP]]="","Sin aviso SAP",IF(tblAvisos[[#This Row],[Criticidad]]="","Sin criticidad","OK")))))</f>
        <v>Sin fecha</v>
      </c>
      <c r="Q146" s="901" t="s">
        <v>2721</v>
      </c>
    </row>
    <row r="147" spans="2:17">
      <c r="B147" s="853" cm="1">
        <f t="array" ref="B147">ROW()-ROW(tblAvisos[#Headers])</f>
        <v>143</v>
      </c>
      <c r="C147" t="s">
        <v>2502</v>
      </c>
      <c r="D147" s="871"/>
      <c r="E147" s="900" t="s">
        <v>2722</v>
      </c>
      <c r="F147" t="s">
        <v>863</v>
      </c>
      <c r="G147" t="s">
        <v>909</v>
      </c>
      <c r="H147" t="s">
        <v>1158</v>
      </c>
      <c r="I147" t="s">
        <v>1173</v>
      </c>
      <c r="J147" t="s">
        <v>2514</v>
      </c>
      <c r="K147" t="s">
        <v>672</v>
      </c>
      <c r="L147" s="871"/>
      <c r="O147" s="256" t="str">
        <f ca="1">IF(OR(tblAvisos[[#This Row],[Estado trabajo]]="Cerrado",tblAvisos[[#This Row],[Fecha reporte]]=""),"",TODAY()-tblAvisos[[#This Row],[Fecha reporte]])</f>
        <v/>
      </c>
      <c r="P147" t="str">
        <f ca="1">IF(tblAvisos[[#This Row],[Fecha reporte]]="","Sin fecha",IF(tblAvisos[[#This Row],[Fecha reporte]]&lt;DATE(2020,1,1),"Fecha inválida",IF(tblAvisos[[#This Row],[Fecha reporte]]&gt;TODAY(),"Fecha futura",IF(tblAvisos[[#This Row],[Aviso SAP]]="","Sin aviso SAP",IF(tblAvisos[[#This Row],[Criticidad]]="","Sin criticidad","OK")))))</f>
        <v>Sin fecha</v>
      </c>
      <c r="Q147" s="901" t="s">
        <v>2723</v>
      </c>
    </row>
    <row r="148" spans="2:17">
      <c r="B148" s="853" cm="1">
        <f t="array" ref="B148">ROW()-ROW(tblAvisos[#Headers])</f>
        <v>144</v>
      </c>
      <c r="C148" t="s">
        <v>2502</v>
      </c>
      <c r="D148" s="871">
        <v>46002</v>
      </c>
      <c r="E148" s="900" t="s">
        <v>2536</v>
      </c>
      <c r="F148" t="s">
        <v>910</v>
      </c>
      <c r="G148" t="s">
        <v>911</v>
      </c>
      <c r="H148" t="s">
        <v>1158</v>
      </c>
      <c r="I148" t="s">
        <v>1173</v>
      </c>
      <c r="J148" t="s">
        <v>2514</v>
      </c>
      <c r="K148" t="s">
        <v>672</v>
      </c>
      <c r="L148" s="871"/>
      <c r="O148" s="256">
        <f ca="1">IF(OR(tblAvisos[[#This Row],[Estado trabajo]]="Cerrado",tblAvisos[[#This Row],[Fecha reporte]]=""),"",TODAY()-tblAvisos[[#This Row],[Fecha reporte]])</f>
        <v>293</v>
      </c>
      <c r="P148" t="str">
        <f ca="1">IF(tblAvisos[[#This Row],[Fecha reporte]]="","Sin fecha",IF(tblAvisos[[#This Row],[Fecha reporte]]&lt;DATE(2020,1,1),"Fecha inválida",IF(tblAvisos[[#This Row],[Fecha reporte]]&gt;TODAY(),"Fecha futura",IF(tblAvisos[[#This Row],[Aviso SAP]]="","Sin aviso SAP",IF(tblAvisos[[#This Row],[Criticidad]]="","Sin criticidad","OK")))))</f>
        <v>Sin aviso SAP</v>
      </c>
      <c r="Q148" s="901" t="s">
        <v>2724</v>
      </c>
    </row>
    <row r="149" spans="2:17">
      <c r="B149" s="853" cm="1">
        <f t="array" ref="B149">ROW()-ROW(tblAvisos[#Headers])</f>
        <v>145</v>
      </c>
      <c r="C149" t="s">
        <v>2502</v>
      </c>
      <c r="D149" s="871"/>
      <c r="E149" s="900" t="s">
        <v>2536</v>
      </c>
      <c r="F149" t="s">
        <v>299</v>
      </c>
      <c r="G149" t="s">
        <v>912</v>
      </c>
      <c r="H149" t="s">
        <v>1158</v>
      </c>
      <c r="I149" t="s">
        <v>1173</v>
      </c>
      <c r="J149" t="s">
        <v>2514</v>
      </c>
      <c r="K149" t="s">
        <v>672</v>
      </c>
      <c r="L149" s="871"/>
      <c r="O149" s="256" t="str">
        <f ca="1">IF(OR(tblAvisos[[#This Row],[Estado trabajo]]="Cerrado",tblAvisos[[#This Row],[Fecha reporte]]=""),"",TODAY()-tblAvisos[[#This Row],[Fecha reporte]])</f>
        <v/>
      </c>
      <c r="P149" t="str">
        <f ca="1">IF(tblAvisos[[#This Row],[Fecha reporte]]="","Sin fecha",IF(tblAvisos[[#This Row],[Fecha reporte]]&lt;DATE(2020,1,1),"Fecha inválida",IF(tblAvisos[[#This Row],[Fecha reporte]]&gt;TODAY(),"Fecha futura",IF(tblAvisos[[#This Row],[Aviso SAP]]="","Sin aviso SAP",IF(tblAvisos[[#This Row],[Criticidad]]="","Sin criticidad","OK")))))</f>
        <v>Sin fecha</v>
      </c>
      <c r="Q149" s="901" t="s">
        <v>2725</v>
      </c>
    </row>
    <row r="150" spans="2:17">
      <c r="B150" s="853" cm="1">
        <f t="array" ref="B150">ROW()-ROW(tblAvisos[#Headers])</f>
        <v>146</v>
      </c>
      <c r="C150" t="s">
        <v>2502</v>
      </c>
      <c r="D150" s="871"/>
      <c r="E150" s="900" t="s">
        <v>2536</v>
      </c>
      <c r="F150" t="s">
        <v>472</v>
      </c>
      <c r="G150" t="s">
        <v>913</v>
      </c>
      <c r="H150" t="s">
        <v>1158</v>
      </c>
      <c r="I150" t="s">
        <v>1173</v>
      </c>
      <c r="J150" t="s">
        <v>2514</v>
      </c>
      <c r="K150" t="s">
        <v>672</v>
      </c>
      <c r="L150" s="871"/>
      <c r="O150" s="256" t="str">
        <f ca="1">IF(OR(tblAvisos[[#This Row],[Estado trabajo]]="Cerrado",tblAvisos[[#This Row],[Fecha reporte]]=""),"",TODAY()-tblAvisos[[#This Row],[Fecha reporte]])</f>
        <v/>
      </c>
      <c r="P150" t="str">
        <f ca="1">IF(tblAvisos[[#This Row],[Fecha reporte]]="","Sin fecha",IF(tblAvisos[[#This Row],[Fecha reporte]]&lt;DATE(2020,1,1),"Fecha inválida",IF(tblAvisos[[#This Row],[Fecha reporte]]&gt;TODAY(),"Fecha futura",IF(tblAvisos[[#This Row],[Aviso SAP]]="","Sin aviso SAP",IF(tblAvisos[[#This Row],[Criticidad]]="","Sin criticidad","OK")))))</f>
        <v>Sin fecha</v>
      </c>
      <c r="Q150" s="901" t="s">
        <v>2726</v>
      </c>
    </row>
    <row r="151" spans="2:17">
      <c r="B151" s="853" cm="1">
        <f t="array" ref="B151">ROW()-ROW(tblAvisos[#Headers])</f>
        <v>147</v>
      </c>
      <c r="C151" t="s">
        <v>2502</v>
      </c>
      <c r="D151" s="871">
        <v>46003</v>
      </c>
      <c r="E151" s="900" t="s">
        <v>2536</v>
      </c>
      <c r="F151" t="s">
        <v>914</v>
      </c>
      <c r="G151" t="s">
        <v>915</v>
      </c>
      <c r="H151" t="s">
        <v>1158</v>
      </c>
      <c r="I151" t="s">
        <v>1173</v>
      </c>
      <c r="J151" t="s">
        <v>2514</v>
      </c>
      <c r="K151" t="s">
        <v>672</v>
      </c>
      <c r="L151" s="871"/>
      <c r="O151" s="256">
        <f ca="1">IF(OR(tblAvisos[[#This Row],[Estado trabajo]]="Cerrado",tblAvisos[[#This Row],[Fecha reporte]]=""),"",TODAY()-tblAvisos[[#This Row],[Fecha reporte]])</f>
        <v>292</v>
      </c>
      <c r="P151" t="str">
        <f ca="1">IF(tblAvisos[[#This Row],[Fecha reporte]]="","Sin fecha",IF(tblAvisos[[#This Row],[Fecha reporte]]&lt;DATE(2020,1,1),"Fecha inválida",IF(tblAvisos[[#This Row],[Fecha reporte]]&gt;TODAY(),"Fecha futura",IF(tblAvisos[[#This Row],[Aviso SAP]]="","Sin aviso SAP",IF(tblAvisos[[#This Row],[Criticidad]]="","Sin criticidad","OK")))))</f>
        <v>Sin aviso SAP</v>
      </c>
      <c r="Q151" s="901" t="s">
        <v>2727</v>
      </c>
    </row>
    <row r="152" spans="2:17">
      <c r="B152" s="853" cm="1">
        <f t="array" ref="B152">ROW()-ROW(tblAvisos[#Headers])</f>
        <v>148</v>
      </c>
      <c r="C152" t="s">
        <v>2502</v>
      </c>
      <c r="D152" s="871"/>
      <c r="E152" s="900" t="s">
        <v>2536</v>
      </c>
      <c r="F152" t="s">
        <v>916</v>
      </c>
      <c r="G152" t="s">
        <v>917</v>
      </c>
      <c r="H152" t="s">
        <v>1158</v>
      </c>
      <c r="I152" t="s">
        <v>1173</v>
      </c>
      <c r="J152" t="s">
        <v>2514</v>
      </c>
      <c r="K152" t="s">
        <v>672</v>
      </c>
      <c r="L152" s="871"/>
      <c r="O152" s="256" t="str">
        <f ca="1">IF(OR(tblAvisos[[#This Row],[Estado trabajo]]="Cerrado",tblAvisos[[#This Row],[Fecha reporte]]=""),"",TODAY()-tblAvisos[[#This Row],[Fecha reporte]])</f>
        <v/>
      </c>
      <c r="P152" t="str">
        <f ca="1">IF(tblAvisos[[#This Row],[Fecha reporte]]="","Sin fecha",IF(tblAvisos[[#This Row],[Fecha reporte]]&lt;DATE(2020,1,1),"Fecha inválida",IF(tblAvisos[[#This Row],[Fecha reporte]]&gt;TODAY(),"Fecha futura",IF(tblAvisos[[#This Row],[Aviso SAP]]="","Sin aviso SAP",IF(tblAvisos[[#This Row],[Criticidad]]="","Sin criticidad","OK")))))</f>
        <v>Sin fecha</v>
      </c>
      <c r="Q152" s="901" t="s">
        <v>2728</v>
      </c>
    </row>
    <row r="153" spans="2:17">
      <c r="B153" s="853" cm="1">
        <f t="array" ref="B153">ROW()-ROW(tblAvisos[#Headers])</f>
        <v>149</v>
      </c>
      <c r="C153" t="s">
        <v>2502</v>
      </c>
      <c r="D153" s="871"/>
      <c r="E153" s="900" t="s">
        <v>2536</v>
      </c>
      <c r="F153" t="s">
        <v>799</v>
      </c>
      <c r="G153" t="s">
        <v>850</v>
      </c>
      <c r="H153" t="s">
        <v>1158</v>
      </c>
      <c r="I153" t="s">
        <v>1173</v>
      </c>
      <c r="J153" t="s">
        <v>2514</v>
      </c>
      <c r="L153" s="871"/>
      <c r="O153" s="256" t="str">
        <f ca="1">IF(OR(tblAvisos[[#This Row],[Estado trabajo]]="Cerrado",tblAvisos[[#This Row],[Fecha reporte]]=""),"",TODAY()-tblAvisos[[#This Row],[Fecha reporte]])</f>
        <v/>
      </c>
      <c r="P153" t="str">
        <f ca="1">IF(tblAvisos[[#This Row],[Fecha reporte]]="","Sin fecha",IF(tblAvisos[[#This Row],[Fecha reporte]]&lt;DATE(2020,1,1),"Fecha inválida",IF(tblAvisos[[#This Row],[Fecha reporte]]&gt;TODAY(),"Fecha futura",IF(tblAvisos[[#This Row],[Aviso SAP]]="","Sin aviso SAP",IF(tblAvisos[[#This Row],[Criticidad]]="","Sin criticidad","OK")))))</f>
        <v>Sin fecha</v>
      </c>
      <c r="Q153" s="901" t="s">
        <v>2729</v>
      </c>
    </row>
    <row r="154" spans="2:17">
      <c r="B154" s="853" cm="1">
        <f t="array" ref="B154">ROW()-ROW(tblAvisos[#Headers])</f>
        <v>150</v>
      </c>
      <c r="C154" t="s">
        <v>2502</v>
      </c>
      <c r="D154" s="871">
        <v>46006</v>
      </c>
      <c r="E154" s="900" t="s">
        <v>2536</v>
      </c>
      <c r="F154" t="s">
        <v>889</v>
      </c>
      <c r="G154" t="s">
        <v>918</v>
      </c>
      <c r="H154" t="s">
        <v>1158</v>
      </c>
      <c r="I154" t="s">
        <v>1173</v>
      </c>
      <c r="J154" t="s">
        <v>2514</v>
      </c>
      <c r="K154" t="s">
        <v>672</v>
      </c>
      <c r="L154" s="871"/>
      <c r="O154" s="256">
        <f ca="1">IF(OR(tblAvisos[[#This Row],[Estado trabajo]]="Cerrado",tblAvisos[[#This Row],[Fecha reporte]]=""),"",TODAY()-tblAvisos[[#This Row],[Fecha reporte]])</f>
        <v>289</v>
      </c>
      <c r="P154" t="str">
        <f ca="1">IF(tblAvisos[[#This Row],[Fecha reporte]]="","Sin fecha",IF(tblAvisos[[#This Row],[Fecha reporte]]&lt;DATE(2020,1,1),"Fecha inválida",IF(tblAvisos[[#This Row],[Fecha reporte]]&gt;TODAY(),"Fecha futura",IF(tblAvisos[[#This Row],[Aviso SAP]]="","Sin aviso SAP",IF(tblAvisos[[#This Row],[Criticidad]]="","Sin criticidad","OK")))))</f>
        <v>Sin aviso SAP</v>
      </c>
      <c r="Q154" s="901" t="s">
        <v>2730</v>
      </c>
    </row>
    <row r="155" spans="2:17">
      <c r="B155" s="853" cm="1">
        <f t="array" ref="B155">ROW()-ROW(tblAvisos[#Headers])</f>
        <v>151</v>
      </c>
      <c r="C155" t="s">
        <v>2502</v>
      </c>
      <c r="D155" s="871"/>
      <c r="E155" s="900" t="s">
        <v>2536</v>
      </c>
      <c r="F155" t="s">
        <v>919</v>
      </c>
      <c r="G155" t="s">
        <v>920</v>
      </c>
      <c r="H155" t="s">
        <v>1158</v>
      </c>
      <c r="I155" t="s">
        <v>1173</v>
      </c>
      <c r="J155" t="s">
        <v>2514</v>
      </c>
      <c r="K155" t="s">
        <v>672</v>
      </c>
      <c r="L155" s="871"/>
      <c r="O155" s="256" t="str">
        <f ca="1">IF(OR(tblAvisos[[#This Row],[Estado trabajo]]="Cerrado",tblAvisos[[#This Row],[Fecha reporte]]=""),"",TODAY()-tblAvisos[[#This Row],[Fecha reporte]])</f>
        <v/>
      </c>
      <c r="P155" t="str">
        <f ca="1">IF(tblAvisos[[#This Row],[Fecha reporte]]="","Sin fecha",IF(tblAvisos[[#This Row],[Fecha reporte]]&lt;DATE(2020,1,1),"Fecha inválida",IF(tblAvisos[[#This Row],[Fecha reporte]]&gt;TODAY(),"Fecha futura",IF(tblAvisos[[#This Row],[Aviso SAP]]="","Sin aviso SAP",IF(tblAvisos[[#This Row],[Criticidad]]="","Sin criticidad","OK")))))</f>
        <v>Sin fecha</v>
      </c>
      <c r="Q155" s="901" t="s">
        <v>2731</v>
      </c>
    </row>
    <row r="156" spans="2:17">
      <c r="B156" s="853" cm="1">
        <f t="array" ref="B156">ROW()-ROW(tblAvisos[#Headers])</f>
        <v>152</v>
      </c>
      <c r="C156" t="s">
        <v>2502</v>
      </c>
      <c r="D156" s="871"/>
      <c r="E156" s="900" t="s">
        <v>2536</v>
      </c>
      <c r="F156" t="s">
        <v>921</v>
      </c>
      <c r="G156" t="s">
        <v>922</v>
      </c>
      <c r="H156" t="s">
        <v>1158</v>
      </c>
      <c r="I156" t="s">
        <v>1173</v>
      </c>
      <c r="J156" t="s">
        <v>2514</v>
      </c>
      <c r="K156" t="s">
        <v>672</v>
      </c>
      <c r="L156" s="871"/>
      <c r="O156" s="256" t="str">
        <f ca="1">IF(OR(tblAvisos[[#This Row],[Estado trabajo]]="Cerrado",tblAvisos[[#This Row],[Fecha reporte]]=""),"",TODAY()-tblAvisos[[#This Row],[Fecha reporte]])</f>
        <v/>
      </c>
      <c r="P156" t="str">
        <f ca="1">IF(tblAvisos[[#This Row],[Fecha reporte]]="","Sin fecha",IF(tblAvisos[[#This Row],[Fecha reporte]]&lt;DATE(2020,1,1),"Fecha inválida",IF(tblAvisos[[#This Row],[Fecha reporte]]&gt;TODAY(),"Fecha futura",IF(tblAvisos[[#This Row],[Aviso SAP]]="","Sin aviso SAP",IF(tblAvisos[[#This Row],[Criticidad]]="","Sin criticidad","OK")))))</f>
        <v>Sin fecha</v>
      </c>
      <c r="Q156" s="901" t="s">
        <v>2732</v>
      </c>
    </row>
    <row r="157" spans="2:17">
      <c r="B157" s="853" cm="1">
        <f t="array" ref="B157">ROW()-ROW(tblAvisos[#Headers])</f>
        <v>153</v>
      </c>
      <c r="C157" t="s">
        <v>2502</v>
      </c>
      <c r="D157" s="871"/>
      <c r="E157" s="900" t="s">
        <v>2536</v>
      </c>
      <c r="F157" t="s">
        <v>824</v>
      </c>
      <c r="G157" t="s">
        <v>923</v>
      </c>
      <c r="H157" t="s">
        <v>1158</v>
      </c>
      <c r="I157" t="s">
        <v>1173</v>
      </c>
      <c r="J157" t="s">
        <v>2514</v>
      </c>
      <c r="K157" t="s">
        <v>672</v>
      </c>
      <c r="L157" s="871"/>
      <c r="O157" s="256" t="str">
        <f ca="1">IF(OR(tblAvisos[[#This Row],[Estado trabajo]]="Cerrado",tblAvisos[[#This Row],[Fecha reporte]]=""),"",TODAY()-tblAvisos[[#This Row],[Fecha reporte]])</f>
        <v/>
      </c>
      <c r="P157" t="str">
        <f ca="1">IF(tblAvisos[[#This Row],[Fecha reporte]]="","Sin fecha",IF(tblAvisos[[#This Row],[Fecha reporte]]&lt;DATE(2020,1,1),"Fecha inválida",IF(tblAvisos[[#This Row],[Fecha reporte]]&gt;TODAY(),"Fecha futura",IF(tblAvisos[[#This Row],[Aviso SAP]]="","Sin aviso SAP",IF(tblAvisos[[#This Row],[Criticidad]]="","Sin criticidad","OK")))))</f>
        <v>Sin fecha</v>
      </c>
      <c r="Q157" s="901" t="s">
        <v>2733</v>
      </c>
    </row>
    <row r="158" spans="2:17">
      <c r="B158" s="853" cm="1">
        <f t="array" ref="B158">ROW()-ROW(tblAvisos[#Headers])</f>
        <v>154</v>
      </c>
      <c r="C158" t="s">
        <v>2502</v>
      </c>
      <c r="D158" s="871">
        <v>46007</v>
      </c>
      <c r="E158" s="900" t="s">
        <v>2536</v>
      </c>
      <c r="F158" t="s">
        <v>369</v>
      </c>
      <c r="G158" t="s">
        <v>924</v>
      </c>
      <c r="H158" t="s">
        <v>1158</v>
      </c>
      <c r="I158" t="s">
        <v>1173</v>
      </c>
      <c r="J158" t="s">
        <v>2514</v>
      </c>
      <c r="K158" t="s">
        <v>672</v>
      </c>
      <c r="L158" s="871"/>
      <c r="O158" s="256">
        <f ca="1">IF(OR(tblAvisos[[#This Row],[Estado trabajo]]="Cerrado",tblAvisos[[#This Row],[Fecha reporte]]=""),"",TODAY()-tblAvisos[[#This Row],[Fecha reporte]])</f>
        <v>288</v>
      </c>
      <c r="P158" t="str">
        <f ca="1">IF(tblAvisos[[#This Row],[Fecha reporte]]="","Sin fecha",IF(tblAvisos[[#This Row],[Fecha reporte]]&lt;DATE(2020,1,1),"Fecha inválida",IF(tblAvisos[[#This Row],[Fecha reporte]]&gt;TODAY(),"Fecha futura",IF(tblAvisos[[#This Row],[Aviso SAP]]="","Sin aviso SAP",IF(tblAvisos[[#This Row],[Criticidad]]="","Sin criticidad","OK")))))</f>
        <v>Sin aviso SAP</v>
      </c>
      <c r="Q158" s="901" t="s">
        <v>2734</v>
      </c>
    </row>
    <row r="159" spans="2:17">
      <c r="B159" s="853" cm="1">
        <f t="array" ref="B159">ROW()-ROW(tblAvisos[#Headers])</f>
        <v>155</v>
      </c>
      <c r="C159" t="s">
        <v>2502</v>
      </c>
      <c r="D159" s="871"/>
      <c r="E159" s="900" t="s">
        <v>2536</v>
      </c>
      <c r="F159" t="s">
        <v>381</v>
      </c>
      <c r="G159" t="s">
        <v>2735</v>
      </c>
      <c r="H159" t="s">
        <v>1158</v>
      </c>
      <c r="I159" t="s">
        <v>1173</v>
      </c>
      <c r="J159" t="s">
        <v>2514</v>
      </c>
      <c r="K159" t="s">
        <v>672</v>
      </c>
      <c r="L159" s="871"/>
      <c r="O159" s="256" t="str">
        <f ca="1">IF(OR(tblAvisos[[#This Row],[Estado trabajo]]="Cerrado",tblAvisos[[#This Row],[Fecha reporte]]=""),"",TODAY()-tblAvisos[[#This Row],[Fecha reporte]])</f>
        <v/>
      </c>
      <c r="P159" t="str">
        <f ca="1">IF(tblAvisos[[#This Row],[Fecha reporte]]="","Sin fecha",IF(tblAvisos[[#This Row],[Fecha reporte]]&lt;DATE(2020,1,1),"Fecha inválida",IF(tblAvisos[[#This Row],[Fecha reporte]]&gt;TODAY(),"Fecha futura",IF(tblAvisos[[#This Row],[Aviso SAP]]="","Sin aviso SAP",IF(tblAvisos[[#This Row],[Criticidad]]="","Sin criticidad","OK")))))</f>
        <v>Sin fecha</v>
      </c>
      <c r="Q159" s="901" t="s">
        <v>2736</v>
      </c>
    </row>
    <row r="160" spans="2:17">
      <c r="B160" s="853" cm="1">
        <f t="array" ref="B160">ROW()-ROW(tblAvisos[#Headers])</f>
        <v>156</v>
      </c>
      <c r="C160" t="s">
        <v>2502</v>
      </c>
      <c r="D160" s="871">
        <v>46008</v>
      </c>
      <c r="E160" s="900" t="s">
        <v>2536</v>
      </c>
      <c r="F160" t="s">
        <v>926</v>
      </c>
      <c r="G160" t="s">
        <v>1058</v>
      </c>
      <c r="H160" t="s">
        <v>1158</v>
      </c>
      <c r="I160" t="s">
        <v>1173</v>
      </c>
      <c r="J160" t="s">
        <v>2514</v>
      </c>
      <c r="K160" t="s">
        <v>672</v>
      </c>
      <c r="L160" s="871"/>
      <c r="O160" s="256">
        <f ca="1">IF(OR(tblAvisos[[#This Row],[Estado trabajo]]="Cerrado",tblAvisos[[#This Row],[Fecha reporte]]=""),"",TODAY()-tblAvisos[[#This Row],[Fecha reporte]])</f>
        <v>287</v>
      </c>
      <c r="P160" t="str">
        <f ca="1">IF(tblAvisos[[#This Row],[Fecha reporte]]="","Sin fecha",IF(tblAvisos[[#This Row],[Fecha reporte]]&lt;DATE(2020,1,1),"Fecha inválida",IF(tblAvisos[[#This Row],[Fecha reporte]]&gt;TODAY(),"Fecha futura",IF(tblAvisos[[#This Row],[Aviso SAP]]="","Sin aviso SAP",IF(tblAvisos[[#This Row],[Criticidad]]="","Sin criticidad","OK")))))</f>
        <v>Sin aviso SAP</v>
      </c>
      <c r="Q160" s="901" t="s">
        <v>2737</v>
      </c>
    </row>
    <row r="161" spans="2:17">
      <c r="B161" s="853" cm="1">
        <f t="array" ref="B161">ROW()-ROW(tblAvisos[#Headers])</f>
        <v>157</v>
      </c>
      <c r="C161" t="s">
        <v>2502</v>
      </c>
      <c r="D161" s="871"/>
      <c r="E161" s="900" t="s">
        <v>2536</v>
      </c>
      <c r="F161" t="s">
        <v>921</v>
      </c>
      <c r="G161" t="s">
        <v>928</v>
      </c>
      <c r="I161" t="s">
        <v>1173</v>
      </c>
      <c r="L161" s="871"/>
      <c r="N161" t="s">
        <v>2616</v>
      </c>
      <c r="O161" s="256" t="str">
        <f ca="1">IF(OR(tblAvisos[[#This Row],[Estado trabajo]]="Cerrado",tblAvisos[[#This Row],[Fecha reporte]]=""),"",TODAY()-tblAvisos[[#This Row],[Fecha reporte]])</f>
        <v/>
      </c>
      <c r="P161" t="str">
        <f ca="1">IF(tblAvisos[[#This Row],[Fecha reporte]]="","Sin fecha",IF(tblAvisos[[#This Row],[Fecha reporte]]&lt;DATE(2020,1,1),"Fecha inválida",IF(tblAvisos[[#This Row],[Fecha reporte]]&gt;TODAY(),"Fecha futura",IF(tblAvisos[[#This Row],[Aviso SAP]]="","Sin aviso SAP",IF(tblAvisos[[#This Row],[Criticidad]]="","Sin criticidad","OK")))))</f>
        <v>Sin fecha</v>
      </c>
      <c r="Q161" s="901" t="s">
        <v>2738</v>
      </c>
    </row>
    <row r="162" spans="2:17">
      <c r="B162" s="853" cm="1">
        <f t="array" ref="B162">ROW()-ROW(tblAvisos[#Headers])</f>
        <v>158</v>
      </c>
      <c r="C162" t="s">
        <v>2502</v>
      </c>
      <c r="D162" s="871"/>
      <c r="E162" s="900" t="s">
        <v>2536</v>
      </c>
      <c r="F162" t="s">
        <v>828</v>
      </c>
      <c r="G162" t="s">
        <v>929</v>
      </c>
      <c r="I162" t="s">
        <v>1173</v>
      </c>
      <c r="L162" s="871"/>
      <c r="N162" t="s">
        <v>2616</v>
      </c>
      <c r="O162" s="256" t="str">
        <f ca="1">IF(OR(tblAvisos[[#This Row],[Estado trabajo]]="Cerrado",tblAvisos[[#This Row],[Fecha reporte]]=""),"",TODAY()-tblAvisos[[#This Row],[Fecha reporte]])</f>
        <v/>
      </c>
      <c r="P162" t="str">
        <f ca="1">IF(tblAvisos[[#This Row],[Fecha reporte]]="","Sin fecha",IF(tblAvisos[[#This Row],[Fecha reporte]]&lt;DATE(2020,1,1),"Fecha inválida",IF(tblAvisos[[#This Row],[Fecha reporte]]&gt;TODAY(),"Fecha futura",IF(tblAvisos[[#This Row],[Aviso SAP]]="","Sin aviso SAP",IF(tblAvisos[[#This Row],[Criticidad]]="","Sin criticidad","OK")))))</f>
        <v>Sin fecha</v>
      </c>
      <c r="Q162" s="901" t="s">
        <v>2739</v>
      </c>
    </row>
    <row r="163" spans="2:17">
      <c r="B163" s="853" cm="1">
        <f t="array" ref="B163">ROW()-ROW(tblAvisos[#Headers])</f>
        <v>159</v>
      </c>
      <c r="C163" t="s">
        <v>2502</v>
      </c>
      <c r="D163" s="871">
        <v>46010</v>
      </c>
      <c r="E163" s="900" t="s">
        <v>2536</v>
      </c>
      <c r="F163" t="s">
        <v>597</v>
      </c>
      <c r="G163" t="s">
        <v>932</v>
      </c>
      <c r="H163" t="s">
        <v>1158</v>
      </c>
      <c r="I163" t="s">
        <v>1173</v>
      </c>
      <c r="J163" t="s">
        <v>2514</v>
      </c>
      <c r="K163" t="s">
        <v>672</v>
      </c>
      <c r="L163" s="871"/>
      <c r="O163" s="256">
        <f ca="1">IF(OR(tblAvisos[[#This Row],[Estado trabajo]]="Cerrado",tblAvisos[[#This Row],[Fecha reporte]]=""),"",TODAY()-tblAvisos[[#This Row],[Fecha reporte]])</f>
        <v>285</v>
      </c>
      <c r="P163" t="str">
        <f ca="1">IF(tblAvisos[[#This Row],[Fecha reporte]]="","Sin fecha",IF(tblAvisos[[#This Row],[Fecha reporte]]&lt;DATE(2020,1,1),"Fecha inválida",IF(tblAvisos[[#This Row],[Fecha reporte]]&gt;TODAY(),"Fecha futura",IF(tblAvisos[[#This Row],[Aviso SAP]]="","Sin aviso SAP",IF(tblAvisos[[#This Row],[Criticidad]]="","Sin criticidad","OK")))))</f>
        <v>Sin aviso SAP</v>
      </c>
      <c r="Q163" s="901" t="s">
        <v>2740</v>
      </c>
    </row>
    <row r="164" spans="2:17">
      <c r="B164" s="853" cm="1">
        <f t="array" ref="B164">ROW()-ROW(tblAvisos[#Headers])</f>
        <v>160</v>
      </c>
      <c r="C164" t="s">
        <v>2502</v>
      </c>
      <c r="D164" s="871"/>
      <c r="E164" s="900" t="s">
        <v>2536</v>
      </c>
      <c r="F164" t="s">
        <v>933</v>
      </c>
      <c r="G164" t="s">
        <v>934</v>
      </c>
      <c r="H164" t="s">
        <v>1158</v>
      </c>
      <c r="I164" t="s">
        <v>1173</v>
      </c>
      <c r="J164" t="s">
        <v>2515</v>
      </c>
      <c r="L164" s="871"/>
      <c r="O164" s="256" t="str">
        <f ca="1">IF(OR(tblAvisos[[#This Row],[Estado trabajo]]="Cerrado",tblAvisos[[#This Row],[Fecha reporte]]=""),"",TODAY()-tblAvisos[[#This Row],[Fecha reporte]])</f>
        <v/>
      </c>
      <c r="P164" t="str">
        <f ca="1">IF(tblAvisos[[#This Row],[Fecha reporte]]="","Sin fecha",IF(tblAvisos[[#This Row],[Fecha reporte]]&lt;DATE(2020,1,1),"Fecha inválida",IF(tblAvisos[[#This Row],[Fecha reporte]]&gt;TODAY(),"Fecha futura",IF(tblAvisos[[#This Row],[Aviso SAP]]="","Sin aviso SAP",IF(tblAvisos[[#This Row],[Criticidad]]="","Sin criticidad","OK")))))</f>
        <v>Sin fecha</v>
      </c>
      <c r="Q164" s="901" t="s">
        <v>2741</v>
      </c>
    </row>
    <row r="165" spans="2:17">
      <c r="B165" s="853" cm="1">
        <f t="array" ref="B165">ROW()-ROW(tblAvisos[#Headers])</f>
        <v>161</v>
      </c>
      <c r="C165" t="s">
        <v>2502</v>
      </c>
      <c r="D165" s="871"/>
      <c r="E165" s="900" t="s">
        <v>2536</v>
      </c>
      <c r="F165" t="s">
        <v>900</v>
      </c>
      <c r="G165" t="s">
        <v>2716</v>
      </c>
      <c r="H165" t="s">
        <v>1158</v>
      </c>
      <c r="I165" t="s">
        <v>1173</v>
      </c>
      <c r="J165" t="s">
        <v>2515</v>
      </c>
      <c r="L165" s="871"/>
      <c r="O165" s="256" t="str">
        <f ca="1">IF(OR(tblAvisos[[#This Row],[Estado trabajo]]="Cerrado",tblAvisos[[#This Row],[Fecha reporte]]=""),"",TODAY()-tblAvisos[[#This Row],[Fecha reporte]])</f>
        <v/>
      </c>
      <c r="P165" t="str">
        <f ca="1">IF(tblAvisos[[#This Row],[Fecha reporte]]="","Sin fecha",IF(tblAvisos[[#This Row],[Fecha reporte]]&lt;DATE(2020,1,1),"Fecha inválida",IF(tblAvisos[[#This Row],[Fecha reporte]]&gt;TODAY(),"Fecha futura",IF(tblAvisos[[#This Row],[Aviso SAP]]="","Sin aviso SAP",IF(tblAvisos[[#This Row],[Criticidad]]="","Sin criticidad","OK")))))</f>
        <v>Sin fecha</v>
      </c>
      <c r="Q165" s="901" t="s">
        <v>2742</v>
      </c>
    </row>
    <row r="166" spans="2:17">
      <c r="B166" s="853" cm="1">
        <f t="array" ref="B166">ROW()-ROW(tblAvisos[#Headers])</f>
        <v>162</v>
      </c>
      <c r="C166" t="s">
        <v>2502</v>
      </c>
      <c r="D166" s="871"/>
      <c r="E166" s="900" t="s">
        <v>2536</v>
      </c>
      <c r="F166" t="s">
        <v>910</v>
      </c>
      <c r="G166" t="s">
        <v>1054</v>
      </c>
      <c r="H166" t="s">
        <v>1158</v>
      </c>
      <c r="I166" t="s">
        <v>1173</v>
      </c>
      <c r="J166" t="s">
        <v>2514</v>
      </c>
      <c r="L166" s="871"/>
      <c r="O166" s="256" t="str">
        <f ca="1">IF(OR(tblAvisos[[#This Row],[Estado trabajo]]="Cerrado",tblAvisos[[#This Row],[Fecha reporte]]=""),"",TODAY()-tblAvisos[[#This Row],[Fecha reporte]])</f>
        <v/>
      </c>
      <c r="P166" t="str">
        <f ca="1">IF(tblAvisos[[#This Row],[Fecha reporte]]="","Sin fecha",IF(tblAvisos[[#This Row],[Fecha reporte]]&lt;DATE(2020,1,1),"Fecha inválida",IF(tblAvisos[[#This Row],[Fecha reporte]]&gt;TODAY(),"Fecha futura",IF(tblAvisos[[#This Row],[Aviso SAP]]="","Sin aviso SAP",IF(tblAvisos[[#This Row],[Criticidad]]="","Sin criticidad","OK")))))</f>
        <v>Sin fecha</v>
      </c>
      <c r="Q166" s="901" t="s">
        <v>2743</v>
      </c>
    </row>
    <row r="167" spans="2:17">
      <c r="B167" s="853" cm="1">
        <f t="array" ref="B167">ROW()-ROW(tblAvisos[#Headers])</f>
        <v>163</v>
      </c>
      <c r="C167" t="s">
        <v>2502</v>
      </c>
      <c r="D167" s="871">
        <v>46011</v>
      </c>
      <c r="E167" s="900" t="s">
        <v>2536</v>
      </c>
      <c r="F167" t="s">
        <v>870</v>
      </c>
      <c r="G167" t="s">
        <v>938</v>
      </c>
      <c r="H167" t="s">
        <v>1158</v>
      </c>
      <c r="I167" t="s">
        <v>1173</v>
      </c>
      <c r="J167" t="s">
        <v>2515</v>
      </c>
      <c r="L167" s="871"/>
      <c r="O167" s="256">
        <f ca="1">IF(OR(tblAvisos[[#This Row],[Estado trabajo]]="Cerrado",tblAvisos[[#This Row],[Fecha reporte]]=""),"",TODAY()-tblAvisos[[#This Row],[Fecha reporte]])</f>
        <v>284</v>
      </c>
      <c r="P167" t="str">
        <f ca="1">IF(tblAvisos[[#This Row],[Fecha reporte]]="","Sin fecha",IF(tblAvisos[[#This Row],[Fecha reporte]]&lt;DATE(2020,1,1),"Fecha inválida",IF(tblAvisos[[#This Row],[Fecha reporte]]&gt;TODAY(),"Fecha futura",IF(tblAvisos[[#This Row],[Aviso SAP]]="","Sin aviso SAP",IF(tblAvisos[[#This Row],[Criticidad]]="","Sin criticidad","OK")))))</f>
        <v>Sin aviso SAP</v>
      </c>
      <c r="Q167" s="901" t="s">
        <v>2744</v>
      </c>
    </row>
    <row r="168" spans="2:17">
      <c r="B168" s="853" cm="1">
        <f t="array" ref="B168">ROW()-ROW(tblAvisos[#Headers])</f>
        <v>164</v>
      </c>
      <c r="C168" t="s">
        <v>2502</v>
      </c>
      <c r="D168" s="871"/>
      <c r="E168" s="900" t="s">
        <v>2536</v>
      </c>
      <c r="F168" t="s">
        <v>818</v>
      </c>
      <c r="G168" t="s">
        <v>939</v>
      </c>
      <c r="H168" t="s">
        <v>1158</v>
      </c>
      <c r="I168" t="s">
        <v>1173</v>
      </c>
      <c r="J168" t="s">
        <v>2515</v>
      </c>
      <c r="L168" s="871"/>
      <c r="O168" s="256" t="str">
        <f ca="1">IF(OR(tblAvisos[[#This Row],[Estado trabajo]]="Cerrado",tblAvisos[[#This Row],[Fecha reporte]]=""),"",TODAY()-tblAvisos[[#This Row],[Fecha reporte]])</f>
        <v/>
      </c>
      <c r="P168" t="str">
        <f ca="1">IF(tblAvisos[[#This Row],[Fecha reporte]]="","Sin fecha",IF(tblAvisos[[#This Row],[Fecha reporte]]&lt;DATE(2020,1,1),"Fecha inválida",IF(tblAvisos[[#This Row],[Fecha reporte]]&gt;TODAY(),"Fecha futura",IF(tblAvisos[[#This Row],[Aviso SAP]]="","Sin aviso SAP",IF(tblAvisos[[#This Row],[Criticidad]]="","Sin criticidad","OK")))))</f>
        <v>Sin fecha</v>
      </c>
      <c r="Q168" s="901" t="s">
        <v>2745</v>
      </c>
    </row>
    <row r="169" spans="2:17">
      <c r="B169" s="853" cm="1">
        <f t="array" ref="B169">ROW()-ROW(tblAvisos[#Headers])</f>
        <v>165</v>
      </c>
      <c r="C169" t="s">
        <v>2502</v>
      </c>
      <c r="D169" s="871"/>
      <c r="E169" s="900" t="s">
        <v>2536</v>
      </c>
      <c r="F169" t="s">
        <v>940</v>
      </c>
      <c r="G169" t="s">
        <v>941</v>
      </c>
      <c r="H169" t="s">
        <v>1158</v>
      </c>
      <c r="I169" t="s">
        <v>1173</v>
      </c>
      <c r="J169" t="s">
        <v>2514</v>
      </c>
      <c r="L169" s="871"/>
      <c r="O169" s="256" t="str">
        <f ca="1">IF(OR(tblAvisos[[#This Row],[Estado trabajo]]="Cerrado",tblAvisos[[#This Row],[Fecha reporte]]=""),"",TODAY()-tblAvisos[[#This Row],[Fecha reporte]])</f>
        <v/>
      </c>
      <c r="P169" t="str">
        <f ca="1">IF(tblAvisos[[#This Row],[Fecha reporte]]="","Sin fecha",IF(tblAvisos[[#This Row],[Fecha reporte]]&lt;DATE(2020,1,1),"Fecha inválida",IF(tblAvisos[[#This Row],[Fecha reporte]]&gt;TODAY(),"Fecha futura",IF(tblAvisos[[#This Row],[Aviso SAP]]="","Sin aviso SAP",IF(tblAvisos[[#This Row],[Criticidad]]="","Sin criticidad","OK")))))</f>
        <v>Sin fecha</v>
      </c>
      <c r="Q169" s="901" t="s">
        <v>2746</v>
      </c>
    </row>
    <row r="170" spans="2:17">
      <c r="B170" s="853" cm="1">
        <f t="array" ref="B170">ROW()-ROW(tblAvisos[#Headers])</f>
        <v>166</v>
      </c>
      <c r="C170" t="s">
        <v>2502</v>
      </c>
      <c r="D170" s="871"/>
      <c r="E170" s="900" t="s">
        <v>2536</v>
      </c>
      <c r="F170" t="s">
        <v>940</v>
      </c>
      <c r="G170" t="s">
        <v>942</v>
      </c>
      <c r="H170" t="s">
        <v>1170</v>
      </c>
      <c r="I170" t="s">
        <v>1173</v>
      </c>
      <c r="J170" t="s">
        <v>2514</v>
      </c>
      <c r="L170" s="871"/>
      <c r="O170" s="256" t="str">
        <f ca="1">IF(OR(tblAvisos[[#This Row],[Estado trabajo]]="Cerrado",tblAvisos[[#This Row],[Fecha reporte]]=""),"",TODAY()-tblAvisos[[#This Row],[Fecha reporte]])</f>
        <v/>
      </c>
      <c r="P170" t="str">
        <f ca="1">IF(tblAvisos[[#This Row],[Fecha reporte]]="","Sin fecha",IF(tblAvisos[[#This Row],[Fecha reporte]]&lt;DATE(2020,1,1),"Fecha inválida",IF(tblAvisos[[#This Row],[Fecha reporte]]&gt;TODAY(),"Fecha futura",IF(tblAvisos[[#This Row],[Aviso SAP]]="","Sin aviso SAP",IF(tblAvisos[[#This Row],[Criticidad]]="","Sin criticidad","OK")))))</f>
        <v>Sin fecha</v>
      </c>
      <c r="Q170" s="901" t="s">
        <v>2747</v>
      </c>
    </row>
    <row r="171" spans="2:17">
      <c r="B171" s="853" cm="1">
        <f t="array" ref="B171">ROW()-ROW(tblAvisos[#Headers])</f>
        <v>167</v>
      </c>
      <c r="C171" t="s">
        <v>2502</v>
      </c>
      <c r="D171" s="871"/>
      <c r="E171" s="900" t="s">
        <v>2536</v>
      </c>
      <c r="F171" t="s">
        <v>944</v>
      </c>
      <c r="G171" t="s">
        <v>945</v>
      </c>
      <c r="H171" t="s">
        <v>1158</v>
      </c>
      <c r="I171" t="s">
        <v>1173</v>
      </c>
      <c r="J171" t="s">
        <v>2514</v>
      </c>
      <c r="L171" s="871"/>
      <c r="O171" s="256" t="str">
        <f ca="1">IF(OR(tblAvisos[[#This Row],[Estado trabajo]]="Cerrado",tblAvisos[[#This Row],[Fecha reporte]]=""),"",TODAY()-tblAvisos[[#This Row],[Fecha reporte]])</f>
        <v/>
      </c>
      <c r="P171" t="str">
        <f ca="1">IF(tblAvisos[[#This Row],[Fecha reporte]]="","Sin fecha",IF(tblAvisos[[#This Row],[Fecha reporte]]&lt;DATE(2020,1,1),"Fecha inválida",IF(tblAvisos[[#This Row],[Fecha reporte]]&gt;TODAY(),"Fecha futura",IF(tblAvisos[[#This Row],[Aviso SAP]]="","Sin aviso SAP",IF(tblAvisos[[#This Row],[Criticidad]]="","Sin criticidad","OK")))))</f>
        <v>Sin fecha</v>
      </c>
      <c r="Q171" s="901" t="s">
        <v>2748</v>
      </c>
    </row>
    <row r="172" spans="2:17">
      <c r="B172" s="853" cm="1">
        <f t="array" ref="B172">ROW()-ROW(tblAvisos[#Headers])</f>
        <v>168</v>
      </c>
      <c r="C172" t="s">
        <v>2502</v>
      </c>
      <c r="D172" s="871">
        <v>46014</v>
      </c>
      <c r="E172" s="900" t="s">
        <v>2536</v>
      </c>
      <c r="F172" t="s">
        <v>806</v>
      </c>
      <c r="G172" t="s">
        <v>946</v>
      </c>
      <c r="H172" t="s">
        <v>1158</v>
      </c>
      <c r="I172" t="s">
        <v>1173</v>
      </c>
      <c r="J172" t="s">
        <v>2514</v>
      </c>
      <c r="L172" s="871"/>
      <c r="O172" s="256">
        <f ca="1">IF(OR(tblAvisos[[#This Row],[Estado trabajo]]="Cerrado",tblAvisos[[#This Row],[Fecha reporte]]=""),"",TODAY()-tblAvisos[[#This Row],[Fecha reporte]])</f>
        <v>281</v>
      </c>
      <c r="P172" t="str">
        <f ca="1">IF(tblAvisos[[#This Row],[Fecha reporte]]="","Sin fecha",IF(tblAvisos[[#This Row],[Fecha reporte]]&lt;DATE(2020,1,1),"Fecha inválida",IF(tblAvisos[[#This Row],[Fecha reporte]]&gt;TODAY(),"Fecha futura",IF(tblAvisos[[#This Row],[Aviso SAP]]="","Sin aviso SAP",IF(tblAvisos[[#This Row],[Criticidad]]="","Sin criticidad","OK")))))</f>
        <v>Sin aviso SAP</v>
      </c>
      <c r="Q172" s="901" t="s">
        <v>2749</v>
      </c>
    </row>
    <row r="173" spans="2:17">
      <c r="B173" s="853" cm="1">
        <f t="array" ref="B173">ROW()-ROW(tblAvisos[#Headers])</f>
        <v>169</v>
      </c>
      <c r="C173" t="s">
        <v>2502</v>
      </c>
      <c r="D173" s="871"/>
      <c r="E173" s="900" t="s">
        <v>2536</v>
      </c>
      <c r="F173" t="s">
        <v>259</v>
      </c>
      <c r="G173" t="s">
        <v>903</v>
      </c>
      <c r="H173" t="s">
        <v>1158</v>
      </c>
      <c r="I173" t="s">
        <v>1173</v>
      </c>
      <c r="J173" t="s">
        <v>2514</v>
      </c>
      <c r="L173" s="871"/>
      <c r="O173" s="256" t="str">
        <f ca="1">IF(OR(tblAvisos[[#This Row],[Estado trabajo]]="Cerrado",tblAvisos[[#This Row],[Fecha reporte]]=""),"",TODAY()-tblAvisos[[#This Row],[Fecha reporte]])</f>
        <v/>
      </c>
      <c r="P173" t="str">
        <f ca="1">IF(tblAvisos[[#This Row],[Fecha reporte]]="","Sin fecha",IF(tblAvisos[[#This Row],[Fecha reporte]]&lt;DATE(2020,1,1),"Fecha inválida",IF(tblAvisos[[#This Row],[Fecha reporte]]&gt;TODAY(),"Fecha futura",IF(tblAvisos[[#This Row],[Aviso SAP]]="","Sin aviso SAP",IF(tblAvisos[[#This Row],[Criticidad]]="","Sin criticidad","OK")))))</f>
        <v>Sin fecha</v>
      </c>
      <c r="Q173" s="901" t="s">
        <v>2750</v>
      </c>
    </row>
    <row r="174" spans="2:17">
      <c r="B174" s="853" cm="1">
        <f t="array" ref="B174">ROW()-ROW(tblAvisos[#Headers])</f>
        <v>170</v>
      </c>
      <c r="C174" t="s">
        <v>2502</v>
      </c>
      <c r="D174" s="871"/>
      <c r="E174" s="900" t="s">
        <v>2536</v>
      </c>
      <c r="F174" t="s">
        <v>822</v>
      </c>
      <c r="G174" t="s">
        <v>922</v>
      </c>
      <c r="H174" t="s">
        <v>1158</v>
      </c>
      <c r="I174" t="s">
        <v>1173</v>
      </c>
      <c r="J174" t="s">
        <v>2514</v>
      </c>
      <c r="L174" s="871"/>
      <c r="O174" s="256" t="str">
        <f ca="1">IF(OR(tblAvisos[[#This Row],[Estado trabajo]]="Cerrado",tblAvisos[[#This Row],[Fecha reporte]]=""),"",TODAY()-tblAvisos[[#This Row],[Fecha reporte]])</f>
        <v/>
      </c>
      <c r="P174" t="str">
        <f ca="1">IF(tblAvisos[[#This Row],[Fecha reporte]]="","Sin fecha",IF(tblAvisos[[#This Row],[Fecha reporte]]&lt;DATE(2020,1,1),"Fecha inválida",IF(tblAvisos[[#This Row],[Fecha reporte]]&gt;TODAY(),"Fecha futura",IF(tblAvisos[[#This Row],[Aviso SAP]]="","Sin aviso SAP",IF(tblAvisos[[#This Row],[Criticidad]]="","Sin criticidad","OK")))))</f>
        <v>Sin fecha</v>
      </c>
      <c r="Q174" s="901" t="s">
        <v>2751</v>
      </c>
    </row>
    <row r="175" spans="2:17">
      <c r="B175" s="853" cm="1">
        <f t="array" ref="B175">ROW()-ROW(tblAvisos[#Headers])</f>
        <v>171</v>
      </c>
      <c r="C175" t="s">
        <v>2502</v>
      </c>
      <c r="D175" s="871">
        <v>46015</v>
      </c>
      <c r="E175" s="900" t="s">
        <v>2536</v>
      </c>
      <c r="F175" t="s">
        <v>893</v>
      </c>
      <c r="G175" t="s">
        <v>947</v>
      </c>
      <c r="H175" t="s">
        <v>1158</v>
      </c>
      <c r="I175" t="s">
        <v>1173</v>
      </c>
      <c r="J175" t="s">
        <v>2515</v>
      </c>
      <c r="L175" s="871"/>
      <c r="O175" s="256">
        <f ca="1">IF(OR(tblAvisos[[#This Row],[Estado trabajo]]="Cerrado",tblAvisos[[#This Row],[Fecha reporte]]=""),"",TODAY()-tblAvisos[[#This Row],[Fecha reporte]])</f>
        <v>280</v>
      </c>
      <c r="P175" t="str">
        <f ca="1">IF(tblAvisos[[#This Row],[Fecha reporte]]="","Sin fecha",IF(tblAvisos[[#This Row],[Fecha reporte]]&lt;DATE(2020,1,1),"Fecha inválida",IF(tblAvisos[[#This Row],[Fecha reporte]]&gt;TODAY(),"Fecha futura",IF(tblAvisos[[#This Row],[Aviso SAP]]="","Sin aviso SAP",IF(tblAvisos[[#This Row],[Criticidad]]="","Sin criticidad","OK")))))</f>
        <v>Sin aviso SAP</v>
      </c>
      <c r="Q175" s="901" t="s">
        <v>2752</v>
      </c>
    </row>
    <row r="176" spans="2:17">
      <c r="B176" s="853" cm="1">
        <f t="array" ref="B176">ROW()-ROW(tblAvisos[#Headers])</f>
        <v>172</v>
      </c>
      <c r="C176" t="s">
        <v>2502</v>
      </c>
      <c r="D176" s="871"/>
      <c r="E176" s="900" t="s">
        <v>2536</v>
      </c>
      <c r="F176" t="s">
        <v>259</v>
      </c>
      <c r="G176" t="s">
        <v>903</v>
      </c>
      <c r="H176" t="s">
        <v>1158</v>
      </c>
      <c r="I176" t="s">
        <v>1173</v>
      </c>
      <c r="J176" t="s">
        <v>2514</v>
      </c>
      <c r="L176" s="871"/>
      <c r="O176" s="256" t="str">
        <f ca="1">IF(OR(tblAvisos[[#This Row],[Estado trabajo]]="Cerrado",tblAvisos[[#This Row],[Fecha reporte]]=""),"",TODAY()-tblAvisos[[#This Row],[Fecha reporte]])</f>
        <v/>
      </c>
      <c r="P176" t="str">
        <f ca="1">IF(tblAvisos[[#This Row],[Fecha reporte]]="","Sin fecha",IF(tblAvisos[[#This Row],[Fecha reporte]]&lt;DATE(2020,1,1),"Fecha inválida",IF(tblAvisos[[#This Row],[Fecha reporte]]&gt;TODAY(),"Fecha futura",IF(tblAvisos[[#This Row],[Aviso SAP]]="","Sin aviso SAP",IF(tblAvisos[[#This Row],[Criticidad]]="","Sin criticidad","OK")))))</f>
        <v>Sin fecha</v>
      </c>
      <c r="Q176" s="901" t="s">
        <v>2753</v>
      </c>
    </row>
    <row r="177" spans="2:17">
      <c r="B177" s="853" cm="1">
        <f t="array" ref="B177">ROW()-ROW(tblAvisos[#Headers])</f>
        <v>173</v>
      </c>
      <c r="C177" t="s">
        <v>2502</v>
      </c>
      <c r="D177" s="871"/>
      <c r="E177" s="900" t="s">
        <v>2536</v>
      </c>
      <c r="F177" t="s">
        <v>276</v>
      </c>
      <c r="G177" t="s">
        <v>903</v>
      </c>
      <c r="H177" t="s">
        <v>1158</v>
      </c>
      <c r="I177" t="s">
        <v>1173</v>
      </c>
      <c r="J177" t="s">
        <v>2514</v>
      </c>
      <c r="L177" s="871"/>
      <c r="O177" s="256" t="str">
        <f ca="1">IF(OR(tblAvisos[[#This Row],[Estado trabajo]]="Cerrado",tblAvisos[[#This Row],[Fecha reporte]]=""),"",TODAY()-tblAvisos[[#This Row],[Fecha reporte]])</f>
        <v/>
      </c>
      <c r="P177" t="str">
        <f ca="1">IF(tblAvisos[[#This Row],[Fecha reporte]]="","Sin fecha",IF(tblAvisos[[#This Row],[Fecha reporte]]&lt;DATE(2020,1,1),"Fecha inválida",IF(tblAvisos[[#This Row],[Fecha reporte]]&gt;TODAY(),"Fecha futura",IF(tblAvisos[[#This Row],[Aviso SAP]]="","Sin aviso SAP",IF(tblAvisos[[#This Row],[Criticidad]]="","Sin criticidad","OK")))))</f>
        <v>Sin fecha</v>
      </c>
      <c r="Q177" s="901" t="s">
        <v>2754</v>
      </c>
    </row>
    <row r="178" spans="2:17">
      <c r="B178" s="853" cm="1">
        <f t="array" ref="B178">ROW()-ROW(tblAvisos[#Headers])</f>
        <v>174</v>
      </c>
      <c r="C178" t="s">
        <v>2502</v>
      </c>
      <c r="D178" s="871"/>
      <c r="E178" s="900" t="s">
        <v>2536</v>
      </c>
      <c r="F178" t="s">
        <v>948</v>
      </c>
      <c r="G178" t="s">
        <v>949</v>
      </c>
      <c r="H178" t="s">
        <v>1158</v>
      </c>
      <c r="I178" t="s">
        <v>1173</v>
      </c>
      <c r="J178" t="s">
        <v>2514</v>
      </c>
      <c r="L178" s="871"/>
      <c r="O178" s="256" t="str">
        <f ca="1">IF(OR(tblAvisos[[#This Row],[Estado trabajo]]="Cerrado",tblAvisos[[#This Row],[Fecha reporte]]=""),"",TODAY()-tblAvisos[[#This Row],[Fecha reporte]])</f>
        <v/>
      </c>
      <c r="P178" t="str">
        <f ca="1">IF(tblAvisos[[#This Row],[Fecha reporte]]="","Sin fecha",IF(tblAvisos[[#This Row],[Fecha reporte]]&lt;DATE(2020,1,1),"Fecha inválida",IF(tblAvisos[[#This Row],[Fecha reporte]]&gt;TODAY(),"Fecha futura",IF(tblAvisos[[#This Row],[Aviso SAP]]="","Sin aviso SAP",IF(tblAvisos[[#This Row],[Criticidad]]="","Sin criticidad","OK")))))</f>
        <v>Sin fecha</v>
      </c>
      <c r="Q178" s="901" t="s">
        <v>2755</v>
      </c>
    </row>
    <row r="179" spans="2:17">
      <c r="B179" s="853" cm="1">
        <f t="array" ref="B179">ROW()-ROW(tblAvisos[#Headers])</f>
        <v>175</v>
      </c>
      <c r="C179" t="s">
        <v>2502</v>
      </c>
      <c r="D179" s="871"/>
      <c r="E179" s="900" t="s">
        <v>2536</v>
      </c>
      <c r="F179" t="s">
        <v>878</v>
      </c>
      <c r="G179" t="s">
        <v>950</v>
      </c>
      <c r="H179" t="s">
        <v>1158</v>
      </c>
      <c r="I179" t="s">
        <v>1173</v>
      </c>
      <c r="J179" t="s">
        <v>2514</v>
      </c>
      <c r="L179" s="871"/>
      <c r="O179" s="256" t="str">
        <f ca="1">IF(OR(tblAvisos[[#This Row],[Estado trabajo]]="Cerrado",tblAvisos[[#This Row],[Fecha reporte]]=""),"",TODAY()-tblAvisos[[#This Row],[Fecha reporte]])</f>
        <v/>
      </c>
      <c r="P179" t="str">
        <f ca="1">IF(tblAvisos[[#This Row],[Fecha reporte]]="","Sin fecha",IF(tblAvisos[[#This Row],[Fecha reporte]]&lt;DATE(2020,1,1),"Fecha inválida",IF(tblAvisos[[#This Row],[Fecha reporte]]&gt;TODAY(),"Fecha futura",IF(tblAvisos[[#This Row],[Aviso SAP]]="","Sin aviso SAP",IF(tblAvisos[[#This Row],[Criticidad]]="","Sin criticidad","OK")))))</f>
        <v>Sin fecha</v>
      </c>
      <c r="Q179" s="901" t="s">
        <v>2756</v>
      </c>
    </row>
    <row r="180" spans="2:17">
      <c r="B180" s="853" cm="1">
        <f t="array" ref="B180">ROW()-ROW(tblAvisos[#Headers])</f>
        <v>176</v>
      </c>
      <c r="C180" t="s">
        <v>2502</v>
      </c>
      <c r="D180" s="871"/>
      <c r="E180" s="900" t="s">
        <v>2536</v>
      </c>
      <c r="F180" t="s">
        <v>289</v>
      </c>
      <c r="G180" t="s">
        <v>951</v>
      </c>
      <c r="H180" t="s">
        <v>1158</v>
      </c>
      <c r="I180" t="s">
        <v>1173</v>
      </c>
      <c r="J180" t="s">
        <v>2514</v>
      </c>
      <c r="L180" s="871"/>
      <c r="O180" s="256" t="str">
        <f ca="1">IF(OR(tblAvisos[[#This Row],[Estado trabajo]]="Cerrado",tblAvisos[[#This Row],[Fecha reporte]]=""),"",TODAY()-tblAvisos[[#This Row],[Fecha reporte]])</f>
        <v/>
      </c>
      <c r="P180" t="str">
        <f ca="1">IF(tblAvisos[[#This Row],[Fecha reporte]]="","Sin fecha",IF(tblAvisos[[#This Row],[Fecha reporte]]&lt;DATE(2020,1,1),"Fecha inválida",IF(tblAvisos[[#This Row],[Fecha reporte]]&gt;TODAY(),"Fecha futura",IF(tblAvisos[[#This Row],[Aviso SAP]]="","Sin aviso SAP",IF(tblAvisos[[#This Row],[Criticidad]]="","Sin criticidad","OK")))))</f>
        <v>Sin fecha</v>
      </c>
      <c r="Q180" s="901" t="s">
        <v>2757</v>
      </c>
    </row>
    <row r="181" spans="2:17">
      <c r="B181" s="853" cm="1">
        <f t="array" ref="B181">ROW()-ROW(tblAvisos[#Headers])</f>
        <v>177</v>
      </c>
      <c r="C181" t="s">
        <v>2502</v>
      </c>
      <c r="D181" s="871">
        <v>46017</v>
      </c>
      <c r="E181" s="900" t="s">
        <v>2536</v>
      </c>
      <c r="F181" t="s">
        <v>822</v>
      </c>
      <c r="G181" t="s">
        <v>952</v>
      </c>
      <c r="H181" t="s">
        <v>1158</v>
      </c>
      <c r="I181" t="s">
        <v>1173</v>
      </c>
      <c r="J181" t="s">
        <v>2515</v>
      </c>
      <c r="L181" s="871"/>
      <c r="O181" s="256">
        <f ca="1">IF(OR(tblAvisos[[#This Row],[Estado trabajo]]="Cerrado",tblAvisos[[#This Row],[Fecha reporte]]=""),"",TODAY()-tblAvisos[[#This Row],[Fecha reporte]])</f>
        <v>278</v>
      </c>
      <c r="P181" t="str">
        <f ca="1">IF(tblAvisos[[#This Row],[Fecha reporte]]="","Sin fecha",IF(tblAvisos[[#This Row],[Fecha reporte]]&lt;DATE(2020,1,1),"Fecha inválida",IF(tblAvisos[[#This Row],[Fecha reporte]]&gt;TODAY(),"Fecha futura",IF(tblAvisos[[#This Row],[Aviso SAP]]="","Sin aviso SAP",IF(tblAvisos[[#This Row],[Criticidad]]="","Sin criticidad","OK")))))</f>
        <v>Sin aviso SAP</v>
      </c>
      <c r="Q181" s="901" t="s">
        <v>2758</v>
      </c>
    </row>
    <row r="182" spans="2:17">
      <c r="B182" s="853" cm="1">
        <f t="array" ref="B182">ROW()-ROW(tblAvisos[#Headers])</f>
        <v>178</v>
      </c>
      <c r="C182" t="s">
        <v>2502</v>
      </c>
      <c r="D182" s="871"/>
      <c r="E182" s="900" t="s">
        <v>2536</v>
      </c>
      <c r="F182" t="s">
        <v>818</v>
      </c>
      <c r="G182" t="s">
        <v>950</v>
      </c>
      <c r="H182" t="s">
        <v>1158</v>
      </c>
      <c r="I182" t="s">
        <v>1173</v>
      </c>
      <c r="J182" t="s">
        <v>2514</v>
      </c>
      <c r="L182" s="871"/>
      <c r="O182" s="256" t="str">
        <f ca="1">IF(OR(tblAvisos[[#This Row],[Estado trabajo]]="Cerrado",tblAvisos[[#This Row],[Fecha reporte]]=""),"",TODAY()-tblAvisos[[#This Row],[Fecha reporte]])</f>
        <v/>
      </c>
      <c r="P182" t="str">
        <f ca="1">IF(tblAvisos[[#This Row],[Fecha reporte]]="","Sin fecha",IF(tblAvisos[[#This Row],[Fecha reporte]]&lt;DATE(2020,1,1),"Fecha inválida",IF(tblAvisos[[#This Row],[Fecha reporte]]&gt;TODAY(),"Fecha futura",IF(tblAvisos[[#This Row],[Aviso SAP]]="","Sin aviso SAP",IF(tblAvisos[[#This Row],[Criticidad]]="","Sin criticidad","OK")))))</f>
        <v>Sin fecha</v>
      </c>
      <c r="Q182" s="901" t="s">
        <v>2759</v>
      </c>
    </row>
    <row r="183" spans="2:17">
      <c r="B183" s="853" cm="1">
        <f t="array" ref="B183">ROW()-ROW(tblAvisos[#Headers])</f>
        <v>179</v>
      </c>
      <c r="C183" t="s">
        <v>2502</v>
      </c>
      <c r="D183" s="871"/>
      <c r="E183" s="900" t="s">
        <v>2536</v>
      </c>
      <c r="F183" t="s">
        <v>799</v>
      </c>
      <c r="G183" t="s">
        <v>953</v>
      </c>
      <c r="H183" t="s">
        <v>1170</v>
      </c>
      <c r="I183" t="s">
        <v>1173</v>
      </c>
      <c r="J183" t="s">
        <v>2515</v>
      </c>
      <c r="L183" s="871"/>
      <c r="O183" s="256" t="str">
        <f ca="1">IF(OR(tblAvisos[[#This Row],[Estado trabajo]]="Cerrado",tblAvisos[[#This Row],[Fecha reporte]]=""),"",TODAY()-tblAvisos[[#This Row],[Fecha reporte]])</f>
        <v/>
      </c>
      <c r="P183" t="str">
        <f ca="1">IF(tblAvisos[[#This Row],[Fecha reporte]]="","Sin fecha",IF(tblAvisos[[#This Row],[Fecha reporte]]&lt;DATE(2020,1,1),"Fecha inválida",IF(tblAvisos[[#This Row],[Fecha reporte]]&gt;TODAY(),"Fecha futura",IF(tblAvisos[[#This Row],[Aviso SAP]]="","Sin aviso SAP",IF(tblAvisos[[#This Row],[Criticidad]]="","Sin criticidad","OK")))))</f>
        <v>Sin fecha</v>
      </c>
      <c r="Q183" s="901" t="s">
        <v>2760</v>
      </c>
    </row>
    <row r="184" spans="2:17">
      <c r="B184" s="853" cm="1">
        <f t="array" ref="B184">ROW()-ROW(tblAvisos[#Headers])</f>
        <v>180</v>
      </c>
      <c r="C184" t="s">
        <v>2502</v>
      </c>
      <c r="D184" s="871"/>
      <c r="E184" s="900" t="s">
        <v>2536</v>
      </c>
      <c r="F184" t="s">
        <v>269</v>
      </c>
      <c r="G184" t="s">
        <v>954</v>
      </c>
      <c r="H184" t="s">
        <v>2507</v>
      </c>
      <c r="I184" t="s">
        <v>1173</v>
      </c>
      <c r="J184" t="s">
        <v>2515</v>
      </c>
      <c r="L184" s="871"/>
      <c r="O184" s="256" t="str">
        <f ca="1">IF(OR(tblAvisos[[#This Row],[Estado trabajo]]="Cerrado",tblAvisos[[#This Row],[Fecha reporte]]=""),"",TODAY()-tblAvisos[[#This Row],[Fecha reporte]])</f>
        <v/>
      </c>
      <c r="P184" t="str">
        <f ca="1">IF(tblAvisos[[#This Row],[Fecha reporte]]="","Sin fecha",IF(tblAvisos[[#This Row],[Fecha reporte]]&lt;DATE(2020,1,1),"Fecha inválida",IF(tblAvisos[[#This Row],[Fecha reporte]]&gt;TODAY(),"Fecha futura",IF(tblAvisos[[#This Row],[Aviso SAP]]="","Sin aviso SAP",IF(tblAvisos[[#This Row],[Criticidad]]="","Sin criticidad","OK")))))</f>
        <v>Sin fecha</v>
      </c>
      <c r="Q184" s="901" t="s">
        <v>2761</v>
      </c>
    </row>
    <row r="185" spans="2:17">
      <c r="B185" s="853" cm="1">
        <f t="array" ref="B185">ROW()-ROW(tblAvisos[#Headers])</f>
        <v>181</v>
      </c>
      <c r="C185" t="s">
        <v>2502</v>
      </c>
      <c r="D185" s="871"/>
      <c r="E185" s="900" t="s">
        <v>2536</v>
      </c>
      <c r="F185" t="s">
        <v>878</v>
      </c>
      <c r="G185" t="s">
        <v>827</v>
      </c>
      <c r="H185" t="s">
        <v>1158</v>
      </c>
      <c r="I185" t="s">
        <v>1173</v>
      </c>
      <c r="J185" t="s">
        <v>2515</v>
      </c>
      <c r="L185" s="871"/>
      <c r="O185" s="256" t="str">
        <f ca="1">IF(OR(tblAvisos[[#This Row],[Estado trabajo]]="Cerrado",tblAvisos[[#This Row],[Fecha reporte]]=""),"",TODAY()-tblAvisos[[#This Row],[Fecha reporte]])</f>
        <v/>
      </c>
      <c r="P185" t="str">
        <f ca="1">IF(tblAvisos[[#This Row],[Fecha reporte]]="","Sin fecha",IF(tblAvisos[[#This Row],[Fecha reporte]]&lt;DATE(2020,1,1),"Fecha inválida",IF(tblAvisos[[#This Row],[Fecha reporte]]&gt;TODAY(),"Fecha futura",IF(tblAvisos[[#This Row],[Aviso SAP]]="","Sin aviso SAP",IF(tblAvisos[[#This Row],[Criticidad]]="","Sin criticidad","OK")))))</f>
        <v>Sin fecha</v>
      </c>
      <c r="Q185" s="901" t="s">
        <v>2762</v>
      </c>
    </row>
    <row r="186" spans="2:17">
      <c r="B186" s="853" cm="1">
        <f t="array" ref="B186">ROW()-ROW(tblAvisos[#Headers])</f>
        <v>182</v>
      </c>
      <c r="C186" t="s">
        <v>2502</v>
      </c>
      <c r="D186" s="871"/>
      <c r="E186" s="900" t="s">
        <v>2536</v>
      </c>
      <c r="F186" t="s">
        <v>956</v>
      </c>
      <c r="G186" t="s">
        <v>957</v>
      </c>
      <c r="H186" t="s">
        <v>1158</v>
      </c>
      <c r="I186" t="s">
        <v>1173</v>
      </c>
      <c r="J186" t="s">
        <v>2514</v>
      </c>
      <c r="L186" s="871"/>
      <c r="O186" s="256" t="str">
        <f ca="1">IF(OR(tblAvisos[[#This Row],[Estado trabajo]]="Cerrado",tblAvisos[[#This Row],[Fecha reporte]]=""),"",TODAY()-tblAvisos[[#This Row],[Fecha reporte]])</f>
        <v/>
      </c>
      <c r="P186" t="str">
        <f ca="1">IF(tblAvisos[[#This Row],[Fecha reporte]]="","Sin fecha",IF(tblAvisos[[#This Row],[Fecha reporte]]&lt;DATE(2020,1,1),"Fecha inválida",IF(tblAvisos[[#This Row],[Fecha reporte]]&gt;TODAY(),"Fecha futura",IF(tblAvisos[[#This Row],[Aviso SAP]]="","Sin aviso SAP",IF(tblAvisos[[#This Row],[Criticidad]]="","Sin criticidad","OK")))))</f>
        <v>Sin fecha</v>
      </c>
      <c r="Q186" s="901" t="s">
        <v>2763</v>
      </c>
    </row>
    <row r="187" spans="2:17">
      <c r="B187" s="853" cm="1">
        <f t="array" ref="B187">ROW()-ROW(tblAvisos[#Headers])</f>
        <v>183</v>
      </c>
      <c r="C187" t="s">
        <v>2502</v>
      </c>
      <c r="D187" s="871">
        <v>46018</v>
      </c>
      <c r="E187" s="900" t="s">
        <v>2536</v>
      </c>
      <c r="F187" t="s">
        <v>958</v>
      </c>
      <c r="G187" t="s">
        <v>959</v>
      </c>
      <c r="H187" t="s">
        <v>1158</v>
      </c>
      <c r="I187" t="s">
        <v>1173</v>
      </c>
      <c r="J187" t="s">
        <v>2514</v>
      </c>
      <c r="L187" s="871"/>
      <c r="O187" s="256">
        <f ca="1">IF(OR(tblAvisos[[#This Row],[Estado trabajo]]="Cerrado",tblAvisos[[#This Row],[Fecha reporte]]=""),"",TODAY()-tblAvisos[[#This Row],[Fecha reporte]])</f>
        <v>277</v>
      </c>
      <c r="P187" t="str">
        <f ca="1">IF(tblAvisos[[#This Row],[Fecha reporte]]="","Sin fecha",IF(tblAvisos[[#This Row],[Fecha reporte]]&lt;DATE(2020,1,1),"Fecha inválida",IF(tblAvisos[[#This Row],[Fecha reporte]]&gt;TODAY(),"Fecha futura",IF(tblAvisos[[#This Row],[Aviso SAP]]="","Sin aviso SAP",IF(tblAvisos[[#This Row],[Criticidad]]="","Sin criticidad","OK")))))</f>
        <v>Sin aviso SAP</v>
      </c>
      <c r="Q187" s="901" t="s">
        <v>2764</v>
      </c>
    </row>
    <row r="188" spans="2:17">
      <c r="B188" s="853" cm="1">
        <f t="array" ref="B188">ROW()-ROW(tblAvisos[#Headers])</f>
        <v>184</v>
      </c>
      <c r="C188" t="s">
        <v>2502</v>
      </c>
      <c r="D188" s="871"/>
      <c r="E188" s="900" t="s">
        <v>2536</v>
      </c>
      <c r="F188" t="s">
        <v>822</v>
      </c>
      <c r="G188" t="s">
        <v>960</v>
      </c>
      <c r="H188" t="s">
        <v>1158</v>
      </c>
      <c r="I188" t="s">
        <v>1173</v>
      </c>
      <c r="J188" t="s">
        <v>2514</v>
      </c>
      <c r="L188" s="871"/>
      <c r="O188" s="256" t="str">
        <f ca="1">IF(OR(tblAvisos[[#This Row],[Estado trabajo]]="Cerrado",tblAvisos[[#This Row],[Fecha reporte]]=""),"",TODAY()-tblAvisos[[#This Row],[Fecha reporte]])</f>
        <v/>
      </c>
      <c r="P188" t="str">
        <f ca="1">IF(tblAvisos[[#This Row],[Fecha reporte]]="","Sin fecha",IF(tblAvisos[[#This Row],[Fecha reporte]]&lt;DATE(2020,1,1),"Fecha inválida",IF(tblAvisos[[#This Row],[Fecha reporte]]&gt;TODAY(),"Fecha futura",IF(tblAvisos[[#This Row],[Aviso SAP]]="","Sin aviso SAP",IF(tblAvisos[[#This Row],[Criticidad]]="","Sin criticidad","OK")))))</f>
        <v>Sin fecha</v>
      </c>
      <c r="Q188" s="901" t="s">
        <v>2765</v>
      </c>
    </row>
    <row r="189" spans="2:17">
      <c r="B189" s="853" cm="1">
        <f t="array" ref="B189">ROW()-ROW(tblAvisos[#Headers])</f>
        <v>185</v>
      </c>
      <c r="C189" t="s">
        <v>2502</v>
      </c>
      <c r="D189" s="871"/>
      <c r="E189" s="900" t="s">
        <v>2536</v>
      </c>
      <c r="F189" t="s">
        <v>880</v>
      </c>
      <c r="G189" t="s">
        <v>961</v>
      </c>
      <c r="H189" t="s">
        <v>1158</v>
      </c>
      <c r="I189" t="s">
        <v>1173</v>
      </c>
      <c r="J189" t="s">
        <v>2514</v>
      </c>
      <c r="L189" s="871"/>
      <c r="O189" s="256" t="str">
        <f ca="1">IF(OR(tblAvisos[[#This Row],[Estado trabajo]]="Cerrado",tblAvisos[[#This Row],[Fecha reporte]]=""),"",TODAY()-tblAvisos[[#This Row],[Fecha reporte]])</f>
        <v/>
      </c>
      <c r="P189" t="str">
        <f ca="1">IF(tblAvisos[[#This Row],[Fecha reporte]]="","Sin fecha",IF(tblAvisos[[#This Row],[Fecha reporte]]&lt;DATE(2020,1,1),"Fecha inválida",IF(tblAvisos[[#This Row],[Fecha reporte]]&gt;TODAY(),"Fecha futura",IF(tblAvisos[[#This Row],[Aviso SAP]]="","Sin aviso SAP",IF(tblAvisos[[#This Row],[Criticidad]]="","Sin criticidad","OK")))))</f>
        <v>Sin fecha</v>
      </c>
      <c r="Q189" s="901" t="s">
        <v>2766</v>
      </c>
    </row>
    <row r="190" spans="2:17">
      <c r="B190" s="853" cm="1">
        <f t="array" ref="B190">ROW()-ROW(tblAvisos[#Headers])</f>
        <v>186</v>
      </c>
      <c r="C190" t="s">
        <v>2502</v>
      </c>
      <c r="D190" s="871"/>
      <c r="E190" s="900" t="s">
        <v>2536</v>
      </c>
      <c r="F190" t="s">
        <v>962</v>
      </c>
      <c r="G190" t="s">
        <v>963</v>
      </c>
      <c r="H190" t="s">
        <v>1158</v>
      </c>
      <c r="I190" t="s">
        <v>1173</v>
      </c>
      <c r="J190" t="s">
        <v>2514</v>
      </c>
      <c r="L190" s="871"/>
      <c r="O190" s="256" t="str">
        <f ca="1">IF(OR(tblAvisos[[#This Row],[Estado trabajo]]="Cerrado",tblAvisos[[#This Row],[Fecha reporte]]=""),"",TODAY()-tblAvisos[[#This Row],[Fecha reporte]])</f>
        <v/>
      </c>
      <c r="P190" t="str">
        <f ca="1">IF(tblAvisos[[#This Row],[Fecha reporte]]="","Sin fecha",IF(tblAvisos[[#This Row],[Fecha reporte]]&lt;DATE(2020,1,1),"Fecha inválida",IF(tblAvisos[[#This Row],[Fecha reporte]]&gt;TODAY(),"Fecha futura",IF(tblAvisos[[#This Row],[Aviso SAP]]="","Sin aviso SAP",IF(tblAvisos[[#This Row],[Criticidad]]="","Sin criticidad","OK")))))</f>
        <v>Sin fecha</v>
      </c>
      <c r="Q190" s="901" t="s">
        <v>2767</v>
      </c>
    </row>
    <row r="191" spans="2:17">
      <c r="B191" s="853" cm="1">
        <f t="array" ref="B191">ROW()-ROW(tblAvisos[#Headers])</f>
        <v>187</v>
      </c>
      <c r="C191" t="s">
        <v>2502</v>
      </c>
      <c r="D191" s="871">
        <v>46020</v>
      </c>
      <c r="E191" s="900" t="s">
        <v>2536</v>
      </c>
      <c r="F191" t="s">
        <v>964</v>
      </c>
      <c r="G191" t="s">
        <v>922</v>
      </c>
      <c r="H191" t="s">
        <v>1158</v>
      </c>
      <c r="I191" t="s">
        <v>1173</v>
      </c>
      <c r="J191" t="s">
        <v>2514</v>
      </c>
      <c r="L191" s="871"/>
      <c r="O191" s="256">
        <f ca="1">IF(OR(tblAvisos[[#This Row],[Estado trabajo]]="Cerrado",tblAvisos[[#This Row],[Fecha reporte]]=""),"",TODAY()-tblAvisos[[#This Row],[Fecha reporte]])</f>
        <v>275</v>
      </c>
      <c r="P191" t="str">
        <f ca="1">IF(tblAvisos[[#This Row],[Fecha reporte]]="","Sin fecha",IF(tblAvisos[[#This Row],[Fecha reporte]]&lt;DATE(2020,1,1),"Fecha inválida",IF(tblAvisos[[#This Row],[Fecha reporte]]&gt;TODAY(),"Fecha futura",IF(tblAvisos[[#This Row],[Aviso SAP]]="","Sin aviso SAP",IF(tblAvisos[[#This Row],[Criticidad]]="","Sin criticidad","OK")))))</f>
        <v>Sin aviso SAP</v>
      </c>
      <c r="Q191" s="901" t="s">
        <v>2768</v>
      </c>
    </row>
    <row r="192" spans="2:17">
      <c r="B192" s="853" cm="1">
        <f t="array" ref="B192">ROW()-ROW(tblAvisos[#Headers])</f>
        <v>188</v>
      </c>
      <c r="C192" t="s">
        <v>2502</v>
      </c>
      <c r="D192" s="871"/>
      <c r="E192" s="900" t="s">
        <v>2536</v>
      </c>
      <c r="F192" t="s">
        <v>965</v>
      </c>
      <c r="G192" t="s">
        <v>922</v>
      </c>
      <c r="H192" t="s">
        <v>1158</v>
      </c>
      <c r="I192" t="s">
        <v>1173</v>
      </c>
      <c r="J192" t="s">
        <v>2514</v>
      </c>
      <c r="L192" s="871"/>
      <c r="O192" s="256" t="str">
        <f ca="1">IF(OR(tblAvisos[[#This Row],[Estado trabajo]]="Cerrado",tblAvisos[[#This Row],[Fecha reporte]]=""),"",TODAY()-tblAvisos[[#This Row],[Fecha reporte]])</f>
        <v/>
      </c>
      <c r="P192" t="str">
        <f ca="1">IF(tblAvisos[[#This Row],[Fecha reporte]]="","Sin fecha",IF(tblAvisos[[#This Row],[Fecha reporte]]&lt;DATE(2020,1,1),"Fecha inválida",IF(tblAvisos[[#This Row],[Fecha reporte]]&gt;TODAY(),"Fecha futura",IF(tblAvisos[[#This Row],[Aviso SAP]]="","Sin aviso SAP",IF(tblAvisos[[#This Row],[Criticidad]]="","Sin criticidad","OK")))))</f>
        <v>Sin fecha</v>
      </c>
      <c r="Q192" s="901" t="s">
        <v>2769</v>
      </c>
    </row>
    <row r="193" spans="2:17">
      <c r="B193" s="853" cm="1">
        <f t="array" ref="B193">ROW()-ROW(tblAvisos[#Headers])</f>
        <v>189</v>
      </c>
      <c r="C193" t="s">
        <v>2502</v>
      </c>
      <c r="D193" s="871"/>
      <c r="E193" s="900" t="s">
        <v>2536</v>
      </c>
      <c r="F193" t="s">
        <v>818</v>
      </c>
      <c r="G193" t="s">
        <v>967</v>
      </c>
      <c r="H193" t="s">
        <v>1158</v>
      </c>
      <c r="I193" t="s">
        <v>1173</v>
      </c>
      <c r="J193" t="s">
        <v>2514</v>
      </c>
      <c r="L193" s="871"/>
      <c r="O193" s="256" t="str">
        <f ca="1">IF(OR(tblAvisos[[#This Row],[Estado trabajo]]="Cerrado",tblAvisos[[#This Row],[Fecha reporte]]=""),"",TODAY()-tblAvisos[[#This Row],[Fecha reporte]])</f>
        <v/>
      </c>
      <c r="P193" t="str">
        <f ca="1">IF(tblAvisos[[#This Row],[Fecha reporte]]="","Sin fecha",IF(tblAvisos[[#This Row],[Fecha reporte]]&lt;DATE(2020,1,1),"Fecha inválida",IF(tblAvisos[[#This Row],[Fecha reporte]]&gt;TODAY(),"Fecha futura",IF(tblAvisos[[#This Row],[Aviso SAP]]="","Sin aviso SAP",IF(tblAvisos[[#This Row],[Criticidad]]="","Sin criticidad","OK")))))</f>
        <v>Sin fecha</v>
      </c>
      <c r="Q193" s="901" t="s">
        <v>2770</v>
      </c>
    </row>
    <row r="194" spans="2:17">
      <c r="B194" s="853" cm="1">
        <f t="array" ref="B194">ROW()-ROW(tblAvisos[#Headers])</f>
        <v>190</v>
      </c>
      <c r="C194" t="s">
        <v>2502</v>
      </c>
      <c r="D194" s="871"/>
      <c r="E194" s="900" t="s">
        <v>2536</v>
      </c>
      <c r="F194" t="s">
        <v>381</v>
      </c>
      <c r="G194" t="s">
        <v>968</v>
      </c>
      <c r="H194" t="s">
        <v>1158</v>
      </c>
      <c r="I194" t="s">
        <v>1173</v>
      </c>
      <c r="J194" t="s">
        <v>2514</v>
      </c>
      <c r="L194" s="871"/>
      <c r="O194" s="256" t="str">
        <f ca="1">IF(OR(tblAvisos[[#This Row],[Estado trabajo]]="Cerrado",tblAvisos[[#This Row],[Fecha reporte]]=""),"",TODAY()-tblAvisos[[#This Row],[Fecha reporte]])</f>
        <v/>
      </c>
      <c r="P194" t="str">
        <f ca="1">IF(tblAvisos[[#This Row],[Fecha reporte]]="","Sin fecha",IF(tblAvisos[[#This Row],[Fecha reporte]]&lt;DATE(2020,1,1),"Fecha inválida",IF(tblAvisos[[#This Row],[Fecha reporte]]&gt;TODAY(),"Fecha futura",IF(tblAvisos[[#This Row],[Aviso SAP]]="","Sin aviso SAP",IF(tblAvisos[[#This Row],[Criticidad]]="","Sin criticidad","OK")))))</f>
        <v>Sin fecha</v>
      </c>
      <c r="Q194" s="901" t="s">
        <v>2771</v>
      </c>
    </row>
    <row r="195" spans="2:17">
      <c r="B195" s="853" cm="1">
        <f t="array" ref="B195">ROW()-ROW(tblAvisos[#Headers])</f>
        <v>191</v>
      </c>
      <c r="C195" t="s">
        <v>2502</v>
      </c>
      <c r="D195" s="871"/>
      <c r="E195" s="900" t="s">
        <v>2536</v>
      </c>
      <c r="F195" t="s">
        <v>878</v>
      </c>
      <c r="G195" t="s">
        <v>969</v>
      </c>
      <c r="H195" t="s">
        <v>1158</v>
      </c>
      <c r="I195" t="s">
        <v>1173</v>
      </c>
      <c r="J195" t="s">
        <v>2514</v>
      </c>
      <c r="L195" s="871"/>
      <c r="O195" s="256" t="str">
        <f ca="1">IF(OR(tblAvisos[[#This Row],[Estado trabajo]]="Cerrado",tblAvisos[[#This Row],[Fecha reporte]]=""),"",TODAY()-tblAvisos[[#This Row],[Fecha reporte]])</f>
        <v/>
      </c>
      <c r="P195" t="str">
        <f ca="1">IF(tblAvisos[[#This Row],[Fecha reporte]]="","Sin fecha",IF(tblAvisos[[#This Row],[Fecha reporte]]&lt;DATE(2020,1,1),"Fecha inválida",IF(tblAvisos[[#This Row],[Fecha reporte]]&gt;TODAY(),"Fecha futura",IF(tblAvisos[[#This Row],[Aviso SAP]]="","Sin aviso SAP",IF(tblAvisos[[#This Row],[Criticidad]]="","Sin criticidad","OK")))))</f>
        <v>Sin fecha</v>
      </c>
      <c r="Q195" s="901" t="s">
        <v>2772</v>
      </c>
    </row>
    <row r="196" spans="2:17">
      <c r="B196" s="853" cm="1">
        <f t="array" ref="B196">ROW()-ROW(tblAvisos[#Headers])</f>
        <v>192</v>
      </c>
      <c r="C196" t="s">
        <v>2502</v>
      </c>
      <c r="D196" s="871">
        <v>46021</v>
      </c>
      <c r="E196" s="900" t="s">
        <v>2536</v>
      </c>
      <c r="F196" t="s">
        <v>964</v>
      </c>
      <c r="G196" t="s">
        <v>970</v>
      </c>
      <c r="H196" t="s">
        <v>1158</v>
      </c>
      <c r="I196" t="s">
        <v>1173</v>
      </c>
      <c r="J196" t="s">
        <v>2514</v>
      </c>
      <c r="L196" s="871"/>
      <c r="O196" s="256">
        <f ca="1">IF(OR(tblAvisos[[#This Row],[Estado trabajo]]="Cerrado",tblAvisos[[#This Row],[Fecha reporte]]=""),"",TODAY()-tblAvisos[[#This Row],[Fecha reporte]])</f>
        <v>274</v>
      </c>
      <c r="P196" t="str">
        <f ca="1">IF(tblAvisos[[#This Row],[Fecha reporte]]="","Sin fecha",IF(tblAvisos[[#This Row],[Fecha reporte]]&lt;DATE(2020,1,1),"Fecha inválida",IF(tblAvisos[[#This Row],[Fecha reporte]]&gt;TODAY(),"Fecha futura",IF(tblAvisos[[#This Row],[Aviso SAP]]="","Sin aviso SAP",IF(tblAvisos[[#This Row],[Criticidad]]="","Sin criticidad","OK")))))</f>
        <v>Sin aviso SAP</v>
      </c>
      <c r="Q196" s="901" t="s">
        <v>2773</v>
      </c>
    </row>
    <row r="197" spans="2:17">
      <c r="B197" s="853" cm="1">
        <f t="array" ref="B197">ROW()-ROW(tblAvisos[#Headers])</f>
        <v>193</v>
      </c>
      <c r="C197" t="s">
        <v>2502</v>
      </c>
      <c r="D197" s="871"/>
      <c r="E197" s="900" t="s">
        <v>2536</v>
      </c>
      <c r="F197" t="s">
        <v>971</v>
      </c>
      <c r="G197" t="s">
        <v>972</v>
      </c>
      <c r="H197" t="s">
        <v>1158</v>
      </c>
      <c r="I197" t="s">
        <v>1173</v>
      </c>
      <c r="J197" t="s">
        <v>2515</v>
      </c>
      <c r="L197" s="871"/>
      <c r="O197" s="256" t="str">
        <f ca="1">IF(OR(tblAvisos[[#This Row],[Estado trabajo]]="Cerrado",tblAvisos[[#This Row],[Fecha reporte]]=""),"",TODAY()-tblAvisos[[#This Row],[Fecha reporte]])</f>
        <v/>
      </c>
      <c r="P197" t="str">
        <f ca="1">IF(tblAvisos[[#This Row],[Fecha reporte]]="","Sin fecha",IF(tblAvisos[[#This Row],[Fecha reporte]]&lt;DATE(2020,1,1),"Fecha inválida",IF(tblAvisos[[#This Row],[Fecha reporte]]&gt;TODAY(),"Fecha futura",IF(tblAvisos[[#This Row],[Aviso SAP]]="","Sin aviso SAP",IF(tblAvisos[[#This Row],[Criticidad]]="","Sin criticidad","OK")))))</f>
        <v>Sin fecha</v>
      </c>
      <c r="Q197" s="901" t="s">
        <v>2774</v>
      </c>
    </row>
    <row r="198" spans="2:17">
      <c r="B198" s="853" cm="1">
        <f t="array" ref="B198">ROW()-ROW(tblAvisos[#Headers])</f>
        <v>194</v>
      </c>
      <c r="C198" t="s">
        <v>2502</v>
      </c>
      <c r="D198" s="871"/>
      <c r="E198" s="900" t="s">
        <v>2536</v>
      </c>
      <c r="F198" t="s">
        <v>799</v>
      </c>
      <c r="G198" t="s">
        <v>973</v>
      </c>
      <c r="H198" t="s">
        <v>1170</v>
      </c>
      <c r="I198" t="s">
        <v>1173</v>
      </c>
      <c r="J198" t="s">
        <v>2514</v>
      </c>
      <c r="L198" s="871"/>
      <c r="O198" s="256" t="str">
        <f ca="1">IF(OR(tblAvisos[[#This Row],[Estado trabajo]]="Cerrado",tblAvisos[[#This Row],[Fecha reporte]]=""),"",TODAY()-tblAvisos[[#This Row],[Fecha reporte]])</f>
        <v/>
      </c>
      <c r="P198" t="str">
        <f ca="1">IF(tblAvisos[[#This Row],[Fecha reporte]]="","Sin fecha",IF(tblAvisos[[#This Row],[Fecha reporte]]&lt;DATE(2020,1,1),"Fecha inválida",IF(tblAvisos[[#This Row],[Fecha reporte]]&gt;TODAY(),"Fecha futura",IF(tblAvisos[[#This Row],[Aviso SAP]]="","Sin aviso SAP",IF(tblAvisos[[#This Row],[Criticidad]]="","Sin criticidad","OK")))))</f>
        <v>Sin fecha</v>
      </c>
      <c r="Q198" s="901" t="s">
        <v>2775</v>
      </c>
    </row>
    <row r="199" spans="2:17">
      <c r="B199" s="853" cm="1">
        <f t="array" ref="B199">ROW()-ROW(tblAvisos[#Headers])</f>
        <v>195</v>
      </c>
      <c r="C199" t="s">
        <v>2502</v>
      </c>
      <c r="D199" s="871"/>
      <c r="E199" s="900" t="s">
        <v>2536</v>
      </c>
      <c r="F199" t="s">
        <v>940</v>
      </c>
      <c r="G199" t="s">
        <v>974</v>
      </c>
      <c r="H199" t="s">
        <v>1170</v>
      </c>
      <c r="I199" t="s">
        <v>1173</v>
      </c>
      <c r="J199" t="s">
        <v>2514</v>
      </c>
      <c r="L199" s="871"/>
      <c r="O199" s="256" t="str">
        <f ca="1">IF(OR(tblAvisos[[#This Row],[Estado trabajo]]="Cerrado",tblAvisos[[#This Row],[Fecha reporte]]=""),"",TODAY()-tblAvisos[[#This Row],[Fecha reporte]])</f>
        <v/>
      </c>
      <c r="P199" t="str">
        <f ca="1">IF(tblAvisos[[#This Row],[Fecha reporte]]="","Sin fecha",IF(tblAvisos[[#This Row],[Fecha reporte]]&lt;DATE(2020,1,1),"Fecha inválida",IF(tblAvisos[[#This Row],[Fecha reporte]]&gt;TODAY(),"Fecha futura",IF(tblAvisos[[#This Row],[Aviso SAP]]="","Sin aviso SAP",IF(tblAvisos[[#This Row],[Criticidad]]="","Sin criticidad","OK")))))</f>
        <v>Sin fecha</v>
      </c>
      <c r="Q199" s="901" t="s">
        <v>2776</v>
      </c>
    </row>
    <row r="200" spans="2:17">
      <c r="B200" s="853" cm="1">
        <f t="array" ref="B200">ROW()-ROW(tblAvisos[#Headers])</f>
        <v>196</v>
      </c>
      <c r="C200" t="s">
        <v>2502</v>
      </c>
      <c r="D200" s="871"/>
      <c r="E200" s="900" t="s">
        <v>2536</v>
      </c>
      <c r="F200" t="s">
        <v>597</v>
      </c>
      <c r="G200" t="s">
        <v>975</v>
      </c>
      <c r="H200" t="s">
        <v>1158</v>
      </c>
      <c r="I200" t="s">
        <v>1173</v>
      </c>
      <c r="J200" t="s">
        <v>2515</v>
      </c>
      <c r="L200" s="871"/>
      <c r="O200" s="256" t="str">
        <f ca="1">IF(OR(tblAvisos[[#This Row],[Estado trabajo]]="Cerrado",tblAvisos[[#This Row],[Fecha reporte]]=""),"",TODAY()-tblAvisos[[#This Row],[Fecha reporte]])</f>
        <v/>
      </c>
      <c r="P200" t="str">
        <f ca="1">IF(tblAvisos[[#This Row],[Fecha reporte]]="","Sin fecha",IF(tblAvisos[[#This Row],[Fecha reporte]]&lt;DATE(2020,1,1),"Fecha inválida",IF(tblAvisos[[#This Row],[Fecha reporte]]&gt;TODAY(),"Fecha futura",IF(tblAvisos[[#This Row],[Aviso SAP]]="","Sin aviso SAP",IF(tblAvisos[[#This Row],[Criticidad]]="","Sin criticidad","OK")))))</f>
        <v>Sin fecha</v>
      </c>
      <c r="Q200" s="901" t="s">
        <v>2777</v>
      </c>
    </row>
    <row r="201" spans="2:17">
      <c r="B201" s="853" cm="1">
        <f t="array" ref="B201">ROW()-ROW(tblAvisos[#Headers])</f>
        <v>197</v>
      </c>
      <c r="C201" t="s">
        <v>2502</v>
      </c>
      <c r="D201" s="871"/>
      <c r="E201" s="900" t="s">
        <v>2536</v>
      </c>
      <c r="F201" t="s">
        <v>406</v>
      </c>
      <c r="G201" t="s">
        <v>976</v>
      </c>
      <c r="H201" t="s">
        <v>1158</v>
      </c>
      <c r="I201" t="s">
        <v>1173</v>
      </c>
      <c r="J201" t="s">
        <v>2515</v>
      </c>
      <c r="L201" s="871"/>
      <c r="O201" s="256" t="str">
        <f ca="1">IF(OR(tblAvisos[[#This Row],[Estado trabajo]]="Cerrado",tblAvisos[[#This Row],[Fecha reporte]]=""),"",TODAY()-tblAvisos[[#This Row],[Fecha reporte]])</f>
        <v/>
      </c>
      <c r="P201" t="str">
        <f ca="1">IF(tblAvisos[[#This Row],[Fecha reporte]]="","Sin fecha",IF(tblAvisos[[#This Row],[Fecha reporte]]&lt;DATE(2020,1,1),"Fecha inválida",IF(tblAvisos[[#This Row],[Fecha reporte]]&gt;TODAY(),"Fecha futura",IF(tblAvisos[[#This Row],[Aviso SAP]]="","Sin aviso SAP",IF(tblAvisos[[#This Row],[Criticidad]]="","Sin criticidad","OK")))))</f>
        <v>Sin fecha</v>
      </c>
      <c r="Q201" s="901" t="s">
        <v>2778</v>
      </c>
    </row>
    <row r="202" spans="2:17">
      <c r="B202" s="853" cm="1">
        <f t="array" ref="B202">ROW()-ROW(tblAvisos[#Headers])</f>
        <v>198</v>
      </c>
      <c r="C202" t="s">
        <v>2502</v>
      </c>
      <c r="D202" s="871"/>
      <c r="E202" s="900" t="s">
        <v>2536</v>
      </c>
      <c r="F202" t="s">
        <v>301</v>
      </c>
      <c r="G202" t="s">
        <v>977</v>
      </c>
      <c r="H202" t="s">
        <v>1170</v>
      </c>
      <c r="I202" t="s">
        <v>1173</v>
      </c>
      <c r="J202" t="s">
        <v>2515</v>
      </c>
      <c r="L202" s="871"/>
      <c r="O202" s="256" t="str">
        <f ca="1">IF(OR(tblAvisos[[#This Row],[Estado trabajo]]="Cerrado",tblAvisos[[#This Row],[Fecha reporte]]=""),"",TODAY()-tblAvisos[[#This Row],[Fecha reporte]])</f>
        <v/>
      </c>
      <c r="P202" t="str">
        <f ca="1">IF(tblAvisos[[#This Row],[Fecha reporte]]="","Sin fecha",IF(tblAvisos[[#This Row],[Fecha reporte]]&lt;DATE(2020,1,1),"Fecha inválida",IF(tblAvisos[[#This Row],[Fecha reporte]]&gt;TODAY(),"Fecha futura",IF(tblAvisos[[#This Row],[Aviso SAP]]="","Sin aviso SAP",IF(tblAvisos[[#This Row],[Criticidad]]="","Sin criticidad","OK")))))</f>
        <v>Sin fecha</v>
      </c>
      <c r="Q202" s="901" t="s">
        <v>2779</v>
      </c>
    </row>
    <row r="203" spans="2:17">
      <c r="B203" s="853" cm="1">
        <f t="array" ref="B203">ROW()-ROW(tblAvisos[#Headers])</f>
        <v>199</v>
      </c>
      <c r="C203" t="s">
        <v>2502</v>
      </c>
      <c r="D203" s="871"/>
      <c r="E203" s="900" t="s">
        <v>2536</v>
      </c>
      <c r="F203" t="s">
        <v>269</v>
      </c>
      <c r="G203" t="s">
        <v>978</v>
      </c>
      <c r="H203" t="s">
        <v>1158</v>
      </c>
      <c r="I203" t="s">
        <v>1173</v>
      </c>
      <c r="J203" t="s">
        <v>2515</v>
      </c>
      <c r="L203" s="871"/>
      <c r="O203" s="256" t="str">
        <f ca="1">IF(OR(tblAvisos[[#This Row],[Estado trabajo]]="Cerrado",tblAvisos[[#This Row],[Fecha reporte]]=""),"",TODAY()-tblAvisos[[#This Row],[Fecha reporte]])</f>
        <v/>
      </c>
      <c r="P203" t="str">
        <f ca="1">IF(tblAvisos[[#This Row],[Fecha reporte]]="","Sin fecha",IF(tblAvisos[[#This Row],[Fecha reporte]]&lt;DATE(2020,1,1),"Fecha inválida",IF(tblAvisos[[#This Row],[Fecha reporte]]&gt;TODAY(),"Fecha futura",IF(tblAvisos[[#This Row],[Aviso SAP]]="","Sin aviso SAP",IF(tblAvisos[[#This Row],[Criticidad]]="","Sin criticidad","OK")))))</f>
        <v>Sin fecha</v>
      </c>
      <c r="Q203" s="901" t="s">
        <v>2780</v>
      </c>
    </row>
    <row r="204" spans="2:17">
      <c r="B204" s="853" cm="1">
        <f t="array" ref="B204">ROW()-ROW(tblAvisos[#Headers])</f>
        <v>200</v>
      </c>
      <c r="C204" t="s">
        <v>2502</v>
      </c>
      <c r="D204" s="871"/>
      <c r="E204" s="900" t="s">
        <v>2536</v>
      </c>
      <c r="F204" t="s">
        <v>279</v>
      </c>
      <c r="G204" t="s">
        <v>979</v>
      </c>
      <c r="H204" t="s">
        <v>1158</v>
      </c>
      <c r="I204" t="s">
        <v>1173</v>
      </c>
      <c r="J204" t="s">
        <v>2515</v>
      </c>
      <c r="L204" s="871"/>
      <c r="O204" s="256" t="str">
        <f ca="1">IF(OR(tblAvisos[[#This Row],[Estado trabajo]]="Cerrado",tblAvisos[[#This Row],[Fecha reporte]]=""),"",TODAY()-tblAvisos[[#This Row],[Fecha reporte]])</f>
        <v/>
      </c>
      <c r="P204" t="str">
        <f ca="1">IF(tblAvisos[[#This Row],[Fecha reporte]]="","Sin fecha",IF(tblAvisos[[#This Row],[Fecha reporte]]&lt;DATE(2020,1,1),"Fecha inválida",IF(tblAvisos[[#This Row],[Fecha reporte]]&gt;TODAY(),"Fecha futura",IF(tblAvisos[[#This Row],[Aviso SAP]]="","Sin aviso SAP",IF(tblAvisos[[#This Row],[Criticidad]]="","Sin criticidad","OK")))))</f>
        <v>Sin fecha</v>
      </c>
      <c r="Q204" s="901" t="s">
        <v>2781</v>
      </c>
    </row>
    <row r="205" spans="2:17">
      <c r="B205" s="853" cm="1">
        <f t="array" ref="B205">ROW()-ROW(tblAvisos[#Headers])</f>
        <v>201</v>
      </c>
      <c r="C205" t="s">
        <v>2502</v>
      </c>
      <c r="D205" s="871"/>
      <c r="E205" s="900" t="s">
        <v>2536</v>
      </c>
      <c r="F205" t="s">
        <v>262</v>
      </c>
      <c r="G205" t="s">
        <v>980</v>
      </c>
      <c r="H205" t="s">
        <v>1158</v>
      </c>
      <c r="I205" t="s">
        <v>1173</v>
      </c>
      <c r="J205" t="s">
        <v>2515</v>
      </c>
      <c r="L205" s="871"/>
      <c r="O205" s="256" t="str">
        <f ca="1">IF(OR(tblAvisos[[#This Row],[Estado trabajo]]="Cerrado",tblAvisos[[#This Row],[Fecha reporte]]=""),"",TODAY()-tblAvisos[[#This Row],[Fecha reporte]])</f>
        <v/>
      </c>
      <c r="P205" t="str">
        <f ca="1">IF(tblAvisos[[#This Row],[Fecha reporte]]="","Sin fecha",IF(tblAvisos[[#This Row],[Fecha reporte]]&lt;DATE(2020,1,1),"Fecha inválida",IF(tblAvisos[[#This Row],[Fecha reporte]]&gt;TODAY(),"Fecha futura",IF(tblAvisos[[#This Row],[Aviso SAP]]="","Sin aviso SAP",IF(tblAvisos[[#This Row],[Criticidad]]="","Sin criticidad","OK")))))</f>
        <v>Sin fecha</v>
      </c>
      <c r="Q205" s="901" t="s">
        <v>2782</v>
      </c>
    </row>
    <row r="206" spans="2:17">
      <c r="B206" s="853" cm="1">
        <f t="array" ref="B206">ROW()-ROW(tblAvisos[#Headers])</f>
        <v>202</v>
      </c>
      <c r="C206" t="s">
        <v>2502</v>
      </c>
      <c r="D206" s="871"/>
      <c r="E206" s="900" t="s">
        <v>2536</v>
      </c>
      <c r="F206" t="s">
        <v>266</v>
      </c>
      <c r="G206" t="s">
        <v>981</v>
      </c>
      <c r="H206" t="s">
        <v>1158</v>
      </c>
      <c r="I206" t="s">
        <v>1173</v>
      </c>
      <c r="J206" t="s">
        <v>2515</v>
      </c>
      <c r="L206" s="871"/>
      <c r="O206" s="256" t="str">
        <f ca="1">IF(OR(tblAvisos[[#This Row],[Estado trabajo]]="Cerrado",tblAvisos[[#This Row],[Fecha reporte]]=""),"",TODAY()-tblAvisos[[#This Row],[Fecha reporte]])</f>
        <v/>
      </c>
      <c r="P206" t="str">
        <f ca="1">IF(tblAvisos[[#This Row],[Fecha reporte]]="","Sin fecha",IF(tblAvisos[[#This Row],[Fecha reporte]]&lt;DATE(2020,1,1),"Fecha inválida",IF(tblAvisos[[#This Row],[Fecha reporte]]&gt;TODAY(),"Fecha futura",IF(tblAvisos[[#This Row],[Aviso SAP]]="","Sin aviso SAP",IF(tblAvisos[[#This Row],[Criticidad]]="","Sin criticidad","OK")))))</f>
        <v>Sin fecha</v>
      </c>
      <c r="Q206" s="901" t="s">
        <v>2783</v>
      </c>
    </row>
    <row r="207" spans="2:17">
      <c r="B207" s="853" cm="1">
        <f t="array" ref="B207">ROW()-ROW(tblAvisos[#Headers])</f>
        <v>203</v>
      </c>
      <c r="C207" t="s">
        <v>2502</v>
      </c>
      <c r="D207" s="871"/>
      <c r="E207" s="900" t="s">
        <v>2536</v>
      </c>
      <c r="F207" t="s">
        <v>271</v>
      </c>
      <c r="G207" t="s">
        <v>982</v>
      </c>
      <c r="H207" t="s">
        <v>1158</v>
      </c>
      <c r="I207" t="s">
        <v>1173</v>
      </c>
      <c r="J207" t="s">
        <v>2515</v>
      </c>
      <c r="L207" s="871"/>
      <c r="O207" s="256" t="str">
        <f ca="1">IF(OR(tblAvisos[[#This Row],[Estado trabajo]]="Cerrado",tblAvisos[[#This Row],[Fecha reporte]]=""),"",TODAY()-tblAvisos[[#This Row],[Fecha reporte]])</f>
        <v/>
      </c>
      <c r="P207" t="str">
        <f ca="1">IF(tblAvisos[[#This Row],[Fecha reporte]]="","Sin fecha",IF(tblAvisos[[#This Row],[Fecha reporte]]&lt;DATE(2020,1,1),"Fecha inválida",IF(tblAvisos[[#This Row],[Fecha reporte]]&gt;TODAY(),"Fecha futura",IF(tblAvisos[[#This Row],[Aviso SAP]]="","Sin aviso SAP",IF(tblAvisos[[#This Row],[Criticidad]]="","Sin criticidad","OK")))))</f>
        <v>Sin fecha</v>
      </c>
      <c r="Q207" s="901" t="s">
        <v>2784</v>
      </c>
    </row>
    <row r="208" spans="2:17">
      <c r="B208" s="853" cm="1">
        <f t="array" ref="B208">ROW()-ROW(tblAvisos[#Headers])</f>
        <v>204</v>
      </c>
      <c r="C208" t="s">
        <v>2502</v>
      </c>
      <c r="D208" s="871"/>
      <c r="E208" s="900" t="s">
        <v>2536</v>
      </c>
      <c r="F208" t="s">
        <v>481</v>
      </c>
      <c r="G208" t="s">
        <v>983</v>
      </c>
      <c r="H208" t="s">
        <v>1170</v>
      </c>
      <c r="I208" t="s">
        <v>1173</v>
      </c>
      <c r="J208" t="s">
        <v>2515</v>
      </c>
      <c r="L208" s="871"/>
      <c r="O208" s="256" t="str">
        <f ca="1">IF(OR(tblAvisos[[#This Row],[Estado trabajo]]="Cerrado",tblAvisos[[#This Row],[Fecha reporte]]=""),"",TODAY()-tblAvisos[[#This Row],[Fecha reporte]])</f>
        <v/>
      </c>
      <c r="P208" t="str">
        <f ca="1">IF(tblAvisos[[#This Row],[Fecha reporte]]="","Sin fecha",IF(tblAvisos[[#This Row],[Fecha reporte]]&lt;DATE(2020,1,1),"Fecha inválida",IF(tblAvisos[[#This Row],[Fecha reporte]]&gt;TODAY(),"Fecha futura",IF(tblAvisos[[#This Row],[Aviso SAP]]="","Sin aviso SAP",IF(tblAvisos[[#This Row],[Criticidad]]="","Sin criticidad","OK")))))</f>
        <v>Sin fecha</v>
      </c>
      <c r="Q208" s="901" t="s">
        <v>2785</v>
      </c>
    </row>
    <row r="209" spans="2:17">
      <c r="B209" s="853" cm="1">
        <f t="array" ref="B209">ROW()-ROW(tblAvisos[#Headers])</f>
        <v>205</v>
      </c>
      <c r="C209" t="s">
        <v>2502</v>
      </c>
      <c r="D209" s="871">
        <v>46022</v>
      </c>
      <c r="E209" s="900" t="s">
        <v>2536</v>
      </c>
      <c r="F209" t="s">
        <v>597</v>
      </c>
      <c r="G209" t="s">
        <v>975</v>
      </c>
      <c r="H209" t="s">
        <v>1158</v>
      </c>
      <c r="I209" t="s">
        <v>2512</v>
      </c>
      <c r="K209" t="s">
        <v>672</v>
      </c>
      <c r="L209" s="871"/>
      <c r="O209" s="256" t="str">
        <f ca="1">IF(OR(tblAvisos[[#This Row],[Estado trabajo]]="Cerrado",tblAvisos[[#This Row],[Fecha reporte]]=""),"",TODAY()-tblAvisos[[#This Row],[Fecha reporte]])</f>
        <v/>
      </c>
      <c r="P209" t="str">
        <f ca="1">IF(tblAvisos[[#This Row],[Fecha reporte]]="","Sin fecha",IF(tblAvisos[[#This Row],[Fecha reporte]]&lt;DATE(2020,1,1),"Fecha inválida",IF(tblAvisos[[#This Row],[Fecha reporte]]&gt;TODAY(),"Fecha futura",IF(tblAvisos[[#This Row],[Aviso SAP]]="","Sin aviso SAP",IF(tblAvisos[[#This Row],[Criticidad]]="","Sin criticidad","OK")))))</f>
        <v>Sin aviso SAP</v>
      </c>
      <c r="Q209" s="901" t="s">
        <v>2786</v>
      </c>
    </row>
    <row r="210" spans="2:17">
      <c r="B210" s="853" cm="1">
        <f t="array" ref="B210">ROW()-ROW(tblAvisos[#Headers])</f>
        <v>206</v>
      </c>
      <c r="C210" t="s">
        <v>2502</v>
      </c>
      <c r="D210" s="871"/>
      <c r="E210" s="900" t="s">
        <v>2536</v>
      </c>
      <c r="F210" t="s">
        <v>381</v>
      </c>
      <c r="G210" t="s">
        <v>2787</v>
      </c>
      <c r="H210" t="s">
        <v>1158</v>
      </c>
      <c r="I210" t="s">
        <v>1173</v>
      </c>
      <c r="J210" t="s">
        <v>2515</v>
      </c>
      <c r="K210" t="s">
        <v>668</v>
      </c>
      <c r="L210" s="871"/>
      <c r="O210" s="256" t="str">
        <f ca="1">IF(OR(tblAvisos[[#This Row],[Estado trabajo]]="Cerrado",tblAvisos[[#This Row],[Fecha reporte]]=""),"",TODAY()-tblAvisos[[#This Row],[Fecha reporte]])</f>
        <v/>
      </c>
      <c r="P210" t="str">
        <f ca="1">IF(tblAvisos[[#This Row],[Fecha reporte]]="","Sin fecha",IF(tblAvisos[[#This Row],[Fecha reporte]]&lt;DATE(2020,1,1),"Fecha inválida",IF(tblAvisos[[#This Row],[Fecha reporte]]&gt;TODAY(),"Fecha futura",IF(tblAvisos[[#This Row],[Aviso SAP]]="","Sin aviso SAP",IF(tblAvisos[[#This Row],[Criticidad]]="","Sin criticidad","OK")))))</f>
        <v>Sin fecha</v>
      </c>
      <c r="Q210" s="901" t="s">
        <v>2788</v>
      </c>
    </row>
    <row r="211" spans="2:17">
      <c r="B211" s="853" cm="1">
        <f t="array" ref="B211">ROW()-ROW(tblAvisos[#Headers])</f>
        <v>207</v>
      </c>
      <c r="C211" t="s">
        <v>2502</v>
      </c>
      <c r="D211" s="871"/>
      <c r="E211" s="900" t="s">
        <v>2536</v>
      </c>
      <c r="F211" t="s">
        <v>889</v>
      </c>
      <c r="G211" t="s">
        <v>986</v>
      </c>
      <c r="H211" t="s">
        <v>1170</v>
      </c>
      <c r="I211" t="s">
        <v>1173</v>
      </c>
      <c r="J211" t="s">
        <v>2514</v>
      </c>
      <c r="K211" t="s">
        <v>668</v>
      </c>
      <c r="L211" s="871"/>
      <c r="O211" s="256" t="str">
        <f ca="1">IF(OR(tblAvisos[[#This Row],[Estado trabajo]]="Cerrado",tblAvisos[[#This Row],[Fecha reporte]]=""),"",TODAY()-tblAvisos[[#This Row],[Fecha reporte]])</f>
        <v/>
      </c>
      <c r="P211" t="str">
        <f ca="1">IF(tblAvisos[[#This Row],[Fecha reporte]]="","Sin fecha",IF(tblAvisos[[#This Row],[Fecha reporte]]&lt;DATE(2020,1,1),"Fecha inválida",IF(tblAvisos[[#This Row],[Fecha reporte]]&gt;TODAY(),"Fecha futura",IF(tblAvisos[[#This Row],[Aviso SAP]]="","Sin aviso SAP",IF(tblAvisos[[#This Row],[Criticidad]]="","Sin criticidad","OK")))))</f>
        <v>Sin fecha</v>
      </c>
      <c r="Q211" s="901" t="s">
        <v>2789</v>
      </c>
    </row>
    <row r="212" spans="2:17">
      <c r="B212" s="853" cm="1">
        <f t="array" ref="B212">ROW()-ROW(tblAvisos[#Headers])</f>
        <v>208</v>
      </c>
      <c r="C212" t="s">
        <v>2502</v>
      </c>
      <c r="D212" s="871"/>
      <c r="E212" s="900" t="s">
        <v>2536</v>
      </c>
      <c r="F212" t="s">
        <v>887</v>
      </c>
      <c r="G212" t="s">
        <v>987</v>
      </c>
      <c r="H212" t="s">
        <v>1158</v>
      </c>
      <c r="I212" t="s">
        <v>1173</v>
      </c>
      <c r="J212" t="s">
        <v>2514</v>
      </c>
      <c r="K212" t="s">
        <v>665</v>
      </c>
      <c r="L212" s="871"/>
      <c r="O212" s="256" t="str">
        <f ca="1">IF(OR(tblAvisos[[#This Row],[Estado trabajo]]="Cerrado",tblAvisos[[#This Row],[Fecha reporte]]=""),"",TODAY()-tblAvisos[[#This Row],[Fecha reporte]])</f>
        <v/>
      </c>
      <c r="P212" t="str">
        <f ca="1">IF(tblAvisos[[#This Row],[Fecha reporte]]="","Sin fecha",IF(tblAvisos[[#This Row],[Fecha reporte]]&lt;DATE(2020,1,1),"Fecha inválida",IF(tblAvisos[[#This Row],[Fecha reporte]]&gt;TODAY(),"Fecha futura",IF(tblAvisos[[#This Row],[Aviso SAP]]="","Sin aviso SAP",IF(tblAvisos[[#This Row],[Criticidad]]="","Sin criticidad","OK")))))</f>
        <v>Sin fecha</v>
      </c>
      <c r="Q212" s="901" t="s">
        <v>2790</v>
      </c>
    </row>
    <row r="213" spans="2:17">
      <c r="B213" s="853" cm="1">
        <f t="array" ref="B213">ROW()-ROW(tblAvisos[#Headers])</f>
        <v>209</v>
      </c>
      <c r="C213" t="s">
        <v>2502</v>
      </c>
      <c r="D213" s="871"/>
      <c r="E213" s="900" t="s">
        <v>2536</v>
      </c>
      <c r="F213" t="s">
        <v>988</v>
      </c>
      <c r="G213" t="s">
        <v>989</v>
      </c>
      <c r="H213" t="s">
        <v>1158</v>
      </c>
      <c r="I213" t="s">
        <v>1173</v>
      </c>
      <c r="J213" t="s">
        <v>2515</v>
      </c>
      <c r="K213" t="s">
        <v>665</v>
      </c>
      <c r="L213" s="871"/>
      <c r="O213" s="256" t="str">
        <f ca="1">IF(OR(tblAvisos[[#This Row],[Estado trabajo]]="Cerrado",tblAvisos[[#This Row],[Fecha reporte]]=""),"",TODAY()-tblAvisos[[#This Row],[Fecha reporte]])</f>
        <v/>
      </c>
      <c r="P213" t="str">
        <f ca="1">IF(tblAvisos[[#This Row],[Fecha reporte]]="","Sin fecha",IF(tblAvisos[[#This Row],[Fecha reporte]]&lt;DATE(2020,1,1),"Fecha inválida",IF(tblAvisos[[#This Row],[Fecha reporte]]&gt;TODAY(),"Fecha futura",IF(tblAvisos[[#This Row],[Aviso SAP]]="","Sin aviso SAP",IF(tblAvisos[[#This Row],[Criticidad]]="","Sin criticidad","OK")))))</f>
        <v>Sin fecha</v>
      </c>
      <c r="Q213" s="901" t="s">
        <v>2791</v>
      </c>
    </row>
    <row r="214" spans="2:17">
      <c r="B214" s="853" cm="1">
        <f t="array" ref="B214">ROW()-ROW(tblAvisos[#Headers])</f>
        <v>210</v>
      </c>
      <c r="C214" t="s">
        <v>2502</v>
      </c>
      <c r="D214" s="871">
        <v>46024</v>
      </c>
      <c r="E214" s="900" t="s">
        <v>2536</v>
      </c>
      <c r="F214" t="s">
        <v>990</v>
      </c>
      <c r="G214" t="s">
        <v>970</v>
      </c>
      <c r="H214" t="s">
        <v>1158</v>
      </c>
      <c r="I214" t="s">
        <v>1173</v>
      </c>
      <c r="J214" t="s">
        <v>2515</v>
      </c>
      <c r="K214" t="s">
        <v>668</v>
      </c>
      <c r="L214" s="871"/>
      <c r="O214" s="256">
        <f ca="1">IF(OR(tblAvisos[[#This Row],[Estado trabajo]]="Cerrado",tblAvisos[[#This Row],[Fecha reporte]]=""),"",TODAY()-tblAvisos[[#This Row],[Fecha reporte]])</f>
        <v>271</v>
      </c>
      <c r="P214" t="str">
        <f ca="1">IF(tblAvisos[[#This Row],[Fecha reporte]]="","Sin fecha",IF(tblAvisos[[#This Row],[Fecha reporte]]&lt;DATE(2020,1,1),"Fecha inválida",IF(tblAvisos[[#This Row],[Fecha reporte]]&gt;TODAY(),"Fecha futura",IF(tblAvisos[[#This Row],[Aviso SAP]]="","Sin aviso SAP",IF(tblAvisos[[#This Row],[Criticidad]]="","Sin criticidad","OK")))))</f>
        <v>Sin aviso SAP</v>
      </c>
      <c r="Q214" s="901" t="s">
        <v>2792</v>
      </c>
    </row>
    <row r="215" spans="2:17">
      <c r="B215" s="853" cm="1">
        <f t="array" ref="B215">ROW()-ROW(tblAvisos[#Headers])</f>
        <v>211</v>
      </c>
      <c r="C215" t="s">
        <v>2502</v>
      </c>
      <c r="D215" s="871"/>
      <c r="E215" s="900" t="s">
        <v>2536</v>
      </c>
      <c r="F215" t="s">
        <v>878</v>
      </c>
      <c r="G215" t="s">
        <v>991</v>
      </c>
      <c r="H215" t="s">
        <v>1158</v>
      </c>
      <c r="I215" t="s">
        <v>1173</v>
      </c>
      <c r="J215" t="s">
        <v>2514</v>
      </c>
      <c r="K215" t="s">
        <v>668</v>
      </c>
      <c r="L215" s="871"/>
      <c r="O215" s="256" t="str">
        <f ca="1">IF(OR(tblAvisos[[#This Row],[Estado trabajo]]="Cerrado",tblAvisos[[#This Row],[Fecha reporte]]=""),"",TODAY()-tblAvisos[[#This Row],[Fecha reporte]])</f>
        <v/>
      </c>
      <c r="P215" t="str">
        <f ca="1">IF(tblAvisos[[#This Row],[Fecha reporte]]="","Sin fecha",IF(tblAvisos[[#This Row],[Fecha reporte]]&lt;DATE(2020,1,1),"Fecha inválida",IF(tblAvisos[[#This Row],[Fecha reporte]]&gt;TODAY(),"Fecha futura",IF(tblAvisos[[#This Row],[Aviso SAP]]="","Sin aviso SAP",IF(tblAvisos[[#This Row],[Criticidad]]="","Sin criticidad","OK")))))</f>
        <v>Sin fecha</v>
      </c>
      <c r="Q215" s="901" t="s">
        <v>2793</v>
      </c>
    </row>
    <row r="216" spans="2:17">
      <c r="B216" s="853" cm="1">
        <f t="array" ref="B216">ROW()-ROW(tblAvisos[#Headers])</f>
        <v>212</v>
      </c>
      <c r="C216" t="s">
        <v>2502</v>
      </c>
      <c r="D216" s="871">
        <v>46025</v>
      </c>
      <c r="E216" s="900" t="s">
        <v>2536</v>
      </c>
      <c r="F216" t="s">
        <v>990</v>
      </c>
      <c r="G216" t="s">
        <v>2794</v>
      </c>
      <c r="H216" t="s">
        <v>1170</v>
      </c>
      <c r="I216" t="s">
        <v>1173</v>
      </c>
      <c r="J216" t="s">
        <v>2514</v>
      </c>
      <c r="K216" t="s">
        <v>668</v>
      </c>
      <c r="L216" s="871"/>
      <c r="O216" s="256">
        <f ca="1">IF(OR(tblAvisos[[#This Row],[Estado trabajo]]="Cerrado",tblAvisos[[#This Row],[Fecha reporte]]=""),"",TODAY()-tblAvisos[[#This Row],[Fecha reporte]])</f>
        <v>270</v>
      </c>
      <c r="P216" t="str">
        <f ca="1">IF(tblAvisos[[#This Row],[Fecha reporte]]="","Sin fecha",IF(tblAvisos[[#This Row],[Fecha reporte]]&lt;DATE(2020,1,1),"Fecha inválida",IF(tblAvisos[[#This Row],[Fecha reporte]]&gt;TODAY(),"Fecha futura",IF(tblAvisos[[#This Row],[Aviso SAP]]="","Sin aviso SAP",IF(tblAvisos[[#This Row],[Criticidad]]="","Sin criticidad","OK")))))</f>
        <v>Sin aviso SAP</v>
      </c>
      <c r="Q216" s="901" t="s">
        <v>2795</v>
      </c>
    </row>
    <row r="217" spans="2:17">
      <c r="B217" s="853" cm="1">
        <f t="array" ref="B217">ROW()-ROW(tblAvisos[#Headers])</f>
        <v>213</v>
      </c>
      <c r="C217" t="s">
        <v>2502</v>
      </c>
      <c r="D217" s="871"/>
      <c r="E217" s="900" t="s">
        <v>2536</v>
      </c>
      <c r="F217" t="s">
        <v>799</v>
      </c>
      <c r="G217" t="s">
        <v>993</v>
      </c>
      <c r="H217" t="s">
        <v>1170</v>
      </c>
      <c r="I217" t="s">
        <v>1173</v>
      </c>
      <c r="J217" t="s">
        <v>2514</v>
      </c>
      <c r="K217" t="s">
        <v>668</v>
      </c>
      <c r="L217" s="871"/>
      <c r="O217" s="256" t="str">
        <f ca="1">IF(OR(tblAvisos[[#This Row],[Estado trabajo]]="Cerrado",tblAvisos[[#This Row],[Fecha reporte]]=""),"",TODAY()-tblAvisos[[#This Row],[Fecha reporte]])</f>
        <v/>
      </c>
      <c r="P217" t="str">
        <f ca="1">IF(tblAvisos[[#This Row],[Fecha reporte]]="","Sin fecha",IF(tblAvisos[[#This Row],[Fecha reporte]]&lt;DATE(2020,1,1),"Fecha inválida",IF(tblAvisos[[#This Row],[Fecha reporte]]&gt;TODAY(),"Fecha futura",IF(tblAvisos[[#This Row],[Aviso SAP]]="","Sin aviso SAP",IF(tblAvisos[[#This Row],[Criticidad]]="","Sin criticidad","OK")))))</f>
        <v>Sin fecha</v>
      </c>
      <c r="Q217" s="901" t="s">
        <v>2796</v>
      </c>
    </row>
    <row r="218" spans="2:17">
      <c r="B218" s="853" cm="1">
        <f t="array" ref="B218">ROW()-ROW(tblAvisos[#Headers])</f>
        <v>214</v>
      </c>
      <c r="C218" t="s">
        <v>2502</v>
      </c>
      <c r="D218" s="871"/>
      <c r="E218" s="900" t="s">
        <v>2536</v>
      </c>
      <c r="F218" t="s">
        <v>368</v>
      </c>
      <c r="G218" t="s">
        <v>994</v>
      </c>
      <c r="H218" t="s">
        <v>1158</v>
      </c>
      <c r="I218" t="s">
        <v>1173</v>
      </c>
      <c r="J218" t="s">
        <v>2515</v>
      </c>
      <c r="K218" t="s">
        <v>665</v>
      </c>
      <c r="L218" s="871"/>
      <c r="O218" s="256" t="str">
        <f ca="1">IF(OR(tblAvisos[[#This Row],[Estado trabajo]]="Cerrado",tblAvisos[[#This Row],[Fecha reporte]]=""),"",TODAY()-tblAvisos[[#This Row],[Fecha reporte]])</f>
        <v/>
      </c>
      <c r="P218" t="str">
        <f ca="1">IF(tblAvisos[[#This Row],[Fecha reporte]]="","Sin fecha",IF(tblAvisos[[#This Row],[Fecha reporte]]&lt;DATE(2020,1,1),"Fecha inválida",IF(tblAvisos[[#This Row],[Fecha reporte]]&gt;TODAY(),"Fecha futura",IF(tblAvisos[[#This Row],[Aviso SAP]]="","Sin aviso SAP",IF(tblAvisos[[#This Row],[Criticidad]]="","Sin criticidad","OK")))))</f>
        <v>Sin fecha</v>
      </c>
      <c r="Q218" s="901" t="s">
        <v>2797</v>
      </c>
    </row>
    <row r="219" spans="2:17">
      <c r="B219" s="853" cm="1">
        <f t="array" ref="B219">ROW()-ROW(tblAvisos[#Headers])</f>
        <v>215</v>
      </c>
      <c r="C219" t="s">
        <v>2502</v>
      </c>
      <c r="D219" s="871">
        <v>46143</v>
      </c>
      <c r="E219" s="900" t="s">
        <v>2536</v>
      </c>
      <c r="F219" t="s">
        <v>995</v>
      </c>
      <c r="G219" t="s">
        <v>996</v>
      </c>
      <c r="H219" t="s">
        <v>1158</v>
      </c>
      <c r="I219" t="s">
        <v>1173</v>
      </c>
      <c r="J219" t="s">
        <v>2515</v>
      </c>
      <c r="K219" t="s">
        <v>665</v>
      </c>
      <c r="L219" s="871"/>
      <c r="O219" s="256">
        <f ca="1">IF(OR(tblAvisos[[#This Row],[Estado trabajo]]="Cerrado",tblAvisos[[#This Row],[Fecha reporte]]=""),"",TODAY()-tblAvisos[[#This Row],[Fecha reporte]])</f>
        <v>152</v>
      </c>
      <c r="P219" t="str">
        <f ca="1">IF(tblAvisos[[#This Row],[Fecha reporte]]="","Sin fecha",IF(tblAvisos[[#This Row],[Fecha reporte]]&lt;DATE(2020,1,1),"Fecha inválida",IF(tblAvisos[[#This Row],[Fecha reporte]]&gt;TODAY(),"Fecha futura",IF(tblAvisos[[#This Row],[Aviso SAP]]="","Sin aviso SAP",IF(tblAvisos[[#This Row],[Criticidad]]="","Sin criticidad","OK")))))</f>
        <v>Sin aviso SAP</v>
      </c>
      <c r="Q219" s="901" t="s">
        <v>2798</v>
      </c>
    </row>
    <row r="220" spans="2:17">
      <c r="B220" s="853" cm="1">
        <f t="array" ref="B220">ROW()-ROW(tblAvisos[#Headers])</f>
        <v>216</v>
      </c>
      <c r="C220" t="s">
        <v>2502</v>
      </c>
      <c r="D220" s="871"/>
      <c r="E220" s="900" t="s">
        <v>2536</v>
      </c>
      <c r="F220" t="s">
        <v>259</v>
      </c>
      <c r="G220" t="s">
        <v>997</v>
      </c>
      <c r="H220" t="s">
        <v>1158</v>
      </c>
      <c r="I220" t="s">
        <v>1173</v>
      </c>
      <c r="J220" t="s">
        <v>2515</v>
      </c>
      <c r="K220" t="s">
        <v>665</v>
      </c>
      <c r="L220" s="871"/>
      <c r="O220" s="256" t="str">
        <f ca="1">IF(OR(tblAvisos[[#This Row],[Estado trabajo]]="Cerrado",tblAvisos[[#This Row],[Fecha reporte]]=""),"",TODAY()-tblAvisos[[#This Row],[Fecha reporte]])</f>
        <v/>
      </c>
      <c r="P220" t="str">
        <f ca="1">IF(tblAvisos[[#This Row],[Fecha reporte]]="","Sin fecha",IF(tblAvisos[[#This Row],[Fecha reporte]]&lt;DATE(2020,1,1),"Fecha inválida",IF(tblAvisos[[#This Row],[Fecha reporte]]&gt;TODAY(),"Fecha futura",IF(tblAvisos[[#This Row],[Aviso SAP]]="","Sin aviso SAP",IF(tblAvisos[[#This Row],[Criticidad]]="","Sin criticidad","OK")))))</f>
        <v>Sin fecha</v>
      </c>
      <c r="Q220" s="901" t="s">
        <v>2799</v>
      </c>
    </row>
    <row r="221" spans="2:17">
      <c r="B221" s="853" cm="1">
        <f t="array" ref="B221">ROW()-ROW(tblAvisos[#Headers])</f>
        <v>217</v>
      </c>
      <c r="C221" t="s">
        <v>2502</v>
      </c>
      <c r="D221" s="871"/>
      <c r="E221" s="900" t="s">
        <v>2536</v>
      </c>
      <c r="F221" t="s">
        <v>990</v>
      </c>
      <c r="G221" t="s">
        <v>922</v>
      </c>
      <c r="H221" t="s">
        <v>1158</v>
      </c>
      <c r="I221" t="s">
        <v>1173</v>
      </c>
      <c r="J221" t="s">
        <v>2515</v>
      </c>
      <c r="K221" t="s">
        <v>665</v>
      </c>
      <c r="L221" s="871"/>
      <c r="O221" s="256" t="str">
        <f ca="1">IF(OR(tblAvisos[[#This Row],[Estado trabajo]]="Cerrado",tblAvisos[[#This Row],[Fecha reporte]]=""),"",TODAY()-tblAvisos[[#This Row],[Fecha reporte]])</f>
        <v/>
      </c>
      <c r="P221" t="str">
        <f ca="1">IF(tblAvisos[[#This Row],[Fecha reporte]]="","Sin fecha",IF(tblAvisos[[#This Row],[Fecha reporte]]&lt;DATE(2020,1,1),"Fecha inválida",IF(tblAvisos[[#This Row],[Fecha reporte]]&gt;TODAY(),"Fecha futura",IF(tblAvisos[[#This Row],[Aviso SAP]]="","Sin aviso SAP",IF(tblAvisos[[#This Row],[Criticidad]]="","Sin criticidad","OK")))))</f>
        <v>Sin fecha</v>
      </c>
      <c r="Q221" s="901" t="s">
        <v>2800</v>
      </c>
    </row>
    <row r="222" spans="2:17">
      <c r="B222" s="853" cm="1">
        <f t="array" ref="B222">ROW()-ROW(tblAvisos[#Headers])</f>
        <v>218</v>
      </c>
      <c r="C222" t="s">
        <v>2502</v>
      </c>
      <c r="D222" s="871"/>
      <c r="E222" s="900" t="s">
        <v>2536</v>
      </c>
      <c r="F222" t="s">
        <v>808</v>
      </c>
      <c r="G222" t="s">
        <v>998</v>
      </c>
      <c r="H222" t="s">
        <v>1158</v>
      </c>
      <c r="I222" t="s">
        <v>1173</v>
      </c>
      <c r="J222" t="s">
        <v>2514</v>
      </c>
      <c r="K222" t="s">
        <v>668</v>
      </c>
      <c r="L222" s="871"/>
      <c r="O222" s="256" t="str">
        <f ca="1">IF(OR(tblAvisos[[#This Row],[Estado trabajo]]="Cerrado",tblAvisos[[#This Row],[Fecha reporte]]=""),"",TODAY()-tblAvisos[[#This Row],[Fecha reporte]])</f>
        <v/>
      </c>
      <c r="P222" t="str">
        <f ca="1">IF(tblAvisos[[#This Row],[Fecha reporte]]="","Sin fecha",IF(tblAvisos[[#This Row],[Fecha reporte]]&lt;DATE(2020,1,1),"Fecha inválida",IF(tblAvisos[[#This Row],[Fecha reporte]]&gt;TODAY(),"Fecha futura",IF(tblAvisos[[#This Row],[Aviso SAP]]="","Sin aviso SAP",IF(tblAvisos[[#This Row],[Criticidad]]="","Sin criticidad","OK")))))</f>
        <v>Sin fecha</v>
      </c>
      <c r="Q222" s="901" t="s">
        <v>2801</v>
      </c>
    </row>
    <row r="223" spans="2:17">
      <c r="B223" s="853" cm="1">
        <f t="array" ref="B223">ROW()-ROW(tblAvisos[#Headers])</f>
        <v>219</v>
      </c>
      <c r="C223" t="s">
        <v>2502</v>
      </c>
      <c r="D223" s="871"/>
      <c r="E223" s="900" t="s">
        <v>2536</v>
      </c>
      <c r="F223" t="s">
        <v>262</v>
      </c>
      <c r="G223" t="s">
        <v>999</v>
      </c>
      <c r="H223" t="s">
        <v>1158</v>
      </c>
      <c r="I223" t="s">
        <v>1173</v>
      </c>
      <c r="J223" t="s">
        <v>2515</v>
      </c>
      <c r="K223" t="s">
        <v>668</v>
      </c>
      <c r="L223" s="871"/>
      <c r="O223" s="256" t="str">
        <f ca="1">IF(OR(tblAvisos[[#This Row],[Estado trabajo]]="Cerrado",tblAvisos[[#This Row],[Fecha reporte]]=""),"",TODAY()-tblAvisos[[#This Row],[Fecha reporte]])</f>
        <v/>
      </c>
      <c r="P223" t="str">
        <f ca="1">IF(tblAvisos[[#This Row],[Fecha reporte]]="","Sin fecha",IF(tblAvisos[[#This Row],[Fecha reporte]]&lt;DATE(2020,1,1),"Fecha inválida",IF(tblAvisos[[#This Row],[Fecha reporte]]&gt;TODAY(),"Fecha futura",IF(tblAvisos[[#This Row],[Aviso SAP]]="","Sin aviso SAP",IF(tblAvisos[[#This Row],[Criticidad]]="","Sin criticidad","OK")))))</f>
        <v>Sin fecha</v>
      </c>
      <c r="Q223" s="901" t="s">
        <v>2802</v>
      </c>
    </row>
    <row r="224" spans="2:17">
      <c r="B224" s="853" cm="1">
        <f t="array" ref="B224">ROW()-ROW(tblAvisos[#Headers])</f>
        <v>220</v>
      </c>
      <c r="C224" t="s">
        <v>2502</v>
      </c>
      <c r="D224" s="871">
        <v>45663</v>
      </c>
      <c r="E224" s="900" t="s">
        <v>2536</v>
      </c>
      <c r="F224" t="s">
        <v>921</v>
      </c>
      <c r="G224" t="s">
        <v>1000</v>
      </c>
      <c r="H224" t="s">
        <v>1158</v>
      </c>
      <c r="I224" t="s">
        <v>1173</v>
      </c>
      <c r="J224" t="s">
        <v>2514</v>
      </c>
      <c r="K224" t="s">
        <v>668</v>
      </c>
      <c r="L224" s="871"/>
      <c r="O224" s="256">
        <f ca="1">IF(OR(tblAvisos[[#This Row],[Estado trabajo]]="Cerrado",tblAvisos[[#This Row],[Fecha reporte]]=""),"",TODAY()-tblAvisos[[#This Row],[Fecha reporte]])</f>
        <v>632</v>
      </c>
      <c r="P224" t="str">
        <f ca="1">IF(tblAvisos[[#This Row],[Fecha reporte]]="","Sin fecha",IF(tblAvisos[[#This Row],[Fecha reporte]]&lt;DATE(2020,1,1),"Fecha inválida",IF(tblAvisos[[#This Row],[Fecha reporte]]&gt;TODAY(),"Fecha futura",IF(tblAvisos[[#This Row],[Aviso SAP]]="","Sin aviso SAP",IF(tblAvisos[[#This Row],[Criticidad]]="","Sin criticidad","OK")))))</f>
        <v>Sin aviso SAP</v>
      </c>
      <c r="Q224" s="901" t="s">
        <v>2803</v>
      </c>
    </row>
    <row r="225" spans="2:17">
      <c r="B225" s="853" cm="1">
        <f t="array" ref="B225">ROW()-ROW(tblAvisos[#Headers])</f>
        <v>221</v>
      </c>
      <c r="C225" t="s">
        <v>2502</v>
      </c>
      <c r="D225" s="871"/>
      <c r="E225" s="900" t="s">
        <v>2536</v>
      </c>
      <c r="F225" t="s">
        <v>900</v>
      </c>
      <c r="G225" t="s">
        <v>1001</v>
      </c>
      <c r="H225" t="s">
        <v>1158</v>
      </c>
      <c r="I225" t="s">
        <v>1173</v>
      </c>
      <c r="J225" t="s">
        <v>2515</v>
      </c>
      <c r="K225" t="s">
        <v>668</v>
      </c>
      <c r="L225" s="871"/>
      <c r="O225" s="256" t="str">
        <f ca="1">IF(OR(tblAvisos[[#This Row],[Estado trabajo]]="Cerrado",tblAvisos[[#This Row],[Fecha reporte]]=""),"",TODAY()-tblAvisos[[#This Row],[Fecha reporte]])</f>
        <v/>
      </c>
      <c r="P225" t="str">
        <f ca="1">IF(tblAvisos[[#This Row],[Fecha reporte]]="","Sin fecha",IF(tblAvisos[[#This Row],[Fecha reporte]]&lt;DATE(2020,1,1),"Fecha inválida",IF(tblAvisos[[#This Row],[Fecha reporte]]&gt;TODAY(),"Fecha futura",IF(tblAvisos[[#This Row],[Aviso SAP]]="","Sin aviso SAP",IF(tblAvisos[[#This Row],[Criticidad]]="","Sin criticidad","OK")))))</f>
        <v>Sin fecha</v>
      </c>
      <c r="Q225" s="901" t="s">
        <v>2804</v>
      </c>
    </row>
    <row r="226" spans="2:17">
      <c r="B226" s="853" cm="1">
        <f t="array" ref="B226">ROW()-ROW(tblAvisos[#Headers])</f>
        <v>222</v>
      </c>
      <c r="C226" t="s">
        <v>2502</v>
      </c>
      <c r="D226" s="871">
        <v>46029</v>
      </c>
      <c r="E226" s="900" t="s">
        <v>2536</v>
      </c>
      <c r="F226" t="s">
        <v>921</v>
      </c>
      <c r="G226" t="s">
        <v>1002</v>
      </c>
      <c r="H226" t="s">
        <v>1158</v>
      </c>
      <c r="I226" t="s">
        <v>1173</v>
      </c>
      <c r="J226" t="s">
        <v>2514</v>
      </c>
      <c r="K226" t="s">
        <v>668</v>
      </c>
      <c r="L226" s="871"/>
      <c r="O226" s="256">
        <f ca="1">IF(OR(tblAvisos[[#This Row],[Estado trabajo]]="Cerrado",tblAvisos[[#This Row],[Fecha reporte]]=""),"",TODAY()-tblAvisos[[#This Row],[Fecha reporte]])</f>
        <v>266</v>
      </c>
      <c r="P226" t="str">
        <f ca="1">IF(tblAvisos[[#This Row],[Fecha reporte]]="","Sin fecha",IF(tblAvisos[[#This Row],[Fecha reporte]]&lt;DATE(2020,1,1),"Fecha inválida",IF(tblAvisos[[#This Row],[Fecha reporte]]&gt;TODAY(),"Fecha futura",IF(tblAvisos[[#This Row],[Aviso SAP]]="","Sin aviso SAP",IF(tblAvisos[[#This Row],[Criticidad]]="","Sin criticidad","OK")))))</f>
        <v>Sin aviso SAP</v>
      </c>
      <c r="Q226" s="901" t="s">
        <v>2805</v>
      </c>
    </row>
    <row r="227" spans="2:17">
      <c r="B227" s="853" cm="1">
        <f t="array" ref="B227">ROW()-ROW(tblAvisos[#Headers])</f>
        <v>223</v>
      </c>
      <c r="C227" t="s">
        <v>2502</v>
      </c>
      <c r="D227" s="871"/>
      <c r="E227" s="900" t="s">
        <v>2536</v>
      </c>
      <c r="F227" t="s">
        <v>971</v>
      </c>
      <c r="G227" t="s">
        <v>1003</v>
      </c>
      <c r="H227" t="s">
        <v>1158</v>
      </c>
      <c r="I227" t="s">
        <v>1173</v>
      </c>
      <c r="J227" t="s">
        <v>2515</v>
      </c>
      <c r="K227" t="s">
        <v>668</v>
      </c>
      <c r="L227" s="871"/>
      <c r="O227" s="256" t="str">
        <f ca="1">IF(OR(tblAvisos[[#This Row],[Estado trabajo]]="Cerrado",tblAvisos[[#This Row],[Fecha reporte]]=""),"",TODAY()-tblAvisos[[#This Row],[Fecha reporte]])</f>
        <v/>
      </c>
      <c r="P227" t="str">
        <f ca="1">IF(tblAvisos[[#This Row],[Fecha reporte]]="","Sin fecha",IF(tblAvisos[[#This Row],[Fecha reporte]]&lt;DATE(2020,1,1),"Fecha inválida",IF(tblAvisos[[#This Row],[Fecha reporte]]&gt;TODAY(),"Fecha futura",IF(tblAvisos[[#This Row],[Aviso SAP]]="","Sin aviso SAP",IF(tblAvisos[[#This Row],[Criticidad]]="","Sin criticidad","OK")))))</f>
        <v>Sin fecha</v>
      </c>
      <c r="Q227" s="901" t="s">
        <v>2806</v>
      </c>
    </row>
    <row r="228" spans="2:17">
      <c r="B228" s="853" cm="1">
        <f t="array" ref="B228">ROW()-ROW(tblAvisos[#Headers])</f>
        <v>224</v>
      </c>
      <c r="C228" t="s">
        <v>2502</v>
      </c>
      <c r="D228" s="871"/>
      <c r="E228" s="900" t="s">
        <v>2536</v>
      </c>
      <c r="F228" t="s">
        <v>990</v>
      </c>
      <c r="G228" t="s">
        <v>2807</v>
      </c>
      <c r="H228" t="s">
        <v>1158</v>
      </c>
      <c r="I228" t="s">
        <v>1173</v>
      </c>
      <c r="J228" t="s">
        <v>2514</v>
      </c>
      <c r="K228" t="s">
        <v>668</v>
      </c>
      <c r="L228" s="871"/>
      <c r="O228" s="256" t="str">
        <f ca="1">IF(OR(tblAvisos[[#This Row],[Estado trabajo]]="Cerrado",tblAvisos[[#This Row],[Fecha reporte]]=""),"",TODAY()-tblAvisos[[#This Row],[Fecha reporte]])</f>
        <v/>
      </c>
      <c r="P228" t="str">
        <f ca="1">IF(tblAvisos[[#This Row],[Fecha reporte]]="","Sin fecha",IF(tblAvisos[[#This Row],[Fecha reporte]]&lt;DATE(2020,1,1),"Fecha inválida",IF(tblAvisos[[#This Row],[Fecha reporte]]&gt;TODAY(),"Fecha futura",IF(tblAvisos[[#This Row],[Aviso SAP]]="","Sin aviso SAP",IF(tblAvisos[[#This Row],[Criticidad]]="","Sin criticidad","OK")))))</f>
        <v>Sin fecha</v>
      </c>
      <c r="Q228" s="901" t="s">
        <v>2808</v>
      </c>
    </row>
    <row r="229" spans="2:17">
      <c r="B229" s="853" cm="1">
        <f t="array" ref="B229">ROW()-ROW(tblAvisos[#Headers])</f>
        <v>225</v>
      </c>
      <c r="C229" t="s">
        <v>2502</v>
      </c>
      <c r="D229" s="871"/>
      <c r="E229" s="900" t="s">
        <v>2536</v>
      </c>
      <c r="F229" t="s">
        <v>289</v>
      </c>
      <c r="G229" t="s">
        <v>1005</v>
      </c>
      <c r="H229" t="s">
        <v>1158</v>
      </c>
      <c r="I229" t="s">
        <v>1173</v>
      </c>
      <c r="J229" t="s">
        <v>2515</v>
      </c>
      <c r="K229" t="s">
        <v>665</v>
      </c>
      <c r="L229" s="871"/>
      <c r="O229" s="256" t="str">
        <f ca="1">IF(OR(tblAvisos[[#This Row],[Estado trabajo]]="Cerrado",tblAvisos[[#This Row],[Fecha reporte]]=""),"",TODAY()-tblAvisos[[#This Row],[Fecha reporte]])</f>
        <v/>
      </c>
      <c r="P229" t="str">
        <f ca="1">IF(tblAvisos[[#This Row],[Fecha reporte]]="","Sin fecha",IF(tblAvisos[[#This Row],[Fecha reporte]]&lt;DATE(2020,1,1),"Fecha inválida",IF(tblAvisos[[#This Row],[Fecha reporte]]&gt;TODAY(),"Fecha futura",IF(tblAvisos[[#This Row],[Aviso SAP]]="","Sin aviso SAP",IF(tblAvisos[[#This Row],[Criticidad]]="","Sin criticidad","OK")))))</f>
        <v>Sin fecha</v>
      </c>
      <c r="Q229" s="901" t="s">
        <v>2809</v>
      </c>
    </row>
    <row r="230" spans="2:17">
      <c r="B230" s="853" cm="1">
        <f t="array" ref="B230">ROW()-ROW(tblAvisos[#Headers])</f>
        <v>226</v>
      </c>
      <c r="C230" t="s">
        <v>2502</v>
      </c>
      <c r="D230" s="871"/>
      <c r="E230" s="900" t="s">
        <v>2536</v>
      </c>
      <c r="F230" t="s">
        <v>1006</v>
      </c>
      <c r="G230" t="s">
        <v>1007</v>
      </c>
      <c r="H230" t="s">
        <v>1158</v>
      </c>
      <c r="I230" t="s">
        <v>1173</v>
      </c>
      <c r="J230" t="s">
        <v>2515</v>
      </c>
      <c r="K230" t="s">
        <v>665</v>
      </c>
      <c r="L230" s="871"/>
      <c r="O230" s="256" t="str">
        <f ca="1">IF(OR(tblAvisos[[#This Row],[Estado trabajo]]="Cerrado",tblAvisos[[#This Row],[Fecha reporte]]=""),"",TODAY()-tblAvisos[[#This Row],[Fecha reporte]])</f>
        <v/>
      </c>
      <c r="P230" t="str">
        <f ca="1">IF(tblAvisos[[#This Row],[Fecha reporte]]="","Sin fecha",IF(tblAvisos[[#This Row],[Fecha reporte]]&lt;DATE(2020,1,1),"Fecha inválida",IF(tblAvisos[[#This Row],[Fecha reporte]]&gt;TODAY(),"Fecha futura",IF(tblAvisos[[#This Row],[Aviso SAP]]="","Sin aviso SAP",IF(tblAvisos[[#This Row],[Criticidad]]="","Sin criticidad","OK")))))</f>
        <v>Sin fecha</v>
      </c>
      <c r="Q230" s="901" t="s">
        <v>2810</v>
      </c>
    </row>
    <row r="231" spans="2:17">
      <c r="B231" s="853" cm="1">
        <f t="array" ref="B231">ROW()-ROW(tblAvisos[#Headers])</f>
        <v>227</v>
      </c>
      <c r="C231" t="s">
        <v>2502</v>
      </c>
      <c r="D231" s="871">
        <v>46235</v>
      </c>
      <c r="E231" s="900" t="s">
        <v>2536</v>
      </c>
      <c r="F231" t="s">
        <v>971</v>
      </c>
      <c r="G231" t="s">
        <v>1008</v>
      </c>
      <c r="H231" t="s">
        <v>1158</v>
      </c>
      <c r="I231" t="s">
        <v>1173</v>
      </c>
      <c r="J231" t="s">
        <v>2514</v>
      </c>
      <c r="K231" t="s">
        <v>668</v>
      </c>
      <c r="L231" s="871"/>
      <c r="O231" s="256">
        <f ca="1">IF(OR(tblAvisos[[#This Row],[Estado trabajo]]="Cerrado",tblAvisos[[#This Row],[Fecha reporte]]=""),"",TODAY()-tblAvisos[[#This Row],[Fecha reporte]])</f>
        <v>60</v>
      </c>
      <c r="P231" t="str">
        <f ca="1">IF(tblAvisos[[#This Row],[Fecha reporte]]="","Sin fecha",IF(tblAvisos[[#This Row],[Fecha reporte]]&lt;DATE(2020,1,1),"Fecha inválida",IF(tblAvisos[[#This Row],[Fecha reporte]]&gt;TODAY(),"Fecha futura",IF(tblAvisos[[#This Row],[Aviso SAP]]="","Sin aviso SAP",IF(tblAvisos[[#This Row],[Criticidad]]="","Sin criticidad","OK")))))</f>
        <v>Sin aviso SAP</v>
      </c>
      <c r="Q231" s="901" t="s">
        <v>2811</v>
      </c>
    </row>
    <row r="232" spans="2:17">
      <c r="B232" s="853" cm="1">
        <f t="array" ref="B232">ROW()-ROW(tblAvisos[#Headers])</f>
        <v>228</v>
      </c>
      <c r="C232" t="s">
        <v>2502</v>
      </c>
      <c r="D232" s="871"/>
      <c r="E232" s="900" t="s">
        <v>2536</v>
      </c>
      <c r="F232" t="s">
        <v>832</v>
      </c>
      <c r="G232" t="s">
        <v>1009</v>
      </c>
      <c r="H232" t="s">
        <v>2506</v>
      </c>
      <c r="I232" t="s">
        <v>1173</v>
      </c>
      <c r="J232" t="s">
        <v>2515</v>
      </c>
      <c r="K232" t="s">
        <v>665</v>
      </c>
      <c r="L232" s="871"/>
      <c r="O232" s="256" t="str">
        <f ca="1">IF(OR(tblAvisos[[#This Row],[Estado trabajo]]="Cerrado",tblAvisos[[#This Row],[Fecha reporte]]=""),"",TODAY()-tblAvisos[[#This Row],[Fecha reporte]])</f>
        <v/>
      </c>
      <c r="P232" t="str">
        <f ca="1">IF(tblAvisos[[#This Row],[Fecha reporte]]="","Sin fecha",IF(tblAvisos[[#This Row],[Fecha reporte]]&lt;DATE(2020,1,1),"Fecha inválida",IF(tblAvisos[[#This Row],[Fecha reporte]]&gt;TODAY(),"Fecha futura",IF(tblAvisos[[#This Row],[Aviso SAP]]="","Sin aviso SAP",IF(tblAvisos[[#This Row],[Criticidad]]="","Sin criticidad","OK")))))</f>
        <v>Sin fecha</v>
      </c>
      <c r="Q232" s="901" t="s">
        <v>2812</v>
      </c>
    </row>
    <row r="233" spans="2:17">
      <c r="B233" s="853" cm="1">
        <f t="array" ref="B233">ROW()-ROW(tblAvisos[#Headers])</f>
        <v>229</v>
      </c>
      <c r="C233" t="s">
        <v>2502</v>
      </c>
      <c r="D233" s="871"/>
      <c r="E233" s="900" t="s">
        <v>2536</v>
      </c>
      <c r="F233" t="s">
        <v>1011</v>
      </c>
      <c r="G233" t="s">
        <v>1012</v>
      </c>
      <c r="H233" t="s">
        <v>1170</v>
      </c>
      <c r="I233" t="s">
        <v>1173</v>
      </c>
      <c r="J233" t="s">
        <v>2514</v>
      </c>
      <c r="K233" t="s">
        <v>668</v>
      </c>
      <c r="L233" s="871"/>
      <c r="O233" s="256" t="str">
        <f ca="1">IF(OR(tblAvisos[[#This Row],[Estado trabajo]]="Cerrado",tblAvisos[[#This Row],[Fecha reporte]]=""),"",TODAY()-tblAvisos[[#This Row],[Fecha reporte]])</f>
        <v/>
      </c>
      <c r="P233" t="str">
        <f ca="1">IF(tblAvisos[[#This Row],[Fecha reporte]]="","Sin fecha",IF(tblAvisos[[#This Row],[Fecha reporte]]&lt;DATE(2020,1,1),"Fecha inválida",IF(tblAvisos[[#This Row],[Fecha reporte]]&gt;TODAY(),"Fecha futura",IF(tblAvisos[[#This Row],[Aviso SAP]]="","Sin aviso SAP",IF(tblAvisos[[#This Row],[Criticidad]]="","Sin criticidad","OK")))))</f>
        <v>Sin fecha</v>
      </c>
      <c r="Q233" s="901" t="s">
        <v>2813</v>
      </c>
    </row>
    <row r="234" spans="2:17">
      <c r="B234" s="853" cm="1">
        <f t="array" ref="B234">ROW()-ROW(tblAvisos[#Headers])</f>
        <v>230</v>
      </c>
      <c r="C234" t="s">
        <v>2502</v>
      </c>
      <c r="D234" s="871"/>
      <c r="E234" s="900" t="s">
        <v>2536</v>
      </c>
      <c r="F234" t="s">
        <v>990</v>
      </c>
      <c r="G234" t="s">
        <v>960</v>
      </c>
      <c r="H234" t="s">
        <v>1158</v>
      </c>
      <c r="I234" t="s">
        <v>1173</v>
      </c>
      <c r="J234" t="s">
        <v>2514</v>
      </c>
      <c r="K234" t="s">
        <v>668</v>
      </c>
      <c r="L234" s="871"/>
      <c r="O234" s="256" t="str">
        <f ca="1">IF(OR(tblAvisos[[#This Row],[Estado trabajo]]="Cerrado",tblAvisos[[#This Row],[Fecha reporte]]=""),"",TODAY()-tblAvisos[[#This Row],[Fecha reporte]])</f>
        <v/>
      </c>
      <c r="P234" t="str">
        <f ca="1">IF(tblAvisos[[#This Row],[Fecha reporte]]="","Sin fecha",IF(tblAvisos[[#This Row],[Fecha reporte]]&lt;DATE(2020,1,1),"Fecha inválida",IF(tblAvisos[[#This Row],[Fecha reporte]]&gt;TODAY(),"Fecha futura",IF(tblAvisos[[#This Row],[Aviso SAP]]="","Sin aviso SAP",IF(tblAvisos[[#This Row],[Criticidad]]="","Sin criticidad","OK")))))</f>
        <v>Sin fecha</v>
      </c>
      <c r="Q234" s="901" t="s">
        <v>2814</v>
      </c>
    </row>
    <row r="235" spans="2:17">
      <c r="B235" s="853" cm="1">
        <f t="array" ref="B235">ROW()-ROW(tblAvisos[#Headers])</f>
        <v>231</v>
      </c>
      <c r="C235" t="s">
        <v>2502</v>
      </c>
      <c r="D235" s="871"/>
      <c r="E235" s="900" t="s">
        <v>2536</v>
      </c>
      <c r="F235" t="s">
        <v>301</v>
      </c>
      <c r="G235" t="s">
        <v>1013</v>
      </c>
      <c r="H235" t="s">
        <v>1158</v>
      </c>
      <c r="I235" t="s">
        <v>1173</v>
      </c>
      <c r="J235" t="s">
        <v>2515</v>
      </c>
      <c r="K235" t="s">
        <v>665</v>
      </c>
      <c r="L235" s="871"/>
      <c r="O235" s="256" t="str">
        <f ca="1">IF(OR(tblAvisos[[#This Row],[Estado trabajo]]="Cerrado",tblAvisos[[#This Row],[Fecha reporte]]=""),"",TODAY()-tblAvisos[[#This Row],[Fecha reporte]])</f>
        <v/>
      </c>
      <c r="P235" t="str">
        <f ca="1">IF(tblAvisos[[#This Row],[Fecha reporte]]="","Sin fecha",IF(tblAvisos[[#This Row],[Fecha reporte]]&lt;DATE(2020,1,1),"Fecha inválida",IF(tblAvisos[[#This Row],[Fecha reporte]]&gt;TODAY(),"Fecha futura",IF(tblAvisos[[#This Row],[Aviso SAP]]="","Sin aviso SAP",IF(tblAvisos[[#This Row],[Criticidad]]="","Sin criticidad","OK")))))</f>
        <v>Sin fecha</v>
      </c>
      <c r="Q235" s="901" t="s">
        <v>2815</v>
      </c>
    </row>
    <row r="236" spans="2:17">
      <c r="B236" s="853" cm="1">
        <f t="array" ref="B236">ROW()-ROW(tblAvisos[#Headers])</f>
        <v>232</v>
      </c>
      <c r="C236" t="s">
        <v>2502</v>
      </c>
      <c r="D236" s="871">
        <v>46266</v>
      </c>
      <c r="E236" s="900" t="s">
        <v>2536</v>
      </c>
      <c r="F236" t="s">
        <v>808</v>
      </c>
      <c r="G236" t="s">
        <v>1014</v>
      </c>
      <c r="H236" t="s">
        <v>1158</v>
      </c>
      <c r="I236" t="s">
        <v>1173</v>
      </c>
      <c r="J236" t="s">
        <v>2515</v>
      </c>
      <c r="K236" t="s">
        <v>665</v>
      </c>
      <c r="L236" s="871"/>
      <c r="O236" s="256">
        <f ca="1">IF(OR(tblAvisos[[#This Row],[Estado trabajo]]="Cerrado",tblAvisos[[#This Row],[Fecha reporte]]=""),"",TODAY()-tblAvisos[[#This Row],[Fecha reporte]])</f>
        <v>29</v>
      </c>
      <c r="P236" t="str">
        <f ca="1">IF(tblAvisos[[#This Row],[Fecha reporte]]="","Sin fecha",IF(tblAvisos[[#This Row],[Fecha reporte]]&lt;DATE(2020,1,1),"Fecha inválida",IF(tblAvisos[[#This Row],[Fecha reporte]]&gt;TODAY(),"Fecha futura",IF(tblAvisos[[#This Row],[Aviso SAP]]="","Sin aviso SAP",IF(tblAvisos[[#This Row],[Criticidad]]="","Sin criticidad","OK")))))</f>
        <v>Sin aviso SAP</v>
      </c>
      <c r="Q236" s="901" t="s">
        <v>2816</v>
      </c>
    </row>
    <row r="237" spans="2:17">
      <c r="B237" s="853" cm="1">
        <f t="array" ref="B237">ROW()-ROW(tblAvisos[#Headers])</f>
        <v>233</v>
      </c>
      <c r="C237" t="s">
        <v>2502</v>
      </c>
      <c r="D237" s="871"/>
      <c r="E237" s="900" t="s">
        <v>2536</v>
      </c>
      <c r="F237" t="s">
        <v>887</v>
      </c>
      <c r="G237" t="s">
        <v>1015</v>
      </c>
      <c r="H237" t="s">
        <v>1158</v>
      </c>
      <c r="I237" t="s">
        <v>1173</v>
      </c>
      <c r="J237" t="s">
        <v>2514</v>
      </c>
      <c r="K237" t="s">
        <v>668</v>
      </c>
      <c r="L237" s="871"/>
      <c r="O237" s="256" t="str">
        <f ca="1">IF(OR(tblAvisos[[#This Row],[Estado trabajo]]="Cerrado",tblAvisos[[#This Row],[Fecha reporte]]=""),"",TODAY()-tblAvisos[[#This Row],[Fecha reporte]])</f>
        <v/>
      </c>
      <c r="P237" t="str">
        <f ca="1">IF(tblAvisos[[#This Row],[Fecha reporte]]="","Sin fecha",IF(tblAvisos[[#This Row],[Fecha reporte]]&lt;DATE(2020,1,1),"Fecha inválida",IF(tblAvisos[[#This Row],[Fecha reporte]]&gt;TODAY(),"Fecha futura",IF(tblAvisos[[#This Row],[Aviso SAP]]="","Sin aviso SAP",IF(tblAvisos[[#This Row],[Criticidad]]="","Sin criticidad","OK")))))</f>
        <v>Sin fecha</v>
      </c>
      <c r="Q237" s="901" t="s">
        <v>2817</v>
      </c>
    </row>
    <row r="238" spans="2:17">
      <c r="B238" s="853" cm="1">
        <f t="array" ref="B238">ROW()-ROW(tblAvisos[#Headers])</f>
        <v>234</v>
      </c>
      <c r="C238" t="s">
        <v>2502</v>
      </c>
      <c r="D238" s="871"/>
      <c r="E238" s="900" t="s">
        <v>2536</v>
      </c>
      <c r="F238" t="s">
        <v>995</v>
      </c>
      <c r="G238" t="s">
        <v>1016</v>
      </c>
      <c r="H238" t="s">
        <v>1158</v>
      </c>
      <c r="I238" t="s">
        <v>1173</v>
      </c>
      <c r="J238" t="s">
        <v>2515</v>
      </c>
      <c r="K238" t="s">
        <v>665</v>
      </c>
      <c r="L238" s="871"/>
      <c r="O238" s="256" t="str">
        <f ca="1">IF(OR(tblAvisos[[#This Row],[Estado trabajo]]="Cerrado",tblAvisos[[#This Row],[Fecha reporte]]=""),"",TODAY()-tblAvisos[[#This Row],[Fecha reporte]])</f>
        <v/>
      </c>
      <c r="P238" t="str">
        <f ca="1">IF(tblAvisos[[#This Row],[Fecha reporte]]="","Sin fecha",IF(tblAvisos[[#This Row],[Fecha reporte]]&lt;DATE(2020,1,1),"Fecha inválida",IF(tblAvisos[[#This Row],[Fecha reporte]]&gt;TODAY(),"Fecha futura",IF(tblAvisos[[#This Row],[Aviso SAP]]="","Sin aviso SAP",IF(tblAvisos[[#This Row],[Criticidad]]="","Sin criticidad","OK")))))</f>
        <v>Sin fecha</v>
      </c>
      <c r="Q238" s="901" t="s">
        <v>2818</v>
      </c>
    </row>
    <row r="239" spans="2:17">
      <c r="B239" s="853" cm="1">
        <f t="array" ref="B239">ROW()-ROW(tblAvisos[#Headers])</f>
        <v>235</v>
      </c>
      <c r="C239" t="s">
        <v>2502</v>
      </c>
      <c r="D239" s="871"/>
      <c r="E239" s="900" t="s">
        <v>2536</v>
      </c>
      <c r="F239" t="s">
        <v>289</v>
      </c>
      <c r="G239" t="s">
        <v>1017</v>
      </c>
      <c r="H239" t="s">
        <v>1158</v>
      </c>
      <c r="I239" t="s">
        <v>1173</v>
      </c>
      <c r="J239" t="s">
        <v>2515</v>
      </c>
      <c r="K239" t="s">
        <v>665</v>
      </c>
      <c r="L239" s="871"/>
      <c r="O239" s="256" t="str">
        <f ca="1">IF(OR(tblAvisos[[#This Row],[Estado trabajo]]="Cerrado",tblAvisos[[#This Row],[Fecha reporte]]=""),"",TODAY()-tblAvisos[[#This Row],[Fecha reporte]])</f>
        <v/>
      </c>
      <c r="P239" t="str">
        <f ca="1">IF(tblAvisos[[#This Row],[Fecha reporte]]="","Sin fecha",IF(tblAvisos[[#This Row],[Fecha reporte]]&lt;DATE(2020,1,1),"Fecha inválida",IF(tblAvisos[[#This Row],[Fecha reporte]]&gt;TODAY(),"Fecha futura",IF(tblAvisos[[#This Row],[Aviso SAP]]="","Sin aviso SAP",IF(tblAvisos[[#This Row],[Criticidad]]="","Sin criticidad","OK")))))</f>
        <v>Sin fecha</v>
      </c>
      <c r="Q239" s="901" t="s">
        <v>2819</v>
      </c>
    </row>
    <row r="240" spans="2:17">
      <c r="B240" s="853" cm="1">
        <f t="array" ref="B240">ROW()-ROW(tblAvisos[#Headers])</f>
        <v>236</v>
      </c>
      <c r="C240" t="s">
        <v>2502</v>
      </c>
      <c r="D240" s="871">
        <v>46296</v>
      </c>
      <c r="E240" s="900" t="s">
        <v>2536</v>
      </c>
      <c r="F240" t="s">
        <v>1011</v>
      </c>
      <c r="G240" t="s">
        <v>1012</v>
      </c>
      <c r="H240" t="s">
        <v>1170</v>
      </c>
      <c r="I240" t="s">
        <v>1173</v>
      </c>
      <c r="J240" t="s">
        <v>2515</v>
      </c>
      <c r="K240" t="s">
        <v>665</v>
      </c>
      <c r="L240" s="871"/>
      <c r="O240" s="256">
        <f ca="1">IF(OR(tblAvisos[[#This Row],[Estado trabajo]]="Cerrado",tblAvisos[[#This Row],[Fecha reporte]]=""),"",TODAY()-tblAvisos[[#This Row],[Fecha reporte]])</f>
        <v>-1</v>
      </c>
      <c r="P240" t="str">
        <f ca="1">IF(tblAvisos[[#This Row],[Fecha reporte]]="","Sin fecha",IF(tblAvisos[[#This Row],[Fecha reporte]]&lt;DATE(2020,1,1),"Fecha inválida",IF(tblAvisos[[#This Row],[Fecha reporte]]&gt;TODAY(),"Fecha futura",IF(tblAvisos[[#This Row],[Aviso SAP]]="","Sin aviso SAP",IF(tblAvisos[[#This Row],[Criticidad]]="","Sin criticidad","OK")))))</f>
        <v>Fecha futura</v>
      </c>
      <c r="Q240" s="901" t="s">
        <v>2820</v>
      </c>
    </row>
    <row r="241" spans="2:17">
      <c r="B241" s="853" cm="1">
        <f t="array" ref="B241">ROW()-ROW(tblAvisos[#Headers])</f>
        <v>237</v>
      </c>
      <c r="C241" t="s">
        <v>2502</v>
      </c>
      <c r="D241" s="871"/>
      <c r="E241" s="900" t="s">
        <v>2536</v>
      </c>
      <c r="F241" t="s">
        <v>1018</v>
      </c>
      <c r="G241" t="s">
        <v>1019</v>
      </c>
      <c r="H241" t="s">
        <v>1158</v>
      </c>
      <c r="I241" t="s">
        <v>1173</v>
      </c>
      <c r="J241" t="s">
        <v>2515</v>
      </c>
      <c r="K241" t="s">
        <v>668</v>
      </c>
      <c r="L241" s="871"/>
      <c r="O241" s="256" t="str">
        <f ca="1">IF(OR(tblAvisos[[#This Row],[Estado trabajo]]="Cerrado",tblAvisos[[#This Row],[Fecha reporte]]=""),"",TODAY()-tblAvisos[[#This Row],[Fecha reporte]])</f>
        <v/>
      </c>
      <c r="P241" t="str">
        <f ca="1">IF(tblAvisos[[#This Row],[Fecha reporte]]="","Sin fecha",IF(tblAvisos[[#This Row],[Fecha reporte]]&lt;DATE(2020,1,1),"Fecha inválida",IF(tblAvisos[[#This Row],[Fecha reporte]]&gt;TODAY(),"Fecha futura",IF(tblAvisos[[#This Row],[Aviso SAP]]="","Sin aviso SAP",IF(tblAvisos[[#This Row],[Criticidad]]="","Sin criticidad","OK")))))</f>
        <v>Sin fecha</v>
      </c>
      <c r="Q241" s="901" t="s">
        <v>2821</v>
      </c>
    </row>
    <row r="242" spans="2:17">
      <c r="B242" s="853" cm="1">
        <f t="array" ref="B242">ROW()-ROW(tblAvisos[#Headers])</f>
        <v>238</v>
      </c>
      <c r="C242" t="s">
        <v>2502</v>
      </c>
      <c r="D242" s="871"/>
      <c r="E242" s="900" t="s">
        <v>2536</v>
      </c>
      <c r="F242" t="s">
        <v>299</v>
      </c>
      <c r="G242" t="s">
        <v>1020</v>
      </c>
      <c r="H242" t="s">
        <v>1158</v>
      </c>
      <c r="I242" t="s">
        <v>1173</v>
      </c>
      <c r="J242" t="s">
        <v>2514</v>
      </c>
      <c r="K242" t="s">
        <v>665</v>
      </c>
      <c r="L242" s="871"/>
      <c r="O242" s="256" t="str">
        <f ca="1">IF(OR(tblAvisos[[#This Row],[Estado trabajo]]="Cerrado",tblAvisos[[#This Row],[Fecha reporte]]=""),"",TODAY()-tblAvisos[[#This Row],[Fecha reporte]])</f>
        <v/>
      </c>
      <c r="P242" t="str">
        <f ca="1">IF(tblAvisos[[#This Row],[Fecha reporte]]="","Sin fecha",IF(tblAvisos[[#This Row],[Fecha reporte]]&lt;DATE(2020,1,1),"Fecha inválida",IF(tblAvisos[[#This Row],[Fecha reporte]]&gt;TODAY(),"Fecha futura",IF(tblAvisos[[#This Row],[Aviso SAP]]="","Sin aviso SAP",IF(tblAvisos[[#This Row],[Criticidad]]="","Sin criticidad","OK")))))</f>
        <v>Sin fecha</v>
      </c>
      <c r="Q242" s="901" t="s">
        <v>2822</v>
      </c>
    </row>
    <row r="243" spans="2:17">
      <c r="B243" s="853" cm="1">
        <f t="array" ref="B243">ROW()-ROW(tblAvisos[#Headers])</f>
        <v>239</v>
      </c>
      <c r="C243" t="s">
        <v>2502</v>
      </c>
      <c r="D243" s="871"/>
      <c r="E243" s="900" t="s">
        <v>2536</v>
      </c>
      <c r="F243" t="s">
        <v>824</v>
      </c>
      <c r="G243" t="s">
        <v>1022</v>
      </c>
      <c r="H243" t="s">
        <v>1158</v>
      </c>
      <c r="I243" t="s">
        <v>1173</v>
      </c>
      <c r="J243" t="s">
        <v>2514</v>
      </c>
      <c r="K243" t="s">
        <v>668</v>
      </c>
      <c r="L243" s="871"/>
      <c r="O243" s="256" t="str">
        <f ca="1">IF(OR(tblAvisos[[#This Row],[Estado trabajo]]="Cerrado",tblAvisos[[#This Row],[Fecha reporte]]=""),"",TODAY()-tblAvisos[[#This Row],[Fecha reporte]])</f>
        <v/>
      </c>
      <c r="P243" t="str">
        <f ca="1">IF(tblAvisos[[#This Row],[Fecha reporte]]="","Sin fecha",IF(tblAvisos[[#This Row],[Fecha reporte]]&lt;DATE(2020,1,1),"Fecha inválida",IF(tblAvisos[[#This Row],[Fecha reporte]]&gt;TODAY(),"Fecha futura",IF(tblAvisos[[#This Row],[Aviso SAP]]="","Sin aviso SAP",IF(tblAvisos[[#This Row],[Criticidad]]="","Sin criticidad","OK")))))</f>
        <v>Sin fecha</v>
      </c>
      <c r="Q243" s="901" t="s">
        <v>2823</v>
      </c>
    </row>
    <row r="244" spans="2:17">
      <c r="B244" s="853" cm="1">
        <f t="array" ref="B244">ROW()-ROW(tblAvisos[#Headers])</f>
        <v>240</v>
      </c>
      <c r="C244" t="s">
        <v>2502</v>
      </c>
      <c r="D244" s="871"/>
      <c r="E244" s="900" t="s">
        <v>2536</v>
      </c>
      <c r="F244" t="s">
        <v>1023</v>
      </c>
      <c r="G244" t="s">
        <v>1024</v>
      </c>
      <c r="H244" t="s">
        <v>2507</v>
      </c>
      <c r="I244" t="s">
        <v>1173</v>
      </c>
      <c r="J244" t="s">
        <v>2514</v>
      </c>
      <c r="K244" t="s">
        <v>665</v>
      </c>
      <c r="L244" s="871"/>
      <c r="O244" s="256" t="str">
        <f ca="1">IF(OR(tblAvisos[[#This Row],[Estado trabajo]]="Cerrado",tblAvisos[[#This Row],[Fecha reporte]]=""),"",TODAY()-tblAvisos[[#This Row],[Fecha reporte]])</f>
        <v/>
      </c>
      <c r="P244" t="str">
        <f ca="1">IF(tblAvisos[[#This Row],[Fecha reporte]]="","Sin fecha",IF(tblAvisos[[#This Row],[Fecha reporte]]&lt;DATE(2020,1,1),"Fecha inválida",IF(tblAvisos[[#This Row],[Fecha reporte]]&gt;TODAY(),"Fecha futura",IF(tblAvisos[[#This Row],[Aviso SAP]]="","Sin aviso SAP",IF(tblAvisos[[#This Row],[Criticidad]]="","Sin criticidad","OK")))))</f>
        <v>Sin fecha</v>
      </c>
      <c r="Q244" s="901" t="s">
        <v>2824</v>
      </c>
    </row>
    <row r="245" spans="2:17">
      <c r="B245" s="853" cm="1">
        <f t="array" ref="B245">ROW()-ROW(tblAvisos[#Headers])</f>
        <v>241</v>
      </c>
      <c r="C245" t="s">
        <v>2502</v>
      </c>
      <c r="D245" s="871">
        <v>46357</v>
      </c>
      <c r="E245" s="900" t="s">
        <v>2536</v>
      </c>
      <c r="F245" t="s">
        <v>1025</v>
      </c>
      <c r="G245" t="s">
        <v>2825</v>
      </c>
      <c r="H245" t="s">
        <v>1158</v>
      </c>
      <c r="I245" t="s">
        <v>1173</v>
      </c>
      <c r="J245" t="s">
        <v>2515</v>
      </c>
      <c r="K245" t="s">
        <v>665</v>
      </c>
      <c r="L245" s="871"/>
      <c r="O245" s="256">
        <f ca="1">IF(OR(tblAvisos[[#This Row],[Estado trabajo]]="Cerrado",tblAvisos[[#This Row],[Fecha reporte]]=""),"",TODAY()-tblAvisos[[#This Row],[Fecha reporte]])</f>
        <v>-62</v>
      </c>
      <c r="P245" t="str">
        <f ca="1">IF(tblAvisos[[#This Row],[Fecha reporte]]="","Sin fecha",IF(tblAvisos[[#This Row],[Fecha reporte]]&lt;DATE(2020,1,1),"Fecha inválida",IF(tblAvisos[[#This Row],[Fecha reporte]]&gt;TODAY(),"Fecha futura",IF(tblAvisos[[#This Row],[Aviso SAP]]="","Sin aviso SAP",IF(tblAvisos[[#This Row],[Criticidad]]="","Sin criticidad","OK")))))</f>
        <v>Fecha futura</v>
      </c>
      <c r="Q245" s="901" t="s">
        <v>2826</v>
      </c>
    </row>
    <row r="246" spans="2:17">
      <c r="B246" s="853" cm="1">
        <f t="array" ref="B246">ROW()-ROW(tblAvisos[#Headers])</f>
        <v>242</v>
      </c>
      <c r="C246" t="s">
        <v>2502</v>
      </c>
      <c r="D246" s="871"/>
      <c r="E246" s="900" t="s">
        <v>2536</v>
      </c>
      <c r="F246" t="s">
        <v>269</v>
      </c>
      <c r="G246" t="s">
        <v>903</v>
      </c>
      <c r="H246" t="s">
        <v>1158</v>
      </c>
      <c r="I246" t="s">
        <v>1173</v>
      </c>
      <c r="J246" t="s">
        <v>2515</v>
      </c>
      <c r="K246" t="s">
        <v>668</v>
      </c>
      <c r="L246" s="871"/>
      <c r="O246" s="256" t="str">
        <f ca="1">IF(OR(tblAvisos[[#This Row],[Estado trabajo]]="Cerrado",tblAvisos[[#This Row],[Fecha reporte]]=""),"",TODAY()-tblAvisos[[#This Row],[Fecha reporte]])</f>
        <v/>
      </c>
      <c r="P246" t="str">
        <f ca="1">IF(tblAvisos[[#This Row],[Fecha reporte]]="","Sin fecha",IF(tblAvisos[[#This Row],[Fecha reporte]]&lt;DATE(2020,1,1),"Fecha inválida",IF(tblAvisos[[#This Row],[Fecha reporte]]&gt;TODAY(),"Fecha futura",IF(tblAvisos[[#This Row],[Aviso SAP]]="","Sin aviso SAP",IF(tblAvisos[[#This Row],[Criticidad]]="","Sin criticidad","OK")))))</f>
        <v>Sin fecha</v>
      </c>
      <c r="Q246" s="901" t="s">
        <v>2827</v>
      </c>
    </row>
    <row r="247" spans="2:17">
      <c r="B247" s="853" cm="1">
        <f t="array" ref="B247">ROW()-ROW(tblAvisos[#Headers])</f>
        <v>243</v>
      </c>
      <c r="C247" t="s">
        <v>2502</v>
      </c>
      <c r="D247" s="871"/>
      <c r="E247" s="900" t="s">
        <v>2536</v>
      </c>
      <c r="F247" t="s">
        <v>262</v>
      </c>
      <c r="G247" t="s">
        <v>1027</v>
      </c>
      <c r="H247" t="s">
        <v>1158</v>
      </c>
      <c r="I247" t="s">
        <v>1173</v>
      </c>
      <c r="J247" t="s">
        <v>2515</v>
      </c>
      <c r="K247" t="s">
        <v>668</v>
      </c>
      <c r="L247" s="871"/>
      <c r="O247" s="256" t="str">
        <f ca="1">IF(OR(tblAvisos[[#This Row],[Estado trabajo]]="Cerrado",tblAvisos[[#This Row],[Fecha reporte]]=""),"",TODAY()-tblAvisos[[#This Row],[Fecha reporte]])</f>
        <v/>
      </c>
      <c r="P247" t="str">
        <f ca="1">IF(tblAvisos[[#This Row],[Fecha reporte]]="","Sin fecha",IF(tblAvisos[[#This Row],[Fecha reporte]]&lt;DATE(2020,1,1),"Fecha inválida",IF(tblAvisos[[#This Row],[Fecha reporte]]&gt;TODAY(),"Fecha futura",IF(tblAvisos[[#This Row],[Aviso SAP]]="","Sin aviso SAP",IF(tblAvisos[[#This Row],[Criticidad]]="","Sin criticidad","OK")))))</f>
        <v>Sin fecha</v>
      </c>
      <c r="Q247" s="901" t="s">
        <v>2828</v>
      </c>
    </row>
    <row r="248" spans="2:17">
      <c r="B248" s="853" cm="1">
        <f t="array" ref="B248">ROW()-ROW(tblAvisos[#Headers])</f>
        <v>244</v>
      </c>
      <c r="C248" t="s">
        <v>2502</v>
      </c>
      <c r="D248" s="871"/>
      <c r="E248" s="900" t="s">
        <v>2536</v>
      </c>
      <c r="F248" t="s">
        <v>292</v>
      </c>
      <c r="G248" t="s">
        <v>976</v>
      </c>
      <c r="H248" t="s">
        <v>1158</v>
      </c>
      <c r="I248" t="s">
        <v>1173</v>
      </c>
      <c r="J248" t="s">
        <v>2515</v>
      </c>
      <c r="K248" t="s">
        <v>668</v>
      </c>
      <c r="L248" s="871"/>
      <c r="O248" s="256" t="str">
        <f ca="1">IF(OR(tblAvisos[[#This Row],[Estado trabajo]]="Cerrado",tblAvisos[[#This Row],[Fecha reporte]]=""),"",TODAY()-tblAvisos[[#This Row],[Fecha reporte]])</f>
        <v/>
      </c>
      <c r="P248" t="str">
        <f ca="1">IF(tblAvisos[[#This Row],[Fecha reporte]]="","Sin fecha",IF(tblAvisos[[#This Row],[Fecha reporte]]&lt;DATE(2020,1,1),"Fecha inválida",IF(tblAvisos[[#This Row],[Fecha reporte]]&gt;TODAY(),"Fecha futura",IF(tblAvisos[[#This Row],[Aviso SAP]]="","Sin aviso SAP",IF(tblAvisos[[#This Row],[Criticidad]]="","Sin criticidad","OK")))))</f>
        <v>Sin fecha</v>
      </c>
      <c r="Q248" s="901" t="s">
        <v>2829</v>
      </c>
    </row>
    <row r="249" spans="2:17">
      <c r="B249" s="853" cm="1">
        <f t="array" ref="B249">ROW()-ROW(tblAvisos[#Headers])</f>
        <v>245</v>
      </c>
      <c r="C249" t="s">
        <v>2502</v>
      </c>
      <c r="D249" s="871"/>
      <c r="E249" s="900" t="s">
        <v>2536</v>
      </c>
      <c r="F249" t="s">
        <v>958</v>
      </c>
      <c r="G249" t="s">
        <v>1028</v>
      </c>
      <c r="H249" t="s">
        <v>1158</v>
      </c>
      <c r="I249" t="s">
        <v>1173</v>
      </c>
      <c r="J249" t="s">
        <v>2515</v>
      </c>
      <c r="K249" t="s">
        <v>665</v>
      </c>
      <c r="L249" s="871"/>
      <c r="O249" s="256" t="str">
        <f ca="1">IF(OR(tblAvisos[[#This Row],[Estado trabajo]]="Cerrado",tblAvisos[[#This Row],[Fecha reporte]]=""),"",TODAY()-tblAvisos[[#This Row],[Fecha reporte]])</f>
        <v/>
      </c>
      <c r="P249" t="str">
        <f ca="1">IF(tblAvisos[[#This Row],[Fecha reporte]]="","Sin fecha",IF(tblAvisos[[#This Row],[Fecha reporte]]&lt;DATE(2020,1,1),"Fecha inválida",IF(tblAvisos[[#This Row],[Fecha reporte]]&gt;TODAY(),"Fecha futura",IF(tblAvisos[[#This Row],[Aviso SAP]]="","Sin aviso SAP",IF(tblAvisos[[#This Row],[Criticidad]]="","Sin criticidad","OK")))))</f>
        <v>Sin fecha</v>
      </c>
      <c r="Q249" s="901" t="s">
        <v>2830</v>
      </c>
    </row>
    <row r="250" spans="2:17">
      <c r="B250" s="853" cm="1">
        <f t="array" ref="B250">ROW()-ROW(tblAvisos[#Headers])</f>
        <v>246</v>
      </c>
      <c r="C250" t="s">
        <v>2502</v>
      </c>
      <c r="D250" s="871">
        <v>46035</v>
      </c>
      <c r="E250" s="900" t="s">
        <v>2536</v>
      </c>
      <c r="F250" t="s">
        <v>259</v>
      </c>
      <c r="G250" t="s">
        <v>1030</v>
      </c>
      <c r="H250" t="s">
        <v>1158</v>
      </c>
      <c r="I250" t="s">
        <v>1173</v>
      </c>
      <c r="J250" t="s">
        <v>2515</v>
      </c>
      <c r="K250" t="s">
        <v>668</v>
      </c>
      <c r="L250" s="871"/>
      <c r="O250" s="256">
        <f ca="1">IF(OR(tblAvisos[[#This Row],[Estado trabajo]]="Cerrado",tblAvisos[[#This Row],[Fecha reporte]]=""),"",TODAY()-tblAvisos[[#This Row],[Fecha reporte]])</f>
        <v>260</v>
      </c>
      <c r="P250" t="str">
        <f ca="1">IF(tblAvisos[[#This Row],[Fecha reporte]]="","Sin fecha",IF(tblAvisos[[#This Row],[Fecha reporte]]&lt;DATE(2020,1,1),"Fecha inválida",IF(tblAvisos[[#This Row],[Fecha reporte]]&gt;TODAY(),"Fecha futura",IF(tblAvisos[[#This Row],[Aviso SAP]]="","Sin aviso SAP",IF(tblAvisos[[#This Row],[Criticidad]]="","Sin criticidad","OK")))))</f>
        <v>Sin aviso SAP</v>
      </c>
      <c r="Q250" s="901" t="s">
        <v>2831</v>
      </c>
    </row>
    <row r="251" spans="2:17">
      <c r="B251" s="853" cm="1">
        <f t="array" ref="B251">ROW()-ROW(tblAvisos[#Headers])</f>
        <v>247</v>
      </c>
      <c r="C251" t="s">
        <v>2502</v>
      </c>
      <c r="D251" s="871"/>
      <c r="E251" s="900" t="s">
        <v>2536</v>
      </c>
      <c r="F251" t="s">
        <v>900</v>
      </c>
      <c r="G251" t="s">
        <v>1001</v>
      </c>
      <c r="H251" t="s">
        <v>1158</v>
      </c>
      <c r="I251" t="s">
        <v>1173</v>
      </c>
      <c r="J251" t="s">
        <v>2515</v>
      </c>
      <c r="K251" t="s">
        <v>665</v>
      </c>
      <c r="L251" s="871"/>
      <c r="O251" s="256" t="str">
        <f ca="1">IF(OR(tblAvisos[[#This Row],[Estado trabajo]]="Cerrado",tblAvisos[[#This Row],[Fecha reporte]]=""),"",TODAY()-tblAvisos[[#This Row],[Fecha reporte]])</f>
        <v/>
      </c>
      <c r="P251" t="str">
        <f ca="1">IF(tblAvisos[[#This Row],[Fecha reporte]]="","Sin fecha",IF(tblAvisos[[#This Row],[Fecha reporte]]&lt;DATE(2020,1,1),"Fecha inválida",IF(tblAvisos[[#This Row],[Fecha reporte]]&gt;TODAY(),"Fecha futura",IF(tblAvisos[[#This Row],[Aviso SAP]]="","Sin aviso SAP",IF(tblAvisos[[#This Row],[Criticidad]]="","Sin criticidad","OK")))))</f>
        <v>Sin fecha</v>
      </c>
      <c r="Q251" s="901" t="s">
        <v>2832</v>
      </c>
    </row>
    <row r="252" spans="2:17">
      <c r="B252" s="853" cm="1">
        <f t="array" ref="B252">ROW()-ROW(tblAvisos[#Headers])</f>
        <v>248</v>
      </c>
      <c r="C252" t="s">
        <v>2502</v>
      </c>
      <c r="D252" s="871"/>
      <c r="E252" s="900" t="s">
        <v>2536</v>
      </c>
      <c r="F252" t="s">
        <v>1031</v>
      </c>
      <c r="G252" t="s">
        <v>1001</v>
      </c>
      <c r="H252" t="s">
        <v>1158</v>
      </c>
      <c r="I252" t="s">
        <v>1173</v>
      </c>
      <c r="J252" t="s">
        <v>2515</v>
      </c>
      <c r="K252" t="s">
        <v>665</v>
      </c>
      <c r="L252" s="871"/>
      <c r="O252" s="256" t="str">
        <f ca="1">IF(OR(tblAvisos[[#This Row],[Estado trabajo]]="Cerrado",tblAvisos[[#This Row],[Fecha reporte]]=""),"",TODAY()-tblAvisos[[#This Row],[Fecha reporte]])</f>
        <v/>
      </c>
      <c r="P252" t="str">
        <f ca="1">IF(tblAvisos[[#This Row],[Fecha reporte]]="","Sin fecha",IF(tblAvisos[[#This Row],[Fecha reporte]]&lt;DATE(2020,1,1),"Fecha inválida",IF(tblAvisos[[#This Row],[Fecha reporte]]&gt;TODAY(),"Fecha futura",IF(tblAvisos[[#This Row],[Aviso SAP]]="","Sin aviso SAP",IF(tblAvisos[[#This Row],[Criticidad]]="","Sin criticidad","OK")))))</f>
        <v>Sin fecha</v>
      </c>
      <c r="Q252" s="901" t="s">
        <v>2833</v>
      </c>
    </row>
    <row r="253" spans="2:17">
      <c r="B253" s="853" cm="1">
        <f t="array" ref="B253">ROW()-ROW(tblAvisos[#Headers])</f>
        <v>249</v>
      </c>
      <c r="C253" t="s">
        <v>2502</v>
      </c>
      <c r="D253" s="871"/>
      <c r="E253" s="900" t="s">
        <v>2536</v>
      </c>
      <c r="F253" t="s">
        <v>1032</v>
      </c>
      <c r="G253" t="s">
        <v>1033</v>
      </c>
      <c r="H253" t="s">
        <v>1158</v>
      </c>
      <c r="I253" t="s">
        <v>1173</v>
      </c>
      <c r="J253" t="s">
        <v>2515</v>
      </c>
      <c r="K253" t="s">
        <v>665</v>
      </c>
      <c r="L253" s="871"/>
      <c r="O253" s="256" t="str">
        <f ca="1">IF(OR(tblAvisos[[#This Row],[Estado trabajo]]="Cerrado",tblAvisos[[#This Row],[Fecha reporte]]=""),"",TODAY()-tblAvisos[[#This Row],[Fecha reporte]])</f>
        <v/>
      </c>
      <c r="P253" t="str">
        <f ca="1">IF(tblAvisos[[#This Row],[Fecha reporte]]="","Sin fecha",IF(tblAvisos[[#This Row],[Fecha reporte]]&lt;DATE(2020,1,1),"Fecha inválida",IF(tblAvisos[[#This Row],[Fecha reporte]]&gt;TODAY(),"Fecha futura",IF(tblAvisos[[#This Row],[Aviso SAP]]="","Sin aviso SAP",IF(tblAvisos[[#This Row],[Criticidad]]="","Sin criticidad","OK")))))</f>
        <v>Sin fecha</v>
      </c>
      <c r="Q253" s="901" t="s">
        <v>2834</v>
      </c>
    </row>
    <row r="254" spans="2:17">
      <c r="B254" s="853" cm="1">
        <f t="array" ref="B254">ROW()-ROW(tblAvisos[#Headers])</f>
        <v>250</v>
      </c>
      <c r="C254" t="s">
        <v>2502</v>
      </c>
      <c r="D254" s="871"/>
      <c r="E254" s="900" t="s">
        <v>2536</v>
      </c>
      <c r="F254" t="s">
        <v>294</v>
      </c>
      <c r="G254" t="s">
        <v>1034</v>
      </c>
      <c r="H254" t="s">
        <v>1158</v>
      </c>
      <c r="I254" t="s">
        <v>1173</v>
      </c>
      <c r="J254" t="s">
        <v>2515</v>
      </c>
      <c r="K254" t="s">
        <v>665</v>
      </c>
      <c r="L254" s="871"/>
      <c r="O254" s="256" t="str">
        <f ca="1">IF(OR(tblAvisos[[#This Row],[Estado trabajo]]="Cerrado",tblAvisos[[#This Row],[Fecha reporte]]=""),"",TODAY()-tblAvisos[[#This Row],[Fecha reporte]])</f>
        <v/>
      </c>
      <c r="P254" t="str">
        <f ca="1">IF(tblAvisos[[#This Row],[Fecha reporte]]="","Sin fecha",IF(tblAvisos[[#This Row],[Fecha reporte]]&lt;DATE(2020,1,1),"Fecha inválida",IF(tblAvisos[[#This Row],[Fecha reporte]]&gt;TODAY(),"Fecha futura",IF(tblAvisos[[#This Row],[Aviso SAP]]="","Sin aviso SAP",IF(tblAvisos[[#This Row],[Criticidad]]="","Sin criticidad","OK")))))</f>
        <v>Sin fecha</v>
      </c>
      <c r="Q254" s="901" t="s">
        <v>2835</v>
      </c>
    </row>
    <row r="255" spans="2:17">
      <c r="B255" s="853" cm="1">
        <f t="array" ref="B255">ROW()-ROW(tblAvisos[#Headers])</f>
        <v>251</v>
      </c>
      <c r="C255" t="s">
        <v>2502</v>
      </c>
      <c r="D255" s="871"/>
      <c r="E255" s="900" t="s">
        <v>2536</v>
      </c>
      <c r="F255" t="s">
        <v>1035</v>
      </c>
      <c r="G255" t="s">
        <v>1132</v>
      </c>
      <c r="H255" t="s">
        <v>1158</v>
      </c>
      <c r="I255" t="s">
        <v>1173</v>
      </c>
      <c r="J255" t="s">
        <v>2515</v>
      </c>
      <c r="K255" t="s">
        <v>668</v>
      </c>
      <c r="L255" s="871"/>
      <c r="O255" s="256" t="str">
        <f ca="1">IF(OR(tblAvisos[[#This Row],[Estado trabajo]]="Cerrado",tblAvisos[[#This Row],[Fecha reporte]]=""),"",TODAY()-tblAvisos[[#This Row],[Fecha reporte]])</f>
        <v/>
      </c>
      <c r="P255" t="str">
        <f ca="1">IF(tblAvisos[[#This Row],[Fecha reporte]]="","Sin fecha",IF(tblAvisos[[#This Row],[Fecha reporte]]&lt;DATE(2020,1,1),"Fecha inválida",IF(tblAvisos[[#This Row],[Fecha reporte]]&gt;TODAY(),"Fecha futura",IF(tblAvisos[[#This Row],[Aviso SAP]]="","Sin aviso SAP",IF(tblAvisos[[#This Row],[Criticidad]]="","Sin criticidad","OK")))))</f>
        <v>Sin fecha</v>
      </c>
      <c r="Q255" s="901" t="s">
        <v>2836</v>
      </c>
    </row>
    <row r="256" spans="2:17">
      <c r="B256" s="853" cm="1">
        <f t="array" ref="B256">ROW()-ROW(tblAvisos[#Headers])</f>
        <v>252</v>
      </c>
      <c r="C256" t="s">
        <v>2502</v>
      </c>
      <c r="D256" s="871">
        <v>46036</v>
      </c>
      <c r="E256" s="900" t="s">
        <v>2536</v>
      </c>
      <c r="F256" t="s">
        <v>1038</v>
      </c>
      <c r="G256" t="s">
        <v>1039</v>
      </c>
      <c r="H256" t="s">
        <v>1158</v>
      </c>
      <c r="I256" t="s">
        <v>1173</v>
      </c>
      <c r="J256" t="s">
        <v>2514</v>
      </c>
      <c r="K256" t="s">
        <v>668</v>
      </c>
      <c r="L256" s="871"/>
      <c r="O256" s="256">
        <f ca="1">IF(OR(tblAvisos[[#This Row],[Estado trabajo]]="Cerrado",tblAvisos[[#This Row],[Fecha reporte]]=""),"",TODAY()-tblAvisos[[#This Row],[Fecha reporte]])</f>
        <v>259</v>
      </c>
      <c r="P256" t="str">
        <f ca="1">IF(tblAvisos[[#This Row],[Fecha reporte]]="","Sin fecha",IF(tblAvisos[[#This Row],[Fecha reporte]]&lt;DATE(2020,1,1),"Fecha inválida",IF(tblAvisos[[#This Row],[Fecha reporte]]&gt;TODAY(),"Fecha futura",IF(tblAvisos[[#This Row],[Aviso SAP]]="","Sin aviso SAP",IF(tblAvisos[[#This Row],[Criticidad]]="","Sin criticidad","OK")))))</f>
        <v>Sin aviso SAP</v>
      </c>
      <c r="Q256" s="901" t="s">
        <v>2837</v>
      </c>
    </row>
    <row r="257" spans="2:17">
      <c r="B257" s="853" cm="1">
        <f t="array" ref="B257">ROW()-ROW(tblAvisos[#Headers])</f>
        <v>253</v>
      </c>
      <c r="C257" t="s">
        <v>2502</v>
      </c>
      <c r="D257" s="871"/>
      <c r="E257" s="900" t="s">
        <v>2536</v>
      </c>
      <c r="F257" t="s">
        <v>1040</v>
      </c>
      <c r="G257" t="s">
        <v>1041</v>
      </c>
      <c r="H257" t="s">
        <v>1158</v>
      </c>
      <c r="I257" t="s">
        <v>1173</v>
      </c>
      <c r="J257" t="s">
        <v>2514</v>
      </c>
      <c r="K257" t="s">
        <v>665</v>
      </c>
      <c r="L257" s="871"/>
      <c r="O257" s="256" t="str">
        <f ca="1">IF(OR(tblAvisos[[#This Row],[Estado trabajo]]="Cerrado",tblAvisos[[#This Row],[Fecha reporte]]=""),"",TODAY()-tblAvisos[[#This Row],[Fecha reporte]])</f>
        <v/>
      </c>
      <c r="P257" t="str">
        <f ca="1">IF(tblAvisos[[#This Row],[Fecha reporte]]="","Sin fecha",IF(tblAvisos[[#This Row],[Fecha reporte]]&lt;DATE(2020,1,1),"Fecha inválida",IF(tblAvisos[[#This Row],[Fecha reporte]]&gt;TODAY(),"Fecha futura",IF(tblAvisos[[#This Row],[Aviso SAP]]="","Sin aviso SAP",IF(tblAvisos[[#This Row],[Criticidad]]="","Sin criticidad","OK")))))</f>
        <v>Sin fecha</v>
      </c>
      <c r="Q257" s="901" t="s">
        <v>2838</v>
      </c>
    </row>
    <row r="258" spans="2:17">
      <c r="B258" s="853" cm="1">
        <f t="array" ref="B258">ROW()-ROW(tblAvisos[#Headers])</f>
        <v>254</v>
      </c>
      <c r="C258" t="s">
        <v>2502</v>
      </c>
      <c r="D258" s="871"/>
      <c r="E258" s="900" t="s">
        <v>2536</v>
      </c>
      <c r="F258" t="s">
        <v>887</v>
      </c>
      <c r="G258" t="s">
        <v>987</v>
      </c>
      <c r="H258" t="s">
        <v>1158</v>
      </c>
      <c r="I258" t="s">
        <v>1173</v>
      </c>
      <c r="J258" t="s">
        <v>2514</v>
      </c>
      <c r="K258" t="s">
        <v>668</v>
      </c>
      <c r="L258" s="871"/>
      <c r="O258" s="256" t="str">
        <f ca="1">IF(OR(tblAvisos[[#This Row],[Estado trabajo]]="Cerrado",tblAvisos[[#This Row],[Fecha reporte]]=""),"",TODAY()-tblAvisos[[#This Row],[Fecha reporte]])</f>
        <v/>
      </c>
      <c r="P258" t="str">
        <f ca="1">IF(tblAvisos[[#This Row],[Fecha reporte]]="","Sin fecha",IF(tblAvisos[[#This Row],[Fecha reporte]]&lt;DATE(2020,1,1),"Fecha inválida",IF(tblAvisos[[#This Row],[Fecha reporte]]&gt;TODAY(),"Fecha futura",IF(tblAvisos[[#This Row],[Aviso SAP]]="","Sin aviso SAP",IF(tblAvisos[[#This Row],[Criticidad]]="","Sin criticidad","OK")))))</f>
        <v>Sin fecha</v>
      </c>
      <c r="Q258" s="901" t="s">
        <v>2839</v>
      </c>
    </row>
    <row r="259" spans="2:17">
      <c r="B259" s="853" cm="1">
        <f t="array" ref="B259">ROW()-ROW(tblAvisos[#Headers])</f>
        <v>255</v>
      </c>
      <c r="C259" t="s">
        <v>2502</v>
      </c>
      <c r="D259" s="871"/>
      <c r="E259" s="900" t="s">
        <v>2536</v>
      </c>
      <c r="F259" t="s">
        <v>271</v>
      </c>
      <c r="G259" t="s">
        <v>1042</v>
      </c>
      <c r="H259" t="s">
        <v>1158</v>
      </c>
      <c r="I259" t="s">
        <v>1173</v>
      </c>
      <c r="J259" t="s">
        <v>2514</v>
      </c>
      <c r="K259" t="s">
        <v>668</v>
      </c>
      <c r="L259" s="871"/>
      <c r="O259" s="256" t="str">
        <f ca="1">IF(OR(tblAvisos[[#This Row],[Estado trabajo]]="Cerrado",tblAvisos[[#This Row],[Fecha reporte]]=""),"",TODAY()-tblAvisos[[#This Row],[Fecha reporte]])</f>
        <v/>
      </c>
      <c r="P259" t="str">
        <f ca="1">IF(tblAvisos[[#This Row],[Fecha reporte]]="","Sin fecha",IF(tblAvisos[[#This Row],[Fecha reporte]]&lt;DATE(2020,1,1),"Fecha inválida",IF(tblAvisos[[#This Row],[Fecha reporte]]&gt;TODAY(),"Fecha futura",IF(tblAvisos[[#This Row],[Aviso SAP]]="","Sin aviso SAP",IF(tblAvisos[[#This Row],[Criticidad]]="","Sin criticidad","OK")))))</f>
        <v>Sin fecha</v>
      </c>
      <c r="Q259" s="901" t="s">
        <v>2840</v>
      </c>
    </row>
    <row r="260" spans="2:17">
      <c r="B260" s="853" cm="1">
        <f t="array" ref="B260">ROW()-ROW(tblAvisos[#Headers])</f>
        <v>256</v>
      </c>
      <c r="C260" t="s">
        <v>2502</v>
      </c>
      <c r="D260" s="871">
        <v>46037</v>
      </c>
      <c r="E260" s="900" t="s">
        <v>2536</v>
      </c>
      <c r="F260" t="s">
        <v>799</v>
      </c>
      <c r="G260" t="s">
        <v>1044</v>
      </c>
      <c r="H260" t="s">
        <v>1158</v>
      </c>
      <c r="I260" t="s">
        <v>1173</v>
      </c>
      <c r="J260" t="s">
        <v>2514</v>
      </c>
      <c r="K260" t="s">
        <v>668</v>
      </c>
      <c r="L260" s="871"/>
      <c r="O260" s="256">
        <f ca="1">IF(OR(tblAvisos[[#This Row],[Estado trabajo]]="Cerrado",tblAvisos[[#This Row],[Fecha reporte]]=""),"",TODAY()-tblAvisos[[#This Row],[Fecha reporte]])</f>
        <v>258</v>
      </c>
      <c r="P260" t="str">
        <f ca="1">IF(tblAvisos[[#This Row],[Fecha reporte]]="","Sin fecha",IF(tblAvisos[[#This Row],[Fecha reporte]]&lt;DATE(2020,1,1),"Fecha inválida",IF(tblAvisos[[#This Row],[Fecha reporte]]&gt;TODAY(),"Fecha futura",IF(tblAvisos[[#This Row],[Aviso SAP]]="","Sin aviso SAP",IF(tblAvisos[[#This Row],[Criticidad]]="","Sin criticidad","OK")))))</f>
        <v>Sin aviso SAP</v>
      </c>
      <c r="Q260" s="901" t="s">
        <v>2841</v>
      </c>
    </row>
    <row r="261" spans="2:17">
      <c r="B261" s="853" cm="1">
        <f t="array" ref="B261">ROW()-ROW(tblAvisos[#Headers])</f>
        <v>257</v>
      </c>
      <c r="C261" t="s">
        <v>2502</v>
      </c>
      <c r="D261" s="871"/>
      <c r="E261" s="900" t="s">
        <v>2536</v>
      </c>
      <c r="F261" t="s">
        <v>1045</v>
      </c>
      <c r="G261" t="s">
        <v>1022</v>
      </c>
      <c r="H261" t="s">
        <v>1158</v>
      </c>
      <c r="I261" t="s">
        <v>1173</v>
      </c>
      <c r="J261" t="s">
        <v>2514</v>
      </c>
      <c r="K261" t="s">
        <v>665</v>
      </c>
      <c r="L261" s="871"/>
      <c r="O261" s="256" t="str">
        <f ca="1">IF(OR(tblAvisos[[#This Row],[Estado trabajo]]="Cerrado",tblAvisos[[#This Row],[Fecha reporte]]=""),"",TODAY()-tblAvisos[[#This Row],[Fecha reporte]])</f>
        <v/>
      </c>
      <c r="P261" t="str">
        <f ca="1">IF(tblAvisos[[#This Row],[Fecha reporte]]="","Sin fecha",IF(tblAvisos[[#This Row],[Fecha reporte]]&lt;DATE(2020,1,1),"Fecha inválida",IF(tblAvisos[[#This Row],[Fecha reporte]]&gt;TODAY(),"Fecha futura",IF(tblAvisos[[#This Row],[Aviso SAP]]="","Sin aviso SAP",IF(tblAvisos[[#This Row],[Criticidad]]="","Sin criticidad","OK")))))</f>
        <v>Sin fecha</v>
      </c>
      <c r="Q261" s="901" t="s">
        <v>2842</v>
      </c>
    </row>
    <row r="262" spans="2:17">
      <c r="B262" s="853" cm="1">
        <f t="array" ref="B262">ROW()-ROW(tblAvisos[#Headers])</f>
        <v>258</v>
      </c>
      <c r="C262" t="s">
        <v>2502</v>
      </c>
      <c r="D262" s="871">
        <v>46038</v>
      </c>
      <c r="E262" s="900" t="s">
        <v>2536</v>
      </c>
      <c r="F262" t="s">
        <v>990</v>
      </c>
      <c r="G262" t="s">
        <v>970</v>
      </c>
      <c r="H262" t="s">
        <v>1158</v>
      </c>
      <c r="I262" t="s">
        <v>1173</v>
      </c>
      <c r="J262" t="s">
        <v>2514</v>
      </c>
      <c r="K262" t="s">
        <v>668</v>
      </c>
      <c r="L262" s="871"/>
      <c r="O262" s="256">
        <f ca="1">IF(OR(tblAvisos[[#This Row],[Estado trabajo]]="Cerrado",tblAvisos[[#This Row],[Fecha reporte]]=""),"",TODAY()-tblAvisos[[#This Row],[Fecha reporte]])</f>
        <v>257</v>
      </c>
      <c r="P262" t="str">
        <f ca="1">IF(tblAvisos[[#This Row],[Fecha reporte]]="","Sin fecha",IF(tblAvisos[[#This Row],[Fecha reporte]]&lt;DATE(2020,1,1),"Fecha inválida",IF(tblAvisos[[#This Row],[Fecha reporte]]&gt;TODAY(),"Fecha futura",IF(tblAvisos[[#This Row],[Aviso SAP]]="","Sin aviso SAP",IF(tblAvisos[[#This Row],[Criticidad]]="","Sin criticidad","OK")))))</f>
        <v>Sin aviso SAP</v>
      </c>
      <c r="Q262" s="901" t="s">
        <v>2843</v>
      </c>
    </row>
    <row r="263" spans="2:17">
      <c r="B263" s="853" cm="1">
        <f t="array" ref="B263">ROW()-ROW(tblAvisos[#Headers])</f>
        <v>259</v>
      </c>
      <c r="C263" t="s">
        <v>2502</v>
      </c>
      <c r="D263" s="871"/>
      <c r="E263" s="900" t="s">
        <v>2536</v>
      </c>
      <c r="F263" t="s">
        <v>1046</v>
      </c>
      <c r="G263" t="s">
        <v>1047</v>
      </c>
      <c r="H263" t="s">
        <v>1158</v>
      </c>
      <c r="I263" t="s">
        <v>1173</v>
      </c>
      <c r="J263" t="s">
        <v>2514</v>
      </c>
      <c r="K263" t="s">
        <v>665</v>
      </c>
      <c r="L263" s="871"/>
      <c r="O263" s="256" t="str">
        <f ca="1">IF(OR(tblAvisos[[#This Row],[Estado trabajo]]="Cerrado",tblAvisos[[#This Row],[Fecha reporte]]=""),"",TODAY()-tblAvisos[[#This Row],[Fecha reporte]])</f>
        <v/>
      </c>
      <c r="P263" t="str">
        <f ca="1">IF(tblAvisos[[#This Row],[Fecha reporte]]="","Sin fecha",IF(tblAvisos[[#This Row],[Fecha reporte]]&lt;DATE(2020,1,1),"Fecha inválida",IF(tblAvisos[[#This Row],[Fecha reporte]]&gt;TODAY(),"Fecha futura",IF(tblAvisos[[#This Row],[Aviso SAP]]="","Sin aviso SAP",IF(tblAvisos[[#This Row],[Criticidad]]="","Sin criticidad","OK")))))</f>
        <v>Sin fecha</v>
      </c>
      <c r="Q263" s="901" t="s">
        <v>2844</v>
      </c>
    </row>
    <row r="264" spans="2:17">
      <c r="B264" s="853" cm="1">
        <f t="array" ref="B264">ROW()-ROW(tblAvisos[#Headers])</f>
        <v>260</v>
      </c>
      <c r="C264" t="s">
        <v>2502</v>
      </c>
      <c r="D264" s="871"/>
      <c r="E264" s="900" t="s">
        <v>2536</v>
      </c>
      <c r="F264" t="s">
        <v>289</v>
      </c>
      <c r="G264" t="s">
        <v>1048</v>
      </c>
      <c r="H264" t="s">
        <v>1158</v>
      </c>
      <c r="I264" t="s">
        <v>1173</v>
      </c>
      <c r="J264" t="s">
        <v>2514</v>
      </c>
      <c r="K264" t="s">
        <v>665</v>
      </c>
      <c r="L264" s="871"/>
      <c r="O264" s="256" t="str">
        <f ca="1">IF(OR(tblAvisos[[#This Row],[Estado trabajo]]="Cerrado",tblAvisos[[#This Row],[Fecha reporte]]=""),"",TODAY()-tblAvisos[[#This Row],[Fecha reporte]])</f>
        <v/>
      </c>
      <c r="P264" t="str">
        <f ca="1">IF(tblAvisos[[#This Row],[Fecha reporte]]="","Sin fecha",IF(tblAvisos[[#This Row],[Fecha reporte]]&lt;DATE(2020,1,1),"Fecha inválida",IF(tblAvisos[[#This Row],[Fecha reporte]]&gt;TODAY(),"Fecha futura",IF(tblAvisos[[#This Row],[Aviso SAP]]="","Sin aviso SAP",IF(tblAvisos[[#This Row],[Criticidad]]="","Sin criticidad","OK")))))</f>
        <v>Sin fecha</v>
      </c>
      <c r="Q264" s="901" t="s">
        <v>2845</v>
      </c>
    </row>
    <row r="265" spans="2:17">
      <c r="B265" s="853" cm="1">
        <f t="array" ref="B265">ROW()-ROW(tblAvisos[#Headers])</f>
        <v>261</v>
      </c>
      <c r="C265" t="s">
        <v>2502</v>
      </c>
      <c r="D265" s="871"/>
      <c r="E265" s="900" t="s">
        <v>2536</v>
      </c>
      <c r="F265" t="s">
        <v>847</v>
      </c>
      <c r="G265" t="s">
        <v>1049</v>
      </c>
      <c r="H265" t="s">
        <v>1158</v>
      </c>
      <c r="I265" t="s">
        <v>1173</v>
      </c>
      <c r="J265" t="s">
        <v>2514</v>
      </c>
      <c r="K265" t="s">
        <v>665</v>
      </c>
      <c r="L265" s="871"/>
      <c r="O265" s="256" t="str">
        <f ca="1">IF(OR(tblAvisos[[#This Row],[Estado trabajo]]="Cerrado",tblAvisos[[#This Row],[Fecha reporte]]=""),"",TODAY()-tblAvisos[[#This Row],[Fecha reporte]])</f>
        <v/>
      </c>
      <c r="P265" t="str">
        <f ca="1">IF(tblAvisos[[#This Row],[Fecha reporte]]="","Sin fecha",IF(tblAvisos[[#This Row],[Fecha reporte]]&lt;DATE(2020,1,1),"Fecha inválida",IF(tblAvisos[[#This Row],[Fecha reporte]]&gt;TODAY(),"Fecha futura",IF(tblAvisos[[#This Row],[Aviso SAP]]="","Sin aviso SAP",IF(tblAvisos[[#This Row],[Criticidad]]="","Sin criticidad","OK")))))</f>
        <v>Sin fecha</v>
      </c>
      <c r="Q265" s="901" t="s">
        <v>2846</v>
      </c>
    </row>
    <row r="266" spans="2:17">
      <c r="B266" s="853" cm="1">
        <f t="array" ref="B266">ROW()-ROW(tblAvisos[#Headers])</f>
        <v>262</v>
      </c>
      <c r="C266" t="s">
        <v>2502</v>
      </c>
      <c r="D266" s="871">
        <v>46039</v>
      </c>
      <c r="E266" s="900" t="s">
        <v>2536</v>
      </c>
      <c r="F266" t="s">
        <v>799</v>
      </c>
      <c r="G266" t="s">
        <v>1051</v>
      </c>
      <c r="H266" t="s">
        <v>1158</v>
      </c>
      <c r="I266" t="s">
        <v>1173</v>
      </c>
      <c r="J266" t="s">
        <v>2514</v>
      </c>
      <c r="K266" t="s">
        <v>668</v>
      </c>
      <c r="L266" s="871"/>
      <c r="O266" s="256">
        <f ca="1">IF(OR(tblAvisos[[#This Row],[Estado trabajo]]="Cerrado",tblAvisos[[#This Row],[Fecha reporte]]=""),"",TODAY()-tblAvisos[[#This Row],[Fecha reporte]])</f>
        <v>256</v>
      </c>
      <c r="P266" t="str">
        <f ca="1">IF(tblAvisos[[#This Row],[Fecha reporte]]="","Sin fecha",IF(tblAvisos[[#This Row],[Fecha reporte]]&lt;DATE(2020,1,1),"Fecha inválida",IF(tblAvisos[[#This Row],[Fecha reporte]]&gt;TODAY(),"Fecha futura",IF(tblAvisos[[#This Row],[Aviso SAP]]="","Sin aviso SAP",IF(tblAvisos[[#This Row],[Criticidad]]="","Sin criticidad","OK")))))</f>
        <v>Sin aviso SAP</v>
      </c>
      <c r="Q266" s="901" t="s">
        <v>2847</v>
      </c>
    </row>
    <row r="267" spans="2:17">
      <c r="B267" s="853" cm="1">
        <f t="array" ref="B267">ROW()-ROW(tblAvisos[#Headers])</f>
        <v>263</v>
      </c>
      <c r="C267" t="s">
        <v>2502</v>
      </c>
      <c r="D267" s="871"/>
      <c r="E267" s="900" t="s">
        <v>2536</v>
      </c>
      <c r="F267" t="s">
        <v>1052</v>
      </c>
      <c r="G267" t="s">
        <v>968</v>
      </c>
      <c r="H267" t="s">
        <v>1158</v>
      </c>
      <c r="I267" t="s">
        <v>1173</v>
      </c>
      <c r="J267" t="s">
        <v>2514</v>
      </c>
      <c r="K267" t="s">
        <v>665</v>
      </c>
      <c r="L267" s="871"/>
      <c r="O267" s="256" t="str">
        <f ca="1">IF(OR(tblAvisos[[#This Row],[Estado trabajo]]="Cerrado",tblAvisos[[#This Row],[Fecha reporte]]=""),"",TODAY()-tblAvisos[[#This Row],[Fecha reporte]])</f>
        <v/>
      </c>
      <c r="P267" t="str">
        <f ca="1">IF(tblAvisos[[#This Row],[Fecha reporte]]="","Sin fecha",IF(tblAvisos[[#This Row],[Fecha reporte]]&lt;DATE(2020,1,1),"Fecha inválida",IF(tblAvisos[[#This Row],[Fecha reporte]]&gt;TODAY(),"Fecha futura",IF(tblAvisos[[#This Row],[Aviso SAP]]="","Sin aviso SAP",IF(tblAvisos[[#This Row],[Criticidad]]="","Sin criticidad","OK")))))</f>
        <v>Sin fecha</v>
      </c>
      <c r="Q267" s="901" t="s">
        <v>2848</v>
      </c>
    </row>
    <row r="268" spans="2:17">
      <c r="B268" s="853" cm="1">
        <f t="array" ref="B268">ROW()-ROW(tblAvisos[#Headers])</f>
        <v>264</v>
      </c>
      <c r="C268" t="s">
        <v>2502</v>
      </c>
      <c r="D268" s="871"/>
      <c r="E268" s="900" t="s">
        <v>2536</v>
      </c>
      <c r="F268" t="s">
        <v>1038</v>
      </c>
      <c r="G268" t="s">
        <v>1053</v>
      </c>
      <c r="H268" t="s">
        <v>1158</v>
      </c>
      <c r="I268" t="s">
        <v>1173</v>
      </c>
      <c r="J268" t="s">
        <v>2514</v>
      </c>
      <c r="K268" t="s">
        <v>668</v>
      </c>
      <c r="L268" s="871"/>
      <c r="O268" s="256" t="str">
        <f ca="1">IF(OR(tblAvisos[[#This Row],[Estado trabajo]]="Cerrado",tblAvisos[[#This Row],[Fecha reporte]]=""),"",TODAY()-tblAvisos[[#This Row],[Fecha reporte]])</f>
        <v/>
      </c>
      <c r="P268" t="str">
        <f ca="1">IF(tblAvisos[[#This Row],[Fecha reporte]]="","Sin fecha",IF(tblAvisos[[#This Row],[Fecha reporte]]&lt;DATE(2020,1,1),"Fecha inválida",IF(tblAvisos[[#This Row],[Fecha reporte]]&gt;TODAY(),"Fecha futura",IF(tblAvisos[[#This Row],[Aviso SAP]]="","Sin aviso SAP",IF(tblAvisos[[#This Row],[Criticidad]]="","Sin criticidad","OK")))))</f>
        <v>Sin fecha</v>
      </c>
      <c r="Q268" s="901" t="s">
        <v>2849</v>
      </c>
    </row>
    <row r="269" spans="2:17">
      <c r="B269" s="853" cm="1">
        <f t="array" ref="B269">ROW()-ROW(tblAvisos[#Headers])</f>
        <v>265</v>
      </c>
      <c r="C269" t="s">
        <v>2502</v>
      </c>
      <c r="D269" s="871"/>
      <c r="E269" s="900" t="s">
        <v>2536</v>
      </c>
      <c r="F269" t="s">
        <v>599</v>
      </c>
      <c r="G269" t="s">
        <v>1013</v>
      </c>
      <c r="H269" t="s">
        <v>1158</v>
      </c>
      <c r="I269" t="s">
        <v>1173</v>
      </c>
      <c r="J269" t="s">
        <v>2515</v>
      </c>
      <c r="K269" t="s">
        <v>668</v>
      </c>
      <c r="L269" s="871"/>
      <c r="O269" s="256" t="str">
        <f ca="1">IF(OR(tblAvisos[[#This Row],[Estado trabajo]]="Cerrado",tblAvisos[[#This Row],[Fecha reporte]]=""),"",TODAY()-tblAvisos[[#This Row],[Fecha reporte]])</f>
        <v/>
      </c>
      <c r="P269" t="str">
        <f ca="1">IF(tblAvisos[[#This Row],[Fecha reporte]]="","Sin fecha",IF(tblAvisos[[#This Row],[Fecha reporte]]&lt;DATE(2020,1,1),"Fecha inválida",IF(tblAvisos[[#This Row],[Fecha reporte]]&gt;TODAY(),"Fecha futura",IF(tblAvisos[[#This Row],[Aviso SAP]]="","Sin aviso SAP",IF(tblAvisos[[#This Row],[Criticidad]]="","Sin criticidad","OK")))))</f>
        <v>Sin fecha</v>
      </c>
      <c r="Q269" s="901" t="s">
        <v>2850</v>
      </c>
    </row>
    <row r="270" spans="2:17">
      <c r="B270" s="853" cm="1">
        <f t="array" ref="B270">ROW()-ROW(tblAvisos[#Headers])</f>
        <v>266</v>
      </c>
      <c r="C270" t="s">
        <v>2502</v>
      </c>
      <c r="D270" s="871"/>
      <c r="E270" s="900" t="s">
        <v>2536</v>
      </c>
      <c r="F270" t="s">
        <v>818</v>
      </c>
      <c r="G270" t="s">
        <v>1054</v>
      </c>
      <c r="H270" t="s">
        <v>1158</v>
      </c>
      <c r="I270" t="s">
        <v>1173</v>
      </c>
      <c r="J270" t="s">
        <v>2514</v>
      </c>
      <c r="K270" t="s">
        <v>665</v>
      </c>
      <c r="L270" s="871"/>
      <c r="O270" s="256" t="str">
        <f ca="1">IF(OR(tblAvisos[[#This Row],[Estado trabajo]]="Cerrado",tblAvisos[[#This Row],[Fecha reporte]]=""),"",TODAY()-tblAvisos[[#This Row],[Fecha reporte]])</f>
        <v/>
      </c>
      <c r="P270" t="str">
        <f ca="1">IF(tblAvisos[[#This Row],[Fecha reporte]]="","Sin fecha",IF(tblAvisos[[#This Row],[Fecha reporte]]&lt;DATE(2020,1,1),"Fecha inválida",IF(tblAvisos[[#This Row],[Fecha reporte]]&gt;TODAY(),"Fecha futura",IF(tblAvisos[[#This Row],[Aviso SAP]]="","Sin aviso SAP",IF(tblAvisos[[#This Row],[Criticidad]]="","Sin criticidad","OK")))))</f>
        <v>Sin fecha</v>
      </c>
      <c r="Q270" s="901" t="s">
        <v>2851</v>
      </c>
    </row>
    <row r="271" spans="2:17">
      <c r="B271" s="853" cm="1">
        <f t="array" ref="B271">ROW()-ROW(tblAvisos[#Headers])</f>
        <v>267</v>
      </c>
      <c r="C271" t="s">
        <v>2502</v>
      </c>
      <c r="D271" s="871">
        <v>46041</v>
      </c>
      <c r="E271" s="900" t="s">
        <v>2536</v>
      </c>
      <c r="F271" t="s">
        <v>376</v>
      </c>
      <c r="G271" t="s">
        <v>2852</v>
      </c>
      <c r="H271" t="s">
        <v>1158</v>
      </c>
      <c r="I271" t="s">
        <v>1173</v>
      </c>
      <c r="J271" t="s">
        <v>2515</v>
      </c>
      <c r="K271" t="s">
        <v>665</v>
      </c>
      <c r="L271" s="871"/>
      <c r="O271" s="256">
        <f ca="1">IF(OR(tblAvisos[[#This Row],[Estado trabajo]]="Cerrado",tblAvisos[[#This Row],[Fecha reporte]]=""),"",TODAY()-tblAvisos[[#This Row],[Fecha reporte]])</f>
        <v>254</v>
      </c>
      <c r="P271" t="str">
        <f ca="1">IF(tblAvisos[[#This Row],[Fecha reporte]]="","Sin fecha",IF(tblAvisos[[#This Row],[Fecha reporte]]&lt;DATE(2020,1,1),"Fecha inválida",IF(tblAvisos[[#This Row],[Fecha reporte]]&gt;TODAY(),"Fecha futura",IF(tblAvisos[[#This Row],[Aviso SAP]]="","Sin aviso SAP",IF(tblAvisos[[#This Row],[Criticidad]]="","Sin criticidad","OK")))))</f>
        <v>Sin aviso SAP</v>
      </c>
      <c r="Q271" s="901" t="s">
        <v>2853</v>
      </c>
    </row>
    <row r="272" spans="2:17">
      <c r="B272" s="853" cm="1">
        <f t="array" ref="B272">ROW()-ROW(tblAvisos[#Headers])</f>
        <v>268</v>
      </c>
      <c r="C272" t="s">
        <v>2502</v>
      </c>
      <c r="D272" s="871"/>
      <c r="E272" s="900" t="s">
        <v>2536</v>
      </c>
      <c r="F272" t="s">
        <v>406</v>
      </c>
      <c r="G272" t="s">
        <v>1057</v>
      </c>
      <c r="H272" t="s">
        <v>1158</v>
      </c>
      <c r="I272" t="s">
        <v>1173</v>
      </c>
      <c r="J272" t="s">
        <v>2514</v>
      </c>
      <c r="K272" t="s">
        <v>668</v>
      </c>
      <c r="L272" s="871"/>
      <c r="O272" s="256" t="str">
        <f ca="1">IF(OR(tblAvisos[[#This Row],[Estado trabajo]]="Cerrado",tblAvisos[[#This Row],[Fecha reporte]]=""),"",TODAY()-tblAvisos[[#This Row],[Fecha reporte]])</f>
        <v/>
      </c>
      <c r="P272" t="str">
        <f ca="1">IF(tblAvisos[[#This Row],[Fecha reporte]]="","Sin fecha",IF(tblAvisos[[#This Row],[Fecha reporte]]&lt;DATE(2020,1,1),"Fecha inválida",IF(tblAvisos[[#This Row],[Fecha reporte]]&gt;TODAY(),"Fecha futura",IF(tblAvisos[[#This Row],[Aviso SAP]]="","Sin aviso SAP",IF(tblAvisos[[#This Row],[Criticidad]]="","Sin criticidad","OK")))))</f>
        <v>Sin fecha</v>
      </c>
      <c r="Q272" s="901" t="s">
        <v>2854</v>
      </c>
    </row>
    <row r="273" spans="2:17">
      <c r="B273" s="853" cm="1">
        <f t="array" ref="B273">ROW()-ROW(tblAvisos[#Headers])</f>
        <v>269</v>
      </c>
      <c r="C273" t="s">
        <v>2502</v>
      </c>
      <c r="D273" s="871"/>
      <c r="E273" s="900" t="s">
        <v>2536</v>
      </c>
      <c r="F273" t="s">
        <v>885</v>
      </c>
      <c r="G273" t="s">
        <v>1058</v>
      </c>
      <c r="H273" t="s">
        <v>1158</v>
      </c>
      <c r="I273" t="s">
        <v>1173</v>
      </c>
      <c r="J273" t="s">
        <v>2514</v>
      </c>
      <c r="K273" t="s">
        <v>665</v>
      </c>
      <c r="L273" s="871"/>
      <c r="O273" s="256" t="str">
        <f ca="1">IF(OR(tblAvisos[[#This Row],[Estado trabajo]]="Cerrado",tblAvisos[[#This Row],[Fecha reporte]]=""),"",TODAY()-tblAvisos[[#This Row],[Fecha reporte]])</f>
        <v/>
      </c>
      <c r="P273" t="str">
        <f ca="1">IF(tblAvisos[[#This Row],[Fecha reporte]]="","Sin fecha",IF(tblAvisos[[#This Row],[Fecha reporte]]&lt;DATE(2020,1,1),"Fecha inválida",IF(tblAvisos[[#This Row],[Fecha reporte]]&gt;TODAY(),"Fecha futura",IF(tblAvisos[[#This Row],[Aviso SAP]]="","Sin aviso SAP",IF(tblAvisos[[#This Row],[Criticidad]]="","Sin criticidad","OK")))))</f>
        <v>Sin fecha</v>
      </c>
      <c r="Q273" s="901" t="s">
        <v>2855</v>
      </c>
    </row>
    <row r="274" spans="2:17">
      <c r="B274" s="853" cm="1">
        <f t="array" ref="B274">ROW()-ROW(tblAvisos[#Headers])</f>
        <v>270</v>
      </c>
      <c r="C274" t="s">
        <v>2502</v>
      </c>
      <c r="D274" s="871">
        <v>46042</v>
      </c>
      <c r="E274" s="900" t="s">
        <v>2536</v>
      </c>
      <c r="F274" t="s">
        <v>995</v>
      </c>
      <c r="G274" t="s">
        <v>780</v>
      </c>
      <c r="H274" t="s">
        <v>1158</v>
      </c>
      <c r="I274" t="s">
        <v>1173</v>
      </c>
      <c r="J274" t="s">
        <v>2515</v>
      </c>
      <c r="K274" t="s">
        <v>668</v>
      </c>
      <c r="L274" s="871"/>
      <c r="O274" s="256">
        <f ca="1">IF(OR(tblAvisos[[#This Row],[Estado trabajo]]="Cerrado",tblAvisos[[#This Row],[Fecha reporte]]=""),"",TODAY()-tblAvisos[[#This Row],[Fecha reporte]])</f>
        <v>253</v>
      </c>
      <c r="P274" t="str">
        <f ca="1">IF(tblAvisos[[#This Row],[Fecha reporte]]="","Sin fecha",IF(tblAvisos[[#This Row],[Fecha reporte]]&lt;DATE(2020,1,1),"Fecha inválida",IF(tblAvisos[[#This Row],[Fecha reporte]]&gt;TODAY(),"Fecha futura",IF(tblAvisos[[#This Row],[Aviso SAP]]="","Sin aviso SAP",IF(tblAvisos[[#This Row],[Criticidad]]="","Sin criticidad","OK")))))</f>
        <v>Sin aviso SAP</v>
      </c>
      <c r="Q274" s="901" t="s">
        <v>2856</v>
      </c>
    </row>
    <row r="275" spans="2:17">
      <c r="B275" s="853" cm="1">
        <f t="array" ref="B275">ROW()-ROW(tblAvisos[#Headers])</f>
        <v>271</v>
      </c>
      <c r="C275" t="s">
        <v>2502</v>
      </c>
      <c r="D275" s="871"/>
      <c r="E275" s="900" t="s">
        <v>2536</v>
      </c>
      <c r="F275" t="s">
        <v>1060</v>
      </c>
      <c r="G275" t="s">
        <v>1061</v>
      </c>
      <c r="H275" t="s">
        <v>1158</v>
      </c>
      <c r="I275" t="s">
        <v>1173</v>
      </c>
      <c r="J275" t="s">
        <v>2515</v>
      </c>
      <c r="K275" t="s">
        <v>668</v>
      </c>
      <c r="L275" s="871"/>
      <c r="O275" s="256" t="str">
        <f ca="1">IF(OR(tblAvisos[[#This Row],[Estado trabajo]]="Cerrado",tblAvisos[[#This Row],[Fecha reporte]]=""),"",TODAY()-tblAvisos[[#This Row],[Fecha reporte]])</f>
        <v/>
      </c>
      <c r="P275" t="str">
        <f ca="1">IF(tblAvisos[[#This Row],[Fecha reporte]]="","Sin fecha",IF(tblAvisos[[#This Row],[Fecha reporte]]&lt;DATE(2020,1,1),"Fecha inválida",IF(tblAvisos[[#This Row],[Fecha reporte]]&gt;TODAY(),"Fecha futura",IF(tblAvisos[[#This Row],[Aviso SAP]]="","Sin aviso SAP",IF(tblAvisos[[#This Row],[Criticidad]]="","Sin criticidad","OK")))))</f>
        <v>Sin fecha</v>
      </c>
      <c r="Q275" s="901" t="s">
        <v>2857</v>
      </c>
    </row>
    <row r="276" spans="2:17">
      <c r="B276" s="853" cm="1">
        <f t="array" ref="B276">ROW()-ROW(tblAvisos[#Headers])</f>
        <v>272</v>
      </c>
      <c r="C276" t="s">
        <v>2502</v>
      </c>
      <c r="D276" s="871"/>
      <c r="E276" s="900" t="s">
        <v>2536</v>
      </c>
      <c r="F276" t="s">
        <v>880</v>
      </c>
      <c r="G276" t="s">
        <v>1062</v>
      </c>
      <c r="H276" t="s">
        <v>1158</v>
      </c>
      <c r="I276" t="s">
        <v>1173</v>
      </c>
      <c r="J276" t="s">
        <v>2514</v>
      </c>
      <c r="K276" t="s">
        <v>665</v>
      </c>
      <c r="L276" s="871"/>
      <c r="O276" s="256" t="str">
        <f ca="1">IF(OR(tblAvisos[[#This Row],[Estado trabajo]]="Cerrado",tblAvisos[[#This Row],[Fecha reporte]]=""),"",TODAY()-tblAvisos[[#This Row],[Fecha reporte]])</f>
        <v/>
      </c>
      <c r="P276" t="str">
        <f ca="1">IF(tblAvisos[[#This Row],[Fecha reporte]]="","Sin fecha",IF(tblAvisos[[#This Row],[Fecha reporte]]&lt;DATE(2020,1,1),"Fecha inválida",IF(tblAvisos[[#This Row],[Fecha reporte]]&gt;TODAY(),"Fecha futura",IF(tblAvisos[[#This Row],[Aviso SAP]]="","Sin aviso SAP",IF(tblAvisos[[#This Row],[Criticidad]]="","Sin criticidad","OK")))))</f>
        <v>Sin fecha</v>
      </c>
      <c r="Q276" s="901" t="s">
        <v>2858</v>
      </c>
    </row>
    <row r="277" spans="2:17">
      <c r="B277" s="853" cm="1">
        <f t="array" ref="B277">ROW()-ROW(tblAvisos[#Headers])</f>
        <v>273</v>
      </c>
      <c r="C277" t="s">
        <v>2502</v>
      </c>
      <c r="D277" s="871"/>
      <c r="E277" s="900" t="s">
        <v>2536</v>
      </c>
      <c r="F277" t="s">
        <v>2859</v>
      </c>
      <c r="G277" t="s">
        <v>1064</v>
      </c>
      <c r="H277" t="s">
        <v>1158</v>
      </c>
      <c r="I277" t="s">
        <v>1173</v>
      </c>
      <c r="J277" t="s">
        <v>2515</v>
      </c>
      <c r="K277" t="s">
        <v>665</v>
      </c>
      <c r="L277" s="871"/>
      <c r="O277" s="256" t="str">
        <f ca="1">IF(OR(tblAvisos[[#This Row],[Estado trabajo]]="Cerrado",tblAvisos[[#This Row],[Fecha reporte]]=""),"",TODAY()-tblAvisos[[#This Row],[Fecha reporte]])</f>
        <v/>
      </c>
      <c r="P277" t="str">
        <f ca="1">IF(tblAvisos[[#This Row],[Fecha reporte]]="","Sin fecha",IF(tblAvisos[[#This Row],[Fecha reporte]]&lt;DATE(2020,1,1),"Fecha inválida",IF(tblAvisos[[#This Row],[Fecha reporte]]&gt;TODAY(),"Fecha futura",IF(tblAvisos[[#This Row],[Aviso SAP]]="","Sin aviso SAP",IF(tblAvisos[[#This Row],[Criticidad]]="","Sin criticidad","OK")))))</f>
        <v>Sin fecha</v>
      </c>
      <c r="Q277" s="901" t="s">
        <v>2860</v>
      </c>
    </row>
    <row r="278" spans="2:17">
      <c r="B278" s="853" cm="1">
        <f t="array" ref="B278">ROW()-ROW(tblAvisos[#Headers])</f>
        <v>274</v>
      </c>
      <c r="C278" t="s">
        <v>2502</v>
      </c>
      <c r="D278" s="871"/>
      <c r="E278" s="900" t="s">
        <v>2536</v>
      </c>
      <c r="F278" t="s">
        <v>863</v>
      </c>
      <c r="G278" t="s">
        <v>1065</v>
      </c>
      <c r="H278" t="s">
        <v>1158</v>
      </c>
      <c r="I278" t="s">
        <v>1173</v>
      </c>
      <c r="J278" t="s">
        <v>2514</v>
      </c>
      <c r="K278" t="s">
        <v>665</v>
      </c>
      <c r="L278" s="871"/>
      <c r="O278" s="256" t="str">
        <f ca="1">IF(OR(tblAvisos[[#This Row],[Estado trabajo]]="Cerrado",tblAvisos[[#This Row],[Fecha reporte]]=""),"",TODAY()-tblAvisos[[#This Row],[Fecha reporte]])</f>
        <v/>
      </c>
      <c r="P278" t="str">
        <f ca="1">IF(tblAvisos[[#This Row],[Fecha reporte]]="","Sin fecha",IF(tblAvisos[[#This Row],[Fecha reporte]]&lt;DATE(2020,1,1),"Fecha inválida",IF(tblAvisos[[#This Row],[Fecha reporte]]&gt;TODAY(),"Fecha futura",IF(tblAvisos[[#This Row],[Aviso SAP]]="","Sin aviso SAP",IF(tblAvisos[[#This Row],[Criticidad]]="","Sin criticidad","OK")))))</f>
        <v>Sin fecha</v>
      </c>
      <c r="Q278" s="901" t="s">
        <v>2861</v>
      </c>
    </row>
    <row r="279" spans="2:17">
      <c r="B279" s="853" cm="1">
        <f t="array" ref="B279">ROW()-ROW(tblAvisos[#Headers])</f>
        <v>275</v>
      </c>
      <c r="C279" t="s">
        <v>2502</v>
      </c>
      <c r="D279" s="871">
        <v>46043</v>
      </c>
      <c r="E279" s="900" t="s">
        <v>2536</v>
      </c>
      <c r="F279" t="s">
        <v>1067</v>
      </c>
      <c r="G279" t="s">
        <v>1068</v>
      </c>
      <c r="H279" t="s">
        <v>1158</v>
      </c>
      <c r="I279" t="s">
        <v>1173</v>
      </c>
      <c r="J279" t="s">
        <v>2514</v>
      </c>
      <c r="K279" t="s">
        <v>665</v>
      </c>
      <c r="L279" s="871"/>
      <c r="O279" s="256">
        <f ca="1">IF(OR(tblAvisos[[#This Row],[Estado trabajo]]="Cerrado",tblAvisos[[#This Row],[Fecha reporte]]=""),"",TODAY()-tblAvisos[[#This Row],[Fecha reporte]])</f>
        <v>252</v>
      </c>
      <c r="P279" t="str">
        <f ca="1">IF(tblAvisos[[#This Row],[Fecha reporte]]="","Sin fecha",IF(tblAvisos[[#This Row],[Fecha reporte]]&lt;DATE(2020,1,1),"Fecha inválida",IF(tblAvisos[[#This Row],[Fecha reporte]]&gt;TODAY(),"Fecha futura",IF(tblAvisos[[#This Row],[Aviso SAP]]="","Sin aviso SAP",IF(tblAvisos[[#This Row],[Criticidad]]="","Sin criticidad","OK")))))</f>
        <v>Sin aviso SAP</v>
      </c>
      <c r="Q279" s="901" t="s">
        <v>2862</v>
      </c>
    </row>
    <row r="280" spans="2:17">
      <c r="B280" s="853" cm="1">
        <f t="array" ref="B280">ROW()-ROW(tblAvisos[#Headers])</f>
        <v>276</v>
      </c>
      <c r="C280" t="s">
        <v>2502</v>
      </c>
      <c r="D280" s="871"/>
      <c r="E280" s="900" t="s">
        <v>2536</v>
      </c>
      <c r="F280" t="s">
        <v>1069</v>
      </c>
      <c r="G280" t="s">
        <v>1070</v>
      </c>
      <c r="H280" t="s">
        <v>1158</v>
      </c>
      <c r="I280" t="s">
        <v>1173</v>
      </c>
      <c r="J280" t="s">
        <v>2514</v>
      </c>
      <c r="K280" t="s">
        <v>668</v>
      </c>
      <c r="L280" s="871"/>
      <c r="O280" s="256" t="str">
        <f ca="1">IF(OR(tblAvisos[[#This Row],[Estado trabajo]]="Cerrado",tblAvisos[[#This Row],[Fecha reporte]]=""),"",TODAY()-tblAvisos[[#This Row],[Fecha reporte]])</f>
        <v/>
      </c>
      <c r="P280" t="str">
        <f ca="1">IF(tblAvisos[[#This Row],[Fecha reporte]]="","Sin fecha",IF(tblAvisos[[#This Row],[Fecha reporte]]&lt;DATE(2020,1,1),"Fecha inválida",IF(tblAvisos[[#This Row],[Fecha reporte]]&gt;TODAY(),"Fecha futura",IF(tblAvisos[[#This Row],[Aviso SAP]]="","Sin aviso SAP",IF(tblAvisos[[#This Row],[Criticidad]]="","Sin criticidad","OK")))))</f>
        <v>Sin fecha</v>
      </c>
      <c r="Q280" s="901" t="s">
        <v>2863</v>
      </c>
    </row>
    <row r="281" spans="2:17">
      <c r="B281" s="853" cm="1">
        <f t="array" ref="B281">ROW()-ROW(tblAvisos[#Headers])</f>
        <v>277</v>
      </c>
      <c r="C281" t="s">
        <v>2502</v>
      </c>
      <c r="D281" s="871"/>
      <c r="E281" s="900" t="s">
        <v>2536</v>
      </c>
      <c r="F281" t="s">
        <v>367</v>
      </c>
      <c r="G281" t="s">
        <v>1071</v>
      </c>
      <c r="H281" t="s">
        <v>1158</v>
      </c>
      <c r="I281" t="s">
        <v>1173</v>
      </c>
      <c r="J281" t="s">
        <v>2514</v>
      </c>
      <c r="K281" t="s">
        <v>665</v>
      </c>
      <c r="L281" s="871"/>
      <c r="O281" s="256" t="str">
        <f ca="1">IF(OR(tblAvisos[[#This Row],[Estado trabajo]]="Cerrado",tblAvisos[[#This Row],[Fecha reporte]]=""),"",TODAY()-tblAvisos[[#This Row],[Fecha reporte]])</f>
        <v/>
      </c>
      <c r="P281" t="str">
        <f ca="1">IF(tblAvisos[[#This Row],[Fecha reporte]]="","Sin fecha",IF(tblAvisos[[#This Row],[Fecha reporte]]&lt;DATE(2020,1,1),"Fecha inválida",IF(tblAvisos[[#This Row],[Fecha reporte]]&gt;TODAY(),"Fecha futura",IF(tblAvisos[[#This Row],[Aviso SAP]]="","Sin aviso SAP",IF(tblAvisos[[#This Row],[Criticidad]]="","Sin criticidad","OK")))))</f>
        <v>Sin fecha</v>
      </c>
      <c r="Q281" s="901" t="s">
        <v>2864</v>
      </c>
    </row>
    <row r="282" spans="2:17">
      <c r="B282" s="853" cm="1">
        <f t="array" ref="B282">ROW()-ROW(tblAvisos[#Headers])</f>
        <v>278</v>
      </c>
      <c r="C282" t="s">
        <v>2502</v>
      </c>
      <c r="D282" s="871"/>
      <c r="E282" s="900" t="s">
        <v>2536</v>
      </c>
      <c r="F282" t="s">
        <v>1072</v>
      </c>
      <c r="G282" t="s">
        <v>1065</v>
      </c>
      <c r="H282" t="s">
        <v>1158</v>
      </c>
      <c r="I282" t="s">
        <v>1173</v>
      </c>
      <c r="J282" t="s">
        <v>2514</v>
      </c>
      <c r="K282" t="s">
        <v>665</v>
      </c>
      <c r="L282" s="871"/>
      <c r="O282" s="256" t="str">
        <f ca="1">IF(OR(tblAvisos[[#This Row],[Estado trabajo]]="Cerrado",tblAvisos[[#This Row],[Fecha reporte]]=""),"",TODAY()-tblAvisos[[#This Row],[Fecha reporte]])</f>
        <v/>
      </c>
      <c r="P282" t="str">
        <f ca="1">IF(tblAvisos[[#This Row],[Fecha reporte]]="","Sin fecha",IF(tblAvisos[[#This Row],[Fecha reporte]]&lt;DATE(2020,1,1),"Fecha inválida",IF(tblAvisos[[#This Row],[Fecha reporte]]&gt;TODAY(),"Fecha futura",IF(tblAvisos[[#This Row],[Aviso SAP]]="","Sin aviso SAP",IF(tblAvisos[[#This Row],[Criticidad]]="","Sin criticidad","OK")))))</f>
        <v>Sin fecha</v>
      </c>
      <c r="Q282" s="901" t="s">
        <v>2865</v>
      </c>
    </row>
    <row r="283" spans="2:17">
      <c r="B283" s="853" cm="1">
        <f t="array" ref="B283">ROW()-ROW(tblAvisos[#Headers])</f>
        <v>279</v>
      </c>
      <c r="C283" t="s">
        <v>2502</v>
      </c>
      <c r="D283" s="871"/>
      <c r="E283" s="900" t="s">
        <v>2536</v>
      </c>
      <c r="F283" t="s">
        <v>1060</v>
      </c>
      <c r="G283" t="s">
        <v>1073</v>
      </c>
      <c r="H283" t="s">
        <v>1158</v>
      </c>
      <c r="I283" t="s">
        <v>1173</v>
      </c>
      <c r="J283" t="s">
        <v>2514</v>
      </c>
      <c r="K283" t="s">
        <v>665</v>
      </c>
      <c r="L283" s="871"/>
      <c r="O283" s="256" t="str">
        <f ca="1">IF(OR(tblAvisos[[#This Row],[Estado trabajo]]="Cerrado",tblAvisos[[#This Row],[Fecha reporte]]=""),"",TODAY()-tblAvisos[[#This Row],[Fecha reporte]])</f>
        <v/>
      </c>
      <c r="P283" t="str">
        <f ca="1">IF(tblAvisos[[#This Row],[Fecha reporte]]="","Sin fecha",IF(tblAvisos[[#This Row],[Fecha reporte]]&lt;DATE(2020,1,1),"Fecha inválida",IF(tblAvisos[[#This Row],[Fecha reporte]]&gt;TODAY(),"Fecha futura",IF(tblAvisos[[#This Row],[Aviso SAP]]="","Sin aviso SAP",IF(tblAvisos[[#This Row],[Criticidad]]="","Sin criticidad","OK")))))</f>
        <v>Sin fecha</v>
      </c>
      <c r="Q283" s="901" t="s">
        <v>2866</v>
      </c>
    </row>
    <row r="284" spans="2:17">
      <c r="B284" s="853" cm="1">
        <f t="array" ref="B284">ROW()-ROW(tblAvisos[#Headers])</f>
        <v>280</v>
      </c>
      <c r="C284" t="s">
        <v>2502</v>
      </c>
      <c r="D284" s="871">
        <v>46044</v>
      </c>
      <c r="E284" s="900" t="s">
        <v>2536</v>
      </c>
      <c r="F284" t="s">
        <v>1075</v>
      </c>
      <c r="G284" t="s">
        <v>1076</v>
      </c>
      <c r="H284" t="s">
        <v>1158</v>
      </c>
      <c r="I284" t="s">
        <v>1173</v>
      </c>
      <c r="J284" t="s">
        <v>2514</v>
      </c>
      <c r="K284" t="s">
        <v>665</v>
      </c>
      <c r="L284" s="871"/>
      <c r="O284" s="256">
        <f ca="1">IF(OR(tblAvisos[[#This Row],[Estado trabajo]]="Cerrado",tblAvisos[[#This Row],[Fecha reporte]]=""),"",TODAY()-tblAvisos[[#This Row],[Fecha reporte]])</f>
        <v>251</v>
      </c>
      <c r="P284" t="str">
        <f ca="1">IF(tblAvisos[[#This Row],[Fecha reporte]]="","Sin fecha",IF(tblAvisos[[#This Row],[Fecha reporte]]&lt;DATE(2020,1,1),"Fecha inválida",IF(tblAvisos[[#This Row],[Fecha reporte]]&gt;TODAY(),"Fecha futura",IF(tblAvisos[[#This Row],[Aviso SAP]]="","Sin aviso SAP",IF(tblAvisos[[#This Row],[Criticidad]]="","Sin criticidad","OK")))))</f>
        <v>Sin aviso SAP</v>
      </c>
      <c r="Q284" s="901" t="s">
        <v>2867</v>
      </c>
    </row>
    <row r="285" spans="2:17">
      <c r="B285" s="853" cm="1">
        <f t="array" ref="B285">ROW()-ROW(tblAvisos[#Headers])</f>
        <v>281</v>
      </c>
      <c r="C285" t="s">
        <v>2502</v>
      </c>
      <c r="D285" s="871"/>
      <c r="E285" s="900" t="s">
        <v>2536</v>
      </c>
      <c r="F285" t="s">
        <v>294</v>
      </c>
      <c r="G285" t="s">
        <v>1013</v>
      </c>
      <c r="H285" t="s">
        <v>1158</v>
      </c>
      <c r="I285" t="s">
        <v>1173</v>
      </c>
      <c r="J285" t="s">
        <v>2514</v>
      </c>
      <c r="K285" t="s">
        <v>665</v>
      </c>
      <c r="L285" s="871"/>
      <c r="O285" s="256" t="str">
        <f ca="1">IF(OR(tblAvisos[[#This Row],[Estado trabajo]]="Cerrado",tblAvisos[[#This Row],[Fecha reporte]]=""),"",TODAY()-tblAvisos[[#This Row],[Fecha reporte]])</f>
        <v/>
      </c>
      <c r="P285" t="str">
        <f ca="1">IF(tblAvisos[[#This Row],[Fecha reporte]]="","Sin fecha",IF(tblAvisos[[#This Row],[Fecha reporte]]&lt;DATE(2020,1,1),"Fecha inválida",IF(tblAvisos[[#This Row],[Fecha reporte]]&gt;TODAY(),"Fecha futura",IF(tblAvisos[[#This Row],[Aviso SAP]]="","Sin aviso SAP",IF(tblAvisos[[#This Row],[Criticidad]]="","Sin criticidad","OK")))))</f>
        <v>Sin fecha</v>
      </c>
      <c r="Q285" s="901" t="s">
        <v>2868</v>
      </c>
    </row>
    <row r="286" spans="2:17">
      <c r="B286" s="853" cm="1">
        <f t="array" ref="B286">ROW()-ROW(tblAvisos[#Headers])</f>
        <v>282</v>
      </c>
      <c r="C286" t="s">
        <v>2502</v>
      </c>
      <c r="D286" s="871"/>
      <c r="E286" s="900" t="s">
        <v>2536</v>
      </c>
      <c r="F286" t="s">
        <v>1077</v>
      </c>
      <c r="G286" t="s">
        <v>827</v>
      </c>
      <c r="H286" t="s">
        <v>1158</v>
      </c>
      <c r="I286" t="s">
        <v>1173</v>
      </c>
      <c r="J286" t="s">
        <v>2514</v>
      </c>
      <c r="K286" t="s">
        <v>665</v>
      </c>
      <c r="L286" s="871"/>
      <c r="O286" s="256" t="str">
        <f ca="1">IF(OR(tblAvisos[[#This Row],[Estado trabajo]]="Cerrado",tblAvisos[[#This Row],[Fecha reporte]]=""),"",TODAY()-tblAvisos[[#This Row],[Fecha reporte]])</f>
        <v/>
      </c>
      <c r="P286" t="str">
        <f ca="1">IF(tblAvisos[[#This Row],[Fecha reporte]]="","Sin fecha",IF(tblAvisos[[#This Row],[Fecha reporte]]&lt;DATE(2020,1,1),"Fecha inválida",IF(tblAvisos[[#This Row],[Fecha reporte]]&gt;TODAY(),"Fecha futura",IF(tblAvisos[[#This Row],[Aviso SAP]]="","Sin aviso SAP",IF(tblAvisos[[#This Row],[Criticidad]]="","Sin criticidad","OK")))))</f>
        <v>Sin fecha</v>
      </c>
      <c r="Q286" s="901" t="s">
        <v>2869</v>
      </c>
    </row>
    <row r="287" spans="2:17">
      <c r="B287" s="853" cm="1">
        <f t="array" ref="B287">ROW()-ROW(tblAvisos[#Headers])</f>
        <v>283</v>
      </c>
      <c r="C287" t="s">
        <v>2502</v>
      </c>
      <c r="D287" s="871">
        <v>46045</v>
      </c>
      <c r="E287" s="900" t="s">
        <v>2536</v>
      </c>
      <c r="F287" t="s">
        <v>406</v>
      </c>
      <c r="G287" t="s">
        <v>1079</v>
      </c>
      <c r="H287" t="s">
        <v>1158</v>
      </c>
      <c r="I287" t="s">
        <v>1173</v>
      </c>
      <c r="J287" t="s">
        <v>2515</v>
      </c>
      <c r="K287" t="s">
        <v>668</v>
      </c>
      <c r="L287" s="871"/>
      <c r="O287" s="256">
        <f ca="1">IF(OR(tblAvisos[[#This Row],[Estado trabajo]]="Cerrado",tblAvisos[[#This Row],[Fecha reporte]]=""),"",TODAY()-tblAvisos[[#This Row],[Fecha reporte]])</f>
        <v>250</v>
      </c>
      <c r="P287" t="str">
        <f ca="1">IF(tblAvisos[[#This Row],[Fecha reporte]]="","Sin fecha",IF(tblAvisos[[#This Row],[Fecha reporte]]&lt;DATE(2020,1,1),"Fecha inválida",IF(tblAvisos[[#This Row],[Fecha reporte]]&gt;TODAY(),"Fecha futura",IF(tblAvisos[[#This Row],[Aviso SAP]]="","Sin aviso SAP",IF(tblAvisos[[#This Row],[Criticidad]]="","Sin criticidad","OK")))))</f>
        <v>Sin aviso SAP</v>
      </c>
      <c r="Q287" s="901" t="s">
        <v>2870</v>
      </c>
    </row>
    <row r="288" spans="2:17">
      <c r="B288" s="853" cm="1">
        <f t="array" ref="B288">ROW()-ROW(tblAvisos[#Headers])</f>
        <v>284</v>
      </c>
      <c r="C288" t="s">
        <v>2502</v>
      </c>
      <c r="D288" s="871"/>
      <c r="E288" s="900" t="s">
        <v>2536</v>
      </c>
      <c r="F288" t="s">
        <v>294</v>
      </c>
      <c r="G288" t="s">
        <v>1080</v>
      </c>
      <c r="H288" t="s">
        <v>1158</v>
      </c>
      <c r="I288" t="s">
        <v>1173</v>
      </c>
      <c r="J288" t="s">
        <v>2515</v>
      </c>
      <c r="K288" t="s">
        <v>668</v>
      </c>
      <c r="L288" s="871"/>
      <c r="O288" s="256" t="str">
        <f ca="1">IF(OR(tblAvisos[[#This Row],[Estado trabajo]]="Cerrado",tblAvisos[[#This Row],[Fecha reporte]]=""),"",TODAY()-tblAvisos[[#This Row],[Fecha reporte]])</f>
        <v/>
      </c>
      <c r="P288" t="str">
        <f ca="1">IF(tblAvisos[[#This Row],[Fecha reporte]]="","Sin fecha",IF(tblAvisos[[#This Row],[Fecha reporte]]&lt;DATE(2020,1,1),"Fecha inválida",IF(tblAvisos[[#This Row],[Fecha reporte]]&gt;TODAY(),"Fecha futura",IF(tblAvisos[[#This Row],[Aviso SAP]]="","Sin aviso SAP",IF(tblAvisos[[#This Row],[Criticidad]]="","Sin criticidad","OK")))))</f>
        <v>Sin fecha</v>
      </c>
      <c r="Q288" s="901" t="s">
        <v>2871</v>
      </c>
    </row>
    <row r="289" spans="2:17">
      <c r="B289" s="853" cm="1">
        <f t="array" ref="B289">ROW()-ROW(tblAvisos[#Headers])</f>
        <v>285</v>
      </c>
      <c r="C289" t="s">
        <v>2502</v>
      </c>
      <c r="D289" s="871"/>
      <c r="E289" s="900" t="s">
        <v>2536</v>
      </c>
      <c r="F289" t="s">
        <v>889</v>
      </c>
      <c r="G289" t="s">
        <v>1012</v>
      </c>
      <c r="H289" t="s">
        <v>1170</v>
      </c>
      <c r="I289" t="s">
        <v>1173</v>
      </c>
      <c r="J289" t="s">
        <v>2514</v>
      </c>
      <c r="K289" t="s">
        <v>668</v>
      </c>
      <c r="L289" s="871"/>
      <c r="O289" s="256" t="str">
        <f ca="1">IF(OR(tblAvisos[[#This Row],[Estado trabajo]]="Cerrado",tblAvisos[[#This Row],[Fecha reporte]]=""),"",TODAY()-tblAvisos[[#This Row],[Fecha reporte]])</f>
        <v/>
      </c>
      <c r="P289" t="str">
        <f ca="1">IF(tblAvisos[[#This Row],[Fecha reporte]]="","Sin fecha",IF(tblAvisos[[#This Row],[Fecha reporte]]&lt;DATE(2020,1,1),"Fecha inválida",IF(tblAvisos[[#This Row],[Fecha reporte]]&gt;TODAY(),"Fecha futura",IF(tblAvisos[[#This Row],[Aviso SAP]]="","Sin aviso SAP",IF(tblAvisos[[#This Row],[Criticidad]]="","Sin criticidad","OK")))))</f>
        <v>Sin fecha</v>
      </c>
      <c r="Q289" s="901" t="s">
        <v>2872</v>
      </c>
    </row>
    <row r="290" spans="2:17">
      <c r="B290" s="853" cm="1">
        <f t="array" ref="B290">ROW()-ROW(tblAvisos[#Headers])</f>
        <v>286</v>
      </c>
      <c r="C290" t="s">
        <v>2502</v>
      </c>
      <c r="D290" s="871">
        <v>46046</v>
      </c>
      <c r="E290" s="900" t="s">
        <v>2536</v>
      </c>
      <c r="F290" t="s">
        <v>380</v>
      </c>
      <c r="G290" t="s">
        <v>1082</v>
      </c>
      <c r="H290" t="s">
        <v>1158</v>
      </c>
      <c r="I290" t="s">
        <v>1173</v>
      </c>
      <c r="J290" t="s">
        <v>2515</v>
      </c>
      <c r="K290" t="s">
        <v>665</v>
      </c>
      <c r="L290" s="871"/>
      <c r="O290" s="256">
        <f ca="1">IF(OR(tblAvisos[[#This Row],[Estado trabajo]]="Cerrado",tblAvisos[[#This Row],[Fecha reporte]]=""),"",TODAY()-tblAvisos[[#This Row],[Fecha reporte]])</f>
        <v>249</v>
      </c>
      <c r="P290" t="str">
        <f ca="1">IF(tblAvisos[[#This Row],[Fecha reporte]]="","Sin fecha",IF(tblAvisos[[#This Row],[Fecha reporte]]&lt;DATE(2020,1,1),"Fecha inválida",IF(tblAvisos[[#This Row],[Fecha reporte]]&gt;TODAY(),"Fecha futura",IF(tblAvisos[[#This Row],[Aviso SAP]]="","Sin aviso SAP",IF(tblAvisos[[#This Row],[Criticidad]]="","Sin criticidad","OK")))))</f>
        <v>Sin aviso SAP</v>
      </c>
      <c r="Q290" s="901" t="s">
        <v>2873</v>
      </c>
    </row>
    <row r="291" spans="2:17">
      <c r="B291" s="853" cm="1">
        <f t="array" ref="B291">ROW()-ROW(tblAvisos[#Headers])</f>
        <v>287</v>
      </c>
      <c r="C291" t="s">
        <v>2502</v>
      </c>
      <c r="D291" s="871"/>
      <c r="E291" s="900" t="s">
        <v>2536</v>
      </c>
      <c r="F291" t="s">
        <v>1083</v>
      </c>
      <c r="G291" t="s">
        <v>1084</v>
      </c>
      <c r="H291" t="s">
        <v>1158</v>
      </c>
      <c r="I291" t="s">
        <v>1173</v>
      </c>
      <c r="J291" t="s">
        <v>2515</v>
      </c>
      <c r="K291" t="s">
        <v>665</v>
      </c>
      <c r="L291" s="871"/>
      <c r="O291" s="256" t="str">
        <f ca="1">IF(OR(tblAvisos[[#This Row],[Estado trabajo]]="Cerrado",tblAvisos[[#This Row],[Fecha reporte]]=""),"",TODAY()-tblAvisos[[#This Row],[Fecha reporte]])</f>
        <v/>
      </c>
      <c r="P291" t="str">
        <f ca="1">IF(tblAvisos[[#This Row],[Fecha reporte]]="","Sin fecha",IF(tblAvisos[[#This Row],[Fecha reporte]]&lt;DATE(2020,1,1),"Fecha inválida",IF(tblAvisos[[#This Row],[Fecha reporte]]&gt;TODAY(),"Fecha futura",IF(tblAvisos[[#This Row],[Aviso SAP]]="","Sin aviso SAP",IF(tblAvisos[[#This Row],[Criticidad]]="","Sin criticidad","OK")))))</f>
        <v>Sin fecha</v>
      </c>
      <c r="Q291" s="901" t="s">
        <v>2874</v>
      </c>
    </row>
    <row r="292" spans="2:17">
      <c r="B292" s="853" cm="1">
        <f t="array" ref="B292">ROW()-ROW(tblAvisos[#Headers])</f>
        <v>288</v>
      </c>
      <c r="C292" t="s">
        <v>2502</v>
      </c>
      <c r="D292" s="871"/>
      <c r="E292" s="900" t="s">
        <v>2536</v>
      </c>
      <c r="F292" t="s">
        <v>597</v>
      </c>
      <c r="G292" t="s">
        <v>1085</v>
      </c>
      <c r="H292" t="s">
        <v>1086</v>
      </c>
      <c r="I292" t="s">
        <v>1173</v>
      </c>
      <c r="J292" t="s">
        <v>2515</v>
      </c>
      <c r="K292" t="s">
        <v>665</v>
      </c>
      <c r="L292" s="871"/>
      <c r="O292" s="256" t="str">
        <f ca="1">IF(OR(tblAvisos[[#This Row],[Estado trabajo]]="Cerrado",tblAvisos[[#This Row],[Fecha reporte]]=""),"",TODAY()-tblAvisos[[#This Row],[Fecha reporte]])</f>
        <v/>
      </c>
      <c r="P292" t="str">
        <f ca="1">IF(tblAvisos[[#This Row],[Fecha reporte]]="","Sin fecha",IF(tblAvisos[[#This Row],[Fecha reporte]]&lt;DATE(2020,1,1),"Fecha inválida",IF(tblAvisos[[#This Row],[Fecha reporte]]&gt;TODAY(),"Fecha futura",IF(tblAvisos[[#This Row],[Aviso SAP]]="","Sin aviso SAP",IF(tblAvisos[[#This Row],[Criticidad]]="","Sin criticidad","OK")))))</f>
        <v>Sin fecha</v>
      </c>
      <c r="Q292" s="901" t="s">
        <v>2875</v>
      </c>
    </row>
    <row r="293" spans="2:17">
      <c r="B293" s="853" cm="1">
        <f t="array" ref="B293">ROW()-ROW(tblAvisos[#Headers])</f>
        <v>289</v>
      </c>
      <c r="C293" t="s">
        <v>2502</v>
      </c>
      <c r="D293" s="871">
        <v>46048</v>
      </c>
      <c r="E293" s="900" t="s">
        <v>2536</v>
      </c>
      <c r="F293" t="s">
        <v>1088</v>
      </c>
      <c r="G293" t="s">
        <v>827</v>
      </c>
      <c r="H293" t="s">
        <v>1158</v>
      </c>
      <c r="I293" t="s">
        <v>1173</v>
      </c>
      <c r="J293" t="s">
        <v>2514</v>
      </c>
      <c r="K293" t="s">
        <v>668</v>
      </c>
      <c r="L293" s="871"/>
      <c r="O293" s="256">
        <f ca="1">IF(OR(tblAvisos[[#This Row],[Estado trabajo]]="Cerrado",tblAvisos[[#This Row],[Fecha reporte]]=""),"",TODAY()-tblAvisos[[#This Row],[Fecha reporte]])</f>
        <v>247</v>
      </c>
      <c r="P293" t="str">
        <f ca="1">IF(tblAvisos[[#This Row],[Fecha reporte]]="","Sin fecha",IF(tblAvisos[[#This Row],[Fecha reporte]]&lt;DATE(2020,1,1),"Fecha inválida",IF(tblAvisos[[#This Row],[Fecha reporte]]&gt;TODAY(),"Fecha futura",IF(tblAvisos[[#This Row],[Aviso SAP]]="","Sin aviso SAP",IF(tblAvisos[[#This Row],[Criticidad]]="","Sin criticidad","OK")))))</f>
        <v>Sin aviso SAP</v>
      </c>
      <c r="Q293" s="901" t="s">
        <v>2876</v>
      </c>
    </row>
    <row r="294" spans="2:17">
      <c r="B294" s="853" cm="1">
        <f t="array" ref="B294">ROW()-ROW(tblAvisos[#Headers])</f>
        <v>290</v>
      </c>
      <c r="C294" t="s">
        <v>2502</v>
      </c>
      <c r="D294" s="871"/>
      <c r="E294" s="900" t="s">
        <v>2536</v>
      </c>
      <c r="F294" t="s">
        <v>822</v>
      </c>
      <c r="G294" t="s">
        <v>827</v>
      </c>
      <c r="H294" t="s">
        <v>1158</v>
      </c>
      <c r="I294" t="s">
        <v>1173</v>
      </c>
      <c r="J294" t="s">
        <v>2515</v>
      </c>
      <c r="K294" t="s">
        <v>668</v>
      </c>
      <c r="L294" s="871"/>
      <c r="O294" s="256" t="str">
        <f ca="1">IF(OR(tblAvisos[[#This Row],[Estado trabajo]]="Cerrado",tblAvisos[[#This Row],[Fecha reporte]]=""),"",TODAY()-tblAvisos[[#This Row],[Fecha reporte]])</f>
        <v/>
      </c>
      <c r="P294" t="str">
        <f ca="1">IF(tblAvisos[[#This Row],[Fecha reporte]]="","Sin fecha",IF(tblAvisos[[#This Row],[Fecha reporte]]&lt;DATE(2020,1,1),"Fecha inválida",IF(tblAvisos[[#This Row],[Fecha reporte]]&gt;TODAY(),"Fecha futura",IF(tblAvisos[[#This Row],[Aviso SAP]]="","Sin aviso SAP",IF(tblAvisos[[#This Row],[Criticidad]]="","Sin criticidad","OK")))))</f>
        <v>Sin fecha</v>
      </c>
      <c r="Q294" s="901" t="s">
        <v>2877</v>
      </c>
    </row>
    <row r="295" spans="2:17">
      <c r="B295" s="853" cm="1">
        <f t="array" ref="B295">ROW()-ROW(tblAvisos[#Headers])</f>
        <v>291</v>
      </c>
      <c r="C295" t="s">
        <v>2502</v>
      </c>
      <c r="D295" s="871"/>
      <c r="E295" s="900" t="s">
        <v>2536</v>
      </c>
      <c r="F295" t="s">
        <v>294</v>
      </c>
      <c r="G295" t="s">
        <v>1080</v>
      </c>
      <c r="H295" t="s">
        <v>1158</v>
      </c>
      <c r="I295" t="s">
        <v>1173</v>
      </c>
      <c r="J295" t="s">
        <v>2515</v>
      </c>
      <c r="K295" t="s">
        <v>668</v>
      </c>
      <c r="L295" s="871"/>
      <c r="O295" s="256" t="str">
        <f ca="1">IF(OR(tblAvisos[[#This Row],[Estado trabajo]]="Cerrado",tblAvisos[[#This Row],[Fecha reporte]]=""),"",TODAY()-tblAvisos[[#This Row],[Fecha reporte]])</f>
        <v/>
      </c>
      <c r="P295" t="str">
        <f ca="1">IF(tblAvisos[[#This Row],[Fecha reporte]]="","Sin fecha",IF(tblAvisos[[#This Row],[Fecha reporte]]&lt;DATE(2020,1,1),"Fecha inválida",IF(tblAvisos[[#This Row],[Fecha reporte]]&gt;TODAY(),"Fecha futura",IF(tblAvisos[[#This Row],[Aviso SAP]]="","Sin aviso SAP",IF(tblAvisos[[#This Row],[Criticidad]]="","Sin criticidad","OK")))))</f>
        <v>Sin fecha</v>
      </c>
      <c r="Q295" s="901" t="s">
        <v>2878</v>
      </c>
    </row>
    <row r="296" spans="2:17">
      <c r="B296" s="853" cm="1">
        <f t="array" ref="B296">ROW()-ROW(tblAvisos[#Headers])</f>
        <v>292</v>
      </c>
      <c r="C296" t="s">
        <v>2502</v>
      </c>
      <c r="D296" s="871"/>
      <c r="E296" s="900" t="s">
        <v>2536</v>
      </c>
      <c r="F296" t="s">
        <v>266</v>
      </c>
      <c r="G296" t="s">
        <v>1013</v>
      </c>
      <c r="H296" t="s">
        <v>1158</v>
      </c>
      <c r="I296" t="s">
        <v>1173</v>
      </c>
      <c r="J296" t="s">
        <v>2515</v>
      </c>
      <c r="K296" t="s">
        <v>668</v>
      </c>
      <c r="L296" s="871"/>
      <c r="O296" s="256" t="str">
        <f ca="1">IF(OR(tblAvisos[[#This Row],[Estado trabajo]]="Cerrado",tblAvisos[[#This Row],[Fecha reporte]]=""),"",TODAY()-tblAvisos[[#This Row],[Fecha reporte]])</f>
        <v/>
      </c>
      <c r="P296" t="str">
        <f ca="1">IF(tblAvisos[[#This Row],[Fecha reporte]]="","Sin fecha",IF(tblAvisos[[#This Row],[Fecha reporte]]&lt;DATE(2020,1,1),"Fecha inválida",IF(tblAvisos[[#This Row],[Fecha reporte]]&gt;TODAY(),"Fecha futura",IF(tblAvisos[[#This Row],[Aviso SAP]]="","Sin aviso SAP",IF(tblAvisos[[#This Row],[Criticidad]]="","Sin criticidad","OK")))))</f>
        <v>Sin fecha</v>
      </c>
      <c r="Q296" s="901" t="s">
        <v>2879</v>
      </c>
    </row>
    <row r="297" spans="2:17">
      <c r="B297" s="853" cm="1">
        <f t="array" ref="B297">ROW()-ROW(tblAvisos[#Headers])</f>
        <v>293</v>
      </c>
      <c r="C297" t="s">
        <v>2502</v>
      </c>
      <c r="D297" s="871"/>
      <c r="E297" s="900" t="s">
        <v>2536</v>
      </c>
      <c r="F297" t="s">
        <v>597</v>
      </c>
      <c r="G297" t="s">
        <v>1013</v>
      </c>
      <c r="H297" t="s">
        <v>1158</v>
      </c>
      <c r="I297" t="s">
        <v>1173</v>
      </c>
      <c r="J297" t="s">
        <v>2515</v>
      </c>
      <c r="K297" t="s">
        <v>668</v>
      </c>
      <c r="L297" s="871"/>
      <c r="O297" s="256" t="str">
        <f ca="1">IF(OR(tblAvisos[[#This Row],[Estado trabajo]]="Cerrado",tblAvisos[[#This Row],[Fecha reporte]]=""),"",TODAY()-tblAvisos[[#This Row],[Fecha reporte]])</f>
        <v/>
      </c>
      <c r="P297" t="str">
        <f ca="1">IF(tblAvisos[[#This Row],[Fecha reporte]]="","Sin fecha",IF(tblAvisos[[#This Row],[Fecha reporte]]&lt;DATE(2020,1,1),"Fecha inválida",IF(tblAvisos[[#This Row],[Fecha reporte]]&gt;TODAY(),"Fecha futura",IF(tblAvisos[[#This Row],[Aviso SAP]]="","Sin aviso SAP",IF(tblAvisos[[#This Row],[Criticidad]]="","Sin criticidad","OK")))))</f>
        <v>Sin fecha</v>
      </c>
      <c r="Q297" s="901" t="s">
        <v>2880</v>
      </c>
    </row>
    <row r="298" spans="2:17">
      <c r="B298" s="853" cm="1">
        <f t="array" ref="B298">ROW()-ROW(tblAvisos[#Headers])</f>
        <v>294</v>
      </c>
      <c r="C298" t="s">
        <v>2502</v>
      </c>
      <c r="D298" s="871"/>
      <c r="E298" s="900" t="s">
        <v>2536</v>
      </c>
      <c r="F298" t="s">
        <v>863</v>
      </c>
      <c r="G298" t="s">
        <v>1065</v>
      </c>
      <c r="H298" t="s">
        <v>1158</v>
      </c>
      <c r="I298" t="s">
        <v>1173</v>
      </c>
      <c r="J298" t="s">
        <v>2515</v>
      </c>
      <c r="K298" t="s">
        <v>665</v>
      </c>
      <c r="L298" s="871"/>
      <c r="O298" s="256" t="str">
        <f ca="1">IF(OR(tblAvisos[[#This Row],[Estado trabajo]]="Cerrado",tblAvisos[[#This Row],[Fecha reporte]]=""),"",TODAY()-tblAvisos[[#This Row],[Fecha reporte]])</f>
        <v/>
      </c>
      <c r="P298" t="str">
        <f ca="1">IF(tblAvisos[[#This Row],[Fecha reporte]]="","Sin fecha",IF(tblAvisos[[#This Row],[Fecha reporte]]&lt;DATE(2020,1,1),"Fecha inválida",IF(tblAvisos[[#This Row],[Fecha reporte]]&gt;TODAY(),"Fecha futura",IF(tblAvisos[[#This Row],[Aviso SAP]]="","Sin aviso SAP",IF(tblAvisos[[#This Row],[Criticidad]]="","Sin criticidad","OK")))))</f>
        <v>Sin fecha</v>
      </c>
      <c r="Q298" s="901" t="s">
        <v>2881</v>
      </c>
    </row>
    <row r="299" spans="2:17">
      <c r="B299" s="853" cm="1">
        <f t="array" ref="B299">ROW()-ROW(tblAvisos[#Headers])</f>
        <v>295</v>
      </c>
      <c r="C299" t="s">
        <v>2502</v>
      </c>
      <c r="D299" s="871">
        <v>46049</v>
      </c>
      <c r="E299" s="900" t="s">
        <v>2536</v>
      </c>
      <c r="F299" t="s">
        <v>855</v>
      </c>
      <c r="G299" t="s">
        <v>1065</v>
      </c>
      <c r="H299" t="s">
        <v>1158</v>
      </c>
      <c r="I299" t="s">
        <v>1173</v>
      </c>
      <c r="J299" t="s">
        <v>2515</v>
      </c>
      <c r="K299" t="s">
        <v>665</v>
      </c>
      <c r="L299" s="871"/>
      <c r="O299" s="256">
        <f ca="1">IF(OR(tblAvisos[[#This Row],[Estado trabajo]]="Cerrado",tblAvisos[[#This Row],[Fecha reporte]]=""),"",TODAY()-tblAvisos[[#This Row],[Fecha reporte]])</f>
        <v>246</v>
      </c>
      <c r="P299" t="str">
        <f ca="1">IF(tblAvisos[[#This Row],[Fecha reporte]]="","Sin fecha",IF(tblAvisos[[#This Row],[Fecha reporte]]&lt;DATE(2020,1,1),"Fecha inválida",IF(tblAvisos[[#This Row],[Fecha reporte]]&gt;TODAY(),"Fecha futura",IF(tblAvisos[[#This Row],[Aviso SAP]]="","Sin aviso SAP",IF(tblAvisos[[#This Row],[Criticidad]]="","Sin criticidad","OK")))))</f>
        <v>Sin aviso SAP</v>
      </c>
      <c r="Q299" s="901" t="s">
        <v>2882</v>
      </c>
    </row>
    <row r="300" spans="2:17">
      <c r="B300" s="853" cm="1">
        <f t="array" ref="B300">ROW()-ROW(tblAvisos[#Headers])</f>
        <v>296</v>
      </c>
      <c r="C300" t="s">
        <v>2502</v>
      </c>
      <c r="D300" s="871"/>
      <c r="E300" s="900" t="s">
        <v>2536</v>
      </c>
      <c r="F300" t="s">
        <v>1089</v>
      </c>
      <c r="G300" t="s">
        <v>1090</v>
      </c>
      <c r="H300" t="s">
        <v>1170</v>
      </c>
      <c r="I300" t="s">
        <v>1173</v>
      </c>
      <c r="J300" t="s">
        <v>2515</v>
      </c>
      <c r="K300" t="s">
        <v>668</v>
      </c>
      <c r="L300" s="871"/>
      <c r="O300" s="256" t="str">
        <f ca="1">IF(OR(tblAvisos[[#This Row],[Estado trabajo]]="Cerrado",tblAvisos[[#This Row],[Fecha reporte]]=""),"",TODAY()-tblAvisos[[#This Row],[Fecha reporte]])</f>
        <v/>
      </c>
      <c r="P300" t="str">
        <f ca="1">IF(tblAvisos[[#This Row],[Fecha reporte]]="","Sin fecha",IF(tblAvisos[[#This Row],[Fecha reporte]]&lt;DATE(2020,1,1),"Fecha inválida",IF(tblAvisos[[#This Row],[Fecha reporte]]&gt;TODAY(),"Fecha futura",IF(tblAvisos[[#This Row],[Aviso SAP]]="","Sin aviso SAP",IF(tblAvisos[[#This Row],[Criticidad]]="","Sin criticidad","OK")))))</f>
        <v>Sin fecha</v>
      </c>
      <c r="Q300" s="901" t="s">
        <v>2883</v>
      </c>
    </row>
    <row r="301" spans="2:17">
      <c r="B301" s="853" cm="1">
        <f t="array" ref="B301">ROW()-ROW(tblAvisos[#Headers])</f>
        <v>297</v>
      </c>
      <c r="C301" t="s">
        <v>2502</v>
      </c>
      <c r="D301" s="871"/>
      <c r="E301" s="900" t="s">
        <v>2536</v>
      </c>
      <c r="F301" t="s">
        <v>1091</v>
      </c>
      <c r="G301" t="s">
        <v>1092</v>
      </c>
      <c r="H301" t="s">
        <v>1158</v>
      </c>
      <c r="I301" t="s">
        <v>1173</v>
      </c>
      <c r="J301" t="s">
        <v>2514</v>
      </c>
      <c r="K301" t="s">
        <v>665</v>
      </c>
      <c r="L301" s="871"/>
      <c r="O301" s="256" t="str">
        <f ca="1">IF(OR(tblAvisos[[#This Row],[Estado trabajo]]="Cerrado",tblAvisos[[#This Row],[Fecha reporte]]=""),"",TODAY()-tblAvisos[[#This Row],[Fecha reporte]])</f>
        <v/>
      </c>
      <c r="P301" t="str">
        <f ca="1">IF(tblAvisos[[#This Row],[Fecha reporte]]="","Sin fecha",IF(tblAvisos[[#This Row],[Fecha reporte]]&lt;DATE(2020,1,1),"Fecha inválida",IF(tblAvisos[[#This Row],[Fecha reporte]]&gt;TODAY(),"Fecha futura",IF(tblAvisos[[#This Row],[Aviso SAP]]="","Sin aviso SAP",IF(tblAvisos[[#This Row],[Criticidad]]="","Sin criticidad","OK")))))</f>
        <v>Sin fecha</v>
      </c>
      <c r="Q301" s="901" t="s">
        <v>2884</v>
      </c>
    </row>
    <row r="302" spans="2:17">
      <c r="B302" s="853" cm="1">
        <f t="array" ref="B302">ROW()-ROW(tblAvisos[#Headers])</f>
        <v>298</v>
      </c>
      <c r="C302" t="s">
        <v>2502</v>
      </c>
      <c r="D302" s="871"/>
      <c r="E302" s="900" t="s">
        <v>2536</v>
      </c>
      <c r="F302" t="s">
        <v>262</v>
      </c>
      <c r="G302" t="s">
        <v>1093</v>
      </c>
      <c r="H302" t="s">
        <v>1158</v>
      </c>
      <c r="I302" t="s">
        <v>1173</v>
      </c>
      <c r="J302" t="s">
        <v>2515</v>
      </c>
      <c r="K302" t="s">
        <v>665</v>
      </c>
      <c r="L302" s="871"/>
      <c r="O302" s="256" t="str">
        <f ca="1">IF(OR(tblAvisos[[#This Row],[Estado trabajo]]="Cerrado",tblAvisos[[#This Row],[Fecha reporte]]=""),"",TODAY()-tblAvisos[[#This Row],[Fecha reporte]])</f>
        <v/>
      </c>
      <c r="P302" t="str">
        <f ca="1">IF(tblAvisos[[#This Row],[Fecha reporte]]="","Sin fecha",IF(tblAvisos[[#This Row],[Fecha reporte]]&lt;DATE(2020,1,1),"Fecha inválida",IF(tblAvisos[[#This Row],[Fecha reporte]]&gt;TODAY(),"Fecha futura",IF(tblAvisos[[#This Row],[Aviso SAP]]="","Sin aviso SAP",IF(tblAvisos[[#This Row],[Criticidad]]="","Sin criticidad","OK")))))</f>
        <v>Sin fecha</v>
      </c>
      <c r="Q302" s="901" t="s">
        <v>2885</v>
      </c>
    </row>
    <row r="303" spans="2:17">
      <c r="B303" s="853" cm="1">
        <f t="array" ref="B303">ROW()-ROW(tblAvisos[#Headers])</f>
        <v>299</v>
      </c>
      <c r="C303" t="s">
        <v>2502</v>
      </c>
      <c r="D303" s="871">
        <v>46050</v>
      </c>
      <c r="E303" s="900" t="s">
        <v>2536</v>
      </c>
      <c r="F303" t="s">
        <v>1095</v>
      </c>
      <c r="G303" t="s">
        <v>1096</v>
      </c>
      <c r="H303" t="s">
        <v>1158</v>
      </c>
      <c r="I303" t="s">
        <v>1173</v>
      </c>
      <c r="J303" t="s">
        <v>2515</v>
      </c>
      <c r="K303" t="s">
        <v>668</v>
      </c>
      <c r="L303" s="871"/>
      <c r="O303" s="256">
        <f ca="1">IF(OR(tblAvisos[[#This Row],[Estado trabajo]]="Cerrado",tblAvisos[[#This Row],[Fecha reporte]]=""),"",TODAY()-tblAvisos[[#This Row],[Fecha reporte]])</f>
        <v>245</v>
      </c>
      <c r="P303" t="str">
        <f ca="1">IF(tblAvisos[[#This Row],[Fecha reporte]]="","Sin fecha",IF(tblAvisos[[#This Row],[Fecha reporte]]&lt;DATE(2020,1,1),"Fecha inválida",IF(tblAvisos[[#This Row],[Fecha reporte]]&gt;TODAY(),"Fecha futura",IF(tblAvisos[[#This Row],[Aviso SAP]]="","Sin aviso SAP",IF(tblAvisos[[#This Row],[Criticidad]]="","Sin criticidad","OK")))))</f>
        <v>Sin aviso SAP</v>
      </c>
      <c r="Q303" s="901" t="s">
        <v>2886</v>
      </c>
    </row>
    <row r="304" spans="2:17">
      <c r="B304" s="853" cm="1">
        <f t="array" ref="B304">ROW()-ROW(tblAvisos[#Headers])</f>
        <v>300</v>
      </c>
      <c r="C304" t="s">
        <v>2502</v>
      </c>
      <c r="D304" s="871"/>
      <c r="E304" s="900" t="s">
        <v>2536</v>
      </c>
      <c r="F304" t="s">
        <v>294</v>
      </c>
      <c r="G304" t="s">
        <v>1097</v>
      </c>
      <c r="H304" t="s">
        <v>1158</v>
      </c>
      <c r="I304" t="s">
        <v>1173</v>
      </c>
      <c r="J304" t="s">
        <v>2515</v>
      </c>
      <c r="K304" t="s">
        <v>665</v>
      </c>
      <c r="L304" s="871"/>
      <c r="O304" s="256" t="str">
        <f ca="1">IF(OR(tblAvisos[[#This Row],[Estado trabajo]]="Cerrado",tblAvisos[[#This Row],[Fecha reporte]]=""),"",TODAY()-tblAvisos[[#This Row],[Fecha reporte]])</f>
        <v/>
      </c>
      <c r="P304" t="str">
        <f ca="1">IF(tblAvisos[[#This Row],[Fecha reporte]]="","Sin fecha",IF(tblAvisos[[#This Row],[Fecha reporte]]&lt;DATE(2020,1,1),"Fecha inválida",IF(tblAvisos[[#This Row],[Fecha reporte]]&gt;TODAY(),"Fecha futura",IF(tblAvisos[[#This Row],[Aviso SAP]]="","Sin aviso SAP",IF(tblAvisos[[#This Row],[Criticidad]]="","Sin criticidad","OK")))))</f>
        <v>Sin fecha</v>
      </c>
      <c r="Q304" s="901" t="s">
        <v>2887</v>
      </c>
    </row>
    <row r="305" spans="2:17">
      <c r="B305" s="853" cm="1">
        <f t="array" ref="B305">ROW()-ROW(tblAvisos[#Headers])</f>
        <v>301</v>
      </c>
      <c r="C305" t="s">
        <v>2502</v>
      </c>
      <c r="D305" s="871"/>
      <c r="E305" s="900" t="s">
        <v>2536</v>
      </c>
      <c r="F305" t="s">
        <v>1098</v>
      </c>
      <c r="G305" t="s">
        <v>1073</v>
      </c>
      <c r="H305" t="s">
        <v>1158</v>
      </c>
      <c r="I305" t="s">
        <v>1173</v>
      </c>
      <c r="J305" t="s">
        <v>2515</v>
      </c>
      <c r="K305" t="s">
        <v>665</v>
      </c>
      <c r="L305" s="871"/>
      <c r="O305" s="256" t="str">
        <f ca="1">IF(OR(tblAvisos[[#This Row],[Estado trabajo]]="Cerrado",tblAvisos[[#This Row],[Fecha reporte]]=""),"",TODAY()-tblAvisos[[#This Row],[Fecha reporte]])</f>
        <v/>
      </c>
      <c r="P305" t="str">
        <f ca="1">IF(tblAvisos[[#This Row],[Fecha reporte]]="","Sin fecha",IF(tblAvisos[[#This Row],[Fecha reporte]]&lt;DATE(2020,1,1),"Fecha inválida",IF(tblAvisos[[#This Row],[Fecha reporte]]&gt;TODAY(),"Fecha futura",IF(tblAvisos[[#This Row],[Aviso SAP]]="","Sin aviso SAP",IF(tblAvisos[[#This Row],[Criticidad]]="","Sin criticidad","OK")))))</f>
        <v>Sin fecha</v>
      </c>
      <c r="Q305" s="901" t="s">
        <v>2888</v>
      </c>
    </row>
    <row r="306" spans="2:17">
      <c r="B306" s="853" cm="1">
        <f t="array" ref="B306">ROW()-ROW(tblAvisos[#Headers])</f>
        <v>302</v>
      </c>
      <c r="C306" t="s">
        <v>2502</v>
      </c>
      <c r="D306" s="871"/>
      <c r="E306" s="900" t="s">
        <v>2536</v>
      </c>
      <c r="F306" t="s">
        <v>921</v>
      </c>
      <c r="G306" t="s">
        <v>1099</v>
      </c>
      <c r="H306" t="s">
        <v>1158</v>
      </c>
      <c r="I306" t="s">
        <v>1173</v>
      </c>
      <c r="J306" t="s">
        <v>2515</v>
      </c>
      <c r="K306" t="s">
        <v>665</v>
      </c>
      <c r="L306" s="871"/>
      <c r="O306" s="256" t="str">
        <f ca="1">IF(OR(tblAvisos[[#This Row],[Estado trabajo]]="Cerrado",tblAvisos[[#This Row],[Fecha reporte]]=""),"",TODAY()-tblAvisos[[#This Row],[Fecha reporte]])</f>
        <v/>
      </c>
      <c r="P306" t="str">
        <f ca="1">IF(tblAvisos[[#This Row],[Fecha reporte]]="","Sin fecha",IF(tblAvisos[[#This Row],[Fecha reporte]]&lt;DATE(2020,1,1),"Fecha inválida",IF(tblAvisos[[#This Row],[Fecha reporte]]&gt;TODAY(),"Fecha futura",IF(tblAvisos[[#This Row],[Aviso SAP]]="","Sin aviso SAP",IF(tblAvisos[[#This Row],[Criticidad]]="","Sin criticidad","OK")))))</f>
        <v>Sin fecha</v>
      </c>
      <c r="Q306" s="901" t="s">
        <v>2889</v>
      </c>
    </row>
    <row r="307" spans="2:17">
      <c r="B307" s="853" cm="1">
        <f t="array" ref="B307">ROW()-ROW(tblAvisos[#Headers])</f>
        <v>303</v>
      </c>
      <c r="C307" t="s">
        <v>2502</v>
      </c>
      <c r="D307" s="871">
        <v>46051</v>
      </c>
      <c r="E307" s="900" t="s">
        <v>2536</v>
      </c>
      <c r="F307" t="s">
        <v>271</v>
      </c>
      <c r="G307" t="s">
        <v>1101</v>
      </c>
      <c r="H307" t="s">
        <v>1158</v>
      </c>
      <c r="I307" t="s">
        <v>1173</v>
      </c>
      <c r="J307" t="s">
        <v>2514</v>
      </c>
      <c r="K307" t="s">
        <v>665</v>
      </c>
      <c r="L307" s="871"/>
      <c r="O307" s="256">
        <f ca="1">IF(OR(tblAvisos[[#This Row],[Estado trabajo]]="Cerrado",tblAvisos[[#This Row],[Fecha reporte]]=""),"",TODAY()-tblAvisos[[#This Row],[Fecha reporte]])</f>
        <v>244</v>
      </c>
      <c r="P307" t="str">
        <f ca="1">IF(tblAvisos[[#This Row],[Fecha reporte]]="","Sin fecha",IF(tblAvisos[[#This Row],[Fecha reporte]]&lt;DATE(2020,1,1),"Fecha inválida",IF(tblAvisos[[#This Row],[Fecha reporte]]&gt;TODAY(),"Fecha futura",IF(tblAvisos[[#This Row],[Aviso SAP]]="","Sin aviso SAP",IF(tblAvisos[[#This Row],[Criticidad]]="","Sin criticidad","OK")))))</f>
        <v>Sin aviso SAP</v>
      </c>
      <c r="Q307" s="901" t="s">
        <v>2890</v>
      </c>
    </row>
    <row r="308" spans="2:17">
      <c r="B308" s="853" cm="1">
        <f t="array" ref="B308">ROW()-ROW(tblAvisos[#Headers])</f>
        <v>304</v>
      </c>
      <c r="C308" t="s">
        <v>2502</v>
      </c>
      <c r="D308" s="871"/>
      <c r="E308" s="900" t="s">
        <v>2536</v>
      </c>
      <c r="F308" t="s">
        <v>1102</v>
      </c>
      <c r="G308" t="s">
        <v>1103</v>
      </c>
      <c r="H308" t="s">
        <v>1158</v>
      </c>
      <c r="I308" t="s">
        <v>1173</v>
      </c>
      <c r="J308" t="s">
        <v>2515</v>
      </c>
      <c r="K308" t="s">
        <v>665</v>
      </c>
      <c r="L308" s="871"/>
      <c r="O308" s="256" t="str">
        <f ca="1">IF(OR(tblAvisos[[#This Row],[Estado trabajo]]="Cerrado",tblAvisos[[#This Row],[Fecha reporte]]=""),"",TODAY()-tblAvisos[[#This Row],[Fecha reporte]])</f>
        <v/>
      </c>
      <c r="P308" t="str">
        <f ca="1">IF(tblAvisos[[#This Row],[Fecha reporte]]="","Sin fecha",IF(tblAvisos[[#This Row],[Fecha reporte]]&lt;DATE(2020,1,1),"Fecha inválida",IF(tblAvisos[[#This Row],[Fecha reporte]]&gt;TODAY(),"Fecha futura",IF(tblAvisos[[#This Row],[Aviso SAP]]="","Sin aviso SAP",IF(tblAvisos[[#This Row],[Criticidad]]="","Sin criticidad","OK")))))</f>
        <v>Sin fecha</v>
      </c>
      <c r="Q308" s="901" t="s">
        <v>2891</v>
      </c>
    </row>
    <row r="309" spans="2:17">
      <c r="B309" s="853" cm="1">
        <f t="array" ref="B309">ROW()-ROW(tblAvisos[#Headers])</f>
        <v>305</v>
      </c>
      <c r="C309" t="s">
        <v>2502</v>
      </c>
      <c r="D309" s="871"/>
      <c r="E309" s="900" t="s">
        <v>2536</v>
      </c>
      <c r="F309" t="s">
        <v>826</v>
      </c>
      <c r="G309" t="s">
        <v>1073</v>
      </c>
      <c r="H309" t="s">
        <v>1158</v>
      </c>
      <c r="I309" t="s">
        <v>1173</v>
      </c>
      <c r="J309" t="s">
        <v>2514</v>
      </c>
      <c r="K309" t="s">
        <v>665</v>
      </c>
      <c r="L309" s="871"/>
      <c r="O309" s="256" t="str">
        <f ca="1">IF(OR(tblAvisos[[#This Row],[Estado trabajo]]="Cerrado",tblAvisos[[#This Row],[Fecha reporte]]=""),"",TODAY()-tblAvisos[[#This Row],[Fecha reporte]])</f>
        <v/>
      </c>
      <c r="P309" t="str">
        <f ca="1">IF(tblAvisos[[#This Row],[Fecha reporte]]="","Sin fecha",IF(tblAvisos[[#This Row],[Fecha reporte]]&lt;DATE(2020,1,1),"Fecha inválida",IF(tblAvisos[[#This Row],[Fecha reporte]]&gt;TODAY(),"Fecha futura",IF(tblAvisos[[#This Row],[Aviso SAP]]="","Sin aviso SAP",IF(tblAvisos[[#This Row],[Criticidad]]="","Sin criticidad","OK")))))</f>
        <v>Sin fecha</v>
      </c>
      <c r="Q309" s="901" t="s">
        <v>2892</v>
      </c>
    </row>
    <row r="310" spans="2:17">
      <c r="B310" s="853" cm="1">
        <f t="array" ref="B310">ROW()-ROW(tblAvisos[#Headers])</f>
        <v>306</v>
      </c>
      <c r="C310" t="s">
        <v>2502</v>
      </c>
      <c r="D310" s="871"/>
      <c r="E310" s="900" t="s">
        <v>2536</v>
      </c>
      <c r="F310" t="s">
        <v>1038</v>
      </c>
      <c r="G310" t="s">
        <v>1073</v>
      </c>
      <c r="H310" t="s">
        <v>1158</v>
      </c>
      <c r="I310" t="s">
        <v>1173</v>
      </c>
      <c r="J310" t="s">
        <v>2514</v>
      </c>
      <c r="K310" t="s">
        <v>665</v>
      </c>
      <c r="L310" s="871"/>
      <c r="O310" s="256" t="str">
        <f ca="1">IF(OR(tblAvisos[[#This Row],[Estado trabajo]]="Cerrado",tblAvisos[[#This Row],[Fecha reporte]]=""),"",TODAY()-tblAvisos[[#This Row],[Fecha reporte]])</f>
        <v/>
      </c>
      <c r="P310" t="str">
        <f ca="1">IF(tblAvisos[[#This Row],[Fecha reporte]]="","Sin fecha",IF(tblAvisos[[#This Row],[Fecha reporte]]&lt;DATE(2020,1,1),"Fecha inválida",IF(tblAvisos[[#This Row],[Fecha reporte]]&gt;TODAY(),"Fecha futura",IF(tblAvisos[[#This Row],[Aviso SAP]]="","Sin aviso SAP",IF(tblAvisos[[#This Row],[Criticidad]]="","Sin criticidad","OK")))))</f>
        <v>Sin fecha</v>
      </c>
      <c r="Q310" s="901" t="s">
        <v>2893</v>
      </c>
    </row>
    <row r="311" spans="2:17">
      <c r="B311" s="853" cm="1">
        <f t="array" ref="B311">ROW()-ROW(tblAvisos[#Headers])</f>
        <v>307</v>
      </c>
      <c r="C311" t="s">
        <v>2502</v>
      </c>
      <c r="D311" s="871">
        <v>46052</v>
      </c>
      <c r="E311" s="900" t="s">
        <v>2536</v>
      </c>
      <c r="F311" t="s">
        <v>921</v>
      </c>
      <c r="G311" t="s">
        <v>1105</v>
      </c>
      <c r="H311" t="s">
        <v>1158</v>
      </c>
      <c r="I311" t="s">
        <v>1173</v>
      </c>
      <c r="J311" t="s">
        <v>2514</v>
      </c>
      <c r="K311" t="s">
        <v>668</v>
      </c>
      <c r="L311" s="871"/>
      <c r="O311" s="256">
        <f ca="1">IF(OR(tblAvisos[[#This Row],[Estado trabajo]]="Cerrado",tblAvisos[[#This Row],[Fecha reporte]]=""),"",TODAY()-tblAvisos[[#This Row],[Fecha reporte]])</f>
        <v>243</v>
      </c>
      <c r="P311" t="str">
        <f ca="1">IF(tblAvisos[[#This Row],[Fecha reporte]]="","Sin fecha",IF(tblAvisos[[#This Row],[Fecha reporte]]&lt;DATE(2020,1,1),"Fecha inválida",IF(tblAvisos[[#This Row],[Fecha reporte]]&gt;TODAY(),"Fecha futura",IF(tblAvisos[[#This Row],[Aviso SAP]]="","Sin aviso SAP",IF(tblAvisos[[#This Row],[Criticidad]]="","Sin criticidad","OK")))))</f>
        <v>Sin aviso SAP</v>
      </c>
      <c r="Q311" s="901" t="s">
        <v>2894</v>
      </c>
    </row>
    <row r="312" spans="2:17">
      <c r="B312" s="853" cm="1">
        <f t="array" ref="B312">ROW()-ROW(tblAvisos[#Headers])</f>
        <v>308</v>
      </c>
      <c r="C312" t="s">
        <v>2502</v>
      </c>
      <c r="D312" s="871"/>
      <c r="E312" s="900" t="s">
        <v>2536</v>
      </c>
      <c r="F312" t="s">
        <v>1106</v>
      </c>
      <c r="G312" t="s">
        <v>1107</v>
      </c>
      <c r="H312" t="s">
        <v>1158</v>
      </c>
      <c r="I312" t="s">
        <v>1173</v>
      </c>
      <c r="J312" t="s">
        <v>2514</v>
      </c>
      <c r="K312" t="s">
        <v>668</v>
      </c>
      <c r="L312" s="871"/>
      <c r="O312" s="256" t="str">
        <f ca="1">IF(OR(tblAvisos[[#This Row],[Estado trabajo]]="Cerrado",tblAvisos[[#This Row],[Fecha reporte]]=""),"",TODAY()-tblAvisos[[#This Row],[Fecha reporte]])</f>
        <v/>
      </c>
      <c r="P312" t="str">
        <f ca="1">IF(tblAvisos[[#This Row],[Fecha reporte]]="","Sin fecha",IF(tblAvisos[[#This Row],[Fecha reporte]]&lt;DATE(2020,1,1),"Fecha inválida",IF(tblAvisos[[#This Row],[Fecha reporte]]&gt;TODAY(),"Fecha futura",IF(tblAvisos[[#This Row],[Aviso SAP]]="","Sin aviso SAP",IF(tblAvisos[[#This Row],[Criticidad]]="","Sin criticidad","OK")))))</f>
        <v>Sin fecha</v>
      </c>
      <c r="Q312" s="901" t="s">
        <v>2895</v>
      </c>
    </row>
    <row r="313" spans="2:17">
      <c r="B313" s="853" cm="1">
        <f t="array" ref="B313">ROW()-ROW(tblAvisos[#Headers])</f>
        <v>309</v>
      </c>
      <c r="C313" t="s">
        <v>2502</v>
      </c>
      <c r="D313" s="871"/>
      <c r="E313" s="900" t="s">
        <v>2536</v>
      </c>
      <c r="F313" t="s">
        <v>885</v>
      </c>
      <c r="G313" t="s">
        <v>1108</v>
      </c>
      <c r="H313" t="s">
        <v>1158</v>
      </c>
      <c r="I313" t="s">
        <v>1173</v>
      </c>
      <c r="J313" t="s">
        <v>2514</v>
      </c>
      <c r="K313" t="s">
        <v>665</v>
      </c>
      <c r="L313" s="871"/>
      <c r="O313" s="256" t="str">
        <f ca="1">IF(OR(tblAvisos[[#This Row],[Estado trabajo]]="Cerrado",tblAvisos[[#This Row],[Fecha reporte]]=""),"",TODAY()-tblAvisos[[#This Row],[Fecha reporte]])</f>
        <v/>
      </c>
      <c r="P313" t="str">
        <f ca="1">IF(tblAvisos[[#This Row],[Fecha reporte]]="","Sin fecha",IF(tblAvisos[[#This Row],[Fecha reporte]]&lt;DATE(2020,1,1),"Fecha inválida",IF(tblAvisos[[#This Row],[Fecha reporte]]&gt;TODAY(),"Fecha futura",IF(tblAvisos[[#This Row],[Aviso SAP]]="","Sin aviso SAP",IF(tblAvisos[[#This Row],[Criticidad]]="","Sin criticidad","OK")))))</f>
        <v>Sin fecha</v>
      </c>
      <c r="Q313" s="901" t="s">
        <v>2896</v>
      </c>
    </row>
    <row r="314" spans="2:17">
      <c r="B314" s="853" cm="1">
        <f t="array" ref="B314">ROW()-ROW(tblAvisos[#Headers])</f>
        <v>310</v>
      </c>
      <c r="C314" t="s">
        <v>2502</v>
      </c>
      <c r="D314" s="871"/>
      <c r="E314" s="900" t="s">
        <v>2536</v>
      </c>
      <c r="F314" t="s">
        <v>1098</v>
      </c>
      <c r="G314" t="s">
        <v>1109</v>
      </c>
      <c r="H314" t="s">
        <v>1158</v>
      </c>
      <c r="I314" t="s">
        <v>1173</v>
      </c>
      <c r="J314" t="s">
        <v>2515</v>
      </c>
      <c r="K314" t="s">
        <v>668</v>
      </c>
      <c r="L314" s="871"/>
      <c r="O314" s="256" t="str">
        <f ca="1">IF(OR(tblAvisos[[#This Row],[Estado trabajo]]="Cerrado",tblAvisos[[#This Row],[Fecha reporte]]=""),"",TODAY()-tblAvisos[[#This Row],[Fecha reporte]])</f>
        <v/>
      </c>
      <c r="P314" t="str">
        <f ca="1">IF(tblAvisos[[#This Row],[Fecha reporte]]="","Sin fecha",IF(tblAvisos[[#This Row],[Fecha reporte]]&lt;DATE(2020,1,1),"Fecha inválida",IF(tblAvisos[[#This Row],[Fecha reporte]]&gt;TODAY(),"Fecha futura",IF(tblAvisos[[#This Row],[Aviso SAP]]="","Sin aviso SAP",IF(tblAvisos[[#This Row],[Criticidad]]="","Sin criticidad","OK")))))</f>
        <v>Sin fecha</v>
      </c>
      <c r="Q314" s="901" t="s">
        <v>2897</v>
      </c>
    </row>
    <row r="315" spans="2:17">
      <c r="B315" s="853" cm="1">
        <f t="array" ref="B315">ROW()-ROW(tblAvisos[#Headers])</f>
        <v>311</v>
      </c>
      <c r="C315" t="s">
        <v>2502</v>
      </c>
      <c r="D315" s="871">
        <v>46053</v>
      </c>
      <c r="E315" s="900" t="s">
        <v>2536</v>
      </c>
      <c r="F315" t="s">
        <v>958</v>
      </c>
      <c r="G315" t="s">
        <v>1111</v>
      </c>
      <c r="H315" t="s">
        <v>1158</v>
      </c>
      <c r="I315" t="s">
        <v>1173</v>
      </c>
      <c r="J315" t="s">
        <v>2515</v>
      </c>
      <c r="K315" t="s">
        <v>665</v>
      </c>
      <c r="L315" s="871"/>
      <c r="O315" s="256">
        <f ca="1">IF(OR(tblAvisos[[#This Row],[Estado trabajo]]="Cerrado",tblAvisos[[#This Row],[Fecha reporte]]=""),"",TODAY()-tblAvisos[[#This Row],[Fecha reporte]])</f>
        <v>242</v>
      </c>
      <c r="P315" t="str">
        <f ca="1">IF(tblAvisos[[#This Row],[Fecha reporte]]="","Sin fecha",IF(tblAvisos[[#This Row],[Fecha reporte]]&lt;DATE(2020,1,1),"Fecha inválida",IF(tblAvisos[[#This Row],[Fecha reporte]]&gt;TODAY(),"Fecha futura",IF(tblAvisos[[#This Row],[Aviso SAP]]="","Sin aviso SAP",IF(tblAvisos[[#This Row],[Criticidad]]="","Sin criticidad","OK")))))</f>
        <v>Sin aviso SAP</v>
      </c>
      <c r="Q315" s="901" t="s">
        <v>2898</v>
      </c>
    </row>
    <row r="316" spans="2:17">
      <c r="B316" s="853" cm="1">
        <f t="array" ref="B316">ROW()-ROW(tblAvisos[#Headers])</f>
        <v>312</v>
      </c>
      <c r="C316" t="s">
        <v>2502</v>
      </c>
      <c r="D316" s="871"/>
      <c r="E316" s="900" t="s">
        <v>2536</v>
      </c>
      <c r="F316" t="s">
        <v>264</v>
      </c>
      <c r="G316" t="s">
        <v>1112</v>
      </c>
      <c r="H316" t="s">
        <v>1158</v>
      </c>
      <c r="I316" t="s">
        <v>1173</v>
      </c>
      <c r="J316" t="s">
        <v>2515</v>
      </c>
      <c r="K316" t="s">
        <v>665</v>
      </c>
      <c r="L316" s="871"/>
      <c r="O316" s="256" t="str">
        <f ca="1">IF(OR(tblAvisos[[#This Row],[Estado trabajo]]="Cerrado",tblAvisos[[#This Row],[Fecha reporte]]=""),"",TODAY()-tblAvisos[[#This Row],[Fecha reporte]])</f>
        <v/>
      </c>
      <c r="P316" t="str">
        <f ca="1">IF(tblAvisos[[#This Row],[Fecha reporte]]="","Sin fecha",IF(tblAvisos[[#This Row],[Fecha reporte]]&lt;DATE(2020,1,1),"Fecha inválida",IF(tblAvisos[[#This Row],[Fecha reporte]]&gt;TODAY(),"Fecha futura",IF(tblAvisos[[#This Row],[Aviso SAP]]="","Sin aviso SAP",IF(tblAvisos[[#This Row],[Criticidad]]="","Sin criticidad","OK")))))</f>
        <v>Sin fecha</v>
      </c>
      <c r="Q316" s="901" t="s">
        <v>2899</v>
      </c>
    </row>
    <row r="317" spans="2:17">
      <c r="B317" s="853" cm="1">
        <f t="array" ref="B317">ROW()-ROW(tblAvisos[#Headers])</f>
        <v>313</v>
      </c>
      <c r="C317" t="s">
        <v>2502</v>
      </c>
      <c r="D317" s="871"/>
      <c r="E317" s="900" t="s">
        <v>2536</v>
      </c>
      <c r="F317" t="s">
        <v>1113</v>
      </c>
      <c r="G317" t="s">
        <v>1114</v>
      </c>
      <c r="H317" t="s">
        <v>1158</v>
      </c>
      <c r="I317" t="s">
        <v>1173</v>
      </c>
      <c r="J317" t="s">
        <v>2515</v>
      </c>
      <c r="K317" t="s">
        <v>665</v>
      </c>
      <c r="L317" s="871"/>
      <c r="O317" s="256" t="str">
        <f ca="1">IF(OR(tblAvisos[[#This Row],[Estado trabajo]]="Cerrado",tblAvisos[[#This Row],[Fecha reporte]]=""),"",TODAY()-tblAvisos[[#This Row],[Fecha reporte]])</f>
        <v/>
      </c>
      <c r="P317" t="str">
        <f ca="1">IF(tblAvisos[[#This Row],[Fecha reporte]]="","Sin fecha",IF(tblAvisos[[#This Row],[Fecha reporte]]&lt;DATE(2020,1,1),"Fecha inválida",IF(tblAvisos[[#This Row],[Fecha reporte]]&gt;TODAY(),"Fecha futura",IF(tblAvisos[[#This Row],[Aviso SAP]]="","Sin aviso SAP",IF(tblAvisos[[#This Row],[Criticidad]]="","Sin criticidad","OK")))))</f>
        <v>Sin fecha</v>
      </c>
      <c r="Q317" s="901" t="s">
        <v>2900</v>
      </c>
    </row>
    <row r="318" spans="2:17">
      <c r="B318" s="853" cm="1">
        <f t="array" ref="B318">ROW()-ROW(tblAvisos[#Headers])</f>
        <v>314</v>
      </c>
      <c r="C318" t="s">
        <v>2502</v>
      </c>
      <c r="D318" s="871"/>
      <c r="E318" s="900" t="s">
        <v>2536</v>
      </c>
      <c r="F318" t="s">
        <v>1113</v>
      </c>
      <c r="G318" t="s">
        <v>1099</v>
      </c>
      <c r="H318" t="s">
        <v>1158</v>
      </c>
      <c r="I318" t="s">
        <v>1173</v>
      </c>
      <c r="J318" t="s">
        <v>2515</v>
      </c>
      <c r="K318" t="s">
        <v>665</v>
      </c>
      <c r="L318" s="871"/>
      <c r="O318" s="256" t="str">
        <f ca="1">IF(OR(tblAvisos[[#This Row],[Estado trabajo]]="Cerrado",tblAvisos[[#This Row],[Fecha reporte]]=""),"",TODAY()-tblAvisos[[#This Row],[Fecha reporte]])</f>
        <v/>
      </c>
      <c r="P318" t="str">
        <f ca="1">IF(tblAvisos[[#This Row],[Fecha reporte]]="","Sin fecha",IF(tblAvisos[[#This Row],[Fecha reporte]]&lt;DATE(2020,1,1),"Fecha inválida",IF(tblAvisos[[#This Row],[Fecha reporte]]&gt;TODAY(),"Fecha futura",IF(tblAvisos[[#This Row],[Aviso SAP]]="","Sin aviso SAP",IF(tblAvisos[[#This Row],[Criticidad]]="","Sin criticidad","OK")))))</f>
        <v>Sin fecha</v>
      </c>
      <c r="Q318" s="901" t="s">
        <v>2901</v>
      </c>
    </row>
    <row r="319" spans="2:17">
      <c r="B319" s="853" cm="1">
        <f t="array" ref="B319">ROW()-ROW(tblAvisos[#Headers])</f>
        <v>315</v>
      </c>
      <c r="C319" t="s">
        <v>2502</v>
      </c>
      <c r="D319" s="871"/>
      <c r="E319" s="900" t="s">
        <v>2536</v>
      </c>
      <c r="F319" t="s">
        <v>1075</v>
      </c>
      <c r="G319" t="s">
        <v>1115</v>
      </c>
      <c r="H319" t="s">
        <v>1158</v>
      </c>
      <c r="I319" t="s">
        <v>1173</v>
      </c>
      <c r="J319" t="s">
        <v>2514</v>
      </c>
      <c r="K319" t="s">
        <v>665</v>
      </c>
      <c r="L319" s="871"/>
      <c r="O319" s="256" t="str">
        <f ca="1">IF(OR(tblAvisos[[#This Row],[Estado trabajo]]="Cerrado",tblAvisos[[#This Row],[Fecha reporte]]=""),"",TODAY()-tblAvisos[[#This Row],[Fecha reporte]])</f>
        <v/>
      </c>
      <c r="P319" t="str">
        <f ca="1">IF(tblAvisos[[#This Row],[Fecha reporte]]="","Sin fecha",IF(tblAvisos[[#This Row],[Fecha reporte]]&lt;DATE(2020,1,1),"Fecha inválida",IF(tblAvisos[[#This Row],[Fecha reporte]]&gt;TODAY(),"Fecha futura",IF(tblAvisos[[#This Row],[Aviso SAP]]="","Sin aviso SAP",IF(tblAvisos[[#This Row],[Criticidad]]="","Sin criticidad","OK")))))</f>
        <v>Sin fecha</v>
      </c>
      <c r="Q319" s="901" t="s">
        <v>2902</v>
      </c>
    </row>
    <row r="320" spans="2:17">
      <c r="B320" s="853" cm="1">
        <f t="array" ref="B320">ROW()-ROW(tblAvisos[#Headers])</f>
        <v>316</v>
      </c>
      <c r="C320" t="s">
        <v>2502</v>
      </c>
      <c r="D320" s="871"/>
      <c r="E320" s="900" t="s">
        <v>2536</v>
      </c>
      <c r="F320" t="s">
        <v>818</v>
      </c>
      <c r="G320" t="s">
        <v>827</v>
      </c>
      <c r="H320" t="s">
        <v>1158</v>
      </c>
      <c r="I320" t="s">
        <v>1173</v>
      </c>
      <c r="J320" t="s">
        <v>2515</v>
      </c>
      <c r="K320" t="s">
        <v>665</v>
      </c>
      <c r="L320" s="871"/>
      <c r="O320" s="256" t="str">
        <f ca="1">IF(OR(tblAvisos[[#This Row],[Estado trabajo]]="Cerrado",tblAvisos[[#This Row],[Fecha reporte]]=""),"",TODAY()-tblAvisos[[#This Row],[Fecha reporte]])</f>
        <v/>
      </c>
      <c r="P320" t="str">
        <f ca="1">IF(tblAvisos[[#This Row],[Fecha reporte]]="","Sin fecha",IF(tblAvisos[[#This Row],[Fecha reporte]]&lt;DATE(2020,1,1),"Fecha inválida",IF(tblAvisos[[#This Row],[Fecha reporte]]&gt;TODAY(),"Fecha futura",IF(tblAvisos[[#This Row],[Aviso SAP]]="","Sin aviso SAP",IF(tblAvisos[[#This Row],[Criticidad]]="","Sin criticidad","OK")))))</f>
        <v>Sin fecha</v>
      </c>
      <c r="Q320" s="901" t="s">
        <v>2903</v>
      </c>
    </row>
    <row r="321" spans="2:17">
      <c r="B321" s="853" cm="1">
        <f t="array" ref="B321">ROW()-ROW(tblAvisos[#Headers])</f>
        <v>317</v>
      </c>
      <c r="C321" t="s">
        <v>2502</v>
      </c>
      <c r="D321" s="871"/>
      <c r="E321" s="900" t="s">
        <v>2536</v>
      </c>
      <c r="F321" t="s">
        <v>1106</v>
      </c>
      <c r="G321" t="s">
        <v>1116</v>
      </c>
      <c r="H321" t="s">
        <v>1158</v>
      </c>
      <c r="I321" t="s">
        <v>1173</v>
      </c>
      <c r="J321" t="s">
        <v>2514</v>
      </c>
      <c r="K321" t="s">
        <v>665</v>
      </c>
      <c r="L321" s="871"/>
      <c r="O321" s="256" t="str">
        <f ca="1">IF(OR(tblAvisos[[#This Row],[Estado trabajo]]="Cerrado",tblAvisos[[#This Row],[Fecha reporte]]=""),"",TODAY()-tblAvisos[[#This Row],[Fecha reporte]])</f>
        <v/>
      </c>
      <c r="P321" t="str">
        <f ca="1">IF(tblAvisos[[#This Row],[Fecha reporte]]="","Sin fecha",IF(tblAvisos[[#This Row],[Fecha reporte]]&lt;DATE(2020,1,1),"Fecha inválida",IF(tblAvisos[[#This Row],[Fecha reporte]]&gt;TODAY(),"Fecha futura",IF(tblAvisos[[#This Row],[Aviso SAP]]="","Sin aviso SAP",IF(tblAvisos[[#This Row],[Criticidad]]="","Sin criticidad","OK")))))</f>
        <v>Sin fecha</v>
      </c>
      <c r="Q321" s="901" t="s">
        <v>2904</v>
      </c>
    </row>
    <row r="322" spans="2:17">
      <c r="B322" s="853" cm="1">
        <f t="array" ref="B322">ROW()-ROW(tblAvisos[#Headers])</f>
        <v>318</v>
      </c>
      <c r="C322" t="s">
        <v>2502</v>
      </c>
      <c r="D322" s="871"/>
      <c r="E322" s="900" t="s">
        <v>2536</v>
      </c>
      <c r="F322" t="s">
        <v>910</v>
      </c>
      <c r="G322" t="s">
        <v>1117</v>
      </c>
      <c r="H322" t="s">
        <v>1158</v>
      </c>
      <c r="I322" t="s">
        <v>1173</v>
      </c>
      <c r="J322" t="s">
        <v>2515</v>
      </c>
      <c r="K322" t="s">
        <v>668</v>
      </c>
      <c r="L322" s="871"/>
      <c r="O322" s="256" t="str">
        <f ca="1">IF(OR(tblAvisos[[#This Row],[Estado trabajo]]="Cerrado",tblAvisos[[#This Row],[Fecha reporte]]=""),"",TODAY()-tblAvisos[[#This Row],[Fecha reporte]])</f>
        <v/>
      </c>
      <c r="P322" t="str">
        <f ca="1">IF(tblAvisos[[#This Row],[Fecha reporte]]="","Sin fecha",IF(tblAvisos[[#This Row],[Fecha reporte]]&lt;DATE(2020,1,1),"Fecha inválida",IF(tblAvisos[[#This Row],[Fecha reporte]]&gt;TODAY(),"Fecha futura",IF(tblAvisos[[#This Row],[Aviso SAP]]="","Sin aviso SAP",IF(tblAvisos[[#This Row],[Criticidad]]="","Sin criticidad","OK")))))</f>
        <v>Sin fecha</v>
      </c>
      <c r="Q322" s="901" t="s">
        <v>2905</v>
      </c>
    </row>
    <row r="323" spans="2:17">
      <c r="B323" s="853" cm="1">
        <f t="array" ref="B323">ROW()-ROW(tblAvisos[#Headers])</f>
        <v>319</v>
      </c>
      <c r="C323" t="s">
        <v>2502</v>
      </c>
      <c r="D323" s="871">
        <v>46055</v>
      </c>
      <c r="E323" s="900" t="s">
        <v>2536</v>
      </c>
      <c r="F323" t="s">
        <v>1040</v>
      </c>
      <c r="G323" t="s">
        <v>1118</v>
      </c>
      <c r="H323" t="s">
        <v>1158</v>
      </c>
      <c r="I323" t="s">
        <v>1173</v>
      </c>
      <c r="J323" t="s">
        <v>2514</v>
      </c>
      <c r="K323" t="s">
        <v>665</v>
      </c>
      <c r="L323" s="871"/>
      <c r="O323" s="256">
        <f ca="1">IF(OR(tblAvisos[[#This Row],[Estado trabajo]]="Cerrado",tblAvisos[[#This Row],[Fecha reporte]]=""),"",TODAY()-tblAvisos[[#This Row],[Fecha reporte]])</f>
        <v>240</v>
      </c>
      <c r="P323" t="str">
        <f ca="1">IF(tblAvisos[[#This Row],[Fecha reporte]]="","Sin fecha",IF(tblAvisos[[#This Row],[Fecha reporte]]&lt;DATE(2020,1,1),"Fecha inválida",IF(tblAvisos[[#This Row],[Fecha reporte]]&gt;TODAY(),"Fecha futura",IF(tblAvisos[[#This Row],[Aviso SAP]]="","Sin aviso SAP",IF(tblAvisos[[#This Row],[Criticidad]]="","Sin criticidad","OK")))))</f>
        <v>Sin aviso SAP</v>
      </c>
      <c r="Q323" s="901" t="s">
        <v>2906</v>
      </c>
    </row>
    <row r="324" spans="2:17">
      <c r="B324" s="853" cm="1">
        <f t="array" ref="B324">ROW()-ROW(tblAvisos[#Headers])</f>
        <v>320</v>
      </c>
      <c r="C324" t="s">
        <v>2502</v>
      </c>
      <c r="D324" s="871"/>
      <c r="E324" s="900" t="s">
        <v>2536</v>
      </c>
      <c r="F324" t="s">
        <v>995</v>
      </c>
      <c r="G324" t="s">
        <v>1119</v>
      </c>
      <c r="H324" t="s">
        <v>1158</v>
      </c>
      <c r="I324" t="s">
        <v>1173</v>
      </c>
      <c r="J324" t="s">
        <v>2514</v>
      </c>
      <c r="K324" t="s">
        <v>668</v>
      </c>
      <c r="L324" s="871"/>
      <c r="O324" s="256" t="str">
        <f ca="1">IF(OR(tblAvisos[[#This Row],[Estado trabajo]]="Cerrado",tblAvisos[[#This Row],[Fecha reporte]]=""),"",TODAY()-tblAvisos[[#This Row],[Fecha reporte]])</f>
        <v/>
      </c>
      <c r="P324" t="str">
        <f ca="1">IF(tblAvisos[[#This Row],[Fecha reporte]]="","Sin fecha",IF(tblAvisos[[#This Row],[Fecha reporte]]&lt;DATE(2020,1,1),"Fecha inválida",IF(tblAvisos[[#This Row],[Fecha reporte]]&gt;TODAY(),"Fecha futura",IF(tblAvisos[[#This Row],[Aviso SAP]]="","Sin aviso SAP",IF(tblAvisos[[#This Row],[Criticidad]]="","Sin criticidad","OK")))))</f>
        <v>Sin fecha</v>
      </c>
      <c r="Q324" s="901" t="s">
        <v>2907</v>
      </c>
    </row>
    <row r="325" spans="2:17">
      <c r="B325" s="853" cm="1">
        <f t="array" ref="B325">ROW()-ROW(tblAvisos[#Headers])</f>
        <v>321</v>
      </c>
      <c r="C325" t="s">
        <v>2502</v>
      </c>
      <c r="D325" s="871"/>
      <c r="E325" s="900" t="s">
        <v>2536</v>
      </c>
      <c r="F325" t="s">
        <v>1120</v>
      </c>
      <c r="G325" t="s">
        <v>1121</v>
      </c>
      <c r="H325" t="s">
        <v>1158</v>
      </c>
      <c r="I325" t="s">
        <v>1173</v>
      </c>
      <c r="J325" t="s">
        <v>2515</v>
      </c>
      <c r="K325" t="s">
        <v>665</v>
      </c>
      <c r="L325" s="871"/>
      <c r="O325" s="256" t="str">
        <f ca="1">IF(OR(tblAvisos[[#This Row],[Estado trabajo]]="Cerrado",tblAvisos[[#This Row],[Fecha reporte]]=""),"",TODAY()-tblAvisos[[#This Row],[Fecha reporte]])</f>
        <v/>
      </c>
      <c r="P325" t="str">
        <f ca="1">IF(tblAvisos[[#This Row],[Fecha reporte]]="","Sin fecha",IF(tblAvisos[[#This Row],[Fecha reporte]]&lt;DATE(2020,1,1),"Fecha inválida",IF(tblAvisos[[#This Row],[Fecha reporte]]&gt;TODAY(),"Fecha futura",IF(tblAvisos[[#This Row],[Aviso SAP]]="","Sin aviso SAP",IF(tblAvisos[[#This Row],[Criticidad]]="","Sin criticidad","OK")))))</f>
        <v>Sin fecha</v>
      </c>
      <c r="Q325" s="901" t="s">
        <v>2908</v>
      </c>
    </row>
    <row r="326" spans="2:17">
      <c r="B326" s="853" cm="1">
        <f t="array" ref="B326">ROW()-ROW(tblAvisos[#Headers])</f>
        <v>322</v>
      </c>
      <c r="C326" t="s">
        <v>2502</v>
      </c>
      <c r="D326" s="871"/>
      <c r="E326" s="900" t="s">
        <v>2536</v>
      </c>
      <c r="F326" t="s">
        <v>1122</v>
      </c>
      <c r="G326" t="s">
        <v>1123</v>
      </c>
      <c r="H326" t="s">
        <v>1158</v>
      </c>
      <c r="I326" t="s">
        <v>1173</v>
      </c>
      <c r="J326" t="s">
        <v>2514</v>
      </c>
      <c r="K326" t="s">
        <v>665</v>
      </c>
      <c r="L326" s="871"/>
      <c r="O326" s="256" t="str">
        <f ca="1">IF(OR(tblAvisos[[#This Row],[Estado trabajo]]="Cerrado",tblAvisos[[#This Row],[Fecha reporte]]=""),"",TODAY()-tblAvisos[[#This Row],[Fecha reporte]])</f>
        <v/>
      </c>
      <c r="P326" t="str">
        <f ca="1">IF(tblAvisos[[#This Row],[Fecha reporte]]="","Sin fecha",IF(tblAvisos[[#This Row],[Fecha reporte]]&lt;DATE(2020,1,1),"Fecha inválida",IF(tblAvisos[[#This Row],[Fecha reporte]]&gt;TODAY(),"Fecha futura",IF(tblAvisos[[#This Row],[Aviso SAP]]="","Sin aviso SAP",IF(tblAvisos[[#This Row],[Criticidad]]="","Sin criticidad","OK")))))</f>
        <v>Sin fecha</v>
      </c>
      <c r="Q326" s="901" t="s">
        <v>2909</v>
      </c>
    </row>
    <row r="327" spans="2:17">
      <c r="B327" s="853" cm="1">
        <f t="array" ref="B327">ROW()-ROW(tblAvisos[#Headers])</f>
        <v>323</v>
      </c>
      <c r="C327" t="s">
        <v>2502</v>
      </c>
      <c r="D327" s="871"/>
      <c r="E327" s="900" t="s">
        <v>2536</v>
      </c>
      <c r="F327" t="s">
        <v>1124</v>
      </c>
      <c r="G327" t="s">
        <v>1125</v>
      </c>
      <c r="H327" t="s">
        <v>1158</v>
      </c>
      <c r="I327" t="s">
        <v>1173</v>
      </c>
      <c r="J327" t="s">
        <v>2515</v>
      </c>
      <c r="K327" t="s">
        <v>665</v>
      </c>
      <c r="L327" s="871"/>
      <c r="O327" s="256" t="str">
        <f ca="1">IF(OR(tblAvisos[[#This Row],[Estado trabajo]]="Cerrado",tblAvisos[[#This Row],[Fecha reporte]]=""),"",TODAY()-tblAvisos[[#This Row],[Fecha reporte]])</f>
        <v/>
      </c>
      <c r="P327" t="str">
        <f ca="1">IF(tblAvisos[[#This Row],[Fecha reporte]]="","Sin fecha",IF(tblAvisos[[#This Row],[Fecha reporte]]&lt;DATE(2020,1,1),"Fecha inválida",IF(tblAvisos[[#This Row],[Fecha reporte]]&gt;TODAY(),"Fecha futura",IF(tblAvisos[[#This Row],[Aviso SAP]]="","Sin aviso SAP",IF(tblAvisos[[#This Row],[Criticidad]]="","Sin criticidad","OK")))))</f>
        <v>Sin fecha</v>
      </c>
      <c r="Q327" s="901" t="s">
        <v>2910</v>
      </c>
    </row>
    <row r="328" spans="2:17">
      <c r="B328" s="853" cm="1">
        <f t="array" ref="B328">ROW()-ROW(tblAvisos[#Headers])</f>
        <v>324</v>
      </c>
      <c r="C328" t="s">
        <v>2502</v>
      </c>
      <c r="D328" s="871"/>
      <c r="E328" s="900" t="s">
        <v>2536</v>
      </c>
      <c r="F328" t="s">
        <v>298</v>
      </c>
      <c r="G328" t="s">
        <v>1126</v>
      </c>
      <c r="H328" t="s">
        <v>1158</v>
      </c>
      <c r="I328" t="s">
        <v>1173</v>
      </c>
      <c r="J328" t="s">
        <v>2515</v>
      </c>
      <c r="K328" t="s">
        <v>665</v>
      </c>
      <c r="L328" s="871"/>
      <c r="O328" s="256" t="str">
        <f ca="1">IF(OR(tblAvisos[[#This Row],[Estado trabajo]]="Cerrado",tblAvisos[[#This Row],[Fecha reporte]]=""),"",TODAY()-tblAvisos[[#This Row],[Fecha reporte]])</f>
        <v/>
      </c>
      <c r="P328" t="str">
        <f ca="1">IF(tblAvisos[[#This Row],[Fecha reporte]]="","Sin fecha",IF(tblAvisos[[#This Row],[Fecha reporte]]&lt;DATE(2020,1,1),"Fecha inválida",IF(tblAvisos[[#This Row],[Fecha reporte]]&gt;TODAY(),"Fecha futura",IF(tblAvisos[[#This Row],[Aviso SAP]]="","Sin aviso SAP",IF(tblAvisos[[#This Row],[Criticidad]]="","Sin criticidad","OK")))))</f>
        <v>Sin fecha</v>
      </c>
      <c r="Q328" s="901" t="s">
        <v>2911</v>
      </c>
    </row>
    <row r="329" spans="2:17">
      <c r="B329" s="853" cm="1">
        <f t="array" ref="B329">ROW()-ROW(tblAvisos[#Headers])</f>
        <v>325</v>
      </c>
      <c r="C329" t="s">
        <v>2502</v>
      </c>
      <c r="D329" s="871"/>
      <c r="E329" s="900" t="s">
        <v>2536</v>
      </c>
      <c r="F329" t="s">
        <v>266</v>
      </c>
      <c r="G329" t="s">
        <v>1127</v>
      </c>
      <c r="H329" t="s">
        <v>1158</v>
      </c>
      <c r="I329" t="s">
        <v>1173</v>
      </c>
      <c r="J329" t="s">
        <v>2515</v>
      </c>
      <c r="K329" t="s">
        <v>665</v>
      </c>
      <c r="L329" s="871"/>
      <c r="O329" s="256" t="str">
        <f ca="1">IF(OR(tblAvisos[[#This Row],[Estado trabajo]]="Cerrado",tblAvisos[[#This Row],[Fecha reporte]]=""),"",TODAY()-tblAvisos[[#This Row],[Fecha reporte]])</f>
        <v/>
      </c>
      <c r="P329" t="str">
        <f ca="1">IF(tblAvisos[[#This Row],[Fecha reporte]]="","Sin fecha",IF(tblAvisos[[#This Row],[Fecha reporte]]&lt;DATE(2020,1,1),"Fecha inválida",IF(tblAvisos[[#This Row],[Fecha reporte]]&gt;TODAY(),"Fecha futura",IF(tblAvisos[[#This Row],[Aviso SAP]]="","Sin aviso SAP",IF(tblAvisos[[#This Row],[Criticidad]]="","Sin criticidad","OK")))))</f>
        <v>Sin fecha</v>
      </c>
      <c r="Q329" s="901" t="s">
        <v>2912</v>
      </c>
    </row>
    <row r="330" spans="2:17">
      <c r="B330" s="853" cm="1">
        <f t="array" ref="B330">ROW()-ROW(tblAvisos[#Headers])</f>
        <v>326</v>
      </c>
      <c r="C330" t="s">
        <v>2502</v>
      </c>
      <c r="D330" s="871">
        <v>46083</v>
      </c>
      <c r="E330" s="900" t="s">
        <v>2536</v>
      </c>
      <c r="F330" t="s">
        <v>995</v>
      </c>
      <c r="G330" t="s">
        <v>1119</v>
      </c>
      <c r="H330" t="s">
        <v>1158</v>
      </c>
      <c r="I330" t="s">
        <v>1173</v>
      </c>
      <c r="J330" t="s">
        <v>2514</v>
      </c>
      <c r="K330" t="s">
        <v>668</v>
      </c>
      <c r="L330" s="871"/>
      <c r="O330" s="256">
        <f ca="1">IF(OR(tblAvisos[[#This Row],[Estado trabajo]]="Cerrado",tblAvisos[[#This Row],[Fecha reporte]]=""),"",TODAY()-tblAvisos[[#This Row],[Fecha reporte]])</f>
        <v>212</v>
      </c>
      <c r="P330" t="str">
        <f ca="1">IF(tblAvisos[[#This Row],[Fecha reporte]]="","Sin fecha",IF(tblAvisos[[#This Row],[Fecha reporte]]&lt;DATE(2020,1,1),"Fecha inválida",IF(tblAvisos[[#This Row],[Fecha reporte]]&gt;TODAY(),"Fecha futura",IF(tblAvisos[[#This Row],[Aviso SAP]]="","Sin aviso SAP",IF(tblAvisos[[#This Row],[Criticidad]]="","Sin criticidad","OK")))))</f>
        <v>Sin aviso SAP</v>
      </c>
      <c r="Q330" s="901" t="s">
        <v>2913</v>
      </c>
    </row>
    <row r="331" spans="2:17">
      <c r="B331" s="853" cm="1">
        <f t="array" ref="B331">ROW()-ROW(tblAvisos[#Headers])</f>
        <v>327</v>
      </c>
      <c r="C331" t="s">
        <v>2502</v>
      </c>
      <c r="D331" s="871"/>
      <c r="E331" s="900" t="s">
        <v>2536</v>
      </c>
      <c r="F331" t="s">
        <v>838</v>
      </c>
      <c r="G331" t="s">
        <v>1128</v>
      </c>
      <c r="H331" t="s">
        <v>1158</v>
      </c>
      <c r="I331" t="s">
        <v>1173</v>
      </c>
      <c r="J331" t="s">
        <v>2514</v>
      </c>
      <c r="K331" t="s">
        <v>668</v>
      </c>
      <c r="L331" s="871"/>
      <c r="O331" s="256" t="str">
        <f ca="1">IF(OR(tblAvisos[[#This Row],[Estado trabajo]]="Cerrado",tblAvisos[[#This Row],[Fecha reporte]]=""),"",TODAY()-tblAvisos[[#This Row],[Fecha reporte]])</f>
        <v/>
      </c>
      <c r="P331" t="str">
        <f ca="1">IF(tblAvisos[[#This Row],[Fecha reporte]]="","Sin fecha",IF(tblAvisos[[#This Row],[Fecha reporte]]&lt;DATE(2020,1,1),"Fecha inválida",IF(tblAvisos[[#This Row],[Fecha reporte]]&gt;TODAY(),"Fecha futura",IF(tblAvisos[[#This Row],[Aviso SAP]]="","Sin aviso SAP",IF(tblAvisos[[#This Row],[Criticidad]]="","Sin criticidad","OK")))))</f>
        <v>Sin fecha</v>
      </c>
      <c r="Q331" s="901" t="s">
        <v>2914</v>
      </c>
    </row>
    <row r="332" spans="2:17">
      <c r="B332" s="853" cm="1">
        <f t="array" ref="B332">ROW()-ROW(tblAvisos[#Headers])</f>
        <v>328</v>
      </c>
      <c r="C332" t="s">
        <v>2502</v>
      </c>
      <c r="D332" s="871">
        <v>46114</v>
      </c>
      <c r="E332" s="900" t="s">
        <v>2536</v>
      </c>
      <c r="F332" t="s">
        <v>1098</v>
      </c>
      <c r="G332" t="s">
        <v>1129</v>
      </c>
      <c r="H332" t="s">
        <v>1158</v>
      </c>
      <c r="I332" t="s">
        <v>1173</v>
      </c>
      <c r="J332" t="s">
        <v>2514</v>
      </c>
      <c r="K332" t="s">
        <v>668</v>
      </c>
      <c r="L332" s="871"/>
      <c r="O332" s="256">
        <f ca="1">IF(OR(tblAvisos[[#This Row],[Estado trabajo]]="Cerrado",tblAvisos[[#This Row],[Fecha reporte]]=""),"",TODAY()-tblAvisos[[#This Row],[Fecha reporte]])</f>
        <v>181</v>
      </c>
      <c r="P332" t="str">
        <f ca="1">IF(tblAvisos[[#This Row],[Fecha reporte]]="","Sin fecha",IF(tblAvisos[[#This Row],[Fecha reporte]]&lt;DATE(2020,1,1),"Fecha inválida",IF(tblAvisos[[#This Row],[Fecha reporte]]&gt;TODAY(),"Fecha futura",IF(tblAvisos[[#This Row],[Aviso SAP]]="","Sin aviso SAP",IF(tblAvisos[[#This Row],[Criticidad]]="","Sin criticidad","OK")))))</f>
        <v>Sin aviso SAP</v>
      </c>
      <c r="Q332" s="901" t="s">
        <v>2915</v>
      </c>
    </row>
    <row r="333" spans="2:17">
      <c r="B333" s="853" cm="1">
        <f t="array" ref="B333">ROW()-ROW(tblAvisos[#Headers])</f>
        <v>329</v>
      </c>
      <c r="C333" t="s">
        <v>2502</v>
      </c>
      <c r="D333" s="871"/>
      <c r="E333" s="900" t="s">
        <v>2536</v>
      </c>
      <c r="F333" t="s">
        <v>1130</v>
      </c>
      <c r="G333" t="s">
        <v>1065</v>
      </c>
      <c r="H333" t="s">
        <v>1158</v>
      </c>
      <c r="I333" t="s">
        <v>1173</v>
      </c>
      <c r="J333" t="s">
        <v>2515</v>
      </c>
      <c r="K333" t="s">
        <v>665</v>
      </c>
      <c r="L333" s="871"/>
      <c r="O333" s="256" t="str">
        <f ca="1">IF(OR(tblAvisos[[#This Row],[Estado trabajo]]="Cerrado",tblAvisos[[#This Row],[Fecha reporte]]=""),"",TODAY()-tblAvisos[[#This Row],[Fecha reporte]])</f>
        <v/>
      </c>
      <c r="P333" t="str">
        <f ca="1">IF(tblAvisos[[#This Row],[Fecha reporte]]="","Sin fecha",IF(tblAvisos[[#This Row],[Fecha reporte]]&lt;DATE(2020,1,1),"Fecha inválida",IF(tblAvisos[[#This Row],[Fecha reporte]]&gt;TODAY(),"Fecha futura",IF(tblAvisos[[#This Row],[Aviso SAP]]="","Sin aviso SAP",IF(tblAvisos[[#This Row],[Criticidad]]="","Sin criticidad","OK")))))</f>
        <v>Sin fecha</v>
      </c>
      <c r="Q333" s="901" t="s">
        <v>2916</v>
      </c>
    </row>
    <row r="334" spans="2:17">
      <c r="B334" s="853" cm="1">
        <f t="array" ref="B334">ROW()-ROW(tblAvisos[#Headers])</f>
        <v>330</v>
      </c>
      <c r="C334" t="s">
        <v>2502</v>
      </c>
      <c r="D334" s="871"/>
      <c r="E334" s="900" t="s">
        <v>2536</v>
      </c>
      <c r="F334" t="s">
        <v>958</v>
      </c>
      <c r="G334" t="s">
        <v>1065</v>
      </c>
      <c r="H334" t="s">
        <v>1158</v>
      </c>
      <c r="I334" t="s">
        <v>1173</v>
      </c>
      <c r="J334" t="s">
        <v>2515</v>
      </c>
      <c r="K334" t="s">
        <v>665</v>
      </c>
      <c r="L334" s="871"/>
      <c r="O334" s="256" t="str">
        <f ca="1">IF(OR(tblAvisos[[#This Row],[Estado trabajo]]="Cerrado",tblAvisos[[#This Row],[Fecha reporte]]=""),"",TODAY()-tblAvisos[[#This Row],[Fecha reporte]])</f>
        <v/>
      </c>
      <c r="P334" t="str">
        <f ca="1">IF(tblAvisos[[#This Row],[Fecha reporte]]="","Sin fecha",IF(tblAvisos[[#This Row],[Fecha reporte]]&lt;DATE(2020,1,1),"Fecha inválida",IF(tblAvisos[[#This Row],[Fecha reporte]]&gt;TODAY(),"Fecha futura",IF(tblAvisos[[#This Row],[Aviso SAP]]="","Sin aviso SAP",IF(tblAvisos[[#This Row],[Criticidad]]="","Sin criticidad","OK")))))</f>
        <v>Sin fecha</v>
      </c>
      <c r="Q334" s="901" t="s">
        <v>2917</v>
      </c>
    </row>
    <row r="335" spans="2:17">
      <c r="B335" s="853" cm="1">
        <f t="array" ref="B335">ROW()-ROW(tblAvisos[#Headers])</f>
        <v>331</v>
      </c>
      <c r="C335" t="s">
        <v>2502</v>
      </c>
      <c r="D335" s="871">
        <v>46297</v>
      </c>
      <c r="E335" s="900" t="s">
        <v>2536</v>
      </c>
      <c r="F335" t="s">
        <v>971</v>
      </c>
      <c r="G335" t="s">
        <v>1131</v>
      </c>
      <c r="H335" t="s">
        <v>1158</v>
      </c>
      <c r="I335" t="s">
        <v>1173</v>
      </c>
      <c r="J335" t="s">
        <v>2515</v>
      </c>
      <c r="K335" t="s">
        <v>665</v>
      </c>
      <c r="L335" s="871"/>
      <c r="O335" s="256">
        <f ca="1">IF(OR(tblAvisos[[#This Row],[Estado trabajo]]="Cerrado",tblAvisos[[#This Row],[Fecha reporte]]=""),"",TODAY()-tblAvisos[[#This Row],[Fecha reporte]])</f>
        <v>-2</v>
      </c>
      <c r="P335" t="str">
        <f ca="1">IF(tblAvisos[[#This Row],[Fecha reporte]]="","Sin fecha",IF(tblAvisos[[#This Row],[Fecha reporte]]&lt;DATE(2020,1,1),"Fecha inválida",IF(tblAvisos[[#This Row],[Fecha reporte]]&gt;TODAY(),"Fecha futura",IF(tblAvisos[[#This Row],[Aviso SAP]]="","Sin aviso SAP",IF(tblAvisos[[#This Row],[Criticidad]]="","Sin criticidad","OK")))))</f>
        <v>Fecha futura</v>
      </c>
      <c r="Q335" s="901" t="s">
        <v>2918</v>
      </c>
    </row>
    <row r="336" spans="2:17">
      <c r="B336" s="853" cm="1">
        <f t="array" ref="B336">ROW()-ROW(tblAvisos[#Headers])</f>
        <v>332</v>
      </c>
      <c r="C336" t="s">
        <v>2502</v>
      </c>
      <c r="D336" s="871"/>
      <c r="E336" s="900" t="s">
        <v>2536</v>
      </c>
      <c r="F336" t="s">
        <v>910</v>
      </c>
      <c r="G336" t="s">
        <v>1132</v>
      </c>
      <c r="H336" t="s">
        <v>1158</v>
      </c>
      <c r="I336" t="s">
        <v>1173</v>
      </c>
      <c r="J336" t="s">
        <v>2515</v>
      </c>
      <c r="K336" t="s">
        <v>668</v>
      </c>
      <c r="L336" s="871"/>
      <c r="O336" s="256" t="str">
        <f ca="1">IF(OR(tblAvisos[[#This Row],[Estado trabajo]]="Cerrado",tblAvisos[[#This Row],[Fecha reporte]]=""),"",TODAY()-tblAvisos[[#This Row],[Fecha reporte]])</f>
        <v/>
      </c>
      <c r="P336" t="str">
        <f ca="1">IF(tblAvisos[[#This Row],[Fecha reporte]]="","Sin fecha",IF(tblAvisos[[#This Row],[Fecha reporte]]&lt;DATE(2020,1,1),"Fecha inválida",IF(tblAvisos[[#This Row],[Fecha reporte]]&gt;TODAY(),"Fecha futura",IF(tblAvisos[[#This Row],[Aviso SAP]]="","Sin aviso SAP",IF(tblAvisos[[#This Row],[Criticidad]]="","Sin criticidad","OK")))))</f>
        <v>Sin fecha</v>
      </c>
      <c r="Q336" s="901" t="s">
        <v>2919</v>
      </c>
    </row>
    <row r="337" spans="2:17">
      <c r="B337" s="853" cm="1">
        <f t="array" ref="B337">ROW()-ROW(tblAvisos[#Headers])</f>
        <v>333</v>
      </c>
      <c r="C337" t="s">
        <v>2502</v>
      </c>
      <c r="D337" s="871"/>
      <c r="E337" s="900" t="s">
        <v>2536</v>
      </c>
      <c r="F337" t="s">
        <v>799</v>
      </c>
      <c r="G337" t="s">
        <v>1133</v>
      </c>
      <c r="H337" t="s">
        <v>1158</v>
      </c>
      <c r="I337" t="s">
        <v>1173</v>
      </c>
      <c r="J337" t="s">
        <v>2515</v>
      </c>
      <c r="K337" t="s">
        <v>665</v>
      </c>
      <c r="L337" s="871"/>
      <c r="O337" s="256" t="str">
        <f ca="1">IF(OR(tblAvisos[[#This Row],[Estado trabajo]]="Cerrado",tblAvisos[[#This Row],[Fecha reporte]]=""),"",TODAY()-tblAvisos[[#This Row],[Fecha reporte]])</f>
        <v/>
      </c>
      <c r="P337" t="str">
        <f ca="1">IF(tblAvisos[[#This Row],[Fecha reporte]]="","Sin fecha",IF(tblAvisos[[#This Row],[Fecha reporte]]&lt;DATE(2020,1,1),"Fecha inválida",IF(tblAvisos[[#This Row],[Fecha reporte]]&gt;TODAY(),"Fecha futura",IF(tblAvisos[[#This Row],[Aviso SAP]]="","Sin aviso SAP",IF(tblAvisos[[#This Row],[Criticidad]]="","Sin criticidad","OK")))))</f>
        <v>Sin fecha</v>
      </c>
      <c r="Q337" s="901" t="s">
        <v>2920</v>
      </c>
    </row>
    <row r="338" spans="2:17">
      <c r="B338" s="853" cm="1">
        <f t="array" ref="B338">ROW()-ROW(tblAvisos[#Headers])</f>
        <v>334</v>
      </c>
      <c r="C338" t="s">
        <v>2502</v>
      </c>
      <c r="D338" s="871"/>
      <c r="E338" s="900" t="s">
        <v>2536</v>
      </c>
      <c r="F338" t="s">
        <v>1098</v>
      </c>
      <c r="G338" t="s">
        <v>1073</v>
      </c>
      <c r="H338" t="s">
        <v>1158</v>
      </c>
      <c r="I338" t="s">
        <v>1173</v>
      </c>
      <c r="J338" t="s">
        <v>2515</v>
      </c>
      <c r="K338" t="s">
        <v>665</v>
      </c>
      <c r="L338" s="871"/>
      <c r="O338" s="256" t="str">
        <f ca="1">IF(OR(tblAvisos[[#This Row],[Estado trabajo]]="Cerrado",tblAvisos[[#This Row],[Fecha reporte]]=""),"",TODAY()-tblAvisos[[#This Row],[Fecha reporte]])</f>
        <v/>
      </c>
      <c r="P338" t="str">
        <f ca="1">IF(tblAvisos[[#This Row],[Fecha reporte]]="","Sin fecha",IF(tblAvisos[[#This Row],[Fecha reporte]]&lt;DATE(2020,1,1),"Fecha inválida",IF(tblAvisos[[#This Row],[Fecha reporte]]&gt;TODAY(),"Fecha futura",IF(tblAvisos[[#This Row],[Aviso SAP]]="","Sin aviso SAP",IF(tblAvisos[[#This Row],[Criticidad]]="","Sin criticidad","OK")))))</f>
        <v>Sin fecha</v>
      </c>
      <c r="Q338" s="901" t="s">
        <v>2921</v>
      </c>
    </row>
    <row r="339" spans="2:17">
      <c r="B339" s="853" cm="1">
        <f t="array" ref="B339">ROW()-ROW(tblAvisos[#Headers])</f>
        <v>335</v>
      </c>
      <c r="C339" t="s">
        <v>2502</v>
      </c>
      <c r="D339" s="871">
        <v>46328</v>
      </c>
      <c r="E339" s="900" t="s">
        <v>2536</v>
      </c>
      <c r="F339" t="s">
        <v>376</v>
      </c>
      <c r="G339" t="s">
        <v>1134</v>
      </c>
      <c r="H339" t="s">
        <v>1158</v>
      </c>
      <c r="I339" t="s">
        <v>1173</v>
      </c>
      <c r="J339" t="s">
        <v>2515</v>
      </c>
      <c r="K339" t="s">
        <v>665</v>
      </c>
      <c r="L339" s="871"/>
      <c r="O339" s="256">
        <f ca="1">IF(OR(tblAvisos[[#This Row],[Estado trabajo]]="Cerrado",tblAvisos[[#This Row],[Fecha reporte]]=""),"",TODAY()-tblAvisos[[#This Row],[Fecha reporte]])</f>
        <v>-33</v>
      </c>
      <c r="P339" t="str">
        <f ca="1">IF(tblAvisos[[#This Row],[Fecha reporte]]="","Sin fecha",IF(tblAvisos[[#This Row],[Fecha reporte]]&lt;DATE(2020,1,1),"Fecha inválida",IF(tblAvisos[[#This Row],[Fecha reporte]]&gt;TODAY(),"Fecha futura",IF(tblAvisos[[#This Row],[Aviso SAP]]="","Sin aviso SAP",IF(tblAvisos[[#This Row],[Criticidad]]="","Sin criticidad","OK")))))</f>
        <v>Fecha futura</v>
      </c>
      <c r="Q339" s="901" t="s">
        <v>2922</v>
      </c>
    </row>
    <row r="340" spans="2:17">
      <c r="B340" s="853" cm="1">
        <f t="array" ref="B340">ROW()-ROW(tblAvisos[#Headers])</f>
        <v>336</v>
      </c>
      <c r="C340" t="s">
        <v>2502</v>
      </c>
      <c r="D340" s="871"/>
      <c r="E340" s="900" t="s">
        <v>2536</v>
      </c>
      <c r="F340" t="s">
        <v>1135</v>
      </c>
      <c r="G340" t="s">
        <v>1136</v>
      </c>
      <c r="H340" t="s">
        <v>1158</v>
      </c>
      <c r="I340" t="s">
        <v>1173</v>
      </c>
      <c r="J340" t="s">
        <v>2515</v>
      </c>
      <c r="K340" t="s">
        <v>665</v>
      </c>
      <c r="L340" s="871"/>
      <c r="O340" s="256" t="str">
        <f ca="1">IF(OR(tblAvisos[[#This Row],[Estado trabajo]]="Cerrado",tblAvisos[[#This Row],[Fecha reporte]]=""),"",TODAY()-tblAvisos[[#This Row],[Fecha reporte]])</f>
        <v/>
      </c>
      <c r="P340" t="str">
        <f ca="1">IF(tblAvisos[[#This Row],[Fecha reporte]]="","Sin fecha",IF(tblAvisos[[#This Row],[Fecha reporte]]&lt;DATE(2020,1,1),"Fecha inválida",IF(tblAvisos[[#This Row],[Fecha reporte]]&gt;TODAY(),"Fecha futura",IF(tblAvisos[[#This Row],[Aviso SAP]]="","Sin aviso SAP",IF(tblAvisos[[#This Row],[Criticidad]]="","Sin criticidad","OK")))))</f>
        <v>Sin fecha</v>
      </c>
      <c r="Q340" s="901" t="s">
        <v>2923</v>
      </c>
    </row>
    <row r="341" spans="2:17">
      <c r="B341" s="853" cm="1">
        <f t="array" ref="B341">ROW()-ROW(tblAvisos[#Headers])</f>
        <v>337</v>
      </c>
      <c r="C341" t="s">
        <v>2502</v>
      </c>
      <c r="D341" s="871"/>
      <c r="E341" s="900" t="s">
        <v>2536</v>
      </c>
      <c r="F341" t="s">
        <v>262</v>
      </c>
      <c r="G341" t="s">
        <v>1137</v>
      </c>
      <c r="H341" t="s">
        <v>1158</v>
      </c>
      <c r="I341" t="s">
        <v>1173</v>
      </c>
      <c r="J341" t="s">
        <v>2515</v>
      </c>
      <c r="K341" t="s">
        <v>665</v>
      </c>
      <c r="L341" s="871"/>
      <c r="O341" s="256" t="str">
        <f ca="1">IF(OR(tblAvisos[[#This Row],[Estado trabajo]]="Cerrado",tblAvisos[[#This Row],[Fecha reporte]]=""),"",TODAY()-tblAvisos[[#This Row],[Fecha reporte]])</f>
        <v/>
      </c>
      <c r="P341" t="str">
        <f ca="1">IF(tblAvisos[[#This Row],[Fecha reporte]]="","Sin fecha",IF(tblAvisos[[#This Row],[Fecha reporte]]&lt;DATE(2020,1,1),"Fecha inválida",IF(tblAvisos[[#This Row],[Fecha reporte]]&gt;TODAY(),"Fecha futura",IF(tblAvisos[[#This Row],[Aviso SAP]]="","Sin aviso SAP",IF(tblAvisos[[#This Row],[Criticidad]]="","Sin criticidad","OK")))))</f>
        <v>Sin fecha</v>
      </c>
      <c r="Q341" s="901" t="s">
        <v>2924</v>
      </c>
    </row>
    <row r="342" spans="2:17">
      <c r="B342" s="853" cm="1">
        <f t="array" ref="B342">ROW()-ROW(tblAvisos[#Headers])</f>
        <v>338</v>
      </c>
      <c r="C342" t="s">
        <v>2502</v>
      </c>
      <c r="D342" s="871"/>
      <c r="E342" s="900" t="s">
        <v>2536</v>
      </c>
      <c r="F342" t="s">
        <v>1138</v>
      </c>
      <c r="G342" t="s">
        <v>2925</v>
      </c>
      <c r="H342" t="s">
        <v>1158</v>
      </c>
      <c r="I342" t="s">
        <v>1173</v>
      </c>
      <c r="J342" t="s">
        <v>2515</v>
      </c>
      <c r="K342" t="s">
        <v>665</v>
      </c>
      <c r="L342" s="871"/>
      <c r="O342" s="256" t="str">
        <f ca="1">IF(OR(tblAvisos[[#This Row],[Estado trabajo]]="Cerrado",tblAvisos[[#This Row],[Fecha reporte]]=""),"",TODAY()-tblAvisos[[#This Row],[Fecha reporte]])</f>
        <v/>
      </c>
      <c r="P342" t="str">
        <f ca="1">IF(tblAvisos[[#This Row],[Fecha reporte]]="","Sin fecha",IF(tblAvisos[[#This Row],[Fecha reporte]]&lt;DATE(2020,1,1),"Fecha inválida",IF(tblAvisos[[#This Row],[Fecha reporte]]&gt;TODAY(),"Fecha futura",IF(tblAvisos[[#This Row],[Aviso SAP]]="","Sin aviso SAP",IF(tblAvisos[[#This Row],[Criticidad]]="","Sin criticidad","OK")))))</f>
        <v>Sin fecha</v>
      </c>
      <c r="Q342" s="901" t="s">
        <v>2926</v>
      </c>
    </row>
    <row r="343" spans="2:17">
      <c r="B343" s="853" cm="1">
        <f t="array" ref="B343">ROW()-ROW(tblAvisos[#Headers])</f>
        <v>339</v>
      </c>
      <c r="C343" t="s">
        <v>2502</v>
      </c>
      <c r="D343" s="871">
        <v>46358</v>
      </c>
      <c r="E343" s="900" t="s">
        <v>2536</v>
      </c>
      <c r="F343" t="s">
        <v>995</v>
      </c>
      <c r="G343" t="s">
        <v>1140</v>
      </c>
      <c r="H343" t="s">
        <v>1158</v>
      </c>
      <c r="I343" t="s">
        <v>1173</v>
      </c>
      <c r="L343" s="871"/>
      <c r="N343" t="s">
        <v>2616</v>
      </c>
      <c r="O343" s="256">
        <f ca="1">IF(OR(tblAvisos[[#This Row],[Estado trabajo]]="Cerrado",tblAvisos[[#This Row],[Fecha reporte]]=""),"",TODAY()-tblAvisos[[#This Row],[Fecha reporte]])</f>
        <v>-63</v>
      </c>
      <c r="P343" t="str">
        <f ca="1">IF(tblAvisos[[#This Row],[Fecha reporte]]="","Sin fecha",IF(tblAvisos[[#This Row],[Fecha reporte]]&lt;DATE(2020,1,1),"Fecha inválida",IF(tblAvisos[[#This Row],[Fecha reporte]]&gt;TODAY(),"Fecha futura",IF(tblAvisos[[#This Row],[Aviso SAP]]="","Sin aviso SAP",IF(tblAvisos[[#This Row],[Criticidad]]="","Sin criticidad","OK")))))</f>
        <v>Fecha futura</v>
      </c>
      <c r="Q343" s="901" t="s">
        <v>2927</v>
      </c>
    </row>
    <row r="344" spans="2:17">
      <c r="B344" s="853" cm="1">
        <f t="array" ref="B344">ROW()-ROW(tblAvisos[#Headers])</f>
        <v>340</v>
      </c>
      <c r="C344" t="s">
        <v>2502</v>
      </c>
      <c r="D344" s="871"/>
      <c r="E344" s="900" t="s">
        <v>2536</v>
      </c>
      <c r="F344" t="s">
        <v>1106</v>
      </c>
      <c r="G344" t="s">
        <v>986</v>
      </c>
      <c r="H344" t="s">
        <v>1170</v>
      </c>
      <c r="I344" t="s">
        <v>1173</v>
      </c>
      <c r="L344" s="871"/>
      <c r="N344" t="s">
        <v>2616</v>
      </c>
      <c r="O344" s="256" t="str">
        <f ca="1">IF(OR(tblAvisos[[#This Row],[Estado trabajo]]="Cerrado",tblAvisos[[#This Row],[Fecha reporte]]=""),"",TODAY()-tblAvisos[[#This Row],[Fecha reporte]])</f>
        <v/>
      </c>
      <c r="P344" t="str">
        <f ca="1">IF(tblAvisos[[#This Row],[Fecha reporte]]="","Sin fecha",IF(tblAvisos[[#This Row],[Fecha reporte]]&lt;DATE(2020,1,1),"Fecha inválida",IF(tblAvisos[[#This Row],[Fecha reporte]]&gt;TODAY(),"Fecha futura",IF(tblAvisos[[#This Row],[Aviso SAP]]="","Sin aviso SAP",IF(tblAvisos[[#This Row],[Criticidad]]="","Sin criticidad","OK")))))</f>
        <v>Sin fecha</v>
      </c>
      <c r="Q344" s="901" t="s">
        <v>2928</v>
      </c>
    </row>
    <row r="345" spans="2:17">
      <c r="B345" s="853" cm="1">
        <f t="array" ref="B345">ROW()-ROW(tblAvisos[#Headers])</f>
        <v>341</v>
      </c>
      <c r="C345" t="s">
        <v>2502</v>
      </c>
      <c r="D345" s="871"/>
      <c r="E345" s="900" t="s">
        <v>2536</v>
      </c>
      <c r="F345" t="s">
        <v>319</v>
      </c>
      <c r="G345" t="s">
        <v>1141</v>
      </c>
      <c r="H345" t="s">
        <v>1158</v>
      </c>
      <c r="I345" t="s">
        <v>1173</v>
      </c>
      <c r="L345" s="871"/>
      <c r="N345" t="s">
        <v>2616</v>
      </c>
      <c r="O345" s="256" t="str">
        <f ca="1">IF(OR(tblAvisos[[#This Row],[Estado trabajo]]="Cerrado",tblAvisos[[#This Row],[Fecha reporte]]=""),"",TODAY()-tblAvisos[[#This Row],[Fecha reporte]])</f>
        <v/>
      </c>
      <c r="P345" t="str">
        <f ca="1">IF(tblAvisos[[#This Row],[Fecha reporte]]="","Sin fecha",IF(tblAvisos[[#This Row],[Fecha reporte]]&lt;DATE(2020,1,1),"Fecha inválida",IF(tblAvisos[[#This Row],[Fecha reporte]]&gt;TODAY(),"Fecha futura",IF(tblAvisos[[#This Row],[Aviso SAP]]="","Sin aviso SAP",IF(tblAvisos[[#This Row],[Criticidad]]="","Sin criticidad","OK")))))</f>
        <v>Sin fecha</v>
      </c>
      <c r="Q345" s="901" t="s">
        <v>2929</v>
      </c>
    </row>
    <row r="346" spans="2:17">
      <c r="B346" s="853" cm="1">
        <f t="array" ref="B346">ROW()-ROW(tblAvisos[#Headers])</f>
        <v>342</v>
      </c>
      <c r="C346" t="s">
        <v>2502</v>
      </c>
      <c r="D346" s="871"/>
      <c r="E346" s="900" t="s">
        <v>2536</v>
      </c>
      <c r="F346" t="s">
        <v>301</v>
      </c>
      <c r="G346" t="s">
        <v>1142</v>
      </c>
      <c r="H346" t="s">
        <v>1158</v>
      </c>
      <c r="I346" t="s">
        <v>1173</v>
      </c>
      <c r="L346" s="871"/>
      <c r="N346" t="s">
        <v>2616</v>
      </c>
      <c r="O346" s="256" t="str">
        <f ca="1">IF(OR(tblAvisos[[#This Row],[Estado trabajo]]="Cerrado",tblAvisos[[#This Row],[Fecha reporte]]=""),"",TODAY()-tblAvisos[[#This Row],[Fecha reporte]])</f>
        <v/>
      </c>
      <c r="P346" t="str">
        <f ca="1">IF(tblAvisos[[#This Row],[Fecha reporte]]="","Sin fecha",IF(tblAvisos[[#This Row],[Fecha reporte]]&lt;DATE(2020,1,1),"Fecha inválida",IF(tblAvisos[[#This Row],[Fecha reporte]]&gt;TODAY(),"Fecha futura",IF(tblAvisos[[#This Row],[Aviso SAP]]="","Sin aviso SAP",IF(tblAvisos[[#This Row],[Criticidad]]="","Sin criticidad","OK")))))</f>
        <v>Sin fecha</v>
      </c>
      <c r="Q346" s="901" t="s">
        <v>2930</v>
      </c>
    </row>
    <row r="347" spans="2:17">
      <c r="B347" s="853" cm="1">
        <f t="array" ref="B347">ROW()-ROW(tblAvisos[#Headers])</f>
        <v>343</v>
      </c>
      <c r="C347" t="s">
        <v>2502</v>
      </c>
      <c r="D347" s="871"/>
      <c r="E347" s="900" t="s">
        <v>2536</v>
      </c>
      <c r="F347" t="s">
        <v>597</v>
      </c>
      <c r="G347" t="s">
        <v>1143</v>
      </c>
      <c r="H347" t="s">
        <v>1158</v>
      </c>
      <c r="I347" t="s">
        <v>1173</v>
      </c>
      <c r="L347" s="871"/>
      <c r="N347" t="s">
        <v>2616</v>
      </c>
      <c r="O347" s="256" t="str">
        <f ca="1">IF(OR(tblAvisos[[#This Row],[Estado trabajo]]="Cerrado",tblAvisos[[#This Row],[Fecha reporte]]=""),"",TODAY()-tblAvisos[[#This Row],[Fecha reporte]])</f>
        <v/>
      </c>
      <c r="P347" t="str">
        <f ca="1">IF(tblAvisos[[#This Row],[Fecha reporte]]="","Sin fecha",IF(tblAvisos[[#This Row],[Fecha reporte]]&lt;DATE(2020,1,1),"Fecha inválida",IF(tblAvisos[[#This Row],[Fecha reporte]]&gt;TODAY(),"Fecha futura",IF(tblAvisos[[#This Row],[Aviso SAP]]="","Sin aviso SAP",IF(tblAvisos[[#This Row],[Criticidad]]="","Sin criticidad","OK")))))</f>
        <v>Sin fecha</v>
      </c>
      <c r="Q347" s="901" t="s">
        <v>2931</v>
      </c>
    </row>
    <row r="348" spans="2:17">
      <c r="B348" s="853" cm="1">
        <f t="array" ref="B348">ROW()-ROW(tblAvisos[#Headers])</f>
        <v>344</v>
      </c>
      <c r="C348" t="s">
        <v>2502</v>
      </c>
      <c r="D348" s="871"/>
      <c r="E348" s="900" t="s">
        <v>2536</v>
      </c>
      <c r="F348" t="s">
        <v>1120</v>
      </c>
      <c r="G348" t="s">
        <v>1144</v>
      </c>
      <c r="H348" t="s">
        <v>1170</v>
      </c>
      <c r="I348" t="s">
        <v>1173</v>
      </c>
      <c r="L348" s="871"/>
      <c r="N348" t="s">
        <v>2616</v>
      </c>
      <c r="O348" s="256" t="str">
        <f ca="1">IF(OR(tblAvisos[[#This Row],[Estado trabajo]]="Cerrado",tblAvisos[[#This Row],[Fecha reporte]]=""),"",TODAY()-tblAvisos[[#This Row],[Fecha reporte]])</f>
        <v/>
      </c>
      <c r="P348" t="str">
        <f ca="1">IF(tblAvisos[[#This Row],[Fecha reporte]]="","Sin fecha",IF(tblAvisos[[#This Row],[Fecha reporte]]&lt;DATE(2020,1,1),"Fecha inválida",IF(tblAvisos[[#This Row],[Fecha reporte]]&gt;TODAY(),"Fecha futura",IF(tblAvisos[[#This Row],[Aviso SAP]]="","Sin aviso SAP",IF(tblAvisos[[#This Row],[Criticidad]]="","Sin criticidad","OK")))))</f>
        <v>Sin fecha</v>
      </c>
      <c r="Q348" s="901" t="s">
        <v>2932</v>
      </c>
    </row>
    <row r="349" spans="2:17">
      <c r="B349" s="853" cm="1">
        <f t="array" ref="B349">ROW()-ROW(tblAvisos[#Headers])</f>
        <v>345</v>
      </c>
      <c r="C349" t="s">
        <v>2502</v>
      </c>
      <c r="D349" s="871"/>
      <c r="E349" s="900" t="s">
        <v>2536</v>
      </c>
      <c r="F349" t="s">
        <v>1145</v>
      </c>
      <c r="G349" t="s">
        <v>1146</v>
      </c>
      <c r="H349" t="s">
        <v>1158</v>
      </c>
      <c r="I349" t="s">
        <v>1173</v>
      </c>
      <c r="L349" s="871"/>
      <c r="N349" t="s">
        <v>2616</v>
      </c>
      <c r="O349" s="256" t="str">
        <f ca="1">IF(OR(tblAvisos[[#This Row],[Estado trabajo]]="Cerrado",tblAvisos[[#This Row],[Fecha reporte]]=""),"",TODAY()-tblAvisos[[#This Row],[Fecha reporte]])</f>
        <v/>
      </c>
      <c r="P349" t="str">
        <f ca="1">IF(tblAvisos[[#This Row],[Fecha reporte]]="","Sin fecha",IF(tblAvisos[[#This Row],[Fecha reporte]]&lt;DATE(2020,1,1),"Fecha inválida",IF(tblAvisos[[#This Row],[Fecha reporte]]&gt;TODAY(),"Fecha futura",IF(tblAvisos[[#This Row],[Aviso SAP]]="","Sin aviso SAP",IF(tblAvisos[[#This Row],[Criticidad]]="","Sin criticidad","OK")))))</f>
        <v>Sin fecha</v>
      </c>
      <c r="Q349" s="901" t="s">
        <v>2933</v>
      </c>
    </row>
    <row r="350" spans="2:17">
      <c r="B350" s="853" cm="1">
        <f t="array" ref="B350">ROW()-ROW(tblAvisos[#Headers])</f>
        <v>346</v>
      </c>
      <c r="C350" t="s">
        <v>2502</v>
      </c>
      <c r="D350" s="871"/>
      <c r="E350" s="900" t="s">
        <v>2536</v>
      </c>
      <c r="F350" t="s">
        <v>1147</v>
      </c>
      <c r="G350" t="s">
        <v>1148</v>
      </c>
      <c r="H350" t="s">
        <v>1158</v>
      </c>
      <c r="I350" t="s">
        <v>1173</v>
      </c>
      <c r="L350" s="871"/>
      <c r="N350" t="s">
        <v>2616</v>
      </c>
      <c r="O350" s="256" t="str">
        <f ca="1">IF(OR(tblAvisos[[#This Row],[Estado trabajo]]="Cerrado",tblAvisos[[#This Row],[Fecha reporte]]=""),"",TODAY()-tblAvisos[[#This Row],[Fecha reporte]])</f>
        <v/>
      </c>
      <c r="P350" t="str">
        <f ca="1">IF(tblAvisos[[#This Row],[Fecha reporte]]="","Sin fecha",IF(tblAvisos[[#This Row],[Fecha reporte]]&lt;DATE(2020,1,1),"Fecha inválida",IF(tblAvisos[[#This Row],[Fecha reporte]]&gt;TODAY(),"Fecha futura",IF(tblAvisos[[#This Row],[Aviso SAP]]="","Sin aviso SAP",IF(tblAvisos[[#This Row],[Criticidad]]="","Sin criticidad","OK")))))</f>
        <v>Sin fecha</v>
      </c>
      <c r="Q350" s="901" t="s">
        <v>2934</v>
      </c>
    </row>
    <row r="351" spans="2:17">
      <c r="B351" s="853" cm="1">
        <f t="array" ref="B351">ROW()-ROW(tblAvisos[#Headers])</f>
        <v>347</v>
      </c>
      <c r="C351" t="s">
        <v>2502</v>
      </c>
      <c r="D351" s="871">
        <v>46066</v>
      </c>
      <c r="E351" s="900" t="s">
        <v>2536</v>
      </c>
      <c r="F351" t="s">
        <v>855</v>
      </c>
      <c r="G351" t="s">
        <v>1146</v>
      </c>
      <c r="I351" t="s">
        <v>1173</v>
      </c>
      <c r="L351" s="871"/>
      <c r="N351" t="s">
        <v>2616</v>
      </c>
      <c r="O351" s="256">
        <f ca="1">IF(OR(tblAvisos[[#This Row],[Estado trabajo]]="Cerrado",tblAvisos[[#This Row],[Fecha reporte]]=""),"",TODAY()-tblAvisos[[#This Row],[Fecha reporte]])</f>
        <v>229</v>
      </c>
      <c r="P351" t="str">
        <f ca="1">IF(tblAvisos[[#This Row],[Fecha reporte]]="","Sin fecha",IF(tblAvisos[[#This Row],[Fecha reporte]]&lt;DATE(2020,1,1),"Fecha inválida",IF(tblAvisos[[#This Row],[Fecha reporte]]&gt;TODAY(),"Fecha futura",IF(tblAvisos[[#This Row],[Aviso SAP]]="","Sin aviso SAP",IF(tblAvisos[[#This Row],[Criticidad]]="","Sin criticidad","OK")))))</f>
        <v>Sin aviso SAP</v>
      </c>
      <c r="Q351" s="901" t="s">
        <v>2935</v>
      </c>
    </row>
    <row r="352" spans="2:17">
      <c r="B352" s="853" cm="1">
        <f t="array" ref="B352">ROW()-ROW(tblAvisos[#Headers])</f>
        <v>348</v>
      </c>
      <c r="C352" t="s">
        <v>2502</v>
      </c>
      <c r="D352" s="871"/>
      <c r="E352" s="900" t="s">
        <v>2536</v>
      </c>
      <c r="F352" t="s">
        <v>273</v>
      </c>
      <c r="G352" t="s">
        <v>1150</v>
      </c>
      <c r="I352" t="s">
        <v>1173</v>
      </c>
      <c r="L352" s="871"/>
      <c r="N352" t="s">
        <v>2616</v>
      </c>
      <c r="O352" s="256" t="str">
        <f ca="1">IF(OR(tblAvisos[[#This Row],[Estado trabajo]]="Cerrado",tblAvisos[[#This Row],[Fecha reporte]]=""),"",TODAY()-tblAvisos[[#This Row],[Fecha reporte]])</f>
        <v/>
      </c>
      <c r="P352" t="str">
        <f ca="1">IF(tblAvisos[[#This Row],[Fecha reporte]]="","Sin fecha",IF(tblAvisos[[#This Row],[Fecha reporte]]&lt;DATE(2020,1,1),"Fecha inválida",IF(tblAvisos[[#This Row],[Fecha reporte]]&gt;TODAY(),"Fecha futura",IF(tblAvisos[[#This Row],[Aviso SAP]]="","Sin aviso SAP",IF(tblAvisos[[#This Row],[Criticidad]]="","Sin criticidad","OK")))))</f>
        <v>Sin fecha</v>
      </c>
      <c r="Q352" s="901" t="s">
        <v>2936</v>
      </c>
    </row>
    <row r="353" spans="2:17">
      <c r="B353" s="853" cm="1">
        <f t="array" ref="B353">ROW()-ROW(tblAvisos[#Headers])</f>
        <v>349</v>
      </c>
      <c r="C353" t="s">
        <v>2502</v>
      </c>
      <c r="D353" s="871"/>
      <c r="E353" s="900" t="s">
        <v>2536</v>
      </c>
      <c r="F353" t="s">
        <v>262</v>
      </c>
      <c r="G353" t="s">
        <v>1151</v>
      </c>
      <c r="I353" t="s">
        <v>1173</v>
      </c>
      <c r="L353" s="871"/>
      <c r="N353" t="s">
        <v>2616</v>
      </c>
      <c r="O353" s="256" t="str">
        <f ca="1">IF(OR(tblAvisos[[#This Row],[Estado trabajo]]="Cerrado",tblAvisos[[#This Row],[Fecha reporte]]=""),"",TODAY()-tblAvisos[[#This Row],[Fecha reporte]])</f>
        <v/>
      </c>
      <c r="P353" t="str">
        <f ca="1">IF(tblAvisos[[#This Row],[Fecha reporte]]="","Sin fecha",IF(tblAvisos[[#This Row],[Fecha reporte]]&lt;DATE(2020,1,1),"Fecha inválida",IF(tblAvisos[[#This Row],[Fecha reporte]]&gt;TODAY(),"Fecha futura",IF(tblAvisos[[#This Row],[Aviso SAP]]="","Sin aviso SAP",IF(tblAvisos[[#This Row],[Criticidad]]="","Sin criticidad","OK")))))</f>
        <v>Sin fecha</v>
      </c>
      <c r="Q353" s="901" t="s">
        <v>2937</v>
      </c>
    </row>
    <row r="354" spans="2:17">
      <c r="B354" s="853" cm="1">
        <f t="array" ref="B354">ROW()-ROW(tblAvisos[#Headers])</f>
        <v>350</v>
      </c>
      <c r="C354" t="s">
        <v>2502</v>
      </c>
      <c r="D354" s="871"/>
      <c r="E354" s="900" t="s">
        <v>2536</v>
      </c>
      <c r="F354" t="s">
        <v>1152</v>
      </c>
      <c r="G354" t="s">
        <v>1153</v>
      </c>
      <c r="I354" t="s">
        <v>1173</v>
      </c>
      <c r="L354" s="871"/>
      <c r="N354" t="s">
        <v>2616</v>
      </c>
      <c r="O354" s="256" t="str">
        <f ca="1">IF(OR(tblAvisos[[#This Row],[Estado trabajo]]="Cerrado",tblAvisos[[#This Row],[Fecha reporte]]=""),"",TODAY()-tblAvisos[[#This Row],[Fecha reporte]])</f>
        <v/>
      </c>
      <c r="P354" t="str">
        <f ca="1">IF(tblAvisos[[#This Row],[Fecha reporte]]="","Sin fecha",IF(tblAvisos[[#This Row],[Fecha reporte]]&lt;DATE(2020,1,1),"Fecha inválida",IF(tblAvisos[[#This Row],[Fecha reporte]]&gt;TODAY(),"Fecha futura",IF(tblAvisos[[#This Row],[Aviso SAP]]="","Sin aviso SAP",IF(tblAvisos[[#This Row],[Criticidad]]="","Sin criticidad","OK")))))</f>
        <v>Sin fecha</v>
      </c>
      <c r="Q354" s="901" t="s">
        <v>2938</v>
      </c>
    </row>
    <row r="355" spans="2:17">
      <c r="B355" s="853" cm="1">
        <f t="array" ref="B355">ROW()-ROW(tblAvisos[#Headers])</f>
        <v>351</v>
      </c>
      <c r="C355" t="s">
        <v>2502</v>
      </c>
      <c r="D355" s="871"/>
      <c r="E355" s="900" t="s">
        <v>2536</v>
      </c>
      <c r="F355" t="s">
        <v>319</v>
      </c>
      <c r="G355" t="s">
        <v>1154</v>
      </c>
      <c r="I355" t="s">
        <v>1173</v>
      </c>
      <c r="L355" s="871"/>
      <c r="N355" t="s">
        <v>2616</v>
      </c>
      <c r="O355" s="256" t="str">
        <f ca="1">IF(OR(tblAvisos[[#This Row],[Estado trabajo]]="Cerrado",tblAvisos[[#This Row],[Fecha reporte]]=""),"",TODAY()-tblAvisos[[#This Row],[Fecha reporte]])</f>
        <v/>
      </c>
      <c r="P355" t="str">
        <f ca="1">IF(tblAvisos[[#This Row],[Fecha reporte]]="","Sin fecha",IF(tblAvisos[[#This Row],[Fecha reporte]]&lt;DATE(2020,1,1),"Fecha inválida",IF(tblAvisos[[#This Row],[Fecha reporte]]&gt;TODAY(),"Fecha futura",IF(tblAvisos[[#This Row],[Aviso SAP]]="","Sin aviso SAP",IF(tblAvisos[[#This Row],[Criticidad]]="","Sin criticidad","OK")))))</f>
        <v>Sin fecha</v>
      </c>
      <c r="Q355" s="901" t="s">
        <v>2939</v>
      </c>
    </row>
    <row r="356" spans="2:17">
      <c r="B356" s="853" cm="1">
        <f t="array" ref="B356">ROW()-ROW(tblAvisos[#Headers])</f>
        <v>352</v>
      </c>
      <c r="C356" t="s">
        <v>2503</v>
      </c>
      <c r="D356" s="871">
        <v>45952</v>
      </c>
      <c r="E356" s="900" t="s">
        <v>2940</v>
      </c>
      <c r="F356" t="s">
        <v>1156</v>
      </c>
      <c r="G356" t="s">
        <v>1157</v>
      </c>
      <c r="H356" t="s">
        <v>1158</v>
      </c>
      <c r="I356" t="s">
        <v>2512</v>
      </c>
      <c r="K356" t="s">
        <v>668</v>
      </c>
      <c r="L356" s="871"/>
      <c r="O356" s="256" t="str">
        <f ca="1">IF(OR(tblAvisos[[#This Row],[Estado trabajo]]="Cerrado",tblAvisos[[#This Row],[Fecha reporte]]=""),"",TODAY()-tblAvisos[[#This Row],[Fecha reporte]])</f>
        <v/>
      </c>
      <c r="P356" t="str">
        <f ca="1">IF(tblAvisos[[#This Row],[Fecha reporte]]="","Sin fecha",IF(tblAvisos[[#This Row],[Fecha reporte]]&lt;DATE(2020,1,1),"Fecha inválida",IF(tblAvisos[[#This Row],[Fecha reporte]]&gt;TODAY(),"Fecha futura",IF(tblAvisos[[#This Row],[Aviso SAP]]="","Sin aviso SAP",IF(tblAvisos[[#This Row],[Criticidad]]="","Sin criticidad","OK")))))</f>
        <v>OK</v>
      </c>
      <c r="Q356" s="901" t="s">
        <v>2941</v>
      </c>
    </row>
    <row r="357" spans="2:17">
      <c r="B357" s="853" cm="1">
        <f t="array" ref="B357">ROW()-ROW(tblAvisos[#Headers])</f>
        <v>353</v>
      </c>
      <c r="C357" t="s">
        <v>2503</v>
      </c>
      <c r="D357" s="871">
        <v>45955</v>
      </c>
      <c r="E357" s="900" t="s">
        <v>2942</v>
      </c>
      <c r="F357" t="s">
        <v>1159</v>
      </c>
      <c r="G357" t="s">
        <v>1160</v>
      </c>
      <c r="H357" t="s">
        <v>1161</v>
      </c>
      <c r="I357" t="s">
        <v>2512</v>
      </c>
      <c r="K357" t="s">
        <v>668</v>
      </c>
      <c r="L357" s="871"/>
      <c r="O357" s="256" t="str">
        <f ca="1">IF(OR(tblAvisos[[#This Row],[Estado trabajo]]="Cerrado",tblAvisos[[#This Row],[Fecha reporte]]=""),"",TODAY()-tblAvisos[[#This Row],[Fecha reporte]])</f>
        <v/>
      </c>
      <c r="P357" t="str">
        <f ca="1">IF(tblAvisos[[#This Row],[Fecha reporte]]="","Sin fecha",IF(tblAvisos[[#This Row],[Fecha reporte]]&lt;DATE(2020,1,1),"Fecha inválida",IF(tblAvisos[[#This Row],[Fecha reporte]]&gt;TODAY(),"Fecha futura",IF(tblAvisos[[#This Row],[Aviso SAP]]="","Sin aviso SAP",IF(tblAvisos[[#This Row],[Criticidad]]="","Sin criticidad","OK")))))</f>
        <v>OK</v>
      </c>
      <c r="Q357" s="901" t="s">
        <v>2943</v>
      </c>
    </row>
    <row r="358" spans="2:17">
      <c r="B358" s="853" cm="1">
        <f t="array" ref="B358">ROW()-ROW(tblAvisos[#Headers])</f>
        <v>354</v>
      </c>
      <c r="C358" t="s">
        <v>2503</v>
      </c>
      <c r="D358" s="871">
        <v>45595</v>
      </c>
      <c r="E358" s="900" t="s">
        <v>2944</v>
      </c>
      <c r="F358" t="s">
        <v>1162</v>
      </c>
      <c r="G358" t="s">
        <v>1163</v>
      </c>
      <c r="H358" t="s">
        <v>1158</v>
      </c>
      <c r="I358" t="s">
        <v>1173</v>
      </c>
      <c r="K358" t="s">
        <v>668</v>
      </c>
      <c r="L358" s="871"/>
      <c r="O358" s="256">
        <f ca="1">IF(OR(tblAvisos[[#This Row],[Estado trabajo]]="Cerrado",tblAvisos[[#This Row],[Fecha reporte]]=""),"",TODAY()-tblAvisos[[#This Row],[Fecha reporte]])</f>
        <v>700</v>
      </c>
      <c r="P358" t="str">
        <f ca="1">IF(tblAvisos[[#This Row],[Fecha reporte]]="","Sin fecha",IF(tblAvisos[[#This Row],[Fecha reporte]]&lt;DATE(2020,1,1),"Fecha inválida",IF(tblAvisos[[#This Row],[Fecha reporte]]&gt;TODAY(),"Fecha futura",IF(tblAvisos[[#This Row],[Aviso SAP]]="","Sin aviso SAP",IF(tblAvisos[[#This Row],[Criticidad]]="","Sin criticidad","OK")))))</f>
        <v>OK</v>
      </c>
      <c r="Q358" s="901" t="s">
        <v>2945</v>
      </c>
    </row>
    <row r="359" spans="2:17">
      <c r="B359" s="853" cm="1">
        <f t="array" ref="B359">ROW()-ROW(tblAvisos[#Headers])</f>
        <v>355</v>
      </c>
      <c r="C359" t="s">
        <v>2503</v>
      </c>
      <c r="D359" s="871">
        <v>45939</v>
      </c>
      <c r="E359" s="900" t="s">
        <v>1165</v>
      </c>
      <c r="F359" t="s">
        <v>1166</v>
      </c>
      <c r="G359" t="s">
        <v>1167</v>
      </c>
      <c r="H359" t="s">
        <v>1158</v>
      </c>
      <c r="I359" t="s">
        <v>2512</v>
      </c>
      <c r="K359" t="s">
        <v>668</v>
      </c>
      <c r="L359" s="871"/>
      <c r="N359" t="s">
        <v>2946</v>
      </c>
      <c r="O359" s="256" t="str">
        <f ca="1">IF(OR(tblAvisos[[#This Row],[Estado trabajo]]="Cerrado",tblAvisos[[#This Row],[Fecha reporte]]=""),"",TODAY()-tblAvisos[[#This Row],[Fecha reporte]])</f>
        <v/>
      </c>
      <c r="P359" t="str">
        <f ca="1">IF(tblAvisos[[#This Row],[Fecha reporte]]="","Sin fecha",IF(tblAvisos[[#This Row],[Fecha reporte]]&lt;DATE(2020,1,1),"Fecha inválida",IF(tblAvisos[[#This Row],[Fecha reporte]]&gt;TODAY(),"Fecha futura",IF(tblAvisos[[#This Row],[Aviso SAP]]="","Sin aviso SAP",IF(tblAvisos[[#This Row],[Criticidad]]="","Sin criticidad","OK")))))</f>
        <v>OK</v>
      </c>
      <c r="Q359" s="901" t="s">
        <v>2947</v>
      </c>
    </row>
    <row r="360" spans="2:17">
      <c r="B360" s="853" cm="1">
        <f t="array" ref="B360">ROW()-ROW(tblAvisos[#Headers])</f>
        <v>356</v>
      </c>
      <c r="C360" t="s">
        <v>2503</v>
      </c>
      <c r="D360" s="871">
        <v>45953</v>
      </c>
      <c r="E360" s="900" t="s">
        <v>2536</v>
      </c>
      <c r="F360" t="s">
        <v>1168</v>
      </c>
      <c r="G360" t="s">
        <v>1169</v>
      </c>
      <c r="H360" t="s">
        <v>1170</v>
      </c>
      <c r="I360" t="s">
        <v>2512</v>
      </c>
      <c r="K360" t="s">
        <v>665</v>
      </c>
      <c r="L360" s="871"/>
      <c r="O360" s="256" t="str">
        <f ca="1">IF(OR(tblAvisos[[#This Row],[Estado trabajo]]="Cerrado",tblAvisos[[#This Row],[Fecha reporte]]=""),"",TODAY()-tblAvisos[[#This Row],[Fecha reporte]])</f>
        <v/>
      </c>
      <c r="P360" t="str">
        <f ca="1">IF(tblAvisos[[#This Row],[Fecha reporte]]="","Sin fecha",IF(tblAvisos[[#This Row],[Fecha reporte]]&lt;DATE(2020,1,1),"Fecha inválida",IF(tblAvisos[[#This Row],[Fecha reporte]]&gt;TODAY(),"Fecha futura",IF(tblAvisos[[#This Row],[Aviso SAP]]="","Sin aviso SAP",IF(tblAvisos[[#This Row],[Criticidad]]="","Sin criticidad","OK")))))</f>
        <v>Sin aviso SAP</v>
      </c>
      <c r="Q360" s="901" t="s">
        <v>2948</v>
      </c>
    </row>
    <row r="361" spans="2:17">
      <c r="B361" s="853" cm="1">
        <f t="array" ref="B361">ROW()-ROW(tblAvisos[#Headers])</f>
        <v>357</v>
      </c>
      <c r="C361" t="s">
        <v>2503</v>
      </c>
      <c r="D361" s="871">
        <v>45880</v>
      </c>
      <c r="E361" s="900" t="s">
        <v>2949</v>
      </c>
      <c r="F361" t="s">
        <v>1171</v>
      </c>
      <c r="G361" t="s">
        <v>1172</v>
      </c>
      <c r="H361" t="s">
        <v>1158</v>
      </c>
      <c r="I361" t="s">
        <v>1173</v>
      </c>
      <c r="K361" t="s">
        <v>668</v>
      </c>
      <c r="L361" s="871"/>
      <c r="O361" s="256">
        <f ca="1">IF(OR(tblAvisos[[#This Row],[Estado trabajo]]="Cerrado",tblAvisos[[#This Row],[Fecha reporte]]=""),"",TODAY()-tblAvisos[[#This Row],[Fecha reporte]])</f>
        <v>415</v>
      </c>
      <c r="P361" t="str">
        <f ca="1">IF(tblAvisos[[#This Row],[Fecha reporte]]="","Sin fecha",IF(tblAvisos[[#This Row],[Fecha reporte]]&lt;DATE(2020,1,1),"Fecha inválida",IF(tblAvisos[[#This Row],[Fecha reporte]]&gt;TODAY(),"Fecha futura",IF(tblAvisos[[#This Row],[Aviso SAP]]="","Sin aviso SAP",IF(tblAvisos[[#This Row],[Criticidad]]="","Sin criticidad","OK")))))</f>
        <v>OK</v>
      </c>
      <c r="Q361" s="901" t="s">
        <v>2950</v>
      </c>
    </row>
    <row r="362" spans="2:17">
      <c r="B362" s="853" cm="1">
        <f t="array" ref="B362">ROW()-ROW(tblAvisos[#Headers])</f>
        <v>358</v>
      </c>
      <c r="C362" t="s">
        <v>2503</v>
      </c>
      <c r="D362" s="871">
        <v>45880</v>
      </c>
      <c r="E362" s="900" t="s">
        <v>2951</v>
      </c>
      <c r="F362" t="s">
        <v>1174</v>
      </c>
      <c r="G362" t="s">
        <v>2952</v>
      </c>
      <c r="H362" t="s">
        <v>1158</v>
      </c>
      <c r="I362" t="s">
        <v>1173</v>
      </c>
      <c r="K362" t="s">
        <v>668</v>
      </c>
      <c r="L362" s="871"/>
      <c r="O362" s="256">
        <f ca="1">IF(OR(tblAvisos[[#This Row],[Estado trabajo]]="Cerrado",tblAvisos[[#This Row],[Fecha reporte]]=""),"",TODAY()-tblAvisos[[#This Row],[Fecha reporte]])</f>
        <v>415</v>
      </c>
      <c r="P362" t="str">
        <f ca="1">IF(tblAvisos[[#This Row],[Fecha reporte]]="","Sin fecha",IF(tblAvisos[[#This Row],[Fecha reporte]]&lt;DATE(2020,1,1),"Fecha inválida",IF(tblAvisos[[#This Row],[Fecha reporte]]&gt;TODAY(),"Fecha futura",IF(tblAvisos[[#This Row],[Aviso SAP]]="","Sin aviso SAP",IF(tblAvisos[[#This Row],[Criticidad]]="","Sin criticidad","OK")))))</f>
        <v>OK</v>
      </c>
      <c r="Q362" s="901" t="s">
        <v>2953</v>
      </c>
    </row>
    <row r="363" spans="2:17">
      <c r="B363" s="853" cm="1">
        <f t="array" ref="B363">ROW()-ROW(tblAvisos[#Headers])</f>
        <v>359</v>
      </c>
      <c r="C363" t="s">
        <v>2503</v>
      </c>
      <c r="D363" s="871">
        <v>45880</v>
      </c>
      <c r="E363" s="900" t="s">
        <v>2954</v>
      </c>
      <c r="F363" t="s">
        <v>1176</v>
      </c>
      <c r="G363" t="s">
        <v>2955</v>
      </c>
      <c r="H363" t="s">
        <v>1158</v>
      </c>
      <c r="I363" t="s">
        <v>1173</v>
      </c>
      <c r="K363" t="s">
        <v>668</v>
      </c>
      <c r="L363" s="871"/>
      <c r="O363" s="256">
        <f ca="1">IF(OR(tblAvisos[[#This Row],[Estado trabajo]]="Cerrado",tblAvisos[[#This Row],[Fecha reporte]]=""),"",TODAY()-tblAvisos[[#This Row],[Fecha reporte]])</f>
        <v>415</v>
      </c>
      <c r="P363" t="str">
        <f ca="1">IF(tblAvisos[[#This Row],[Fecha reporte]]="","Sin fecha",IF(tblAvisos[[#This Row],[Fecha reporte]]&lt;DATE(2020,1,1),"Fecha inválida",IF(tblAvisos[[#This Row],[Fecha reporte]]&gt;TODAY(),"Fecha futura",IF(tblAvisos[[#This Row],[Aviso SAP]]="","Sin aviso SAP",IF(tblAvisos[[#This Row],[Criticidad]]="","Sin criticidad","OK")))))</f>
        <v>OK</v>
      </c>
      <c r="Q363" s="901" t="s">
        <v>2956</v>
      </c>
    </row>
    <row r="364" spans="2:17">
      <c r="B364" s="853" cm="1">
        <f t="array" ref="B364">ROW()-ROW(tblAvisos[#Headers])</f>
        <v>360</v>
      </c>
      <c r="C364" t="s">
        <v>2503</v>
      </c>
      <c r="D364" s="871">
        <v>45880</v>
      </c>
      <c r="E364" s="900" t="s">
        <v>2957</v>
      </c>
      <c r="F364" t="s">
        <v>1178</v>
      </c>
      <c r="G364" t="s">
        <v>1179</v>
      </c>
      <c r="H364" t="s">
        <v>1158</v>
      </c>
      <c r="I364" t="s">
        <v>1173</v>
      </c>
      <c r="K364" t="s">
        <v>668</v>
      </c>
      <c r="L364" s="871"/>
      <c r="O364" s="256">
        <f ca="1">IF(OR(tblAvisos[[#This Row],[Estado trabajo]]="Cerrado",tblAvisos[[#This Row],[Fecha reporte]]=""),"",TODAY()-tblAvisos[[#This Row],[Fecha reporte]])</f>
        <v>415</v>
      </c>
      <c r="P364" t="str">
        <f ca="1">IF(tblAvisos[[#This Row],[Fecha reporte]]="","Sin fecha",IF(tblAvisos[[#This Row],[Fecha reporte]]&lt;DATE(2020,1,1),"Fecha inválida",IF(tblAvisos[[#This Row],[Fecha reporte]]&gt;TODAY(),"Fecha futura",IF(tblAvisos[[#This Row],[Aviso SAP]]="","Sin aviso SAP",IF(tblAvisos[[#This Row],[Criticidad]]="","Sin criticidad","OK")))))</f>
        <v>OK</v>
      </c>
      <c r="Q364" s="901" t="s">
        <v>2958</v>
      </c>
    </row>
    <row r="365" spans="2:17">
      <c r="B365" s="853" cm="1">
        <f t="array" ref="B365">ROW()-ROW(tblAvisos[#Headers])</f>
        <v>361</v>
      </c>
      <c r="C365" t="s">
        <v>2503</v>
      </c>
      <c r="D365" s="871">
        <v>45880</v>
      </c>
      <c r="E365" s="900" t="s">
        <v>2959</v>
      </c>
      <c r="F365" t="s">
        <v>1180</v>
      </c>
      <c r="G365" t="s">
        <v>2960</v>
      </c>
      <c r="H365" t="s">
        <v>1158</v>
      </c>
      <c r="I365" t="s">
        <v>1173</v>
      </c>
      <c r="K365" t="s">
        <v>668</v>
      </c>
      <c r="L365" s="871"/>
      <c r="O365" s="256">
        <f ca="1">IF(OR(tblAvisos[[#This Row],[Estado trabajo]]="Cerrado",tblAvisos[[#This Row],[Fecha reporte]]=""),"",TODAY()-tblAvisos[[#This Row],[Fecha reporte]])</f>
        <v>415</v>
      </c>
      <c r="P365" t="str">
        <f ca="1">IF(tblAvisos[[#This Row],[Fecha reporte]]="","Sin fecha",IF(tblAvisos[[#This Row],[Fecha reporte]]&lt;DATE(2020,1,1),"Fecha inválida",IF(tblAvisos[[#This Row],[Fecha reporte]]&gt;TODAY(),"Fecha futura",IF(tblAvisos[[#This Row],[Aviso SAP]]="","Sin aviso SAP",IF(tblAvisos[[#This Row],[Criticidad]]="","Sin criticidad","OK")))))</f>
        <v>OK</v>
      </c>
      <c r="Q365" s="901" t="s">
        <v>2961</v>
      </c>
    </row>
    <row r="366" spans="2:17">
      <c r="B366" s="853" cm="1">
        <f t="array" ref="B366">ROW()-ROW(tblAvisos[#Headers])</f>
        <v>362</v>
      </c>
      <c r="C366" t="s">
        <v>2503</v>
      </c>
      <c r="D366" s="871">
        <v>45967</v>
      </c>
      <c r="E366" s="900" t="s">
        <v>2962</v>
      </c>
      <c r="F366" t="s">
        <v>1182</v>
      </c>
      <c r="G366" t="s">
        <v>1183</v>
      </c>
      <c r="H366" t="s">
        <v>1170</v>
      </c>
      <c r="I366" t="s">
        <v>2512</v>
      </c>
      <c r="K366" t="s">
        <v>665</v>
      </c>
      <c r="L366" s="871"/>
      <c r="O366" s="256" t="str">
        <f ca="1">IF(OR(tblAvisos[[#This Row],[Estado trabajo]]="Cerrado",tblAvisos[[#This Row],[Fecha reporte]]=""),"",TODAY()-tblAvisos[[#This Row],[Fecha reporte]])</f>
        <v/>
      </c>
      <c r="P366" t="str">
        <f ca="1">IF(tblAvisos[[#This Row],[Fecha reporte]]="","Sin fecha",IF(tblAvisos[[#This Row],[Fecha reporte]]&lt;DATE(2020,1,1),"Fecha inválida",IF(tblAvisos[[#This Row],[Fecha reporte]]&gt;TODAY(),"Fecha futura",IF(tblAvisos[[#This Row],[Aviso SAP]]="","Sin aviso SAP",IF(tblAvisos[[#This Row],[Criticidad]]="","Sin criticidad","OK")))))</f>
        <v>OK</v>
      </c>
      <c r="Q366" s="901" t="s">
        <v>2963</v>
      </c>
    </row>
    <row r="367" spans="2:17">
      <c r="B367" s="853" cm="1">
        <f t="array" ref="B367">ROW()-ROW(tblAvisos[#Headers])</f>
        <v>363</v>
      </c>
      <c r="C367" t="s">
        <v>2503</v>
      </c>
      <c r="D367" s="871">
        <v>45985</v>
      </c>
      <c r="E367" s="900" t="s">
        <v>2536</v>
      </c>
      <c r="F367" t="s">
        <v>1184</v>
      </c>
      <c r="G367" t="s">
        <v>2964</v>
      </c>
      <c r="H367" t="s">
        <v>1170</v>
      </c>
      <c r="I367" t="s">
        <v>2512</v>
      </c>
      <c r="K367" t="s">
        <v>668</v>
      </c>
      <c r="L367" s="871"/>
      <c r="O367" s="256" t="str">
        <f ca="1">IF(OR(tblAvisos[[#This Row],[Estado trabajo]]="Cerrado",tblAvisos[[#This Row],[Fecha reporte]]=""),"",TODAY()-tblAvisos[[#This Row],[Fecha reporte]])</f>
        <v/>
      </c>
      <c r="P367" t="str">
        <f ca="1">IF(tblAvisos[[#This Row],[Fecha reporte]]="","Sin fecha",IF(tblAvisos[[#This Row],[Fecha reporte]]&lt;DATE(2020,1,1),"Fecha inválida",IF(tblAvisos[[#This Row],[Fecha reporte]]&gt;TODAY(),"Fecha futura",IF(tblAvisos[[#This Row],[Aviso SAP]]="","Sin aviso SAP",IF(tblAvisos[[#This Row],[Criticidad]]="","Sin criticidad","OK")))))</f>
        <v>Sin aviso SAP</v>
      </c>
      <c r="Q367" s="901" t="s">
        <v>2965</v>
      </c>
    </row>
    <row r="368" spans="2:17">
      <c r="B368" s="853" cm="1">
        <f t="array" ref="B368">ROW()-ROW(tblAvisos[#Headers])</f>
        <v>364</v>
      </c>
      <c r="C368" t="s">
        <v>2503</v>
      </c>
      <c r="D368" s="871">
        <v>46009</v>
      </c>
      <c r="E368" s="900" t="s">
        <v>2536</v>
      </c>
      <c r="F368" t="s">
        <v>1186</v>
      </c>
      <c r="G368" t="s">
        <v>1187</v>
      </c>
      <c r="H368" t="s">
        <v>1161</v>
      </c>
      <c r="I368" t="s">
        <v>2512</v>
      </c>
      <c r="K368" t="s">
        <v>668</v>
      </c>
      <c r="L368" s="871"/>
      <c r="O368" s="256" t="str">
        <f ca="1">IF(OR(tblAvisos[[#This Row],[Estado trabajo]]="Cerrado",tblAvisos[[#This Row],[Fecha reporte]]=""),"",TODAY()-tblAvisos[[#This Row],[Fecha reporte]])</f>
        <v/>
      </c>
      <c r="P368" t="str">
        <f ca="1">IF(tblAvisos[[#This Row],[Fecha reporte]]="","Sin fecha",IF(tblAvisos[[#This Row],[Fecha reporte]]&lt;DATE(2020,1,1),"Fecha inválida",IF(tblAvisos[[#This Row],[Fecha reporte]]&gt;TODAY(),"Fecha futura",IF(tblAvisos[[#This Row],[Aviso SAP]]="","Sin aviso SAP",IF(tblAvisos[[#This Row],[Criticidad]]="","Sin criticidad","OK")))))</f>
        <v>Sin aviso SAP</v>
      </c>
      <c r="Q368" s="901" t="s">
        <v>2966</v>
      </c>
    </row>
    <row r="369" spans="2:17">
      <c r="B369" s="853" cm="1">
        <f t="array" ref="B369">ROW()-ROW(tblAvisos[#Headers])</f>
        <v>365</v>
      </c>
      <c r="C369" t="s">
        <v>2503</v>
      </c>
      <c r="D369" s="871">
        <v>46009</v>
      </c>
      <c r="E369" s="900" t="s">
        <v>2536</v>
      </c>
      <c r="F369" t="s">
        <v>1159</v>
      </c>
      <c r="G369" t="s">
        <v>1188</v>
      </c>
      <c r="H369" t="s">
        <v>1170</v>
      </c>
      <c r="I369" t="s">
        <v>2512</v>
      </c>
      <c r="K369" t="s">
        <v>668</v>
      </c>
      <c r="L369" s="871"/>
      <c r="O369" s="256" t="str">
        <f ca="1">IF(OR(tblAvisos[[#This Row],[Estado trabajo]]="Cerrado",tblAvisos[[#This Row],[Fecha reporte]]=""),"",TODAY()-tblAvisos[[#This Row],[Fecha reporte]])</f>
        <v/>
      </c>
      <c r="P369" t="str">
        <f ca="1">IF(tblAvisos[[#This Row],[Fecha reporte]]="","Sin fecha",IF(tblAvisos[[#This Row],[Fecha reporte]]&lt;DATE(2020,1,1),"Fecha inválida",IF(tblAvisos[[#This Row],[Fecha reporte]]&gt;TODAY(),"Fecha futura",IF(tblAvisos[[#This Row],[Aviso SAP]]="","Sin aviso SAP",IF(tblAvisos[[#This Row],[Criticidad]]="","Sin criticidad","OK")))))</f>
        <v>Sin aviso SAP</v>
      </c>
      <c r="Q369" s="901" t="s">
        <v>2967</v>
      </c>
    </row>
    <row r="370" spans="2:17">
      <c r="B370" s="853" cm="1">
        <f t="array" ref="B370">ROW()-ROW(tblAvisos[#Headers])</f>
        <v>366</v>
      </c>
      <c r="C370" t="s">
        <v>2503</v>
      </c>
      <c r="D370" s="871">
        <v>46011</v>
      </c>
      <c r="E370" s="900" t="s">
        <v>2536</v>
      </c>
      <c r="F370" t="s">
        <v>1189</v>
      </c>
      <c r="G370" t="s">
        <v>1190</v>
      </c>
      <c r="H370" t="s">
        <v>1170</v>
      </c>
      <c r="I370" t="s">
        <v>2512</v>
      </c>
      <c r="K370" t="s">
        <v>665</v>
      </c>
      <c r="L370" s="871"/>
      <c r="O370" s="256" t="str">
        <f ca="1">IF(OR(tblAvisos[[#This Row],[Estado trabajo]]="Cerrado",tblAvisos[[#This Row],[Fecha reporte]]=""),"",TODAY()-tblAvisos[[#This Row],[Fecha reporte]])</f>
        <v/>
      </c>
      <c r="P370" t="str">
        <f ca="1">IF(tblAvisos[[#This Row],[Fecha reporte]]="","Sin fecha",IF(tblAvisos[[#This Row],[Fecha reporte]]&lt;DATE(2020,1,1),"Fecha inválida",IF(tblAvisos[[#This Row],[Fecha reporte]]&gt;TODAY(),"Fecha futura",IF(tblAvisos[[#This Row],[Aviso SAP]]="","Sin aviso SAP",IF(tblAvisos[[#This Row],[Criticidad]]="","Sin criticidad","OK")))))</f>
        <v>Sin aviso SAP</v>
      </c>
      <c r="Q370" s="901" t="s">
        <v>2968</v>
      </c>
    </row>
    <row r="371" spans="2:17">
      <c r="B371" s="853" cm="1">
        <f t="array" ref="B371">ROW()-ROW(tblAvisos[#Headers])</f>
        <v>367</v>
      </c>
      <c r="C371" t="s">
        <v>2503</v>
      </c>
      <c r="D371" s="871">
        <v>46082</v>
      </c>
      <c r="E371" s="900" t="s">
        <v>2536</v>
      </c>
      <c r="F371" t="s">
        <v>1191</v>
      </c>
      <c r="G371" t="s">
        <v>2969</v>
      </c>
      <c r="H371" t="s">
        <v>1158</v>
      </c>
      <c r="I371" t="s">
        <v>2512</v>
      </c>
      <c r="K371" t="s">
        <v>668</v>
      </c>
      <c r="L371" s="871"/>
      <c r="O371" s="256" t="str">
        <f ca="1">IF(OR(tblAvisos[[#This Row],[Estado trabajo]]="Cerrado",tblAvisos[[#This Row],[Fecha reporte]]=""),"",TODAY()-tblAvisos[[#This Row],[Fecha reporte]])</f>
        <v/>
      </c>
      <c r="P371" t="str">
        <f ca="1">IF(tblAvisos[[#This Row],[Fecha reporte]]="","Sin fecha",IF(tblAvisos[[#This Row],[Fecha reporte]]&lt;DATE(2020,1,1),"Fecha inválida",IF(tblAvisos[[#This Row],[Fecha reporte]]&gt;TODAY(),"Fecha futura",IF(tblAvisos[[#This Row],[Aviso SAP]]="","Sin aviso SAP",IF(tblAvisos[[#This Row],[Criticidad]]="","Sin criticidad","OK")))))</f>
        <v>Sin aviso SAP</v>
      </c>
      <c r="Q371" s="901" t="s">
        <v>2970</v>
      </c>
    </row>
    <row r="372" spans="2:17">
      <c r="B372" s="853" cm="1">
        <f t="array" ref="B372">ROW()-ROW(tblAvisos[#Headers])</f>
        <v>368</v>
      </c>
      <c r="C372" t="s">
        <v>2503</v>
      </c>
      <c r="D372" s="871">
        <v>46034</v>
      </c>
      <c r="E372" s="900" t="s">
        <v>2536</v>
      </c>
      <c r="F372" t="s">
        <v>1156</v>
      </c>
      <c r="G372" t="s">
        <v>1193</v>
      </c>
      <c r="H372" t="s">
        <v>1158</v>
      </c>
      <c r="I372" t="s">
        <v>2512</v>
      </c>
      <c r="K372" t="s">
        <v>668</v>
      </c>
      <c r="L372" s="871"/>
      <c r="O372" s="256" t="str">
        <f ca="1">IF(OR(tblAvisos[[#This Row],[Estado trabajo]]="Cerrado",tblAvisos[[#This Row],[Fecha reporte]]=""),"",TODAY()-tblAvisos[[#This Row],[Fecha reporte]])</f>
        <v/>
      </c>
      <c r="P372" t="str">
        <f ca="1">IF(tblAvisos[[#This Row],[Fecha reporte]]="","Sin fecha",IF(tblAvisos[[#This Row],[Fecha reporte]]&lt;DATE(2020,1,1),"Fecha inválida",IF(tblAvisos[[#This Row],[Fecha reporte]]&gt;TODAY(),"Fecha futura",IF(tblAvisos[[#This Row],[Aviso SAP]]="","Sin aviso SAP",IF(tblAvisos[[#This Row],[Criticidad]]="","Sin criticidad","OK")))))</f>
        <v>Sin aviso SAP</v>
      </c>
      <c r="Q372" s="901" t="s">
        <v>2971</v>
      </c>
    </row>
    <row r="373" spans="2:17">
      <c r="B373" s="853" cm="1">
        <f t="array" ref="B373">ROW()-ROW(tblAvisos[#Headers])</f>
        <v>369</v>
      </c>
      <c r="C373" t="s">
        <v>2503</v>
      </c>
      <c r="D373" s="871">
        <v>46055</v>
      </c>
      <c r="E373" s="900" t="s">
        <v>2536</v>
      </c>
      <c r="F373" t="s">
        <v>1194</v>
      </c>
      <c r="G373" t="s">
        <v>1195</v>
      </c>
      <c r="H373" t="s">
        <v>1158</v>
      </c>
      <c r="I373" t="s">
        <v>2512</v>
      </c>
      <c r="K373" t="s">
        <v>668</v>
      </c>
      <c r="L373" s="871"/>
      <c r="O373" s="256" t="str">
        <f ca="1">IF(OR(tblAvisos[[#This Row],[Estado trabajo]]="Cerrado",tblAvisos[[#This Row],[Fecha reporte]]=""),"",TODAY()-tblAvisos[[#This Row],[Fecha reporte]])</f>
        <v/>
      </c>
      <c r="P373" t="str">
        <f ca="1">IF(tblAvisos[[#This Row],[Fecha reporte]]="","Sin fecha",IF(tblAvisos[[#This Row],[Fecha reporte]]&lt;DATE(2020,1,1),"Fecha inválida",IF(tblAvisos[[#This Row],[Fecha reporte]]&gt;TODAY(),"Fecha futura",IF(tblAvisos[[#This Row],[Aviso SAP]]="","Sin aviso SAP",IF(tblAvisos[[#This Row],[Criticidad]]="","Sin criticidad","OK")))))</f>
        <v>Sin aviso SAP</v>
      </c>
      <c r="Q373" s="901" t="s">
        <v>2972</v>
      </c>
    </row>
    <row r="374" spans="2:17">
      <c r="B374" s="853" cm="1">
        <f t="array" ref="B374">ROW()-ROW(tblAvisos[#Headers])</f>
        <v>370</v>
      </c>
      <c r="C374" t="s">
        <v>2503</v>
      </c>
      <c r="D374" s="871">
        <v>46065</v>
      </c>
      <c r="E374" s="900" t="s">
        <v>2536</v>
      </c>
      <c r="F374" t="s">
        <v>1196</v>
      </c>
      <c r="G374" t="s">
        <v>1197</v>
      </c>
      <c r="H374" t="s">
        <v>1158</v>
      </c>
      <c r="I374" t="s">
        <v>2512</v>
      </c>
      <c r="K374" t="s">
        <v>668</v>
      </c>
      <c r="L374" s="871"/>
      <c r="O374" s="256" t="str">
        <f ca="1">IF(OR(tblAvisos[[#This Row],[Estado trabajo]]="Cerrado",tblAvisos[[#This Row],[Fecha reporte]]=""),"",TODAY()-tblAvisos[[#This Row],[Fecha reporte]])</f>
        <v/>
      </c>
      <c r="P374" t="str">
        <f ca="1">IF(tblAvisos[[#This Row],[Fecha reporte]]="","Sin fecha",IF(tblAvisos[[#This Row],[Fecha reporte]]&lt;DATE(2020,1,1),"Fecha inválida",IF(tblAvisos[[#This Row],[Fecha reporte]]&gt;TODAY(),"Fecha futura",IF(tblAvisos[[#This Row],[Aviso SAP]]="","Sin aviso SAP",IF(tblAvisos[[#This Row],[Criticidad]]="","Sin criticidad","OK")))))</f>
        <v>Sin aviso SAP</v>
      </c>
      <c r="Q374" s="901" t="s">
        <v>2973</v>
      </c>
    </row>
    <row r="375" spans="2:17">
      <c r="B375" s="853" cm="1">
        <f t="array" ref="B375">ROW()-ROW(tblAvisos[#Headers])</f>
        <v>371</v>
      </c>
      <c r="C375" t="s">
        <v>2503</v>
      </c>
      <c r="D375" s="871">
        <v>46097</v>
      </c>
      <c r="E375" s="900" t="s">
        <v>2536</v>
      </c>
      <c r="F375" t="s">
        <v>1194</v>
      </c>
      <c r="G375" t="s">
        <v>2974</v>
      </c>
      <c r="H375" t="s">
        <v>1170</v>
      </c>
      <c r="I375" t="s">
        <v>2512</v>
      </c>
      <c r="K375" t="s">
        <v>668</v>
      </c>
      <c r="L375" s="871"/>
      <c r="O375" s="256" t="str">
        <f ca="1">IF(OR(tblAvisos[[#This Row],[Estado trabajo]]="Cerrado",tblAvisos[[#This Row],[Fecha reporte]]=""),"",TODAY()-tblAvisos[[#This Row],[Fecha reporte]])</f>
        <v/>
      </c>
      <c r="P375" t="str">
        <f ca="1">IF(tblAvisos[[#This Row],[Fecha reporte]]="","Sin fecha",IF(tblAvisos[[#This Row],[Fecha reporte]]&lt;DATE(2020,1,1),"Fecha inválida",IF(tblAvisos[[#This Row],[Fecha reporte]]&gt;TODAY(),"Fecha futura",IF(tblAvisos[[#This Row],[Aviso SAP]]="","Sin aviso SAP",IF(tblAvisos[[#This Row],[Criticidad]]="","Sin criticidad","OK")))))</f>
        <v>Sin aviso SAP</v>
      </c>
      <c r="Q375" s="901" t="s">
        <v>2975</v>
      </c>
    </row>
    <row r="376" spans="2:17">
      <c r="B376" s="853" cm="1">
        <f t="array" ref="B376">ROW()-ROW(tblAvisos[#Headers])</f>
        <v>372</v>
      </c>
      <c r="C376" t="s">
        <v>2503</v>
      </c>
      <c r="D376" s="871">
        <v>46108</v>
      </c>
      <c r="E376" s="900" t="s">
        <v>2536</v>
      </c>
      <c r="F376" t="s">
        <v>1201</v>
      </c>
      <c r="G376" t="s">
        <v>1202</v>
      </c>
      <c r="H376" t="s">
        <v>1161</v>
      </c>
      <c r="I376" t="s">
        <v>1173</v>
      </c>
      <c r="K376" t="s">
        <v>668</v>
      </c>
      <c r="L376" s="871"/>
      <c r="O376" s="256">
        <f ca="1">IF(OR(tblAvisos[[#This Row],[Estado trabajo]]="Cerrado",tblAvisos[[#This Row],[Fecha reporte]]=""),"",TODAY()-tblAvisos[[#This Row],[Fecha reporte]])</f>
        <v>187</v>
      </c>
      <c r="P376" t="str">
        <f ca="1">IF(tblAvisos[[#This Row],[Fecha reporte]]="","Sin fecha",IF(tblAvisos[[#This Row],[Fecha reporte]]&lt;DATE(2020,1,1),"Fecha inválida",IF(tblAvisos[[#This Row],[Fecha reporte]]&gt;TODAY(),"Fecha futura",IF(tblAvisos[[#This Row],[Aviso SAP]]="","Sin aviso SAP",IF(tblAvisos[[#This Row],[Criticidad]]="","Sin criticidad","OK")))))</f>
        <v>Sin aviso SAP</v>
      </c>
      <c r="Q376" s="901" t="s">
        <v>2976</v>
      </c>
    </row>
    <row r="377" spans="2:17">
      <c r="B377" s="853" cm="1">
        <f t="array" ref="B377">ROW()-ROW(tblAvisos[#Headers])</f>
        <v>373</v>
      </c>
      <c r="C377" t="s">
        <v>2503</v>
      </c>
      <c r="D377" s="871">
        <v>46132</v>
      </c>
      <c r="E377" s="900" t="s">
        <v>2536</v>
      </c>
      <c r="F377" t="s">
        <v>1203</v>
      </c>
      <c r="G377" t="s">
        <v>1204</v>
      </c>
      <c r="H377" t="s">
        <v>1161</v>
      </c>
      <c r="I377" t="s">
        <v>2512</v>
      </c>
      <c r="K377" t="s">
        <v>668</v>
      </c>
      <c r="L377" s="871"/>
      <c r="O377" s="256" t="str">
        <f ca="1">IF(OR(tblAvisos[[#This Row],[Estado trabajo]]="Cerrado",tblAvisos[[#This Row],[Fecha reporte]]=""),"",TODAY()-tblAvisos[[#This Row],[Fecha reporte]])</f>
        <v/>
      </c>
      <c r="P377" t="str">
        <f ca="1">IF(tblAvisos[[#This Row],[Fecha reporte]]="","Sin fecha",IF(tblAvisos[[#This Row],[Fecha reporte]]&lt;DATE(2020,1,1),"Fecha inválida",IF(tblAvisos[[#This Row],[Fecha reporte]]&gt;TODAY(),"Fecha futura",IF(tblAvisos[[#This Row],[Aviso SAP]]="","Sin aviso SAP",IF(tblAvisos[[#This Row],[Criticidad]]="","Sin criticidad","OK")))))</f>
        <v>Sin aviso SAP</v>
      </c>
      <c r="Q377" s="901" t="s">
        <v>2977</v>
      </c>
    </row>
    <row r="378" spans="2:17">
      <c r="B378" s="853" cm="1">
        <f t="array" ref="B378">ROW()-ROW(tblAvisos[#Headers])</f>
        <v>374</v>
      </c>
      <c r="C378" t="s">
        <v>2503</v>
      </c>
      <c r="D378" s="871">
        <v>46156</v>
      </c>
      <c r="E378" s="900" t="s">
        <v>2536</v>
      </c>
      <c r="F378" t="s">
        <v>1205</v>
      </c>
      <c r="G378" t="s">
        <v>1206</v>
      </c>
      <c r="H378" t="s">
        <v>1158</v>
      </c>
      <c r="I378" t="s">
        <v>2512</v>
      </c>
      <c r="K378" t="s">
        <v>668</v>
      </c>
      <c r="L378" s="871"/>
      <c r="O378" s="256" t="str">
        <f ca="1">IF(OR(tblAvisos[[#This Row],[Estado trabajo]]="Cerrado",tblAvisos[[#This Row],[Fecha reporte]]=""),"",TODAY()-tblAvisos[[#This Row],[Fecha reporte]])</f>
        <v/>
      </c>
      <c r="P378" t="str">
        <f ca="1">IF(tblAvisos[[#This Row],[Fecha reporte]]="","Sin fecha",IF(tblAvisos[[#This Row],[Fecha reporte]]&lt;DATE(2020,1,1),"Fecha inválida",IF(tblAvisos[[#This Row],[Fecha reporte]]&gt;TODAY(),"Fecha futura",IF(tblAvisos[[#This Row],[Aviso SAP]]="","Sin aviso SAP",IF(tblAvisos[[#This Row],[Criticidad]]="","Sin criticidad","OK")))))</f>
        <v>Sin aviso SAP</v>
      </c>
      <c r="Q378" s="901" t="s">
        <v>2978</v>
      </c>
    </row>
    <row r="379" spans="2:17">
      <c r="B379" s="853" cm="1">
        <f t="array" ref="B379">ROW()-ROW(tblAvisos[#Headers])</f>
        <v>375</v>
      </c>
      <c r="C379" t="s">
        <v>2503</v>
      </c>
      <c r="D379" s="871">
        <v>46171</v>
      </c>
      <c r="E379" s="900" t="s">
        <v>2536</v>
      </c>
      <c r="F379" t="s">
        <v>1196</v>
      </c>
      <c r="G379" t="s">
        <v>1207</v>
      </c>
      <c r="H379" t="s">
        <v>1158</v>
      </c>
      <c r="I379" t="s">
        <v>2512</v>
      </c>
      <c r="K379" t="s">
        <v>668</v>
      </c>
      <c r="L379" s="871"/>
      <c r="O379" s="256" t="str">
        <f ca="1">IF(OR(tblAvisos[[#This Row],[Estado trabajo]]="Cerrado",tblAvisos[[#This Row],[Fecha reporte]]=""),"",TODAY()-tblAvisos[[#This Row],[Fecha reporte]])</f>
        <v/>
      </c>
      <c r="P379" t="str">
        <f ca="1">IF(tblAvisos[[#This Row],[Fecha reporte]]="","Sin fecha",IF(tblAvisos[[#This Row],[Fecha reporte]]&lt;DATE(2020,1,1),"Fecha inválida",IF(tblAvisos[[#This Row],[Fecha reporte]]&gt;TODAY(),"Fecha futura",IF(tblAvisos[[#This Row],[Aviso SAP]]="","Sin aviso SAP",IF(tblAvisos[[#This Row],[Criticidad]]="","Sin criticidad","OK")))))</f>
        <v>Sin aviso SAP</v>
      </c>
      <c r="Q379" s="901" t="s">
        <v>2979</v>
      </c>
    </row>
    <row r="380" spans="2:17">
      <c r="B380" s="853" cm="1">
        <f t="array" ref="B380">ROW()-ROW(tblAvisos[#Headers])</f>
        <v>376</v>
      </c>
      <c r="C380" t="s">
        <v>2503</v>
      </c>
      <c r="D380" s="871">
        <v>46182</v>
      </c>
      <c r="E380" s="900" t="s">
        <v>2536</v>
      </c>
      <c r="F380" t="s">
        <v>1208</v>
      </c>
      <c r="G380" t="s">
        <v>1209</v>
      </c>
      <c r="H380" t="s">
        <v>1161</v>
      </c>
      <c r="I380" t="s">
        <v>1173</v>
      </c>
      <c r="K380" t="s">
        <v>668</v>
      </c>
      <c r="L380" s="871"/>
      <c r="O380" s="256">
        <f ca="1">IF(OR(tblAvisos[[#This Row],[Estado trabajo]]="Cerrado",tblAvisos[[#This Row],[Fecha reporte]]=""),"",TODAY()-tblAvisos[[#This Row],[Fecha reporte]])</f>
        <v>113</v>
      </c>
      <c r="P380" t="str">
        <f ca="1">IF(tblAvisos[[#This Row],[Fecha reporte]]="","Sin fecha",IF(tblAvisos[[#This Row],[Fecha reporte]]&lt;DATE(2020,1,1),"Fecha inválida",IF(tblAvisos[[#This Row],[Fecha reporte]]&gt;TODAY(),"Fecha futura",IF(tblAvisos[[#This Row],[Aviso SAP]]="","Sin aviso SAP",IF(tblAvisos[[#This Row],[Criticidad]]="","Sin criticidad","OK")))))</f>
        <v>Sin aviso SAP</v>
      </c>
      <c r="Q380" s="901" t="s">
        <v>2980</v>
      </c>
    </row>
    <row r="381" spans="2:17">
      <c r="B381" s="853" cm="1">
        <f t="array" ref="B381">ROW()-ROW(tblAvisos[#Headers])</f>
        <v>377</v>
      </c>
      <c r="C381" t="s">
        <v>2504</v>
      </c>
      <c r="D381" s="871">
        <v>45931</v>
      </c>
      <c r="E381" s="900" t="s">
        <v>2981</v>
      </c>
      <c r="F381" t="s">
        <v>1210</v>
      </c>
      <c r="G381" t="s">
        <v>1211</v>
      </c>
      <c r="H381" t="s">
        <v>1158</v>
      </c>
      <c r="I381" t="s">
        <v>2512</v>
      </c>
      <c r="K381" t="s">
        <v>668</v>
      </c>
      <c r="L381" s="871"/>
      <c r="O381" s="256" t="str">
        <f ca="1">IF(OR(tblAvisos[[#This Row],[Estado trabajo]]="Cerrado",tblAvisos[[#This Row],[Fecha reporte]]=""),"",TODAY()-tblAvisos[[#This Row],[Fecha reporte]])</f>
        <v/>
      </c>
      <c r="P381" t="str">
        <f ca="1">IF(tblAvisos[[#This Row],[Fecha reporte]]="","Sin fecha",IF(tblAvisos[[#This Row],[Fecha reporte]]&lt;DATE(2020,1,1),"Fecha inválida",IF(tblAvisos[[#This Row],[Fecha reporte]]&gt;TODAY(),"Fecha futura",IF(tblAvisos[[#This Row],[Aviso SAP]]="","Sin aviso SAP",IF(tblAvisos[[#This Row],[Criticidad]]="","Sin criticidad","OK")))))</f>
        <v>OK</v>
      </c>
      <c r="Q381" s="901" t="s">
        <v>2982</v>
      </c>
    </row>
    <row r="382" spans="2:17">
      <c r="B382" s="853" cm="1">
        <f t="array" ref="B382">ROW()-ROW(tblAvisos[#Headers])</f>
        <v>378</v>
      </c>
      <c r="C382" t="s">
        <v>2504</v>
      </c>
      <c r="D382" s="871">
        <v>45974</v>
      </c>
      <c r="E382" s="900" t="s">
        <v>2983</v>
      </c>
      <c r="F382" t="s">
        <v>1213</v>
      </c>
      <c r="G382" t="s">
        <v>1214</v>
      </c>
      <c r="H382" t="s">
        <v>1158</v>
      </c>
      <c r="I382" t="s">
        <v>2512</v>
      </c>
      <c r="K382" t="s">
        <v>668</v>
      </c>
      <c r="L382" s="871"/>
      <c r="O382" s="256" t="str">
        <f ca="1">IF(OR(tblAvisos[[#This Row],[Estado trabajo]]="Cerrado",tblAvisos[[#This Row],[Fecha reporte]]=""),"",TODAY()-tblAvisos[[#This Row],[Fecha reporte]])</f>
        <v/>
      </c>
      <c r="P382" t="str">
        <f ca="1">IF(tblAvisos[[#This Row],[Fecha reporte]]="","Sin fecha",IF(tblAvisos[[#This Row],[Fecha reporte]]&lt;DATE(2020,1,1),"Fecha inválida",IF(tblAvisos[[#This Row],[Fecha reporte]]&gt;TODAY(),"Fecha futura",IF(tblAvisos[[#This Row],[Aviso SAP]]="","Sin aviso SAP",IF(tblAvisos[[#This Row],[Criticidad]]="","Sin criticidad","OK")))))</f>
        <v>OK</v>
      </c>
      <c r="Q382" s="901" t="s">
        <v>2984</v>
      </c>
    </row>
    <row r="383" spans="2:17">
      <c r="B383" s="853" cm="1">
        <f t="array" ref="B383">ROW()-ROW(tblAvisos[#Headers])</f>
        <v>379</v>
      </c>
      <c r="C383" t="s">
        <v>2504</v>
      </c>
      <c r="D383" s="871">
        <v>45931</v>
      </c>
      <c r="E383" s="900" t="s">
        <v>2985</v>
      </c>
      <c r="F383" t="s">
        <v>1215</v>
      </c>
      <c r="G383" t="s">
        <v>1216</v>
      </c>
      <c r="H383" t="s">
        <v>1158</v>
      </c>
      <c r="I383" t="s">
        <v>1173</v>
      </c>
      <c r="K383" t="s">
        <v>668</v>
      </c>
      <c r="L383" s="871"/>
      <c r="N383" t="s">
        <v>2616</v>
      </c>
      <c r="O383" s="256">
        <f ca="1">IF(OR(tblAvisos[[#This Row],[Estado trabajo]]="Cerrado",tblAvisos[[#This Row],[Fecha reporte]]=""),"",TODAY()-tblAvisos[[#This Row],[Fecha reporte]])</f>
        <v>364</v>
      </c>
      <c r="P383" t="str">
        <f ca="1">IF(tblAvisos[[#This Row],[Fecha reporte]]="","Sin fecha",IF(tblAvisos[[#This Row],[Fecha reporte]]&lt;DATE(2020,1,1),"Fecha inválida",IF(tblAvisos[[#This Row],[Fecha reporte]]&gt;TODAY(),"Fecha futura",IF(tblAvisos[[#This Row],[Aviso SAP]]="","Sin aviso SAP",IF(tblAvisos[[#This Row],[Criticidad]]="","Sin criticidad","OK")))))</f>
        <v>OK</v>
      </c>
      <c r="Q383" s="901" t="s">
        <v>2986</v>
      </c>
    </row>
    <row r="384" spans="2:17">
      <c r="B384" s="853" cm="1">
        <f t="array" ref="B384">ROW()-ROW(tblAvisos[#Headers])</f>
        <v>380</v>
      </c>
      <c r="C384" t="s">
        <v>2504</v>
      </c>
      <c r="D384" s="871">
        <v>45971</v>
      </c>
      <c r="E384" s="900" t="s">
        <v>2987</v>
      </c>
      <c r="F384" t="s">
        <v>1217</v>
      </c>
      <c r="G384" t="s">
        <v>1218</v>
      </c>
      <c r="H384" t="s">
        <v>1158</v>
      </c>
      <c r="I384" t="s">
        <v>1173</v>
      </c>
      <c r="K384" t="s">
        <v>668</v>
      </c>
      <c r="L384" s="871"/>
      <c r="N384" t="s">
        <v>2616</v>
      </c>
      <c r="O384" s="256">
        <f ca="1">IF(OR(tblAvisos[[#This Row],[Estado trabajo]]="Cerrado",tblAvisos[[#This Row],[Fecha reporte]]=""),"",TODAY()-tblAvisos[[#This Row],[Fecha reporte]])</f>
        <v>324</v>
      </c>
      <c r="P384" t="str">
        <f ca="1">IF(tblAvisos[[#This Row],[Fecha reporte]]="","Sin fecha",IF(tblAvisos[[#This Row],[Fecha reporte]]&lt;DATE(2020,1,1),"Fecha inválida",IF(tblAvisos[[#This Row],[Fecha reporte]]&gt;TODAY(),"Fecha futura",IF(tblAvisos[[#This Row],[Aviso SAP]]="","Sin aviso SAP",IF(tblAvisos[[#This Row],[Criticidad]]="","Sin criticidad","OK")))))</f>
        <v>OK</v>
      </c>
      <c r="Q384" s="901" t="s">
        <v>2988</v>
      </c>
    </row>
    <row r="385" spans="2:17">
      <c r="B385" s="853" cm="1">
        <f t="array" ref="B385">ROW()-ROW(tblAvisos[#Headers])</f>
        <v>381</v>
      </c>
      <c r="C385" t="s">
        <v>2504</v>
      </c>
      <c r="D385" s="871">
        <v>45934</v>
      </c>
      <c r="E385" s="900" t="s">
        <v>2989</v>
      </c>
      <c r="F385" t="s">
        <v>1219</v>
      </c>
      <c r="G385" t="s">
        <v>1220</v>
      </c>
      <c r="H385" t="s">
        <v>2508</v>
      </c>
      <c r="I385" t="s">
        <v>2512</v>
      </c>
      <c r="K385" t="s">
        <v>665</v>
      </c>
      <c r="L385" s="871"/>
      <c r="O385" s="256" t="str">
        <f ca="1">IF(OR(tblAvisos[[#This Row],[Estado trabajo]]="Cerrado",tblAvisos[[#This Row],[Fecha reporte]]=""),"",TODAY()-tblAvisos[[#This Row],[Fecha reporte]])</f>
        <v/>
      </c>
      <c r="P385" t="str">
        <f ca="1">IF(tblAvisos[[#This Row],[Fecha reporte]]="","Sin fecha",IF(tblAvisos[[#This Row],[Fecha reporte]]&lt;DATE(2020,1,1),"Fecha inválida",IF(tblAvisos[[#This Row],[Fecha reporte]]&gt;TODAY(),"Fecha futura",IF(tblAvisos[[#This Row],[Aviso SAP]]="","Sin aviso SAP",IF(tblAvisos[[#This Row],[Criticidad]]="","Sin criticidad","OK")))))</f>
        <v>OK</v>
      </c>
      <c r="Q385" s="901" t="s">
        <v>2990</v>
      </c>
    </row>
    <row r="386" spans="2:17">
      <c r="B386" s="853" cm="1">
        <f t="array" ref="B386">ROW()-ROW(tblAvisos[#Headers])</f>
        <v>382</v>
      </c>
      <c r="C386" t="s">
        <v>2504</v>
      </c>
      <c r="D386" s="871">
        <v>45931</v>
      </c>
      <c r="E386" s="900" t="s">
        <v>2991</v>
      </c>
      <c r="F386" t="s">
        <v>1222</v>
      </c>
      <c r="G386" t="s">
        <v>1223</v>
      </c>
      <c r="H386" t="s">
        <v>1158</v>
      </c>
      <c r="I386" t="s">
        <v>1173</v>
      </c>
      <c r="K386" t="s">
        <v>668</v>
      </c>
      <c r="L386" s="871"/>
      <c r="N386" t="s">
        <v>2616</v>
      </c>
      <c r="O386" s="256">
        <f ca="1">IF(OR(tblAvisos[[#This Row],[Estado trabajo]]="Cerrado",tblAvisos[[#This Row],[Fecha reporte]]=""),"",TODAY()-tblAvisos[[#This Row],[Fecha reporte]])</f>
        <v>364</v>
      </c>
      <c r="P386" t="str">
        <f ca="1">IF(tblAvisos[[#This Row],[Fecha reporte]]="","Sin fecha",IF(tblAvisos[[#This Row],[Fecha reporte]]&lt;DATE(2020,1,1),"Fecha inválida",IF(tblAvisos[[#This Row],[Fecha reporte]]&gt;TODAY(),"Fecha futura",IF(tblAvisos[[#This Row],[Aviso SAP]]="","Sin aviso SAP",IF(tblAvisos[[#This Row],[Criticidad]]="","Sin criticidad","OK")))))</f>
        <v>OK</v>
      </c>
      <c r="Q386" s="901" t="s">
        <v>2992</v>
      </c>
    </row>
    <row r="387" spans="2:17">
      <c r="B387" s="853" cm="1">
        <f t="array" ref="B387">ROW()-ROW(tblAvisos[#Headers])</f>
        <v>383</v>
      </c>
      <c r="C387" t="s">
        <v>2504</v>
      </c>
      <c r="D387" s="871">
        <v>45931</v>
      </c>
      <c r="E387" s="900" t="s">
        <v>2993</v>
      </c>
      <c r="F387" t="s">
        <v>1224</v>
      </c>
      <c r="G387" t="s">
        <v>1225</v>
      </c>
      <c r="H387" t="s">
        <v>1158</v>
      </c>
      <c r="I387" t="s">
        <v>1173</v>
      </c>
      <c r="K387" t="s">
        <v>668</v>
      </c>
      <c r="L387" s="871"/>
      <c r="N387" t="s">
        <v>2616</v>
      </c>
      <c r="O387" s="256">
        <f ca="1">IF(OR(tblAvisos[[#This Row],[Estado trabajo]]="Cerrado",tblAvisos[[#This Row],[Fecha reporte]]=""),"",TODAY()-tblAvisos[[#This Row],[Fecha reporte]])</f>
        <v>364</v>
      </c>
      <c r="P387" t="str">
        <f ca="1">IF(tblAvisos[[#This Row],[Fecha reporte]]="","Sin fecha",IF(tblAvisos[[#This Row],[Fecha reporte]]&lt;DATE(2020,1,1),"Fecha inválida",IF(tblAvisos[[#This Row],[Fecha reporte]]&gt;TODAY(),"Fecha futura",IF(tblAvisos[[#This Row],[Aviso SAP]]="","Sin aviso SAP",IF(tblAvisos[[#This Row],[Criticidad]]="","Sin criticidad","OK")))))</f>
        <v>OK</v>
      </c>
      <c r="Q387" s="901" t="s">
        <v>2994</v>
      </c>
    </row>
    <row r="388" spans="2:17">
      <c r="B388" s="853" cm="1">
        <f t="array" ref="B388">ROW()-ROW(tblAvisos[#Headers])</f>
        <v>384</v>
      </c>
      <c r="C388" t="s">
        <v>2504</v>
      </c>
      <c r="D388" s="871">
        <v>45973</v>
      </c>
      <c r="E388" s="900" t="s">
        <v>2995</v>
      </c>
      <c r="F388" t="s">
        <v>1226</v>
      </c>
      <c r="G388" t="s">
        <v>1227</v>
      </c>
      <c r="H388" t="s">
        <v>1158</v>
      </c>
      <c r="I388" t="s">
        <v>1173</v>
      </c>
      <c r="K388" t="s">
        <v>665</v>
      </c>
      <c r="L388" s="871"/>
      <c r="N388" t="s">
        <v>2616</v>
      </c>
      <c r="O388" s="256">
        <f ca="1">IF(OR(tblAvisos[[#This Row],[Estado trabajo]]="Cerrado",tblAvisos[[#This Row],[Fecha reporte]]=""),"",TODAY()-tblAvisos[[#This Row],[Fecha reporte]])</f>
        <v>322</v>
      </c>
      <c r="P388" t="str">
        <f ca="1">IF(tblAvisos[[#This Row],[Fecha reporte]]="","Sin fecha",IF(tblAvisos[[#This Row],[Fecha reporte]]&lt;DATE(2020,1,1),"Fecha inválida",IF(tblAvisos[[#This Row],[Fecha reporte]]&gt;TODAY(),"Fecha futura",IF(tblAvisos[[#This Row],[Aviso SAP]]="","Sin aviso SAP",IF(tblAvisos[[#This Row],[Criticidad]]="","Sin criticidad","OK")))))</f>
        <v>OK</v>
      </c>
      <c r="Q388" s="901" t="s">
        <v>2996</v>
      </c>
    </row>
    <row r="389" spans="2:17">
      <c r="B389" s="853" cm="1">
        <f t="array" ref="B389">ROW()-ROW(tblAvisos[#Headers])</f>
        <v>385</v>
      </c>
      <c r="C389" t="s">
        <v>2504</v>
      </c>
      <c r="D389" s="871">
        <v>45975</v>
      </c>
      <c r="E389" s="900" t="s">
        <v>2997</v>
      </c>
      <c r="F389" t="s">
        <v>1228</v>
      </c>
      <c r="G389" t="s">
        <v>1229</v>
      </c>
      <c r="H389" t="s">
        <v>1158</v>
      </c>
      <c r="I389" t="s">
        <v>2512</v>
      </c>
      <c r="K389" t="s">
        <v>672</v>
      </c>
      <c r="L389" s="871"/>
      <c r="O389" s="256" t="str">
        <f ca="1">IF(OR(tblAvisos[[#This Row],[Estado trabajo]]="Cerrado",tblAvisos[[#This Row],[Fecha reporte]]=""),"",TODAY()-tblAvisos[[#This Row],[Fecha reporte]])</f>
        <v/>
      </c>
      <c r="P389" t="str">
        <f ca="1">IF(tblAvisos[[#This Row],[Fecha reporte]]="","Sin fecha",IF(tblAvisos[[#This Row],[Fecha reporte]]&lt;DATE(2020,1,1),"Fecha inválida",IF(tblAvisos[[#This Row],[Fecha reporte]]&gt;TODAY(),"Fecha futura",IF(tblAvisos[[#This Row],[Aviso SAP]]="","Sin aviso SAP",IF(tblAvisos[[#This Row],[Criticidad]]="","Sin criticidad","OK")))))</f>
        <v>OK</v>
      </c>
      <c r="Q389" s="901" t="s">
        <v>2998</v>
      </c>
    </row>
    <row r="390" spans="2:17">
      <c r="B390" s="853" cm="1">
        <f t="array" ref="B390">ROW()-ROW(tblAvisos[#Headers])</f>
        <v>386</v>
      </c>
      <c r="C390" t="s">
        <v>2504</v>
      </c>
      <c r="D390" s="871">
        <v>45976</v>
      </c>
      <c r="E390" s="900" t="s">
        <v>2999</v>
      </c>
      <c r="F390" t="s">
        <v>1230</v>
      </c>
      <c r="G390" t="s">
        <v>1223</v>
      </c>
      <c r="H390" t="s">
        <v>1158</v>
      </c>
      <c r="I390" t="s">
        <v>1173</v>
      </c>
      <c r="K390" t="s">
        <v>668</v>
      </c>
      <c r="L390" s="871"/>
      <c r="N390" t="s">
        <v>2616</v>
      </c>
      <c r="O390" s="256">
        <f ca="1">IF(OR(tblAvisos[[#This Row],[Estado trabajo]]="Cerrado",tblAvisos[[#This Row],[Fecha reporte]]=""),"",TODAY()-tblAvisos[[#This Row],[Fecha reporte]])</f>
        <v>319</v>
      </c>
      <c r="P390" t="str">
        <f ca="1">IF(tblAvisos[[#This Row],[Fecha reporte]]="","Sin fecha",IF(tblAvisos[[#This Row],[Fecha reporte]]&lt;DATE(2020,1,1),"Fecha inválida",IF(tblAvisos[[#This Row],[Fecha reporte]]&gt;TODAY(),"Fecha futura",IF(tblAvisos[[#This Row],[Aviso SAP]]="","Sin aviso SAP",IF(tblAvisos[[#This Row],[Criticidad]]="","Sin criticidad","OK")))))</f>
        <v>OK</v>
      </c>
      <c r="Q390" s="901" t="s">
        <v>3000</v>
      </c>
    </row>
    <row r="391" spans="2:17">
      <c r="B391" s="853" cm="1">
        <f t="array" ref="B391">ROW()-ROW(tblAvisos[#Headers])</f>
        <v>387</v>
      </c>
      <c r="C391" t="s">
        <v>2504</v>
      </c>
      <c r="D391" s="871">
        <v>45931</v>
      </c>
      <c r="E391" s="900" t="s">
        <v>3001</v>
      </c>
      <c r="F391" t="s">
        <v>1231</v>
      </c>
      <c r="G391" t="s">
        <v>1223</v>
      </c>
      <c r="H391" t="s">
        <v>1158</v>
      </c>
      <c r="I391" t="s">
        <v>1173</v>
      </c>
      <c r="K391" t="s">
        <v>668</v>
      </c>
      <c r="L391" s="871"/>
      <c r="N391" t="s">
        <v>2616</v>
      </c>
      <c r="O391" s="256">
        <f ca="1">IF(OR(tblAvisos[[#This Row],[Estado trabajo]]="Cerrado",tblAvisos[[#This Row],[Fecha reporte]]=""),"",TODAY()-tblAvisos[[#This Row],[Fecha reporte]])</f>
        <v>364</v>
      </c>
      <c r="P391" t="str">
        <f ca="1">IF(tblAvisos[[#This Row],[Fecha reporte]]="","Sin fecha",IF(tblAvisos[[#This Row],[Fecha reporte]]&lt;DATE(2020,1,1),"Fecha inválida",IF(tblAvisos[[#This Row],[Fecha reporte]]&gt;TODAY(),"Fecha futura",IF(tblAvisos[[#This Row],[Aviso SAP]]="","Sin aviso SAP",IF(tblAvisos[[#This Row],[Criticidad]]="","Sin criticidad","OK")))))</f>
        <v>OK</v>
      </c>
      <c r="Q391" s="901" t="s">
        <v>3002</v>
      </c>
    </row>
    <row r="392" spans="2:17">
      <c r="B392" s="853" cm="1">
        <f t="array" ref="B392">ROW()-ROW(tblAvisos[#Headers])</f>
        <v>388</v>
      </c>
      <c r="C392" t="s">
        <v>2504</v>
      </c>
      <c r="D392" s="871">
        <v>45978</v>
      </c>
      <c r="E392" s="900" t="s">
        <v>3003</v>
      </c>
      <c r="F392" t="s">
        <v>1232</v>
      </c>
      <c r="G392" t="s">
        <v>1233</v>
      </c>
      <c r="H392" t="s">
        <v>2506</v>
      </c>
      <c r="I392" t="s">
        <v>2512</v>
      </c>
      <c r="K392" t="s">
        <v>665</v>
      </c>
      <c r="L392" s="871"/>
      <c r="O392" s="256" t="str">
        <f ca="1">IF(OR(tblAvisos[[#This Row],[Estado trabajo]]="Cerrado",tblAvisos[[#This Row],[Fecha reporte]]=""),"",TODAY()-tblAvisos[[#This Row],[Fecha reporte]])</f>
        <v/>
      </c>
      <c r="P392" t="str">
        <f ca="1">IF(tblAvisos[[#This Row],[Fecha reporte]]="","Sin fecha",IF(tblAvisos[[#This Row],[Fecha reporte]]&lt;DATE(2020,1,1),"Fecha inválida",IF(tblAvisos[[#This Row],[Fecha reporte]]&gt;TODAY(),"Fecha futura",IF(tblAvisos[[#This Row],[Aviso SAP]]="","Sin aviso SAP",IF(tblAvisos[[#This Row],[Criticidad]]="","Sin criticidad","OK")))))</f>
        <v>OK</v>
      </c>
      <c r="Q392" s="901" t="s">
        <v>3004</v>
      </c>
    </row>
    <row r="393" spans="2:17">
      <c r="B393" s="853" cm="1">
        <f t="array" ref="B393">ROW()-ROW(tblAvisos[#Headers])</f>
        <v>389</v>
      </c>
      <c r="C393" t="s">
        <v>2504</v>
      </c>
      <c r="D393" s="871">
        <v>45977</v>
      </c>
      <c r="E393" s="900" t="s">
        <v>3005</v>
      </c>
      <c r="F393" t="s">
        <v>1235</v>
      </c>
      <c r="G393" t="s">
        <v>1236</v>
      </c>
      <c r="H393" t="s">
        <v>1158</v>
      </c>
      <c r="I393" t="s">
        <v>2512</v>
      </c>
      <c r="K393" t="s">
        <v>668</v>
      </c>
      <c r="L393" s="871"/>
      <c r="O393" s="256" t="str">
        <f ca="1">IF(OR(tblAvisos[[#This Row],[Estado trabajo]]="Cerrado",tblAvisos[[#This Row],[Fecha reporte]]=""),"",TODAY()-tblAvisos[[#This Row],[Fecha reporte]])</f>
        <v/>
      </c>
      <c r="P393" t="str">
        <f ca="1">IF(tblAvisos[[#This Row],[Fecha reporte]]="","Sin fecha",IF(tblAvisos[[#This Row],[Fecha reporte]]&lt;DATE(2020,1,1),"Fecha inválida",IF(tblAvisos[[#This Row],[Fecha reporte]]&gt;TODAY(),"Fecha futura",IF(tblAvisos[[#This Row],[Aviso SAP]]="","Sin aviso SAP",IF(tblAvisos[[#This Row],[Criticidad]]="","Sin criticidad","OK")))))</f>
        <v>OK</v>
      </c>
      <c r="Q393" s="901" t="s">
        <v>3006</v>
      </c>
    </row>
    <row r="394" spans="2:17">
      <c r="B394" s="853" cm="1">
        <f t="array" ref="B394">ROW()-ROW(tblAvisos[#Headers])</f>
        <v>390</v>
      </c>
      <c r="C394" t="s">
        <v>2504</v>
      </c>
      <c r="D394" s="871">
        <v>45968</v>
      </c>
      <c r="E394" s="900" t="s">
        <v>3007</v>
      </c>
      <c r="F394" t="s">
        <v>1237</v>
      </c>
      <c r="G394" t="s">
        <v>1238</v>
      </c>
      <c r="H394" t="s">
        <v>2508</v>
      </c>
      <c r="I394" t="s">
        <v>2512</v>
      </c>
      <c r="K394" t="s">
        <v>668</v>
      </c>
      <c r="L394" s="871"/>
      <c r="O394" s="256" t="str">
        <f ca="1">IF(OR(tblAvisos[[#This Row],[Estado trabajo]]="Cerrado",tblAvisos[[#This Row],[Fecha reporte]]=""),"",TODAY()-tblAvisos[[#This Row],[Fecha reporte]])</f>
        <v/>
      </c>
      <c r="P394" t="str">
        <f ca="1">IF(tblAvisos[[#This Row],[Fecha reporte]]="","Sin fecha",IF(tblAvisos[[#This Row],[Fecha reporte]]&lt;DATE(2020,1,1),"Fecha inválida",IF(tblAvisos[[#This Row],[Fecha reporte]]&gt;TODAY(),"Fecha futura",IF(tblAvisos[[#This Row],[Aviso SAP]]="","Sin aviso SAP",IF(tblAvisos[[#This Row],[Criticidad]]="","Sin criticidad","OK")))))</f>
        <v>OK</v>
      </c>
      <c r="Q394" s="901" t="s">
        <v>3008</v>
      </c>
    </row>
    <row r="395" spans="2:17">
      <c r="B395" s="853" cm="1">
        <f t="array" ref="B395">ROW()-ROW(tblAvisos[#Headers])</f>
        <v>391</v>
      </c>
      <c r="C395" t="s">
        <v>2504</v>
      </c>
      <c r="D395" s="871">
        <v>45924</v>
      </c>
      <c r="E395" s="900" t="s">
        <v>3009</v>
      </c>
      <c r="F395" t="s">
        <v>1237</v>
      </c>
      <c r="G395" t="s">
        <v>1239</v>
      </c>
      <c r="H395" t="s">
        <v>2508</v>
      </c>
      <c r="I395" t="s">
        <v>2512</v>
      </c>
      <c r="K395" t="s">
        <v>668</v>
      </c>
      <c r="L395" s="871"/>
      <c r="O395" s="256" t="str">
        <f ca="1">IF(OR(tblAvisos[[#This Row],[Estado trabajo]]="Cerrado",tblAvisos[[#This Row],[Fecha reporte]]=""),"",TODAY()-tblAvisos[[#This Row],[Fecha reporte]])</f>
        <v/>
      </c>
      <c r="P395" t="str">
        <f ca="1">IF(tblAvisos[[#This Row],[Fecha reporte]]="","Sin fecha",IF(tblAvisos[[#This Row],[Fecha reporte]]&lt;DATE(2020,1,1),"Fecha inválida",IF(tblAvisos[[#This Row],[Fecha reporte]]&gt;TODAY(),"Fecha futura",IF(tblAvisos[[#This Row],[Aviso SAP]]="","Sin aviso SAP",IF(tblAvisos[[#This Row],[Criticidad]]="","Sin criticidad","OK")))))</f>
        <v>OK</v>
      </c>
      <c r="Q395" s="901" t="s">
        <v>3010</v>
      </c>
    </row>
    <row r="396" spans="2:17">
      <c r="B396" s="853" cm="1">
        <f t="array" ref="B396">ROW()-ROW(tblAvisos[#Headers])</f>
        <v>392</v>
      </c>
      <c r="C396" t="s">
        <v>2504</v>
      </c>
      <c r="D396" s="871">
        <v>45871</v>
      </c>
      <c r="E396" s="900" t="s">
        <v>3011</v>
      </c>
      <c r="F396" t="s">
        <v>1240</v>
      </c>
      <c r="G396" t="s">
        <v>1241</v>
      </c>
      <c r="H396" t="s">
        <v>2508</v>
      </c>
      <c r="I396" t="s">
        <v>1173</v>
      </c>
      <c r="K396" t="s">
        <v>662</v>
      </c>
      <c r="L396" s="871"/>
      <c r="N396" t="s">
        <v>2616</v>
      </c>
      <c r="O396" s="256">
        <f ca="1">IF(OR(tblAvisos[[#This Row],[Estado trabajo]]="Cerrado",tblAvisos[[#This Row],[Fecha reporte]]=""),"",TODAY()-tblAvisos[[#This Row],[Fecha reporte]])</f>
        <v>424</v>
      </c>
      <c r="P396" t="str">
        <f ca="1">IF(tblAvisos[[#This Row],[Fecha reporte]]="","Sin fecha",IF(tblAvisos[[#This Row],[Fecha reporte]]&lt;DATE(2020,1,1),"Fecha inválida",IF(tblAvisos[[#This Row],[Fecha reporte]]&gt;TODAY(),"Fecha futura",IF(tblAvisos[[#This Row],[Aviso SAP]]="","Sin aviso SAP",IF(tblAvisos[[#This Row],[Criticidad]]="","Sin criticidad","OK")))))</f>
        <v>OK</v>
      </c>
      <c r="Q396" s="901" t="s">
        <v>3012</v>
      </c>
    </row>
    <row r="397" spans="2:17">
      <c r="B397" s="853" cm="1">
        <f t="array" ref="B397">ROW()-ROW(tblAvisos[#Headers])</f>
        <v>393</v>
      </c>
      <c r="C397" t="s">
        <v>2504</v>
      </c>
      <c r="D397" s="871">
        <v>45931</v>
      </c>
      <c r="E397" s="900" t="s">
        <v>3013</v>
      </c>
      <c r="F397" t="s">
        <v>1242</v>
      </c>
      <c r="G397" t="s">
        <v>1243</v>
      </c>
      <c r="H397" t="s">
        <v>1158</v>
      </c>
      <c r="I397" t="s">
        <v>1173</v>
      </c>
      <c r="K397" t="s">
        <v>668</v>
      </c>
      <c r="L397" s="871"/>
      <c r="N397" t="s">
        <v>2616</v>
      </c>
      <c r="O397" s="256">
        <f ca="1">IF(OR(tblAvisos[[#This Row],[Estado trabajo]]="Cerrado",tblAvisos[[#This Row],[Fecha reporte]]=""),"",TODAY()-tblAvisos[[#This Row],[Fecha reporte]])</f>
        <v>364</v>
      </c>
      <c r="P397" t="str">
        <f ca="1">IF(tblAvisos[[#This Row],[Fecha reporte]]="","Sin fecha",IF(tblAvisos[[#This Row],[Fecha reporte]]&lt;DATE(2020,1,1),"Fecha inválida",IF(tblAvisos[[#This Row],[Fecha reporte]]&gt;TODAY(),"Fecha futura",IF(tblAvisos[[#This Row],[Aviso SAP]]="","Sin aviso SAP",IF(tblAvisos[[#This Row],[Criticidad]]="","Sin criticidad","OK")))))</f>
        <v>OK</v>
      </c>
      <c r="Q397" s="901" t="s">
        <v>3014</v>
      </c>
    </row>
    <row r="398" spans="2:17">
      <c r="B398" s="853" cm="1">
        <f t="array" ref="B398">ROW()-ROW(tblAvisos[#Headers])</f>
        <v>394</v>
      </c>
      <c r="C398" t="s">
        <v>2504</v>
      </c>
      <c r="D398" s="871">
        <v>45979</v>
      </c>
      <c r="E398" s="900" t="s">
        <v>3015</v>
      </c>
      <c r="F398" t="s">
        <v>1244</v>
      </c>
      <c r="G398" t="s">
        <v>1245</v>
      </c>
      <c r="H398" t="s">
        <v>1158</v>
      </c>
      <c r="I398" t="s">
        <v>1173</v>
      </c>
      <c r="K398" t="s">
        <v>662</v>
      </c>
      <c r="L398" s="871"/>
      <c r="N398" t="s">
        <v>2616</v>
      </c>
      <c r="O398" s="256">
        <f ca="1">IF(OR(tblAvisos[[#This Row],[Estado trabajo]]="Cerrado",tblAvisos[[#This Row],[Fecha reporte]]=""),"",TODAY()-tblAvisos[[#This Row],[Fecha reporte]])</f>
        <v>316</v>
      </c>
      <c r="P398" t="str">
        <f ca="1">IF(tblAvisos[[#This Row],[Fecha reporte]]="","Sin fecha",IF(tblAvisos[[#This Row],[Fecha reporte]]&lt;DATE(2020,1,1),"Fecha inválida",IF(tblAvisos[[#This Row],[Fecha reporte]]&gt;TODAY(),"Fecha futura",IF(tblAvisos[[#This Row],[Aviso SAP]]="","Sin aviso SAP",IF(tblAvisos[[#This Row],[Criticidad]]="","Sin criticidad","OK")))))</f>
        <v>OK</v>
      </c>
      <c r="Q398" s="901" t="s">
        <v>3016</v>
      </c>
    </row>
    <row r="399" spans="2:17">
      <c r="B399" s="853" cm="1">
        <f t="array" ref="B399">ROW()-ROW(tblAvisos[#Headers])</f>
        <v>395</v>
      </c>
      <c r="C399" t="s">
        <v>2504</v>
      </c>
      <c r="D399" s="871">
        <v>45842</v>
      </c>
      <c r="E399" s="900" t="s">
        <v>3017</v>
      </c>
      <c r="F399" t="s">
        <v>1244</v>
      </c>
      <c r="G399" t="s">
        <v>1246</v>
      </c>
      <c r="H399" t="s">
        <v>1158</v>
      </c>
      <c r="I399" t="s">
        <v>2512</v>
      </c>
      <c r="K399" t="s">
        <v>672</v>
      </c>
      <c r="L399" s="871"/>
      <c r="O399" s="256" t="str">
        <f ca="1">IF(OR(tblAvisos[[#This Row],[Estado trabajo]]="Cerrado",tblAvisos[[#This Row],[Fecha reporte]]=""),"",TODAY()-tblAvisos[[#This Row],[Fecha reporte]])</f>
        <v/>
      </c>
      <c r="P399" t="str">
        <f ca="1">IF(tblAvisos[[#This Row],[Fecha reporte]]="","Sin fecha",IF(tblAvisos[[#This Row],[Fecha reporte]]&lt;DATE(2020,1,1),"Fecha inválida",IF(tblAvisos[[#This Row],[Fecha reporte]]&gt;TODAY(),"Fecha futura",IF(tblAvisos[[#This Row],[Aviso SAP]]="","Sin aviso SAP",IF(tblAvisos[[#This Row],[Criticidad]]="","Sin criticidad","OK")))))</f>
        <v>OK</v>
      </c>
      <c r="Q399" s="901" t="s">
        <v>3018</v>
      </c>
    </row>
    <row r="400" spans="2:17">
      <c r="B400" s="853" cm="1">
        <f t="array" ref="B400">ROW()-ROW(tblAvisos[#Headers])</f>
        <v>396</v>
      </c>
      <c r="C400" t="s">
        <v>2504</v>
      </c>
      <c r="D400" s="871">
        <v>45979</v>
      </c>
      <c r="E400" s="900" t="s">
        <v>3019</v>
      </c>
      <c r="F400" t="s">
        <v>1247</v>
      </c>
      <c r="G400" t="s">
        <v>1248</v>
      </c>
      <c r="H400" t="s">
        <v>1170</v>
      </c>
      <c r="I400" t="s">
        <v>2512</v>
      </c>
      <c r="K400" t="s">
        <v>665</v>
      </c>
      <c r="L400" s="871"/>
      <c r="O400" s="256" t="str">
        <f ca="1">IF(OR(tblAvisos[[#This Row],[Estado trabajo]]="Cerrado",tblAvisos[[#This Row],[Fecha reporte]]=""),"",TODAY()-tblAvisos[[#This Row],[Fecha reporte]])</f>
        <v/>
      </c>
      <c r="P400" t="str">
        <f ca="1">IF(tblAvisos[[#This Row],[Fecha reporte]]="","Sin fecha",IF(tblAvisos[[#This Row],[Fecha reporte]]&lt;DATE(2020,1,1),"Fecha inválida",IF(tblAvisos[[#This Row],[Fecha reporte]]&gt;TODAY(),"Fecha futura",IF(tblAvisos[[#This Row],[Aviso SAP]]="","Sin aviso SAP",IF(tblAvisos[[#This Row],[Criticidad]]="","Sin criticidad","OK")))))</f>
        <v>OK</v>
      </c>
      <c r="Q400" s="901" t="s">
        <v>3020</v>
      </c>
    </row>
    <row r="401" spans="2:17">
      <c r="B401" s="853" cm="1">
        <f t="array" ref="B401">ROW()-ROW(tblAvisos[#Headers])</f>
        <v>397</v>
      </c>
      <c r="C401" t="s">
        <v>2504</v>
      </c>
      <c r="D401" s="871">
        <v>45958</v>
      </c>
      <c r="E401" s="900" t="s">
        <v>3021</v>
      </c>
      <c r="F401" t="s">
        <v>1250</v>
      </c>
      <c r="G401" t="s">
        <v>1251</v>
      </c>
      <c r="H401" t="s">
        <v>1158</v>
      </c>
      <c r="I401" t="s">
        <v>2512</v>
      </c>
      <c r="K401" t="s">
        <v>672</v>
      </c>
      <c r="L401" s="871"/>
      <c r="O401" s="256" t="str">
        <f ca="1">IF(OR(tblAvisos[[#This Row],[Estado trabajo]]="Cerrado",tblAvisos[[#This Row],[Fecha reporte]]=""),"",TODAY()-tblAvisos[[#This Row],[Fecha reporte]])</f>
        <v/>
      </c>
      <c r="P401" t="str">
        <f ca="1">IF(tblAvisos[[#This Row],[Fecha reporte]]="","Sin fecha",IF(tblAvisos[[#This Row],[Fecha reporte]]&lt;DATE(2020,1,1),"Fecha inválida",IF(tblAvisos[[#This Row],[Fecha reporte]]&gt;TODAY(),"Fecha futura",IF(tblAvisos[[#This Row],[Aviso SAP]]="","Sin aviso SAP",IF(tblAvisos[[#This Row],[Criticidad]]="","Sin criticidad","OK")))))</f>
        <v>OK</v>
      </c>
      <c r="Q401" s="901" t="s">
        <v>3022</v>
      </c>
    </row>
    <row r="402" spans="2:17">
      <c r="B402" s="853" cm="1">
        <f t="array" ref="B402">ROW()-ROW(tblAvisos[#Headers])</f>
        <v>398</v>
      </c>
      <c r="C402" t="s">
        <v>2504</v>
      </c>
      <c r="D402" s="871">
        <v>45982</v>
      </c>
      <c r="E402" s="900" t="s">
        <v>3023</v>
      </c>
      <c r="F402" t="s">
        <v>1252</v>
      </c>
      <c r="G402" t="s">
        <v>1253</v>
      </c>
      <c r="H402" t="s">
        <v>1158</v>
      </c>
      <c r="I402" t="s">
        <v>2512</v>
      </c>
      <c r="K402" t="s">
        <v>665</v>
      </c>
      <c r="L402" s="871"/>
      <c r="O402" s="256" t="str">
        <f ca="1">IF(OR(tblAvisos[[#This Row],[Estado trabajo]]="Cerrado",tblAvisos[[#This Row],[Fecha reporte]]=""),"",TODAY()-tblAvisos[[#This Row],[Fecha reporte]])</f>
        <v/>
      </c>
      <c r="P402" t="str">
        <f ca="1">IF(tblAvisos[[#This Row],[Fecha reporte]]="","Sin fecha",IF(tblAvisos[[#This Row],[Fecha reporte]]&lt;DATE(2020,1,1),"Fecha inválida",IF(tblAvisos[[#This Row],[Fecha reporte]]&gt;TODAY(),"Fecha futura",IF(tblAvisos[[#This Row],[Aviso SAP]]="","Sin aviso SAP",IF(tblAvisos[[#This Row],[Criticidad]]="","Sin criticidad","OK")))))</f>
        <v>OK</v>
      </c>
      <c r="Q402" s="901" t="s">
        <v>3024</v>
      </c>
    </row>
    <row r="403" spans="2:17">
      <c r="B403" s="853" cm="1">
        <f t="array" ref="B403">ROW()-ROW(tblAvisos[#Headers])</f>
        <v>399</v>
      </c>
      <c r="C403" t="s">
        <v>2504</v>
      </c>
      <c r="D403" s="871">
        <v>45982</v>
      </c>
      <c r="E403" s="900" t="s">
        <v>3025</v>
      </c>
      <c r="F403" t="s">
        <v>1254</v>
      </c>
      <c r="G403" t="s">
        <v>1255</v>
      </c>
      <c r="H403" t="s">
        <v>1158</v>
      </c>
      <c r="I403" t="s">
        <v>2512</v>
      </c>
      <c r="K403" t="s">
        <v>668</v>
      </c>
      <c r="L403" s="871"/>
      <c r="O403" s="256" t="str">
        <f ca="1">IF(OR(tblAvisos[[#This Row],[Estado trabajo]]="Cerrado",tblAvisos[[#This Row],[Fecha reporte]]=""),"",TODAY()-tblAvisos[[#This Row],[Fecha reporte]])</f>
        <v/>
      </c>
      <c r="P403" t="str">
        <f ca="1">IF(tblAvisos[[#This Row],[Fecha reporte]]="","Sin fecha",IF(tblAvisos[[#This Row],[Fecha reporte]]&lt;DATE(2020,1,1),"Fecha inválida",IF(tblAvisos[[#This Row],[Fecha reporte]]&gt;TODAY(),"Fecha futura",IF(tblAvisos[[#This Row],[Aviso SAP]]="","Sin aviso SAP",IF(tblAvisos[[#This Row],[Criticidad]]="","Sin criticidad","OK")))))</f>
        <v>OK</v>
      </c>
      <c r="Q403" s="901" t="s">
        <v>3026</v>
      </c>
    </row>
    <row r="404" spans="2:17">
      <c r="B404" s="853" cm="1">
        <f t="array" ref="B404">ROW()-ROW(tblAvisos[#Headers])</f>
        <v>400</v>
      </c>
      <c r="C404" t="s">
        <v>2504</v>
      </c>
      <c r="D404" s="871">
        <v>45985</v>
      </c>
      <c r="E404" s="900" t="s">
        <v>3027</v>
      </c>
      <c r="F404" t="s">
        <v>1256</v>
      </c>
      <c r="G404" t="s">
        <v>1257</v>
      </c>
      <c r="H404" t="s">
        <v>1158</v>
      </c>
      <c r="I404" t="s">
        <v>2512</v>
      </c>
      <c r="K404" t="s">
        <v>665</v>
      </c>
      <c r="L404" s="871"/>
      <c r="O404" s="256" t="str">
        <f ca="1">IF(OR(tblAvisos[[#This Row],[Estado trabajo]]="Cerrado",tblAvisos[[#This Row],[Fecha reporte]]=""),"",TODAY()-tblAvisos[[#This Row],[Fecha reporte]])</f>
        <v/>
      </c>
      <c r="P404" t="str">
        <f ca="1">IF(tblAvisos[[#This Row],[Fecha reporte]]="","Sin fecha",IF(tblAvisos[[#This Row],[Fecha reporte]]&lt;DATE(2020,1,1),"Fecha inválida",IF(tblAvisos[[#This Row],[Fecha reporte]]&gt;TODAY(),"Fecha futura",IF(tblAvisos[[#This Row],[Aviso SAP]]="","Sin aviso SAP",IF(tblAvisos[[#This Row],[Criticidad]]="","Sin criticidad","OK")))))</f>
        <v>OK</v>
      </c>
      <c r="Q404" s="901" t="s">
        <v>3028</v>
      </c>
    </row>
    <row r="405" spans="2:17">
      <c r="B405" s="853" cm="1">
        <f t="array" ref="B405">ROW()-ROW(tblAvisos[#Headers])</f>
        <v>401</v>
      </c>
      <c r="C405" t="s">
        <v>2504</v>
      </c>
      <c r="D405" s="871">
        <v>45993</v>
      </c>
      <c r="E405" s="900" t="s">
        <v>3029</v>
      </c>
      <c r="F405" t="s">
        <v>1258</v>
      </c>
      <c r="G405" t="s">
        <v>1220</v>
      </c>
      <c r="H405" t="s">
        <v>2508</v>
      </c>
      <c r="I405" t="s">
        <v>2512</v>
      </c>
      <c r="K405" t="s">
        <v>668</v>
      </c>
      <c r="L405" s="871"/>
      <c r="O405" s="256" t="str">
        <f ca="1">IF(OR(tblAvisos[[#This Row],[Estado trabajo]]="Cerrado",tblAvisos[[#This Row],[Fecha reporte]]=""),"",TODAY()-tblAvisos[[#This Row],[Fecha reporte]])</f>
        <v/>
      </c>
      <c r="P405" t="str">
        <f ca="1">IF(tblAvisos[[#This Row],[Fecha reporte]]="","Sin fecha",IF(tblAvisos[[#This Row],[Fecha reporte]]&lt;DATE(2020,1,1),"Fecha inválida",IF(tblAvisos[[#This Row],[Fecha reporte]]&gt;TODAY(),"Fecha futura",IF(tblAvisos[[#This Row],[Aviso SAP]]="","Sin aviso SAP",IF(tblAvisos[[#This Row],[Criticidad]]="","Sin criticidad","OK")))))</f>
        <v>OK</v>
      </c>
      <c r="Q405" s="901" t="s">
        <v>3030</v>
      </c>
    </row>
    <row r="406" spans="2:17">
      <c r="B406" s="853" cm="1">
        <f t="array" ref="B406">ROW()-ROW(tblAvisos[#Headers])</f>
        <v>402</v>
      </c>
      <c r="C406" t="s">
        <v>2504</v>
      </c>
      <c r="D406" s="871">
        <v>45993</v>
      </c>
      <c r="E406" s="900" t="s">
        <v>3031</v>
      </c>
      <c r="F406" t="s">
        <v>1259</v>
      </c>
      <c r="G406" t="s">
        <v>1220</v>
      </c>
      <c r="H406" t="s">
        <v>2508</v>
      </c>
      <c r="I406" t="s">
        <v>2512</v>
      </c>
      <c r="K406" t="s">
        <v>668</v>
      </c>
      <c r="L406" s="871"/>
      <c r="O406" s="256" t="str">
        <f ca="1">IF(OR(tblAvisos[[#This Row],[Estado trabajo]]="Cerrado",tblAvisos[[#This Row],[Fecha reporte]]=""),"",TODAY()-tblAvisos[[#This Row],[Fecha reporte]])</f>
        <v/>
      </c>
      <c r="P406" t="str">
        <f ca="1">IF(tblAvisos[[#This Row],[Fecha reporte]]="","Sin fecha",IF(tblAvisos[[#This Row],[Fecha reporte]]&lt;DATE(2020,1,1),"Fecha inválida",IF(tblAvisos[[#This Row],[Fecha reporte]]&gt;TODAY(),"Fecha futura",IF(tblAvisos[[#This Row],[Aviso SAP]]="","Sin aviso SAP",IF(tblAvisos[[#This Row],[Criticidad]]="","Sin criticidad","OK")))))</f>
        <v>OK</v>
      </c>
      <c r="Q406" s="901" t="s">
        <v>3032</v>
      </c>
    </row>
    <row r="407" spans="2:17">
      <c r="B407" s="853" cm="1">
        <f t="array" ref="B407">ROW()-ROW(tblAvisos[#Headers])</f>
        <v>403</v>
      </c>
      <c r="C407" t="s">
        <v>2504</v>
      </c>
      <c r="D407" s="871">
        <v>45993</v>
      </c>
      <c r="E407" s="900" t="s">
        <v>3023</v>
      </c>
      <c r="F407" t="s">
        <v>1252</v>
      </c>
      <c r="G407" t="s">
        <v>1260</v>
      </c>
      <c r="H407" t="s">
        <v>1158</v>
      </c>
      <c r="I407" t="s">
        <v>2512</v>
      </c>
      <c r="K407" t="s">
        <v>668</v>
      </c>
      <c r="L407" s="871"/>
      <c r="O407" s="256" t="str">
        <f ca="1">IF(OR(tblAvisos[[#This Row],[Estado trabajo]]="Cerrado",tblAvisos[[#This Row],[Fecha reporte]]=""),"",TODAY()-tblAvisos[[#This Row],[Fecha reporte]])</f>
        <v/>
      </c>
      <c r="P407" t="str">
        <f ca="1">IF(tblAvisos[[#This Row],[Fecha reporte]]="","Sin fecha",IF(tblAvisos[[#This Row],[Fecha reporte]]&lt;DATE(2020,1,1),"Fecha inválida",IF(tblAvisos[[#This Row],[Fecha reporte]]&gt;TODAY(),"Fecha futura",IF(tblAvisos[[#This Row],[Aviso SAP]]="","Sin aviso SAP",IF(tblAvisos[[#This Row],[Criticidad]]="","Sin criticidad","OK")))))</f>
        <v>OK</v>
      </c>
      <c r="Q407" s="901" t="s">
        <v>3033</v>
      </c>
    </row>
    <row r="408" spans="2:17">
      <c r="B408" s="853" cm="1">
        <f t="array" ref="B408">ROW()-ROW(tblAvisos[#Headers])</f>
        <v>404</v>
      </c>
      <c r="C408" t="s">
        <v>2504</v>
      </c>
      <c r="D408" s="871">
        <v>45993</v>
      </c>
      <c r="E408" s="900" t="s">
        <v>3034</v>
      </c>
      <c r="F408" t="s">
        <v>1261</v>
      </c>
      <c r="G408" t="s">
        <v>1262</v>
      </c>
      <c r="H408" t="s">
        <v>1158</v>
      </c>
      <c r="I408" t="s">
        <v>2512</v>
      </c>
      <c r="K408" t="s">
        <v>668</v>
      </c>
      <c r="L408" s="871"/>
      <c r="O408" s="256" t="str">
        <f ca="1">IF(OR(tblAvisos[[#This Row],[Estado trabajo]]="Cerrado",tblAvisos[[#This Row],[Fecha reporte]]=""),"",TODAY()-tblAvisos[[#This Row],[Fecha reporte]])</f>
        <v/>
      </c>
      <c r="P408" t="str">
        <f ca="1">IF(tblAvisos[[#This Row],[Fecha reporte]]="","Sin fecha",IF(tblAvisos[[#This Row],[Fecha reporte]]&lt;DATE(2020,1,1),"Fecha inválida",IF(tblAvisos[[#This Row],[Fecha reporte]]&gt;TODAY(),"Fecha futura",IF(tblAvisos[[#This Row],[Aviso SAP]]="","Sin aviso SAP",IF(tblAvisos[[#This Row],[Criticidad]]="","Sin criticidad","OK")))))</f>
        <v>OK</v>
      </c>
      <c r="Q408" s="901" t="s">
        <v>3035</v>
      </c>
    </row>
    <row r="409" spans="2:17">
      <c r="B409" s="853" cm="1">
        <f t="array" ref="B409">ROW()-ROW(tblAvisos[#Headers])</f>
        <v>405</v>
      </c>
      <c r="C409" t="s">
        <v>2504</v>
      </c>
      <c r="D409" s="871">
        <v>46006</v>
      </c>
      <c r="E409" s="900" t="s">
        <v>3036</v>
      </c>
      <c r="F409" t="s">
        <v>1237</v>
      </c>
      <c r="G409" t="s">
        <v>1264</v>
      </c>
      <c r="H409" t="s">
        <v>2508</v>
      </c>
      <c r="I409" t="s">
        <v>2512</v>
      </c>
      <c r="K409" t="s">
        <v>668</v>
      </c>
      <c r="L409" s="871"/>
      <c r="O409" s="256" t="str">
        <f ca="1">IF(OR(tblAvisos[[#This Row],[Estado trabajo]]="Cerrado",tblAvisos[[#This Row],[Fecha reporte]]=""),"",TODAY()-tblAvisos[[#This Row],[Fecha reporte]])</f>
        <v/>
      </c>
      <c r="P409" t="str">
        <f ca="1">IF(tblAvisos[[#This Row],[Fecha reporte]]="","Sin fecha",IF(tblAvisos[[#This Row],[Fecha reporte]]&lt;DATE(2020,1,1),"Fecha inválida",IF(tblAvisos[[#This Row],[Fecha reporte]]&gt;TODAY(),"Fecha futura",IF(tblAvisos[[#This Row],[Aviso SAP]]="","Sin aviso SAP",IF(tblAvisos[[#This Row],[Criticidad]]="","Sin criticidad","OK")))))</f>
        <v>OK</v>
      </c>
      <c r="Q409" s="901" t="s">
        <v>3037</v>
      </c>
    </row>
    <row r="410" spans="2:17">
      <c r="B410" s="853" cm="1">
        <f t="array" ref="B410">ROW()-ROW(tblAvisos[#Headers])</f>
        <v>406</v>
      </c>
      <c r="C410" t="s">
        <v>2504</v>
      </c>
      <c r="D410" s="871">
        <v>46011</v>
      </c>
      <c r="E410" s="900" t="s">
        <v>3038</v>
      </c>
      <c r="F410" t="s">
        <v>1265</v>
      </c>
      <c r="G410" t="s">
        <v>1266</v>
      </c>
      <c r="H410" t="s">
        <v>1158</v>
      </c>
      <c r="I410" t="s">
        <v>2512</v>
      </c>
      <c r="K410" t="s">
        <v>668</v>
      </c>
      <c r="L410" s="871"/>
      <c r="O410" s="256" t="str">
        <f ca="1">IF(OR(tblAvisos[[#This Row],[Estado trabajo]]="Cerrado",tblAvisos[[#This Row],[Fecha reporte]]=""),"",TODAY()-tblAvisos[[#This Row],[Fecha reporte]])</f>
        <v/>
      </c>
      <c r="P410" t="str">
        <f ca="1">IF(tblAvisos[[#This Row],[Fecha reporte]]="","Sin fecha",IF(tblAvisos[[#This Row],[Fecha reporte]]&lt;DATE(2020,1,1),"Fecha inválida",IF(tblAvisos[[#This Row],[Fecha reporte]]&gt;TODAY(),"Fecha futura",IF(tblAvisos[[#This Row],[Aviso SAP]]="","Sin aviso SAP",IF(tblAvisos[[#This Row],[Criticidad]]="","Sin criticidad","OK")))))</f>
        <v>OK</v>
      </c>
      <c r="Q410" s="901" t="s">
        <v>3039</v>
      </c>
    </row>
    <row r="411" spans="2:17">
      <c r="B411" s="853" cm="1">
        <f t="array" ref="B411">ROW()-ROW(tblAvisos[#Headers])</f>
        <v>407</v>
      </c>
      <c r="C411" t="s">
        <v>2504</v>
      </c>
      <c r="D411" s="871">
        <v>46018</v>
      </c>
      <c r="E411" s="900" t="s">
        <v>3040</v>
      </c>
      <c r="F411" t="s">
        <v>1267</v>
      </c>
      <c r="G411" t="s">
        <v>1268</v>
      </c>
      <c r="H411" t="s">
        <v>1158</v>
      </c>
      <c r="I411" t="s">
        <v>2512</v>
      </c>
      <c r="K411" t="s">
        <v>668</v>
      </c>
      <c r="L411" s="871"/>
      <c r="O411" s="256" t="str">
        <f ca="1">IF(OR(tblAvisos[[#This Row],[Estado trabajo]]="Cerrado",tblAvisos[[#This Row],[Fecha reporte]]=""),"",TODAY()-tblAvisos[[#This Row],[Fecha reporte]])</f>
        <v/>
      </c>
      <c r="P411" t="str">
        <f ca="1">IF(tblAvisos[[#This Row],[Fecha reporte]]="","Sin fecha",IF(tblAvisos[[#This Row],[Fecha reporte]]&lt;DATE(2020,1,1),"Fecha inválida",IF(tblAvisos[[#This Row],[Fecha reporte]]&gt;TODAY(),"Fecha futura",IF(tblAvisos[[#This Row],[Aviso SAP]]="","Sin aviso SAP",IF(tblAvisos[[#This Row],[Criticidad]]="","Sin criticidad","OK")))))</f>
        <v>OK</v>
      </c>
      <c r="Q411" s="901" t="s">
        <v>3041</v>
      </c>
    </row>
    <row r="412" spans="2:17">
      <c r="B412" s="853" cm="1">
        <f t="array" ref="B412">ROW()-ROW(tblAvisos[#Headers])</f>
        <v>408</v>
      </c>
      <c r="C412" t="s">
        <v>2504</v>
      </c>
      <c r="D412" s="871">
        <v>46018</v>
      </c>
      <c r="E412" s="900" t="s">
        <v>3042</v>
      </c>
      <c r="F412" t="s">
        <v>1269</v>
      </c>
      <c r="G412" t="s">
        <v>1268</v>
      </c>
      <c r="H412" t="s">
        <v>1158</v>
      </c>
      <c r="I412" t="s">
        <v>2512</v>
      </c>
      <c r="K412" t="s">
        <v>668</v>
      </c>
      <c r="L412" s="871"/>
      <c r="O412" s="256" t="str">
        <f ca="1">IF(OR(tblAvisos[[#This Row],[Estado trabajo]]="Cerrado",tblAvisos[[#This Row],[Fecha reporte]]=""),"",TODAY()-tblAvisos[[#This Row],[Fecha reporte]])</f>
        <v/>
      </c>
      <c r="P412" t="str">
        <f ca="1">IF(tblAvisos[[#This Row],[Fecha reporte]]="","Sin fecha",IF(tblAvisos[[#This Row],[Fecha reporte]]&lt;DATE(2020,1,1),"Fecha inválida",IF(tblAvisos[[#This Row],[Fecha reporte]]&gt;TODAY(),"Fecha futura",IF(tblAvisos[[#This Row],[Aviso SAP]]="","Sin aviso SAP",IF(tblAvisos[[#This Row],[Criticidad]]="","Sin criticidad","OK")))))</f>
        <v>OK</v>
      </c>
      <c r="Q412" s="901" t="s">
        <v>3043</v>
      </c>
    </row>
    <row r="413" spans="2:17">
      <c r="B413" s="853" cm="1">
        <f t="array" ref="B413">ROW()-ROW(tblAvisos[#Headers])</f>
        <v>409</v>
      </c>
      <c r="C413" t="s">
        <v>2504</v>
      </c>
      <c r="D413" s="871">
        <v>45666</v>
      </c>
      <c r="E413" s="900" t="s">
        <v>3044</v>
      </c>
      <c r="F413" t="s">
        <v>1222</v>
      </c>
      <c r="G413" t="s">
        <v>1270</v>
      </c>
      <c r="H413" t="s">
        <v>1158</v>
      </c>
      <c r="I413" t="s">
        <v>1173</v>
      </c>
      <c r="K413" t="s">
        <v>668</v>
      </c>
      <c r="L413" s="871"/>
      <c r="N413" t="s">
        <v>2616</v>
      </c>
      <c r="O413" s="256">
        <f ca="1">IF(OR(tblAvisos[[#This Row],[Estado trabajo]]="Cerrado",tblAvisos[[#This Row],[Fecha reporte]]=""),"",TODAY()-tblAvisos[[#This Row],[Fecha reporte]])</f>
        <v>629</v>
      </c>
      <c r="P413" t="str">
        <f ca="1">IF(tblAvisos[[#This Row],[Fecha reporte]]="","Sin fecha",IF(tblAvisos[[#This Row],[Fecha reporte]]&lt;DATE(2020,1,1),"Fecha inválida",IF(tblAvisos[[#This Row],[Fecha reporte]]&gt;TODAY(),"Fecha futura",IF(tblAvisos[[#This Row],[Aviso SAP]]="","Sin aviso SAP",IF(tblAvisos[[#This Row],[Criticidad]]="","Sin criticidad","OK")))))</f>
        <v>OK</v>
      </c>
      <c r="Q413" s="901" t="s">
        <v>3045</v>
      </c>
    </row>
    <row r="414" spans="2:17">
      <c r="B414" s="853" cm="1">
        <f t="array" ref="B414">ROW()-ROW(tblAvisos[#Headers])</f>
        <v>410</v>
      </c>
      <c r="C414" t="s">
        <v>2504</v>
      </c>
      <c r="D414" s="871">
        <v>45666</v>
      </c>
      <c r="E414" s="900" t="s">
        <v>3046</v>
      </c>
      <c r="F414" t="s">
        <v>1244</v>
      </c>
      <c r="G414" t="s">
        <v>1271</v>
      </c>
      <c r="H414" t="s">
        <v>2508</v>
      </c>
      <c r="I414" t="s">
        <v>1173</v>
      </c>
      <c r="K414" t="s">
        <v>668</v>
      </c>
      <c r="L414" s="871"/>
      <c r="N414" t="s">
        <v>2616</v>
      </c>
      <c r="O414" s="256">
        <f ca="1">IF(OR(tblAvisos[[#This Row],[Estado trabajo]]="Cerrado",tblAvisos[[#This Row],[Fecha reporte]]=""),"",TODAY()-tblAvisos[[#This Row],[Fecha reporte]])</f>
        <v>629</v>
      </c>
      <c r="P414" t="str">
        <f ca="1">IF(tblAvisos[[#This Row],[Fecha reporte]]="","Sin fecha",IF(tblAvisos[[#This Row],[Fecha reporte]]&lt;DATE(2020,1,1),"Fecha inválida",IF(tblAvisos[[#This Row],[Fecha reporte]]&gt;TODAY(),"Fecha futura",IF(tblAvisos[[#This Row],[Aviso SAP]]="","Sin aviso SAP",IF(tblAvisos[[#This Row],[Criticidad]]="","Sin criticidad","OK")))))</f>
        <v>OK</v>
      </c>
      <c r="Q414" s="901" t="s">
        <v>3047</v>
      </c>
    </row>
    <row r="415" spans="2:17">
      <c r="B415" s="853" cm="1">
        <f t="array" ref="B415">ROW()-ROW(tblAvisos[#Headers])</f>
        <v>411</v>
      </c>
      <c r="C415" t="s">
        <v>2504</v>
      </c>
      <c r="D415" s="871">
        <v>46043</v>
      </c>
      <c r="E415" s="900" t="s">
        <v>3048</v>
      </c>
      <c r="F415" t="s">
        <v>1272</v>
      </c>
      <c r="G415" t="s">
        <v>1273</v>
      </c>
      <c r="H415" t="s">
        <v>2508</v>
      </c>
      <c r="I415" t="s">
        <v>2512</v>
      </c>
      <c r="K415" t="s">
        <v>668</v>
      </c>
      <c r="L415" s="871"/>
      <c r="O415" s="256" t="str">
        <f ca="1">IF(OR(tblAvisos[[#This Row],[Estado trabajo]]="Cerrado",tblAvisos[[#This Row],[Fecha reporte]]=""),"",TODAY()-tblAvisos[[#This Row],[Fecha reporte]])</f>
        <v/>
      </c>
      <c r="P415" t="str">
        <f ca="1">IF(tblAvisos[[#This Row],[Fecha reporte]]="","Sin fecha",IF(tblAvisos[[#This Row],[Fecha reporte]]&lt;DATE(2020,1,1),"Fecha inválida",IF(tblAvisos[[#This Row],[Fecha reporte]]&gt;TODAY(),"Fecha futura",IF(tblAvisos[[#This Row],[Aviso SAP]]="","Sin aviso SAP",IF(tblAvisos[[#This Row],[Criticidad]]="","Sin criticidad","OK")))))</f>
        <v>OK</v>
      </c>
      <c r="Q415" s="901" t="s">
        <v>3049</v>
      </c>
    </row>
    <row r="416" spans="2:17">
      <c r="B416" s="853" cm="1">
        <f t="array" ref="B416">ROW()-ROW(tblAvisos[#Headers])</f>
        <v>412</v>
      </c>
      <c r="C416" t="s">
        <v>41</v>
      </c>
      <c r="D416" s="871">
        <v>46357</v>
      </c>
      <c r="E416" s="900" t="s">
        <v>3050</v>
      </c>
      <c r="F416" t="s">
        <v>1274</v>
      </c>
      <c r="G416" t="s">
        <v>1275</v>
      </c>
      <c r="H416" t="s">
        <v>1158</v>
      </c>
      <c r="I416" t="s">
        <v>1173</v>
      </c>
      <c r="K416" t="s">
        <v>668</v>
      </c>
      <c r="L416" s="871"/>
      <c r="O416" s="256">
        <f ca="1">IF(OR(tblAvisos[[#This Row],[Estado trabajo]]="Cerrado",tblAvisos[[#This Row],[Fecha reporte]]=""),"",TODAY()-tblAvisos[[#This Row],[Fecha reporte]])</f>
        <v>-62</v>
      </c>
      <c r="P416" t="str">
        <f ca="1">IF(tblAvisos[[#This Row],[Fecha reporte]]="","Sin fecha",IF(tblAvisos[[#This Row],[Fecha reporte]]&lt;DATE(2020,1,1),"Fecha inválida",IF(tblAvisos[[#This Row],[Fecha reporte]]&gt;TODAY(),"Fecha futura",IF(tblAvisos[[#This Row],[Aviso SAP]]="","Sin aviso SAP",IF(tblAvisos[[#This Row],[Criticidad]]="","Sin criticidad","OK")))))</f>
        <v>Fecha futura</v>
      </c>
      <c r="Q416" s="901" t="s">
        <v>3051</v>
      </c>
    </row>
    <row r="417" spans="2:17">
      <c r="B417" s="853" cm="1">
        <f t="array" ref="B417">ROW()-ROW(tblAvisos[#Headers])</f>
        <v>413</v>
      </c>
      <c r="C417" t="s">
        <v>41</v>
      </c>
      <c r="D417" s="871">
        <v>46003</v>
      </c>
      <c r="E417" s="900" t="s">
        <v>3052</v>
      </c>
      <c r="F417" t="s">
        <v>1274</v>
      </c>
      <c r="G417" t="s">
        <v>1279</v>
      </c>
      <c r="H417" t="s">
        <v>1158</v>
      </c>
      <c r="I417" t="s">
        <v>1173</v>
      </c>
      <c r="K417" t="s">
        <v>665</v>
      </c>
      <c r="L417" s="871"/>
      <c r="O417" s="256">
        <f ca="1">IF(OR(tblAvisos[[#This Row],[Estado trabajo]]="Cerrado",tblAvisos[[#This Row],[Fecha reporte]]=""),"",TODAY()-tblAvisos[[#This Row],[Fecha reporte]])</f>
        <v>292</v>
      </c>
      <c r="P417" t="str">
        <f ca="1">IF(tblAvisos[[#This Row],[Fecha reporte]]="","Sin fecha",IF(tblAvisos[[#This Row],[Fecha reporte]]&lt;DATE(2020,1,1),"Fecha inválida",IF(tblAvisos[[#This Row],[Fecha reporte]]&gt;TODAY(),"Fecha futura",IF(tblAvisos[[#This Row],[Aviso SAP]]="","Sin aviso SAP",IF(tblAvisos[[#This Row],[Criticidad]]="","Sin criticidad","OK")))))</f>
        <v>OK</v>
      </c>
      <c r="Q417" s="901" t="s">
        <v>3053</v>
      </c>
    </row>
    <row r="418" spans="2:17">
      <c r="B418" s="853" cm="1">
        <f t="array" ref="B418">ROW()-ROW(tblAvisos[#Headers])</f>
        <v>414</v>
      </c>
      <c r="C418" t="s">
        <v>41</v>
      </c>
      <c r="D418" s="871">
        <v>46038</v>
      </c>
      <c r="E418" s="900" t="s">
        <v>3054</v>
      </c>
      <c r="F418" t="s">
        <v>1274</v>
      </c>
      <c r="G418" t="s">
        <v>1280</v>
      </c>
      <c r="H418" t="s">
        <v>1158</v>
      </c>
      <c r="I418" t="s">
        <v>1173</v>
      </c>
      <c r="K418" t="s">
        <v>672</v>
      </c>
      <c r="L418" s="871"/>
      <c r="O418" s="256">
        <f ca="1">IF(OR(tblAvisos[[#This Row],[Estado trabajo]]="Cerrado",tblAvisos[[#This Row],[Fecha reporte]]=""),"",TODAY()-tblAvisos[[#This Row],[Fecha reporte]])</f>
        <v>257</v>
      </c>
      <c r="P418" t="str">
        <f ca="1">IF(tblAvisos[[#This Row],[Fecha reporte]]="","Sin fecha",IF(tblAvisos[[#This Row],[Fecha reporte]]&lt;DATE(2020,1,1),"Fecha inválida",IF(tblAvisos[[#This Row],[Fecha reporte]]&gt;TODAY(),"Fecha futura",IF(tblAvisos[[#This Row],[Aviso SAP]]="","Sin aviso SAP",IF(tblAvisos[[#This Row],[Criticidad]]="","Sin criticidad","OK")))))</f>
        <v>OK</v>
      </c>
      <c r="Q418" s="901" t="s">
        <v>3055</v>
      </c>
    </row>
    <row r="419" spans="2:17">
      <c r="B419" s="853" cm="1">
        <f t="array" ref="B419">ROW()-ROW(tblAvisos[#Headers])</f>
        <v>415</v>
      </c>
      <c r="C419" t="s">
        <v>41</v>
      </c>
      <c r="D419" s="871">
        <v>46047</v>
      </c>
      <c r="E419" s="900" t="s">
        <v>3056</v>
      </c>
      <c r="F419" t="s">
        <v>1274</v>
      </c>
      <c r="G419" t="s">
        <v>1282</v>
      </c>
      <c r="H419" t="s">
        <v>1158</v>
      </c>
      <c r="I419" t="s">
        <v>1173</v>
      </c>
      <c r="K419" t="s">
        <v>665</v>
      </c>
      <c r="L419" s="871"/>
      <c r="O419" s="256">
        <f ca="1">IF(OR(tblAvisos[[#This Row],[Estado trabajo]]="Cerrado",tblAvisos[[#This Row],[Fecha reporte]]=""),"",TODAY()-tblAvisos[[#This Row],[Fecha reporte]])</f>
        <v>248</v>
      </c>
      <c r="P419" t="str">
        <f ca="1">IF(tblAvisos[[#This Row],[Fecha reporte]]="","Sin fecha",IF(tblAvisos[[#This Row],[Fecha reporte]]&lt;DATE(2020,1,1),"Fecha inválida",IF(tblAvisos[[#This Row],[Fecha reporte]]&gt;TODAY(),"Fecha futura",IF(tblAvisos[[#This Row],[Aviso SAP]]="","Sin aviso SAP",IF(tblAvisos[[#This Row],[Criticidad]]="","Sin criticidad","OK")))))</f>
        <v>OK</v>
      </c>
      <c r="Q419" s="901" t="s">
        <v>3057</v>
      </c>
    </row>
    <row r="420" spans="2:17">
      <c r="B420" s="853" cm="1">
        <f t="array" ref="B420">ROW()-ROW(tblAvisos[#Headers])</f>
        <v>416</v>
      </c>
      <c r="C420" t="s">
        <v>41</v>
      </c>
      <c r="D420" s="871">
        <v>46066</v>
      </c>
      <c r="E420" s="900" t="s">
        <v>3058</v>
      </c>
      <c r="F420" t="s">
        <v>1274</v>
      </c>
      <c r="G420" t="s">
        <v>1283</v>
      </c>
      <c r="H420" t="s">
        <v>2506</v>
      </c>
      <c r="I420" t="s">
        <v>1173</v>
      </c>
      <c r="K420" t="s">
        <v>665</v>
      </c>
      <c r="L420" s="871"/>
      <c r="O420" s="256">
        <f ca="1">IF(OR(tblAvisos[[#This Row],[Estado trabajo]]="Cerrado",tblAvisos[[#This Row],[Fecha reporte]]=""),"",TODAY()-tblAvisos[[#This Row],[Fecha reporte]])</f>
        <v>229</v>
      </c>
      <c r="P420" t="str">
        <f ca="1">IF(tblAvisos[[#This Row],[Fecha reporte]]="","Sin fecha",IF(tblAvisos[[#This Row],[Fecha reporte]]&lt;DATE(2020,1,1),"Fecha inválida",IF(tblAvisos[[#This Row],[Fecha reporte]]&gt;TODAY(),"Fecha futura",IF(tblAvisos[[#This Row],[Aviso SAP]]="","Sin aviso SAP",IF(tblAvisos[[#This Row],[Criticidad]]="","Sin criticidad","OK")))))</f>
        <v>OK</v>
      </c>
      <c r="Q420" s="901" t="s">
        <v>3059</v>
      </c>
    </row>
    <row r="421" spans="2:17">
      <c r="B421" s="853" cm="1">
        <f t="array" ref="B421">ROW()-ROW(tblAvisos[#Headers])</f>
        <v>417</v>
      </c>
      <c r="C421" t="s">
        <v>41</v>
      </c>
      <c r="D421" s="871">
        <v>46018</v>
      </c>
      <c r="E421" s="900" t="s">
        <v>3060</v>
      </c>
      <c r="F421" t="s">
        <v>1274</v>
      </c>
      <c r="G421" t="s">
        <v>1284</v>
      </c>
      <c r="H421" t="s">
        <v>1170</v>
      </c>
      <c r="I421" t="s">
        <v>1173</v>
      </c>
      <c r="K421" t="s">
        <v>665</v>
      </c>
      <c r="L421" s="871"/>
      <c r="O421" s="256">
        <f ca="1">IF(OR(tblAvisos[[#This Row],[Estado trabajo]]="Cerrado",tblAvisos[[#This Row],[Fecha reporte]]=""),"",TODAY()-tblAvisos[[#This Row],[Fecha reporte]])</f>
        <v>277</v>
      </c>
      <c r="P421" t="str">
        <f ca="1">IF(tblAvisos[[#This Row],[Fecha reporte]]="","Sin fecha",IF(tblAvisos[[#This Row],[Fecha reporte]]&lt;DATE(2020,1,1),"Fecha inválida",IF(tblAvisos[[#This Row],[Fecha reporte]]&gt;TODAY(),"Fecha futura",IF(tblAvisos[[#This Row],[Aviso SAP]]="","Sin aviso SAP",IF(tblAvisos[[#This Row],[Criticidad]]="","Sin criticidad","OK")))))</f>
        <v>OK</v>
      </c>
      <c r="Q421" s="901" t="s">
        <v>3061</v>
      </c>
    </row>
    <row r="422" spans="2:17">
      <c r="B422" s="853" cm="1">
        <f t="array" ref="B422">ROW()-ROW(tblAvisos[#Headers])</f>
        <v>418</v>
      </c>
      <c r="C422" t="s">
        <v>41</v>
      </c>
      <c r="D422" s="871">
        <v>46018</v>
      </c>
      <c r="E422" s="900" t="s">
        <v>3062</v>
      </c>
      <c r="F422" t="s">
        <v>1274</v>
      </c>
      <c r="G422" t="s">
        <v>1286</v>
      </c>
      <c r="H422" t="s">
        <v>1158</v>
      </c>
      <c r="I422" t="s">
        <v>1173</v>
      </c>
      <c r="K422" t="s">
        <v>662</v>
      </c>
      <c r="L422" s="871"/>
      <c r="O422" s="256">
        <f ca="1">IF(OR(tblAvisos[[#This Row],[Estado trabajo]]="Cerrado",tblAvisos[[#This Row],[Fecha reporte]]=""),"",TODAY()-tblAvisos[[#This Row],[Fecha reporte]])</f>
        <v>277</v>
      </c>
      <c r="P422" t="str">
        <f ca="1">IF(tblAvisos[[#This Row],[Fecha reporte]]="","Sin fecha",IF(tblAvisos[[#This Row],[Fecha reporte]]&lt;DATE(2020,1,1),"Fecha inválida",IF(tblAvisos[[#This Row],[Fecha reporte]]&gt;TODAY(),"Fecha futura",IF(tblAvisos[[#This Row],[Aviso SAP]]="","Sin aviso SAP",IF(tblAvisos[[#This Row],[Criticidad]]="","Sin criticidad","OK")))))</f>
        <v>OK</v>
      </c>
      <c r="Q422" s="901" t="s">
        <v>3063</v>
      </c>
    </row>
    <row r="423" spans="2:17">
      <c r="B423" s="853" cm="1">
        <f t="array" ref="B423">ROW()-ROW(tblAvisos[#Headers])</f>
        <v>419</v>
      </c>
      <c r="C423" t="s">
        <v>41</v>
      </c>
      <c r="D423" s="871">
        <v>46068</v>
      </c>
      <c r="E423" s="900" t="s">
        <v>3064</v>
      </c>
      <c r="F423" t="s">
        <v>1274</v>
      </c>
      <c r="G423" t="s">
        <v>1288</v>
      </c>
      <c r="H423" t="s">
        <v>1170</v>
      </c>
      <c r="I423" t="s">
        <v>1173</v>
      </c>
      <c r="K423" t="s">
        <v>665</v>
      </c>
      <c r="L423" s="871"/>
      <c r="O423" s="256">
        <f ca="1">IF(OR(tblAvisos[[#This Row],[Estado trabajo]]="Cerrado",tblAvisos[[#This Row],[Fecha reporte]]=""),"",TODAY()-tblAvisos[[#This Row],[Fecha reporte]])</f>
        <v>227</v>
      </c>
      <c r="P423" t="str">
        <f ca="1">IF(tblAvisos[[#This Row],[Fecha reporte]]="","Sin fecha",IF(tblAvisos[[#This Row],[Fecha reporte]]&lt;DATE(2020,1,1),"Fecha inválida",IF(tblAvisos[[#This Row],[Fecha reporte]]&gt;TODAY(),"Fecha futura",IF(tblAvisos[[#This Row],[Aviso SAP]]="","Sin aviso SAP",IF(tblAvisos[[#This Row],[Criticidad]]="","Sin criticidad","OK")))))</f>
        <v>OK</v>
      </c>
      <c r="Q423" s="901" t="s">
        <v>3065</v>
      </c>
    </row>
    <row r="424" spans="2:17">
      <c r="B424" s="853" cm="1">
        <f t="array" ref="B424">ROW()-ROW(tblAvisos[#Headers])</f>
        <v>420</v>
      </c>
      <c r="C424" t="s">
        <v>41</v>
      </c>
      <c r="D424" s="871">
        <v>46083</v>
      </c>
      <c r="E424" s="900" t="s">
        <v>3066</v>
      </c>
      <c r="F424" t="s">
        <v>1274</v>
      </c>
      <c r="G424" t="s">
        <v>1289</v>
      </c>
      <c r="H424" t="s">
        <v>1170</v>
      </c>
      <c r="I424" t="s">
        <v>1173</v>
      </c>
      <c r="K424" t="s">
        <v>665</v>
      </c>
      <c r="L424" s="871"/>
      <c r="O424" s="256">
        <f ca="1">IF(OR(tblAvisos[[#This Row],[Estado trabajo]]="Cerrado",tblAvisos[[#This Row],[Fecha reporte]]=""),"",TODAY()-tblAvisos[[#This Row],[Fecha reporte]])</f>
        <v>212</v>
      </c>
      <c r="P424" t="str">
        <f ca="1">IF(tblAvisos[[#This Row],[Fecha reporte]]="","Sin fecha",IF(tblAvisos[[#This Row],[Fecha reporte]]&lt;DATE(2020,1,1),"Fecha inválida",IF(tblAvisos[[#This Row],[Fecha reporte]]&gt;TODAY(),"Fecha futura",IF(tblAvisos[[#This Row],[Aviso SAP]]="","Sin aviso SAP",IF(tblAvisos[[#This Row],[Criticidad]]="","Sin criticidad","OK")))))</f>
        <v>OK</v>
      </c>
      <c r="Q424" s="901" t="s">
        <v>3067</v>
      </c>
    </row>
    <row r="425" spans="2:17">
      <c r="B425" s="853" cm="1">
        <f t="array" ref="B425">ROW()-ROW(tblAvisos[#Headers])</f>
        <v>421</v>
      </c>
      <c r="C425" t="s">
        <v>41</v>
      </c>
      <c r="D425" s="871">
        <v>46014</v>
      </c>
      <c r="E425" s="900" t="s">
        <v>3068</v>
      </c>
      <c r="F425" t="s">
        <v>1274</v>
      </c>
      <c r="G425" t="s">
        <v>1290</v>
      </c>
      <c r="H425" t="s">
        <v>2509</v>
      </c>
      <c r="I425" t="s">
        <v>1173</v>
      </c>
      <c r="K425" t="s">
        <v>662</v>
      </c>
      <c r="L425" s="871"/>
      <c r="O425" s="256">
        <f ca="1">IF(OR(tblAvisos[[#This Row],[Estado trabajo]]="Cerrado",tblAvisos[[#This Row],[Fecha reporte]]=""),"",TODAY()-tblAvisos[[#This Row],[Fecha reporte]])</f>
        <v>281</v>
      </c>
      <c r="P425" t="str">
        <f ca="1">IF(tblAvisos[[#This Row],[Fecha reporte]]="","Sin fecha",IF(tblAvisos[[#This Row],[Fecha reporte]]&lt;DATE(2020,1,1),"Fecha inválida",IF(tblAvisos[[#This Row],[Fecha reporte]]&gt;TODAY(),"Fecha futura",IF(tblAvisos[[#This Row],[Aviso SAP]]="","Sin aviso SAP",IF(tblAvisos[[#This Row],[Criticidad]]="","Sin criticidad","OK")))))</f>
        <v>OK</v>
      </c>
      <c r="Q425" s="901" t="s">
        <v>3069</v>
      </c>
    </row>
    <row r="426" spans="2:17">
      <c r="B426" s="853" cm="1">
        <f t="array" ref="B426">ROW()-ROW(tblAvisos[#Headers])</f>
        <v>422</v>
      </c>
      <c r="C426" t="s">
        <v>41</v>
      </c>
      <c r="D426" s="871">
        <v>46113</v>
      </c>
      <c r="E426" s="900" t="s">
        <v>3070</v>
      </c>
      <c r="F426" t="s">
        <v>1274</v>
      </c>
      <c r="G426" t="s">
        <v>1292</v>
      </c>
      <c r="H426" t="s">
        <v>2506</v>
      </c>
      <c r="I426" t="s">
        <v>1173</v>
      </c>
      <c r="K426" t="s">
        <v>665</v>
      </c>
      <c r="L426" s="871"/>
      <c r="O426" s="256">
        <f ca="1">IF(OR(tblAvisos[[#This Row],[Estado trabajo]]="Cerrado",tblAvisos[[#This Row],[Fecha reporte]]=""),"",TODAY()-tblAvisos[[#This Row],[Fecha reporte]])</f>
        <v>182</v>
      </c>
      <c r="P426" t="str">
        <f ca="1">IF(tblAvisos[[#This Row],[Fecha reporte]]="","Sin fecha",IF(tblAvisos[[#This Row],[Fecha reporte]]&lt;DATE(2020,1,1),"Fecha inválida",IF(tblAvisos[[#This Row],[Fecha reporte]]&gt;TODAY(),"Fecha futura",IF(tblAvisos[[#This Row],[Aviso SAP]]="","Sin aviso SAP",IF(tblAvisos[[#This Row],[Criticidad]]="","Sin criticidad","OK")))))</f>
        <v>OK</v>
      </c>
      <c r="Q426" s="901" t="s">
        <v>3071</v>
      </c>
    </row>
    <row r="427" spans="2:17">
      <c r="B427" s="853" cm="1">
        <f t="array" ref="B427">ROW()-ROW(tblAvisos[#Headers])</f>
        <v>423</v>
      </c>
      <c r="C427" t="s">
        <v>41</v>
      </c>
      <c r="D427" s="871">
        <v>46113</v>
      </c>
      <c r="E427" s="900" t="s">
        <v>3072</v>
      </c>
      <c r="F427" t="s">
        <v>1274</v>
      </c>
      <c r="G427" t="s">
        <v>1293</v>
      </c>
      <c r="H427" t="s">
        <v>2506</v>
      </c>
      <c r="I427" t="s">
        <v>1173</v>
      </c>
      <c r="K427" t="s">
        <v>665</v>
      </c>
      <c r="L427" s="871"/>
      <c r="O427" s="256">
        <f ca="1">IF(OR(tblAvisos[[#This Row],[Estado trabajo]]="Cerrado",tblAvisos[[#This Row],[Fecha reporte]]=""),"",TODAY()-tblAvisos[[#This Row],[Fecha reporte]])</f>
        <v>182</v>
      </c>
      <c r="P427" t="str">
        <f ca="1">IF(tblAvisos[[#This Row],[Fecha reporte]]="","Sin fecha",IF(tblAvisos[[#This Row],[Fecha reporte]]&lt;DATE(2020,1,1),"Fecha inválida",IF(tblAvisos[[#This Row],[Fecha reporte]]&gt;TODAY(),"Fecha futura",IF(tblAvisos[[#This Row],[Aviso SAP]]="","Sin aviso SAP",IF(tblAvisos[[#This Row],[Criticidad]]="","Sin criticidad","OK")))))</f>
        <v>OK</v>
      </c>
      <c r="Q427" s="901" t="s">
        <v>3073</v>
      </c>
    </row>
    <row r="428" spans="2:17">
      <c r="B428" s="853" cm="1">
        <f t="array" ref="B428">ROW()-ROW(tblAvisos[#Headers])</f>
        <v>424</v>
      </c>
      <c r="C428" t="s">
        <v>41</v>
      </c>
      <c r="D428" s="871">
        <v>46113</v>
      </c>
      <c r="E428" s="900" t="s">
        <v>3074</v>
      </c>
      <c r="F428" t="s">
        <v>1274</v>
      </c>
      <c r="G428" t="s">
        <v>1294</v>
      </c>
      <c r="H428" t="s">
        <v>2506</v>
      </c>
      <c r="I428" t="s">
        <v>1173</v>
      </c>
      <c r="K428" t="s">
        <v>665</v>
      </c>
      <c r="L428" s="871"/>
      <c r="O428" s="256">
        <f ca="1">IF(OR(tblAvisos[[#This Row],[Estado trabajo]]="Cerrado",tblAvisos[[#This Row],[Fecha reporte]]=""),"",TODAY()-tblAvisos[[#This Row],[Fecha reporte]])</f>
        <v>182</v>
      </c>
      <c r="P428" t="str">
        <f ca="1">IF(tblAvisos[[#This Row],[Fecha reporte]]="","Sin fecha",IF(tblAvisos[[#This Row],[Fecha reporte]]&lt;DATE(2020,1,1),"Fecha inválida",IF(tblAvisos[[#This Row],[Fecha reporte]]&gt;TODAY(),"Fecha futura",IF(tblAvisos[[#This Row],[Aviso SAP]]="","Sin aviso SAP",IF(tblAvisos[[#This Row],[Criticidad]]="","Sin criticidad","OK")))))</f>
        <v>OK</v>
      </c>
      <c r="Q428" s="901" t="s">
        <v>3075</v>
      </c>
    </row>
    <row r="429" spans="2:17">
      <c r="B429" s="853" cm="1">
        <f t="array" ref="B429">ROW()-ROW(tblAvisos[#Headers])</f>
        <v>425</v>
      </c>
      <c r="C429" t="s">
        <v>41</v>
      </c>
      <c r="D429" s="871">
        <v>46038</v>
      </c>
      <c r="E429" s="900" t="s">
        <v>3076</v>
      </c>
      <c r="F429" t="s">
        <v>1274</v>
      </c>
      <c r="G429" t="s">
        <v>1295</v>
      </c>
      <c r="H429" t="s">
        <v>1158</v>
      </c>
      <c r="I429" t="s">
        <v>1173</v>
      </c>
      <c r="K429" t="s">
        <v>672</v>
      </c>
      <c r="L429" s="871"/>
      <c r="O429" s="256">
        <f ca="1">IF(OR(tblAvisos[[#This Row],[Estado trabajo]]="Cerrado",tblAvisos[[#This Row],[Fecha reporte]]=""),"",TODAY()-tblAvisos[[#This Row],[Fecha reporte]])</f>
        <v>257</v>
      </c>
      <c r="P429" t="str">
        <f ca="1">IF(tblAvisos[[#This Row],[Fecha reporte]]="","Sin fecha",IF(tblAvisos[[#This Row],[Fecha reporte]]&lt;DATE(2020,1,1),"Fecha inválida",IF(tblAvisos[[#This Row],[Fecha reporte]]&gt;TODAY(),"Fecha futura",IF(tblAvisos[[#This Row],[Aviso SAP]]="","Sin aviso SAP",IF(tblAvisos[[#This Row],[Criticidad]]="","Sin criticidad","OK")))))</f>
        <v>OK</v>
      </c>
      <c r="Q429" s="901" t="s">
        <v>3077</v>
      </c>
    </row>
    <row r="430" spans="2:17">
      <c r="B430" s="853" cm="1">
        <f t="array" ref="B430">ROW()-ROW(tblAvisos[#Headers])</f>
        <v>426</v>
      </c>
      <c r="C430" t="s">
        <v>41</v>
      </c>
      <c r="D430" s="871">
        <v>46047</v>
      </c>
      <c r="E430" s="900" t="s">
        <v>3078</v>
      </c>
      <c r="F430" t="s">
        <v>1274</v>
      </c>
      <c r="G430" t="s">
        <v>1296</v>
      </c>
      <c r="H430" t="s">
        <v>2506</v>
      </c>
      <c r="I430" t="s">
        <v>1173</v>
      </c>
      <c r="K430" t="s">
        <v>668</v>
      </c>
      <c r="L430" s="871"/>
      <c r="O430" s="256">
        <f ca="1">IF(OR(tblAvisos[[#This Row],[Estado trabajo]]="Cerrado",tblAvisos[[#This Row],[Fecha reporte]]=""),"",TODAY()-tblAvisos[[#This Row],[Fecha reporte]])</f>
        <v>248</v>
      </c>
      <c r="P430" t="str">
        <f ca="1">IF(tblAvisos[[#This Row],[Fecha reporte]]="","Sin fecha",IF(tblAvisos[[#This Row],[Fecha reporte]]&lt;DATE(2020,1,1),"Fecha inválida",IF(tblAvisos[[#This Row],[Fecha reporte]]&gt;TODAY(),"Fecha futura",IF(tblAvisos[[#This Row],[Aviso SAP]]="","Sin aviso SAP",IF(tblAvisos[[#This Row],[Criticidad]]="","Sin criticidad","OK")))))</f>
        <v>OK</v>
      </c>
      <c r="Q430" s="901" t="s">
        <v>3079</v>
      </c>
    </row>
    <row r="431" spans="2:17">
      <c r="B431" s="853" cm="1">
        <f t="array" ref="B431">ROW()-ROW(tblAvisos[#Headers])</f>
        <v>427</v>
      </c>
      <c r="C431" t="s">
        <v>41</v>
      </c>
      <c r="D431" s="871">
        <v>46144</v>
      </c>
      <c r="E431" s="900" t="s">
        <v>3080</v>
      </c>
      <c r="F431" t="s">
        <v>1297</v>
      </c>
      <c r="G431" t="s">
        <v>1298</v>
      </c>
      <c r="H431" t="s">
        <v>1158</v>
      </c>
      <c r="I431" t="s">
        <v>1173</v>
      </c>
      <c r="K431" t="s">
        <v>665</v>
      </c>
      <c r="L431" s="871"/>
      <c r="O431" s="256">
        <f ca="1">IF(OR(tblAvisos[[#This Row],[Estado trabajo]]="Cerrado",tblAvisos[[#This Row],[Fecha reporte]]=""),"",TODAY()-tblAvisos[[#This Row],[Fecha reporte]])</f>
        <v>151</v>
      </c>
      <c r="P431" t="str">
        <f ca="1">IF(tblAvisos[[#This Row],[Fecha reporte]]="","Sin fecha",IF(tblAvisos[[#This Row],[Fecha reporte]]&lt;DATE(2020,1,1),"Fecha inválida",IF(tblAvisos[[#This Row],[Fecha reporte]]&gt;TODAY(),"Fecha futura",IF(tblAvisos[[#This Row],[Aviso SAP]]="","Sin aviso SAP",IF(tblAvisos[[#This Row],[Criticidad]]="","Sin criticidad","OK")))))</f>
        <v>OK</v>
      </c>
      <c r="Q431" s="901" t="s">
        <v>3081</v>
      </c>
    </row>
    <row r="432" spans="2:17">
      <c r="B432" s="853" cm="1">
        <f t="array" ref="B432">ROW()-ROW(tblAvisos[#Headers])</f>
        <v>428</v>
      </c>
      <c r="C432" t="s">
        <v>41</v>
      </c>
      <c r="D432" s="871">
        <v>45686</v>
      </c>
      <c r="E432" s="900" t="s">
        <v>3082</v>
      </c>
      <c r="F432" t="s">
        <v>1297</v>
      </c>
      <c r="G432" t="s">
        <v>1299</v>
      </c>
      <c r="H432" t="s">
        <v>1170</v>
      </c>
      <c r="I432" t="s">
        <v>1173</v>
      </c>
      <c r="K432" t="s">
        <v>662</v>
      </c>
      <c r="L432" s="871"/>
      <c r="O432" s="256">
        <f ca="1">IF(OR(tblAvisos[[#This Row],[Estado trabajo]]="Cerrado",tblAvisos[[#This Row],[Fecha reporte]]=""),"",TODAY()-tblAvisos[[#This Row],[Fecha reporte]])</f>
        <v>609</v>
      </c>
      <c r="P432" t="str">
        <f ca="1">IF(tblAvisos[[#This Row],[Fecha reporte]]="","Sin fecha",IF(tblAvisos[[#This Row],[Fecha reporte]]&lt;DATE(2020,1,1),"Fecha inválida",IF(tblAvisos[[#This Row],[Fecha reporte]]&gt;TODAY(),"Fecha futura",IF(tblAvisos[[#This Row],[Aviso SAP]]="","Sin aviso SAP",IF(tblAvisos[[#This Row],[Criticidad]]="","Sin criticidad","OK")))))</f>
        <v>OK</v>
      </c>
      <c r="Q432" s="901" t="s">
        <v>3083</v>
      </c>
    </row>
    <row r="433" spans="2:17">
      <c r="B433" s="853" cm="1">
        <f t="array" ref="B433">ROW()-ROW(tblAvisos[#Headers])</f>
        <v>429</v>
      </c>
      <c r="C433" t="s">
        <v>41</v>
      </c>
      <c r="D433" s="871">
        <v>45828</v>
      </c>
      <c r="E433" s="900" t="s">
        <v>3084</v>
      </c>
      <c r="F433" t="s">
        <v>1297</v>
      </c>
      <c r="G433" t="s">
        <v>1300</v>
      </c>
      <c r="H433" t="s">
        <v>1158</v>
      </c>
      <c r="I433" t="s">
        <v>1173</v>
      </c>
      <c r="K433" t="s">
        <v>668</v>
      </c>
      <c r="L433" s="871"/>
      <c r="O433" s="256">
        <f ca="1">IF(OR(tblAvisos[[#This Row],[Estado trabajo]]="Cerrado",tblAvisos[[#This Row],[Fecha reporte]]=""),"",TODAY()-tblAvisos[[#This Row],[Fecha reporte]])</f>
        <v>467</v>
      </c>
      <c r="P433" t="str">
        <f ca="1">IF(tblAvisos[[#This Row],[Fecha reporte]]="","Sin fecha",IF(tblAvisos[[#This Row],[Fecha reporte]]&lt;DATE(2020,1,1),"Fecha inválida",IF(tblAvisos[[#This Row],[Fecha reporte]]&gt;TODAY(),"Fecha futura",IF(tblAvisos[[#This Row],[Aviso SAP]]="","Sin aviso SAP",IF(tblAvisos[[#This Row],[Criticidad]]="","Sin criticidad","OK")))))</f>
        <v>OK</v>
      </c>
      <c r="Q433" s="901" t="s">
        <v>3085</v>
      </c>
    </row>
    <row r="434" spans="2:17">
      <c r="B434" s="853" cm="1">
        <f t="array" ref="B434">ROW()-ROW(tblAvisos[#Headers])</f>
        <v>430</v>
      </c>
      <c r="C434" t="s">
        <v>41</v>
      </c>
      <c r="D434" s="871">
        <v>45690</v>
      </c>
      <c r="E434" s="900" t="s">
        <v>3086</v>
      </c>
      <c r="F434" t="s">
        <v>1297</v>
      </c>
      <c r="G434" t="s">
        <v>1301</v>
      </c>
      <c r="H434" t="s">
        <v>1158</v>
      </c>
      <c r="I434" t="s">
        <v>1173</v>
      </c>
      <c r="K434" t="s">
        <v>665</v>
      </c>
      <c r="L434" s="871"/>
      <c r="O434" s="256">
        <f ca="1">IF(OR(tblAvisos[[#This Row],[Estado trabajo]]="Cerrado",tblAvisos[[#This Row],[Fecha reporte]]=""),"",TODAY()-tblAvisos[[#This Row],[Fecha reporte]])</f>
        <v>605</v>
      </c>
      <c r="P434" t="str">
        <f ca="1">IF(tblAvisos[[#This Row],[Fecha reporte]]="","Sin fecha",IF(tblAvisos[[#This Row],[Fecha reporte]]&lt;DATE(2020,1,1),"Fecha inválida",IF(tblAvisos[[#This Row],[Fecha reporte]]&gt;TODAY(),"Fecha futura",IF(tblAvisos[[#This Row],[Aviso SAP]]="","Sin aviso SAP",IF(tblAvisos[[#This Row],[Criticidad]]="","Sin criticidad","OK")))))</f>
        <v>OK</v>
      </c>
      <c r="Q434" s="901" t="s">
        <v>3087</v>
      </c>
    </row>
    <row r="435" spans="2:17">
      <c r="B435" s="853" cm="1">
        <f t="array" ref="B435">ROW()-ROW(tblAvisos[#Headers])</f>
        <v>431</v>
      </c>
      <c r="C435" t="s">
        <v>41</v>
      </c>
      <c r="D435" s="871">
        <v>45956</v>
      </c>
      <c r="E435" s="900" t="s">
        <v>3088</v>
      </c>
      <c r="F435" t="s">
        <v>1302</v>
      </c>
      <c r="G435" t="s">
        <v>1303</v>
      </c>
      <c r="H435" t="s">
        <v>1158</v>
      </c>
      <c r="I435" t="s">
        <v>1173</v>
      </c>
      <c r="K435" t="s">
        <v>668</v>
      </c>
      <c r="L435" s="871"/>
      <c r="O435" s="256">
        <f ca="1">IF(OR(tblAvisos[[#This Row],[Estado trabajo]]="Cerrado",tblAvisos[[#This Row],[Fecha reporte]]=""),"",TODAY()-tblAvisos[[#This Row],[Fecha reporte]])</f>
        <v>339</v>
      </c>
      <c r="P435" t="str">
        <f ca="1">IF(tblAvisos[[#This Row],[Fecha reporte]]="","Sin fecha",IF(tblAvisos[[#This Row],[Fecha reporte]]&lt;DATE(2020,1,1),"Fecha inválida",IF(tblAvisos[[#This Row],[Fecha reporte]]&gt;TODAY(),"Fecha futura",IF(tblAvisos[[#This Row],[Aviso SAP]]="","Sin aviso SAP",IF(tblAvisos[[#This Row],[Criticidad]]="","Sin criticidad","OK")))))</f>
        <v>OK</v>
      </c>
      <c r="Q435" s="901" t="s">
        <v>3089</v>
      </c>
    </row>
    <row r="436" spans="2:17">
      <c r="B436" s="853" cm="1">
        <f t="array" ref="B436">ROW()-ROW(tblAvisos[#Headers])</f>
        <v>432</v>
      </c>
      <c r="C436" t="s">
        <v>41</v>
      </c>
      <c r="D436" s="871">
        <v>45858</v>
      </c>
      <c r="E436" s="900" t="s">
        <v>3090</v>
      </c>
      <c r="F436" t="s">
        <v>1302</v>
      </c>
      <c r="G436" t="s">
        <v>1301</v>
      </c>
      <c r="H436" t="s">
        <v>1158</v>
      </c>
      <c r="I436" t="s">
        <v>1173</v>
      </c>
      <c r="K436" t="s">
        <v>665</v>
      </c>
      <c r="L436" s="871"/>
      <c r="O436" s="256">
        <f ca="1">IF(OR(tblAvisos[[#This Row],[Estado trabajo]]="Cerrado",tblAvisos[[#This Row],[Fecha reporte]]=""),"",TODAY()-tblAvisos[[#This Row],[Fecha reporte]])</f>
        <v>437</v>
      </c>
      <c r="P436" t="str">
        <f ca="1">IF(tblAvisos[[#This Row],[Fecha reporte]]="","Sin fecha",IF(tblAvisos[[#This Row],[Fecha reporte]]&lt;DATE(2020,1,1),"Fecha inválida",IF(tblAvisos[[#This Row],[Fecha reporte]]&gt;TODAY(),"Fecha futura",IF(tblAvisos[[#This Row],[Aviso SAP]]="","Sin aviso SAP",IF(tblAvisos[[#This Row],[Criticidad]]="","Sin criticidad","OK")))))</f>
        <v>OK</v>
      </c>
      <c r="Q436" s="901" t="s">
        <v>3091</v>
      </c>
    </row>
    <row r="437" spans="2:17">
      <c r="B437" s="853" cm="1">
        <f t="array" ref="B437">ROW()-ROW(tblAvisos[#Headers])</f>
        <v>433</v>
      </c>
      <c r="C437" t="s">
        <v>41</v>
      </c>
      <c r="D437" s="871">
        <v>45900</v>
      </c>
      <c r="E437" s="900" t="s">
        <v>3092</v>
      </c>
      <c r="F437" t="s">
        <v>1302</v>
      </c>
      <c r="G437" t="s">
        <v>1304</v>
      </c>
      <c r="H437" t="s">
        <v>2508</v>
      </c>
      <c r="I437" t="s">
        <v>1173</v>
      </c>
      <c r="K437" t="s">
        <v>662</v>
      </c>
      <c r="L437" s="871"/>
      <c r="O437" s="256">
        <f ca="1">IF(OR(tblAvisos[[#This Row],[Estado trabajo]]="Cerrado",tblAvisos[[#This Row],[Fecha reporte]]=""),"",TODAY()-tblAvisos[[#This Row],[Fecha reporte]])</f>
        <v>395</v>
      </c>
      <c r="P437" t="str">
        <f ca="1">IF(tblAvisos[[#This Row],[Fecha reporte]]="","Sin fecha",IF(tblAvisos[[#This Row],[Fecha reporte]]&lt;DATE(2020,1,1),"Fecha inválida",IF(tblAvisos[[#This Row],[Fecha reporte]]&gt;TODAY(),"Fecha futura",IF(tblAvisos[[#This Row],[Aviso SAP]]="","Sin aviso SAP",IF(tblAvisos[[#This Row],[Criticidad]]="","Sin criticidad","OK")))))</f>
        <v>OK</v>
      </c>
      <c r="Q437" s="901" t="s">
        <v>3093</v>
      </c>
    </row>
    <row r="438" spans="2:17">
      <c r="B438" s="853" cm="1">
        <f t="array" ref="B438">ROW()-ROW(tblAvisos[#Headers])</f>
        <v>434</v>
      </c>
      <c r="C438" t="s">
        <v>41</v>
      </c>
      <c r="D438" s="871">
        <v>45871</v>
      </c>
      <c r="E438" s="900" t="s">
        <v>3094</v>
      </c>
      <c r="F438" t="s">
        <v>1302</v>
      </c>
      <c r="G438" t="s">
        <v>1306</v>
      </c>
      <c r="H438" t="s">
        <v>1170</v>
      </c>
      <c r="I438" t="s">
        <v>1173</v>
      </c>
      <c r="K438" t="s">
        <v>662</v>
      </c>
      <c r="L438" s="871"/>
      <c r="O438" s="256">
        <f ca="1">IF(OR(tblAvisos[[#This Row],[Estado trabajo]]="Cerrado",tblAvisos[[#This Row],[Fecha reporte]]=""),"",TODAY()-tblAvisos[[#This Row],[Fecha reporte]])</f>
        <v>424</v>
      </c>
      <c r="P438" t="str">
        <f ca="1">IF(tblAvisos[[#This Row],[Fecha reporte]]="","Sin fecha",IF(tblAvisos[[#This Row],[Fecha reporte]]&lt;DATE(2020,1,1),"Fecha inválida",IF(tblAvisos[[#This Row],[Fecha reporte]]&gt;TODAY(),"Fecha futura",IF(tblAvisos[[#This Row],[Aviso SAP]]="","Sin aviso SAP",IF(tblAvisos[[#This Row],[Criticidad]]="","Sin criticidad","OK")))))</f>
        <v>OK</v>
      </c>
      <c r="Q438" s="901" t="s">
        <v>3095</v>
      </c>
    </row>
    <row r="439" spans="2:17">
      <c r="B439" s="853" cm="1">
        <f t="array" ref="B439">ROW()-ROW(tblAvisos[#Headers])</f>
        <v>435</v>
      </c>
      <c r="C439" t="s">
        <v>41</v>
      </c>
      <c r="D439" s="871">
        <v>46067</v>
      </c>
      <c r="E439" s="900" t="s">
        <v>3096</v>
      </c>
      <c r="F439" t="s">
        <v>1308</v>
      </c>
      <c r="G439" t="s">
        <v>1309</v>
      </c>
      <c r="H439" t="s">
        <v>2507</v>
      </c>
      <c r="I439" t="s">
        <v>1173</v>
      </c>
      <c r="K439" t="s">
        <v>668</v>
      </c>
      <c r="L439" s="871"/>
      <c r="O439" s="256">
        <f ca="1">IF(OR(tblAvisos[[#This Row],[Estado trabajo]]="Cerrado",tblAvisos[[#This Row],[Fecha reporte]]=""),"",TODAY()-tblAvisos[[#This Row],[Fecha reporte]])</f>
        <v>228</v>
      </c>
      <c r="P439" t="str">
        <f ca="1">IF(tblAvisos[[#This Row],[Fecha reporte]]="","Sin fecha",IF(tblAvisos[[#This Row],[Fecha reporte]]&lt;DATE(2020,1,1),"Fecha inválida",IF(tblAvisos[[#This Row],[Fecha reporte]]&gt;TODAY(),"Fecha futura",IF(tblAvisos[[#This Row],[Aviso SAP]]="","Sin aviso SAP",IF(tblAvisos[[#This Row],[Criticidad]]="","Sin criticidad","OK")))))</f>
        <v>OK</v>
      </c>
      <c r="Q439" s="901" t="s">
        <v>3097</v>
      </c>
    </row>
    <row r="440" spans="2:17">
      <c r="B440" s="853" cm="1">
        <f t="array" ref="B440">ROW()-ROW(tblAvisos[#Headers])</f>
        <v>436</v>
      </c>
      <c r="C440" t="s">
        <v>41</v>
      </c>
      <c r="D440" s="871">
        <v>46038</v>
      </c>
      <c r="E440" s="900" t="s">
        <v>3098</v>
      </c>
      <c r="F440" t="s">
        <v>1308</v>
      </c>
      <c r="G440" t="s">
        <v>1311</v>
      </c>
      <c r="H440" t="s">
        <v>1158</v>
      </c>
      <c r="I440" t="s">
        <v>1173</v>
      </c>
      <c r="L440" s="871"/>
      <c r="O440" s="256">
        <f ca="1">IF(OR(tblAvisos[[#This Row],[Estado trabajo]]="Cerrado",tblAvisos[[#This Row],[Fecha reporte]]=""),"",TODAY()-tblAvisos[[#This Row],[Fecha reporte]])</f>
        <v>257</v>
      </c>
      <c r="P440" t="str">
        <f ca="1">IF(tblAvisos[[#This Row],[Fecha reporte]]="","Sin fecha",IF(tblAvisos[[#This Row],[Fecha reporte]]&lt;DATE(2020,1,1),"Fecha inválida",IF(tblAvisos[[#This Row],[Fecha reporte]]&gt;TODAY(),"Fecha futura",IF(tblAvisos[[#This Row],[Aviso SAP]]="","Sin aviso SAP",IF(tblAvisos[[#This Row],[Criticidad]]="","Sin criticidad","OK")))))</f>
        <v>Sin criticidad</v>
      </c>
      <c r="Q440" s="901" t="s">
        <v>3099</v>
      </c>
    </row>
    <row r="441" spans="2:17">
      <c r="B441" s="853" cm="1">
        <f t="array" ref="B441">ROW()-ROW(tblAvisos[#Headers])</f>
        <v>437</v>
      </c>
      <c r="C441" t="s">
        <v>41</v>
      </c>
      <c r="D441" s="871">
        <v>46038</v>
      </c>
      <c r="E441" s="900" t="s">
        <v>3100</v>
      </c>
      <c r="F441" t="s">
        <v>1308</v>
      </c>
      <c r="G441" t="s">
        <v>1312</v>
      </c>
      <c r="H441" t="s">
        <v>1170</v>
      </c>
      <c r="I441" t="s">
        <v>1173</v>
      </c>
      <c r="K441" t="s">
        <v>668</v>
      </c>
      <c r="L441" s="871"/>
      <c r="O441" s="256">
        <f ca="1">IF(OR(tblAvisos[[#This Row],[Estado trabajo]]="Cerrado",tblAvisos[[#This Row],[Fecha reporte]]=""),"",TODAY()-tblAvisos[[#This Row],[Fecha reporte]])</f>
        <v>257</v>
      </c>
      <c r="P441" t="str">
        <f ca="1">IF(tblAvisos[[#This Row],[Fecha reporte]]="","Sin fecha",IF(tblAvisos[[#This Row],[Fecha reporte]]&lt;DATE(2020,1,1),"Fecha inválida",IF(tblAvisos[[#This Row],[Fecha reporte]]&gt;TODAY(),"Fecha futura",IF(tblAvisos[[#This Row],[Aviso SAP]]="","Sin aviso SAP",IF(tblAvisos[[#This Row],[Criticidad]]="","Sin criticidad","OK")))))</f>
        <v>OK</v>
      </c>
      <c r="Q441" s="901" t="s">
        <v>3101</v>
      </c>
    </row>
    <row r="442" spans="2:17">
      <c r="B442" s="853" cm="1">
        <f t="array" ref="B442">ROW()-ROW(tblAvisos[#Headers])</f>
        <v>438</v>
      </c>
      <c r="C442" t="s">
        <v>41</v>
      </c>
      <c r="D442" s="871">
        <v>46068</v>
      </c>
      <c r="E442" s="900" t="s">
        <v>3102</v>
      </c>
      <c r="F442" t="s">
        <v>1308</v>
      </c>
      <c r="G442" t="s">
        <v>1313</v>
      </c>
      <c r="H442" t="s">
        <v>1158</v>
      </c>
      <c r="I442" t="s">
        <v>1173</v>
      </c>
      <c r="L442" s="871"/>
      <c r="O442" s="256">
        <f ca="1">IF(OR(tblAvisos[[#This Row],[Estado trabajo]]="Cerrado",tblAvisos[[#This Row],[Fecha reporte]]=""),"",TODAY()-tblAvisos[[#This Row],[Fecha reporte]])</f>
        <v>227</v>
      </c>
      <c r="P442" t="str">
        <f ca="1">IF(tblAvisos[[#This Row],[Fecha reporte]]="","Sin fecha",IF(tblAvisos[[#This Row],[Fecha reporte]]&lt;DATE(2020,1,1),"Fecha inválida",IF(tblAvisos[[#This Row],[Fecha reporte]]&gt;TODAY(),"Fecha futura",IF(tblAvisos[[#This Row],[Aviso SAP]]="","Sin aviso SAP",IF(tblAvisos[[#This Row],[Criticidad]]="","Sin criticidad","OK")))))</f>
        <v>Sin criticidad</v>
      </c>
      <c r="Q442" s="901" t="s">
        <v>3103</v>
      </c>
    </row>
    <row r="443" spans="2:17">
      <c r="B443" s="853" cm="1">
        <f t="array" ref="B443">ROW()-ROW(tblAvisos[#Headers])</f>
        <v>439</v>
      </c>
      <c r="C443" t="s">
        <v>41</v>
      </c>
      <c r="D443" s="871">
        <v>45963</v>
      </c>
      <c r="E443" s="900" t="s">
        <v>3104</v>
      </c>
      <c r="F443" t="s">
        <v>1308</v>
      </c>
      <c r="G443" t="s">
        <v>1314</v>
      </c>
      <c r="H443" t="s">
        <v>2508</v>
      </c>
      <c r="I443" t="s">
        <v>1173</v>
      </c>
      <c r="K443" t="s">
        <v>662</v>
      </c>
      <c r="L443" s="871"/>
      <c r="O443" s="256">
        <f ca="1">IF(OR(tblAvisos[[#This Row],[Estado trabajo]]="Cerrado",tblAvisos[[#This Row],[Fecha reporte]]=""),"",TODAY()-tblAvisos[[#This Row],[Fecha reporte]])</f>
        <v>332</v>
      </c>
      <c r="P443" t="str">
        <f ca="1">IF(tblAvisos[[#This Row],[Fecha reporte]]="","Sin fecha",IF(tblAvisos[[#This Row],[Fecha reporte]]&lt;DATE(2020,1,1),"Fecha inválida",IF(tblAvisos[[#This Row],[Fecha reporte]]&gt;TODAY(),"Fecha futura",IF(tblAvisos[[#This Row],[Aviso SAP]]="","Sin aviso SAP",IF(tblAvisos[[#This Row],[Criticidad]]="","Sin criticidad","OK")))))</f>
        <v>OK</v>
      </c>
      <c r="Q443" s="901" t="s">
        <v>3105</v>
      </c>
    </row>
    <row r="444" spans="2:17">
      <c r="B444" s="853" cm="1">
        <f t="array" ref="B444">ROW()-ROW(tblAvisos[#Headers])</f>
        <v>440</v>
      </c>
      <c r="C444" t="s">
        <v>41</v>
      </c>
      <c r="D444" s="871">
        <v>45848</v>
      </c>
      <c r="E444" s="900" t="s">
        <v>3106</v>
      </c>
      <c r="F444" t="s">
        <v>1308</v>
      </c>
      <c r="G444" t="s">
        <v>1301</v>
      </c>
      <c r="H444" t="s">
        <v>1158</v>
      </c>
      <c r="I444" t="s">
        <v>1173</v>
      </c>
      <c r="K444" t="s">
        <v>665</v>
      </c>
      <c r="L444" s="871"/>
      <c r="O444" s="256">
        <f ca="1">IF(OR(tblAvisos[[#This Row],[Estado trabajo]]="Cerrado",tblAvisos[[#This Row],[Fecha reporte]]=""),"",TODAY()-tblAvisos[[#This Row],[Fecha reporte]])</f>
        <v>447</v>
      </c>
      <c r="P444" t="str">
        <f ca="1">IF(tblAvisos[[#This Row],[Fecha reporte]]="","Sin fecha",IF(tblAvisos[[#This Row],[Fecha reporte]]&lt;DATE(2020,1,1),"Fecha inválida",IF(tblAvisos[[#This Row],[Fecha reporte]]&gt;TODAY(),"Fecha futura",IF(tblAvisos[[#This Row],[Aviso SAP]]="","Sin aviso SAP",IF(tblAvisos[[#This Row],[Criticidad]]="","Sin criticidad","OK")))))</f>
        <v>OK</v>
      </c>
      <c r="Q444" s="901" t="s">
        <v>3107</v>
      </c>
    </row>
    <row r="445" spans="2:17">
      <c r="B445" s="853" cm="1">
        <f t="array" ref="B445">ROW()-ROW(tblAvisos[#Headers])</f>
        <v>441</v>
      </c>
      <c r="C445" t="s">
        <v>41</v>
      </c>
      <c r="D445" s="871">
        <v>46051</v>
      </c>
      <c r="E445" s="900" t="s">
        <v>3108</v>
      </c>
      <c r="F445" t="s">
        <v>1315</v>
      </c>
      <c r="G445" t="s">
        <v>1316</v>
      </c>
      <c r="H445" t="s">
        <v>1158</v>
      </c>
      <c r="I445" t="s">
        <v>1173</v>
      </c>
      <c r="K445" t="s">
        <v>665</v>
      </c>
      <c r="L445" s="871"/>
      <c r="O445" s="256">
        <f ca="1">IF(OR(tblAvisos[[#This Row],[Estado trabajo]]="Cerrado",tblAvisos[[#This Row],[Fecha reporte]]=""),"",TODAY()-tblAvisos[[#This Row],[Fecha reporte]])</f>
        <v>244</v>
      </c>
      <c r="P445" t="str">
        <f ca="1">IF(tblAvisos[[#This Row],[Fecha reporte]]="","Sin fecha",IF(tblAvisos[[#This Row],[Fecha reporte]]&lt;DATE(2020,1,1),"Fecha inválida",IF(tblAvisos[[#This Row],[Fecha reporte]]&gt;TODAY(),"Fecha futura",IF(tblAvisos[[#This Row],[Aviso SAP]]="","Sin aviso SAP",IF(tblAvisos[[#This Row],[Criticidad]]="","Sin criticidad","OK")))))</f>
        <v>OK</v>
      </c>
      <c r="Q445" s="901" t="s">
        <v>3109</v>
      </c>
    </row>
    <row r="446" spans="2:17">
      <c r="B446" s="853" cm="1">
        <f t="array" ref="B446">ROW()-ROW(tblAvisos[#Headers])</f>
        <v>442</v>
      </c>
      <c r="C446" t="s">
        <v>41</v>
      </c>
      <c r="D446" s="871">
        <v>46068</v>
      </c>
      <c r="E446" s="900" t="s">
        <v>3110</v>
      </c>
      <c r="F446" t="s">
        <v>1315</v>
      </c>
      <c r="G446" t="s">
        <v>1317</v>
      </c>
      <c r="H446" t="s">
        <v>2506</v>
      </c>
      <c r="I446" t="s">
        <v>1173</v>
      </c>
      <c r="K446" t="s">
        <v>668</v>
      </c>
      <c r="L446" s="871"/>
      <c r="O446" s="256">
        <f ca="1">IF(OR(tblAvisos[[#This Row],[Estado trabajo]]="Cerrado",tblAvisos[[#This Row],[Fecha reporte]]=""),"",TODAY()-tblAvisos[[#This Row],[Fecha reporte]])</f>
        <v>227</v>
      </c>
      <c r="P446" t="str">
        <f ca="1">IF(tblAvisos[[#This Row],[Fecha reporte]]="","Sin fecha",IF(tblAvisos[[#This Row],[Fecha reporte]]&lt;DATE(2020,1,1),"Fecha inválida",IF(tblAvisos[[#This Row],[Fecha reporte]]&gt;TODAY(),"Fecha futura",IF(tblAvisos[[#This Row],[Aviso SAP]]="","Sin aviso SAP",IF(tblAvisos[[#This Row],[Criticidad]]="","Sin criticidad","OK")))))</f>
        <v>OK</v>
      </c>
      <c r="Q446" s="901" t="s">
        <v>3111</v>
      </c>
    </row>
    <row r="447" spans="2:17">
      <c r="B447" s="853" cm="1">
        <f t="array" ref="B447">ROW()-ROW(tblAvisos[#Headers])</f>
        <v>443</v>
      </c>
      <c r="C447" t="s">
        <v>41</v>
      </c>
      <c r="D447" s="871">
        <v>46022</v>
      </c>
      <c r="E447" s="900" t="s">
        <v>3112</v>
      </c>
      <c r="F447" t="s">
        <v>1315</v>
      </c>
      <c r="G447" t="s">
        <v>1318</v>
      </c>
      <c r="H447" t="s">
        <v>1158</v>
      </c>
      <c r="I447" t="s">
        <v>1173</v>
      </c>
      <c r="K447" t="s">
        <v>665</v>
      </c>
      <c r="L447" s="871"/>
      <c r="O447" s="256">
        <f ca="1">IF(OR(tblAvisos[[#This Row],[Estado trabajo]]="Cerrado",tblAvisos[[#This Row],[Fecha reporte]]=""),"",TODAY()-tblAvisos[[#This Row],[Fecha reporte]])</f>
        <v>273</v>
      </c>
      <c r="P447" t="str">
        <f ca="1">IF(tblAvisos[[#This Row],[Fecha reporte]]="","Sin fecha",IF(tblAvisos[[#This Row],[Fecha reporte]]&lt;DATE(2020,1,1),"Fecha inválida",IF(tblAvisos[[#This Row],[Fecha reporte]]&gt;TODAY(),"Fecha futura",IF(tblAvisos[[#This Row],[Aviso SAP]]="","Sin aviso SAP",IF(tblAvisos[[#This Row],[Criticidad]]="","Sin criticidad","OK")))))</f>
        <v>OK</v>
      </c>
      <c r="Q447" s="901" t="s">
        <v>3113</v>
      </c>
    </row>
    <row r="448" spans="2:17">
      <c r="B448" s="853" cm="1">
        <f t="array" ref="B448">ROW()-ROW(tblAvisos[#Headers])</f>
        <v>444</v>
      </c>
      <c r="C448" t="s">
        <v>41</v>
      </c>
      <c r="D448" s="871">
        <v>46297</v>
      </c>
      <c r="E448" s="900" t="s">
        <v>3114</v>
      </c>
      <c r="F448" t="s">
        <v>1315</v>
      </c>
      <c r="G448" t="s">
        <v>1319</v>
      </c>
      <c r="H448" t="s">
        <v>1158</v>
      </c>
      <c r="I448" t="s">
        <v>1173</v>
      </c>
      <c r="K448" t="s">
        <v>665</v>
      </c>
      <c r="L448" s="871"/>
      <c r="O448" s="256">
        <f ca="1">IF(OR(tblAvisos[[#This Row],[Estado trabajo]]="Cerrado",tblAvisos[[#This Row],[Fecha reporte]]=""),"",TODAY()-tblAvisos[[#This Row],[Fecha reporte]])</f>
        <v>-2</v>
      </c>
      <c r="P448" t="str">
        <f ca="1">IF(tblAvisos[[#This Row],[Fecha reporte]]="","Sin fecha",IF(tblAvisos[[#This Row],[Fecha reporte]]&lt;DATE(2020,1,1),"Fecha inválida",IF(tblAvisos[[#This Row],[Fecha reporte]]&gt;TODAY(),"Fecha futura",IF(tblAvisos[[#This Row],[Aviso SAP]]="","Sin aviso SAP",IF(tblAvisos[[#This Row],[Criticidad]]="","Sin criticidad","OK")))))</f>
        <v>Fecha futura</v>
      </c>
      <c r="Q448" s="901" t="s">
        <v>3115</v>
      </c>
    </row>
    <row r="449" spans="2:17">
      <c r="B449" s="853" cm="1">
        <f t="array" ref="B449">ROW()-ROW(tblAvisos[#Headers])</f>
        <v>445</v>
      </c>
      <c r="C449" t="s">
        <v>41</v>
      </c>
      <c r="D449" s="871">
        <v>45956</v>
      </c>
      <c r="E449" s="900" t="s">
        <v>3116</v>
      </c>
      <c r="F449" t="s">
        <v>1315</v>
      </c>
      <c r="G449" t="s">
        <v>1320</v>
      </c>
      <c r="H449" t="s">
        <v>1158</v>
      </c>
      <c r="I449" t="s">
        <v>1173</v>
      </c>
      <c r="K449" t="s">
        <v>668</v>
      </c>
      <c r="L449" s="871"/>
      <c r="O449" s="256">
        <f ca="1">IF(OR(tblAvisos[[#This Row],[Estado trabajo]]="Cerrado",tblAvisos[[#This Row],[Fecha reporte]]=""),"",TODAY()-tblAvisos[[#This Row],[Fecha reporte]])</f>
        <v>339</v>
      </c>
      <c r="P449" t="str">
        <f ca="1">IF(tblAvisos[[#This Row],[Fecha reporte]]="","Sin fecha",IF(tblAvisos[[#This Row],[Fecha reporte]]&lt;DATE(2020,1,1),"Fecha inválida",IF(tblAvisos[[#This Row],[Fecha reporte]]&gt;TODAY(),"Fecha futura",IF(tblAvisos[[#This Row],[Aviso SAP]]="","Sin aviso SAP",IF(tblAvisos[[#This Row],[Criticidad]]="","Sin criticidad","OK")))))</f>
        <v>OK</v>
      </c>
      <c r="Q449" s="901" t="s">
        <v>3117</v>
      </c>
    </row>
    <row r="450" spans="2:17">
      <c r="B450" s="853" cm="1">
        <f t="array" ref="B450">ROW()-ROW(tblAvisos[#Headers])</f>
        <v>446</v>
      </c>
      <c r="C450" t="s">
        <v>41</v>
      </c>
      <c r="D450" s="871">
        <v>45956</v>
      </c>
      <c r="E450" s="900" t="s">
        <v>3118</v>
      </c>
      <c r="F450" t="s">
        <v>1315</v>
      </c>
      <c r="G450" t="s">
        <v>1321</v>
      </c>
      <c r="H450" t="s">
        <v>1158</v>
      </c>
      <c r="I450" t="s">
        <v>1173</v>
      </c>
      <c r="K450" t="s">
        <v>665</v>
      </c>
      <c r="L450" s="871"/>
      <c r="O450" s="256">
        <f ca="1">IF(OR(tblAvisos[[#This Row],[Estado trabajo]]="Cerrado",tblAvisos[[#This Row],[Fecha reporte]]=""),"",TODAY()-tblAvisos[[#This Row],[Fecha reporte]])</f>
        <v>339</v>
      </c>
      <c r="P450" t="str">
        <f ca="1">IF(tblAvisos[[#This Row],[Fecha reporte]]="","Sin fecha",IF(tblAvisos[[#This Row],[Fecha reporte]]&lt;DATE(2020,1,1),"Fecha inválida",IF(tblAvisos[[#This Row],[Fecha reporte]]&gt;TODAY(),"Fecha futura",IF(tblAvisos[[#This Row],[Aviso SAP]]="","Sin aviso SAP",IF(tblAvisos[[#This Row],[Criticidad]]="","Sin criticidad","OK")))))</f>
        <v>OK</v>
      </c>
      <c r="Q450" s="901" t="s">
        <v>3119</v>
      </c>
    </row>
    <row r="451" spans="2:17">
      <c r="B451" s="853" cm="1">
        <f t="array" ref="B451">ROW()-ROW(tblAvisos[#Headers])</f>
        <v>447</v>
      </c>
      <c r="C451" t="s">
        <v>41</v>
      </c>
      <c r="D451" s="871">
        <v>45956</v>
      </c>
      <c r="E451" s="900" t="s">
        <v>3120</v>
      </c>
      <c r="F451" t="s">
        <v>1315</v>
      </c>
      <c r="G451" t="s">
        <v>1322</v>
      </c>
      <c r="H451" t="s">
        <v>1158</v>
      </c>
      <c r="I451" t="s">
        <v>1173</v>
      </c>
      <c r="K451" t="s">
        <v>665</v>
      </c>
      <c r="L451" s="871"/>
      <c r="O451" s="256">
        <f ca="1">IF(OR(tblAvisos[[#This Row],[Estado trabajo]]="Cerrado",tblAvisos[[#This Row],[Fecha reporte]]=""),"",TODAY()-tblAvisos[[#This Row],[Fecha reporte]])</f>
        <v>339</v>
      </c>
      <c r="P451" t="str">
        <f ca="1">IF(tblAvisos[[#This Row],[Fecha reporte]]="","Sin fecha",IF(tblAvisos[[#This Row],[Fecha reporte]]&lt;DATE(2020,1,1),"Fecha inválida",IF(tblAvisos[[#This Row],[Fecha reporte]]&gt;TODAY(),"Fecha futura",IF(tblAvisos[[#This Row],[Aviso SAP]]="","Sin aviso SAP",IF(tblAvisos[[#This Row],[Criticidad]]="","Sin criticidad","OK")))))</f>
        <v>OK</v>
      </c>
      <c r="Q451" s="901" t="s">
        <v>3121</v>
      </c>
    </row>
    <row r="452" spans="2:17">
      <c r="B452" s="853" cm="1">
        <f t="array" ref="B452">ROW()-ROW(tblAvisos[#Headers])</f>
        <v>448</v>
      </c>
      <c r="C452" t="s">
        <v>41</v>
      </c>
      <c r="D452" s="871">
        <v>46040</v>
      </c>
      <c r="E452" s="900" t="s">
        <v>3122</v>
      </c>
      <c r="F452" t="s">
        <v>1324</v>
      </c>
      <c r="G452" t="s">
        <v>1325</v>
      </c>
      <c r="H452" t="s">
        <v>2507</v>
      </c>
      <c r="I452" t="s">
        <v>2512</v>
      </c>
      <c r="K452" t="s">
        <v>665</v>
      </c>
      <c r="L452" s="871"/>
      <c r="O452" s="256" t="str">
        <f ca="1">IF(OR(tblAvisos[[#This Row],[Estado trabajo]]="Cerrado",tblAvisos[[#This Row],[Fecha reporte]]=""),"",TODAY()-tblAvisos[[#This Row],[Fecha reporte]])</f>
        <v/>
      </c>
      <c r="P452" t="str">
        <f ca="1">IF(tblAvisos[[#This Row],[Fecha reporte]]="","Sin fecha",IF(tblAvisos[[#This Row],[Fecha reporte]]&lt;DATE(2020,1,1),"Fecha inválida",IF(tblAvisos[[#This Row],[Fecha reporte]]&gt;TODAY(),"Fecha futura",IF(tblAvisos[[#This Row],[Aviso SAP]]="","Sin aviso SAP",IF(tblAvisos[[#This Row],[Criticidad]]="","Sin criticidad","OK")))))</f>
        <v>OK</v>
      </c>
      <c r="Q452" s="901" t="s">
        <v>3123</v>
      </c>
    </row>
    <row r="453" spans="2:17">
      <c r="B453" s="853" cm="1">
        <f t="array" ref="B453">ROW()-ROW(tblAvisos[#Headers])</f>
        <v>449</v>
      </c>
      <c r="C453" t="s">
        <v>41</v>
      </c>
      <c r="D453" s="871">
        <v>45939</v>
      </c>
      <c r="E453" s="900" t="s">
        <v>3124</v>
      </c>
      <c r="F453" t="s">
        <v>1324</v>
      </c>
      <c r="G453" t="s">
        <v>1327</v>
      </c>
      <c r="H453" t="s">
        <v>2506</v>
      </c>
      <c r="I453" t="s">
        <v>1173</v>
      </c>
      <c r="K453" t="s">
        <v>668</v>
      </c>
      <c r="L453" s="871"/>
      <c r="O453" s="256">
        <f ca="1">IF(OR(tblAvisos[[#This Row],[Estado trabajo]]="Cerrado",tblAvisos[[#This Row],[Fecha reporte]]=""),"",TODAY()-tblAvisos[[#This Row],[Fecha reporte]])</f>
        <v>356</v>
      </c>
      <c r="P453" t="str">
        <f ca="1">IF(tblAvisos[[#This Row],[Fecha reporte]]="","Sin fecha",IF(tblAvisos[[#This Row],[Fecha reporte]]&lt;DATE(2020,1,1),"Fecha inválida",IF(tblAvisos[[#This Row],[Fecha reporte]]&gt;TODAY(),"Fecha futura",IF(tblAvisos[[#This Row],[Aviso SAP]]="","Sin aviso SAP",IF(tblAvisos[[#This Row],[Criticidad]]="","Sin criticidad","OK")))))</f>
        <v>OK</v>
      </c>
      <c r="Q453" s="901" t="s">
        <v>3125</v>
      </c>
    </row>
    <row r="454" spans="2:17">
      <c r="B454" s="853" cm="1">
        <f t="array" ref="B454">ROW()-ROW(tblAvisos[#Headers])</f>
        <v>450</v>
      </c>
      <c r="C454" t="s">
        <v>41</v>
      </c>
      <c r="D454" s="871">
        <v>45956</v>
      </c>
      <c r="E454" s="900" t="s">
        <v>3126</v>
      </c>
      <c r="F454" t="s">
        <v>1324</v>
      </c>
      <c r="G454" t="s">
        <v>1320</v>
      </c>
      <c r="H454" t="s">
        <v>1158</v>
      </c>
      <c r="I454" t="s">
        <v>1173</v>
      </c>
      <c r="K454" t="s">
        <v>668</v>
      </c>
      <c r="L454" s="871"/>
      <c r="O454" s="256">
        <f ca="1">IF(OR(tblAvisos[[#This Row],[Estado trabajo]]="Cerrado",tblAvisos[[#This Row],[Fecha reporte]]=""),"",TODAY()-tblAvisos[[#This Row],[Fecha reporte]])</f>
        <v>339</v>
      </c>
      <c r="P454" t="str">
        <f ca="1">IF(tblAvisos[[#This Row],[Fecha reporte]]="","Sin fecha",IF(tblAvisos[[#This Row],[Fecha reporte]]&lt;DATE(2020,1,1),"Fecha inválida",IF(tblAvisos[[#This Row],[Fecha reporte]]&gt;TODAY(),"Fecha futura",IF(tblAvisos[[#This Row],[Aviso SAP]]="","Sin aviso SAP",IF(tblAvisos[[#This Row],[Criticidad]]="","Sin criticidad","OK")))))</f>
        <v>OK</v>
      </c>
      <c r="Q454" s="901" t="s">
        <v>3127</v>
      </c>
    </row>
    <row r="455" spans="2:17">
      <c r="B455" s="853" cm="1">
        <f t="array" ref="B455">ROW()-ROW(tblAvisos[#Headers])</f>
        <v>451</v>
      </c>
      <c r="C455" t="s">
        <v>41</v>
      </c>
      <c r="D455" s="871">
        <v>46047</v>
      </c>
      <c r="E455" s="900" t="s">
        <v>3128</v>
      </c>
      <c r="F455" t="s">
        <v>1324</v>
      </c>
      <c r="G455" t="s">
        <v>1328</v>
      </c>
      <c r="H455" t="s">
        <v>1170</v>
      </c>
      <c r="I455" t="s">
        <v>1173</v>
      </c>
      <c r="K455" t="s">
        <v>665</v>
      </c>
      <c r="L455" s="871"/>
      <c r="O455" s="256">
        <f ca="1">IF(OR(tblAvisos[[#This Row],[Estado trabajo]]="Cerrado",tblAvisos[[#This Row],[Fecha reporte]]=""),"",TODAY()-tblAvisos[[#This Row],[Fecha reporte]])</f>
        <v>248</v>
      </c>
      <c r="P455" t="str">
        <f ca="1">IF(tblAvisos[[#This Row],[Fecha reporte]]="","Sin fecha",IF(tblAvisos[[#This Row],[Fecha reporte]]&lt;DATE(2020,1,1),"Fecha inválida",IF(tblAvisos[[#This Row],[Fecha reporte]]&gt;TODAY(),"Fecha futura",IF(tblAvisos[[#This Row],[Aviso SAP]]="","Sin aviso SAP",IF(tblAvisos[[#This Row],[Criticidad]]="","Sin criticidad","OK")))))</f>
        <v>OK</v>
      </c>
      <c r="Q455" s="901" t="s">
        <v>3129</v>
      </c>
    </row>
    <row r="456" spans="2:17">
      <c r="B456" s="853" cm="1">
        <f t="array" ref="B456">ROW()-ROW(tblAvisos[#Headers])</f>
        <v>452</v>
      </c>
      <c r="C456" t="s">
        <v>41</v>
      </c>
      <c r="D456" s="871">
        <v>46297</v>
      </c>
      <c r="E456" s="900" t="s">
        <v>3130</v>
      </c>
      <c r="F456" t="s">
        <v>1329</v>
      </c>
      <c r="G456" t="s">
        <v>1330</v>
      </c>
      <c r="H456" t="s">
        <v>1158</v>
      </c>
      <c r="I456" t="s">
        <v>1173</v>
      </c>
      <c r="K456" t="s">
        <v>665</v>
      </c>
      <c r="L456" s="871"/>
      <c r="O456" s="256">
        <f ca="1">IF(OR(tblAvisos[[#This Row],[Estado trabajo]]="Cerrado",tblAvisos[[#This Row],[Fecha reporte]]=""),"",TODAY()-tblAvisos[[#This Row],[Fecha reporte]])</f>
        <v>-2</v>
      </c>
      <c r="P456" t="str">
        <f ca="1">IF(tblAvisos[[#This Row],[Fecha reporte]]="","Sin fecha",IF(tblAvisos[[#This Row],[Fecha reporte]]&lt;DATE(2020,1,1),"Fecha inválida",IF(tblAvisos[[#This Row],[Fecha reporte]]&gt;TODAY(),"Fecha futura",IF(tblAvisos[[#This Row],[Aviso SAP]]="","Sin aviso SAP",IF(tblAvisos[[#This Row],[Criticidad]]="","Sin criticidad","OK")))))</f>
        <v>Fecha futura</v>
      </c>
      <c r="Q456" s="901" t="s">
        <v>3131</v>
      </c>
    </row>
    <row r="457" spans="2:17">
      <c r="B457" s="853" cm="1">
        <f t="array" ref="B457">ROW()-ROW(tblAvisos[#Headers])</f>
        <v>453</v>
      </c>
      <c r="C457" t="s">
        <v>41</v>
      </c>
      <c r="D457" s="871">
        <v>46068</v>
      </c>
      <c r="E457" s="900" t="s">
        <v>3132</v>
      </c>
      <c r="F457" t="s">
        <v>1329</v>
      </c>
      <c r="G457" t="s">
        <v>1331</v>
      </c>
      <c r="H457" t="s">
        <v>1158</v>
      </c>
      <c r="I457" t="s">
        <v>1173</v>
      </c>
      <c r="K457" t="s">
        <v>665</v>
      </c>
      <c r="L457" s="871"/>
      <c r="O457" s="256">
        <f ca="1">IF(OR(tblAvisos[[#This Row],[Estado trabajo]]="Cerrado",tblAvisos[[#This Row],[Fecha reporte]]=""),"",TODAY()-tblAvisos[[#This Row],[Fecha reporte]])</f>
        <v>227</v>
      </c>
      <c r="P457" t="str">
        <f ca="1">IF(tblAvisos[[#This Row],[Fecha reporte]]="","Sin fecha",IF(tblAvisos[[#This Row],[Fecha reporte]]&lt;DATE(2020,1,1),"Fecha inválida",IF(tblAvisos[[#This Row],[Fecha reporte]]&gt;TODAY(),"Fecha futura",IF(tblAvisos[[#This Row],[Aviso SAP]]="","Sin aviso SAP",IF(tblAvisos[[#This Row],[Criticidad]]="","Sin criticidad","OK")))))</f>
        <v>OK</v>
      </c>
      <c r="Q457" s="901" t="s">
        <v>3133</v>
      </c>
    </row>
    <row r="458" spans="2:17">
      <c r="B458" s="853" cm="1">
        <f t="array" ref="B458">ROW()-ROW(tblAvisos[#Headers])</f>
        <v>454</v>
      </c>
      <c r="C458" t="s">
        <v>41</v>
      </c>
      <c r="D458" s="871">
        <v>46068</v>
      </c>
      <c r="E458" s="900" t="s">
        <v>3134</v>
      </c>
      <c r="F458" t="s">
        <v>1329</v>
      </c>
      <c r="G458" t="s">
        <v>1332</v>
      </c>
      <c r="H458" t="s">
        <v>1170</v>
      </c>
      <c r="I458" t="s">
        <v>1173</v>
      </c>
      <c r="K458" t="s">
        <v>668</v>
      </c>
      <c r="L458" s="871"/>
      <c r="O458" s="256">
        <f ca="1">IF(OR(tblAvisos[[#This Row],[Estado trabajo]]="Cerrado",tblAvisos[[#This Row],[Fecha reporte]]=""),"",TODAY()-tblAvisos[[#This Row],[Fecha reporte]])</f>
        <v>227</v>
      </c>
      <c r="P458" t="str">
        <f ca="1">IF(tblAvisos[[#This Row],[Fecha reporte]]="","Sin fecha",IF(tblAvisos[[#This Row],[Fecha reporte]]&lt;DATE(2020,1,1),"Fecha inválida",IF(tblAvisos[[#This Row],[Fecha reporte]]&gt;TODAY(),"Fecha futura",IF(tblAvisos[[#This Row],[Aviso SAP]]="","Sin aviso SAP",IF(tblAvisos[[#This Row],[Criticidad]]="","Sin criticidad","OK")))))</f>
        <v>OK</v>
      </c>
      <c r="Q458" s="901" t="s">
        <v>3135</v>
      </c>
    </row>
    <row r="459" spans="2:17">
      <c r="B459" s="853" cm="1">
        <f t="array" ref="B459">ROW()-ROW(tblAvisos[#Headers])</f>
        <v>455</v>
      </c>
      <c r="C459" t="s">
        <v>41</v>
      </c>
      <c r="D459" s="871">
        <v>46357</v>
      </c>
      <c r="E459" s="900" t="s">
        <v>3136</v>
      </c>
      <c r="F459" t="s">
        <v>1329</v>
      </c>
      <c r="G459" t="s">
        <v>1333</v>
      </c>
      <c r="H459" t="s">
        <v>1158</v>
      </c>
      <c r="I459" t="s">
        <v>1173</v>
      </c>
      <c r="K459" t="s">
        <v>668</v>
      </c>
      <c r="L459" s="871"/>
      <c r="O459" s="256">
        <f ca="1">IF(OR(tblAvisos[[#This Row],[Estado trabajo]]="Cerrado",tblAvisos[[#This Row],[Fecha reporte]]=""),"",TODAY()-tblAvisos[[#This Row],[Fecha reporte]])</f>
        <v>-62</v>
      </c>
      <c r="P459" t="str">
        <f ca="1">IF(tblAvisos[[#This Row],[Fecha reporte]]="","Sin fecha",IF(tblAvisos[[#This Row],[Fecha reporte]]&lt;DATE(2020,1,1),"Fecha inválida",IF(tblAvisos[[#This Row],[Fecha reporte]]&gt;TODAY(),"Fecha futura",IF(tblAvisos[[#This Row],[Aviso SAP]]="","Sin aviso SAP",IF(tblAvisos[[#This Row],[Criticidad]]="","Sin criticidad","OK")))))</f>
        <v>Fecha futura</v>
      </c>
      <c r="Q459" s="901" t="s">
        <v>3137</v>
      </c>
    </row>
    <row r="460" spans="2:17">
      <c r="B460" s="853" cm="1">
        <f t="array" ref="B460">ROW()-ROW(tblAvisos[#Headers])</f>
        <v>456</v>
      </c>
      <c r="C460" t="s">
        <v>41</v>
      </c>
      <c r="D460" s="871">
        <v>46068</v>
      </c>
      <c r="E460" s="900" t="s">
        <v>3138</v>
      </c>
      <c r="F460" t="s">
        <v>1329</v>
      </c>
      <c r="G460" t="s">
        <v>1334</v>
      </c>
      <c r="H460" t="s">
        <v>1158</v>
      </c>
      <c r="I460" t="s">
        <v>1173</v>
      </c>
      <c r="K460" t="s">
        <v>665</v>
      </c>
      <c r="L460" s="871"/>
      <c r="O460" s="256">
        <f ca="1">IF(OR(tblAvisos[[#This Row],[Estado trabajo]]="Cerrado",tblAvisos[[#This Row],[Fecha reporte]]=""),"",TODAY()-tblAvisos[[#This Row],[Fecha reporte]])</f>
        <v>227</v>
      </c>
      <c r="P460" t="str">
        <f ca="1">IF(tblAvisos[[#This Row],[Fecha reporte]]="","Sin fecha",IF(tblAvisos[[#This Row],[Fecha reporte]]&lt;DATE(2020,1,1),"Fecha inválida",IF(tblAvisos[[#This Row],[Fecha reporte]]&gt;TODAY(),"Fecha futura",IF(tblAvisos[[#This Row],[Aviso SAP]]="","Sin aviso SAP",IF(tblAvisos[[#This Row],[Criticidad]]="","Sin criticidad","OK")))))</f>
        <v>OK</v>
      </c>
      <c r="Q460" s="901" t="s">
        <v>3139</v>
      </c>
    </row>
    <row r="461" spans="2:17">
      <c r="B461" s="853" cm="1">
        <f t="array" ref="B461">ROW()-ROW(tblAvisos[#Headers])</f>
        <v>457</v>
      </c>
      <c r="C461" t="s">
        <v>41</v>
      </c>
      <c r="D461" s="871">
        <v>46042</v>
      </c>
      <c r="E461" s="900" t="s">
        <v>3140</v>
      </c>
      <c r="F461" t="s">
        <v>1329</v>
      </c>
      <c r="G461" t="s">
        <v>1335</v>
      </c>
      <c r="H461" t="s">
        <v>1158</v>
      </c>
      <c r="I461" t="s">
        <v>1173</v>
      </c>
      <c r="K461" t="s">
        <v>665</v>
      </c>
      <c r="L461" s="871"/>
      <c r="O461" s="256">
        <f ca="1">IF(OR(tblAvisos[[#This Row],[Estado trabajo]]="Cerrado",tblAvisos[[#This Row],[Fecha reporte]]=""),"",TODAY()-tblAvisos[[#This Row],[Fecha reporte]])</f>
        <v>253</v>
      </c>
      <c r="P461" t="str">
        <f ca="1">IF(tblAvisos[[#This Row],[Fecha reporte]]="","Sin fecha",IF(tblAvisos[[#This Row],[Fecha reporte]]&lt;DATE(2020,1,1),"Fecha inválida",IF(tblAvisos[[#This Row],[Fecha reporte]]&gt;TODAY(),"Fecha futura",IF(tblAvisos[[#This Row],[Aviso SAP]]="","Sin aviso SAP",IF(tblAvisos[[#This Row],[Criticidad]]="","Sin criticidad","OK")))))</f>
        <v>OK</v>
      </c>
      <c r="Q461" s="901" t="s">
        <v>3141</v>
      </c>
    </row>
    <row r="462" spans="2:17">
      <c r="B462" s="853" cm="1">
        <f t="array" ref="B462">ROW()-ROW(tblAvisos[#Headers])</f>
        <v>458</v>
      </c>
      <c r="C462" t="s">
        <v>41</v>
      </c>
      <c r="D462" s="871">
        <v>45721</v>
      </c>
      <c r="E462" s="900" t="s">
        <v>3142</v>
      </c>
      <c r="F462" t="s">
        <v>1329</v>
      </c>
      <c r="G462" t="s">
        <v>1336</v>
      </c>
      <c r="H462" t="s">
        <v>1158</v>
      </c>
      <c r="I462" t="s">
        <v>1173</v>
      </c>
      <c r="K462" t="s">
        <v>665</v>
      </c>
      <c r="L462" s="871"/>
      <c r="O462" s="256">
        <f ca="1">IF(OR(tblAvisos[[#This Row],[Estado trabajo]]="Cerrado",tblAvisos[[#This Row],[Fecha reporte]]=""),"",TODAY()-tblAvisos[[#This Row],[Fecha reporte]])</f>
        <v>574</v>
      </c>
      <c r="P462" t="str">
        <f ca="1">IF(tblAvisos[[#This Row],[Fecha reporte]]="","Sin fecha",IF(tblAvisos[[#This Row],[Fecha reporte]]&lt;DATE(2020,1,1),"Fecha inválida",IF(tblAvisos[[#This Row],[Fecha reporte]]&gt;TODAY(),"Fecha futura",IF(tblAvisos[[#This Row],[Aviso SAP]]="","Sin aviso SAP",IF(tblAvisos[[#This Row],[Criticidad]]="","Sin criticidad","OK")))))</f>
        <v>OK</v>
      </c>
      <c r="Q462" s="901" t="s">
        <v>3143</v>
      </c>
    </row>
    <row r="463" spans="2:17">
      <c r="B463" s="853" cm="1">
        <f t="array" ref="B463">ROW()-ROW(tblAvisos[#Headers])</f>
        <v>459</v>
      </c>
      <c r="C463" t="s">
        <v>41</v>
      </c>
      <c r="D463" s="871">
        <v>45864</v>
      </c>
      <c r="E463" s="900" t="s">
        <v>3144</v>
      </c>
      <c r="F463" t="s">
        <v>1329</v>
      </c>
      <c r="G463" t="s">
        <v>1301</v>
      </c>
      <c r="H463" t="s">
        <v>1158</v>
      </c>
      <c r="I463" t="s">
        <v>1173</v>
      </c>
      <c r="K463" t="s">
        <v>665</v>
      </c>
      <c r="L463" s="871"/>
      <c r="O463" s="256">
        <f ca="1">IF(OR(tblAvisos[[#This Row],[Estado trabajo]]="Cerrado",tblAvisos[[#This Row],[Fecha reporte]]=""),"",TODAY()-tblAvisos[[#This Row],[Fecha reporte]])</f>
        <v>431</v>
      </c>
      <c r="P463" t="str">
        <f ca="1">IF(tblAvisos[[#This Row],[Fecha reporte]]="","Sin fecha",IF(tblAvisos[[#This Row],[Fecha reporte]]&lt;DATE(2020,1,1),"Fecha inválida",IF(tblAvisos[[#This Row],[Fecha reporte]]&gt;TODAY(),"Fecha futura",IF(tblAvisos[[#This Row],[Aviso SAP]]="","Sin aviso SAP",IF(tblAvisos[[#This Row],[Criticidad]]="","Sin criticidad","OK")))))</f>
        <v>OK</v>
      </c>
      <c r="Q463" s="901" t="s">
        <v>3145</v>
      </c>
    </row>
    <row r="464" spans="2:17">
      <c r="B464" s="853" cm="1">
        <f t="array" ref="B464">ROW()-ROW(tblAvisos[#Headers])</f>
        <v>460</v>
      </c>
      <c r="C464" t="s">
        <v>41</v>
      </c>
      <c r="D464" s="871">
        <v>46358</v>
      </c>
      <c r="E464" s="900" t="s">
        <v>3146</v>
      </c>
      <c r="F464" t="s">
        <v>1337</v>
      </c>
      <c r="G464" t="s">
        <v>1338</v>
      </c>
      <c r="H464" t="s">
        <v>2507</v>
      </c>
      <c r="I464" t="s">
        <v>2512</v>
      </c>
      <c r="K464" t="s">
        <v>668</v>
      </c>
      <c r="L464" s="871"/>
      <c r="O464" s="256" t="str">
        <f ca="1">IF(OR(tblAvisos[[#This Row],[Estado trabajo]]="Cerrado",tblAvisos[[#This Row],[Fecha reporte]]=""),"",TODAY()-tblAvisos[[#This Row],[Fecha reporte]])</f>
        <v/>
      </c>
      <c r="P464" t="str">
        <f ca="1">IF(tblAvisos[[#This Row],[Fecha reporte]]="","Sin fecha",IF(tblAvisos[[#This Row],[Fecha reporte]]&lt;DATE(2020,1,1),"Fecha inválida",IF(tblAvisos[[#This Row],[Fecha reporte]]&gt;TODAY(),"Fecha futura",IF(tblAvisos[[#This Row],[Aviso SAP]]="","Sin aviso SAP",IF(tblAvisos[[#This Row],[Criticidad]]="","Sin criticidad","OK")))))</f>
        <v>Fecha futura</v>
      </c>
      <c r="Q464" s="901" t="s">
        <v>3147</v>
      </c>
    </row>
    <row r="465" spans="2:17">
      <c r="B465" s="853" cm="1">
        <f t="array" ref="B465">ROW()-ROW(tblAvisos[#Headers])</f>
        <v>461</v>
      </c>
      <c r="C465" t="s">
        <v>41</v>
      </c>
      <c r="D465" s="871">
        <v>46297</v>
      </c>
      <c r="E465" s="900" t="s">
        <v>3148</v>
      </c>
      <c r="F465" t="s">
        <v>1337</v>
      </c>
      <c r="G465" t="s">
        <v>1339</v>
      </c>
      <c r="H465" t="s">
        <v>2507</v>
      </c>
      <c r="I465" t="s">
        <v>1173</v>
      </c>
      <c r="K465" t="s">
        <v>668</v>
      </c>
      <c r="L465" s="871"/>
      <c r="O465" s="256">
        <f ca="1">IF(OR(tblAvisos[[#This Row],[Estado trabajo]]="Cerrado",tblAvisos[[#This Row],[Fecha reporte]]=""),"",TODAY()-tblAvisos[[#This Row],[Fecha reporte]])</f>
        <v>-2</v>
      </c>
      <c r="P465" t="str">
        <f ca="1">IF(tblAvisos[[#This Row],[Fecha reporte]]="","Sin fecha",IF(tblAvisos[[#This Row],[Fecha reporte]]&lt;DATE(2020,1,1),"Fecha inválida",IF(tblAvisos[[#This Row],[Fecha reporte]]&gt;TODAY(),"Fecha futura",IF(tblAvisos[[#This Row],[Aviso SAP]]="","Sin aviso SAP",IF(tblAvisos[[#This Row],[Criticidad]]="","Sin criticidad","OK")))))</f>
        <v>Fecha futura</v>
      </c>
      <c r="Q465" s="901" t="s">
        <v>3149</v>
      </c>
    </row>
    <row r="466" spans="2:17">
      <c r="B466" s="853" cm="1">
        <f t="array" ref="B466">ROW()-ROW(tblAvisos[#Headers])</f>
        <v>462</v>
      </c>
      <c r="C466" t="s">
        <v>41</v>
      </c>
      <c r="D466" s="871">
        <v>46328</v>
      </c>
      <c r="E466" s="900" t="s">
        <v>3150</v>
      </c>
      <c r="F466" t="s">
        <v>1337</v>
      </c>
      <c r="G466" t="s">
        <v>1340</v>
      </c>
      <c r="H466" t="s">
        <v>1158</v>
      </c>
      <c r="I466" t="s">
        <v>1173</v>
      </c>
      <c r="K466" t="s">
        <v>665</v>
      </c>
      <c r="L466" s="871"/>
      <c r="O466" s="256">
        <f ca="1">IF(OR(tblAvisos[[#This Row],[Estado trabajo]]="Cerrado",tblAvisos[[#This Row],[Fecha reporte]]=""),"",TODAY()-tblAvisos[[#This Row],[Fecha reporte]])</f>
        <v>-33</v>
      </c>
      <c r="P466" t="str">
        <f ca="1">IF(tblAvisos[[#This Row],[Fecha reporte]]="","Sin fecha",IF(tblAvisos[[#This Row],[Fecha reporte]]&lt;DATE(2020,1,1),"Fecha inválida",IF(tblAvisos[[#This Row],[Fecha reporte]]&gt;TODAY(),"Fecha futura",IF(tblAvisos[[#This Row],[Aviso SAP]]="","Sin aviso SAP",IF(tblAvisos[[#This Row],[Criticidad]]="","Sin criticidad","OK")))))</f>
        <v>Fecha futura</v>
      </c>
      <c r="Q466" s="901" t="s">
        <v>3151</v>
      </c>
    </row>
    <row r="467" spans="2:17">
      <c r="B467" s="853" cm="1">
        <f t="array" ref="B467">ROW()-ROW(tblAvisos[#Headers])</f>
        <v>463</v>
      </c>
      <c r="C467" t="s">
        <v>41</v>
      </c>
      <c r="D467" s="871">
        <v>46067</v>
      </c>
      <c r="E467" s="900" t="s">
        <v>3152</v>
      </c>
      <c r="F467" t="s">
        <v>1337</v>
      </c>
      <c r="G467" t="s">
        <v>1341</v>
      </c>
      <c r="H467" t="s">
        <v>2506</v>
      </c>
      <c r="I467" t="s">
        <v>1173</v>
      </c>
      <c r="K467" t="s">
        <v>665</v>
      </c>
      <c r="L467" s="871"/>
      <c r="O467" s="256">
        <f ca="1">IF(OR(tblAvisos[[#This Row],[Estado trabajo]]="Cerrado",tblAvisos[[#This Row],[Fecha reporte]]=""),"",TODAY()-tblAvisos[[#This Row],[Fecha reporte]])</f>
        <v>228</v>
      </c>
      <c r="P467" t="str">
        <f ca="1">IF(tblAvisos[[#This Row],[Fecha reporte]]="","Sin fecha",IF(tblAvisos[[#This Row],[Fecha reporte]]&lt;DATE(2020,1,1),"Fecha inválida",IF(tblAvisos[[#This Row],[Fecha reporte]]&gt;TODAY(),"Fecha futura",IF(tblAvisos[[#This Row],[Aviso SAP]]="","Sin aviso SAP",IF(tblAvisos[[#This Row],[Criticidad]]="","Sin criticidad","OK")))))</f>
        <v>OK</v>
      </c>
      <c r="Q467" s="901" t="s">
        <v>3153</v>
      </c>
    </row>
    <row r="468" spans="2:17">
      <c r="B468" s="853" cm="1">
        <f t="array" ref="B468">ROW()-ROW(tblAvisos[#Headers])</f>
        <v>464</v>
      </c>
      <c r="C468" t="s">
        <v>41</v>
      </c>
      <c r="D468" s="871">
        <v>46051</v>
      </c>
      <c r="E468" s="900" t="s">
        <v>3154</v>
      </c>
      <c r="F468" t="s">
        <v>1337</v>
      </c>
      <c r="G468" t="s">
        <v>1342</v>
      </c>
      <c r="H468" t="s">
        <v>1158</v>
      </c>
      <c r="I468" t="s">
        <v>1173</v>
      </c>
      <c r="K468" t="s">
        <v>665</v>
      </c>
      <c r="L468" s="871"/>
      <c r="O468" s="256">
        <f ca="1">IF(OR(tblAvisos[[#This Row],[Estado trabajo]]="Cerrado",tblAvisos[[#This Row],[Fecha reporte]]=""),"",TODAY()-tblAvisos[[#This Row],[Fecha reporte]])</f>
        <v>244</v>
      </c>
      <c r="P468" t="str">
        <f ca="1">IF(tblAvisos[[#This Row],[Fecha reporte]]="","Sin fecha",IF(tblAvisos[[#This Row],[Fecha reporte]]&lt;DATE(2020,1,1),"Fecha inválida",IF(tblAvisos[[#This Row],[Fecha reporte]]&gt;TODAY(),"Fecha futura",IF(tblAvisos[[#This Row],[Aviso SAP]]="","Sin aviso SAP",IF(tblAvisos[[#This Row],[Criticidad]]="","Sin criticidad","OK")))))</f>
        <v>OK</v>
      </c>
      <c r="Q468" s="901" t="s">
        <v>3155</v>
      </c>
    </row>
    <row r="469" spans="2:17">
      <c r="B469" s="853" cm="1">
        <f t="array" ref="B469">ROW()-ROW(tblAvisos[#Headers])</f>
        <v>465</v>
      </c>
      <c r="C469" t="s">
        <v>41</v>
      </c>
      <c r="D469" s="871">
        <v>46267</v>
      </c>
      <c r="E469" s="900" t="s">
        <v>3156</v>
      </c>
      <c r="F469" t="s">
        <v>1337</v>
      </c>
      <c r="G469" t="s">
        <v>1343</v>
      </c>
      <c r="H469" t="s">
        <v>1158</v>
      </c>
      <c r="I469" t="s">
        <v>2512</v>
      </c>
      <c r="K469" t="s">
        <v>665</v>
      </c>
      <c r="L469" s="871"/>
      <c r="O469" s="256" t="str">
        <f ca="1">IF(OR(tblAvisos[[#This Row],[Estado trabajo]]="Cerrado",tblAvisos[[#This Row],[Fecha reporte]]=""),"",TODAY()-tblAvisos[[#This Row],[Fecha reporte]])</f>
        <v/>
      </c>
      <c r="P469" t="str">
        <f ca="1">IF(tblAvisos[[#This Row],[Fecha reporte]]="","Sin fecha",IF(tblAvisos[[#This Row],[Fecha reporte]]&lt;DATE(2020,1,1),"Fecha inválida",IF(tblAvisos[[#This Row],[Fecha reporte]]&gt;TODAY(),"Fecha futura",IF(tblAvisos[[#This Row],[Aviso SAP]]="","Sin aviso SAP",IF(tblAvisos[[#This Row],[Criticidad]]="","Sin criticidad","OK")))))</f>
        <v>OK</v>
      </c>
      <c r="Q469" s="901" t="s">
        <v>3157</v>
      </c>
    </row>
    <row r="470" spans="2:17">
      <c r="B470" s="853" cm="1">
        <f t="array" ref="B470">ROW()-ROW(tblAvisos[#Headers])</f>
        <v>466</v>
      </c>
      <c r="C470" t="s">
        <v>41</v>
      </c>
      <c r="D470" s="871">
        <v>46083</v>
      </c>
      <c r="E470" s="900" t="s">
        <v>3158</v>
      </c>
      <c r="F470" t="s">
        <v>1337</v>
      </c>
      <c r="G470" t="s">
        <v>1344</v>
      </c>
      <c r="H470" t="s">
        <v>1158</v>
      </c>
      <c r="I470" t="s">
        <v>1173</v>
      </c>
      <c r="K470" t="s">
        <v>665</v>
      </c>
      <c r="L470" s="871"/>
      <c r="O470" s="256">
        <f ca="1">IF(OR(tblAvisos[[#This Row],[Estado trabajo]]="Cerrado",tblAvisos[[#This Row],[Fecha reporte]]=""),"",TODAY()-tblAvisos[[#This Row],[Fecha reporte]])</f>
        <v>212</v>
      </c>
      <c r="P470" t="str">
        <f ca="1">IF(tblAvisos[[#This Row],[Fecha reporte]]="","Sin fecha",IF(tblAvisos[[#This Row],[Fecha reporte]]&lt;DATE(2020,1,1),"Fecha inválida",IF(tblAvisos[[#This Row],[Fecha reporte]]&gt;TODAY(),"Fecha futura",IF(tblAvisos[[#This Row],[Aviso SAP]]="","Sin aviso SAP",IF(tblAvisos[[#This Row],[Criticidad]]="","Sin criticidad","OK")))))</f>
        <v>OK</v>
      </c>
      <c r="Q470" s="901" t="s">
        <v>3159</v>
      </c>
    </row>
    <row r="471" spans="2:17">
      <c r="B471" s="853" cm="1">
        <f t="array" ref="B471">ROW()-ROW(tblAvisos[#Headers])</f>
        <v>467</v>
      </c>
      <c r="C471" t="s">
        <v>41</v>
      </c>
      <c r="D471" s="871">
        <v>56658</v>
      </c>
      <c r="E471" s="900" t="s">
        <v>3160</v>
      </c>
      <c r="F471" t="s">
        <v>1345</v>
      </c>
      <c r="G471" t="s">
        <v>1346</v>
      </c>
      <c r="H471" t="s">
        <v>1158</v>
      </c>
      <c r="I471" t="s">
        <v>1173</v>
      </c>
      <c r="K471" t="s">
        <v>665</v>
      </c>
      <c r="L471" s="871"/>
      <c r="O471" s="256">
        <f ca="1">IF(OR(tblAvisos[[#This Row],[Estado trabajo]]="Cerrado",tblAvisos[[#This Row],[Fecha reporte]]=""),"",TODAY()-tblAvisos[[#This Row],[Fecha reporte]])</f>
        <v>-10363</v>
      </c>
      <c r="P471" t="str">
        <f ca="1">IF(tblAvisos[[#This Row],[Fecha reporte]]="","Sin fecha",IF(tblAvisos[[#This Row],[Fecha reporte]]&lt;DATE(2020,1,1),"Fecha inválida",IF(tblAvisos[[#This Row],[Fecha reporte]]&gt;TODAY(),"Fecha futura",IF(tblAvisos[[#This Row],[Aviso SAP]]="","Sin aviso SAP",IF(tblAvisos[[#This Row],[Criticidad]]="","Sin criticidad","OK")))))</f>
        <v>Fecha futura</v>
      </c>
      <c r="Q471" s="901" t="s">
        <v>3161</v>
      </c>
    </row>
    <row r="472" spans="2:17">
      <c r="B472" s="853" cm="1">
        <f t="array" ref="B472">ROW()-ROW(tblAvisos[#Headers])</f>
        <v>468</v>
      </c>
      <c r="C472" t="s">
        <v>41</v>
      </c>
      <c r="D472" s="871">
        <v>45905</v>
      </c>
      <c r="E472" s="900" t="s">
        <v>3162</v>
      </c>
      <c r="F472" t="s">
        <v>1345</v>
      </c>
      <c r="G472" t="s">
        <v>1347</v>
      </c>
      <c r="H472" t="s">
        <v>1158</v>
      </c>
      <c r="I472" t="s">
        <v>1173</v>
      </c>
      <c r="K472" t="s">
        <v>665</v>
      </c>
      <c r="L472" s="871"/>
      <c r="O472" s="256">
        <f ca="1">IF(OR(tblAvisos[[#This Row],[Estado trabajo]]="Cerrado",tblAvisos[[#This Row],[Fecha reporte]]=""),"",TODAY()-tblAvisos[[#This Row],[Fecha reporte]])</f>
        <v>390</v>
      </c>
      <c r="P472" t="str">
        <f ca="1">IF(tblAvisos[[#This Row],[Fecha reporte]]="","Sin fecha",IF(tblAvisos[[#This Row],[Fecha reporte]]&lt;DATE(2020,1,1),"Fecha inválida",IF(tblAvisos[[#This Row],[Fecha reporte]]&gt;TODAY(),"Fecha futura",IF(tblAvisos[[#This Row],[Aviso SAP]]="","Sin aviso SAP",IF(tblAvisos[[#This Row],[Criticidad]]="","Sin criticidad","OK")))))</f>
        <v>OK</v>
      </c>
      <c r="Q472" s="901" t="s">
        <v>3163</v>
      </c>
    </row>
    <row r="473" spans="2:17">
      <c r="B473" s="853" cm="1">
        <f t="array" ref="B473">ROW()-ROW(tblAvisos[#Headers])</f>
        <v>469</v>
      </c>
      <c r="C473" t="s">
        <v>41</v>
      </c>
      <c r="D473" s="871">
        <v>45942</v>
      </c>
      <c r="E473" s="900" t="s">
        <v>3164</v>
      </c>
      <c r="F473" t="s">
        <v>1345</v>
      </c>
      <c r="G473" t="s">
        <v>1348</v>
      </c>
      <c r="H473" t="s">
        <v>1158</v>
      </c>
      <c r="I473" t="s">
        <v>1173</v>
      </c>
      <c r="K473" t="s">
        <v>665</v>
      </c>
      <c r="L473" s="871"/>
      <c r="O473" s="256">
        <f ca="1">IF(OR(tblAvisos[[#This Row],[Estado trabajo]]="Cerrado",tblAvisos[[#This Row],[Fecha reporte]]=""),"",TODAY()-tblAvisos[[#This Row],[Fecha reporte]])</f>
        <v>353</v>
      </c>
      <c r="P473" t="str">
        <f ca="1">IF(tblAvisos[[#This Row],[Fecha reporte]]="","Sin fecha",IF(tblAvisos[[#This Row],[Fecha reporte]]&lt;DATE(2020,1,1),"Fecha inválida",IF(tblAvisos[[#This Row],[Fecha reporte]]&gt;TODAY(),"Fecha futura",IF(tblAvisos[[#This Row],[Aviso SAP]]="","Sin aviso SAP",IF(tblAvisos[[#This Row],[Criticidad]]="","Sin criticidad","OK")))))</f>
        <v>OK</v>
      </c>
      <c r="Q473" s="901" t="s">
        <v>3165</v>
      </c>
    </row>
    <row r="474" spans="2:17">
      <c r="B474" s="853" cm="1">
        <f t="array" ref="B474">ROW()-ROW(tblAvisos[#Headers])</f>
        <v>470</v>
      </c>
      <c r="C474" t="s">
        <v>41</v>
      </c>
      <c r="D474" s="871">
        <v>46051</v>
      </c>
      <c r="E474" s="900" t="s">
        <v>3166</v>
      </c>
      <c r="F474" t="s">
        <v>1349</v>
      </c>
      <c r="G474" t="s">
        <v>1350</v>
      </c>
      <c r="H474" t="s">
        <v>1158</v>
      </c>
      <c r="I474" t="s">
        <v>1173</v>
      </c>
      <c r="K474" t="s">
        <v>668</v>
      </c>
      <c r="L474" s="871"/>
      <c r="O474" s="256">
        <f ca="1">IF(OR(tblAvisos[[#This Row],[Estado trabajo]]="Cerrado",tblAvisos[[#This Row],[Fecha reporte]]=""),"",TODAY()-tblAvisos[[#This Row],[Fecha reporte]])</f>
        <v>244</v>
      </c>
      <c r="P474" t="str">
        <f ca="1">IF(tblAvisos[[#This Row],[Fecha reporte]]="","Sin fecha",IF(tblAvisos[[#This Row],[Fecha reporte]]&lt;DATE(2020,1,1),"Fecha inválida",IF(tblAvisos[[#This Row],[Fecha reporte]]&gt;TODAY(),"Fecha futura",IF(tblAvisos[[#This Row],[Aviso SAP]]="","Sin aviso SAP",IF(tblAvisos[[#This Row],[Criticidad]]="","Sin criticidad","OK")))))</f>
        <v>OK</v>
      </c>
      <c r="Q474" s="901" t="s">
        <v>3167</v>
      </c>
    </row>
    <row r="475" spans="2:17">
      <c r="B475" s="853" cm="1">
        <f t="array" ref="B475">ROW()-ROW(tblAvisos[#Headers])</f>
        <v>471</v>
      </c>
      <c r="C475" t="s">
        <v>41</v>
      </c>
      <c r="D475" s="871">
        <v>46051</v>
      </c>
      <c r="E475" s="900" t="s">
        <v>3168</v>
      </c>
      <c r="F475" t="s">
        <v>1349</v>
      </c>
      <c r="G475" t="s">
        <v>1351</v>
      </c>
      <c r="H475" t="s">
        <v>1158</v>
      </c>
      <c r="I475" t="s">
        <v>1173</v>
      </c>
      <c r="K475" t="s">
        <v>668</v>
      </c>
      <c r="L475" s="871"/>
      <c r="O475" s="256">
        <f ca="1">IF(OR(tblAvisos[[#This Row],[Estado trabajo]]="Cerrado",tblAvisos[[#This Row],[Fecha reporte]]=""),"",TODAY()-tblAvisos[[#This Row],[Fecha reporte]])</f>
        <v>244</v>
      </c>
      <c r="P475" t="str">
        <f ca="1">IF(tblAvisos[[#This Row],[Fecha reporte]]="","Sin fecha",IF(tblAvisos[[#This Row],[Fecha reporte]]&lt;DATE(2020,1,1),"Fecha inválida",IF(tblAvisos[[#This Row],[Fecha reporte]]&gt;TODAY(),"Fecha futura",IF(tblAvisos[[#This Row],[Aviso SAP]]="","Sin aviso SAP",IF(tblAvisos[[#This Row],[Criticidad]]="","Sin criticidad","OK")))))</f>
        <v>OK</v>
      </c>
      <c r="Q475" s="901" t="s">
        <v>3169</v>
      </c>
    </row>
    <row r="476" spans="2:17">
      <c r="B476" s="853" cm="1">
        <f t="array" ref="B476">ROW()-ROW(tblAvisos[#Headers])</f>
        <v>472</v>
      </c>
      <c r="C476" t="s">
        <v>41</v>
      </c>
      <c r="D476" s="871">
        <v>46357</v>
      </c>
      <c r="E476" s="900" t="s">
        <v>3170</v>
      </c>
      <c r="F476" t="s">
        <v>1349</v>
      </c>
      <c r="G476" t="s">
        <v>1352</v>
      </c>
      <c r="H476" t="s">
        <v>2507</v>
      </c>
      <c r="I476" t="s">
        <v>2512</v>
      </c>
      <c r="K476" t="s">
        <v>665</v>
      </c>
      <c r="L476" s="871"/>
      <c r="O476" s="256" t="str">
        <f ca="1">IF(OR(tblAvisos[[#This Row],[Estado trabajo]]="Cerrado",tblAvisos[[#This Row],[Fecha reporte]]=""),"",TODAY()-tblAvisos[[#This Row],[Fecha reporte]])</f>
        <v/>
      </c>
      <c r="P476" t="str">
        <f ca="1">IF(tblAvisos[[#This Row],[Fecha reporte]]="","Sin fecha",IF(tblAvisos[[#This Row],[Fecha reporte]]&lt;DATE(2020,1,1),"Fecha inválida",IF(tblAvisos[[#This Row],[Fecha reporte]]&gt;TODAY(),"Fecha futura",IF(tblAvisos[[#This Row],[Aviso SAP]]="","Sin aviso SAP",IF(tblAvisos[[#This Row],[Criticidad]]="","Sin criticidad","OK")))))</f>
        <v>Fecha futura</v>
      </c>
      <c r="Q476" s="901" t="s">
        <v>3171</v>
      </c>
    </row>
    <row r="477" spans="2:17">
      <c r="B477" s="853" cm="1">
        <f t="array" ref="B477">ROW()-ROW(tblAvisos[#Headers])</f>
        <v>473</v>
      </c>
      <c r="C477" t="s">
        <v>41</v>
      </c>
      <c r="D477" s="871">
        <v>46047</v>
      </c>
      <c r="E477" s="900" t="s">
        <v>3172</v>
      </c>
      <c r="F477" t="s">
        <v>1349</v>
      </c>
      <c r="G477" t="s">
        <v>1353</v>
      </c>
      <c r="H477" t="s">
        <v>1170</v>
      </c>
      <c r="I477" t="s">
        <v>1173</v>
      </c>
      <c r="K477" t="s">
        <v>668</v>
      </c>
      <c r="L477" s="871"/>
      <c r="O477" s="256">
        <f ca="1">IF(OR(tblAvisos[[#This Row],[Estado trabajo]]="Cerrado",tblAvisos[[#This Row],[Fecha reporte]]=""),"",TODAY()-tblAvisos[[#This Row],[Fecha reporte]])</f>
        <v>248</v>
      </c>
      <c r="P477" t="str">
        <f ca="1">IF(tblAvisos[[#This Row],[Fecha reporte]]="","Sin fecha",IF(tblAvisos[[#This Row],[Fecha reporte]]&lt;DATE(2020,1,1),"Fecha inválida",IF(tblAvisos[[#This Row],[Fecha reporte]]&gt;TODAY(),"Fecha futura",IF(tblAvisos[[#This Row],[Aviso SAP]]="","Sin aviso SAP",IF(tblAvisos[[#This Row],[Criticidad]]="","Sin criticidad","OK")))))</f>
        <v>OK</v>
      </c>
      <c r="Q477" s="901" t="s">
        <v>3173</v>
      </c>
    </row>
    <row r="478" spans="2:17">
      <c r="B478" s="853" cm="1">
        <f t="array" ref="B478">ROW()-ROW(tblAvisos[#Headers])</f>
        <v>474</v>
      </c>
      <c r="C478" t="s">
        <v>41</v>
      </c>
      <c r="D478" s="871">
        <v>45977</v>
      </c>
      <c r="E478" s="900" t="s">
        <v>3174</v>
      </c>
      <c r="F478" t="s">
        <v>1345</v>
      </c>
      <c r="G478" t="s">
        <v>1354</v>
      </c>
      <c r="H478" t="s">
        <v>1158</v>
      </c>
      <c r="I478" t="s">
        <v>1173</v>
      </c>
      <c r="K478" t="s">
        <v>668</v>
      </c>
      <c r="L478" s="871"/>
      <c r="O478" s="256">
        <f ca="1">IF(OR(tblAvisos[[#This Row],[Estado trabajo]]="Cerrado",tblAvisos[[#This Row],[Fecha reporte]]=""),"",TODAY()-tblAvisos[[#This Row],[Fecha reporte]])</f>
        <v>318</v>
      </c>
      <c r="P478" t="str">
        <f ca="1">IF(tblAvisos[[#This Row],[Fecha reporte]]="","Sin fecha",IF(tblAvisos[[#This Row],[Fecha reporte]]&lt;DATE(2020,1,1),"Fecha inválida",IF(tblAvisos[[#This Row],[Fecha reporte]]&gt;TODAY(),"Fecha futura",IF(tblAvisos[[#This Row],[Aviso SAP]]="","Sin aviso SAP",IF(tblAvisos[[#This Row],[Criticidad]]="","Sin criticidad","OK")))))</f>
        <v>OK</v>
      </c>
      <c r="Q478" s="901" t="s">
        <v>3175</v>
      </c>
    </row>
    <row r="479" spans="2:17">
      <c r="B479" s="853" cm="1">
        <f t="array" ref="B479">ROW()-ROW(tblAvisos[#Headers])</f>
        <v>475</v>
      </c>
      <c r="C479" t="s">
        <v>41</v>
      </c>
      <c r="D479" s="871">
        <v>45938</v>
      </c>
      <c r="E479" s="900" t="s">
        <v>3176</v>
      </c>
      <c r="F479" t="s">
        <v>1355</v>
      </c>
      <c r="G479" t="s">
        <v>1356</v>
      </c>
      <c r="H479" t="s">
        <v>1158</v>
      </c>
      <c r="I479" t="s">
        <v>1173</v>
      </c>
      <c r="K479" t="s">
        <v>668</v>
      </c>
      <c r="L479" s="871"/>
      <c r="O479" s="256">
        <f ca="1">IF(OR(tblAvisos[[#This Row],[Estado trabajo]]="Cerrado",tblAvisos[[#This Row],[Fecha reporte]]=""),"",TODAY()-tblAvisos[[#This Row],[Fecha reporte]])</f>
        <v>357</v>
      </c>
      <c r="P479" t="str">
        <f ca="1">IF(tblAvisos[[#This Row],[Fecha reporte]]="","Sin fecha",IF(tblAvisos[[#This Row],[Fecha reporte]]&lt;DATE(2020,1,1),"Fecha inválida",IF(tblAvisos[[#This Row],[Fecha reporte]]&gt;TODAY(),"Fecha futura",IF(tblAvisos[[#This Row],[Aviso SAP]]="","Sin aviso SAP",IF(tblAvisos[[#This Row],[Criticidad]]="","Sin criticidad","OK")))))</f>
        <v>OK</v>
      </c>
      <c r="Q479" s="901" t="s">
        <v>3177</v>
      </c>
    </row>
    <row r="480" spans="2:17">
      <c r="B480" s="853" cm="1">
        <f t="array" ref="B480">ROW()-ROW(tblAvisos[#Headers])</f>
        <v>476</v>
      </c>
      <c r="C480" t="s">
        <v>41</v>
      </c>
      <c r="D480" s="871"/>
      <c r="E480" s="900" t="s">
        <v>3178</v>
      </c>
      <c r="F480" t="s">
        <v>1355</v>
      </c>
      <c r="G480" t="s">
        <v>1358</v>
      </c>
      <c r="H480" t="s">
        <v>1158</v>
      </c>
      <c r="I480" t="s">
        <v>1173</v>
      </c>
      <c r="K480" t="s">
        <v>665</v>
      </c>
      <c r="L480" s="871"/>
      <c r="N480" t="s">
        <v>3228</v>
      </c>
      <c r="O480" s="256" t="str">
        <f ca="1">IF(OR(tblAvisos[[#This Row],[Estado trabajo]]="Cerrado",tblAvisos[[#This Row],[Fecha reporte]]=""),"",TODAY()-tblAvisos[[#This Row],[Fecha reporte]])</f>
        <v/>
      </c>
      <c r="P480" t="str">
        <f ca="1">IF(tblAvisos[[#This Row],[Fecha reporte]]="","Sin fecha",IF(tblAvisos[[#This Row],[Fecha reporte]]&lt;DATE(2020,1,1),"Fecha inválida",IF(tblAvisos[[#This Row],[Fecha reporte]]&gt;TODAY(),"Fecha futura",IF(tblAvisos[[#This Row],[Aviso SAP]]="","Sin aviso SAP",IF(tblAvisos[[#This Row],[Criticidad]]="","Sin criticidad","OK")))))</f>
        <v>Sin fecha</v>
      </c>
      <c r="Q480" s="901" t="s">
        <v>3179</v>
      </c>
    </row>
    <row r="481" spans="2:17">
      <c r="B481" s="853" cm="1">
        <f t="array" ref="B481">ROW()-ROW(tblAvisos[#Headers])</f>
        <v>477</v>
      </c>
      <c r="C481" t="s">
        <v>41</v>
      </c>
      <c r="D481" s="871">
        <v>45973</v>
      </c>
      <c r="E481" s="900" t="s">
        <v>3180</v>
      </c>
      <c r="F481" t="s">
        <v>1359</v>
      </c>
      <c r="G481" t="s">
        <v>1360</v>
      </c>
      <c r="H481" t="s">
        <v>2507</v>
      </c>
      <c r="I481" t="s">
        <v>1173</v>
      </c>
      <c r="K481" t="s">
        <v>668</v>
      </c>
      <c r="L481" s="871"/>
      <c r="O481" s="256">
        <f ca="1">IF(OR(tblAvisos[[#This Row],[Estado trabajo]]="Cerrado",tblAvisos[[#This Row],[Fecha reporte]]=""),"",TODAY()-tblAvisos[[#This Row],[Fecha reporte]])</f>
        <v>322</v>
      </c>
      <c r="P481" t="str">
        <f ca="1">IF(tblAvisos[[#This Row],[Fecha reporte]]="","Sin fecha",IF(tblAvisos[[#This Row],[Fecha reporte]]&lt;DATE(2020,1,1),"Fecha inválida",IF(tblAvisos[[#This Row],[Fecha reporte]]&gt;TODAY(),"Fecha futura",IF(tblAvisos[[#This Row],[Aviso SAP]]="","Sin aviso SAP",IF(tblAvisos[[#This Row],[Criticidad]]="","Sin criticidad","OK")))))</f>
        <v>OK</v>
      </c>
      <c r="Q481" s="901" t="s">
        <v>3181</v>
      </c>
    </row>
    <row r="482" spans="2:17">
      <c r="B482" s="853" cm="1">
        <f t="array" ref="B482">ROW()-ROW(tblAvisos[#Headers])</f>
        <v>478</v>
      </c>
      <c r="C482" t="s">
        <v>41</v>
      </c>
      <c r="D482" s="871">
        <v>46068</v>
      </c>
      <c r="E482" s="900" t="s">
        <v>3182</v>
      </c>
      <c r="F482" t="s">
        <v>1361</v>
      </c>
      <c r="G482" t="s">
        <v>1362</v>
      </c>
      <c r="H482" t="s">
        <v>1170</v>
      </c>
      <c r="I482" t="s">
        <v>1173</v>
      </c>
      <c r="K482" t="s">
        <v>668</v>
      </c>
      <c r="L482" s="871"/>
      <c r="O482" s="256">
        <f ca="1">IF(OR(tblAvisos[[#This Row],[Estado trabajo]]="Cerrado",tblAvisos[[#This Row],[Fecha reporte]]=""),"",TODAY()-tblAvisos[[#This Row],[Fecha reporte]])</f>
        <v>227</v>
      </c>
      <c r="P482" t="str">
        <f ca="1">IF(tblAvisos[[#This Row],[Fecha reporte]]="","Sin fecha",IF(tblAvisos[[#This Row],[Fecha reporte]]&lt;DATE(2020,1,1),"Fecha inválida",IF(tblAvisos[[#This Row],[Fecha reporte]]&gt;TODAY(),"Fecha futura",IF(tblAvisos[[#This Row],[Aviso SAP]]="","Sin aviso SAP",IF(tblAvisos[[#This Row],[Criticidad]]="","Sin criticidad","OK")))))</f>
        <v>OK</v>
      </c>
      <c r="Q482" s="901" t="s">
        <v>3183</v>
      </c>
    </row>
    <row r="483" spans="2:17">
      <c r="B483" s="853" cm="1">
        <f t="array" ref="B483">ROW()-ROW(tblAvisos[#Headers])</f>
        <v>479</v>
      </c>
      <c r="C483" t="s">
        <v>41</v>
      </c>
      <c r="D483" s="871">
        <v>46068</v>
      </c>
      <c r="E483" s="900" t="s">
        <v>3184</v>
      </c>
      <c r="F483" t="s">
        <v>1361</v>
      </c>
      <c r="G483" t="s">
        <v>1363</v>
      </c>
      <c r="H483" t="s">
        <v>1170</v>
      </c>
      <c r="I483" t="s">
        <v>1173</v>
      </c>
      <c r="K483" t="s">
        <v>668</v>
      </c>
      <c r="L483" s="871"/>
      <c r="O483" s="256">
        <f ca="1">IF(OR(tblAvisos[[#This Row],[Estado trabajo]]="Cerrado",tblAvisos[[#This Row],[Fecha reporte]]=""),"",TODAY()-tblAvisos[[#This Row],[Fecha reporte]])</f>
        <v>227</v>
      </c>
      <c r="P483" t="str">
        <f ca="1">IF(tblAvisos[[#This Row],[Fecha reporte]]="","Sin fecha",IF(tblAvisos[[#This Row],[Fecha reporte]]&lt;DATE(2020,1,1),"Fecha inválida",IF(tblAvisos[[#This Row],[Fecha reporte]]&gt;TODAY(),"Fecha futura",IF(tblAvisos[[#This Row],[Aviso SAP]]="","Sin aviso SAP",IF(tblAvisos[[#This Row],[Criticidad]]="","Sin criticidad","OK")))))</f>
        <v>OK</v>
      </c>
      <c r="Q483" s="901" t="s">
        <v>3185</v>
      </c>
    </row>
    <row r="484" spans="2:17">
      <c r="B484" s="853" cm="1">
        <f t="array" ref="B484">ROW()-ROW(tblAvisos[#Headers])</f>
        <v>480</v>
      </c>
      <c r="C484" t="s">
        <v>41</v>
      </c>
      <c r="D484" s="871">
        <v>45847</v>
      </c>
      <c r="E484" s="900" t="s">
        <v>3186</v>
      </c>
      <c r="F484" t="s">
        <v>1361</v>
      </c>
      <c r="G484" t="s">
        <v>1364</v>
      </c>
      <c r="H484" t="s">
        <v>2506</v>
      </c>
      <c r="I484" t="s">
        <v>1173</v>
      </c>
      <c r="K484" t="s">
        <v>668</v>
      </c>
      <c r="L484" s="871"/>
      <c r="O484" s="256">
        <f ca="1">IF(OR(tblAvisos[[#This Row],[Estado trabajo]]="Cerrado",tblAvisos[[#This Row],[Fecha reporte]]=""),"",TODAY()-tblAvisos[[#This Row],[Fecha reporte]])</f>
        <v>448</v>
      </c>
      <c r="P484" t="str">
        <f ca="1">IF(tblAvisos[[#This Row],[Fecha reporte]]="","Sin fecha",IF(tblAvisos[[#This Row],[Fecha reporte]]&lt;DATE(2020,1,1),"Fecha inválida",IF(tblAvisos[[#This Row],[Fecha reporte]]&gt;TODAY(),"Fecha futura",IF(tblAvisos[[#This Row],[Aviso SAP]]="","Sin aviso SAP",IF(tblAvisos[[#This Row],[Criticidad]]="","Sin criticidad","OK")))))</f>
        <v>OK</v>
      </c>
      <c r="Q484" s="901" t="s">
        <v>3187</v>
      </c>
    </row>
    <row r="485" spans="2:17">
      <c r="B485" s="853" cm="1">
        <f t="array" ref="B485">ROW()-ROW(tblAvisos[#Headers])</f>
        <v>481</v>
      </c>
      <c r="C485" t="s">
        <v>41</v>
      </c>
      <c r="D485" s="871">
        <v>46045</v>
      </c>
      <c r="E485" s="900" t="s">
        <v>3188</v>
      </c>
      <c r="F485" t="s">
        <v>1361</v>
      </c>
      <c r="G485" t="s">
        <v>1365</v>
      </c>
      <c r="H485" t="s">
        <v>2508</v>
      </c>
      <c r="I485" t="s">
        <v>1173</v>
      </c>
      <c r="K485" t="s">
        <v>665</v>
      </c>
      <c r="L485" s="871"/>
      <c r="O485" s="256">
        <f ca="1">IF(OR(tblAvisos[[#This Row],[Estado trabajo]]="Cerrado",tblAvisos[[#This Row],[Fecha reporte]]=""),"",TODAY()-tblAvisos[[#This Row],[Fecha reporte]])</f>
        <v>250</v>
      </c>
      <c r="P485" t="str">
        <f ca="1">IF(tblAvisos[[#This Row],[Fecha reporte]]="","Sin fecha",IF(tblAvisos[[#This Row],[Fecha reporte]]&lt;DATE(2020,1,1),"Fecha inválida",IF(tblAvisos[[#This Row],[Fecha reporte]]&gt;TODAY(),"Fecha futura",IF(tblAvisos[[#This Row],[Aviso SAP]]="","Sin aviso SAP",IF(tblAvisos[[#This Row],[Criticidad]]="","Sin criticidad","OK")))))</f>
        <v>OK</v>
      </c>
      <c r="Q485" s="901" t="s">
        <v>3189</v>
      </c>
    </row>
    <row r="486" spans="2:17">
      <c r="B486" s="853" cm="1">
        <f t="array" ref="B486">ROW()-ROW(tblAvisos[#Headers])</f>
        <v>482</v>
      </c>
      <c r="C486" t="s">
        <v>41</v>
      </c>
      <c r="D486" s="871">
        <v>46047</v>
      </c>
      <c r="E486" s="900" t="s">
        <v>3190</v>
      </c>
      <c r="F486" t="s">
        <v>1361</v>
      </c>
      <c r="G486" t="s">
        <v>1366</v>
      </c>
      <c r="H486" t="s">
        <v>1158</v>
      </c>
      <c r="I486" t="s">
        <v>1173</v>
      </c>
      <c r="K486" t="s">
        <v>668</v>
      </c>
      <c r="L486" s="871"/>
      <c r="O486" s="256">
        <f ca="1">IF(OR(tblAvisos[[#This Row],[Estado trabajo]]="Cerrado",tblAvisos[[#This Row],[Fecha reporte]]=""),"",TODAY()-tblAvisos[[#This Row],[Fecha reporte]])</f>
        <v>248</v>
      </c>
      <c r="P486" t="str">
        <f ca="1">IF(tblAvisos[[#This Row],[Fecha reporte]]="","Sin fecha",IF(tblAvisos[[#This Row],[Fecha reporte]]&lt;DATE(2020,1,1),"Fecha inválida",IF(tblAvisos[[#This Row],[Fecha reporte]]&gt;TODAY(),"Fecha futura",IF(tblAvisos[[#This Row],[Aviso SAP]]="","Sin aviso SAP",IF(tblAvisos[[#This Row],[Criticidad]]="","Sin criticidad","OK")))))</f>
        <v>OK</v>
      </c>
      <c r="Q486" s="901" t="s">
        <v>3191</v>
      </c>
    </row>
    <row r="487" spans="2:17">
      <c r="B487" s="853" cm="1">
        <f t="array" ref="B487">ROW()-ROW(tblAvisos[#Headers])</f>
        <v>483</v>
      </c>
      <c r="C487" t="s">
        <v>41</v>
      </c>
      <c r="D487" s="871">
        <v>45973</v>
      </c>
      <c r="E487" s="900" t="s">
        <v>3192</v>
      </c>
      <c r="F487" t="s">
        <v>1367</v>
      </c>
      <c r="G487" t="s">
        <v>1368</v>
      </c>
      <c r="H487" t="s">
        <v>2507</v>
      </c>
      <c r="I487" t="s">
        <v>1173</v>
      </c>
      <c r="K487" t="s">
        <v>668</v>
      </c>
      <c r="L487" s="871"/>
      <c r="O487" s="256">
        <f ca="1">IF(OR(tblAvisos[[#This Row],[Estado trabajo]]="Cerrado",tblAvisos[[#This Row],[Fecha reporte]]=""),"",TODAY()-tblAvisos[[#This Row],[Fecha reporte]])</f>
        <v>322</v>
      </c>
      <c r="P487" t="str">
        <f ca="1">IF(tblAvisos[[#This Row],[Fecha reporte]]="","Sin fecha",IF(tblAvisos[[#This Row],[Fecha reporte]]&lt;DATE(2020,1,1),"Fecha inválida",IF(tblAvisos[[#This Row],[Fecha reporte]]&gt;TODAY(),"Fecha futura",IF(tblAvisos[[#This Row],[Aviso SAP]]="","Sin aviso SAP",IF(tblAvisos[[#This Row],[Criticidad]]="","Sin criticidad","OK")))))</f>
        <v>OK</v>
      </c>
      <c r="Q487" s="901" t="s">
        <v>3193</v>
      </c>
    </row>
    <row r="488" spans="2:17">
      <c r="B488" s="853" cm="1">
        <f t="array" ref="B488">ROW()-ROW(tblAvisos[#Headers])</f>
        <v>484</v>
      </c>
      <c r="C488" t="s">
        <v>41</v>
      </c>
      <c r="D488" s="871">
        <v>45973</v>
      </c>
      <c r="E488" s="900" t="s">
        <v>3194</v>
      </c>
      <c r="F488" t="s">
        <v>1361</v>
      </c>
      <c r="G488" t="s">
        <v>1369</v>
      </c>
      <c r="H488" t="s">
        <v>2506</v>
      </c>
      <c r="I488" t="s">
        <v>1173</v>
      </c>
      <c r="K488" t="s">
        <v>668</v>
      </c>
      <c r="L488" s="871"/>
      <c r="O488" s="256">
        <f ca="1">IF(OR(tblAvisos[[#This Row],[Estado trabajo]]="Cerrado",tblAvisos[[#This Row],[Fecha reporte]]=""),"",TODAY()-tblAvisos[[#This Row],[Fecha reporte]])</f>
        <v>322</v>
      </c>
      <c r="P488" t="str">
        <f ca="1">IF(tblAvisos[[#This Row],[Fecha reporte]]="","Sin fecha",IF(tblAvisos[[#This Row],[Fecha reporte]]&lt;DATE(2020,1,1),"Fecha inválida",IF(tblAvisos[[#This Row],[Fecha reporte]]&gt;TODAY(),"Fecha futura",IF(tblAvisos[[#This Row],[Aviso SAP]]="","Sin aviso SAP",IF(tblAvisos[[#This Row],[Criticidad]]="","Sin criticidad","OK")))))</f>
        <v>OK</v>
      </c>
      <c r="Q488" s="901" t="s">
        <v>3195</v>
      </c>
    </row>
    <row r="489" spans="2:17">
      <c r="B489" s="853" cm="1">
        <f t="array" ref="B489">ROW()-ROW(tblAvisos[#Headers])</f>
        <v>485</v>
      </c>
      <c r="C489" t="s">
        <v>41</v>
      </c>
      <c r="D489" s="871">
        <v>45973</v>
      </c>
      <c r="E489" s="900" t="s">
        <v>3196</v>
      </c>
      <c r="F489" t="s">
        <v>1361</v>
      </c>
      <c r="G489" t="s">
        <v>1370</v>
      </c>
      <c r="H489" t="s">
        <v>2506</v>
      </c>
      <c r="I489" t="s">
        <v>1173</v>
      </c>
      <c r="K489" t="s">
        <v>668</v>
      </c>
      <c r="L489" s="871"/>
      <c r="O489" s="256">
        <f ca="1">IF(OR(tblAvisos[[#This Row],[Estado trabajo]]="Cerrado",tblAvisos[[#This Row],[Fecha reporte]]=""),"",TODAY()-tblAvisos[[#This Row],[Fecha reporte]])</f>
        <v>322</v>
      </c>
      <c r="P489" t="str">
        <f ca="1">IF(tblAvisos[[#This Row],[Fecha reporte]]="","Sin fecha",IF(tblAvisos[[#This Row],[Fecha reporte]]&lt;DATE(2020,1,1),"Fecha inválida",IF(tblAvisos[[#This Row],[Fecha reporte]]&gt;TODAY(),"Fecha futura",IF(tblAvisos[[#This Row],[Aviso SAP]]="","Sin aviso SAP",IF(tblAvisos[[#This Row],[Criticidad]]="","Sin criticidad","OK")))))</f>
        <v>OK</v>
      </c>
      <c r="Q489" s="901" t="s">
        <v>3197</v>
      </c>
    </row>
    <row r="490" spans="2:17">
      <c r="B490" s="853" cm="1">
        <f t="array" ref="B490">ROW()-ROW(tblAvisos[#Headers])</f>
        <v>486</v>
      </c>
      <c r="C490" t="s">
        <v>41</v>
      </c>
      <c r="D490" s="871">
        <v>45973</v>
      </c>
      <c r="E490" s="900" t="s">
        <v>3198</v>
      </c>
      <c r="F490" t="s">
        <v>1361</v>
      </c>
      <c r="G490" t="s">
        <v>1371</v>
      </c>
      <c r="H490" t="s">
        <v>1158</v>
      </c>
      <c r="I490" t="s">
        <v>1173</v>
      </c>
      <c r="K490" t="s">
        <v>668</v>
      </c>
      <c r="L490" s="871"/>
      <c r="O490" s="256">
        <f ca="1">IF(OR(tblAvisos[[#This Row],[Estado trabajo]]="Cerrado",tblAvisos[[#This Row],[Fecha reporte]]=""),"",TODAY()-tblAvisos[[#This Row],[Fecha reporte]])</f>
        <v>322</v>
      </c>
      <c r="P490" t="str">
        <f ca="1">IF(tblAvisos[[#This Row],[Fecha reporte]]="","Sin fecha",IF(tblAvisos[[#This Row],[Fecha reporte]]&lt;DATE(2020,1,1),"Fecha inválida",IF(tblAvisos[[#This Row],[Fecha reporte]]&gt;TODAY(),"Fecha futura",IF(tblAvisos[[#This Row],[Aviso SAP]]="","Sin aviso SAP",IF(tblAvisos[[#This Row],[Criticidad]]="","Sin criticidad","OK")))))</f>
        <v>OK</v>
      </c>
      <c r="Q490" s="901" t="s">
        <v>3199</v>
      </c>
    </row>
  </sheetData>
  <conditionalFormatting sqref="K5:K490">
    <cfRule type="containsText" dxfId="85" priority="1" operator="containsText" text="Parada">
      <formula>NOT(ISERROR(SEARCH("Parada",K5)))</formula>
    </cfRule>
  </conditionalFormatting>
  <conditionalFormatting sqref="K5:K490">
    <cfRule type="containsText" dxfId="84" priority="2" operator="containsText" text="Alta">
      <formula>NOT(ISERROR(SEARCH("Alta",K5)))</formula>
    </cfRule>
  </conditionalFormatting>
  <conditionalFormatting sqref="K5:K490">
    <cfRule type="containsText" dxfId="83" priority="3" operator="containsText" text="Media">
      <formula>NOT(ISERROR(SEARCH("Media",K5)))</formula>
    </cfRule>
  </conditionalFormatting>
  <conditionalFormatting sqref="I5:I490">
    <cfRule type="containsText" dxfId="82" priority="4" operator="containsText" text="Cerrado">
      <formula>NOT(ISERROR(SEARCH("Cerrado",I5)))</formula>
    </cfRule>
  </conditionalFormatting>
  <conditionalFormatting sqref="I5:I490">
    <cfRule type="containsText" dxfId="81" priority="5" operator="containsText" text="Pendiente">
      <formula>NOT(ISERROR(SEARCH("Pendiente",I5)))</formula>
    </cfRule>
  </conditionalFormatting>
  <conditionalFormatting sqref="J5:J490">
    <cfRule type="containsText" dxfId="80" priority="6" operator="containsText" text="Parado">
      <formula>NOT(ISERROR(SEARCH("Parado",J5)))</formula>
    </cfRule>
  </conditionalFormatting>
  <conditionalFormatting sqref="P5:P490">
    <cfRule type="expression" dxfId="79" priority="7">
      <formula>$P5&lt;&gt;"OK"</formula>
    </cfRule>
  </conditionalFormatting>
  <conditionalFormatting sqref="O5:O490">
    <cfRule type="cellIs" dxfId="78" priority="8" operator="greaterThan">
      <formula>90</formula>
    </cfRule>
  </conditionalFormatting>
  <dataValidations count="6">
    <dataValidation type="list" allowBlank="1" showInputMessage="1" showErrorMessage="1" errorTitle="Valor no permitido" error="Elija un valor de la lista (hoja Listas)." sqref="C5:C490" xr:uid="{0708373A-58AD-4A34-A65A-BF24AB4B4B06}">
      <formula1>L_AREA</formula1>
    </dataValidation>
    <dataValidation type="list" allowBlank="1" showInputMessage="1" showErrorMessage="1" errorTitle="Valor no permitido" error="Elija un valor de la lista (hoja Listas)." sqref="H5:H490" xr:uid="{B53CE286-637C-448B-9447-15D396256CFF}">
      <formula1>L_ESPECIALIDAD</formula1>
    </dataValidation>
    <dataValidation type="list" allowBlank="1" showInputMessage="1" showErrorMessage="1" errorTitle="Valor no permitido" error="Elija un valor de la lista (hoja Listas)." sqref="I5:I490" xr:uid="{F292DAC9-EE13-4267-BF84-99CE0B2A6225}">
      <formula1>L_ESTADO</formula1>
    </dataValidation>
    <dataValidation type="list" allowBlank="1" showInputMessage="1" showErrorMessage="1" errorTitle="Valor no permitido" error="Elija un valor de la lista (hoja Listas)." sqref="J5:J490" xr:uid="{03736414-7CE8-418B-B955-2C59D3BE3D7B}">
      <formula1>L_CONDICION</formula1>
    </dataValidation>
    <dataValidation type="list" allowBlank="1" showInputMessage="1" showErrorMessage="1" errorTitle="Valor no permitido" error="Elija un valor de la lista (hoja Listas)." sqref="K5:K490" xr:uid="{541C7B36-8A95-4EE8-A597-E6741E61C4AF}">
      <formula1>L_CRITICIDAD</formula1>
    </dataValidation>
    <dataValidation type="date" allowBlank="1" showInputMessage="1" showErrorMessage="1" errorTitle="Fecha no válida" error="Ingrese una fecha dd/mm/aaaa entre 2024 y 2030." sqref="D5:D490 L5:L490" xr:uid="{0274FF6B-AF73-4911-9162-C2E6BE6140B9}">
      <formula1>45292</formula1>
      <formula2>47848</formula2>
    </dataValidation>
  </dataValidations>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Avisos OT — Página &amp;P de &amp;F</oddFooter>
  </headerFooter>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BF928-4E19-4E70-A857-9DACA516E108}">
  <sheetPr codeName="Hoja49">
    <tabColor rgb="FF2F75B5"/>
    <pageSetUpPr fitToPage="1"/>
  </sheetPr>
  <dimension ref="B1:AJ65"/>
  <sheetViews>
    <sheetView zoomScaleNormal="100" workbookViewId="0">
      <pane xSplit="3" ySplit="11" topLeftCell="AB12" activePane="bottomRight" state="frozen"/>
      <selection pane="topRight" activeCell="D1" sqref="D1"/>
      <selection pane="bottomLeft" activeCell="A12" sqref="A12"/>
      <selection pane="bottomRight" activeCell="AD10" sqref="AD10:AD11"/>
    </sheetView>
  </sheetViews>
  <sheetFormatPr baseColWidth="10" defaultColWidth="9.140625" defaultRowHeight="15.75"/>
  <cols>
    <col min="1" max="1" width="0.85546875" style="412" customWidth="1"/>
    <col min="2" max="2" width="31.7109375" style="415" customWidth="1"/>
    <col min="3" max="3" width="50.7109375" style="416" customWidth="1"/>
    <col min="4" max="4" width="11.7109375" style="417" customWidth="1"/>
    <col min="5" max="5" width="13.28515625" style="418" customWidth="1"/>
    <col min="6" max="23" width="0" style="418" hidden="1" customWidth="1"/>
    <col min="24" max="27" width="13.28515625" style="418" customWidth="1"/>
    <col min="28" max="28" width="15.28515625" style="418" customWidth="1"/>
    <col min="29" max="29" width="13.28515625" style="418" customWidth="1"/>
    <col min="30" max="30" width="95.140625" style="416" customWidth="1"/>
    <col min="31" max="31" width="13.28515625" style="412" customWidth="1"/>
    <col min="32" max="32" width="9.140625" style="412" bestFit="1" customWidth="1"/>
    <col min="33" max="33" width="12.7109375" style="412" bestFit="1" customWidth="1"/>
    <col min="34" max="34" width="9.140625" style="412" bestFit="1" customWidth="1"/>
    <col min="35" max="35" width="13.5703125" style="412" bestFit="1" customWidth="1"/>
    <col min="36" max="16384" width="9.140625" style="412"/>
  </cols>
  <sheetData>
    <row r="1" spans="2:35" s="1154" customFormat="1" ht="17.100000000000001" customHeight="1">
      <c r="B1" s="1155"/>
      <c r="C1" s="1156"/>
      <c r="D1" s="1157"/>
      <c r="E1" s="1158"/>
      <c r="F1" s="1158"/>
      <c r="G1" s="1158"/>
      <c r="H1" s="1158"/>
      <c r="I1" s="1158"/>
      <c r="J1" s="1158"/>
      <c r="K1" s="1158"/>
      <c r="L1" s="1158"/>
      <c r="M1" s="1158"/>
      <c r="N1" s="1158"/>
      <c r="O1" s="1158"/>
      <c r="P1" s="1158"/>
      <c r="Q1" s="1158"/>
      <c r="R1" s="1158"/>
      <c r="S1" s="1158"/>
      <c r="T1" s="1158"/>
      <c r="U1" s="1158"/>
      <c r="V1" s="1158"/>
      <c r="W1" s="1158"/>
      <c r="X1" s="1158"/>
      <c r="Y1" s="1158"/>
      <c r="Z1" s="1158"/>
      <c r="AA1" s="1158"/>
      <c r="AB1" s="1158"/>
      <c r="AC1" s="1158"/>
      <c r="AD1" s="1156"/>
    </row>
    <row r="2" spans="2:35" s="1154" customFormat="1" ht="17.100000000000001" customHeight="1">
      <c r="B2" s="1155"/>
      <c r="C2" s="1156"/>
      <c r="D2" s="1157"/>
      <c r="E2" s="1158"/>
      <c r="F2" s="1158"/>
      <c r="G2" s="1158"/>
      <c r="H2" s="1158"/>
      <c r="I2" s="1158"/>
      <c r="J2" s="1158"/>
      <c r="K2" s="1158"/>
      <c r="L2" s="1158"/>
      <c r="M2" s="1158"/>
      <c r="N2" s="1158"/>
      <c r="O2" s="1158"/>
      <c r="P2" s="1158"/>
      <c r="Q2" s="1158"/>
      <c r="R2" s="1158"/>
      <c r="S2" s="1158"/>
      <c r="T2" s="1158"/>
      <c r="U2" s="1158"/>
      <c r="V2" s="1158"/>
      <c r="W2" s="1158"/>
      <c r="X2" s="1158"/>
      <c r="Y2" s="1158"/>
      <c r="Z2" s="1158"/>
      <c r="AA2" s="1158"/>
      <c r="AB2" s="1158"/>
      <c r="AC2" s="1158"/>
      <c r="AD2" s="1156"/>
    </row>
    <row r="3" spans="2:35" s="1154" customFormat="1" ht="17.100000000000001" customHeight="1">
      <c r="B3" s="1155"/>
      <c r="C3" s="1156"/>
      <c r="D3" s="1157"/>
      <c r="E3" s="1158"/>
      <c r="F3" s="1158"/>
      <c r="G3" s="1158"/>
      <c r="H3" s="1158"/>
      <c r="I3" s="1158"/>
      <c r="J3" s="1158"/>
      <c r="K3" s="1158"/>
      <c r="L3" s="1158"/>
      <c r="M3" s="1158"/>
      <c r="N3" s="1158"/>
      <c r="O3" s="1158"/>
      <c r="P3" s="1158"/>
      <c r="Q3" s="1158"/>
      <c r="R3" s="1158"/>
      <c r="S3" s="1158"/>
      <c r="T3" s="1158"/>
      <c r="U3" s="1158"/>
      <c r="V3" s="1158"/>
      <c r="W3" s="1158"/>
      <c r="X3" s="1158"/>
      <c r="Y3" s="1158"/>
      <c r="Z3" s="1158"/>
      <c r="AA3" s="1158"/>
      <c r="AB3" s="1158"/>
      <c r="AC3" s="1158"/>
      <c r="AD3" s="1156"/>
    </row>
    <row r="4" spans="2:35" ht="15.75" customHeight="1">
      <c r="AF4"/>
      <c r="AG4"/>
    </row>
    <row r="5" spans="2:35" ht="21" customHeight="1">
      <c r="B5" s="1392" t="s">
        <v>2187</v>
      </c>
      <c r="C5" s="1392"/>
      <c r="D5" s="1392"/>
      <c r="E5" s="1392"/>
      <c r="F5" s="1392"/>
      <c r="G5" s="419"/>
      <c r="H5" s="419"/>
      <c r="I5" s="419"/>
      <c r="J5" s="419"/>
      <c r="K5" s="419"/>
      <c r="L5" s="419"/>
      <c r="M5" s="419"/>
      <c r="N5" s="419"/>
      <c r="O5" s="419"/>
      <c r="P5" s="419"/>
      <c r="Q5" s="419"/>
      <c r="R5" s="419"/>
      <c r="S5" s="419"/>
      <c r="T5" s="419"/>
      <c r="U5" s="419"/>
      <c r="V5" s="419"/>
      <c r="W5" s="419"/>
      <c r="X5" s="419"/>
      <c r="Y5" s="419"/>
      <c r="Z5" s="419"/>
      <c r="AA5" s="419"/>
      <c r="AB5" s="419"/>
      <c r="AC5" s="419"/>
      <c r="AD5" s="419"/>
      <c r="AE5" s="419"/>
      <c r="AF5"/>
      <c r="AG5"/>
    </row>
    <row r="6" spans="2:35" ht="18" customHeight="1">
      <c r="B6" s="420" t="s">
        <v>2188</v>
      </c>
      <c r="C6" s="421"/>
      <c r="D6" s="421"/>
      <c r="E6" s="421"/>
      <c r="F6" s="421"/>
      <c r="G6" s="421"/>
      <c r="H6" s="421"/>
      <c r="I6" s="421"/>
      <c r="J6" s="421"/>
      <c r="K6" s="421"/>
      <c r="L6" s="421"/>
      <c r="M6" s="421"/>
      <c r="N6" s="421"/>
      <c r="O6" s="421"/>
      <c r="P6" s="421"/>
      <c r="Q6" s="421"/>
      <c r="R6" s="421"/>
      <c r="S6" s="421"/>
      <c r="T6" s="421"/>
      <c r="U6" s="421"/>
      <c r="V6" s="421"/>
      <c r="W6" s="421"/>
      <c r="X6" s="421"/>
      <c r="Y6" s="421"/>
      <c r="Z6" s="421"/>
      <c r="AA6" s="421"/>
      <c r="AB6" s="421"/>
      <c r="AC6" s="421"/>
      <c r="AD6" s="422"/>
      <c r="AE6" s="421"/>
      <c r="AF6"/>
      <c r="AG6"/>
    </row>
    <row r="7" spans="2:35" ht="18" customHeight="1">
      <c r="B7" s="423" t="s">
        <v>2189</v>
      </c>
      <c r="C7" s="424"/>
      <c r="D7" s="425"/>
      <c r="E7" s="426"/>
      <c r="F7" s="426"/>
      <c r="G7" s="426"/>
      <c r="H7" s="426"/>
      <c r="I7" s="426"/>
      <c r="J7" s="426"/>
      <c r="K7" s="426"/>
      <c r="L7" s="426"/>
      <c r="M7" s="426"/>
      <c r="N7" s="426"/>
      <c r="O7" s="426"/>
      <c r="P7" s="426"/>
      <c r="Q7" s="426"/>
      <c r="R7" s="426"/>
      <c r="S7" s="426"/>
      <c r="T7" s="426"/>
      <c r="U7" s="426"/>
      <c r="V7" s="426"/>
      <c r="W7" s="426"/>
      <c r="X7" s="426"/>
      <c r="Y7" s="426"/>
      <c r="Z7" s="426"/>
      <c r="AA7" s="426"/>
      <c r="AB7" s="426"/>
      <c r="AC7" s="426"/>
      <c r="AD7" s="424"/>
      <c r="AE7" s="427"/>
      <c r="AF7"/>
      <c r="AG7"/>
    </row>
    <row r="8" spans="2:35" ht="18" customHeight="1">
      <c r="B8" s="1393" t="s">
        <v>2190</v>
      </c>
      <c r="C8" s="1393"/>
      <c r="D8" s="1393"/>
      <c r="E8" s="1393"/>
      <c r="F8" s="428"/>
      <c r="G8" s="428"/>
      <c r="H8" s="428"/>
      <c r="I8" s="428"/>
      <c r="J8" s="428"/>
      <c r="K8" s="428"/>
      <c r="L8" s="428"/>
      <c r="M8" s="428"/>
      <c r="N8" s="428"/>
      <c r="O8" s="428"/>
      <c r="P8" s="428"/>
      <c r="Q8" s="428"/>
      <c r="R8" s="428"/>
      <c r="S8" s="428"/>
      <c r="T8" s="428"/>
      <c r="U8" s="428"/>
      <c r="V8" s="428"/>
      <c r="W8" s="428"/>
      <c r="X8" s="428"/>
      <c r="Y8" s="428"/>
      <c r="Z8" s="428"/>
      <c r="AA8" s="428"/>
      <c r="AB8" s="428"/>
      <c r="AC8" s="428"/>
      <c r="AD8" s="429"/>
      <c r="AE8" s="427"/>
      <c r="AF8"/>
      <c r="AG8"/>
    </row>
    <row r="9" spans="2:35" ht="15.75" customHeight="1">
      <c r="B9" s="430"/>
      <c r="C9" s="430"/>
      <c r="D9" s="430"/>
      <c r="E9" s="430"/>
      <c r="F9" s="430"/>
      <c r="G9" s="430"/>
      <c r="H9" s="430"/>
      <c r="I9" s="430"/>
      <c r="J9" s="430"/>
      <c r="K9" s="430"/>
      <c r="L9" s="430"/>
      <c r="M9" s="430"/>
      <c r="N9" s="430"/>
      <c r="O9" s="430"/>
      <c r="P9" s="430"/>
      <c r="Q9" s="430"/>
      <c r="R9" s="430"/>
      <c r="S9" s="430"/>
      <c r="T9" s="430"/>
      <c r="U9" s="430"/>
      <c r="V9" s="430"/>
      <c r="W9" s="430"/>
      <c r="X9" s="430"/>
      <c r="Y9" s="430"/>
      <c r="Z9" s="430"/>
      <c r="AA9" s="430"/>
      <c r="AB9" s="430"/>
      <c r="AC9" s="430"/>
      <c r="AD9" s="431"/>
      <c r="AF9"/>
      <c r="AG9"/>
    </row>
    <row r="10" spans="2:35" s="413" customFormat="1" ht="15" customHeight="1">
      <c r="B10" s="1375" t="s">
        <v>2191</v>
      </c>
      <c r="C10" s="1375" t="s">
        <v>2192</v>
      </c>
      <c r="D10" s="1375" t="s">
        <v>2193</v>
      </c>
      <c r="E10" s="1394" t="s">
        <v>2194</v>
      </c>
      <c r="F10" s="1375" t="s">
        <v>2195</v>
      </c>
      <c r="G10" s="1375"/>
      <c r="H10" s="1375"/>
      <c r="I10" s="1375" t="s">
        <v>2196</v>
      </c>
      <c r="J10" s="1375"/>
      <c r="K10" s="1375"/>
      <c r="L10" s="1375" t="s">
        <v>2197</v>
      </c>
      <c r="M10" s="1375"/>
      <c r="N10" s="1375"/>
      <c r="O10" s="1375" t="s">
        <v>2198</v>
      </c>
      <c r="P10" s="1375"/>
      <c r="Q10" s="1387"/>
      <c r="R10" s="1375" t="s">
        <v>2199</v>
      </c>
      <c r="S10" s="1375"/>
      <c r="T10" s="1387"/>
      <c r="U10" s="1375" t="s">
        <v>2200</v>
      </c>
      <c r="V10" s="1375"/>
      <c r="W10" s="1387"/>
      <c r="X10" s="1375" t="s">
        <v>2201</v>
      </c>
      <c r="Y10" s="1375"/>
      <c r="Z10" s="1387"/>
      <c r="AA10" s="1387" t="s">
        <v>2202</v>
      </c>
      <c r="AB10" s="1388"/>
      <c r="AC10" s="1389"/>
      <c r="AD10" s="1375" t="s">
        <v>2203</v>
      </c>
      <c r="AE10" s="1375" t="s">
        <v>10002</v>
      </c>
      <c r="AF10"/>
      <c r="AG10"/>
    </row>
    <row r="11" spans="2:35" s="414" customFormat="1" ht="15" customHeight="1">
      <c r="B11" s="1375"/>
      <c r="C11" s="1375"/>
      <c r="D11" s="1375"/>
      <c r="E11" s="1394"/>
      <c r="F11" s="432" t="s">
        <v>2204</v>
      </c>
      <c r="G11" s="432" t="s">
        <v>2205</v>
      </c>
      <c r="H11" s="433" t="s">
        <v>2206</v>
      </c>
      <c r="I11" s="432" t="s">
        <v>2204</v>
      </c>
      <c r="J11" s="432" t="s">
        <v>2205</v>
      </c>
      <c r="K11" s="433" t="s">
        <v>2206</v>
      </c>
      <c r="L11" s="432" t="s">
        <v>2204</v>
      </c>
      <c r="M11" s="432" t="s">
        <v>2205</v>
      </c>
      <c r="N11" s="433" t="s">
        <v>2206</v>
      </c>
      <c r="O11" s="432" t="s">
        <v>2204</v>
      </c>
      <c r="P11" s="432" t="s">
        <v>2205</v>
      </c>
      <c r="Q11" s="433" t="s">
        <v>2206</v>
      </c>
      <c r="R11" s="432" t="s">
        <v>2204</v>
      </c>
      <c r="S11" s="432" t="s">
        <v>2205</v>
      </c>
      <c r="T11" s="433" t="s">
        <v>2206</v>
      </c>
      <c r="U11" s="432" t="s">
        <v>2204</v>
      </c>
      <c r="V11" s="432" t="s">
        <v>2205</v>
      </c>
      <c r="W11" s="433" t="s">
        <v>2206</v>
      </c>
      <c r="X11" s="432" t="s">
        <v>2204</v>
      </c>
      <c r="Y11" s="432" t="s">
        <v>2205</v>
      </c>
      <c r="Z11" s="433" t="s">
        <v>2206</v>
      </c>
      <c r="AA11" s="432" t="s">
        <v>2204</v>
      </c>
      <c r="AB11" s="432" t="s">
        <v>2205</v>
      </c>
      <c r="AC11" s="433" t="s">
        <v>2206</v>
      </c>
      <c r="AD11" s="1375"/>
      <c r="AE11" s="1375"/>
      <c r="AF11"/>
      <c r="AG11"/>
    </row>
    <row r="12" spans="2:35" s="413" customFormat="1" ht="15" customHeight="1">
      <c r="B12" s="1378" t="s">
        <v>2207</v>
      </c>
      <c r="C12" s="434" t="s">
        <v>2208</v>
      </c>
      <c r="D12" s="435" t="s">
        <v>1392</v>
      </c>
      <c r="E12" s="436">
        <v>9200015</v>
      </c>
      <c r="F12" s="437">
        <v>779162</v>
      </c>
      <c r="G12" s="438">
        <v>788440</v>
      </c>
      <c r="H12" s="439">
        <f t="shared" ref="H12:H23" si="0">+F12/G12</f>
        <v>0.98823245903302726</v>
      </c>
      <c r="I12" s="437">
        <v>742609</v>
      </c>
      <c r="J12" s="438">
        <v>694128</v>
      </c>
      <c r="K12" s="440">
        <f t="shared" ref="K12:K23" si="1">+I12/J12</f>
        <v>1.0698444667265981</v>
      </c>
      <c r="L12" s="437">
        <v>853938</v>
      </c>
      <c r="M12" s="438">
        <v>878462</v>
      </c>
      <c r="N12" s="439">
        <f t="shared" ref="N12:N23" si="2">+L12/M12</f>
        <v>0.97208302692660586</v>
      </c>
      <c r="O12" s="437">
        <v>772170</v>
      </c>
      <c r="P12" s="438">
        <v>766558</v>
      </c>
      <c r="Q12" s="440">
        <f t="shared" ref="Q12:Q23" si="3">+O12/P12</f>
        <v>1.0073210376775144</v>
      </c>
      <c r="R12" s="441">
        <v>814734</v>
      </c>
      <c r="S12" s="438">
        <v>685575</v>
      </c>
      <c r="T12" s="442">
        <f t="shared" ref="T12:T22" si="4">+R12/S12</f>
        <v>1.1883951427633739</v>
      </c>
      <c r="U12" s="441">
        <v>783491</v>
      </c>
      <c r="V12" s="438">
        <v>840185</v>
      </c>
      <c r="W12" s="443">
        <f t="shared" ref="W12:W22" si="5">+U12/V12</f>
        <v>0.93252200408243424</v>
      </c>
      <c r="X12" s="441">
        <v>832462</v>
      </c>
      <c r="Y12" s="438">
        <v>819467</v>
      </c>
      <c r="Z12" s="442">
        <f t="shared" ref="Z12:Z22" si="6">+X12/Y12</f>
        <v>1.0158578685901933</v>
      </c>
      <c r="AA12" s="437">
        <v>5582415</v>
      </c>
      <c r="AB12" s="438">
        <v>5472815</v>
      </c>
      <c r="AC12" s="442">
        <f t="shared" ref="AC12:AC22" si="7">+AA12/AB12</f>
        <v>1.0200262570541851</v>
      </c>
      <c r="AD12" s="444" t="s">
        <v>2209</v>
      </c>
      <c r="AE12" s="1200" t="s">
        <v>9287</v>
      </c>
      <c r="AF12"/>
      <c r="AG12"/>
      <c r="AH12"/>
      <c r="AI12"/>
    </row>
    <row r="13" spans="2:35" s="413" customFormat="1" ht="15" customHeight="1">
      <c r="B13" s="1380"/>
      <c r="C13" s="445" t="s">
        <v>9235</v>
      </c>
      <c r="D13" s="446" t="s">
        <v>1392</v>
      </c>
      <c r="E13" s="447">
        <v>8000015</v>
      </c>
      <c r="F13" s="448">
        <v>670354</v>
      </c>
      <c r="G13" s="449">
        <v>688440</v>
      </c>
      <c r="H13" s="450">
        <f t="shared" si="0"/>
        <v>0.97372901051653016</v>
      </c>
      <c r="I13" s="448">
        <v>578899</v>
      </c>
      <c r="J13" s="449">
        <v>594128</v>
      </c>
      <c r="K13" s="450">
        <f t="shared" si="1"/>
        <v>0.97436747636872867</v>
      </c>
      <c r="L13" s="448">
        <v>634696</v>
      </c>
      <c r="M13" s="449">
        <v>698462</v>
      </c>
      <c r="N13" s="450">
        <f t="shared" si="2"/>
        <v>0.90870512640630419</v>
      </c>
      <c r="O13" s="448">
        <v>660962</v>
      </c>
      <c r="P13" s="449">
        <v>666558</v>
      </c>
      <c r="Q13" s="450">
        <f t="shared" si="3"/>
        <v>0.99160463155494349</v>
      </c>
      <c r="R13" s="451">
        <v>671051</v>
      </c>
      <c r="S13" s="449">
        <v>585575</v>
      </c>
      <c r="T13" s="452">
        <f t="shared" si="4"/>
        <v>1.1459693463689535</v>
      </c>
      <c r="U13" s="451">
        <v>605690</v>
      </c>
      <c r="V13" s="449">
        <v>660185</v>
      </c>
      <c r="W13" s="453">
        <f t="shared" si="5"/>
        <v>0.91745495580784175</v>
      </c>
      <c r="X13" s="451">
        <v>3821752</v>
      </c>
      <c r="Y13" s="449">
        <v>3893348</v>
      </c>
      <c r="Z13" s="453">
        <f t="shared" si="6"/>
        <v>0.98161068571317023</v>
      </c>
      <c r="AA13" s="448">
        <v>4478040</v>
      </c>
      <c r="AB13" s="449">
        <v>4612815</v>
      </c>
      <c r="AC13" s="453">
        <f t="shared" si="7"/>
        <v>0.97078248314749238</v>
      </c>
      <c r="AD13" s="454" t="s">
        <v>2210</v>
      </c>
      <c r="AE13" s="1201" t="s">
        <v>9287</v>
      </c>
      <c r="AF13"/>
      <c r="AG13"/>
      <c r="AH13"/>
      <c r="AI13"/>
    </row>
    <row r="14" spans="2:35" s="413" customFormat="1" ht="15" customHeight="1">
      <c r="B14" s="1380"/>
      <c r="C14" s="445" t="s">
        <v>2211</v>
      </c>
      <c r="D14" s="446" t="s">
        <v>1392</v>
      </c>
      <c r="E14" s="455">
        <v>1200000</v>
      </c>
      <c r="F14" s="448">
        <v>108808</v>
      </c>
      <c r="G14" s="449">
        <v>100000</v>
      </c>
      <c r="H14" s="456">
        <f t="shared" si="0"/>
        <v>1.0880799999999999</v>
      </c>
      <c r="I14" s="448">
        <v>163710</v>
      </c>
      <c r="J14" s="449">
        <v>100000</v>
      </c>
      <c r="K14" s="456">
        <f t="shared" si="1"/>
        <v>1.6371</v>
      </c>
      <c r="L14" s="448">
        <v>104094</v>
      </c>
      <c r="M14" s="449">
        <v>100000</v>
      </c>
      <c r="N14" s="456">
        <f t="shared" si="2"/>
        <v>1.04094</v>
      </c>
      <c r="O14" s="448">
        <v>108628</v>
      </c>
      <c r="P14" s="449">
        <v>100000</v>
      </c>
      <c r="Q14" s="456">
        <f t="shared" si="3"/>
        <v>1.0862799999999999</v>
      </c>
      <c r="R14" s="451">
        <v>143683</v>
      </c>
      <c r="S14" s="449">
        <v>100000</v>
      </c>
      <c r="T14" s="452">
        <f t="shared" si="4"/>
        <v>1.4368300000000001</v>
      </c>
      <c r="U14" s="451">
        <v>144030</v>
      </c>
      <c r="V14" s="449">
        <v>100000</v>
      </c>
      <c r="W14" s="452">
        <f t="shared" si="5"/>
        <v>1.4402999999999999</v>
      </c>
      <c r="X14" s="451">
        <v>772953</v>
      </c>
      <c r="Y14" s="449">
        <v>600000</v>
      </c>
      <c r="Z14" s="452">
        <f t="shared" si="6"/>
        <v>1.2882549999999999</v>
      </c>
      <c r="AA14" s="448">
        <v>890242</v>
      </c>
      <c r="AB14" s="449">
        <v>700000</v>
      </c>
      <c r="AC14" s="452">
        <f t="shared" si="7"/>
        <v>1.2717742857142857</v>
      </c>
      <c r="AD14" s="454" t="s">
        <v>2212</v>
      </c>
      <c r="AE14" s="1201" t="s">
        <v>9287</v>
      </c>
      <c r="AF14"/>
      <c r="AG14"/>
      <c r="AH14"/>
      <c r="AI14"/>
    </row>
    <row r="15" spans="2:35" s="413" customFormat="1" ht="15">
      <c r="B15" s="1380"/>
      <c r="C15" s="457" t="s">
        <v>2213</v>
      </c>
      <c r="D15" s="458" t="s">
        <v>2214</v>
      </c>
      <c r="E15" s="459">
        <v>1</v>
      </c>
      <c r="F15" s="460">
        <v>1991703</v>
      </c>
      <c r="G15" s="461">
        <v>1736000</v>
      </c>
      <c r="H15" s="462">
        <f t="shared" si="0"/>
        <v>1.1472943548387098</v>
      </c>
      <c r="I15" s="460">
        <v>1991703</v>
      </c>
      <c r="J15" s="461">
        <v>1736000</v>
      </c>
      <c r="K15" s="462">
        <f t="shared" si="1"/>
        <v>1.1472943548387098</v>
      </c>
      <c r="L15" s="460">
        <v>1991703</v>
      </c>
      <c r="M15" s="461">
        <v>1736000</v>
      </c>
      <c r="N15" s="462">
        <f t="shared" si="2"/>
        <v>1.1472943548387098</v>
      </c>
      <c r="O15" s="460">
        <v>1991703</v>
      </c>
      <c r="P15" s="461">
        <v>1736000</v>
      </c>
      <c r="Q15" s="462">
        <f t="shared" si="3"/>
        <v>1.1472943548387098</v>
      </c>
      <c r="R15" s="463"/>
      <c r="S15" s="464"/>
      <c r="T15" s="452" t="str">
        <f>IFERROR(+R15/S15,"")</f>
        <v/>
      </c>
      <c r="U15" s="463"/>
      <c r="V15" s="464"/>
      <c r="W15" s="452" t="str">
        <f>IFERROR(+U15/V15,"")</f>
        <v/>
      </c>
      <c r="X15" s="463"/>
      <c r="Y15" s="464"/>
      <c r="Z15" s="452" t="str">
        <f>IFERROR(+X15/Y15,"")</f>
        <v/>
      </c>
      <c r="AA15" s="460"/>
      <c r="AB15" s="461">
        <v>1736000</v>
      </c>
      <c r="AC15" s="452">
        <f t="shared" si="7"/>
        <v>0</v>
      </c>
      <c r="AD15" s="465" t="s">
        <v>2215</v>
      </c>
      <c r="AE15" s="1201" t="s">
        <v>9287</v>
      </c>
      <c r="AF15"/>
      <c r="AG15"/>
      <c r="AH15"/>
      <c r="AI15"/>
    </row>
    <row r="16" spans="2:35" s="413" customFormat="1" ht="15" customHeight="1">
      <c r="B16" s="1380"/>
      <c r="C16" s="457" t="s">
        <v>2216</v>
      </c>
      <c r="D16" s="458" t="s">
        <v>2217</v>
      </c>
      <c r="E16" s="466">
        <v>1.45</v>
      </c>
      <c r="F16" s="467">
        <v>1.496</v>
      </c>
      <c r="G16" s="468">
        <v>1.45</v>
      </c>
      <c r="H16" s="469">
        <f t="shared" si="0"/>
        <v>1.0317241379310345</v>
      </c>
      <c r="I16" s="467">
        <v>1.4870000000000001</v>
      </c>
      <c r="J16" s="468">
        <v>1.45</v>
      </c>
      <c r="K16" s="469">
        <f t="shared" si="1"/>
        <v>1.0255172413793106</v>
      </c>
      <c r="L16" s="467">
        <v>1.57</v>
      </c>
      <c r="M16" s="468">
        <v>1.45</v>
      </c>
      <c r="N16" s="469">
        <f t="shared" si="2"/>
        <v>1.0827586206896553</v>
      </c>
      <c r="O16" s="467">
        <v>1.5589999999999999</v>
      </c>
      <c r="P16" s="468">
        <v>1.45</v>
      </c>
      <c r="Q16" s="469">
        <f t="shared" si="3"/>
        <v>1.0751724137931034</v>
      </c>
      <c r="R16" s="470">
        <v>1.5109999999999999</v>
      </c>
      <c r="S16" s="468">
        <v>1.45</v>
      </c>
      <c r="T16" s="453">
        <f t="shared" si="4"/>
        <v>1.0420689655172413</v>
      </c>
      <c r="U16" s="471">
        <v>1.552</v>
      </c>
      <c r="V16" s="468">
        <v>1.45</v>
      </c>
      <c r="W16" s="453">
        <f t="shared" si="5"/>
        <v>1.0703448275862069</v>
      </c>
      <c r="X16" s="471">
        <v>1.5289999999999999</v>
      </c>
      <c r="Y16" s="468">
        <v>1.45</v>
      </c>
      <c r="Z16" s="453">
        <f t="shared" si="6"/>
        <v>1.0544827586206895</v>
      </c>
      <c r="AA16" s="467">
        <v>1.53</v>
      </c>
      <c r="AB16" s="468">
        <v>1.45</v>
      </c>
      <c r="AC16" s="453">
        <f t="shared" si="7"/>
        <v>1.0551724137931036</v>
      </c>
      <c r="AD16" s="472" t="s">
        <v>2218</v>
      </c>
      <c r="AE16" s="1201" t="s">
        <v>9288</v>
      </c>
      <c r="AF16"/>
      <c r="AG16"/>
      <c r="AH16"/>
      <c r="AI16"/>
    </row>
    <row r="17" spans="2:35" s="413" customFormat="1" ht="15" customHeight="1">
      <c r="B17" s="1380"/>
      <c r="C17" s="457" t="s">
        <v>2219</v>
      </c>
      <c r="D17" s="458" t="s">
        <v>2214</v>
      </c>
      <c r="E17" s="473" t="s">
        <v>2220</v>
      </c>
      <c r="F17" s="474">
        <v>0.21099999999999999</v>
      </c>
      <c r="G17" s="475">
        <v>0.2</v>
      </c>
      <c r="H17" s="469">
        <f t="shared" si="0"/>
        <v>1.0549999999999999</v>
      </c>
      <c r="I17" s="474">
        <v>0.23599999999999999</v>
      </c>
      <c r="J17" s="475">
        <v>0.2</v>
      </c>
      <c r="K17" s="469">
        <f t="shared" si="1"/>
        <v>1.18</v>
      </c>
      <c r="L17" s="474">
        <v>0.24299999999999999</v>
      </c>
      <c r="M17" s="475">
        <v>0.2</v>
      </c>
      <c r="N17" s="469">
        <f t="shared" si="2"/>
        <v>1.2149999999999999</v>
      </c>
      <c r="O17" s="474">
        <v>0.19800000000000001</v>
      </c>
      <c r="P17" s="475">
        <v>0.2</v>
      </c>
      <c r="Q17" s="469">
        <f t="shared" si="3"/>
        <v>0.99</v>
      </c>
      <c r="R17" s="476">
        <v>0.19500000000000001</v>
      </c>
      <c r="S17" s="477">
        <v>0.2</v>
      </c>
      <c r="T17" s="478">
        <f t="shared" si="4"/>
        <v>0.97499999999999998</v>
      </c>
      <c r="U17" s="476">
        <v>0.19600000000000001</v>
      </c>
      <c r="V17" s="477">
        <v>0.2</v>
      </c>
      <c r="W17" s="478">
        <f t="shared" si="5"/>
        <v>0.98</v>
      </c>
      <c r="X17" s="476">
        <v>0.21299999999999999</v>
      </c>
      <c r="Y17" s="477">
        <v>0.2</v>
      </c>
      <c r="Z17" s="478">
        <f t="shared" si="6"/>
        <v>1.0649999999999999</v>
      </c>
      <c r="AA17" s="479">
        <v>0.20799999999999999</v>
      </c>
      <c r="AB17" s="480">
        <v>0.2</v>
      </c>
      <c r="AC17" s="481">
        <f t="shared" si="7"/>
        <v>1.0399999999999998</v>
      </c>
      <c r="AD17" s="472" t="s">
        <v>2221</v>
      </c>
      <c r="AE17" s="1202" t="s">
        <v>9288</v>
      </c>
      <c r="AF17"/>
      <c r="AG17"/>
      <c r="AH17"/>
      <c r="AI17"/>
    </row>
    <row r="18" spans="2:35" s="413" customFormat="1" ht="25.5">
      <c r="B18" s="1380"/>
      <c r="C18" s="457" t="s">
        <v>2222</v>
      </c>
      <c r="D18" s="458" t="s">
        <v>2214</v>
      </c>
      <c r="E18" s="482" t="s">
        <v>2223</v>
      </c>
      <c r="F18" s="474">
        <v>0.152</v>
      </c>
      <c r="G18" s="475">
        <v>0.15</v>
      </c>
      <c r="H18" s="469">
        <f t="shared" si="0"/>
        <v>1.0133333333333334</v>
      </c>
      <c r="I18" s="474">
        <v>0.152</v>
      </c>
      <c r="J18" s="475">
        <v>0.15</v>
      </c>
      <c r="K18" s="469">
        <f t="shared" si="1"/>
        <v>1.0133333333333334</v>
      </c>
      <c r="L18" s="474">
        <v>0.152</v>
      </c>
      <c r="M18" s="475">
        <v>0.15</v>
      </c>
      <c r="N18" s="469">
        <f t="shared" si="2"/>
        <v>1.0133333333333334</v>
      </c>
      <c r="O18" s="474">
        <v>0.152</v>
      </c>
      <c r="P18" s="475">
        <v>0.15</v>
      </c>
      <c r="Q18" s="469">
        <f t="shared" si="3"/>
        <v>1.0133333333333334</v>
      </c>
      <c r="R18" s="483"/>
      <c r="S18" s="484"/>
      <c r="T18" s="485" t="str">
        <f>IFERROR(+R18/S18,"")</f>
        <v/>
      </c>
      <c r="U18" s="483"/>
      <c r="V18" s="484"/>
      <c r="W18" s="485" t="str">
        <f>IFERROR(+U18/V18,"")</f>
        <v/>
      </c>
      <c r="X18" s="483"/>
      <c r="Y18" s="484"/>
      <c r="Z18" s="485" t="str">
        <f>IFERROR(+X18/Y18,"")</f>
        <v/>
      </c>
      <c r="AA18" s="479"/>
      <c r="AB18" s="475">
        <v>0.15</v>
      </c>
      <c r="AC18" s="485">
        <f t="shared" si="7"/>
        <v>0</v>
      </c>
      <c r="AD18" s="472" t="s">
        <v>2224</v>
      </c>
      <c r="AE18" s="1203" t="s">
        <v>9288</v>
      </c>
      <c r="AF18"/>
      <c r="AG18"/>
      <c r="AH18"/>
      <c r="AI18"/>
    </row>
    <row r="19" spans="2:35" s="413" customFormat="1" ht="15" customHeight="1">
      <c r="B19" s="1380"/>
      <c r="C19" s="457" t="s">
        <v>2225</v>
      </c>
      <c r="D19" s="458" t="s">
        <v>2214</v>
      </c>
      <c r="E19" s="486" t="s">
        <v>2226</v>
      </c>
      <c r="F19" s="467">
        <v>1.7</v>
      </c>
      <c r="G19" s="468">
        <v>1.8</v>
      </c>
      <c r="H19" s="487">
        <f t="shared" si="0"/>
        <v>0.94444444444444442</v>
      </c>
      <c r="I19" s="467">
        <v>2</v>
      </c>
      <c r="J19" s="468">
        <v>1.8</v>
      </c>
      <c r="K19" s="469">
        <f t="shared" si="1"/>
        <v>1.1111111111111112</v>
      </c>
      <c r="L19" s="467">
        <v>2.7</v>
      </c>
      <c r="M19" s="468">
        <v>1.8</v>
      </c>
      <c r="N19" s="469">
        <f t="shared" si="2"/>
        <v>1.5</v>
      </c>
      <c r="O19" s="467">
        <v>2.8</v>
      </c>
      <c r="P19" s="468">
        <v>1.8</v>
      </c>
      <c r="Q19" s="469">
        <f t="shared" si="3"/>
        <v>1.5555555555555554</v>
      </c>
      <c r="R19" s="488">
        <v>2.4</v>
      </c>
      <c r="S19" s="489">
        <v>1.8</v>
      </c>
      <c r="T19" s="485">
        <f t="shared" si="4"/>
        <v>1.3333333333333333</v>
      </c>
      <c r="U19" s="488">
        <v>2.2999999999999998</v>
      </c>
      <c r="V19" s="489">
        <v>1.8</v>
      </c>
      <c r="W19" s="485">
        <f t="shared" si="5"/>
        <v>1.2777777777777777</v>
      </c>
      <c r="X19" s="488">
        <v>2.2999999999999998</v>
      </c>
      <c r="Y19" s="489">
        <v>1.8</v>
      </c>
      <c r="Z19" s="485">
        <f t="shared" si="6"/>
        <v>1.2777777777777777</v>
      </c>
      <c r="AA19" s="488">
        <v>2.2999999999999998</v>
      </c>
      <c r="AB19" s="489">
        <v>1.8</v>
      </c>
      <c r="AC19" s="485">
        <f t="shared" si="7"/>
        <v>1.2777777777777777</v>
      </c>
      <c r="AD19" s="472" t="s">
        <v>2227</v>
      </c>
      <c r="AE19" s="1203" t="s">
        <v>9288</v>
      </c>
      <c r="AF19"/>
      <c r="AG19"/>
      <c r="AH19"/>
      <c r="AI19"/>
    </row>
    <row r="20" spans="2:35" s="413" customFormat="1" ht="15" customHeight="1">
      <c r="B20" s="1380"/>
      <c r="C20" s="457" t="s">
        <v>2228</v>
      </c>
      <c r="D20" s="458" t="s">
        <v>2229</v>
      </c>
      <c r="E20" s="490">
        <v>0.34100000000000003</v>
      </c>
      <c r="F20" s="491">
        <v>0.32</v>
      </c>
      <c r="G20" s="492">
        <v>0.34100000000000003</v>
      </c>
      <c r="H20" s="487">
        <f t="shared" si="0"/>
        <v>0.93841642228738997</v>
      </c>
      <c r="I20" s="491">
        <v>0.3281</v>
      </c>
      <c r="J20" s="492">
        <v>0.34100000000000003</v>
      </c>
      <c r="K20" s="487">
        <f t="shared" si="1"/>
        <v>0.96217008797653958</v>
      </c>
      <c r="L20" s="491">
        <v>0.3407</v>
      </c>
      <c r="M20" s="492">
        <v>0.34100000000000003</v>
      </c>
      <c r="N20" s="487">
        <f t="shared" si="2"/>
        <v>0.99912023460410548</v>
      </c>
      <c r="O20" s="491">
        <v>0.34039999999999998</v>
      </c>
      <c r="P20" s="492">
        <v>0.34100000000000003</v>
      </c>
      <c r="Q20" s="487">
        <f t="shared" si="3"/>
        <v>0.99824046920821097</v>
      </c>
      <c r="R20" s="493">
        <v>0.31380000000000002</v>
      </c>
      <c r="S20" s="494">
        <v>0.34100000000000003</v>
      </c>
      <c r="T20" s="495">
        <f t="shared" si="4"/>
        <v>0.9202346041055719</v>
      </c>
      <c r="U20" s="493">
        <v>0.33810000000000001</v>
      </c>
      <c r="V20" s="494">
        <v>0.34100000000000003</v>
      </c>
      <c r="W20" s="495">
        <f t="shared" si="5"/>
        <v>0.99149560117302049</v>
      </c>
      <c r="X20" s="493">
        <v>0.33</v>
      </c>
      <c r="Y20" s="494">
        <v>0.34100000000000003</v>
      </c>
      <c r="Z20" s="485">
        <f t="shared" si="6"/>
        <v>0.967741935483871</v>
      </c>
      <c r="AA20" s="493">
        <v>0.33539999999999998</v>
      </c>
      <c r="AB20" s="494">
        <v>0.34100000000000003</v>
      </c>
      <c r="AC20" s="495">
        <f t="shared" si="7"/>
        <v>0.98357771260997051</v>
      </c>
      <c r="AD20" s="472" t="s">
        <v>2230</v>
      </c>
      <c r="AE20" s="1203" t="s">
        <v>9288</v>
      </c>
      <c r="AF20"/>
      <c r="AG20"/>
      <c r="AH20"/>
      <c r="AI20"/>
    </row>
    <row r="21" spans="2:35" s="413" customFormat="1" ht="15" customHeight="1">
      <c r="B21" s="1380"/>
      <c r="C21" s="457" t="s">
        <v>2231</v>
      </c>
      <c r="D21" s="458" t="s">
        <v>2229</v>
      </c>
      <c r="E21" s="490">
        <v>0.76600000000000001</v>
      </c>
      <c r="F21" s="491">
        <v>0.80449999999999999</v>
      </c>
      <c r="G21" s="492">
        <v>0.76600000000000001</v>
      </c>
      <c r="H21" s="469">
        <f t="shared" si="0"/>
        <v>1.0502610966057442</v>
      </c>
      <c r="I21" s="491">
        <v>1.1814</v>
      </c>
      <c r="J21" s="492">
        <v>0.76600000000000001</v>
      </c>
      <c r="K21" s="469">
        <f t="shared" si="1"/>
        <v>1.5422976501305483</v>
      </c>
      <c r="L21" s="491">
        <v>0.96540000000000004</v>
      </c>
      <c r="M21" s="492">
        <v>0.76600000000000001</v>
      </c>
      <c r="N21" s="469">
        <f t="shared" si="2"/>
        <v>1.2603133159268929</v>
      </c>
      <c r="O21" s="491">
        <v>0.76229999999999998</v>
      </c>
      <c r="P21" s="492">
        <v>0.76600000000000001</v>
      </c>
      <c r="Q21" s="496">
        <f t="shared" si="3"/>
        <v>0.99516971279373367</v>
      </c>
      <c r="R21" s="493">
        <v>0.93310000000000004</v>
      </c>
      <c r="S21" s="494">
        <v>0.76600000000000001</v>
      </c>
      <c r="T21" s="485">
        <f t="shared" si="4"/>
        <v>1.2181462140992168</v>
      </c>
      <c r="U21" s="493">
        <v>0.55710000000000004</v>
      </c>
      <c r="V21" s="494">
        <v>0.76600000000000001</v>
      </c>
      <c r="W21" s="478">
        <f t="shared" si="5"/>
        <v>0.72728459530026113</v>
      </c>
      <c r="X21" s="493">
        <v>0.86370000000000002</v>
      </c>
      <c r="Y21" s="494">
        <v>0.76600000000000001</v>
      </c>
      <c r="Z21" s="485">
        <f t="shared" si="6"/>
        <v>1.1275456919060052</v>
      </c>
      <c r="AA21" s="493">
        <v>0.90210000000000001</v>
      </c>
      <c r="AB21" s="494">
        <v>0.76600000000000001</v>
      </c>
      <c r="AC21" s="485">
        <f t="shared" si="7"/>
        <v>1.1776762402088772</v>
      </c>
      <c r="AD21" s="497" t="s">
        <v>2232</v>
      </c>
      <c r="AE21" s="1203" t="s">
        <v>9288</v>
      </c>
      <c r="AF21"/>
      <c r="AG21"/>
      <c r="AH21"/>
      <c r="AI21"/>
    </row>
    <row r="22" spans="2:35" s="413" customFormat="1" ht="15" customHeight="1">
      <c r="B22" s="1380"/>
      <c r="C22" s="457" t="s">
        <v>2233</v>
      </c>
      <c r="D22" s="458" t="s">
        <v>2229</v>
      </c>
      <c r="E22" s="490">
        <v>0.65</v>
      </c>
      <c r="F22" s="491">
        <v>0.54069999999999996</v>
      </c>
      <c r="G22" s="492">
        <v>0.65</v>
      </c>
      <c r="H22" s="487">
        <f t="shared" si="0"/>
        <v>0.83184615384615379</v>
      </c>
      <c r="I22" s="491">
        <v>0.77910000000000001</v>
      </c>
      <c r="J22" s="492">
        <v>0.65</v>
      </c>
      <c r="K22" s="469">
        <f t="shared" si="1"/>
        <v>1.1986153846153846</v>
      </c>
      <c r="L22" s="491">
        <v>0.60299999999999998</v>
      </c>
      <c r="M22" s="492">
        <v>0.65</v>
      </c>
      <c r="N22" s="496">
        <f t="shared" si="2"/>
        <v>0.92769230769230759</v>
      </c>
      <c r="O22" s="491">
        <v>0.64580000000000004</v>
      </c>
      <c r="P22" s="492">
        <v>0.65</v>
      </c>
      <c r="Q22" s="496">
        <f t="shared" si="3"/>
        <v>0.99353846153846159</v>
      </c>
      <c r="R22" s="493">
        <v>0.82010000000000005</v>
      </c>
      <c r="S22" s="494">
        <v>0.65</v>
      </c>
      <c r="T22" s="485">
        <f t="shared" si="4"/>
        <v>1.2616923076923077</v>
      </c>
      <c r="U22" s="493">
        <v>0.64680000000000004</v>
      </c>
      <c r="V22" s="494">
        <v>0.65</v>
      </c>
      <c r="W22" s="478">
        <f t="shared" si="5"/>
        <v>0.99507692307692308</v>
      </c>
      <c r="X22" s="493">
        <v>0.67010000000000003</v>
      </c>
      <c r="Y22" s="494">
        <v>0.65</v>
      </c>
      <c r="Z22" s="485">
        <f t="shared" si="6"/>
        <v>1.0309230769230768</v>
      </c>
      <c r="AA22" s="493">
        <v>0.71099999999999997</v>
      </c>
      <c r="AB22" s="494">
        <v>0.65</v>
      </c>
      <c r="AC22" s="485">
        <f t="shared" si="7"/>
        <v>1.0938461538461537</v>
      </c>
      <c r="AD22" s="497" t="s">
        <v>2234</v>
      </c>
      <c r="AE22" s="1203" t="s">
        <v>9288</v>
      </c>
      <c r="AF22"/>
      <c r="AG22"/>
      <c r="AH22"/>
      <c r="AI22"/>
    </row>
    <row r="23" spans="2:35" s="413" customFormat="1" ht="15" customHeight="1">
      <c r="B23" s="1380"/>
      <c r="C23" s="457" t="s">
        <v>10233</v>
      </c>
      <c r="D23" s="458" t="s">
        <v>2229</v>
      </c>
      <c r="E23" s="490">
        <f>0.278</f>
        <v>0.27800000000000002</v>
      </c>
      <c r="F23" s="491">
        <v>0.31559999999999999</v>
      </c>
      <c r="G23" s="492">
        <v>0.27800000000000002</v>
      </c>
      <c r="H23" s="469">
        <f t="shared" si="0"/>
        <v>1.135251798561151</v>
      </c>
      <c r="I23" s="491">
        <v>0.26529999999999998</v>
      </c>
      <c r="J23" s="492">
        <v>0.27800000000000002</v>
      </c>
      <c r="K23" s="496">
        <f t="shared" si="1"/>
        <v>0.95431654676258981</v>
      </c>
      <c r="L23" s="491">
        <v>0.30959999999999999</v>
      </c>
      <c r="M23" s="492">
        <v>0.27800000000000002</v>
      </c>
      <c r="N23" s="469">
        <f t="shared" si="2"/>
        <v>1.1136690647482013</v>
      </c>
      <c r="O23" s="491">
        <v>0.32469999999999999</v>
      </c>
      <c r="P23" s="492">
        <v>0.27800000000000002</v>
      </c>
      <c r="Q23" s="469">
        <f t="shared" si="3"/>
        <v>1.1679856115107912</v>
      </c>
      <c r="R23" s="1390">
        <v>0.29759999999999998</v>
      </c>
      <c r="S23" s="494">
        <f>0.278</f>
        <v>0.27800000000000002</v>
      </c>
      <c r="T23" s="1381">
        <f>+R23/(S23+S24)</f>
        <v>0.90731707317073162</v>
      </c>
      <c r="U23" s="1390">
        <v>0.32140000000000002</v>
      </c>
      <c r="V23" s="494">
        <f>0.278</f>
        <v>0.27800000000000002</v>
      </c>
      <c r="W23" s="1381">
        <f>+U23/(V23+V24)</f>
        <v>0.97987804878048779</v>
      </c>
      <c r="X23" s="1390">
        <v>0.30649999999999999</v>
      </c>
      <c r="Y23" s="494">
        <v>0.27800000000000002</v>
      </c>
      <c r="Z23" s="1381">
        <f>+X23/(Y23+Y24)</f>
        <v>0.93445121951219512</v>
      </c>
      <c r="AA23" s="1390">
        <v>0.30780000000000002</v>
      </c>
      <c r="AB23" s="494">
        <f>0.278</f>
        <v>0.27800000000000002</v>
      </c>
      <c r="AC23" s="1381">
        <f>+AA23/(AB23+AB24)</f>
        <v>0.93841463414634152</v>
      </c>
      <c r="AD23" s="1383" t="s">
        <v>2235</v>
      </c>
      <c r="AE23" s="1376" t="s">
        <v>9288</v>
      </c>
      <c r="AF23"/>
      <c r="AG23"/>
      <c r="AH23"/>
      <c r="AI23"/>
    </row>
    <row r="24" spans="2:35" s="413" customFormat="1" ht="15" customHeight="1">
      <c r="B24" s="1380"/>
      <c r="C24" s="457" t="s">
        <v>2236</v>
      </c>
      <c r="D24" s="458" t="s">
        <v>2229</v>
      </c>
      <c r="E24" s="490">
        <v>0.05</v>
      </c>
      <c r="F24" s="619" t="s">
        <v>584</v>
      </c>
      <c r="G24" s="620" t="s">
        <v>584</v>
      </c>
      <c r="H24" s="621" t="s">
        <v>584</v>
      </c>
      <c r="I24" s="619" t="s">
        <v>584</v>
      </c>
      <c r="J24" s="620" t="s">
        <v>584</v>
      </c>
      <c r="K24" s="621" t="s">
        <v>584</v>
      </c>
      <c r="L24" s="619" t="s">
        <v>584</v>
      </c>
      <c r="M24" s="620" t="s">
        <v>584</v>
      </c>
      <c r="N24" s="621" t="s">
        <v>584</v>
      </c>
      <c r="O24" s="619" t="s">
        <v>584</v>
      </c>
      <c r="P24" s="620" t="s">
        <v>584</v>
      </c>
      <c r="Q24" s="621" t="s">
        <v>584</v>
      </c>
      <c r="R24" s="1391"/>
      <c r="S24" s="494">
        <v>0.05</v>
      </c>
      <c r="T24" s="1382"/>
      <c r="U24" s="1391"/>
      <c r="V24" s="494">
        <v>0.05</v>
      </c>
      <c r="W24" s="1382"/>
      <c r="X24" s="1391"/>
      <c r="Y24" s="494">
        <v>0.05</v>
      </c>
      <c r="Z24" s="1382"/>
      <c r="AA24" s="1391"/>
      <c r="AB24" s="494">
        <v>0.05</v>
      </c>
      <c r="AC24" s="1382"/>
      <c r="AD24" s="1384"/>
      <c r="AE24" s="1377" t="s">
        <v>9288</v>
      </c>
      <c r="AF24"/>
      <c r="AG24"/>
      <c r="AH24"/>
      <c r="AI24"/>
    </row>
    <row r="25" spans="2:35" s="413" customFormat="1" ht="15" customHeight="1">
      <c r="B25" s="1380"/>
      <c r="C25" s="457" t="s">
        <v>2237</v>
      </c>
      <c r="D25" s="458" t="s">
        <v>2229</v>
      </c>
      <c r="E25" s="490">
        <v>9.0499999999999997E-2</v>
      </c>
      <c r="F25" s="491">
        <v>0.1205</v>
      </c>
      <c r="G25" s="492">
        <v>9.0499999999999997E-2</v>
      </c>
      <c r="H25" s="469">
        <f t="shared" ref="H25:H57" si="8">+F25/G25</f>
        <v>1.3314917127071824</v>
      </c>
      <c r="I25" s="491">
        <v>8.3000000000000004E-2</v>
      </c>
      <c r="J25" s="492">
        <v>9.0499999999999997E-2</v>
      </c>
      <c r="K25" s="496">
        <f t="shared" ref="K25:K57" si="9">+I25/J25</f>
        <v>0.91712707182320452</v>
      </c>
      <c r="L25" s="491">
        <v>9.0300000000000005E-2</v>
      </c>
      <c r="M25" s="492">
        <v>9.0499999999999997E-2</v>
      </c>
      <c r="N25" s="496">
        <f t="shared" ref="N25:N57" si="10">+L25/M25</f>
        <v>0.99779005524861886</v>
      </c>
      <c r="O25" s="491">
        <v>9.0499999999999997E-2</v>
      </c>
      <c r="P25" s="492">
        <v>9.0499999999999997E-2</v>
      </c>
      <c r="Q25" s="496">
        <f t="shared" ref="Q25:Q57" si="11">+O25/P25</f>
        <v>1</v>
      </c>
      <c r="R25" s="493">
        <v>8.9700000000000002E-2</v>
      </c>
      <c r="S25" s="494">
        <v>9.0499999999999997E-2</v>
      </c>
      <c r="T25" s="478">
        <f t="shared" ref="T25:T31" si="12">+R25/S25</f>
        <v>0.99116022099447521</v>
      </c>
      <c r="U25" s="493">
        <v>0.10009999999999999</v>
      </c>
      <c r="V25" s="494">
        <v>9.0499999999999997E-2</v>
      </c>
      <c r="W25" s="485">
        <f t="shared" ref="W25:W31" si="13">+U25/V25</f>
        <v>1.1060773480662984</v>
      </c>
      <c r="X25" s="493">
        <v>0.11070000000000001</v>
      </c>
      <c r="Y25" s="494">
        <v>9.0499999999999997E-2</v>
      </c>
      <c r="Z25" s="485">
        <f t="shared" ref="Z25:Z31" si="14">+X25/Y25</f>
        <v>1.2232044198895029</v>
      </c>
      <c r="AA25" s="493">
        <v>9.8100000000000007E-2</v>
      </c>
      <c r="AB25" s="494">
        <v>9.0499999999999997E-2</v>
      </c>
      <c r="AC25" s="485">
        <f t="shared" ref="AC25:AC31" si="15">+AA25/AB25</f>
        <v>1.0839779005524863</v>
      </c>
      <c r="AD25" s="497" t="s">
        <v>2238</v>
      </c>
      <c r="AE25" s="1203" t="s">
        <v>9288</v>
      </c>
      <c r="AF25"/>
      <c r="AG25"/>
      <c r="AH25"/>
      <c r="AI25"/>
    </row>
    <row r="26" spans="2:35" s="413" customFormat="1" ht="15" customHeight="1">
      <c r="B26" s="1380"/>
      <c r="C26" s="457" t="s">
        <v>2239</v>
      </c>
      <c r="D26" s="458" t="s">
        <v>2229</v>
      </c>
      <c r="E26" s="490">
        <v>2.0760000000000001</v>
      </c>
      <c r="F26" s="491">
        <v>1.7555000000000001</v>
      </c>
      <c r="G26" s="492">
        <v>2.0760000000000001</v>
      </c>
      <c r="H26" s="487">
        <f t="shared" si="8"/>
        <v>0.845616570327553</v>
      </c>
      <c r="I26" s="491">
        <v>1.4705999999999999</v>
      </c>
      <c r="J26" s="492">
        <v>2.0760000000000001</v>
      </c>
      <c r="K26" s="487">
        <f t="shared" si="9"/>
        <v>0.70838150289017332</v>
      </c>
      <c r="L26" s="491">
        <v>1.5132000000000001</v>
      </c>
      <c r="M26" s="492">
        <v>2.0760000000000001</v>
      </c>
      <c r="N26" s="487">
        <f t="shared" si="10"/>
        <v>0.72890173410404624</v>
      </c>
      <c r="O26" s="491">
        <v>1.7232000000000001</v>
      </c>
      <c r="P26" s="492">
        <v>2.0760000000000001</v>
      </c>
      <c r="Q26" s="487">
        <f t="shared" si="11"/>
        <v>0.83005780346820812</v>
      </c>
      <c r="R26" s="493">
        <v>0.93049999999999999</v>
      </c>
      <c r="S26" s="494">
        <v>2.0760000000000001</v>
      </c>
      <c r="T26" s="495">
        <f t="shared" si="12"/>
        <v>0.44821772639691715</v>
      </c>
      <c r="U26" s="493">
        <v>0.94820000000000004</v>
      </c>
      <c r="V26" s="494">
        <v>2.0760000000000001</v>
      </c>
      <c r="W26" s="495">
        <f t="shared" si="13"/>
        <v>0.45674373795761081</v>
      </c>
      <c r="X26" s="493">
        <v>0.99790000000000001</v>
      </c>
      <c r="Y26" s="494">
        <v>2.0760000000000001</v>
      </c>
      <c r="Z26" s="495">
        <f t="shared" si="14"/>
        <v>0.4806840077071291</v>
      </c>
      <c r="AA26" s="493">
        <v>1.3351</v>
      </c>
      <c r="AB26" s="494">
        <v>2.0760000000000001</v>
      </c>
      <c r="AC26" s="495">
        <f t="shared" si="15"/>
        <v>0.64311175337186899</v>
      </c>
      <c r="AD26" s="498" t="s">
        <v>2240</v>
      </c>
      <c r="AE26" s="1203" t="s">
        <v>9288</v>
      </c>
      <c r="AF26"/>
      <c r="AG26"/>
      <c r="AH26"/>
      <c r="AI26"/>
    </row>
    <row r="27" spans="2:35" s="413" customFormat="1" ht="15" customHeight="1">
      <c r="B27" s="1379"/>
      <c r="C27" s="499" t="s">
        <v>2241</v>
      </c>
      <c r="D27" s="500" t="s">
        <v>2242</v>
      </c>
      <c r="E27" s="501">
        <v>0.3</v>
      </c>
      <c r="F27" s="502">
        <v>0.21</v>
      </c>
      <c r="G27" s="503">
        <v>0.3</v>
      </c>
      <c r="H27" s="504">
        <f t="shared" si="8"/>
        <v>0.7</v>
      </c>
      <c r="I27" s="502">
        <v>0.16</v>
      </c>
      <c r="J27" s="503">
        <v>0.3</v>
      </c>
      <c r="K27" s="504">
        <f t="shared" si="9"/>
        <v>0.53333333333333333</v>
      </c>
      <c r="L27" s="502"/>
      <c r="M27" s="503">
        <v>0.3</v>
      </c>
      <c r="N27" s="504">
        <f t="shared" si="10"/>
        <v>0</v>
      </c>
      <c r="O27" s="502"/>
      <c r="P27" s="503">
        <v>0.3</v>
      </c>
      <c r="Q27" s="504">
        <f t="shared" si="11"/>
        <v>0</v>
      </c>
      <c r="R27" s="505"/>
      <c r="S27" s="503">
        <v>0.3</v>
      </c>
      <c r="T27" s="506">
        <f t="shared" si="12"/>
        <v>0</v>
      </c>
      <c r="U27" s="505"/>
      <c r="V27" s="503">
        <v>0.3</v>
      </c>
      <c r="W27" s="506">
        <f t="shared" si="13"/>
        <v>0</v>
      </c>
      <c r="X27" s="505">
        <v>0.28999999999999998</v>
      </c>
      <c r="Y27" s="503">
        <v>0.3</v>
      </c>
      <c r="Z27" s="506">
        <f t="shared" si="14"/>
        <v>0.96666666666666667</v>
      </c>
      <c r="AA27" s="505">
        <v>0.221</v>
      </c>
      <c r="AB27" s="503">
        <v>0.3</v>
      </c>
      <c r="AC27" s="495">
        <f t="shared" si="15"/>
        <v>0.73666666666666669</v>
      </c>
      <c r="AD27" s="507" t="s">
        <v>2243</v>
      </c>
      <c r="AE27" s="1203" t="s">
        <v>9288</v>
      </c>
      <c r="AF27"/>
      <c r="AG27"/>
      <c r="AH27"/>
      <c r="AI27"/>
    </row>
    <row r="28" spans="2:35" s="413" customFormat="1" ht="15" customHeight="1">
      <c r="B28" s="1378" t="s">
        <v>2244</v>
      </c>
      <c r="C28" s="434" t="s">
        <v>2245</v>
      </c>
      <c r="D28" s="435" t="s">
        <v>2246</v>
      </c>
      <c r="E28" s="508">
        <v>600</v>
      </c>
      <c r="F28" s="509">
        <v>602.9</v>
      </c>
      <c r="G28" s="510">
        <v>600</v>
      </c>
      <c r="H28" s="487">
        <f t="shared" si="8"/>
        <v>1.0048333333333332</v>
      </c>
      <c r="I28" s="509">
        <v>658.7</v>
      </c>
      <c r="J28" s="510">
        <v>600</v>
      </c>
      <c r="K28" s="487">
        <f t="shared" si="9"/>
        <v>1.0978333333333334</v>
      </c>
      <c r="L28" s="509">
        <v>538.4</v>
      </c>
      <c r="M28" s="510">
        <v>600</v>
      </c>
      <c r="N28" s="469">
        <f t="shared" si="10"/>
        <v>0.89733333333333332</v>
      </c>
      <c r="O28" s="509">
        <v>592.1</v>
      </c>
      <c r="P28" s="510">
        <v>600</v>
      </c>
      <c r="Q28" s="469">
        <f t="shared" si="11"/>
        <v>0.98683333333333334</v>
      </c>
      <c r="R28" s="509">
        <v>588.70000000000005</v>
      </c>
      <c r="S28" s="510">
        <v>600</v>
      </c>
      <c r="T28" s="443">
        <f t="shared" si="12"/>
        <v>0.98116666666666674</v>
      </c>
      <c r="U28" s="509">
        <v>603.9</v>
      </c>
      <c r="V28" s="510">
        <v>600</v>
      </c>
      <c r="W28" s="511">
        <f t="shared" si="13"/>
        <v>1.0065</v>
      </c>
      <c r="X28" s="509">
        <v>551.20000000000005</v>
      </c>
      <c r="Y28" s="510">
        <v>600</v>
      </c>
      <c r="Z28" s="443">
        <f t="shared" si="14"/>
        <v>0.91866666666666674</v>
      </c>
      <c r="AA28" s="509">
        <v>592.77</v>
      </c>
      <c r="AB28" s="510">
        <v>600</v>
      </c>
      <c r="AC28" s="512">
        <f t="shared" si="15"/>
        <v>0.98794999999999999</v>
      </c>
      <c r="AD28" s="1385" t="s">
        <v>2247</v>
      </c>
      <c r="AE28" s="1200" t="s">
        <v>9287</v>
      </c>
      <c r="AF28"/>
      <c r="AG28"/>
      <c r="AH28"/>
      <c r="AI28"/>
    </row>
    <row r="29" spans="2:35" s="413" customFormat="1" ht="15" customHeight="1">
      <c r="B29" s="1380"/>
      <c r="C29" s="457" t="s">
        <v>2248</v>
      </c>
      <c r="D29" s="458" t="s">
        <v>2246</v>
      </c>
      <c r="E29" s="513">
        <v>800</v>
      </c>
      <c r="F29" s="514">
        <v>862</v>
      </c>
      <c r="G29" s="515">
        <v>800</v>
      </c>
      <c r="H29" s="487">
        <f t="shared" si="8"/>
        <v>1.0774999999999999</v>
      </c>
      <c r="I29" s="514">
        <v>771.6</v>
      </c>
      <c r="J29" s="515">
        <v>800</v>
      </c>
      <c r="K29" s="469">
        <f t="shared" si="9"/>
        <v>0.96450000000000002</v>
      </c>
      <c r="L29" s="514">
        <v>720.4</v>
      </c>
      <c r="M29" s="515">
        <v>800</v>
      </c>
      <c r="N29" s="469">
        <f t="shared" si="10"/>
        <v>0.90049999999999997</v>
      </c>
      <c r="O29" s="514">
        <v>711.5</v>
      </c>
      <c r="P29" s="515">
        <v>800</v>
      </c>
      <c r="Q29" s="469">
        <f t="shared" si="11"/>
        <v>0.88937500000000003</v>
      </c>
      <c r="R29" s="514">
        <v>740.6</v>
      </c>
      <c r="S29" s="515">
        <v>800</v>
      </c>
      <c r="T29" s="485">
        <f t="shared" si="12"/>
        <v>0.92575000000000007</v>
      </c>
      <c r="U29" s="514">
        <v>750.2</v>
      </c>
      <c r="V29" s="515">
        <v>800</v>
      </c>
      <c r="W29" s="485">
        <f t="shared" si="13"/>
        <v>0.93775000000000008</v>
      </c>
      <c r="X29" s="514">
        <v>750.1</v>
      </c>
      <c r="Y29" s="515">
        <v>800</v>
      </c>
      <c r="Z29" s="485">
        <f t="shared" si="14"/>
        <v>0.93762500000000004</v>
      </c>
      <c r="AA29" s="514">
        <v>757.98</v>
      </c>
      <c r="AB29" s="515">
        <v>800</v>
      </c>
      <c r="AC29" s="485">
        <f t="shared" si="15"/>
        <v>0.94747500000000007</v>
      </c>
      <c r="AD29" s="1386"/>
      <c r="AE29" s="1203" t="s">
        <v>9287</v>
      </c>
      <c r="AF29"/>
      <c r="AG29"/>
      <c r="AH29"/>
      <c r="AI29"/>
    </row>
    <row r="30" spans="2:35" s="413" customFormat="1" ht="15" customHeight="1">
      <c r="B30" s="1380"/>
      <c r="C30" s="457" t="s">
        <v>2249</v>
      </c>
      <c r="D30" s="458" t="s">
        <v>2246</v>
      </c>
      <c r="E30" s="513">
        <v>650</v>
      </c>
      <c r="F30" s="514">
        <v>659.3</v>
      </c>
      <c r="G30" s="515">
        <v>650</v>
      </c>
      <c r="H30" s="487">
        <f t="shared" si="8"/>
        <v>1.0143076923076921</v>
      </c>
      <c r="I30" s="514">
        <v>571</v>
      </c>
      <c r="J30" s="515">
        <v>650</v>
      </c>
      <c r="K30" s="469">
        <f t="shared" si="9"/>
        <v>0.87846153846153852</v>
      </c>
      <c r="L30" s="514">
        <v>642.29999999999995</v>
      </c>
      <c r="M30" s="515">
        <v>650</v>
      </c>
      <c r="N30" s="469">
        <f t="shared" si="10"/>
        <v>0.98815384615384605</v>
      </c>
      <c r="O30" s="514">
        <v>771</v>
      </c>
      <c r="P30" s="515">
        <v>650</v>
      </c>
      <c r="Q30" s="496">
        <f t="shared" si="11"/>
        <v>1.1861538461538461</v>
      </c>
      <c r="R30" s="514">
        <v>713.6</v>
      </c>
      <c r="S30" s="515">
        <v>650</v>
      </c>
      <c r="T30" s="478">
        <f t="shared" si="12"/>
        <v>1.0978461538461539</v>
      </c>
      <c r="U30" s="514">
        <v>732.9</v>
      </c>
      <c r="V30" s="515">
        <v>650</v>
      </c>
      <c r="W30" s="478">
        <f t="shared" si="13"/>
        <v>1.1275384615384616</v>
      </c>
      <c r="X30" s="514">
        <v>666.4</v>
      </c>
      <c r="Y30" s="515">
        <v>650</v>
      </c>
      <c r="Z30" s="478">
        <f t="shared" si="14"/>
        <v>1.0252307692307692</v>
      </c>
      <c r="AA30" s="514">
        <v>676.9</v>
      </c>
      <c r="AB30" s="515">
        <v>650</v>
      </c>
      <c r="AC30" s="478">
        <f t="shared" si="15"/>
        <v>1.0413846153846154</v>
      </c>
      <c r="AD30" s="516" t="s">
        <v>2240</v>
      </c>
      <c r="AE30" s="1203" t="s">
        <v>9287</v>
      </c>
      <c r="AF30"/>
      <c r="AH30"/>
      <c r="AI30"/>
    </row>
    <row r="31" spans="2:35" s="413" customFormat="1" ht="18.75">
      <c r="B31" s="1380"/>
      <c r="C31" s="457" t="s">
        <v>2250</v>
      </c>
      <c r="D31" s="458" t="s">
        <v>2246</v>
      </c>
      <c r="E31" s="517">
        <v>1620</v>
      </c>
      <c r="F31" s="514">
        <v>1519</v>
      </c>
      <c r="G31" s="515">
        <v>1620</v>
      </c>
      <c r="H31" s="469">
        <f t="shared" si="8"/>
        <v>0.93765432098765433</v>
      </c>
      <c r="I31" s="514">
        <v>1662</v>
      </c>
      <c r="J31" s="515">
        <v>1620</v>
      </c>
      <c r="K31" s="487">
        <f t="shared" si="9"/>
        <v>1.0259259259259259</v>
      </c>
      <c r="L31" s="514">
        <v>1675.2</v>
      </c>
      <c r="M31" s="515">
        <v>1620</v>
      </c>
      <c r="N31" s="487">
        <f t="shared" si="10"/>
        <v>1.0340740740740741</v>
      </c>
      <c r="O31" s="518">
        <v>1767.6</v>
      </c>
      <c r="P31" s="519">
        <v>1620</v>
      </c>
      <c r="Q31" s="487">
        <f t="shared" si="11"/>
        <v>1.0911111111111111</v>
      </c>
      <c r="R31" s="518">
        <v>1693</v>
      </c>
      <c r="S31" s="515">
        <v>1620</v>
      </c>
      <c r="T31" s="495">
        <f t="shared" si="12"/>
        <v>1.0450617283950616</v>
      </c>
      <c r="U31" s="518">
        <v>1678.7</v>
      </c>
      <c r="V31" s="515">
        <v>1620</v>
      </c>
      <c r="W31" s="495">
        <f t="shared" si="13"/>
        <v>1.0362345679012346</v>
      </c>
      <c r="X31" s="518">
        <v>1720.8</v>
      </c>
      <c r="Y31" s="515">
        <v>1620</v>
      </c>
      <c r="Z31" s="495">
        <f t="shared" si="14"/>
        <v>1.0622222222222222</v>
      </c>
      <c r="AA31" s="518">
        <v>1701.3</v>
      </c>
      <c r="AB31" s="515">
        <v>1620</v>
      </c>
      <c r="AC31" s="495">
        <f t="shared" si="15"/>
        <v>1.0501851851851851</v>
      </c>
      <c r="AD31" s="520" t="s">
        <v>2240</v>
      </c>
      <c r="AE31" s="1203" t="s">
        <v>9287</v>
      </c>
      <c r="AF31" s="521"/>
      <c r="AG31"/>
      <c r="AH31"/>
      <c r="AI31"/>
    </row>
    <row r="32" spans="2:35" s="413" customFormat="1" ht="15" customHeight="1">
      <c r="B32" s="1380"/>
      <c r="C32" s="457" t="s">
        <v>2251</v>
      </c>
      <c r="D32" s="458" t="s">
        <v>2246</v>
      </c>
      <c r="E32" s="455">
        <v>1200</v>
      </c>
      <c r="F32" s="514">
        <v>1225</v>
      </c>
      <c r="G32" s="515">
        <v>1200</v>
      </c>
      <c r="H32" s="487">
        <f t="shared" si="8"/>
        <v>1.0208333333333333</v>
      </c>
      <c r="I32" s="514">
        <v>1225</v>
      </c>
      <c r="J32" s="515">
        <v>1200</v>
      </c>
      <c r="K32" s="487">
        <f t="shared" si="9"/>
        <v>1.0208333333333333</v>
      </c>
      <c r="L32" s="514">
        <v>1225</v>
      </c>
      <c r="M32" s="515">
        <v>1200</v>
      </c>
      <c r="N32" s="487">
        <f t="shared" si="10"/>
        <v>1.0208333333333333</v>
      </c>
      <c r="O32" s="514">
        <v>1225</v>
      </c>
      <c r="P32" s="515">
        <v>1200</v>
      </c>
      <c r="Q32" s="487">
        <f t="shared" si="11"/>
        <v>1.0208333333333333</v>
      </c>
      <c r="R32" s="514">
        <v>1225</v>
      </c>
      <c r="S32" s="515">
        <v>1200</v>
      </c>
      <c r="T32" s="495">
        <v>1.0208333333333333</v>
      </c>
      <c r="U32" s="514">
        <v>1225</v>
      </c>
      <c r="V32" s="515">
        <v>1200</v>
      </c>
      <c r="W32" s="495">
        <v>1.0208333333333333</v>
      </c>
      <c r="X32" s="514">
        <v>1225</v>
      </c>
      <c r="Y32" s="515">
        <v>1200</v>
      </c>
      <c r="Z32" s="495">
        <v>1.0208333333333333</v>
      </c>
      <c r="AA32" s="514"/>
      <c r="AB32" s="515">
        <v>1200</v>
      </c>
      <c r="AC32" s="495">
        <v>1.0208333333333333</v>
      </c>
      <c r="AD32" s="522" t="s">
        <v>2252</v>
      </c>
      <c r="AE32" s="1203" t="s">
        <v>9287</v>
      </c>
      <c r="AF32"/>
      <c r="AG32"/>
      <c r="AH32"/>
      <c r="AI32"/>
    </row>
    <row r="33" spans="2:36" s="413" customFormat="1" ht="15" customHeight="1">
      <c r="B33" s="1380"/>
      <c r="C33" s="457" t="s">
        <v>2253</v>
      </c>
      <c r="D33" s="458" t="s">
        <v>2246</v>
      </c>
      <c r="E33" s="513">
        <v>65</v>
      </c>
      <c r="F33" s="514">
        <v>59.5</v>
      </c>
      <c r="G33" s="515">
        <v>65.2</v>
      </c>
      <c r="H33" s="485">
        <f t="shared" si="8"/>
        <v>0.91257668711656437</v>
      </c>
      <c r="I33" s="514">
        <v>57.2</v>
      </c>
      <c r="J33" s="515">
        <v>65.2</v>
      </c>
      <c r="K33" s="485">
        <f t="shared" si="9"/>
        <v>0.87730061349693256</v>
      </c>
      <c r="L33" s="514"/>
      <c r="M33" s="515">
        <v>65.2</v>
      </c>
      <c r="N33" s="485">
        <f t="shared" si="10"/>
        <v>0</v>
      </c>
      <c r="O33" s="514"/>
      <c r="P33" s="515">
        <v>65.2</v>
      </c>
      <c r="Q33" s="469">
        <f t="shared" si="11"/>
        <v>0</v>
      </c>
      <c r="R33" s="514"/>
      <c r="S33" s="515">
        <v>65.2</v>
      </c>
      <c r="T33" s="485">
        <f>+R33/S33</f>
        <v>0</v>
      </c>
      <c r="U33" s="514"/>
      <c r="V33" s="515">
        <v>65.2</v>
      </c>
      <c r="W33" s="485">
        <f>+U33/V33</f>
        <v>0</v>
      </c>
      <c r="X33" s="514">
        <v>62.6</v>
      </c>
      <c r="Y33" s="515">
        <v>64</v>
      </c>
      <c r="Z33" s="485">
        <f>+X33/Y33</f>
        <v>0.97812500000000002</v>
      </c>
      <c r="AA33" s="514">
        <v>59.2</v>
      </c>
      <c r="AB33" s="515">
        <v>64</v>
      </c>
      <c r="AC33" s="485">
        <f t="shared" ref="AC33:AC57" si="16">+AA33/AB33</f>
        <v>0.92500000000000004</v>
      </c>
      <c r="AD33" s="523" t="s">
        <v>2254</v>
      </c>
      <c r="AE33" s="1203" t="s">
        <v>9287</v>
      </c>
      <c r="AF33"/>
      <c r="AG33"/>
      <c r="AH33"/>
      <c r="AI33"/>
    </row>
    <row r="34" spans="2:36" s="413" customFormat="1" ht="15">
      <c r="B34" s="1379"/>
      <c r="C34" s="499" t="s">
        <v>2255</v>
      </c>
      <c r="D34" s="500" t="s">
        <v>2246</v>
      </c>
      <c r="E34" s="524">
        <v>42.6</v>
      </c>
      <c r="F34" s="525">
        <v>53.4</v>
      </c>
      <c r="G34" s="526">
        <v>42.6</v>
      </c>
      <c r="H34" s="506">
        <f t="shared" si="8"/>
        <v>1.2535211267605633</v>
      </c>
      <c r="I34" s="525">
        <v>53.4</v>
      </c>
      <c r="J34" s="526">
        <v>42.6</v>
      </c>
      <c r="K34" s="506">
        <f t="shared" si="9"/>
        <v>1.2535211267605633</v>
      </c>
      <c r="L34" s="525">
        <v>53.4</v>
      </c>
      <c r="M34" s="526">
        <v>42.6</v>
      </c>
      <c r="N34" s="506">
        <f t="shared" si="10"/>
        <v>1.2535211267605633</v>
      </c>
      <c r="O34" s="525">
        <v>53.4</v>
      </c>
      <c r="P34" s="526">
        <v>42.6</v>
      </c>
      <c r="Q34" s="504">
        <f t="shared" si="11"/>
        <v>1.2535211267605633</v>
      </c>
      <c r="R34" s="527"/>
      <c r="S34" s="528"/>
      <c r="T34" s="506"/>
      <c r="U34" s="527"/>
      <c r="V34" s="528"/>
      <c r="W34" s="506"/>
      <c r="X34" s="527">
        <v>0.626</v>
      </c>
      <c r="Y34" s="528">
        <v>0.64</v>
      </c>
      <c r="Z34" s="506"/>
      <c r="AA34" s="525">
        <v>53.4</v>
      </c>
      <c r="AB34" s="526">
        <v>42.6</v>
      </c>
      <c r="AC34" s="506">
        <f t="shared" si="16"/>
        <v>1.2535211267605633</v>
      </c>
      <c r="AD34" s="529" t="s">
        <v>2252</v>
      </c>
      <c r="AE34" s="1204" t="s">
        <v>9287</v>
      </c>
      <c r="AF34"/>
      <c r="AG34"/>
      <c r="AH34"/>
      <c r="AI34"/>
    </row>
    <row r="35" spans="2:36" s="413" customFormat="1" ht="15" customHeight="1">
      <c r="B35" s="1378" t="s">
        <v>2256</v>
      </c>
      <c r="C35" s="434" t="s">
        <v>2257</v>
      </c>
      <c r="D35" s="435" t="s">
        <v>2214</v>
      </c>
      <c r="E35" s="530" t="s">
        <v>2258</v>
      </c>
      <c r="F35" s="531">
        <v>0.92500000000000004</v>
      </c>
      <c r="G35" s="532">
        <v>0.9</v>
      </c>
      <c r="H35" s="533">
        <f t="shared" si="8"/>
        <v>1.0277777777777779</v>
      </c>
      <c r="I35" s="531">
        <v>0.91800000000000004</v>
      </c>
      <c r="J35" s="532">
        <v>0.9</v>
      </c>
      <c r="K35" s="533">
        <f t="shared" si="9"/>
        <v>1.02</v>
      </c>
      <c r="L35" s="531">
        <v>0.88100000000000001</v>
      </c>
      <c r="M35" s="532">
        <v>0.9</v>
      </c>
      <c r="N35" s="534">
        <f t="shared" si="10"/>
        <v>0.97888888888888892</v>
      </c>
      <c r="O35" s="531">
        <v>0.88600000000000001</v>
      </c>
      <c r="P35" s="532">
        <v>0.9</v>
      </c>
      <c r="Q35" s="535">
        <f t="shared" si="11"/>
        <v>0.98444444444444446</v>
      </c>
      <c r="R35" s="531">
        <v>0.93899999999999995</v>
      </c>
      <c r="S35" s="532">
        <v>0.9</v>
      </c>
      <c r="T35" s="533">
        <f t="shared" ref="T35:T52" si="17">+R35/S35</f>
        <v>1.0433333333333332</v>
      </c>
      <c r="U35" s="531">
        <v>0.88300000000000001</v>
      </c>
      <c r="V35" s="532">
        <v>0.9</v>
      </c>
      <c r="W35" s="534">
        <f t="shared" ref="W35:W52" si="18">+U35/V35</f>
        <v>0.98111111111111104</v>
      </c>
      <c r="X35" s="531">
        <v>0.92400000000000004</v>
      </c>
      <c r="Y35" s="532">
        <v>0.9</v>
      </c>
      <c r="Z35" s="536">
        <f t="shared" ref="Z35:Z52" si="19">+X35/Y35</f>
        <v>1.0266666666666666</v>
      </c>
      <c r="AA35" s="531">
        <v>0.90800000000000003</v>
      </c>
      <c r="AB35" s="532">
        <v>0.9</v>
      </c>
      <c r="AC35" s="533">
        <f t="shared" si="16"/>
        <v>1.0088888888888889</v>
      </c>
      <c r="AD35" s="537" t="s">
        <v>2240</v>
      </c>
      <c r="AE35" s="1205" t="s">
        <v>9287</v>
      </c>
      <c r="AF35"/>
      <c r="AG35"/>
      <c r="AH35"/>
      <c r="AI35"/>
      <c r="AJ35" s="538"/>
    </row>
    <row r="36" spans="2:36" s="413" customFormat="1" ht="15" customHeight="1">
      <c r="B36" s="1380"/>
      <c r="C36" s="457" t="s">
        <v>2259</v>
      </c>
      <c r="D36" s="458" t="s">
        <v>2214</v>
      </c>
      <c r="E36" s="473" t="s">
        <v>2258</v>
      </c>
      <c r="F36" s="539">
        <v>0.96499999999999997</v>
      </c>
      <c r="G36" s="540">
        <v>0.9</v>
      </c>
      <c r="H36" s="541">
        <f t="shared" si="8"/>
        <v>1.0722222222222222</v>
      </c>
      <c r="I36" s="539">
        <v>0.92500000000000004</v>
      </c>
      <c r="J36" s="540">
        <v>0.9</v>
      </c>
      <c r="K36" s="541">
        <f t="shared" si="9"/>
        <v>1.0277777777777779</v>
      </c>
      <c r="L36" s="539">
        <v>0.90600000000000003</v>
      </c>
      <c r="M36" s="540">
        <v>0.9</v>
      </c>
      <c r="N36" s="541">
        <f t="shared" si="10"/>
        <v>1.0066666666666666</v>
      </c>
      <c r="O36" s="539">
        <v>0.94</v>
      </c>
      <c r="P36" s="540">
        <v>0.9</v>
      </c>
      <c r="Q36" s="542">
        <f t="shared" si="11"/>
        <v>1.0444444444444443</v>
      </c>
      <c r="R36" s="539">
        <v>0.94699999999999995</v>
      </c>
      <c r="S36" s="540">
        <v>0.9</v>
      </c>
      <c r="T36" s="541">
        <f t="shared" si="17"/>
        <v>1.0522222222222222</v>
      </c>
      <c r="U36" s="539">
        <v>0.84299999999999997</v>
      </c>
      <c r="V36" s="540">
        <v>0.9</v>
      </c>
      <c r="W36" s="481">
        <f t="shared" si="18"/>
        <v>0.93666666666666665</v>
      </c>
      <c r="X36" s="539">
        <v>0.95099999999999996</v>
      </c>
      <c r="Y36" s="540">
        <v>0.9</v>
      </c>
      <c r="Z36" s="543">
        <f t="shared" si="19"/>
        <v>1.0566666666666666</v>
      </c>
      <c r="AA36" s="539">
        <v>0.92600000000000005</v>
      </c>
      <c r="AB36" s="540">
        <v>0.9</v>
      </c>
      <c r="AC36" s="541">
        <f t="shared" si="16"/>
        <v>1.028888888888889</v>
      </c>
      <c r="AD36" s="537" t="s">
        <v>2240</v>
      </c>
      <c r="AE36" s="1202" t="s">
        <v>9287</v>
      </c>
      <c r="AF36"/>
      <c r="AG36"/>
      <c r="AH36"/>
      <c r="AI36"/>
      <c r="AJ36" s="538"/>
    </row>
    <row r="37" spans="2:36" s="413" customFormat="1" ht="15" customHeight="1">
      <c r="B37" s="1380"/>
      <c r="C37" s="457" t="s">
        <v>2260</v>
      </c>
      <c r="D37" s="458" t="s">
        <v>2214</v>
      </c>
      <c r="E37" s="473" t="s">
        <v>2261</v>
      </c>
      <c r="F37" s="539">
        <v>0.82499999999999996</v>
      </c>
      <c r="G37" s="540">
        <v>0.95</v>
      </c>
      <c r="H37" s="481">
        <f t="shared" si="8"/>
        <v>0.86842105263157898</v>
      </c>
      <c r="I37" s="539">
        <v>0.88100000000000001</v>
      </c>
      <c r="J37" s="540">
        <v>0.95</v>
      </c>
      <c r="K37" s="481">
        <f t="shared" si="9"/>
        <v>0.92736842105263162</v>
      </c>
      <c r="L37" s="539">
        <v>0.90200000000000002</v>
      </c>
      <c r="M37" s="540">
        <v>0.95</v>
      </c>
      <c r="N37" s="481">
        <f t="shared" si="10"/>
        <v>0.94947368421052636</v>
      </c>
      <c r="O37" s="539">
        <v>0.97499999999999998</v>
      </c>
      <c r="P37" s="540">
        <v>0.95</v>
      </c>
      <c r="Q37" s="544">
        <f t="shared" si="11"/>
        <v>1.0263157894736843</v>
      </c>
      <c r="R37" s="539">
        <v>0.88800000000000001</v>
      </c>
      <c r="S37" s="540">
        <v>0.95</v>
      </c>
      <c r="T37" s="481">
        <f t="shared" si="17"/>
        <v>0.9347368421052632</v>
      </c>
      <c r="U37" s="539">
        <v>0.81699999999999995</v>
      </c>
      <c r="V37" s="540">
        <v>0.95</v>
      </c>
      <c r="W37" s="481">
        <f t="shared" si="18"/>
        <v>0.86</v>
      </c>
      <c r="X37" s="539">
        <v>0.9425</v>
      </c>
      <c r="Y37" s="540">
        <v>0.95</v>
      </c>
      <c r="Z37" s="543">
        <f t="shared" si="19"/>
        <v>0.99210526315789482</v>
      </c>
      <c r="AA37" s="539">
        <v>0.8901</v>
      </c>
      <c r="AB37" s="540">
        <v>0.95</v>
      </c>
      <c r="AC37" s="481">
        <f t="shared" si="16"/>
        <v>0.93694736842105264</v>
      </c>
      <c r="AD37" s="497" t="s">
        <v>2262</v>
      </c>
      <c r="AE37" s="1202" t="s">
        <v>9287</v>
      </c>
      <c r="AF37"/>
      <c r="AG37"/>
      <c r="AH37"/>
      <c r="AI37"/>
    </row>
    <row r="38" spans="2:36" s="413" customFormat="1" ht="15" customHeight="1">
      <c r="B38" s="1380"/>
      <c r="C38" s="457" t="s">
        <v>2263</v>
      </c>
      <c r="D38" s="458" t="s">
        <v>2214</v>
      </c>
      <c r="E38" s="473" t="s">
        <v>2261</v>
      </c>
      <c r="F38" s="539">
        <v>0.995</v>
      </c>
      <c r="G38" s="540">
        <v>0.95</v>
      </c>
      <c r="H38" s="541">
        <f t="shared" si="8"/>
        <v>1.0473684210526317</v>
      </c>
      <c r="I38" s="539">
        <v>0.96399999999999997</v>
      </c>
      <c r="J38" s="540">
        <v>0.95</v>
      </c>
      <c r="K38" s="541">
        <f t="shared" si="9"/>
        <v>1.0147368421052632</v>
      </c>
      <c r="L38" s="539">
        <v>0.89800000000000002</v>
      </c>
      <c r="M38" s="540">
        <v>0.95</v>
      </c>
      <c r="N38" s="481">
        <f t="shared" si="10"/>
        <v>0.94526315789473692</v>
      </c>
      <c r="O38" s="539">
        <v>0.95699999999999996</v>
      </c>
      <c r="P38" s="540">
        <v>0.95</v>
      </c>
      <c r="Q38" s="544">
        <f t="shared" si="11"/>
        <v>1.0073684210526317</v>
      </c>
      <c r="R38" s="539">
        <v>0.97399999999999998</v>
      </c>
      <c r="S38" s="540">
        <v>0.95</v>
      </c>
      <c r="T38" s="541">
        <f t="shared" si="17"/>
        <v>1.0252631578947369</v>
      </c>
      <c r="U38" s="539">
        <v>0.77500000000000002</v>
      </c>
      <c r="V38" s="540">
        <v>0.95</v>
      </c>
      <c r="W38" s="481">
        <f t="shared" si="18"/>
        <v>0.81578947368421062</v>
      </c>
      <c r="X38" s="539">
        <v>0.98360000000000003</v>
      </c>
      <c r="Y38" s="540">
        <v>0.95</v>
      </c>
      <c r="Z38" s="543">
        <f t="shared" si="19"/>
        <v>1.0353684210526317</v>
      </c>
      <c r="AA38" s="539">
        <v>0.9355</v>
      </c>
      <c r="AB38" s="540">
        <v>0.95</v>
      </c>
      <c r="AC38" s="481">
        <f t="shared" si="16"/>
        <v>0.98473684210526324</v>
      </c>
      <c r="AD38" s="497" t="s">
        <v>2264</v>
      </c>
      <c r="AE38" s="1202" t="s">
        <v>9287</v>
      </c>
      <c r="AF38"/>
      <c r="AG38"/>
      <c r="AH38"/>
      <c r="AI38"/>
    </row>
    <row r="39" spans="2:36" s="413" customFormat="1" ht="15" customHeight="1">
      <c r="B39" s="1380"/>
      <c r="C39" s="457" t="s">
        <v>2265</v>
      </c>
      <c r="D39" s="458" t="s">
        <v>2214</v>
      </c>
      <c r="E39" s="473" t="s">
        <v>2261</v>
      </c>
      <c r="F39" s="539">
        <v>0.89400000000000002</v>
      </c>
      <c r="G39" s="540">
        <v>0.95</v>
      </c>
      <c r="H39" s="481">
        <f t="shared" si="8"/>
        <v>0.94105263157894747</v>
      </c>
      <c r="I39" s="539">
        <v>0.80500000000000005</v>
      </c>
      <c r="J39" s="540">
        <v>0.95</v>
      </c>
      <c r="K39" s="481">
        <f t="shared" si="9"/>
        <v>0.84736842105263166</v>
      </c>
      <c r="L39" s="539">
        <v>0.90300000000000002</v>
      </c>
      <c r="M39" s="540">
        <v>0.95</v>
      </c>
      <c r="N39" s="481">
        <f t="shared" si="10"/>
        <v>0.95052631578947377</v>
      </c>
      <c r="O39" s="539">
        <v>0.95699999999999996</v>
      </c>
      <c r="P39" s="540">
        <v>0.95</v>
      </c>
      <c r="Q39" s="544">
        <f t="shared" si="11"/>
        <v>1.0073684210526317</v>
      </c>
      <c r="R39" s="539">
        <v>0.92600000000000005</v>
      </c>
      <c r="S39" s="540">
        <v>0.95</v>
      </c>
      <c r="T39" s="481">
        <f t="shared" si="17"/>
        <v>0.97473684210526323</v>
      </c>
      <c r="U39" s="539">
        <v>0.89200000000000002</v>
      </c>
      <c r="V39" s="540">
        <v>0.95</v>
      </c>
      <c r="W39" s="481">
        <f t="shared" si="18"/>
        <v>0.93894736842105264</v>
      </c>
      <c r="X39" s="539">
        <v>0.89259999999999995</v>
      </c>
      <c r="Y39" s="540">
        <v>0.95</v>
      </c>
      <c r="Z39" s="481">
        <f t="shared" si="19"/>
        <v>0.93957894736842107</v>
      </c>
      <c r="AA39" s="539">
        <v>0.89670000000000005</v>
      </c>
      <c r="AB39" s="540">
        <v>0.95</v>
      </c>
      <c r="AC39" s="481">
        <f t="shared" si="16"/>
        <v>0.94389473684210534</v>
      </c>
      <c r="AD39" s="497" t="s">
        <v>2266</v>
      </c>
      <c r="AE39" s="1202" t="s">
        <v>9287</v>
      </c>
      <c r="AF39"/>
      <c r="AG39"/>
      <c r="AH39"/>
      <c r="AI39"/>
    </row>
    <row r="40" spans="2:36" s="413" customFormat="1" ht="25.5">
      <c r="B40" s="1379"/>
      <c r="C40" s="545" t="s">
        <v>2255</v>
      </c>
      <c r="D40" s="546" t="s">
        <v>2214</v>
      </c>
      <c r="E40" s="547" t="s">
        <v>2261</v>
      </c>
      <c r="F40" s="548">
        <v>0.93</v>
      </c>
      <c r="G40" s="549">
        <v>0.95</v>
      </c>
      <c r="H40" s="550">
        <f t="shared" si="8"/>
        <v>0.97894736842105268</v>
      </c>
      <c r="I40" s="548">
        <v>0.87</v>
      </c>
      <c r="J40" s="549">
        <v>0.95</v>
      </c>
      <c r="K40" s="550">
        <f t="shared" si="9"/>
        <v>0.9157894736842106</v>
      </c>
      <c r="L40" s="548">
        <v>0.92500000000000004</v>
      </c>
      <c r="M40" s="549">
        <v>0.95</v>
      </c>
      <c r="N40" s="550">
        <f t="shared" si="10"/>
        <v>0.97368421052631593</v>
      </c>
      <c r="O40" s="548">
        <v>0.90800000000000003</v>
      </c>
      <c r="P40" s="549">
        <v>0.95</v>
      </c>
      <c r="Q40" s="551">
        <f t="shared" si="11"/>
        <v>0.95578947368421063</v>
      </c>
      <c r="R40" s="548">
        <v>0.91100000000000003</v>
      </c>
      <c r="S40" s="549">
        <v>0.95</v>
      </c>
      <c r="T40" s="550">
        <f t="shared" si="17"/>
        <v>0.95894736842105266</v>
      </c>
      <c r="U40" s="548">
        <v>0.92100000000000004</v>
      </c>
      <c r="V40" s="549">
        <v>0.95</v>
      </c>
      <c r="W40" s="550">
        <f t="shared" si="18"/>
        <v>0.96947368421052638</v>
      </c>
      <c r="X40" s="548">
        <v>0.85099999999999998</v>
      </c>
      <c r="Y40" s="549">
        <v>0.95</v>
      </c>
      <c r="Z40" s="550">
        <f t="shared" si="19"/>
        <v>0.89578947368421058</v>
      </c>
      <c r="AA40" s="548">
        <v>0.9</v>
      </c>
      <c r="AB40" s="549">
        <v>0.95</v>
      </c>
      <c r="AC40" s="550">
        <f t="shared" si="16"/>
        <v>0.94736842105263164</v>
      </c>
      <c r="AD40" s="552" t="s">
        <v>2267</v>
      </c>
      <c r="AE40" s="1206" t="s">
        <v>9287</v>
      </c>
      <c r="AF40"/>
      <c r="AG40"/>
      <c r="AH40"/>
      <c r="AI40"/>
    </row>
    <row r="41" spans="2:36" s="413" customFormat="1" ht="15" customHeight="1">
      <c r="B41" s="1378" t="s">
        <v>2268</v>
      </c>
      <c r="C41" s="434" t="s">
        <v>2257</v>
      </c>
      <c r="D41" s="435" t="s">
        <v>2214</v>
      </c>
      <c r="E41" s="530" t="s">
        <v>2269</v>
      </c>
      <c r="F41" s="531">
        <v>0.68200000000000005</v>
      </c>
      <c r="G41" s="532">
        <v>0.82</v>
      </c>
      <c r="H41" s="534">
        <f t="shared" si="8"/>
        <v>0.8317073170731708</v>
      </c>
      <c r="I41" s="531">
        <v>0.73599999999999999</v>
      </c>
      <c r="J41" s="532">
        <v>0.82</v>
      </c>
      <c r="K41" s="534">
        <f t="shared" si="9"/>
        <v>0.89756097560975612</v>
      </c>
      <c r="L41" s="531">
        <v>0.71799999999999997</v>
      </c>
      <c r="M41" s="532">
        <v>0.82</v>
      </c>
      <c r="N41" s="534">
        <f t="shared" si="10"/>
        <v>0.87560975609756098</v>
      </c>
      <c r="O41" s="531">
        <v>0.69899999999999995</v>
      </c>
      <c r="P41" s="532">
        <v>0.82</v>
      </c>
      <c r="Q41" s="535">
        <f t="shared" si="11"/>
        <v>0.85243902439024388</v>
      </c>
      <c r="R41" s="531">
        <v>0.74</v>
      </c>
      <c r="S41" s="532">
        <v>0.82</v>
      </c>
      <c r="T41" s="534">
        <f t="shared" si="17"/>
        <v>0.90243902439024393</v>
      </c>
      <c r="U41" s="531">
        <v>0.68600000000000005</v>
      </c>
      <c r="V41" s="532">
        <v>0.82</v>
      </c>
      <c r="W41" s="534">
        <f t="shared" si="18"/>
        <v>0.83658536585365861</v>
      </c>
      <c r="X41" s="531">
        <v>0.746</v>
      </c>
      <c r="Y41" s="532">
        <v>0.82</v>
      </c>
      <c r="Z41" s="534">
        <f t="shared" si="19"/>
        <v>0.90975609756097564</v>
      </c>
      <c r="AA41" s="531">
        <v>0.71499999999999997</v>
      </c>
      <c r="AB41" s="532">
        <v>0.82</v>
      </c>
      <c r="AC41" s="534">
        <f t="shared" si="16"/>
        <v>0.87195121951219512</v>
      </c>
      <c r="AD41" s="497" t="s">
        <v>2270</v>
      </c>
      <c r="AE41" s="1205" t="s">
        <v>9287</v>
      </c>
      <c r="AF41"/>
      <c r="AG41"/>
      <c r="AH41"/>
      <c r="AI41"/>
    </row>
    <row r="42" spans="2:36" s="413" customFormat="1" ht="15" customHeight="1">
      <c r="B42" s="1380"/>
      <c r="C42" s="457" t="s">
        <v>2259</v>
      </c>
      <c r="D42" s="458" t="s">
        <v>2214</v>
      </c>
      <c r="E42" s="473" t="s">
        <v>2269</v>
      </c>
      <c r="F42" s="539">
        <v>0.49399999999999999</v>
      </c>
      <c r="G42" s="540">
        <v>0.82</v>
      </c>
      <c r="H42" s="481">
        <f t="shared" si="8"/>
        <v>0.60243902439024388</v>
      </c>
      <c r="I42" s="539">
        <v>0.58399999999999996</v>
      </c>
      <c r="J42" s="540">
        <v>0.82</v>
      </c>
      <c r="K42" s="481">
        <f t="shared" si="9"/>
        <v>0.71219512195121948</v>
      </c>
      <c r="L42" s="539">
        <v>0.52500000000000002</v>
      </c>
      <c r="M42" s="540">
        <v>0.82</v>
      </c>
      <c r="N42" s="481">
        <f t="shared" si="10"/>
        <v>0.6402439024390244</v>
      </c>
      <c r="O42" s="539">
        <v>0.48799999999999999</v>
      </c>
      <c r="P42" s="540">
        <v>0.82</v>
      </c>
      <c r="Q42" s="553">
        <f t="shared" si="11"/>
        <v>0.59512195121951217</v>
      </c>
      <c r="R42" s="539">
        <v>0.498</v>
      </c>
      <c r="S42" s="540">
        <v>0.82</v>
      </c>
      <c r="T42" s="481">
        <f t="shared" si="17"/>
        <v>0.60731707317073169</v>
      </c>
      <c r="U42" s="539">
        <v>0.47599999999999998</v>
      </c>
      <c r="V42" s="540">
        <v>0.82</v>
      </c>
      <c r="W42" s="481">
        <f t="shared" si="18"/>
        <v>0.58048780487804874</v>
      </c>
      <c r="X42" s="539">
        <v>0.51200000000000001</v>
      </c>
      <c r="Y42" s="540">
        <v>0.82</v>
      </c>
      <c r="Z42" s="481">
        <f t="shared" si="19"/>
        <v>0.62439024390243902</v>
      </c>
      <c r="AA42" s="539">
        <v>0.51</v>
      </c>
      <c r="AB42" s="540">
        <v>0.82</v>
      </c>
      <c r="AC42" s="481">
        <f t="shared" si="16"/>
        <v>0.62195121951219512</v>
      </c>
      <c r="AD42" s="554" t="s">
        <v>2271</v>
      </c>
      <c r="AE42" s="1202" t="s">
        <v>9287</v>
      </c>
      <c r="AF42"/>
      <c r="AG42"/>
      <c r="AH42"/>
      <c r="AI42"/>
    </row>
    <row r="43" spans="2:36" s="413" customFormat="1" ht="63.75">
      <c r="B43" s="1380"/>
      <c r="C43" s="457" t="s">
        <v>2260</v>
      </c>
      <c r="D43" s="458" t="s">
        <v>2214</v>
      </c>
      <c r="E43" s="473" t="s">
        <v>2272</v>
      </c>
      <c r="F43" s="539">
        <v>0.79100000000000004</v>
      </c>
      <c r="G43" s="540">
        <v>0.85</v>
      </c>
      <c r="H43" s="481">
        <f t="shared" si="8"/>
        <v>0.93058823529411772</v>
      </c>
      <c r="I43" s="539">
        <v>0.75900000000000001</v>
      </c>
      <c r="J43" s="540">
        <v>0.85</v>
      </c>
      <c r="K43" s="481">
        <f t="shared" si="9"/>
        <v>0.89294117647058824</v>
      </c>
      <c r="L43" s="539">
        <v>0.79200000000000004</v>
      </c>
      <c r="M43" s="540">
        <v>0.85</v>
      </c>
      <c r="N43" s="481">
        <f t="shared" si="10"/>
        <v>0.93176470588235305</v>
      </c>
      <c r="O43" s="539">
        <v>0.81799999999999995</v>
      </c>
      <c r="P43" s="540">
        <v>0.85</v>
      </c>
      <c r="Q43" s="553">
        <f t="shared" si="11"/>
        <v>0.96235294117647052</v>
      </c>
      <c r="R43" s="539">
        <v>0.80600000000000005</v>
      </c>
      <c r="S43" s="540">
        <v>0.85</v>
      </c>
      <c r="T43" s="481">
        <f t="shared" si="17"/>
        <v>0.94823529411764718</v>
      </c>
      <c r="U43" s="539">
        <v>0.78100000000000003</v>
      </c>
      <c r="V43" s="540">
        <v>0.85</v>
      </c>
      <c r="W43" s="481">
        <f t="shared" si="18"/>
        <v>0.91882352941176482</v>
      </c>
      <c r="X43" s="539">
        <v>0.79300000000000004</v>
      </c>
      <c r="Y43" s="540">
        <v>0.85</v>
      </c>
      <c r="Z43" s="481">
        <f t="shared" si="19"/>
        <v>0.93294117647058827</v>
      </c>
      <c r="AA43" s="539">
        <v>0.79200000000000004</v>
      </c>
      <c r="AB43" s="540">
        <v>0.85</v>
      </c>
      <c r="AC43" s="481">
        <f t="shared" si="16"/>
        <v>0.93176470588235305</v>
      </c>
      <c r="AD43" s="554" t="s">
        <v>2273</v>
      </c>
      <c r="AE43" s="1202" t="s">
        <v>9287</v>
      </c>
      <c r="AF43"/>
      <c r="AG43"/>
      <c r="AH43"/>
      <c r="AI43"/>
    </row>
    <row r="44" spans="2:36" s="413" customFormat="1" ht="15" customHeight="1">
      <c r="B44" s="1380"/>
      <c r="C44" s="457" t="s">
        <v>2263</v>
      </c>
      <c r="D44" s="458" t="s">
        <v>2214</v>
      </c>
      <c r="E44" s="473" t="s">
        <v>2272</v>
      </c>
      <c r="F44" s="539">
        <v>0.99399999999999999</v>
      </c>
      <c r="G44" s="540">
        <v>0.85</v>
      </c>
      <c r="H44" s="541">
        <f t="shared" si="8"/>
        <v>1.1694117647058824</v>
      </c>
      <c r="I44" s="539">
        <v>0.96399999999999997</v>
      </c>
      <c r="J44" s="540">
        <v>0.85</v>
      </c>
      <c r="K44" s="541">
        <f t="shared" si="9"/>
        <v>1.1341176470588235</v>
      </c>
      <c r="L44" s="539">
        <v>0.89200000000000002</v>
      </c>
      <c r="M44" s="540">
        <v>0.85</v>
      </c>
      <c r="N44" s="541">
        <f t="shared" si="10"/>
        <v>1.0494117647058825</v>
      </c>
      <c r="O44" s="539">
        <v>0.92600000000000005</v>
      </c>
      <c r="P44" s="540">
        <v>0.85</v>
      </c>
      <c r="Q44" s="542">
        <f t="shared" si="11"/>
        <v>1.0894117647058825</v>
      </c>
      <c r="R44" s="539">
        <v>0.97299999999999998</v>
      </c>
      <c r="S44" s="540">
        <v>0.85</v>
      </c>
      <c r="T44" s="541">
        <f t="shared" si="17"/>
        <v>1.1447058823529412</v>
      </c>
      <c r="U44" s="539">
        <v>0.97299999999999998</v>
      </c>
      <c r="V44" s="540">
        <v>0.85</v>
      </c>
      <c r="W44" s="541">
        <f t="shared" si="18"/>
        <v>1.1447058823529412</v>
      </c>
      <c r="X44" s="539">
        <v>0.98299999999999998</v>
      </c>
      <c r="Y44" s="540">
        <v>0.85</v>
      </c>
      <c r="Z44" s="541">
        <f t="shared" si="19"/>
        <v>1.1564705882352941</v>
      </c>
      <c r="AA44" s="539">
        <v>0.93</v>
      </c>
      <c r="AB44" s="540">
        <v>0.85</v>
      </c>
      <c r="AC44" s="541">
        <f t="shared" si="16"/>
        <v>1.0941176470588236</v>
      </c>
      <c r="AD44" s="555" t="s">
        <v>2240</v>
      </c>
      <c r="AE44" s="1202" t="s">
        <v>9287</v>
      </c>
      <c r="AF44"/>
      <c r="AG44"/>
      <c r="AH44"/>
      <c r="AI44"/>
    </row>
    <row r="45" spans="2:36" s="413" customFormat="1" ht="15" customHeight="1">
      <c r="B45" s="1380"/>
      <c r="C45" s="457" t="s">
        <v>2265</v>
      </c>
      <c r="D45" s="458" t="s">
        <v>2214</v>
      </c>
      <c r="E45" s="473" t="s">
        <v>2272</v>
      </c>
      <c r="F45" s="539">
        <v>0.89400000000000002</v>
      </c>
      <c r="G45" s="540">
        <v>0.85</v>
      </c>
      <c r="H45" s="541">
        <f t="shared" si="8"/>
        <v>1.0517647058823529</v>
      </c>
      <c r="I45" s="539">
        <v>0.80500000000000005</v>
      </c>
      <c r="J45" s="540">
        <v>0.85</v>
      </c>
      <c r="K45" s="541">
        <f t="shared" si="9"/>
        <v>0.94705882352941184</v>
      </c>
      <c r="L45" s="539">
        <v>0.90100000000000002</v>
      </c>
      <c r="M45" s="540">
        <v>0.85</v>
      </c>
      <c r="N45" s="541">
        <f t="shared" si="10"/>
        <v>1.06</v>
      </c>
      <c r="O45" s="539">
        <v>0.93300000000000005</v>
      </c>
      <c r="P45" s="540">
        <v>0.85</v>
      </c>
      <c r="Q45" s="542">
        <f t="shared" si="11"/>
        <v>1.0976470588235294</v>
      </c>
      <c r="R45" s="539">
        <v>0.92400000000000004</v>
      </c>
      <c r="S45" s="540">
        <v>0.85</v>
      </c>
      <c r="T45" s="541">
        <f t="shared" si="17"/>
        <v>1.0870588235294119</v>
      </c>
      <c r="U45" s="539">
        <v>0.89200000000000002</v>
      </c>
      <c r="V45" s="540">
        <v>0.85</v>
      </c>
      <c r="W45" s="541">
        <f t="shared" si="18"/>
        <v>1.0494117647058825</v>
      </c>
      <c r="X45" s="539">
        <v>0.89200000000000002</v>
      </c>
      <c r="Y45" s="540">
        <v>0.85</v>
      </c>
      <c r="Z45" s="541">
        <f t="shared" si="19"/>
        <v>1.0494117647058825</v>
      </c>
      <c r="AA45" s="539">
        <v>0.89300000000000002</v>
      </c>
      <c r="AB45" s="540">
        <v>0.85</v>
      </c>
      <c r="AC45" s="541">
        <f t="shared" si="16"/>
        <v>1.0505882352941176</v>
      </c>
      <c r="AD45" s="555" t="s">
        <v>2240</v>
      </c>
      <c r="AE45" s="1202" t="s">
        <v>9287</v>
      </c>
      <c r="AF45"/>
      <c r="AG45"/>
      <c r="AH45"/>
      <c r="AI45"/>
    </row>
    <row r="46" spans="2:36" s="413" customFormat="1" ht="15">
      <c r="B46" s="1379"/>
      <c r="C46" s="499" t="s">
        <v>2255</v>
      </c>
      <c r="D46" s="500" t="s">
        <v>2214</v>
      </c>
      <c r="E46" s="556" t="s">
        <v>2272</v>
      </c>
      <c r="F46" s="548">
        <v>0.65</v>
      </c>
      <c r="G46" s="549">
        <v>0.85</v>
      </c>
      <c r="H46" s="550">
        <f t="shared" si="8"/>
        <v>0.76470588235294124</v>
      </c>
      <c r="I46" s="548">
        <v>0.6</v>
      </c>
      <c r="J46" s="549">
        <v>0.85</v>
      </c>
      <c r="K46" s="550">
        <f t="shared" si="9"/>
        <v>0.70588235294117652</v>
      </c>
      <c r="L46" s="548"/>
      <c r="M46" s="549">
        <v>0.85</v>
      </c>
      <c r="N46" s="550">
        <f t="shared" si="10"/>
        <v>0</v>
      </c>
      <c r="O46" s="548">
        <v>0.65600000000000003</v>
      </c>
      <c r="P46" s="549">
        <v>0.85</v>
      </c>
      <c r="Q46" s="551">
        <f t="shared" si="11"/>
        <v>0.77176470588235302</v>
      </c>
      <c r="R46" s="548">
        <v>0.63400000000000001</v>
      </c>
      <c r="S46" s="549">
        <v>0.85</v>
      </c>
      <c r="T46" s="550">
        <f t="shared" si="17"/>
        <v>0.74588235294117655</v>
      </c>
      <c r="U46" s="548">
        <v>0.56899999999999995</v>
      </c>
      <c r="V46" s="549">
        <v>0.85</v>
      </c>
      <c r="W46" s="550">
        <f t="shared" si="18"/>
        <v>0.66941176470588226</v>
      </c>
      <c r="X46" s="548">
        <v>0.57999999999999996</v>
      </c>
      <c r="Y46" s="549">
        <v>0.85</v>
      </c>
      <c r="Z46" s="550">
        <f t="shared" si="19"/>
        <v>0.68235294117647061</v>
      </c>
      <c r="AA46" s="548">
        <v>0.61899999999999999</v>
      </c>
      <c r="AB46" s="549">
        <v>0.85</v>
      </c>
      <c r="AC46" s="550">
        <f t="shared" si="16"/>
        <v>0.72823529411764709</v>
      </c>
      <c r="AD46" s="552"/>
      <c r="AE46" s="1206" t="s">
        <v>9287</v>
      </c>
      <c r="AF46"/>
      <c r="AG46"/>
      <c r="AH46"/>
      <c r="AI46"/>
    </row>
    <row r="47" spans="2:36" s="413" customFormat="1" ht="25.5">
      <c r="B47" s="1378" t="s">
        <v>2274</v>
      </c>
      <c r="C47" s="557" t="s">
        <v>2275</v>
      </c>
      <c r="D47" s="435" t="s">
        <v>2276</v>
      </c>
      <c r="E47" s="558">
        <v>36.15</v>
      </c>
      <c r="F47" s="559">
        <v>36.234000000000002</v>
      </c>
      <c r="G47" s="560">
        <v>36.15</v>
      </c>
      <c r="H47" s="511">
        <f t="shared" si="8"/>
        <v>1.0023236514522822</v>
      </c>
      <c r="I47" s="559">
        <v>34.280999999999999</v>
      </c>
      <c r="J47" s="560">
        <v>36.15</v>
      </c>
      <c r="K47" s="511">
        <f t="shared" si="9"/>
        <v>0.94829875518672202</v>
      </c>
      <c r="L47" s="559">
        <v>38.597000000000001</v>
      </c>
      <c r="M47" s="560">
        <v>36.15</v>
      </c>
      <c r="N47" s="443">
        <f t="shared" si="10"/>
        <v>1.0676901798063625</v>
      </c>
      <c r="O47" s="559"/>
      <c r="P47" s="560">
        <v>36.15</v>
      </c>
      <c r="Q47" s="439">
        <f t="shared" si="11"/>
        <v>0</v>
      </c>
      <c r="R47" s="559">
        <v>37.781999999999996</v>
      </c>
      <c r="S47" s="560">
        <v>36.15</v>
      </c>
      <c r="T47" s="534">
        <f t="shared" si="17"/>
        <v>1.0451452282157676</v>
      </c>
      <c r="U47" s="559"/>
      <c r="V47" s="560">
        <v>36.15</v>
      </c>
      <c r="W47" s="561">
        <f t="shared" si="18"/>
        <v>0</v>
      </c>
      <c r="X47" s="559">
        <v>35.609000000000002</v>
      </c>
      <c r="Y47" s="560">
        <v>36.15</v>
      </c>
      <c r="Z47" s="561">
        <f t="shared" si="19"/>
        <v>0.98503457814661144</v>
      </c>
      <c r="AA47" s="559">
        <v>36.500999999999998</v>
      </c>
      <c r="AB47" s="560">
        <v>85</v>
      </c>
      <c r="AC47" s="534">
        <f t="shared" si="16"/>
        <v>0.4294235294117647</v>
      </c>
      <c r="AD47" s="562" t="s">
        <v>2277</v>
      </c>
      <c r="AE47" s="1205" t="s">
        <v>9288</v>
      </c>
      <c r="AF47"/>
      <c r="AG47"/>
      <c r="AH47"/>
      <c r="AI47"/>
    </row>
    <row r="48" spans="2:36" s="413" customFormat="1" ht="38.25">
      <c r="B48" s="1379"/>
      <c r="C48" s="563" t="s">
        <v>2278</v>
      </c>
      <c r="D48" s="500" t="s">
        <v>2276</v>
      </c>
      <c r="E48" s="564">
        <v>4.6500000000000004</v>
      </c>
      <c r="F48" s="565">
        <v>4.8890000000000002</v>
      </c>
      <c r="G48" s="566">
        <v>4.6500000000000004</v>
      </c>
      <c r="H48" s="567">
        <f t="shared" si="8"/>
        <v>1.0513978494623655</v>
      </c>
      <c r="I48" s="565">
        <v>5.0609999999999999</v>
      </c>
      <c r="J48" s="566">
        <v>4.6500000000000004</v>
      </c>
      <c r="K48" s="567">
        <f t="shared" si="9"/>
        <v>1.0883870967741935</v>
      </c>
      <c r="L48" s="565">
        <v>5.1040000000000001</v>
      </c>
      <c r="M48" s="566">
        <v>4.6500000000000004</v>
      </c>
      <c r="N48" s="567">
        <f t="shared" si="10"/>
        <v>1.0976344086021506</v>
      </c>
      <c r="O48" s="565"/>
      <c r="P48" s="566">
        <v>4.6500000000000004</v>
      </c>
      <c r="Q48" s="568">
        <f t="shared" si="11"/>
        <v>0</v>
      </c>
      <c r="R48" s="565">
        <v>4.9320000000000004</v>
      </c>
      <c r="S48" s="566">
        <v>4.6500000000000004</v>
      </c>
      <c r="T48" s="567">
        <f t="shared" si="17"/>
        <v>1.0606451612903225</v>
      </c>
      <c r="U48" s="565"/>
      <c r="V48" s="566">
        <v>4.6500000000000004</v>
      </c>
      <c r="W48" s="569">
        <f t="shared" si="18"/>
        <v>0</v>
      </c>
      <c r="X48" s="565">
        <v>4.78</v>
      </c>
      <c r="Y48" s="566">
        <v>4.6500000000000004</v>
      </c>
      <c r="Z48" s="569">
        <f t="shared" si="19"/>
        <v>1.0279569892473117</v>
      </c>
      <c r="AA48" s="565">
        <v>4.92</v>
      </c>
      <c r="AB48" s="566">
        <v>4.6500000000000004</v>
      </c>
      <c r="AC48" s="569">
        <f t="shared" si="16"/>
        <v>1.0580645161290321</v>
      </c>
      <c r="AD48" s="507" t="s">
        <v>2279</v>
      </c>
      <c r="AE48" s="1204" t="s">
        <v>9288</v>
      </c>
      <c r="AF48"/>
      <c r="AG48"/>
      <c r="AH48"/>
      <c r="AI48"/>
    </row>
    <row r="49" spans="2:35" s="413" customFormat="1" ht="15" customHeight="1">
      <c r="B49" s="1378" t="s">
        <v>2280</v>
      </c>
      <c r="C49" s="570" t="s">
        <v>2281</v>
      </c>
      <c r="D49" s="435" t="s">
        <v>2214</v>
      </c>
      <c r="E49" s="571" t="s">
        <v>2282</v>
      </c>
      <c r="F49" s="572">
        <v>4097010.1</v>
      </c>
      <c r="G49" s="573">
        <v>4189853.8</v>
      </c>
      <c r="H49" s="533">
        <f t="shared" si="8"/>
        <v>0.97784082585411458</v>
      </c>
      <c r="I49" s="572">
        <v>3574179.11</v>
      </c>
      <c r="J49" s="573">
        <v>3892325.8</v>
      </c>
      <c r="K49" s="533">
        <f t="shared" si="9"/>
        <v>0.91826308835709491</v>
      </c>
      <c r="L49" s="572">
        <v>3639838</v>
      </c>
      <c r="M49" s="573">
        <v>4280496</v>
      </c>
      <c r="N49" s="533">
        <f t="shared" si="10"/>
        <v>0.85033089623258618</v>
      </c>
      <c r="O49" s="572">
        <v>4564300</v>
      </c>
      <c r="P49" s="573">
        <v>4134607</v>
      </c>
      <c r="Q49" s="535">
        <f t="shared" si="11"/>
        <v>1.1039259595893878</v>
      </c>
      <c r="R49" s="572">
        <v>3551029</v>
      </c>
      <c r="S49" s="573">
        <v>3833200</v>
      </c>
      <c r="T49" s="533">
        <f t="shared" si="17"/>
        <v>0.92638761348220811</v>
      </c>
      <c r="U49" s="572">
        <v>4611345</v>
      </c>
      <c r="V49" s="573">
        <v>4099067</v>
      </c>
      <c r="W49" s="534">
        <f t="shared" si="18"/>
        <v>1.1249742929305619</v>
      </c>
      <c r="X49" s="572">
        <v>4199774</v>
      </c>
      <c r="Y49" s="573">
        <v>5762731</v>
      </c>
      <c r="Z49" s="536">
        <f t="shared" si="19"/>
        <v>0.72878189178012998</v>
      </c>
      <c r="AA49" s="572">
        <v>28237197</v>
      </c>
      <c r="AB49" s="573">
        <v>30188404</v>
      </c>
      <c r="AC49" s="533">
        <f t="shared" si="16"/>
        <v>0.93536567882157662</v>
      </c>
      <c r="AD49" s="574" t="s">
        <v>2240</v>
      </c>
      <c r="AE49" s="1205" t="s">
        <v>9288</v>
      </c>
      <c r="AF49"/>
      <c r="AG49"/>
      <c r="AH49"/>
      <c r="AI49"/>
    </row>
    <row r="50" spans="2:35" s="413" customFormat="1" ht="15" customHeight="1">
      <c r="B50" s="1379"/>
      <c r="C50" s="575" t="s">
        <v>2283</v>
      </c>
      <c r="D50" s="500" t="s">
        <v>2284</v>
      </c>
      <c r="E50" s="576">
        <v>13.6</v>
      </c>
      <c r="F50" s="577">
        <v>12.75</v>
      </c>
      <c r="G50" s="578">
        <v>13.6</v>
      </c>
      <c r="H50" s="506">
        <f t="shared" si="8"/>
        <v>0.9375</v>
      </c>
      <c r="I50" s="577">
        <v>13.6</v>
      </c>
      <c r="J50" s="578">
        <v>13.6</v>
      </c>
      <c r="K50" s="506">
        <f t="shared" si="9"/>
        <v>1</v>
      </c>
      <c r="L50" s="577">
        <v>15.47</v>
      </c>
      <c r="M50" s="578">
        <v>13.6</v>
      </c>
      <c r="N50" s="567">
        <f t="shared" si="10"/>
        <v>1.1375000000000002</v>
      </c>
      <c r="O50" s="577">
        <v>12.86</v>
      </c>
      <c r="P50" s="578">
        <v>13.6</v>
      </c>
      <c r="Q50" s="579">
        <f t="shared" si="11"/>
        <v>0.94558823529411762</v>
      </c>
      <c r="R50" s="577">
        <v>12.01</v>
      </c>
      <c r="S50" s="578">
        <v>13.6</v>
      </c>
      <c r="T50" s="580">
        <f t="shared" si="17"/>
        <v>0.88308823529411762</v>
      </c>
      <c r="U50" s="577">
        <v>12.93</v>
      </c>
      <c r="V50" s="578">
        <v>13.6</v>
      </c>
      <c r="W50" s="580">
        <f t="shared" si="18"/>
        <v>0.95073529411764701</v>
      </c>
      <c r="X50" s="577">
        <v>12.43</v>
      </c>
      <c r="Y50" s="578">
        <v>13.6</v>
      </c>
      <c r="Z50" s="580">
        <f t="shared" si="19"/>
        <v>0.91397058823529409</v>
      </c>
      <c r="AA50" s="577">
        <v>12.97</v>
      </c>
      <c r="AB50" s="578">
        <v>13.6</v>
      </c>
      <c r="AC50" s="569">
        <f t="shared" si="16"/>
        <v>0.95367647058823535</v>
      </c>
      <c r="AD50" s="581" t="s">
        <v>2240</v>
      </c>
      <c r="AE50" s="1204" t="s">
        <v>9288</v>
      </c>
      <c r="AF50"/>
      <c r="AG50"/>
      <c r="AH50"/>
      <c r="AI50"/>
    </row>
    <row r="51" spans="2:35" s="413" customFormat="1" ht="15.75" customHeight="1">
      <c r="B51" s="582" t="s">
        <v>2285</v>
      </c>
      <c r="C51" s="583" t="s">
        <v>2286</v>
      </c>
      <c r="D51" s="584" t="s">
        <v>2214</v>
      </c>
      <c r="E51" s="585" t="s">
        <v>2282</v>
      </c>
      <c r="F51" s="586">
        <v>513813.61</v>
      </c>
      <c r="G51" s="587">
        <v>929162.33</v>
      </c>
      <c r="H51" s="588">
        <f t="shared" si="8"/>
        <v>0.55298583833031634</v>
      </c>
      <c r="I51" s="586">
        <v>635393.19999999995</v>
      </c>
      <c r="J51" s="587">
        <v>929162.33</v>
      </c>
      <c r="K51" s="588">
        <f t="shared" si="9"/>
        <v>0.68383443827301948</v>
      </c>
      <c r="L51" s="586">
        <v>804108</v>
      </c>
      <c r="M51" s="587">
        <v>929162.33</v>
      </c>
      <c r="N51" s="588">
        <f t="shared" si="10"/>
        <v>0.86541175211009691</v>
      </c>
      <c r="O51" s="586">
        <v>500652</v>
      </c>
      <c r="P51" s="587">
        <v>929162</v>
      </c>
      <c r="Q51" s="589">
        <f t="shared" si="11"/>
        <v>0.53882100215032469</v>
      </c>
      <c r="R51" s="586">
        <v>674474</v>
      </c>
      <c r="S51" s="587">
        <v>929162</v>
      </c>
      <c r="T51" s="588">
        <f t="shared" si="17"/>
        <v>0.72589494619883288</v>
      </c>
      <c r="U51" s="586">
        <v>597505</v>
      </c>
      <c r="V51" s="587">
        <v>959162</v>
      </c>
      <c r="W51" s="588">
        <f t="shared" si="18"/>
        <v>0.62294482058296718</v>
      </c>
      <c r="X51" s="586">
        <v>610984</v>
      </c>
      <c r="Y51" s="587">
        <v>1039162</v>
      </c>
      <c r="Z51" s="588">
        <f t="shared" si="19"/>
        <v>0.58795837415147978</v>
      </c>
      <c r="AA51" s="586">
        <v>4336931</v>
      </c>
      <c r="AB51" s="587">
        <v>6644136</v>
      </c>
      <c r="AC51" s="588">
        <f t="shared" si="16"/>
        <v>0.65274566926384414</v>
      </c>
      <c r="AD51" s="590" t="s">
        <v>2240</v>
      </c>
      <c r="AE51" s="1207" t="s">
        <v>9288</v>
      </c>
      <c r="AF51"/>
      <c r="AG51"/>
      <c r="AH51"/>
      <c r="AI51"/>
    </row>
    <row r="52" spans="2:35" s="413" customFormat="1" ht="15.75" customHeight="1">
      <c r="B52" s="582" t="s">
        <v>2287</v>
      </c>
      <c r="C52" s="583" t="s">
        <v>2288</v>
      </c>
      <c r="D52" s="584" t="s">
        <v>2214</v>
      </c>
      <c r="E52" s="585" t="s">
        <v>2282</v>
      </c>
      <c r="F52" s="586">
        <v>119536.13</v>
      </c>
      <c r="G52" s="587">
        <v>133565.78</v>
      </c>
      <c r="H52" s="588">
        <f t="shared" si="8"/>
        <v>0.894960745184882</v>
      </c>
      <c r="I52" s="586">
        <v>114831.66</v>
      </c>
      <c r="J52" s="587">
        <v>103451.4</v>
      </c>
      <c r="K52" s="588">
        <f t="shared" si="9"/>
        <v>1.1100058578230938</v>
      </c>
      <c r="L52" s="586">
        <v>138221</v>
      </c>
      <c r="M52" s="587">
        <v>119933</v>
      </c>
      <c r="N52" s="591">
        <f t="shared" si="10"/>
        <v>1.1524851375351237</v>
      </c>
      <c r="O52" s="586">
        <v>135965</v>
      </c>
      <c r="P52" s="587">
        <v>118437</v>
      </c>
      <c r="Q52" s="592">
        <f t="shared" si="11"/>
        <v>1.1479942923241893</v>
      </c>
      <c r="R52" s="586">
        <v>141407</v>
      </c>
      <c r="S52" s="587">
        <v>121219</v>
      </c>
      <c r="T52" s="591">
        <f t="shared" si="17"/>
        <v>1.1665415487671074</v>
      </c>
      <c r="U52" s="586">
        <v>125635</v>
      </c>
      <c r="V52" s="587">
        <v>115671</v>
      </c>
      <c r="W52" s="591">
        <f t="shared" si="18"/>
        <v>1.0861408650396382</v>
      </c>
      <c r="X52" s="586">
        <v>152937</v>
      </c>
      <c r="Y52" s="587">
        <v>116874</v>
      </c>
      <c r="Z52" s="591">
        <f t="shared" si="19"/>
        <v>1.3085630679192977</v>
      </c>
      <c r="AA52" s="586">
        <v>927370</v>
      </c>
      <c r="AB52" s="587">
        <v>827472</v>
      </c>
      <c r="AC52" s="591">
        <f t="shared" si="16"/>
        <v>1.1207267436239534</v>
      </c>
      <c r="AD52" s="593" t="s">
        <v>2289</v>
      </c>
      <c r="AE52" s="1207" t="s">
        <v>9288</v>
      </c>
      <c r="AF52"/>
      <c r="AG52"/>
      <c r="AH52"/>
      <c r="AI52"/>
    </row>
    <row r="53" spans="2:35" s="413" customFormat="1" ht="15" customHeight="1">
      <c r="B53" s="1378" t="s">
        <v>2290</v>
      </c>
      <c r="C53" s="570" t="s">
        <v>2291</v>
      </c>
      <c r="D53" s="435" t="s">
        <v>2214</v>
      </c>
      <c r="E53" s="558">
        <v>4.5</v>
      </c>
      <c r="F53" s="559">
        <v>6.15</v>
      </c>
      <c r="G53" s="560">
        <v>4.5</v>
      </c>
      <c r="H53" s="443">
        <f t="shared" si="8"/>
        <v>1.3666666666666667</v>
      </c>
      <c r="I53" s="559">
        <v>0</v>
      </c>
      <c r="J53" s="560">
        <v>4.5</v>
      </c>
      <c r="K53" s="512">
        <f t="shared" si="9"/>
        <v>0</v>
      </c>
      <c r="L53" s="559">
        <v>0</v>
      </c>
      <c r="M53" s="560">
        <v>4.5</v>
      </c>
      <c r="N53" s="512">
        <f t="shared" si="10"/>
        <v>0</v>
      </c>
      <c r="O53" s="559"/>
      <c r="P53" s="560">
        <v>4.5</v>
      </c>
      <c r="Q53" s="594">
        <f t="shared" si="11"/>
        <v>0</v>
      </c>
      <c r="R53" s="595"/>
      <c r="S53" s="596"/>
      <c r="T53" s="512"/>
      <c r="U53" s="595"/>
      <c r="V53" s="596"/>
      <c r="W53" s="512"/>
      <c r="X53" s="595"/>
      <c r="Y53" s="596"/>
      <c r="Z53" s="512"/>
      <c r="AA53" s="559">
        <v>0</v>
      </c>
      <c r="AB53" s="560">
        <v>4.5</v>
      </c>
      <c r="AC53" s="512">
        <f t="shared" si="16"/>
        <v>0</v>
      </c>
      <c r="AD53" s="597"/>
      <c r="AE53" s="1200" t="s">
        <v>9288</v>
      </c>
      <c r="AF53"/>
      <c r="AG53"/>
      <c r="AH53"/>
      <c r="AI53"/>
    </row>
    <row r="54" spans="2:35" s="413" customFormat="1" ht="15" customHeight="1">
      <c r="B54" s="1380"/>
      <c r="C54" s="598" t="s">
        <v>2292</v>
      </c>
      <c r="D54" s="458" t="s">
        <v>2214</v>
      </c>
      <c r="E54" s="599" t="s">
        <v>2293</v>
      </c>
      <c r="F54" s="600">
        <v>449.3</v>
      </c>
      <c r="G54" s="601">
        <v>300</v>
      </c>
      <c r="H54" s="485">
        <f t="shared" si="8"/>
        <v>1.4976666666666667</v>
      </c>
      <c r="I54" s="600">
        <v>519.28</v>
      </c>
      <c r="J54" s="601">
        <v>300</v>
      </c>
      <c r="K54" s="485">
        <f t="shared" si="9"/>
        <v>1.7309333333333332</v>
      </c>
      <c r="L54" s="600">
        <v>519.28</v>
      </c>
      <c r="M54" s="601">
        <v>300</v>
      </c>
      <c r="N54" s="485">
        <f t="shared" si="10"/>
        <v>1.7309333333333332</v>
      </c>
      <c r="O54" s="600"/>
      <c r="P54" s="601">
        <v>300</v>
      </c>
      <c r="Q54" s="469">
        <f t="shared" si="11"/>
        <v>0</v>
      </c>
      <c r="R54" s="483"/>
      <c r="S54" s="484"/>
      <c r="T54" s="485"/>
      <c r="U54" s="483"/>
      <c r="V54" s="484"/>
      <c r="W54" s="485"/>
      <c r="X54" s="483"/>
      <c r="Y54" s="484"/>
      <c r="Z54" s="485"/>
      <c r="AA54" s="600">
        <v>0</v>
      </c>
      <c r="AB54" s="601">
        <v>300</v>
      </c>
      <c r="AC54" s="478">
        <f t="shared" si="16"/>
        <v>0</v>
      </c>
      <c r="AD54" s="602"/>
      <c r="AE54" s="1203" t="s">
        <v>9288</v>
      </c>
      <c r="AF54"/>
      <c r="AG54"/>
      <c r="AH54"/>
      <c r="AI54"/>
    </row>
    <row r="55" spans="2:35" s="413" customFormat="1" ht="15" customHeight="1">
      <c r="B55" s="1379"/>
      <c r="C55" s="575" t="s">
        <v>2294</v>
      </c>
      <c r="D55" s="500" t="s">
        <v>2214</v>
      </c>
      <c r="E55" s="603">
        <v>1.5</v>
      </c>
      <c r="F55" s="565">
        <v>2.77</v>
      </c>
      <c r="G55" s="566">
        <v>1.5</v>
      </c>
      <c r="H55" s="567">
        <f t="shared" si="8"/>
        <v>1.8466666666666667</v>
      </c>
      <c r="I55" s="565">
        <v>0</v>
      </c>
      <c r="J55" s="566">
        <v>1.5</v>
      </c>
      <c r="K55" s="506">
        <f t="shared" si="9"/>
        <v>0</v>
      </c>
      <c r="L55" s="565">
        <v>0</v>
      </c>
      <c r="M55" s="566">
        <v>1.5</v>
      </c>
      <c r="N55" s="506">
        <f t="shared" si="10"/>
        <v>0</v>
      </c>
      <c r="O55" s="565"/>
      <c r="P55" s="566">
        <v>1.5</v>
      </c>
      <c r="Q55" s="504">
        <f t="shared" si="11"/>
        <v>0</v>
      </c>
      <c r="R55" s="527"/>
      <c r="S55" s="528"/>
      <c r="T55" s="506"/>
      <c r="U55" s="527"/>
      <c r="V55" s="528"/>
      <c r="W55" s="506"/>
      <c r="X55" s="527"/>
      <c r="Y55" s="528"/>
      <c r="Z55" s="506"/>
      <c r="AA55" s="565">
        <v>0</v>
      </c>
      <c r="AB55" s="566">
        <v>1.5</v>
      </c>
      <c r="AC55" s="506">
        <f t="shared" si="16"/>
        <v>0</v>
      </c>
      <c r="AD55" s="604"/>
      <c r="AE55" s="1204" t="s">
        <v>9288</v>
      </c>
      <c r="AF55"/>
      <c r="AG55"/>
      <c r="AH55"/>
      <c r="AI55"/>
    </row>
    <row r="56" spans="2:35" s="413" customFormat="1" ht="15.75" customHeight="1">
      <c r="B56" s="582" t="s">
        <v>2295</v>
      </c>
      <c r="C56" s="605" t="s">
        <v>2296</v>
      </c>
      <c r="D56" s="606" t="s">
        <v>2297</v>
      </c>
      <c r="E56" s="606" t="s">
        <v>2298</v>
      </c>
      <c r="F56" s="607">
        <v>1</v>
      </c>
      <c r="G56" s="608">
        <v>1</v>
      </c>
      <c r="H56" s="609">
        <f t="shared" si="8"/>
        <v>1</v>
      </c>
      <c r="I56" s="607">
        <v>1</v>
      </c>
      <c r="J56" s="608">
        <v>1</v>
      </c>
      <c r="K56" s="609">
        <f t="shared" si="9"/>
        <v>1</v>
      </c>
      <c r="L56" s="607">
        <v>1</v>
      </c>
      <c r="M56" s="608">
        <v>1</v>
      </c>
      <c r="N56" s="609">
        <f t="shared" si="10"/>
        <v>1</v>
      </c>
      <c r="O56" s="607">
        <v>1</v>
      </c>
      <c r="P56" s="608">
        <v>1</v>
      </c>
      <c r="Q56" s="610">
        <f t="shared" si="11"/>
        <v>1</v>
      </c>
      <c r="R56" s="607">
        <v>1</v>
      </c>
      <c r="S56" s="608">
        <v>1</v>
      </c>
      <c r="T56" s="609">
        <f>+R56/S56</f>
        <v>1</v>
      </c>
      <c r="U56" s="607">
        <v>1</v>
      </c>
      <c r="V56" s="608">
        <v>1</v>
      </c>
      <c r="W56" s="609">
        <f>+U56/V56</f>
        <v>1</v>
      </c>
      <c r="X56" s="607">
        <v>1</v>
      </c>
      <c r="Y56" s="608">
        <v>1</v>
      </c>
      <c r="Z56" s="609">
        <f>+X56/Y56</f>
        <v>1</v>
      </c>
      <c r="AA56" s="607">
        <v>1</v>
      </c>
      <c r="AB56" s="608">
        <v>1</v>
      </c>
      <c r="AC56" s="609">
        <f t="shared" si="16"/>
        <v>1</v>
      </c>
      <c r="AD56" s="611" t="s">
        <v>2240</v>
      </c>
      <c r="AE56" s="1208" t="s">
        <v>9288</v>
      </c>
      <c r="AF56"/>
      <c r="AG56"/>
      <c r="AH56"/>
      <c r="AI56"/>
    </row>
    <row r="57" spans="2:35" s="413" customFormat="1" ht="15.75" customHeight="1">
      <c r="B57" s="582" t="s">
        <v>2299</v>
      </c>
      <c r="C57" s="605" t="s">
        <v>2300</v>
      </c>
      <c r="D57" s="584" t="s">
        <v>2214</v>
      </c>
      <c r="E57" s="606">
        <v>100</v>
      </c>
      <c r="F57" s="612">
        <v>100</v>
      </c>
      <c r="G57" s="613">
        <v>100</v>
      </c>
      <c r="H57" s="614">
        <f t="shared" si="8"/>
        <v>1</v>
      </c>
      <c r="I57" s="612">
        <v>100</v>
      </c>
      <c r="J57" s="613">
        <v>100</v>
      </c>
      <c r="K57" s="614">
        <f t="shared" si="9"/>
        <v>1</v>
      </c>
      <c r="L57" s="612">
        <v>100</v>
      </c>
      <c r="M57" s="613">
        <v>100</v>
      </c>
      <c r="N57" s="614">
        <f t="shared" si="10"/>
        <v>1</v>
      </c>
      <c r="O57" s="612">
        <v>100</v>
      </c>
      <c r="P57" s="613">
        <v>100</v>
      </c>
      <c r="Q57" s="615">
        <f t="shared" si="11"/>
        <v>1</v>
      </c>
      <c r="R57" s="612">
        <v>100</v>
      </c>
      <c r="S57" s="613">
        <v>100</v>
      </c>
      <c r="T57" s="614">
        <f>+R57/S57</f>
        <v>1</v>
      </c>
      <c r="U57" s="612">
        <v>100</v>
      </c>
      <c r="V57" s="613">
        <v>100</v>
      </c>
      <c r="W57" s="614">
        <f>+U57/V57</f>
        <v>1</v>
      </c>
      <c r="X57" s="612">
        <v>1</v>
      </c>
      <c r="Y57" s="613">
        <v>1</v>
      </c>
      <c r="Z57" s="614">
        <f>+X57/Y57</f>
        <v>1</v>
      </c>
      <c r="AA57" s="612">
        <v>1</v>
      </c>
      <c r="AB57" s="613">
        <v>1</v>
      </c>
      <c r="AC57" s="614">
        <f t="shared" si="16"/>
        <v>1</v>
      </c>
      <c r="AD57" s="611" t="s">
        <v>2240</v>
      </c>
      <c r="AE57" s="1209" t="s">
        <v>9287</v>
      </c>
      <c r="AF57"/>
      <c r="AG57"/>
      <c r="AH57"/>
      <c r="AI57"/>
    </row>
    <row r="58" spans="2:35" ht="15" customHeight="1">
      <c r="B58" s="1210" t="s">
        <v>10232</v>
      </c>
      <c r="D58" s="616"/>
      <c r="E58" s="617"/>
      <c r="F58" s="617"/>
      <c r="G58" s="617"/>
      <c r="H58" s="617"/>
      <c r="I58" s="617"/>
      <c r="J58" s="617"/>
      <c r="K58" s="617"/>
      <c r="L58" s="617"/>
      <c r="M58" s="617"/>
      <c r="N58" s="617"/>
      <c r="O58" s="617"/>
      <c r="P58" s="617"/>
      <c r="Q58" s="617"/>
      <c r="R58" s="617"/>
      <c r="S58" s="617"/>
      <c r="T58" s="617"/>
      <c r="U58" s="617"/>
      <c r="V58" s="617"/>
      <c r="W58" s="617"/>
      <c r="X58" s="617"/>
      <c r="Y58" s="617"/>
      <c r="Z58" s="617"/>
      <c r="AA58" s="617"/>
      <c r="AB58" s="617"/>
      <c r="AC58" s="617"/>
      <c r="AD58" s="618"/>
      <c r="AF58"/>
      <c r="AG58"/>
    </row>
    <row r="59" spans="2:35" ht="15" customHeight="1">
      <c r="D59" s="616"/>
      <c r="E59" s="617"/>
      <c r="F59" s="617"/>
      <c r="G59" s="617"/>
      <c r="H59" s="617"/>
      <c r="I59" s="617"/>
      <c r="J59" s="617"/>
      <c r="K59" s="617"/>
      <c r="L59" s="617"/>
      <c r="M59" s="617"/>
      <c r="N59" s="617"/>
      <c r="O59" s="617"/>
      <c r="P59" s="617"/>
      <c r="Q59" s="617"/>
      <c r="R59" s="617"/>
      <c r="S59" s="617"/>
      <c r="T59" s="617"/>
      <c r="U59" s="617"/>
      <c r="V59" s="617"/>
      <c r="W59" s="617"/>
      <c r="X59" s="617"/>
      <c r="Y59" s="617"/>
      <c r="Z59" s="617"/>
      <c r="AA59" s="617"/>
      <c r="AB59" s="617"/>
      <c r="AC59" s="617"/>
      <c r="AD59" s="618"/>
      <c r="AF59"/>
      <c r="AG59"/>
    </row>
    <row r="60" spans="2:35" ht="15" customHeight="1">
      <c r="D60" s="616"/>
      <c r="E60" s="617"/>
      <c r="F60" s="617"/>
      <c r="G60" s="617"/>
      <c r="H60" s="617"/>
      <c r="I60" s="617"/>
      <c r="J60" s="617"/>
      <c r="K60" s="617"/>
      <c r="L60" s="617"/>
      <c r="M60" s="617"/>
      <c r="N60" s="617"/>
      <c r="O60" s="617"/>
      <c r="P60" s="617"/>
      <c r="Q60" s="617"/>
      <c r="R60" s="617"/>
      <c r="S60" s="617"/>
      <c r="T60" s="617"/>
      <c r="U60" s="617"/>
      <c r="V60" s="617"/>
      <c r="W60" s="617"/>
      <c r="X60" s="617"/>
      <c r="Y60" s="617"/>
      <c r="Z60" s="617"/>
      <c r="AA60" s="617"/>
      <c r="AB60" s="617"/>
      <c r="AC60" s="617"/>
      <c r="AD60" s="618"/>
      <c r="AF60"/>
      <c r="AG60"/>
    </row>
    <row r="61" spans="2:35" ht="15" customHeight="1">
      <c r="D61" s="616"/>
      <c r="E61" s="617"/>
      <c r="F61" s="617"/>
      <c r="G61" s="617"/>
      <c r="H61" s="617"/>
      <c r="I61" s="617"/>
      <c r="J61" s="617"/>
      <c r="K61" s="617"/>
      <c r="L61" s="617"/>
      <c r="M61" s="617"/>
      <c r="N61" s="617"/>
      <c r="O61" s="617"/>
      <c r="P61" s="617"/>
      <c r="Q61" s="617"/>
      <c r="R61" s="617"/>
      <c r="S61" s="617"/>
      <c r="T61" s="617"/>
      <c r="U61" s="617"/>
      <c r="V61" s="617"/>
      <c r="W61" s="617"/>
      <c r="X61" s="617"/>
      <c r="Y61" s="617"/>
      <c r="Z61" s="617"/>
      <c r="AA61" s="617"/>
      <c r="AB61" s="617"/>
      <c r="AC61" s="617"/>
      <c r="AD61" s="618"/>
      <c r="AF61"/>
      <c r="AG61"/>
    </row>
    <row r="62" spans="2:35" ht="15" customHeight="1">
      <c r="D62" s="616"/>
      <c r="E62" s="617"/>
      <c r="F62" s="617"/>
      <c r="G62" s="617"/>
      <c r="H62" s="617"/>
      <c r="I62" s="617"/>
      <c r="J62" s="617"/>
      <c r="K62" s="617"/>
      <c r="L62" s="617"/>
      <c r="M62" s="617"/>
      <c r="N62" s="617"/>
      <c r="O62" s="617"/>
      <c r="P62" s="617"/>
      <c r="Q62" s="617"/>
      <c r="R62" s="617"/>
      <c r="S62" s="617"/>
      <c r="T62" s="617"/>
      <c r="U62" s="617"/>
      <c r="V62" s="617"/>
      <c r="W62" s="617"/>
      <c r="X62" s="617"/>
      <c r="Y62" s="617"/>
      <c r="Z62" s="617"/>
      <c r="AA62" s="617"/>
      <c r="AB62" s="617"/>
      <c r="AC62" s="617"/>
      <c r="AD62" s="618"/>
      <c r="AF62"/>
      <c r="AG62"/>
    </row>
    <row r="63" spans="2:35" ht="15" customHeight="1">
      <c r="D63" s="616"/>
      <c r="E63" s="617"/>
      <c r="F63" s="617"/>
      <c r="G63" s="617"/>
      <c r="H63" s="617"/>
      <c r="I63" s="617"/>
      <c r="J63" s="617"/>
      <c r="K63" s="617"/>
      <c r="L63" s="617"/>
      <c r="M63" s="617"/>
      <c r="N63" s="617"/>
      <c r="O63" s="617"/>
      <c r="P63" s="617"/>
      <c r="Q63" s="617"/>
      <c r="R63" s="617"/>
      <c r="S63" s="617"/>
      <c r="T63" s="617"/>
      <c r="U63" s="617"/>
      <c r="V63" s="617"/>
      <c r="W63" s="617"/>
      <c r="X63" s="617"/>
      <c r="Y63" s="617"/>
      <c r="Z63" s="617"/>
      <c r="AA63" s="617"/>
      <c r="AB63" s="617"/>
      <c r="AC63" s="617"/>
      <c r="AD63" s="618"/>
      <c r="AF63"/>
      <c r="AG63"/>
    </row>
    <row r="64" spans="2:35" ht="15.75" customHeight="1">
      <c r="AF64"/>
      <c r="AG64"/>
    </row>
    <row r="65" spans="32:33" ht="15.75" customHeight="1">
      <c r="AF65"/>
      <c r="AG65"/>
    </row>
  </sheetData>
  <mergeCells count="34">
    <mergeCell ref="X10:Z10"/>
    <mergeCell ref="B5:F5"/>
    <mergeCell ref="B8:E8"/>
    <mergeCell ref="B10:B11"/>
    <mergeCell ref="C10:C11"/>
    <mergeCell ref="D10:D11"/>
    <mergeCell ref="E10:E11"/>
    <mergeCell ref="F10:H10"/>
    <mergeCell ref="I10:K10"/>
    <mergeCell ref="L10:N10"/>
    <mergeCell ref="O10:Q10"/>
    <mergeCell ref="R10:T10"/>
    <mergeCell ref="U10:W10"/>
    <mergeCell ref="U23:U24"/>
    <mergeCell ref="W23:W24"/>
    <mergeCell ref="X23:X24"/>
    <mergeCell ref="Z23:Z24"/>
    <mergeCell ref="AA23:AA24"/>
    <mergeCell ref="AE10:AE11"/>
    <mergeCell ref="AE23:AE24"/>
    <mergeCell ref="B47:B48"/>
    <mergeCell ref="B49:B50"/>
    <mergeCell ref="B53:B55"/>
    <mergeCell ref="AC23:AC24"/>
    <mergeCell ref="AD23:AD24"/>
    <mergeCell ref="B28:B34"/>
    <mergeCell ref="AD28:AD29"/>
    <mergeCell ref="B35:B40"/>
    <mergeCell ref="B41:B46"/>
    <mergeCell ref="AA10:AC10"/>
    <mergeCell ref="AD10:AD11"/>
    <mergeCell ref="B12:B27"/>
    <mergeCell ref="R23:R24"/>
    <mergeCell ref="T23:T24"/>
  </mergeCells>
  <conditionalFormatting sqref="AD4 AD6:AD9 AD58:AD1048576">
    <cfRule type="cellIs" dxfId="77" priority="1" operator="greaterThan">
      <formula>1</formula>
    </cfRule>
  </conditionalFormatting>
  <conditionalFormatting sqref="H12:H57">
    <cfRule type="expression" dxfId="76" priority="2">
      <formula>AND(ISNUMBER(H12),OR(AND($AE12="Mín",H12&gt;=1),AND($AE12="Máx",H12&lt;=1)))</formula>
    </cfRule>
  </conditionalFormatting>
  <conditionalFormatting sqref="H12:H57">
    <cfRule type="expression" dxfId="75" priority="3">
      <formula>AND(ISNUMBER(H12),OR(AND($AE12="Mín",H12&lt;1),AND($AE12="Máx",H12&gt;1)))</formula>
    </cfRule>
  </conditionalFormatting>
  <conditionalFormatting sqref="K12:K57">
    <cfRule type="expression" dxfId="74" priority="4">
      <formula>AND(ISNUMBER(K12),OR(AND($AE12="Mín",K12&gt;=1),AND($AE12="Máx",K12&lt;=1)))</formula>
    </cfRule>
  </conditionalFormatting>
  <conditionalFormatting sqref="K12:K57">
    <cfRule type="expression" dxfId="73" priority="5">
      <formula>AND(ISNUMBER(K12),OR(AND($AE12="Mín",K12&lt;1),AND($AE12="Máx",K12&gt;1)))</formula>
    </cfRule>
  </conditionalFormatting>
  <conditionalFormatting sqref="N12:N57">
    <cfRule type="expression" dxfId="72" priority="6">
      <formula>AND(ISNUMBER(N12),OR(AND($AE12="Mín",N12&gt;=1),AND($AE12="Máx",N12&lt;=1)))</formula>
    </cfRule>
  </conditionalFormatting>
  <conditionalFormatting sqref="N12:N57">
    <cfRule type="expression" dxfId="71" priority="7">
      <formula>AND(ISNUMBER(N12),OR(AND($AE12="Mín",N12&lt;1),AND($AE12="Máx",N12&gt;1)))</formula>
    </cfRule>
  </conditionalFormatting>
  <conditionalFormatting sqref="Q12:Q57">
    <cfRule type="expression" dxfId="70" priority="8">
      <formula>AND(ISNUMBER(Q12),OR(AND($AE12="Mín",Q12&gt;=1),AND($AE12="Máx",Q12&lt;=1)))</formula>
    </cfRule>
  </conditionalFormatting>
  <conditionalFormatting sqref="Q12:Q57">
    <cfRule type="expression" dxfId="69" priority="9">
      <formula>AND(ISNUMBER(Q12),OR(AND($AE12="Mín",Q12&lt;1),AND($AE12="Máx",Q12&gt;1)))</formula>
    </cfRule>
  </conditionalFormatting>
  <conditionalFormatting sqref="T12:T57">
    <cfRule type="expression" dxfId="68" priority="10">
      <formula>AND(ISNUMBER(T12),OR(AND($AE12="Mín",T12&gt;=1),AND($AE12="Máx",T12&lt;=1)))</formula>
    </cfRule>
  </conditionalFormatting>
  <conditionalFormatting sqref="T12:T57">
    <cfRule type="expression" dxfId="67" priority="11">
      <formula>AND(ISNUMBER(T12),OR(AND($AE12="Mín",T12&lt;1),AND($AE12="Máx",T12&gt;1)))</formula>
    </cfRule>
  </conditionalFormatting>
  <conditionalFormatting sqref="W12:W57">
    <cfRule type="expression" dxfId="66" priority="12">
      <formula>AND(ISNUMBER(W12),OR(AND($AE12="Mín",W12&gt;=1),AND($AE12="Máx",W12&lt;=1)))</formula>
    </cfRule>
  </conditionalFormatting>
  <conditionalFormatting sqref="W12:W57">
    <cfRule type="expression" dxfId="65" priority="13">
      <formula>AND(ISNUMBER(W12),OR(AND($AE12="Mín",W12&lt;1),AND($AE12="Máx",W12&gt;1)))</formula>
    </cfRule>
  </conditionalFormatting>
  <conditionalFormatting sqref="Z12:Z57">
    <cfRule type="expression" dxfId="64" priority="14">
      <formula>AND(ISNUMBER(Z12),OR(AND($AE12="Mín",Z12&gt;=1),AND($AE12="Máx",Z12&lt;=1)))</formula>
    </cfRule>
  </conditionalFormatting>
  <conditionalFormatting sqref="Z12:Z57">
    <cfRule type="expression" dxfId="63" priority="15">
      <formula>AND(ISNUMBER(Z12),OR(AND($AE12="Mín",Z12&lt;1),AND($AE12="Máx",Z12&gt;1)))</formula>
    </cfRule>
  </conditionalFormatting>
  <conditionalFormatting sqref="AC12:AC57">
    <cfRule type="expression" dxfId="62" priority="16">
      <formula>AND(ISNUMBER(AC12),OR(AND($AE12="Mín",AC12&gt;=1),AND($AE12="Máx",AC12&lt;=1)))</formula>
    </cfRule>
  </conditionalFormatting>
  <conditionalFormatting sqref="AC12:AC57">
    <cfRule type="expression" dxfId="61" priority="17">
      <formula>AND(ISNUMBER(AC12),OR(AND($AE12="Mín",AC12&lt;1),AND($AE12="Máx",AC12&gt;1)))</formula>
    </cfRule>
  </conditionalFormatting>
  <dataValidations count="1">
    <dataValidation type="list" allowBlank="1" showInputMessage="1" showErrorMessage="1" sqref="AE12:AE57" xr:uid="{6EA822C6-D750-43E4-AB69-0B71A6A1E602}">
      <formula1>"Mín,Máx"</formula1>
    </dataValidation>
  </dataValidations>
  <printOptions horizontalCentered="1"/>
  <pageMargins left="0.5" right="0.5" top="0.61111111111111116" bottom="0.61111111111111116" header="0.3" footer="0.3"/>
  <pageSetup paperSize="9" fitToHeight="0" orientation="landscape" r:id="rId1"/>
  <headerFooter>
    <oddHeader>&amp;Z&amp;R</oddHeader>
    <oddFooter>&amp;CShougang Hierro Perú S.A.A. — Beneficio ZA — KPI — Página &amp;P de &amp;F</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53037-A5C5-4F5F-8C0D-F481D75172EF}">
  <sheetPr codeName="Hoja50">
    <tabColor rgb="FF2F75B5"/>
    <pageSetUpPr fitToPage="1"/>
  </sheetPr>
  <dimension ref="A1:N70"/>
  <sheetViews>
    <sheetView workbookViewId="0">
      <selection activeCell="J8" sqref="J8"/>
    </sheetView>
  </sheetViews>
  <sheetFormatPr baseColWidth="10" defaultColWidth="9.140625" defaultRowHeight="15"/>
  <sheetData>
    <row r="1" spans="1:14" s="1159" customFormat="1" ht="17.100000000000001" customHeight="1"/>
    <row r="2" spans="1:14" s="1159" customFormat="1" ht="17.100000000000001" customHeight="1"/>
    <row r="3" spans="1:14" s="1159" customFormat="1" ht="17.100000000000001" customHeight="1"/>
    <row r="6" spans="1:14" ht="18">
      <c r="A6" s="622" t="s">
        <v>325</v>
      </c>
      <c r="B6" s="623" t="s">
        <v>2301</v>
      </c>
      <c r="C6" s="623" t="s">
        <v>2302</v>
      </c>
      <c r="D6" s="623" t="s">
        <v>2303</v>
      </c>
      <c r="E6" s="623" t="s">
        <v>2304</v>
      </c>
      <c r="F6" s="623" t="s">
        <v>2194</v>
      </c>
      <c r="G6" s="1410" t="s">
        <v>2305</v>
      </c>
      <c r="H6" s="1411"/>
      <c r="I6" s="1411"/>
      <c r="J6" s="1411"/>
      <c r="K6" s="1412"/>
      <c r="L6" s="624"/>
      <c r="M6" s="624"/>
      <c r="N6" s="624"/>
    </row>
    <row r="7" spans="1:14">
      <c r="A7" s="625"/>
      <c r="B7" s="625"/>
      <c r="C7" s="625"/>
      <c r="D7" s="625"/>
      <c r="E7" s="625"/>
      <c r="F7" s="625"/>
      <c r="G7" s="626"/>
      <c r="H7" s="626"/>
      <c r="I7" s="626"/>
      <c r="J7" s="626"/>
      <c r="K7" s="626"/>
      <c r="L7" s="624"/>
      <c r="M7" s="624"/>
      <c r="N7" s="624"/>
    </row>
    <row r="8" spans="1:14" ht="45">
      <c r="A8" s="625"/>
      <c r="B8" s="625"/>
      <c r="C8" s="625"/>
      <c r="D8" s="625"/>
      <c r="E8" s="625"/>
      <c r="F8" s="625"/>
      <c r="G8" s="1395" t="s">
        <v>365</v>
      </c>
      <c r="H8" s="627" t="s">
        <v>9236</v>
      </c>
      <c r="I8" s="628" t="s">
        <v>2306</v>
      </c>
      <c r="J8" s="627" t="s">
        <v>2307</v>
      </c>
      <c r="K8" s="627" t="s">
        <v>2308</v>
      </c>
      <c r="L8" s="624"/>
      <c r="M8" s="624"/>
      <c r="N8" s="624"/>
    </row>
    <row r="9" spans="1:14">
      <c r="A9" s="625"/>
      <c r="B9" s="625"/>
      <c r="C9" s="625"/>
      <c r="D9" s="625"/>
      <c r="E9" s="625"/>
      <c r="F9" s="625"/>
      <c r="G9" s="1396"/>
      <c r="H9" s="627" t="s">
        <v>2309</v>
      </c>
      <c r="I9" s="627" t="s">
        <v>2310</v>
      </c>
      <c r="J9" s="627" t="s">
        <v>2311</v>
      </c>
      <c r="K9" s="627" t="s">
        <v>2214</v>
      </c>
      <c r="L9" s="624"/>
      <c r="M9" s="624"/>
      <c r="N9" s="624"/>
    </row>
    <row r="10" spans="1:14" ht="27">
      <c r="A10" s="629"/>
      <c r="B10" s="625"/>
      <c r="C10" s="625"/>
      <c r="D10" s="625"/>
      <c r="E10" s="625"/>
      <c r="F10" s="629"/>
      <c r="G10" s="624"/>
      <c r="H10" s="630" t="s">
        <v>526</v>
      </c>
      <c r="I10" s="630" t="s">
        <v>527</v>
      </c>
      <c r="J10" s="630" t="s">
        <v>2312</v>
      </c>
      <c r="K10" s="631" t="s">
        <v>2313</v>
      </c>
      <c r="L10" s="624"/>
      <c r="M10" s="624"/>
      <c r="N10" s="624"/>
    </row>
    <row r="11" spans="1:14">
      <c r="A11" s="1397">
        <v>1</v>
      </c>
      <c r="B11" s="1398" t="s">
        <v>2314</v>
      </c>
      <c r="C11" s="1398" t="s">
        <v>2241</v>
      </c>
      <c r="D11" s="1401"/>
      <c r="E11" s="1404" t="s">
        <v>2242</v>
      </c>
      <c r="F11" s="1408">
        <v>0.3</v>
      </c>
      <c r="G11" s="632" t="s">
        <v>2315</v>
      </c>
      <c r="H11" s="633">
        <v>670354</v>
      </c>
      <c r="I11" s="633">
        <v>141323</v>
      </c>
      <c r="J11" s="634">
        <f t="shared" ref="J11:J18" si="0">IFERROR(I11/H11,0)</f>
        <v>0.21081846308070065</v>
      </c>
      <c r="K11" s="635">
        <f t="shared" ref="K11:K18" si="1">IFERROR(J11/$F$11,0)</f>
        <v>0.70272821026900223</v>
      </c>
      <c r="L11" s="624"/>
      <c r="M11" s="636"/>
      <c r="N11" s="624"/>
    </row>
    <row r="12" spans="1:14">
      <c r="A12" s="1397"/>
      <c r="B12" s="1399"/>
      <c r="C12" s="1399"/>
      <c r="D12" s="1402"/>
      <c r="E12" s="1405"/>
      <c r="F12" s="1408"/>
      <c r="G12" s="632" t="s">
        <v>2316</v>
      </c>
      <c r="H12" s="633">
        <v>578899</v>
      </c>
      <c r="I12" s="633">
        <v>93398</v>
      </c>
      <c r="J12" s="634">
        <f t="shared" si="0"/>
        <v>0.16133729717964618</v>
      </c>
      <c r="K12" s="635">
        <f t="shared" si="1"/>
        <v>0.53779099059882063</v>
      </c>
      <c r="L12" s="624"/>
      <c r="M12" s="636"/>
      <c r="N12" s="624"/>
    </row>
    <row r="13" spans="1:14">
      <c r="A13" s="1397"/>
      <c r="B13" s="1399"/>
      <c r="C13" s="1399"/>
      <c r="D13" s="1402"/>
      <c r="E13" s="1405"/>
      <c r="F13" s="1408"/>
      <c r="G13" s="632" t="s">
        <v>2317</v>
      </c>
      <c r="H13" s="633">
        <v>634696</v>
      </c>
      <c r="I13" s="633">
        <v>105007</v>
      </c>
      <c r="J13" s="634">
        <f t="shared" si="0"/>
        <v>0.16544455928507507</v>
      </c>
      <c r="K13" s="635">
        <f t="shared" si="1"/>
        <v>0.55148186428358359</v>
      </c>
      <c r="L13" s="624"/>
      <c r="M13" s="636"/>
      <c r="N13" s="624"/>
    </row>
    <row r="14" spans="1:14">
      <c r="A14" s="1397"/>
      <c r="B14" s="1399"/>
      <c r="C14" s="1399"/>
      <c r="D14" s="1402"/>
      <c r="E14" s="1405"/>
      <c r="F14" s="1408"/>
      <c r="G14" s="632" t="s">
        <v>2318</v>
      </c>
      <c r="H14" s="633">
        <v>660962</v>
      </c>
      <c r="I14" s="633">
        <v>113786</v>
      </c>
      <c r="J14" s="634">
        <f t="shared" si="0"/>
        <v>0.17215210556733973</v>
      </c>
      <c r="K14" s="635">
        <f t="shared" si="1"/>
        <v>0.57384035189113247</v>
      </c>
      <c r="L14" s="624"/>
      <c r="M14" s="636"/>
      <c r="N14" s="624"/>
    </row>
    <row r="15" spans="1:14">
      <c r="A15" s="1397"/>
      <c r="B15" s="1399"/>
      <c r="C15" s="1399"/>
      <c r="D15" s="1402"/>
      <c r="E15" s="1405"/>
      <c r="F15" s="1408"/>
      <c r="G15" s="632" t="s">
        <v>2319</v>
      </c>
      <c r="H15" s="633">
        <v>671051</v>
      </c>
      <c r="I15" s="633">
        <v>166084</v>
      </c>
      <c r="J15" s="634">
        <f t="shared" si="0"/>
        <v>0.24749832725083487</v>
      </c>
      <c r="K15" s="635">
        <f t="shared" si="1"/>
        <v>0.82499442416944957</v>
      </c>
      <c r="L15" s="624"/>
      <c r="M15" s="636"/>
      <c r="N15" s="624"/>
    </row>
    <row r="16" spans="1:14">
      <c r="A16" s="1397"/>
      <c r="B16" s="1399"/>
      <c r="C16" s="1399"/>
      <c r="D16" s="1402"/>
      <c r="E16" s="1405"/>
      <c r="F16" s="1408"/>
      <c r="G16" s="632" t="s">
        <v>2320</v>
      </c>
      <c r="H16" s="633">
        <v>605790</v>
      </c>
      <c r="I16" s="633">
        <v>177524</v>
      </c>
      <c r="J16" s="634">
        <f t="shared" si="0"/>
        <v>0.29304544479109923</v>
      </c>
      <c r="K16" s="635">
        <f t="shared" si="1"/>
        <v>0.97681814930366417</v>
      </c>
      <c r="L16" s="624"/>
      <c r="M16" s="636"/>
      <c r="N16" s="624"/>
    </row>
    <row r="17" spans="1:14">
      <c r="A17" s="1397"/>
      <c r="B17" s="1400"/>
      <c r="C17" s="1400"/>
      <c r="D17" s="1403"/>
      <c r="E17" s="1406"/>
      <c r="F17" s="1408"/>
      <c r="G17" s="632" t="s">
        <v>2321</v>
      </c>
      <c r="H17" s="633">
        <v>656288</v>
      </c>
      <c r="I17" s="633">
        <v>190478</v>
      </c>
      <c r="J17" s="634">
        <f t="shared" si="0"/>
        <v>0.29023538446535668</v>
      </c>
      <c r="K17" s="635">
        <f t="shared" si="1"/>
        <v>0.96745128155118898</v>
      </c>
      <c r="L17" s="624"/>
      <c r="M17" s="636"/>
      <c r="N17" s="624"/>
    </row>
    <row r="18" spans="1:14">
      <c r="A18" s="624"/>
      <c r="B18" s="624"/>
      <c r="C18" s="624"/>
      <c r="D18" s="624"/>
      <c r="E18" s="624"/>
      <c r="F18" s="624"/>
      <c r="G18" s="637" t="s">
        <v>2322</v>
      </c>
      <c r="H18" s="638">
        <f>SUM(H11:H17)</f>
        <v>4478040</v>
      </c>
      <c r="I18" s="638">
        <f>SUM(I11:I17)</f>
        <v>987600</v>
      </c>
      <c r="J18" s="639">
        <f t="shared" si="0"/>
        <v>0.2205429160972211</v>
      </c>
      <c r="K18" s="640">
        <f t="shared" si="1"/>
        <v>0.73514305365740373</v>
      </c>
      <c r="L18" s="624"/>
      <c r="M18" s="636"/>
      <c r="N18" s="624"/>
    </row>
    <row r="19" spans="1:14">
      <c r="A19" s="624"/>
      <c r="B19" s="624"/>
      <c r="C19" s="624"/>
      <c r="D19" s="624"/>
      <c r="E19" s="624"/>
      <c r="F19" s="624"/>
      <c r="G19" s="624"/>
      <c r="H19" s="624"/>
      <c r="I19" s="624"/>
      <c r="J19" s="624"/>
      <c r="K19" s="624"/>
      <c r="L19" s="641"/>
      <c r="M19" s="636"/>
      <c r="N19" s="642"/>
    </row>
    <row r="20" spans="1:14" ht="36">
      <c r="A20" s="624"/>
      <c r="B20" s="624"/>
      <c r="C20" s="624"/>
      <c r="D20" s="624"/>
      <c r="E20" s="624"/>
      <c r="F20" s="624"/>
      <c r="G20" s="1395" t="s">
        <v>365</v>
      </c>
      <c r="H20" s="628" t="s">
        <v>2323</v>
      </c>
      <c r="I20" s="628" t="s">
        <v>2324</v>
      </c>
      <c r="J20" s="628" t="s">
        <v>2325</v>
      </c>
      <c r="K20" s="628" t="s">
        <v>2308</v>
      </c>
      <c r="L20" s="641"/>
      <c r="M20" s="636"/>
      <c r="N20" s="642"/>
    </row>
    <row r="21" spans="1:14">
      <c r="A21" s="624"/>
      <c r="B21" s="624"/>
      <c r="C21" s="624"/>
      <c r="D21" s="624"/>
      <c r="E21" s="624"/>
      <c r="F21" s="624"/>
      <c r="G21" s="1396"/>
      <c r="H21" s="627" t="s">
        <v>2310</v>
      </c>
      <c r="I21" s="627" t="s">
        <v>2326</v>
      </c>
      <c r="J21" s="627" t="s">
        <v>2327</v>
      </c>
      <c r="K21" s="627" t="s">
        <v>2214</v>
      </c>
      <c r="L21" s="624"/>
      <c r="M21" s="624"/>
      <c r="N21" s="636"/>
    </row>
    <row r="22" spans="1:14" ht="27">
      <c r="A22" s="624"/>
      <c r="B22" s="624"/>
      <c r="C22" s="624"/>
      <c r="D22" s="624"/>
      <c r="E22" s="624"/>
      <c r="F22" s="624"/>
      <c r="G22" s="624"/>
      <c r="H22" s="630" t="s">
        <v>526</v>
      </c>
      <c r="I22" s="630" t="s">
        <v>527</v>
      </c>
      <c r="J22" s="630" t="s">
        <v>2328</v>
      </c>
      <c r="K22" s="631" t="s">
        <v>2329</v>
      </c>
      <c r="L22" s="624"/>
      <c r="M22" s="624"/>
      <c r="N22" s="624"/>
    </row>
    <row r="23" spans="1:14">
      <c r="A23" s="1397">
        <v>2</v>
      </c>
      <c r="B23" s="1398" t="s">
        <v>2330</v>
      </c>
      <c r="C23" s="1398" t="s">
        <v>2278</v>
      </c>
      <c r="D23" s="1401" t="s">
        <v>2331</v>
      </c>
      <c r="E23" s="1404" t="s">
        <v>2332</v>
      </c>
      <c r="F23" s="1409">
        <v>64</v>
      </c>
      <c r="G23" s="632" t="s">
        <v>2315</v>
      </c>
      <c r="H23" s="633">
        <v>657137</v>
      </c>
      <c r="I23" s="633">
        <v>11038.45</v>
      </c>
      <c r="J23" s="643">
        <f t="shared" ref="J23:J30" si="2">IFERROR(H23/I23,0)</f>
        <v>59.531637141084119</v>
      </c>
      <c r="K23" s="635">
        <f t="shared" ref="K23:K30" si="3">IFERROR(J23/$F$23,0)</f>
        <v>0.93018183032943935</v>
      </c>
      <c r="L23" s="624"/>
      <c r="M23" s="624"/>
      <c r="N23" s="624"/>
    </row>
    <row r="24" spans="1:14">
      <c r="A24" s="1397"/>
      <c r="B24" s="1399"/>
      <c r="C24" s="1399"/>
      <c r="D24" s="1402"/>
      <c r="E24" s="1405"/>
      <c r="F24" s="1409"/>
      <c r="G24" s="632" t="s">
        <v>2316</v>
      </c>
      <c r="H24" s="633">
        <v>567627</v>
      </c>
      <c r="I24" s="633">
        <v>9930.6899999999987</v>
      </c>
      <c r="J24" s="643">
        <f t="shared" si="2"/>
        <v>57.158868114904408</v>
      </c>
      <c r="K24" s="635">
        <f t="shared" si="3"/>
        <v>0.89310731429538137</v>
      </c>
      <c r="L24" s="624"/>
      <c r="M24" s="624"/>
      <c r="N24" s="624"/>
    </row>
    <row r="25" spans="1:14">
      <c r="A25" s="1397"/>
      <c r="B25" s="1399"/>
      <c r="C25" s="1399"/>
      <c r="D25" s="1402"/>
      <c r="E25" s="1405"/>
      <c r="F25" s="1409"/>
      <c r="G25" s="632" t="s">
        <v>2317</v>
      </c>
      <c r="H25" s="633">
        <v>638141</v>
      </c>
      <c r="I25" s="633">
        <v>11176.639999999998</v>
      </c>
      <c r="J25" s="643">
        <f t="shared" si="2"/>
        <v>57.095960861224853</v>
      </c>
      <c r="K25" s="635">
        <f t="shared" si="3"/>
        <v>0.89212438845663833</v>
      </c>
      <c r="L25" s="624"/>
      <c r="M25" s="624"/>
      <c r="N25" s="624"/>
    </row>
    <row r="26" spans="1:14">
      <c r="A26" s="1397"/>
      <c r="B26" s="1399"/>
      <c r="C26" s="1399"/>
      <c r="D26" s="1402"/>
      <c r="E26" s="1405"/>
      <c r="F26" s="1409"/>
      <c r="G26" s="632" t="s">
        <v>2318</v>
      </c>
      <c r="H26" s="633">
        <v>592528</v>
      </c>
      <c r="I26" s="633">
        <v>10251.589999999997</v>
      </c>
      <c r="J26" s="643">
        <f t="shared" si="2"/>
        <v>57.798643917675228</v>
      </c>
      <c r="K26" s="635">
        <f t="shared" si="3"/>
        <v>0.90310381121367544</v>
      </c>
      <c r="L26" s="624"/>
      <c r="M26" s="624"/>
      <c r="N26" s="624"/>
    </row>
    <row r="27" spans="1:14">
      <c r="A27" s="1397"/>
      <c r="B27" s="1399"/>
      <c r="C27" s="1399"/>
      <c r="D27" s="1402"/>
      <c r="E27" s="1405"/>
      <c r="F27" s="1409"/>
      <c r="G27" s="632" t="s">
        <v>2319</v>
      </c>
      <c r="H27" s="633">
        <v>674156</v>
      </c>
      <c r="I27" s="633">
        <v>11509.320000000002</v>
      </c>
      <c r="J27" s="643">
        <f t="shared" si="2"/>
        <v>58.574789822509054</v>
      </c>
      <c r="K27" s="635">
        <f t="shared" si="3"/>
        <v>0.91523109097670396</v>
      </c>
      <c r="L27" s="624"/>
      <c r="M27" s="624"/>
      <c r="N27" s="624"/>
    </row>
    <row r="28" spans="1:14">
      <c r="A28" s="1397"/>
      <c r="B28" s="1399"/>
      <c r="C28" s="1399"/>
      <c r="D28" s="1402"/>
      <c r="E28" s="1405"/>
      <c r="F28" s="1409"/>
      <c r="G28" s="632" t="s">
        <v>2320</v>
      </c>
      <c r="H28" s="633">
        <v>662611</v>
      </c>
      <c r="I28" s="633">
        <v>10726.760000000002</v>
      </c>
      <c r="J28" s="643">
        <f t="shared" si="2"/>
        <v>61.771774515324282</v>
      </c>
      <c r="K28" s="635">
        <f t="shared" si="3"/>
        <v>0.9651839768019419</v>
      </c>
      <c r="L28" s="624"/>
      <c r="M28" s="624"/>
      <c r="N28" s="624"/>
    </row>
    <row r="29" spans="1:14">
      <c r="A29" s="1397"/>
      <c r="B29" s="1400"/>
      <c r="C29" s="1400"/>
      <c r="D29" s="1403"/>
      <c r="E29" s="1406"/>
      <c r="F29" s="1409"/>
      <c r="G29" s="632" t="s">
        <v>2321</v>
      </c>
      <c r="H29" s="633">
        <v>637392</v>
      </c>
      <c r="I29" s="633">
        <v>10184.299999999999</v>
      </c>
      <c r="J29" s="643">
        <f t="shared" si="2"/>
        <v>62.585744724723355</v>
      </c>
      <c r="K29" s="635">
        <f t="shared" si="3"/>
        <v>0.97790226132380242</v>
      </c>
      <c r="L29" s="624"/>
      <c r="M29" s="624"/>
      <c r="N29" s="624"/>
    </row>
    <row r="30" spans="1:14">
      <c r="A30" s="624"/>
      <c r="B30" s="624"/>
      <c r="C30" s="624"/>
      <c r="D30" s="624"/>
      <c r="E30" s="624"/>
      <c r="F30" s="624"/>
      <c r="G30" s="637" t="s">
        <v>2322</v>
      </c>
      <c r="H30" s="638">
        <f>SUM(H23:H29)</f>
        <v>4429592</v>
      </c>
      <c r="I30" s="638">
        <f>SUM(I23:I29)</f>
        <v>74817.75</v>
      </c>
      <c r="J30" s="639">
        <f t="shared" si="2"/>
        <v>59.205095047632412</v>
      </c>
      <c r="K30" s="640">
        <f t="shared" si="3"/>
        <v>0.92507961011925643</v>
      </c>
      <c r="L30" s="624"/>
      <c r="M30" s="624"/>
      <c r="N30" s="624"/>
    </row>
    <row r="32" spans="1:14" ht="54">
      <c r="A32" s="624"/>
      <c r="B32" s="624"/>
      <c r="C32" s="624"/>
      <c r="D32" s="624"/>
      <c r="E32" s="624"/>
      <c r="F32" s="624"/>
      <c r="G32" s="1395" t="s">
        <v>365</v>
      </c>
      <c r="H32" s="628" t="s">
        <v>2333</v>
      </c>
      <c r="I32" s="628" t="s">
        <v>2334</v>
      </c>
      <c r="J32" s="628" t="s">
        <v>2335</v>
      </c>
      <c r="K32" s="628" t="s">
        <v>2336</v>
      </c>
      <c r="L32" s="628" t="s">
        <v>2308</v>
      </c>
      <c r="M32" s="624"/>
      <c r="N32" s="624"/>
    </row>
    <row r="33" spans="1:14">
      <c r="A33" s="624"/>
      <c r="B33" s="624"/>
      <c r="C33" s="624"/>
      <c r="D33" s="624"/>
      <c r="E33" s="624"/>
      <c r="F33" s="624"/>
      <c r="G33" s="1396"/>
      <c r="H33" s="627" t="s">
        <v>2326</v>
      </c>
      <c r="I33" s="627" t="s">
        <v>2326</v>
      </c>
      <c r="J33" s="627" t="s">
        <v>2326</v>
      </c>
      <c r="K33" s="627" t="s">
        <v>2214</v>
      </c>
      <c r="L33" s="627" t="s">
        <v>2214</v>
      </c>
      <c r="M33" s="624"/>
      <c r="N33" s="624"/>
    </row>
    <row r="34" spans="1:14">
      <c r="A34" s="624"/>
      <c r="B34" s="624"/>
      <c r="C34" s="624"/>
      <c r="D34" s="624"/>
      <c r="E34" s="624"/>
      <c r="F34" s="624"/>
      <c r="G34" s="624"/>
      <c r="H34" s="630" t="s">
        <v>526</v>
      </c>
      <c r="I34" s="630" t="s">
        <v>2337</v>
      </c>
      <c r="J34" s="630" t="s">
        <v>2338</v>
      </c>
      <c r="K34" s="630" t="s">
        <v>2339</v>
      </c>
      <c r="L34" s="630" t="s">
        <v>2340</v>
      </c>
      <c r="M34" s="932" t="s">
        <v>9224</v>
      </c>
      <c r="N34" s="624"/>
    </row>
    <row r="35" spans="1:14">
      <c r="A35" s="1397">
        <v>3</v>
      </c>
      <c r="B35" s="1398" t="s">
        <v>2341</v>
      </c>
      <c r="C35" s="1398" t="s">
        <v>2255</v>
      </c>
      <c r="D35" s="1401"/>
      <c r="E35" s="1404" t="s">
        <v>2214</v>
      </c>
      <c r="F35" s="1408" t="s">
        <v>2261</v>
      </c>
      <c r="G35" s="632" t="s">
        <v>2315</v>
      </c>
      <c r="H35" s="633">
        <v>19344</v>
      </c>
      <c r="I35" s="643">
        <v>1356.5</v>
      </c>
      <c r="J35" s="643">
        <f t="shared" ref="J35:J42" si="4">H35-I35</f>
        <v>17987.5</v>
      </c>
      <c r="K35" s="644">
        <f t="shared" ref="K35:K42" si="5">IFERROR(J35/H35*100,0)</f>
        <v>92.987489660876747</v>
      </c>
      <c r="L35" s="635">
        <f t="shared" ref="L35:L42" si="6">IFERROR(K35/$M$35,0)</f>
        <v>0.97881568064080782</v>
      </c>
      <c r="M35" s="930">
        <v>95</v>
      </c>
      <c r="N35" s="624"/>
    </row>
    <row r="36" spans="1:14">
      <c r="A36" s="1397"/>
      <c r="B36" s="1399"/>
      <c r="C36" s="1399"/>
      <c r="D36" s="1402"/>
      <c r="E36" s="1405"/>
      <c r="F36" s="1408"/>
      <c r="G36" s="632" t="s">
        <v>2316</v>
      </c>
      <c r="H36" s="633">
        <v>17472</v>
      </c>
      <c r="I36" s="643">
        <v>2341.5</v>
      </c>
      <c r="J36" s="643">
        <f t="shared" si="4"/>
        <v>15130.5</v>
      </c>
      <c r="K36" s="644">
        <f t="shared" si="5"/>
        <v>86.598557692307693</v>
      </c>
      <c r="L36" s="635">
        <f t="shared" si="6"/>
        <v>0.91156376518218629</v>
      </c>
    </row>
    <row r="37" spans="1:14">
      <c r="A37" s="1397"/>
      <c r="B37" s="1399"/>
      <c r="C37" s="1399"/>
      <c r="D37" s="1402"/>
      <c r="E37" s="1405"/>
      <c r="F37" s="1408"/>
      <c r="G37" s="632" t="s">
        <v>2317</v>
      </c>
      <c r="H37" s="633">
        <v>19344</v>
      </c>
      <c r="I37" s="643">
        <v>1450.8</v>
      </c>
      <c r="J37" s="643">
        <f t="shared" si="4"/>
        <v>17893.2</v>
      </c>
      <c r="K37" s="644">
        <f t="shared" si="5"/>
        <v>92.5</v>
      </c>
      <c r="L37" s="635">
        <f t="shared" si="6"/>
        <v>0.97368421052631582</v>
      </c>
    </row>
    <row r="38" spans="1:14">
      <c r="A38" s="1397"/>
      <c r="B38" s="1399"/>
      <c r="C38" s="1399"/>
      <c r="D38" s="1402"/>
      <c r="E38" s="1405"/>
      <c r="F38" s="1408"/>
      <c r="G38" s="632" t="s">
        <v>2318</v>
      </c>
      <c r="H38" s="633">
        <v>18720</v>
      </c>
      <c r="I38" s="643">
        <v>1726.2</v>
      </c>
      <c r="J38" s="643">
        <f t="shared" si="4"/>
        <v>16993.8</v>
      </c>
      <c r="K38" s="644">
        <f t="shared" si="5"/>
        <v>90.778846153846146</v>
      </c>
      <c r="L38" s="635">
        <f t="shared" si="6"/>
        <v>0.95556680161943308</v>
      </c>
    </row>
    <row r="39" spans="1:14">
      <c r="A39" s="1397"/>
      <c r="B39" s="1399"/>
      <c r="C39" s="1399"/>
      <c r="D39" s="1402"/>
      <c r="E39" s="1405"/>
      <c r="F39" s="1408"/>
      <c r="G39" s="632" t="s">
        <v>2319</v>
      </c>
      <c r="H39" s="633">
        <v>19344</v>
      </c>
      <c r="I39" s="643">
        <v>1729</v>
      </c>
      <c r="J39" s="643">
        <f t="shared" si="4"/>
        <v>17615</v>
      </c>
      <c r="K39" s="644">
        <f t="shared" si="5"/>
        <v>91.061827956989248</v>
      </c>
      <c r="L39" s="635">
        <f t="shared" si="6"/>
        <v>0.9585455574419921</v>
      </c>
    </row>
    <row r="40" spans="1:14">
      <c r="A40" s="1397"/>
      <c r="B40" s="1399"/>
      <c r="C40" s="1399"/>
      <c r="D40" s="1402"/>
      <c r="E40" s="1405"/>
      <c r="F40" s="1408"/>
      <c r="G40" s="632" t="s">
        <v>2320</v>
      </c>
      <c r="H40" s="633">
        <v>18720</v>
      </c>
      <c r="I40" s="643">
        <v>1485.7</v>
      </c>
      <c r="J40" s="643">
        <f t="shared" si="4"/>
        <v>17234.3</v>
      </c>
      <c r="K40" s="644">
        <f t="shared" si="5"/>
        <v>92.063568376068375</v>
      </c>
      <c r="L40" s="635">
        <f t="shared" si="6"/>
        <v>0.96909019343229863</v>
      </c>
    </row>
    <row r="41" spans="1:14">
      <c r="A41" s="1397"/>
      <c r="B41" s="1400"/>
      <c r="C41" s="1400"/>
      <c r="D41" s="1403"/>
      <c r="E41" s="1406"/>
      <c r="F41" s="1408"/>
      <c r="G41" s="632" t="s">
        <v>2321</v>
      </c>
      <c r="H41" s="633">
        <v>19344</v>
      </c>
      <c r="I41" s="643">
        <v>2879.4</v>
      </c>
      <c r="J41" s="643">
        <f t="shared" si="4"/>
        <v>16464.599999999999</v>
      </c>
      <c r="K41" s="644">
        <f t="shared" si="5"/>
        <v>85.114764267990068</v>
      </c>
      <c r="L41" s="635">
        <f t="shared" si="6"/>
        <v>0.89594488703147446</v>
      </c>
    </row>
    <row r="42" spans="1:14">
      <c r="A42" s="624"/>
      <c r="B42" s="624"/>
      <c r="C42" s="624"/>
      <c r="D42" s="624"/>
      <c r="E42" s="624"/>
      <c r="F42" s="624"/>
      <c r="G42" s="637" t="s">
        <v>2322</v>
      </c>
      <c r="H42" s="638">
        <f>SUM(H35:H41)</f>
        <v>132288</v>
      </c>
      <c r="I42" s="638">
        <f>SUM(I35:I41)</f>
        <v>12969.1</v>
      </c>
      <c r="J42" s="639">
        <f t="shared" si="4"/>
        <v>119318.9</v>
      </c>
      <c r="K42" s="645">
        <f t="shared" si="5"/>
        <v>90.196314102564102</v>
      </c>
      <c r="L42" s="640">
        <f t="shared" si="6"/>
        <v>0.94943488529014841</v>
      </c>
    </row>
    <row r="43" spans="1:14">
      <c r="A43" s="624"/>
      <c r="B43" s="624"/>
      <c r="C43" s="624"/>
      <c r="D43" s="624"/>
      <c r="E43" s="624"/>
      <c r="F43" s="624"/>
      <c r="G43" s="624"/>
      <c r="H43" s="624"/>
      <c r="I43" s="646"/>
      <c r="J43" s="647"/>
      <c r="K43" s="624"/>
      <c r="L43" s="624"/>
    </row>
    <row r="44" spans="1:14" ht="45">
      <c r="A44" s="624"/>
      <c r="B44" s="624"/>
      <c r="C44" s="624"/>
      <c r="D44" s="624"/>
      <c r="E44" s="624"/>
      <c r="F44" s="624"/>
      <c r="G44" s="1395" t="s">
        <v>365</v>
      </c>
      <c r="H44" s="628" t="s">
        <v>2333</v>
      </c>
      <c r="I44" s="628" t="s">
        <v>2342</v>
      </c>
      <c r="J44" s="628" t="s">
        <v>2343</v>
      </c>
      <c r="K44" s="628" t="s">
        <v>2344</v>
      </c>
      <c r="L44" s="628" t="s">
        <v>2308</v>
      </c>
    </row>
    <row r="45" spans="1:14">
      <c r="A45" s="624"/>
      <c r="B45" s="624"/>
      <c r="C45" s="624"/>
      <c r="D45" s="624"/>
      <c r="E45" s="624"/>
      <c r="F45" s="624"/>
      <c r="G45" s="1396"/>
      <c r="H45" s="627" t="s">
        <v>2326</v>
      </c>
      <c r="I45" s="627" t="s">
        <v>2326</v>
      </c>
      <c r="J45" s="627" t="s">
        <v>2326</v>
      </c>
      <c r="K45" s="627" t="s">
        <v>2214</v>
      </c>
      <c r="L45" s="627" t="s">
        <v>2214</v>
      </c>
    </row>
    <row r="46" spans="1:14">
      <c r="A46" s="624"/>
      <c r="B46" s="624"/>
      <c r="C46" s="624"/>
      <c r="D46" s="624"/>
      <c r="E46" s="624"/>
      <c r="F46" s="624"/>
      <c r="G46" s="624"/>
      <c r="H46" s="630" t="s">
        <v>526</v>
      </c>
      <c r="I46" s="630" t="s">
        <v>2345</v>
      </c>
      <c r="J46" s="630" t="s">
        <v>2346</v>
      </c>
      <c r="K46" s="630" t="s">
        <v>2339</v>
      </c>
      <c r="L46" s="630" t="s">
        <v>2347</v>
      </c>
      <c r="M46" s="929" t="s">
        <v>9224</v>
      </c>
    </row>
    <row r="47" spans="1:14">
      <c r="A47" s="1397">
        <v>4</v>
      </c>
      <c r="B47" s="1398" t="s">
        <v>2348</v>
      </c>
      <c r="C47" s="1398" t="s">
        <v>2255</v>
      </c>
      <c r="D47" s="1401"/>
      <c r="E47" s="1404" t="s">
        <v>2214</v>
      </c>
      <c r="F47" s="1408" t="s">
        <v>2272</v>
      </c>
      <c r="G47" s="632" t="s">
        <v>2315</v>
      </c>
      <c r="H47" s="633">
        <v>19344</v>
      </c>
      <c r="I47" s="643">
        <v>5438</v>
      </c>
      <c r="J47" s="643">
        <f t="shared" ref="J47:J54" si="7">H47-I35-I47</f>
        <v>12549.5</v>
      </c>
      <c r="K47" s="644">
        <f t="shared" ref="K47:K54" si="8">IFERROR(J47/H47*100,0)</f>
        <v>64.875413564929701</v>
      </c>
      <c r="L47" s="635">
        <f t="shared" ref="L47:L54" si="9">IFERROR(K47/$M$47,0)</f>
        <v>0.76324015958740821</v>
      </c>
      <c r="M47" s="931">
        <v>85</v>
      </c>
    </row>
    <row r="48" spans="1:14">
      <c r="A48" s="1397"/>
      <c r="B48" s="1399"/>
      <c r="C48" s="1399"/>
      <c r="D48" s="1402"/>
      <c r="E48" s="1405"/>
      <c r="F48" s="1408"/>
      <c r="G48" s="632" t="s">
        <v>2316</v>
      </c>
      <c r="H48" s="633">
        <v>17472</v>
      </c>
      <c r="I48" s="643">
        <v>4670.5</v>
      </c>
      <c r="J48" s="643">
        <f t="shared" si="7"/>
        <v>10460</v>
      </c>
      <c r="K48" s="644">
        <f t="shared" si="8"/>
        <v>59.867216117216117</v>
      </c>
      <c r="L48" s="635">
        <f t="shared" si="9"/>
        <v>0.7043201896143072</v>
      </c>
    </row>
    <row r="49" spans="1:12">
      <c r="A49" s="1397"/>
      <c r="B49" s="1399"/>
      <c r="C49" s="1399"/>
      <c r="D49" s="1402"/>
      <c r="E49" s="1405"/>
      <c r="F49" s="1408"/>
      <c r="G49" s="632" t="s">
        <v>2317</v>
      </c>
      <c r="H49" s="633">
        <v>19344</v>
      </c>
      <c r="I49" s="643">
        <v>5376.8</v>
      </c>
      <c r="J49" s="643">
        <f t="shared" si="7"/>
        <v>12516.400000000001</v>
      </c>
      <c r="K49" s="644">
        <f t="shared" si="8"/>
        <v>64.704301075268816</v>
      </c>
      <c r="L49" s="635">
        <f t="shared" si="9"/>
        <v>0.76122707147375079</v>
      </c>
    </row>
    <row r="50" spans="1:12">
      <c r="A50" s="1397"/>
      <c r="B50" s="1399"/>
      <c r="C50" s="1399"/>
      <c r="D50" s="1402"/>
      <c r="E50" s="1405"/>
      <c r="F50" s="1408"/>
      <c r="G50" s="632" t="s">
        <v>2318</v>
      </c>
      <c r="H50" s="633">
        <v>18720</v>
      </c>
      <c r="I50" s="643">
        <v>4713.8999999999996</v>
      </c>
      <c r="J50" s="643">
        <f t="shared" si="7"/>
        <v>12279.9</v>
      </c>
      <c r="K50" s="644">
        <f t="shared" si="8"/>
        <v>65.597756410256409</v>
      </c>
      <c r="L50" s="635">
        <f t="shared" si="9"/>
        <v>0.77173831070889898</v>
      </c>
    </row>
    <row r="51" spans="1:12">
      <c r="A51" s="1397"/>
      <c r="B51" s="1399"/>
      <c r="C51" s="1399"/>
      <c r="D51" s="1402"/>
      <c r="E51" s="1405"/>
      <c r="F51" s="1408"/>
      <c r="G51" s="632" t="s">
        <v>2319</v>
      </c>
      <c r="H51" s="633">
        <v>19344</v>
      </c>
      <c r="I51" s="643">
        <v>5351</v>
      </c>
      <c r="J51" s="643">
        <f t="shared" si="7"/>
        <v>12264</v>
      </c>
      <c r="K51" s="644">
        <f t="shared" si="8"/>
        <v>63.399503722084368</v>
      </c>
      <c r="L51" s="635">
        <f t="shared" si="9"/>
        <v>0.74587651437746316</v>
      </c>
    </row>
    <row r="52" spans="1:12">
      <c r="A52" s="1397"/>
      <c r="B52" s="1399"/>
      <c r="C52" s="1399"/>
      <c r="D52" s="1402"/>
      <c r="E52" s="1405"/>
      <c r="F52" s="1408"/>
      <c r="G52" s="632" t="s">
        <v>2320</v>
      </c>
      <c r="H52" s="633">
        <v>18720</v>
      </c>
      <c r="I52" s="643">
        <v>6585.2</v>
      </c>
      <c r="J52" s="643">
        <f t="shared" si="7"/>
        <v>10649.099999999999</v>
      </c>
      <c r="K52" s="644">
        <f t="shared" si="8"/>
        <v>56.886217948717942</v>
      </c>
      <c r="L52" s="635">
        <f t="shared" si="9"/>
        <v>0.66924962292609347</v>
      </c>
    </row>
    <row r="53" spans="1:12">
      <c r="A53" s="1397"/>
      <c r="B53" s="1400"/>
      <c r="C53" s="1400"/>
      <c r="D53" s="1403"/>
      <c r="E53" s="1406"/>
      <c r="F53" s="1408"/>
      <c r="G53" s="632" t="s">
        <v>2321</v>
      </c>
      <c r="H53" s="633">
        <v>19344</v>
      </c>
      <c r="I53" s="643">
        <v>5342.3</v>
      </c>
      <c r="J53" s="643">
        <f t="shared" si="7"/>
        <v>11122.3</v>
      </c>
      <c r="K53" s="644">
        <f t="shared" si="8"/>
        <v>57.497415219189406</v>
      </c>
      <c r="L53" s="635">
        <f t="shared" si="9"/>
        <v>0.6764401790492871</v>
      </c>
    </row>
    <row r="54" spans="1:12">
      <c r="A54" s="624"/>
      <c r="B54" s="624"/>
      <c r="C54" s="624"/>
      <c r="D54" s="624"/>
      <c r="E54" s="624"/>
      <c r="F54" s="624"/>
      <c r="G54" s="637" t="s">
        <v>2322</v>
      </c>
      <c r="H54" s="638">
        <f>SUM(H47:H53)</f>
        <v>132288</v>
      </c>
      <c r="I54" s="638">
        <f>SUM(I47:I53)</f>
        <v>37477.699999999997</v>
      </c>
      <c r="J54" s="639">
        <f t="shared" si="7"/>
        <v>81841.2</v>
      </c>
      <c r="K54" s="645">
        <f t="shared" si="8"/>
        <v>61.865928882438311</v>
      </c>
      <c r="L54" s="640">
        <f t="shared" si="9"/>
        <v>0.72783445744045072</v>
      </c>
    </row>
    <row r="57" spans="1:12" ht="36">
      <c r="A57" s="624"/>
      <c r="B57" s="624"/>
      <c r="C57" s="624"/>
      <c r="D57" s="624"/>
      <c r="E57" s="624"/>
      <c r="F57" s="624"/>
      <c r="G57" s="1395" t="s">
        <v>365</v>
      </c>
      <c r="H57" s="628" t="s">
        <v>2349</v>
      </c>
      <c r="I57" s="628" t="s">
        <v>2350</v>
      </c>
      <c r="J57" s="627" t="s">
        <v>2325</v>
      </c>
      <c r="K57" s="627" t="s">
        <v>2308</v>
      </c>
      <c r="L57" s="624"/>
    </row>
    <row r="58" spans="1:12">
      <c r="A58" s="624"/>
      <c r="B58" s="624"/>
      <c r="C58" s="624"/>
      <c r="D58" s="624"/>
      <c r="E58" s="624"/>
      <c r="F58" s="624"/>
      <c r="G58" s="1396"/>
      <c r="H58" s="627" t="s">
        <v>2310</v>
      </c>
      <c r="I58" s="627" t="s">
        <v>2351</v>
      </c>
      <c r="J58" s="627" t="s">
        <v>2352</v>
      </c>
      <c r="K58" s="627" t="s">
        <v>2214</v>
      </c>
      <c r="L58" s="624"/>
    </row>
    <row r="59" spans="1:12" ht="27">
      <c r="A59" s="648"/>
      <c r="B59" s="648"/>
      <c r="C59" s="648"/>
      <c r="D59" s="648"/>
      <c r="E59" s="648"/>
      <c r="F59" s="648"/>
      <c r="G59" s="648"/>
      <c r="H59" s="631" t="s">
        <v>526</v>
      </c>
      <c r="I59" s="631" t="s">
        <v>527</v>
      </c>
      <c r="J59" s="631" t="s">
        <v>2312</v>
      </c>
      <c r="K59" s="631" t="s">
        <v>2353</v>
      </c>
      <c r="L59" s="648"/>
    </row>
    <row r="60" spans="1:12">
      <c r="A60" s="1397">
        <v>5</v>
      </c>
      <c r="B60" s="1398" t="s">
        <v>2354</v>
      </c>
      <c r="C60" s="1398" t="s">
        <v>2278</v>
      </c>
      <c r="D60" s="1401" t="s">
        <v>2355</v>
      </c>
      <c r="E60" s="1404" t="s">
        <v>2356</v>
      </c>
      <c r="F60" s="1407">
        <v>4.6459999999999999</v>
      </c>
      <c r="G60" s="632" t="s">
        <v>2315</v>
      </c>
      <c r="H60" s="633">
        <v>657137</v>
      </c>
      <c r="I60" s="633">
        <v>3212659</v>
      </c>
      <c r="J60" s="649">
        <f t="shared" ref="J60:J67" si="10">IFERROR(I60/H60,0)</f>
        <v>4.8888724877765215</v>
      </c>
      <c r="K60" s="635">
        <f t="shared" ref="K60:K67" si="11">IFERROR(J60/$F$60,0)</f>
        <v>1.05227561079994</v>
      </c>
      <c r="L60" s="624"/>
    </row>
    <row r="61" spans="1:12">
      <c r="A61" s="1397"/>
      <c r="B61" s="1399"/>
      <c r="C61" s="1399"/>
      <c r="D61" s="1402"/>
      <c r="E61" s="1405"/>
      <c r="F61" s="1407"/>
      <c r="G61" s="632" t="s">
        <v>2316</v>
      </c>
      <c r="H61" s="633">
        <v>567627</v>
      </c>
      <c r="I61" s="633">
        <v>2872970</v>
      </c>
      <c r="J61" s="649">
        <f t="shared" si="10"/>
        <v>5.061369526114861</v>
      </c>
      <c r="K61" s="635">
        <f t="shared" si="11"/>
        <v>1.0894036862063843</v>
      </c>
      <c r="L61" s="624"/>
    </row>
    <row r="62" spans="1:12">
      <c r="A62" s="1397"/>
      <c r="B62" s="1399"/>
      <c r="C62" s="1399"/>
      <c r="D62" s="1402"/>
      <c r="E62" s="1405"/>
      <c r="F62" s="1407"/>
      <c r="G62" s="632" t="s">
        <v>2317</v>
      </c>
      <c r="H62" s="633">
        <v>638141</v>
      </c>
      <c r="I62" s="633">
        <v>3257271</v>
      </c>
      <c r="J62" s="649">
        <f t="shared" si="10"/>
        <v>5.1043123698367605</v>
      </c>
      <c r="K62" s="635">
        <f t="shared" si="11"/>
        <v>1.0986466573045115</v>
      </c>
      <c r="L62" s="624"/>
    </row>
    <row r="63" spans="1:12">
      <c r="A63" s="1397"/>
      <c r="B63" s="1399"/>
      <c r="C63" s="1399"/>
      <c r="D63" s="1402"/>
      <c r="E63" s="1405"/>
      <c r="F63" s="1407"/>
      <c r="G63" s="632" t="s">
        <v>2318</v>
      </c>
      <c r="H63" s="633">
        <v>592528</v>
      </c>
      <c r="I63" s="633">
        <v>2895364</v>
      </c>
      <c r="J63" s="649">
        <f t="shared" si="10"/>
        <v>4.8864593740717739</v>
      </c>
      <c r="K63" s="635">
        <f t="shared" si="11"/>
        <v>1.0517562148238859</v>
      </c>
      <c r="L63" s="624"/>
    </row>
    <row r="64" spans="1:12">
      <c r="A64" s="1397"/>
      <c r="B64" s="1399"/>
      <c r="C64" s="1399"/>
      <c r="D64" s="1402"/>
      <c r="E64" s="1405"/>
      <c r="F64" s="1407"/>
      <c r="G64" s="632" t="s">
        <v>2319</v>
      </c>
      <c r="H64" s="633">
        <v>674156</v>
      </c>
      <c r="I64" s="633">
        <v>3324751</v>
      </c>
      <c r="J64" s="649">
        <f t="shared" si="10"/>
        <v>4.931723517998801</v>
      </c>
      <c r="K64" s="635">
        <f t="shared" si="11"/>
        <v>1.0614988200600088</v>
      </c>
      <c r="L64" s="624"/>
    </row>
    <row r="65" spans="1:12">
      <c r="A65" s="1397"/>
      <c r="B65" s="1399"/>
      <c r="C65" s="1399"/>
      <c r="D65" s="1402"/>
      <c r="E65" s="1405"/>
      <c r="F65" s="1407"/>
      <c r="G65" s="632" t="s">
        <v>2320</v>
      </c>
      <c r="H65" s="633">
        <v>662611</v>
      </c>
      <c r="I65" s="633">
        <v>3191782</v>
      </c>
      <c r="J65" s="649">
        <f t="shared" si="10"/>
        <v>4.816977080066585</v>
      </c>
      <c r="K65" s="635">
        <f t="shared" si="11"/>
        <v>1.0368009212368887</v>
      </c>
      <c r="L65" s="624"/>
    </row>
    <row r="66" spans="1:12">
      <c r="A66" s="1397"/>
      <c r="B66" s="1400"/>
      <c r="C66" s="1400"/>
      <c r="D66" s="1403"/>
      <c r="E66" s="1406"/>
      <c r="F66" s="1407"/>
      <c r="G66" s="632" t="s">
        <v>2321</v>
      </c>
      <c r="H66" s="633">
        <v>637392</v>
      </c>
      <c r="I66" s="633">
        <v>3044753</v>
      </c>
      <c r="J66" s="649">
        <f t="shared" si="10"/>
        <v>4.776892399026031</v>
      </c>
      <c r="K66" s="635">
        <f t="shared" si="11"/>
        <v>1.0281731379737475</v>
      </c>
      <c r="L66" s="624"/>
    </row>
    <row r="67" spans="1:12">
      <c r="A67" s="624"/>
      <c r="B67" s="624"/>
      <c r="C67" s="624"/>
      <c r="D67" s="624"/>
      <c r="E67" s="624"/>
      <c r="F67" s="624"/>
      <c r="G67" s="637" t="s">
        <v>2322</v>
      </c>
      <c r="H67" s="638">
        <f>SUM(H60:H66)</f>
        <v>4429592</v>
      </c>
      <c r="I67" s="638">
        <f>SUM(I60:I66)</f>
        <v>21799550</v>
      </c>
      <c r="J67" s="650">
        <f t="shared" si="10"/>
        <v>4.9213449003881173</v>
      </c>
      <c r="K67" s="640">
        <f t="shared" si="11"/>
        <v>1.0592649376642527</v>
      </c>
      <c r="L67" s="624"/>
    </row>
    <row r="69" spans="1:12">
      <c r="H69" s="651"/>
      <c r="I69" s="651"/>
      <c r="J69" s="652"/>
    </row>
    <row r="70" spans="1:12">
      <c r="H70" s="651"/>
      <c r="I70" s="651"/>
      <c r="J70" s="652"/>
    </row>
  </sheetData>
  <mergeCells count="36">
    <mergeCell ref="G6:K6"/>
    <mergeCell ref="G8:G9"/>
    <mergeCell ref="A11:A17"/>
    <mergeCell ref="B11:B17"/>
    <mergeCell ref="C11:C17"/>
    <mergeCell ref="D11:D17"/>
    <mergeCell ref="E11:E17"/>
    <mergeCell ref="F11:F17"/>
    <mergeCell ref="G20:G21"/>
    <mergeCell ref="A23:A29"/>
    <mergeCell ref="B23:B29"/>
    <mergeCell ref="C23:C29"/>
    <mergeCell ref="D23:D29"/>
    <mergeCell ref="E23:E29"/>
    <mergeCell ref="F23:F29"/>
    <mergeCell ref="G32:G33"/>
    <mergeCell ref="A35:A41"/>
    <mergeCell ref="B35:B41"/>
    <mergeCell ref="C35:C41"/>
    <mergeCell ref="D35:D41"/>
    <mergeCell ref="E35:E41"/>
    <mergeCell ref="F35:F41"/>
    <mergeCell ref="G44:G45"/>
    <mergeCell ref="A47:A53"/>
    <mergeCell ref="B47:B53"/>
    <mergeCell ref="C47:C53"/>
    <mergeCell ref="D47:D53"/>
    <mergeCell ref="E47:E53"/>
    <mergeCell ref="F47:F53"/>
    <mergeCell ref="G57:G58"/>
    <mergeCell ref="A60:A66"/>
    <mergeCell ref="B60:B66"/>
    <mergeCell ref="C60:C66"/>
    <mergeCell ref="D60:D66"/>
    <mergeCell ref="E60:E66"/>
    <mergeCell ref="F60:F66"/>
  </mergeCells>
  <printOptions horizontalCentered="1"/>
  <pageMargins left="0.5" right="0.5" top="0.61111111111111116" bottom="0.61111111111111116" header="0.3" footer="0.3"/>
  <pageSetup paperSize="0" scale="0" fitToHeight="0" orientation="portrait" horizontalDpi="0" verticalDpi="0" copies="0"/>
  <headerFooter>
    <oddHeader>&amp;Z&amp;R</oddHeader>
    <oddFooter>&amp;CShougang Hierro Perú S.A.A. — Beneficio ZA — Cálculo — Página &amp;P de &amp;F</oddFooter>
  </headerFooter>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C1B62-689F-4D50-A580-376E76D5CD96}">
  <sheetPr codeName="Hoja51">
    <tabColor rgb="FF2F75B5"/>
    <pageSetUpPr fitToPage="1"/>
  </sheetPr>
  <dimension ref="B1:BM46"/>
  <sheetViews>
    <sheetView zoomScale="55" zoomScaleNormal="55" workbookViewId="0">
      <pane xSplit="3" ySplit="14" topLeftCell="D15" activePane="bottomRight" state="frozen"/>
      <selection pane="topRight" activeCell="D1" sqref="D1"/>
      <selection pane="bottomLeft" activeCell="A15" sqref="A15"/>
      <selection pane="bottomRight" activeCell="AZ15" sqref="AZ15"/>
    </sheetView>
  </sheetViews>
  <sheetFormatPr baseColWidth="10" defaultColWidth="9.140625" defaultRowHeight="22.5"/>
  <cols>
    <col min="1" max="1" width="0.85546875" style="653" customWidth="1"/>
    <col min="2" max="2" width="35.5703125" style="657" customWidth="1"/>
    <col min="3" max="3" width="93.85546875" style="656" customWidth="1"/>
    <col min="4" max="4" width="16.5703125" style="658" customWidth="1"/>
    <col min="5" max="5" width="18" style="658" customWidth="1"/>
    <col min="6" max="6" width="19" style="659" customWidth="1"/>
    <col min="7" max="8" width="20.85546875" style="653" customWidth="1"/>
    <col min="9" max="9" width="14.5703125" style="653" customWidth="1"/>
    <col min="10" max="11" width="20.85546875" style="653" customWidth="1"/>
    <col min="12" max="12" width="13.140625" style="653" customWidth="1"/>
    <col min="13" max="14" width="20.85546875" style="653" customWidth="1"/>
    <col min="15" max="15" width="13.140625" style="653" customWidth="1"/>
    <col min="16" max="16" width="15.140625" style="653" customWidth="1"/>
    <col min="17" max="17" width="18" style="653" bestFit="1" customWidth="1"/>
    <col min="18" max="18" width="15.140625" style="653" customWidth="1"/>
    <col min="19" max="19" width="15.42578125" style="653" customWidth="1"/>
    <col min="20" max="20" width="18" style="653" bestFit="1" customWidth="1"/>
    <col min="21" max="21" width="15.42578125" style="653" customWidth="1"/>
    <col min="22" max="22" width="19.140625" style="653" customWidth="1"/>
    <col min="23" max="23" width="16.5703125" style="653" customWidth="1"/>
    <col min="24" max="24" width="14.85546875" style="653" customWidth="1"/>
    <col min="25" max="25" width="18.85546875" style="653" bestFit="1" customWidth="1"/>
    <col min="26" max="26" width="18" style="653" bestFit="1" customWidth="1"/>
    <col min="27" max="27" width="13.140625" style="653" customWidth="1"/>
    <col min="28" max="28" width="15.140625" style="653" customWidth="1"/>
    <col min="29" max="29" width="16.5703125" style="653" customWidth="1"/>
    <col min="30" max="30" width="16.85546875" style="653" customWidth="1"/>
    <col min="31" max="42" width="9.140625" style="653" hidden="1" customWidth="1"/>
    <col min="43" max="44" width="20.85546875" style="653" customWidth="1"/>
    <col min="45" max="45" width="18" style="653" customWidth="1"/>
    <col min="46" max="47" width="27.42578125" style="660" customWidth="1"/>
    <col min="48" max="48" width="27.42578125" style="661" customWidth="1"/>
    <col min="49" max="49" width="16.42578125" style="661" customWidth="1"/>
    <col min="50" max="50" width="21.42578125" style="661" customWidth="1"/>
    <col min="51" max="51" width="26" style="653" customWidth="1"/>
    <col min="52" max="52" width="125.5703125" style="653" customWidth="1"/>
    <col min="53" max="53" width="13.28515625" style="653" customWidth="1"/>
    <col min="54" max="54" width="15.42578125" style="653" bestFit="1" customWidth="1"/>
    <col min="55" max="55" width="24.42578125" style="653" bestFit="1" customWidth="1"/>
    <col min="56" max="56" width="9.140625" style="653" bestFit="1" customWidth="1"/>
    <col min="57" max="57" width="14.85546875" style="653" bestFit="1" customWidth="1"/>
    <col min="58" max="58" width="13" style="653" bestFit="1" customWidth="1"/>
    <col min="59" max="60" width="6.5703125" style="653" bestFit="1" customWidth="1"/>
    <col min="61" max="61" width="9.140625" style="653" bestFit="1" customWidth="1"/>
    <col min="62" max="63" width="15.5703125" style="653" bestFit="1" customWidth="1"/>
    <col min="64" max="65" width="14.85546875" style="653" bestFit="1" customWidth="1"/>
    <col min="66" max="16384" width="9.140625" style="653"/>
  </cols>
  <sheetData>
    <row r="1" spans="2:65" s="1160" customFormat="1" ht="17.100000000000001" customHeight="1">
      <c r="B1" s="1161"/>
      <c r="C1" s="1162"/>
      <c r="D1" s="1163"/>
      <c r="E1" s="1163"/>
      <c r="F1" s="1164"/>
      <c r="AT1" s="1165"/>
      <c r="AU1" s="1165"/>
      <c r="AV1" s="1166"/>
      <c r="AW1" s="1166"/>
      <c r="AX1" s="1166"/>
    </row>
    <row r="2" spans="2:65" s="1160" customFormat="1" ht="17.100000000000001" customHeight="1">
      <c r="B2" s="1161"/>
      <c r="C2" s="1162"/>
      <c r="D2" s="1163"/>
      <c r="E2" s="1163"/>
      <c r="F2" s="1164"/>
      <c r="AT2" s="1165"/>
      <c r="AU2" s="1165"/>
      <c r="AV2" s="1166"/>
      <c r="AW2" s="1166"/>
      <c r="AX2" s="1166"/>
    </row>
    <row r="3" spans="2:65" s="1160" customFormat="1" ht="17.100000000000001" customHeight="1">
      <c r="B3" s="1161"/>
      <c r="C3" s="1162"/>
      <c r="D3" s="1163"/>
      <c r="E3" s="1163"/>
      <c r="F3" s="1164"/>
      <c r="AT3" s="1165"/>
      <c r="AU3" s="1165"/>
      <c r="AV3" s="1166"/>
      <c r="AW3" s="1166"/>
      <c r="AX3" s="1166"/>
    </row>
    <row r="4" spans="2:65">
      <c r="AS4" s="662"/>
      <c r="AT4" s="663"/>
      <c r="AU4" s="663"/>
      <c r="AY4" s="662"/>
      <c r="AZ4" s="662"/>
    </row>
    <row r="5" spans="2:65">
      <c r="B5" s="1434" t="s">
        <v>2357</v>
      </c>
      <c r="C5" s="1434"/>
      <c r="D5" s="1434"/>
      <c r="E5" s="1434"/>
      <c r="F5" s="664"/>
      <c r="G5" s="665"/>
      <c r="AS5" s="666"/>
      <c r="AT5" s="667"/>
      <c r="AU5" s="667"/>
      <c r="AY5" s="668"/>
      <c r="AZ5" s="662"/>
    </row>
    <row r="6" spans="2:65">
      <c r="B6" s="669" t="s">
        <v>2358</v>
      </c>
      <c r="C6" s="669"/>
      <c r="D6" s="664"/>
      <c r="E6" s="664"/>
      <c r="F6" s="669"/>
      <c r="G6" s="670"/>
      <c r="AS6" s="666"/>
      <c r="AT6" s="667"/>
      <c r="AU6" s="667"/>
      <c r="AY6" s="668"/>
      <c r="AZ6" s="662"/>
    </row>
    <row r="7" spans="2:65">
      <c r="B7" s="671" t="s">
        <v>2359</v>
      </c>
      <c r="C7" s="672"/>
      <c r="D7" s="672"/>
      <c r="E7" s="672"/>
      <c r="F7" s="671"/>
      <c r="AS7" s="666"/>
      <c r="AT7" s="673"/>
      <c r="AU7" s="673"/>
      <c r="AX7" s="666" t="s">
        <v>2360</v>
      </c>
      <c r="AY7" s="668" t="str">
        <f>RPT_MES_NOMBRE</f>
        <v>Setiembre</v>
      </c>
      <c r="AZ7" s="674"/>
    </row>
    <row r="8" spans="2:65">
      <c r="B8" s="675" t="s">
        <v>2361</v>
      </c>
      <c r="C8" s="676"/>
      <c r="D8" s="676"/>
      <c r="E8" s="676"/>
      <c r="F8" s="675"/>
      <c r="AS8" s="666"/>
      <c r="AT8" s="673"/>
      <c r="AU8" s="673"/>
      <c r="AX8" s="666"/>
      <c r="AY8" s="668"/>
      <c r="AZ8" s="662"/>
    </row>
    <row r="9" spans="2:65">
      <c r="B9" s="677"/>
      <c r="C9" s="672"/>
      <c r="D9" s="1435"/>
      <c r="E9" s="1435"/>
      <c r="F9" s="677"/>
      <c r="AQ9"/>
      <c r="AR9"/>
      <c r="AS9" s="666"/>
      <c r="AT9" s="678"/>
      <c r="AU9" s="678"/>
      <c r="AV9" s="679"/>
      <c r="AW9" s="679"/>
      <c r="AX9" s="666" t="s">
        <v>2362</v>
      </c>
      <c r="AY9" s="668">
        <f>+COUNTIF(AY15:AY501,"Cumple")</f>
        <v>9</v>
      </c>
      <c r="AZ9" s="662"/>
    </row>
    <row r="10" spans="2:65">
      <c r="B10" s="680" t="s">
        <v>2363</v>
      </c>
      <c r="C10" s="680"/>
      <c r="D10" s="1435"/>
      <c r="E10" s="1435"/>
      <c r="F10" s="680"/>
      <c r="G10" s="681">
        <v>27956.5</v>
      </c>
      <c r="H10" s="682">
        <f>G20-G10</f>
        <v>11842.570000000043</v>
      </c>
      <c r="J10" s="653">
        <v>20382.93</v>
      </c>
      <c r="K10" s="682">
        <f>J20-J10</f>
        <v>14295</v>
      </c>
      <c r="AQ10"/>
      <c r="AR10"/>
      <c r="AS10" s="666"/>
      <c r="AT10" s="678"/>
      <c r="AU10" s="678"/>
      <c r="AV10" s="679"/>
      <c r="AW10" s="679"/>
      <c r="AX10" s="666" t="s">
        <v>2364</v>
      </c>
      <c r="AY10" s="668">
        <f>+COUNTA(AY15:AY501)-AY9</f>
        <v>3</v>
      </c>
      <c r="AZ10" s="662"/>
    </row>
    <row r="11" spans="2:65" ht="29.25">
      <c r="B11" s="683"/>
      <c r="C11" s="683"/>
      <c r="D11" s="684"/>
      <c r="E11" s="683"/>
      <c r="F11" s="683"/>
      <c r="H11" s="685"/>
      <c r="AQ11"/>
      <c r="AR11"/>
      <c r="AS11" s="666"/>
      <c r="AT11" s="678"/>
      <c r="AU11" s="678"/>
      <c r="AV11" s="679"/>
      <c r="AW11" s="686"/>
      <c r="AX11" s="687" t="s">
        <v>383</v>
      </c>
      <c r="AY11" s="688">
        <f>+AX27/100</f>
        <v>0.7700428441203282</v>
      </c>
      <c r="AZ11" s="662"/>
    </row>
    <row r="12" spans="2:65">
      <c r="B12" s="689"/>
      <c r="C12" s="689"/>
      <c r="D12" s="690"/>
      <c r="E12" s="689"/>
      <c r="F12" s="689"/>
      <c r="AS12" s="691"/>
      <c r="AT12" s="678"/>
      <c r="AU12" s="678"/>
      <c r="AV12" s="679"/>
      <c r="AW12" s="679"/>
      <c r="AX12" s="679"/>
      <c r="AY12" s="691"/>
      <c r="AZ12" s="691"/>
    </row>
    <row r="13" spans="2:65" s="654" customFormat="1">
      <c r="B13" s="1436" t="s">
        <v>2301</v>
      </c>
      <c r="C13" s="1438" t="s">
        <v>2302</v>
      </c>
      <c r="D13" s="1440" t="s">
        <v>2365</v>
      </c>
      <c r="E13" s="1423" t="s">
        <v>2304</v>
      </c>
      <c r="F13" s="1423" t="s">
        <v>2194</v>
      </c>
      <c r="G13" s="1422" t="s">
        <v>2195</v>
      </c>
      <c r="H13" s="1422"/>
      <c r="I13" s="1422"/>
      <c r="J13" s="1422" t="s">
        <v>2196</v>
      </c>
      <c r="K13" s="1422"/>
      <c r="L13" s="1422"/>
      <c r="M13" s="1422" t="s">
        <v>2197</v>
      </c>
      <c r="N13" s="1422"/>
      <c r="O13" s="1422"/>
      <c r="P13" s="1422" t="s">
        <v>2198</v>
      </c>
      <c r="Q13" s="1422"/>
      <c r="R13" s="1422"/>
      <c r="S13" s="1422" t="s">
        <v>2199</v>
      </c>
      <c r="T13" s="1422"/>
      <c r="U13" s="1422"/>
      <c r="V13" s="1422" t="s">
        <v>2200</v>
      </c>
      <c r="W13" s="1422"/>
      <c r="X13" s="1422"/>
      <c r="Y13" s="1422" t="s">
        <v>2201</v>
      </c>
      <c r="Z13" s="1422"/>
      <c r="AA13" s="1422"/>
      <c r="AB13" s="1422" t="s">
        <v>324</v>
      </c>
      <c r="AC13" s="1422"/>
      <c r="AD13" s="1422"/>
      <c r="AE13" s="1422" t="s">
        <v>56</v>
      </c>
      <c r="AF13" s="1422"/>
      <c r="AG13" s="1422"/>
      <c r="AH13" s="1422" t="s">
        <v>2366</v>
      </c>
      <c r="AI13" s="1422"/>
      <c r="AJ13" s="1422"/>
      <c r="AK13" s="1422" t="s">
        <v>2367</v>
      </c>
      <c r="AL13" s="1422"/>
      <c r="AM13" s="1422"/>
      <c r="AN13" s="1422" t="s">
        <v>2368</v>
      </c>
      <c r="AO13" s="1422"/>
      <c r="AP13" s="1422"/>
      <c r="AQ13" s="1431" t="s">
        <v>2369</v>
      </c>
      <c r="AR13" s="1432"/>
      <c r="AS13" s="1433"/>
      <c r="AT13" s="1420" t="s">
        <v>2370</v>
      </c>
      <c r="AU13" s="1420" t="s">
        <v>2371</v>
      </c>
      <c r="AV13" s="1420" t="s">
        <v>2372</v>
      </c>
      <c r="AW13" s="1420" t="s">
        <v>2373</v>
      </c>
      <c r="AX13" s="1420" t="s">
        <v>2374</v>
      </c>
      <c r="AY13" s="1425" t="s">
        <v>2375</v>
      </c>
      <c r="AZ13" s="1427" t="s">
        <v>2203</v>
      </c>
      <c r="BA13" s="413" t="s">
        <v>10002</v>
      </c>
    </row>
    <row r="14" spans="2:65" s="655" customFormat="1" ht="67.5">
      <c r="B14" s="1437"/>
      <c r="C14" s="1439"/>
      <c r="D14" s="1441"/>
      <c r="E14" s="1439"/>
      <c r="F14" s="1424"/>
      <c r="G14" s="692" t="s">
        <v>2376</v>
      </c>
      <c r="H14" s="693" t="s">
        <v>2377</v>
      </c>
      <c r="I14" s="694" t="s">
        <v>2378</v>
      </c>
      <c r="J14" s="693" t="s">
        <v>2376</v>
      </c>
      <c r="K14" s="693" t="s">
        <v>2377</v>
      </c>
      <c r="L14" s="694" t="s">
        <v>2378</v>
      </c>
      <c r="M14" s="693" t="s">
        <v>2376</v>
      </c>
      <c r="N14" s="693" t="s">
        <v>2377</v>
      </c>
      <c r="O14" s="694" t="s">
        <v>2378</v>
      </c>
      <c r="P14" s="693" t="s">
        <v>2376</v>
      </c>
      <c r="Q14" s="693" t="s">
        <v>2377</v>
      </c>
      <c r="R14" s="693" t="s">
        <v>2378</v>
      </c>
      <c r="S14" s="693" t="s">
        <v>2376</v>
      </c>
      <c r="T14" s="693" t="s">
        <v>2377</v>
      </c>
      <c r="U14" s="693" t="s">
        <v>2378</v>
      </c>
      <c r="V14" s="693" t="s">
        <v>2376</v>
      </c>
      <c r="W14" s="693" t="s">
        <v>2377</v>
      </c>
      <c r="X14" s="693" t="s">
        <v>2378</v>
      </c>
      <c r="Y14" s="693" t="s">
        <v>2376</v>
      </c>
      <c r="Z14" s="693" t="s">
        <v>2377</v>
      </c>
      <c r="AA14" s="693" t="s">
        <v>2378</v>
      </c>
      <c r="AB14" s="693" t="s">
        <v>2376</v>
      </c>
      <c r="AC14" s="693" t="s">
        <v>2377</v>
      </c>
      <c r="AD14" s="693" t="s">
        <v>2378</v>
      </c>
      <c r="AE14" s="693" t="s">
        <v>2376</v>
      </c>
      <c r="AF14" s="693" t="s">
        <v>2377</v>
      </c>
      <c r="AG14" s="693" t="s">
        <v>2378</v>
      </c>
      <c r="AH14" s="693" t="s">
        <v>2376</v>
      </c>
      <c r="AI14" s="693" t="s">
        <v>2377</v>
      </c>
      <c r="AJ14" s="693" t="s">
        <v>2378</v>
      </c>
      <c r="AK14" s="693" t="s">
        <v>2376</v>
      </c>
      <c r="AL14" s="693" t="s">
        <v>2377</v>
      </c>
      <c r="AM14" s="693" t="s">
        <v>2378</v>
      </c>
      <c r="AN14" s="693" t="s">
        <v>2376</v>
      </c>
      <c r="AO14" s="693" t="s">
        <v>2377</v>
      </c>
      <c r="AP14" s="693" t="s">
        <v>2378</v>
      </c>
      <c r="AQ14" s="692" t="s">
        <v>2379</v>
      </c>
      <c r="AR14" s="693" t="s">
        <v>2380</v>
      </c>
      <c r="AS14" s="694" t="s">
        <v>2381</v>
      </c>
      <c r="AT14" s="1421"/>
      <c r="AU14" s="1421"/>
      <c r="AV14" s="1421"/>
      <c r="AW14" s="1421"/>
      <c r="AX14" s="1421"/>
      <c r="AY14" s="1426"/>
      <c r="AZ14" s="1428"/>
      <c r="BA14" s="413"/>
    </row>
    <row r="15" spans="2:65" s="654" customFormat="1" ht="67.5">
      <c r="B15" s="695" t="s">
        <v>2382</v>
      </c>
      <c r="C15" s="696" t="s">
        <v>2383</v>
      </c>
      <c r="D15" s="697" t="s">
        <v>2331</v>
      </c>
      <c r="E15" s="698" t="s">
        <v>2246</v>
      </c>
      <c r="F15" s="699">
        <v>4388.0799374999997</v>
      </c>
      <c r="G15" s="700">
        <v>3672.03</v>
      </c>
      <c r="H15" s="700">
        <v>4388.0799374999997</v>
      </c>
      <c r="I15" s="701">
        <f t="shared" ref="I15:I23" si="0">G15/H15</f>
        <v>0.83681930418342576</v>
      </c>
      <c r="J15" s="702">
        <v>4019</v>
      </c>
      <c r="K15" s="702">
        <v>4388</v>
      </c>
      <c r="L15" s="701">
        <f t="shared" ref="L15:L23" si="1">J15/K15</f>
        <v>0.91590701914311756</v>
      </c>
      <c r="M15" s="703">
        <v>3827</v>
      </c>
      <c r="N15" s="702">
        <v>4388</v>
      </c>
      <c r="O15" s="701">
        <f t="shared" ref="O15:O23" si="2">M15/N15</f>
        <v>0.87215132178669097</v>
      </c>
      <c r="P15" s="703">
        <v>4453.6099999999997</v>
      </c>
      <c r="Q15" s="702">
        <v>4388</v>
      </c>
      <c r="R15" s="701">
        <f t="shared" ref="R15:R23" si="3">P15/Q15</f>
        <v>1.0149521422060164</v>
      </c>
      <c r="S15" s="703">
        <v>4660.8</v>
      </c>
      <c r="T15" s="702">
        <v>4388</v>
      </c>
      <c r="U15" s="701">
        <f t="shared" ref="U15:U23" si="4">S15/T15</f>
        <v>1.0621695533272562</v>
      </c>
      <c r="V15" s="703">
        <v>4017</v>
      </c>
      <c r="W15" s="702">
        <v>4388</v>
      </c>
      <c r="X15" s="701">
        <f t="shared" ref="X15:X23" si="5">V15/W15</f>
        <v>0.91545123062898814</v>
      </c>
      <c r="Y15" s="704">
        <v>4426.2</v>
      </c>
      <c r="Z15" s="702">
        <v>4388</v>
      </c>
      <c r="AA15" s="705">
        <f t="shared" ref="AA15:AA26" si="6">Y15/Z15</f>
        <v>1.0087055606198723</v>
      </c>
      <c r="AB15" s="793">
        <v>3412</v>
      </c>
      <c r="AC15" s="794">
        <v>4388</v>
      </c>
      <c r="AD15" s="795">
        <v>0.78</v>
      </c>
      <c r="AE15" s="700"/>
      <c r="AF15" s="700"/>
      <c r="AG15" s="700"/>
      <c r="AH15" s="700"/>
      <c r="AI15" s="700"/>
      <c r="AJ15" s="700"/>
      <c r="AK15" s="700"/>
      <c r="AL15" s="700"/>
      <c r="AM15" s="700"/>
      <c r="AN15" s="700"/>
      <c r="AO15" s="700"/>
      <c r="AP15" s="700"/>
      <c r="AQ15" s="796">
        <v>4037.9</v>
      </c>
      <c r="AR15" s="794">
        <v>4388</v>
      </c>
      <c r="AS15" s="795">
        <v>0.92</v>
      </c>
      <c r="AT15" s="706">
        <v>20</v>
      </c>
      <c r="AU15" s="707">
        <f t="shared" ref="AU15:AU20" si="7">COUNTA(F15)</f>
        <v>1</v>
      </c>
      <c r="AV15" s="708">
        <f>$AT$15/$AU$15</f>
        <v>20</v>
      </c>
      <c r="AW15" s="708">
        <f>IF(AR15=0,0,AQ15/AR15)</f>
        <v>0.92021422060164082</v>
      </c>
      <c r="AX15" s="708">
        <f>IF(AW15&lt;1,AV15*AW15,AV15)</f>
        <v>18.404284412032816</v>
      </c>
      <c r="AY15" s="709" t="str">
        <f>+IF(AQ15="","NO REPORTADO",IF(AS15&gt;=1,"CUMPLE","NO CUMPLE"))</f>
        <v>NO CUMPLE</v>
      </c>
      <c r="AZ15" s="804" t="s">
        <v>2384</v>
      </c>
      <c r="BA15" s="1213" t="s">
        <v>9287</v>
      </c>
      <c r="BE15" s="711"/>
      <c r="BF15" s="711"/>
      <c r="BG15" s="712"/>
      <c r="BH15" s="712"/>
      <c r="BJ15" s="711"/>
      <c r="BK15" s="711"/>
      <c r="BL15" s="711"/>
      <c r="BM15" s="711"/>
    </row>
    <row r="16" spans="2:65" s="654" customFormat="1" ht="67.5">
      <c r="B16" s="695" t="s">
        <v>2341</v>
      </c>
      <c r="C16" s="713" t="s">
        <v>2341</v>
      </c>
      <c r="D16" s="714" t="s">
        <v>2355</v>
      </c>
      <c r="E16" s="698" t="s">
        <v>2214</v>
      </c>
      <c r="F16" s="715">
        <v>0.95</v>
      </c>
      <c r="G16" s="702">
        <v>96.4</v>
      </c>
      <c r="H16" s="702">
        <v>95</v>
      </c>
      <c r="I16" s="701">
        <f t="shared" si="0"/>
        <v>1.0147368421052632</v>
      </c>
      <c r="J16" s="702">
        <v>97.5</v>
      </c>
      <c r="K16" s="702">
        <v>95</v>
      </c>
      <c r="L16" s="701">
        <f t="shared" si="1"/>
        <v>1.0263157894736843</v>
      </c>
      <c r="M16" s="702">
        <v>96.4</v>
      </c>
      <c r="N16" s="702">
        <v>95</v>
      </c>
      <c r="O16" s="701">
        <f t="shared" si="2"/>
        <v>1.0147368421052632</v>
      </c>
      <c r="P16" s="702">
        <v>97.8</v>
      </c>
      <c r="Q16" s="702">
        <v>95</v>
      </c>
      <c r="R16" s="701">
        <f t="shared" si="3"/>
        <v>1.0294736842105263</v>
      </c>
      <c r="S16" s="702">
        <v>98.3</v>
      </c>
      <c r="T16" s="702">
        <v>95</v>
      </c>
      <c r="U16" s="701">
        <f t="shared" si="4"/>
        <v>1.0347368421052632</v>
      </c>
      <c r="V16" s="702">
        <v>99.4</v>
      </c>
      <c r="W16" s="702">
        <v>95</v>
      </c>
      <c r="X16" s="701">
        <f t="shared" si="5"/>
        <v>1.0463157894736843</v>
      </c>
      <c r="Y16" s="702">
        <v>99.4</v>
      </c>
      <c r="Z16" s="700">
        <v>95</v>
      </c>
      <c r="AA16" s="705">
        <f t="shared" si="6"/>
        <v>1.0463157894736843</v>
      </c>
      <c r="AB16" s="797">
        <v>95</v>
      </c>
      <c r="AC16" s="798">
        <v>95</v>
      </c>
      <c r="AD16" s="799">
        <v>1</v>
      </c>
      <c r="AE16" s="700"/>
      <c r="AF16" s="700"/>
      <c r="AG16" s="700"/>
      <c r="AH16" s="700"/>
      <c r="AI16" s="700"/>
      <c r="AJ16" s="700"/>
      <c r="AK16" s="700"/>
      <c r="AL16" s="700"/>
      <c r="AM16" s="700"/>
      <c r="AN16" s="700"/>
      <c r="AO16" s="700"/>
      <c r="AP16" s="700"/>
      <c r="AQ16" s="797">
        <v>97.4</v>
      </c>
      <c r="AR16" s="798">
        <v>97</v>
      </c>
      <c r="AS16" s="799">
        <v>1</v>
      </c>
      <c r="AT16" s="716">
        <v>15</v>
      </c>
      <c r="AU16" s="716">
        <f t="shared" si="7"/>
        <v>1</v>
      </c>
      <c r="AV16" s="708">
        <f>$AT$16/$AU$16</f>
        <v>15</v>
      </c>
      <c r="AW16" s="708">
        <f t="shared" ref="AW16:AW26" si="8">IF(AR16=0,0,AQ16/AR16)</f>
        <v>1.0041237113402062</v>
      </c>
      <c r="AX16" s="708">
        <f>IF(AW16&lt;1,AV16*AW16,AV16)</f>
        <v>15</v>
      </c>
      <c r="AY16" s="709" t="str">
        <f>+IF(AQ16="","NO REPORTADO",IF(AS16&gt;=1,"CUMPLE","NO CUMPLE"))</f>
        <v>CUMPLE</v>
      </c>
      <c r="AZ16" s="717"/>
      <c r="BA16" s="1213" t="s">
        <v>9287</v>
      </c>
      <c r="BE16" s="711"/>
      <c r="BF16" s="711"/>
      <c r="BG16" s="712"/>
      <c r="BH16" s="712"/>
      <c r="BJ16" s="711"/>
      <c r="BK16" s="711"/>
      <c r="BL16" s="711"/>
      <c r="BM16" s="711"/>
    </row>
    <row r="17" spans="2:65" s="654" customFormat="1" ht="45">
      <c r="B17" s="695" t="s">
        <v>2268</v>
      </c>
      <c r="C17" s="696" t="s">
        <v>2268</v>
      </c>
      <c r="D17" s="714" t="s">
        <v>2355</v>
      </c>
      <c r="E17" s="698" t="s">
        <v>2214</v>
      </c>
      <c r="F17" s="715">
        <v>0.55000000000000004</v>
      </c>
      <c r="G17" s="702">
        <v>73</v>
      </c>
      <c r="H17" s="702">
        <v>55</v>
      </c>
      <c r="I17" s="701">
        <f t="shared" si="0"/>
        <v>1.3272727272727274</v>
      </c>
      <c r="J17" s="702">
        <v>75.2</v>
      </c>
      <c r="K17" s="702">
        <v>55</v>
      </c>
      <c r="L17" s="701">
        <f t="shared" si="1"/>
        <v>1.3672727272727274</v>
      </c>
      <c r="M17" s="702">
        <v>49.4</v>
      </c>
      <c r="N17" s="702">
        <v>55</v>
      </c>
      <c r="O17" s="701">
        <f t="shared" si="2"/>
        <v>0.89818181818181819</v>
      </c>
      <c r="P17" s="702">
        <v>42.9</v>
      </c>
      <c r="Q17" s="702">
        <v>55</v>
      </c>
      <c r="R17" s="701">
        <f t="shared" si="3"/>
        <v>0.78</v>
      </c>
      <c r="S17" s="702">
        <v>52.8</v>
      </c>
      <c r="T17" s="702">
        <v>55</v>
      </c>
      <c r="U17" s="701">
        <f t="shared" si="4"/>
        <v>0.96</v>
      </c>
      <c r="V17" s="702">
        <v>38.1</v>
      </c>
      <c r="W17" s="702">
        <v>55</v>
      </c>
      <c r="X17" s="701">
        <f t="shared" si="5"/>
        <v>0.69272727272727275</v>
      </c>
      <c r="Y17" s="700">
        <v>61</v>
      </c>
      <c r="Z17" s="702">
        <v>55</v>
      </c>
      <c r="AA17" s="705">
        <f t="shared" si="6"/>
        <v>1.1090909090909091</v>
      </c>
      <c r="AB17" s="797">
        <v>55.5</v>
      </c>
      <c r="AC17" s="798">
        <v>55</v>
      </c>
      <c r="AD17" s="799">
        <v>1.01</v>
      </c>
      <c r="AE17" s="700"/>
      <c r="AF17" s="700"/>
      <c r="AG17" s="700"/>
      <c r="AH17" s="700"/>
      <c r="AI17" s="700"/>
      <c r="AJ17" s="700"/>
      <c r="AK17" s="700"/>
      <c r="AL17" s="700"/>
      <c r="AM17" s="700"/>
      <c r="AN17" s="700"/>
      <c r="AO17" s="700"/>
      <c r="AP17" s="700"/>
      <c r="AQ17" s="797">
        <v>55.9</v>
      </c>
      <c r="AR17" s="798">
        <v>55</v>
      </c>
      <c r="AS17" s="799">
        <v>1.02</v>
      </c>
      <c r="AT17" s="716">
        <v>15</v>
      </c>
      <c r="AU17" s="716">
        <f t="shared" si="7"/>
        <v>1</v>
      </c>
      <c r="AV17" s="708">
        <f>$AT$17/$AU$17</f>
        <v>15</v>
      </c>
      <c r="AW17" s="708">
        <f t="shared" si="8"/>
        <v>1.0163636363636364</v>
      </c>
      <c r="AX17" s="708">
        <f>IF(AW17&lt;1,AV17*AW17,AV17)</f>
        <v>15</v>
      </c>
      <c r="AY17" s="709" t="str">
        <f>+IF(AQ17="","NO REPORTADO",IF(AS17&gt;=1,"CUMPLE","NO CUMPLE"))</f>
        <v>CUMPLE</v>
      </c>
      <c r="AZ17" s="710"/>
      <c r="BA17" s="1213" t="s">
        <v>9287</v>
      </c>
      <c r="BE17" s="711"/>
      <c r="BF17" s="711"/>
      <c r="BG17" s="712"/>
      <c r="BH17" s="712"/>
      <c r="BJ17" s="711"/>
      <c r="BK17" s="711"/>
      <c r="BL17" s="711"/>
      <c r="BM17" s="711"/>
    </row>
    <row r="18" spans="2:65" s="654" customFormat="1" ht="67.5">
      <c r="B18" s="695" t="s">
        <v>2385</v>
      </c>
      <c r="C18" s="713" t="s">
        <v>2281</v>
      </c>
      <c r="D18" s="714" t="s">
        <v>50</v>
      </c>
      <c r="E18" s="698" t="s">
        <v>2214</v>
      </c>
      <c r="F18" s="715" t="s">
        <v>2282</v>
      </c>
      <c r="G18" s="718">
        <v>217210.70999999996</v>
      </c>
      <c r="H18" s="718">
        <v>375495.58299999998</v>
      </c>
      <c r="I18" s="701">
        <f t="shared" si="0"/>
        <v>0.57846408808489225</v>
      </c>
      <c r="J18" s="718">
        <v>152814.04999999993</v>
      </c>
      <c r="K18" s="718">
        <v>407065.58333300002</v>
      </c>
      <c r="L18" s="701">
        <f t="shared" si="1"/>
        <v>0.37540400431001408</v>
      </c>
      <c r="M18" s="703">
        <v>25999.660000000047</v>
      </c>
      <c r="N18" s="703">
        <v>25732.641169000002</v>
      </c>
      <c r="O18" s="701">
        <f t="shared" si="2"/>
        <v>1.0103766585499867</v>
      </c>
      <c r="P18" s="703">
        <v>185059.19</v>
      </c>
      <c r="Q18" s="703">
        <v>374913</v>
      </c>
      <c r="R18" s="701">
        <f t="shared" si="3"/>
        <v>0.49360568985337933</v>
      </c>
      <c r="S18" s="703">
        <v>34966.94</v>
      </c>
      <c r="T18" s="703">
        <v>50737</v>
      </c>
      <c r="U18" s="701">
        <f t="shared" si="4"/>
        <v>0.68918028263397524</v>
      </c>
      <c r="V18" s="703">
        <v>34966.94</v>
      </c>
      <c r="W18" s="703">
        <v>50737</v>
      </c>
      <c r="X18" s="701">
        <f t="shared" si="5"/>
        <v>0.68918028263397524</v>
      </c>
      <c r="Y18" s="703">
        <v>12650</v>
      </c>
      <c r="Z18" s="703">
        <v>50737</v>
      </c>
      <c r="AA18" s="705">
        <f t="shared" si="6"/>
        <v>0.24932495023355736</v>
      </c>
      <c r="AB18" s="800">
        <v>18757</v>
      </c>
      <c r="AC18" s="798">
        <v>50737</v>
      </c>
      <c r="AD18" s="799">
        <v>0.37</v>
      </c>
      <c r="AE18" s="700"/>
      <c r="AF18" s="700"/>
      <c r="AG18" s="700"/>
      <c r="AH18" s="700"/>
      <c r="AI18" s="700"/>
      <c r="AJ18" s="700"/>
      <c r="AK18" s="700"/>
      <c r="AL18" s="700"/>
      <c r="AM18" s="700"/>
      <c r="AN18" s="700"/>
      <c r="AO18" s="700"/>
      <c r="AP18" s="700"/>
      <c r="AQ18" s="800">
        <v>52574</v>
      </c>
      <c r="AR18" s="801">
        <v>152210</v>
      </c>
      <c r="AS18" s="799">
        <v>0.35</v>
      </c>
      <c r="AT18" s="719">
        <v>10</v>
      </c>
      <c r="AU18" s="719">
        <f t="shared" si="7"/>
        <v>1</v>
      </c>
      <c r="AV18" s="708">
        <f>$AT$18/$AU$18</f>
        <v>10</v>
      </c>
      <c r="AW18" s="708">
        <f t="shared" si="8"/>
        <v>0.34540437553380199</v>
      </c>
      <c r="AX18" s="708">
        <f>IF(AW18&gt;1,AQ18/AR18-1,AV18)</f>
        <v>10</v>
      </c>
      <c r="AY18" s="709" t="str">
        <f t="shared" ref="AY18:AY23" si="9">+IF(AQ18="","NO REPORTADO",IF(AS18&lt;=1,"CUMPLE","NO CUMPLE"))</f>
        <v>CUMPLE</v>
      </c>
      <c r="AZ18" s="710"/>
      <c r="BA18" s="1213" t="s">
        <v>9288</v>
      </c>
      <c r="BE18" s="711"/>
      <c r="BF18" s="711"/>
      <c r="BG18" s="712"/>
      <c r="BH18" s="712"/>
      <c r="BJ18" s="711"/>
      <c r="BK18" s="711"/>
      <c r="BL18" s="711"/>
      <c r="BM18" s="711"/>
    </row>
    <row r="19" spans="2:65" s="654" customFormat="1" ht="45">
      <c r="B19" s="695" t="s">
        <v>2386</v>
      </c>
      <c r="C19" s="713" t="s">
        <v>2387</v>
      </c>
      <c r="D19" s="714" t="s">
        <v>50</v>
      </c>
      <c r="E19" s="698" t="s">
        <v>2388</v>
      </c>
      <c r="F19" s="720" t="s">
        <v>2389</v>
      </c>
      <c r="G19" s="721">
        <v>856</v>
      </c>
      <c r="H19" s="722">
        <v>416.66666666666703</v>
      </c>
      <c r="I19" s="701">
        <f t="shared" si="0"/>
        <v>2.054399999999998</v>
      </c>
      <c r="J19" s="702">
        <v>1259</v>
      </c>
      <c r="K19" s="722">
        <v>416.66666666666703</v>
      </c>
      <c r="L19" s="701">
        <f t="shared" si="1"/>
        <v>3.0215999999999972</v>
      </c>
      <c r="M19" s="702">
        <v>928</v>
      </c>
      <c r="N19" s="722">
        <v>416.66666666666703</v>
      </c>
      <c r="O19" s="701">
        <f t="shared" si="2"/>
        <v>2.2271999999999981</v>
      </c>
      <c r="P19" s="702">
        <v>2235.1940500000001</v>
      </c>
      <c r="Q19" s="722">
        <v>416.66666666666703</v>
      </c>
      <c r="R19" s="701">
        <f t="shared" si="3"/>
        <v>5.3644657199999957</v>
      </c>
      <c r="S19" s="702">
        <v>2519.1488399999998</v>
      </c>
      <c r="T19" s="722">
        <v>416.66666666666703</v>
      </c>
      <c r="U19" s="701">
        <f t="shared" si="4"/>
        <v>6.0459572159999944</v>
      </c>
      <c r="V19" s="702">
        <v>2179</v>
      </c>
      <c r="W19" s="722">
        <v>416.66666666666703</v>
      </c>
      <c r="X19" s="701">
        <f t="shared" si="5"/>
        <v>5.2295999999999951</v>
      </c>
      <c r="Y19" s="702">
        <v>3117</v>
      </c>
      <c r="Z19" s="722">
        <v>416.66666666666703</v>
      </c>
      <c r="AA19" s="723">
        <f t="shared" si="6"/>
        <v>7.4807999999999932</v>
      </c>
      <c r="AB19" s="800">
        <v>3233</v>
      </c>
      <c r="AC19" s="798">
        <v>417</v>
      </c>
      <c r="AD19" s="799">
        <v>7.76</v>
      </c>
      <c r="AE19" s="724"/>
      <c r="AF19" s="724"/>
      <c r="AG19" s="724"/>
      <c r="AH19" s="724"/>
      <c r="AI19" s="724"/>
      <c r="AJ19" s="724"/>
      <c r="AK19" s="724"/>
      <c r="AL19" s="724"/>
      <c r="AM19" s="724"/>
      <c r="AN19" s="724"/>
      <c r="AO19" s="724"/>
      <c r="AP19" s="724"/>
      <c r="AQ19" s="800">
        <v>16370</v>
      </c>
      <c r="AR19" s="801">
        <v>3333</v>
      </c>
      <c r="AS19" s="799">
        <v>4.91</v>
      </c>
      <c r="AT19" s="719">
        <v>15</v>
      </c>
      <c r="AU19" s="719">
        <f t="shared" si="7"/>
        <v>1</v>
      </c>
      <c r="AV19" s="708">
        <f>$AT$19/$AU$19</f>
        <v>15</v>
      </c>
      <c r="AW19" s="708">
        <f t="shared" si="8"/>
        <v>4.9114911491149114</v>
      </c>
      <c r="AX19" s="708">
        <f>IF(AW19&lt;=1,AV19,0)</f>
        <v>0</v>
      </c>
      <c r="AY19" s="709" t="str">
        <f t="shared" si="9"/>
        <v>NO CUMPLE</v>
      </c>
      <c r="AZ19" s="804" t="s">
        <v>2390</v>
      </c>
      <c r="BA19" s="1213" t="s">
        <v>9288</v>
      </c>
      <c r="BE19" s="711"/>
      <c r="BF19" s="711"/>
      <c r="BG19" s="712"/>
      <c r="BH19" s="712"/>
      <c r="BJ19" s="711"/>
      <c r="BK19" s="711"/>
      <c r="BL19" s="711"/>
      <c r="BM19" s="711"/>
    </row>
    <row r="20" spans="2:65" s="654" customFormat="1" ht="67.5">
      <c r="B20" s="695" t="s">
        <v>2287</v>
      </c>
      <c r="C20" s="713" t="s">
        <v>2288</v>
      </c>
      <c r="D20" s="714" t="s">
        <v>2355</v>
      </c>
      <c r="E20" s="698" t="s">
        <v>2214</v>
      </c>
      <c r="F20" s="715" t="s">
        <v>2282</v>
      </c>
      <c r="G20" s="718">
        <v>39799.070000000043</v>
      </c>
      <c r="H20" s="718">
        <v>29992.932345000005</v>
      </c>
      <c r="I20" s="701">
        <f t="shared" si="0"/>
        <v>1.3269482804216299</v>
      </c>
      <c r="J20" s="718">
        <v>34677.93</v>
      </c>
      <c r="K20" s="718">
        <v>23273.158814000002</v>
      </c>
      <c r="L20" s="701">
        <f t="shared" si="1"/>
        <v>1.490039675196108</v>
      </c>
      <c r="M20" s="703">
        <v>564192.99999999988</v>
      </c>
      <c r="N20" s="703">
        <v>709332.05999999994</v>
      </c>
      <c r="O20" s="701">
        <f t="shared" si="2"/>
        <v>0.79538629622915946</v>
      </c>
      <c r="P20" s="703">
        <v>269273.2</v>
      </c>
      <c r="Q20" s="703">
        <v>312647.57</v>
      </c>
      <c r="R20" s="701">
        <f t="shared" si="3"/>
        <v>0.86126752880247881</v>
      </c>
      <c r="S20" s="703">
        <v>349045.82</v>
      </c>
      <c r="T20" s="703">
        <v>458169.96</v>
      </c>
      <c r="U20" s="701">
        <f t="shared" si="4"/>
        <v>0.76182606995884228</v>
      </c>
      <c r="V20" s="703">
        <v>422410.78</v>
      </c>
      <c r="W20" s="703">
        <v>468942.75</v>
      </c>
      <c r="X20" s="701">
        <f t="shared" si="5"/>
        <v>0.90077259964036127</v>
      </c>
      <c r="Y20" s="722">
        <v>395983.89</v>
      </c>
      <c r="Z20" s="722">
        <v>456542.73523200001</v>
      </c>
      <c r="AA20" s="725">
        <f t="shared" si="6"/>
        <v>0.86735339200781281</v>
      </c>
      <c r="AB20" s="801">
        <v>368000</v>
      </c>
      <c r="AC20" s="801">
        <v>450546</v>
      </c>
      <c r="AD20" s="799">
        <v>0.82</v>
      </c>
      <c r="AE20" s="722"/>
      <c r="AF20" s="722"/>
      <c r="AG20" s="722"/>
      <c r="AH20" s="722"/>
      <c r="AI20" s="722"/>
      <c r="AJ20" s="722"/>
      <c r="AK20" s="722"/>
      <c r="AL20" s="722"/>
      <c r="AM20" s="722"/>
      <c r="AN20" s="722"/>
      <c r="AO20" s="722"/>
      <c r="AP20" s="722"/>
      <c r="AQ20" s="800">
        <v>1200475</v>
      </c>
      <c r="AR20" s="801">
        <v>1357105</v>
      </c>
      <c r="AS20" s="799">
        <v>0.88</v>
      </c>
      <c r="AT20" s="719">
        <v>5</v>
      </c>
      <c r="AU20" s="719">
        <f t="shared" si="7"/>
        <v>1</v>
      </c>
      <c r="AV20" s="708">
        <f>$AT$20/$AU$20</f>
        <v>5</v>
      </c>
      <c r="AW20" s="708">
        <f t="shared" si="8"/>
        <v>0.88458520158720222</v>
      </c>
      <c r="AX20" s="708">
        <f>IF(AW20&gt;1,0,AV20)</f>
        <v>5</v>
      </c>
      <c r="AY20" s="709" t="str">
        <f t="shared" si="9"/>
        <v>CUMPLE</v>
      </c>
      <c r="AZ20" s="710"/>
      <c r="BA20" s="1213" t="s">
        <v>9288</v>
      </c>
      <c r="BE20" s="711"/>
      <c r="BF20" s="711"/>
      <c r="BG20" s="712"/>
      <c r="BH20" s="712"/>
      <c r="BJ20" s="711"/>
      <c r="BK20" s="711"/>
      <c r="BL20" s="711"/>
      <c r="BM20" s="711"/>
    </row>
    <row r="21" spans="2:65" ht="45" customHeight="1">
      <c r="B21" s="1429" t="s">
        <v>2290</v>
      </c>
      <c r="C21" s="713" t="s">
        <v>2291</v>
      </c>
      <c r="D21" s="714" t="s">
        <v>2355</v>
      </c>
      <c r="E21" s="698" t="s">
        <v>2391</v>
      </c>
      <c r="F21" s="726">
        <v>4.5</v>
      </c>
      <c r="G21" s="700">
        <v>0</v>
      </c>
      <c r="H21" s="700">
        <v>4.5</v>
      </c>
      <c r="I21" s="701">
        <f t="shared" si="0"/>
        <v>0</v>
      </c>
      <c r="J21" s="700">
        <v>0</v>
      </c>
      <c r="K21" s="700">
        <v>4.5</v>
      </c>
      <c r="L21" s="701">
        <f t="shared" si="1"/>
        <v>0</v>
      </c>
      <c r="M21" s="700">
        <v>0</v>
      </c>
      <c r="N21" s="700">
        <v>4.5</v>
      </c>
      <c r="O21" s="701">
        <f t="shared" si="2"/>
        <v>0</v>
      </c>
      <c r="P21" s="700">
        <v>0</v>
      </c>
      <c r="Q21" s="700">
        <v>4.5</v>
      </c>
      <c r="R21" s="701">
        <f t="shared" si="3"/>
        <v>0</v>
      </c>
      <c r="S21" s="700">
        <v>0</v>
      </c>
      <c r="T21" s="700">
        <v>4.5</v>
      </c>
      <c r="U21" s="701">
        <f t="shared" si="4"/>
        <v>0</v>
      </c>
      <c r="V21" s="700">
        <v>0</v>
      </c>
      <c r="W21" s="700">
        <v>4.5</v>
      </c>
      <c r="X21" s="701">
        <f t="shared" si="5"/>
        <v>0</v>
      </c>
      <c r="Y21" s="700">
        <v>0</v>
      </c>
      <c r="Z21" s="700">
        <v>4.5</v>
      </c>
      <c r="AA21" s="725">
        <f t="shared" si="6"/>
        <v>0</v>
      </c>
      <c r="AB21" s="797">
        <v>0</v>
      </c>
      <c r="AC21" s="798">
        <v>4.5</v>
      </c>
      <c r="AD21" s="799">
        <v>0</v>
      </c>
      <c r="AE21" s="724"/>
      <c r="AF21" s="724"/>
      <c r="AG21" s="724"/>
      <c r="AH21" s="724"/>
      <c r="AI21" s="724"/>
      <c r="AJ21" s="724"/>
      <c r="AK21" s="724"/>
      <c r="AL21" s="724"/>
      <c r="AM21" s="724"/>
      <c r="AN21" s="724"/>
      <c r="AO21" s="724"/>
      <c r="AP21" s="724"/>
      <c r="AQ21" s="797">
        <v>0</v>
      </c>
      <c r="AR21" s="798">
        <v>4.5</v>
      </c>
      <c r="AS21" s="799">
        <v>0</v>
      </c>
      <c r="AT21" s="1415">
        <v>5</v>
      </c>
      <c r="AU21" s="1415">
        <f>COUNTA(F21:F23)</f>
        <v>3</v>
      </c>
      <c r="AV21" s="708">
        <f>$AT$21/$AU$21</f>
        <v>1.6666666666666667</v>
      </c>
      <c r="AW21" s="708">
        <f t="shared" si="8"/>
        <v>0</v>
      </c>
      <c r="AX21" s="708">
        <f>IF(AW21&gt;1,AQ21/AR21-1,AV21)</f>
        <v>1.6666666666666667</v>
      </c>
      <c r="AY21" s="709" t="str">
        <f t="shared" si="9"/>
        <v>CUMPLE</v>
      </c>
      <c r="AZ21" s="710"/>
      <c r="BA21" s="1213" t="s">
        <v>9288</v>
      </c>
      <c r="BB21" s="654"/>
      <c r="BC21" s="654"/>
      <c r="BE21" s="711"/>
      <c r="BF21" s="711"/>
      <c r="BG21" s="712"/>
      <c r="BH21" s="712"/>
      <c r="BI21" s="654"/>
      <c r="BJ21" s="711"/>
      <c r="BK21" s="711"/>
      <c r="BL21" s="711"/>
      <c r="BM21" s="711"/>
    </row>
    <row r="22" spans="2:65" ht="45" customHeight="1">
      <c r="B22" s="1429"/>
      <c r="C22" s="713" t="s">
        <v>2292</v>
      </c>
      <c r="D22" s="714" t="s">
        <v>2355</v>
      </c>
      <c r="E22" s="698" t="s">
        <v>2391</v>
      </c>
      <c r="F22" s="715" t="s">
        <v>2293</v>
      </c>
      <c r="G22" s="700">
        <v>0</v>
      </c>
      <c r="H22" s="727">
        <v>300</v>
      </c>
      <c r="I22" s="701">
        <f t="shared" si="0"/>
        <v>0</v>
      </c>
      <c r="J22" s="700">
        <v>0</v>
      </c>
      <c r="K22" s="727">
        <v>300</v>
      </c>
      <c r="L22" s="701">
        <f t="shared" si="1"/>
        <v>0</v>
      </c>
      <c r="M22" s="700">
        <v>0</v>
      </c>
      <c r="N22" s="727">
        <v>300</v>
      </c>
      <c r="O22" s="701">
        <f t="shared" si="2"/>
        <v>0</v>
      </c>
      <c r="P22" s="700">
        <v>0</v>
      </c>
      <c r="Q22" s="727">
        <v>300</v>
      </c>
      <c r="R22" s="701">
        <f t="shared" si="3"/>
        <v>0</v>
      </c>
      <c r="S22" s="700">
        <v>0</v>
      </c>
      <c r="T22" s="727">
        <v>300</v>
      </c>
      <c r="U22" s="701">
        <f t="shared" si="4"/>
        <v>0</v>
      </c>
      <c r="V22" s="700">
        <v>0</v>
      </c>
      <c r="W22" s="727">
        <v>300</v>
      </c>
      <c r="X22" s="701">
        <f t="shared" si="5"/>
        <v>0</v>
      </c>
      <c r="Y22" s="700">
        <v>0</v>
      </c>
      <c r="Z22" s="727">
        <v>300</v>
      </c>
      <c r="AA22" s="725">
        <f t="shared" si="6"/>
        <v>0</v>
      </c>
      <c r="AB22" s="797">
        <v>0</v>
      </c>
      <c r="AC22" s="798">
        <v>300</v>
      </c>
      <c r="AD22" s="799">
        <v>0</v>
      </c>
      <c r="AE22" s="700"/>
      <c r="AF22" s="700"/>
      <c r="AG22" s="700"/>
      <c r="AH22" s="700"/>
      <c r="AI22" s="700"/>
      <c r="AJ22" s="700"/>
      <c r="AK22" s="700"/>
      <c r="AL22" s="700"/>
      <c r="AM22" s="700"/>
      <c r="AN22" s="700"/>
      <c r="AO22" s="700"/>
      <c r="AP22" s="700"/>
      <c r="AQ22" s="797">
        <v>0</v>
      </c>
      <c r="AR22" s="798">
        <v>300</v>
      </c>
      <c r="AS22" s="799">
        <v>0</v>
      </c>
      <c r="AT22" s="1430"/>
      <c r="AU22" s="1430"/>
      <c r="AV22" s="708">
        <f>$AT$21/$AU$21</f>
        <v>1.6666666666666667</v>
      </c>
      <c r="AW22" s="708">
        <f t="shared" si="8"/>
        <v>0</v>
      </c>
      <c r="AX22" s="708">
        <f>IF(AW22&gt;1,AQ22/AR22-1,AV22)</f>
        <v>1.6666666666666667</v>
      </c>
      <c r="AY22" s="709" t="str">
        <f t="shared" si="9"/>
        <v>CUMPLE</v>
      </c>
      <c r="AZ22" s="710"/>
      <c r="BA22" s="1213" t="s">
        <v>9288</v>
      </c>
      <c r="BB22" s="654"/>
      <c r="BC22" s="654"/>
      <c r="BE22" s="711"/>
      <c r="BF22" s="711"/>
      <c r="BG22" s="712"/>
      <c r="BH22" s="712"/>
      <c r="BI22" s="654"/>
      <c r="BJ22" s="711"/>
      <c r="BK22" s="711"/>
      <c r="BL22" s="711"/>
      <c r="BM22" s="711"/>
    </row>
    <row r="23" spans="2:65" ht="45" customHeight="1">
      <c r="B23" s="1429"/>
      <c r="C23" s="713" t="s">
        <v>2294</v>
      </c>
      <c r="D23" s="714" t="s">
        <v>2355</v>
      </c>
      <c r="E23" s="698" t="s">
        <v>2391</v>
      </c>
      <c r="F23" s="728">
        <v>0.8</v>
      </c>
      <c r="G23" s="700">
        <v>0</v>
      </c>
      <c r="H23" s="729">
        <v>0.8</v>
      </c>
      <c r="I23" s="701">
        <f t="shared" si="0"/>
        <v>0</v>
      </c>
      <c r="J23" s="700">
        <v>0</v>
      </c>
      <c r="K23" s="729">
        <v>0.8</v>
      </c>
      <c r="L23" s="701">
        <f t="shared" si="1"/>
        <v>0</v>
      </c>
      <c r="M23" s="700">
        <v>0</v>
      </c>
      <c r="N23" s="729">
        <v>0.8</v>
      </c>
      <c r="O23" s="701">
        <f t="shared" si="2"/>
        <v>0</v>
      </c>
      <c r="P23" s="700">
        <v>0</v>
      </c>
      <c r="Q23" s="729">
        <v>0.8</v>
      </c>
      <c r="R23" s="701">
        <f t="shared" si="3"/>
        <v>0</v>
      </c>
      <c r="S23" s="700">
        <v>0</v>
      </c>
      <c r="T23" s="729">
        <v>0.8</v>
      </c>
      <c r="U23" s="701">
        <f t="shared" si="4"/>
        <v>0</v>
      </c>
      <c r="V23" s="700">
        <v>0</v>
      </c>
      <c r="W23" s="729">
        <v>0.8</v>
      </c>
      <c r="X23" s="701">
        <f t="shared" si="5"/>
        <v>0</v>
      </c>
      <c r="Y23" s="700">
        <v>0</v>
      </c>
      <c r="Z23" s="729">
        <v>0.8</v>
      </c>
      <c r="AA23" s="725">
        <f t="shared" si="6"/>
        <v>0</v>
      </c>
      <c r="AB23" s="797">
        <v>0</v>
      </c>
      <c r="AC23" s="798">
        <v>0.8</v>
      </c>
      <c r="AD23" s="799">
        <v>0</v>
      </c>
      <c r="AE23" s="724"/>
      <c r="AF23" s="724"/>
      <c r="AG23" s="724"/>
      <c r="AH23" s="724"/>
      <c r="AI23" s="724"/>
      <c r="AJ23" s="724"/>
      <c r="AK23" s="724"/>
      <c r="AL23" s="724"/>
      <c r="AM23" s="724"/>
      <c r="AN23" s="724"/>
      <c r="AO23" s="724"/>
      <c r="AP23" s="724"/>
      <c r="AQ23" s="797">
        <v>0</v>
      </c>
      <c r="AR23" s="798">
        <v>0.8</v>
      </c>
      <c r="AS23" s="799">
        <v>0</v>
      </c>
      <c r="AT23" s="1416"/>
      <c r="AU23" s="1416"/>
      <c r="AV23" s="708">
        <f>$AT$21/$AU$21</f>
        <v>1.6666666666666667</v>
      </c>
      <c r="AW23" s="708">
        <f t="shared" si="8"/>
        <v>0</v>
      </c>
      <c r="AX23" s="708">
        <f>IF(AW23&gt;1,AQ23/AR23-1,AV23)</f>
        <v>1.6666666666666667</v>
      </c>
      <c r="AY23" s="709" t="str">
        <f t="shared" si="9"/>
        <v>CUMPLE</v>
      </c>
      <c r="AZ23" s="710"/>
      <c r="BA23" s="1213" t="s">
        <v>9288</v>
      </c>
      <c r="BB23" s="654"/>
      <c r="BC23" s="654"/>
      <c r="BE23" s="711"/>
      <c r="BF23" s="711"/>
      <c r="BG23" s="712"/>
      <c r="BH23" s="712"/>
      <c r="BI23" s="654"/>
      <c r="BJ23" s="711"/>
      <c r="BK23" s="711"/>
      <c r="BL23" s="711"/>
      <c r="BM23" s="711"/>
    </row>
    <row r="24" spans="2:65" ht="45">
      <c r="B24" s="1413" t="s">
        <v>2392</v>
      </c>
      <c r="C24" s="730" t="s">
        <v>2393</v>
      </c>
      <c r="D24" s="731" t="s">
        <v>2355</v>
      </c>
      <c r="E24" s="732" t="s">
        <v>2394</v>
      </c>
      <c r="F24" s="733">
        <v>1</v>
      </c>
      <c r="G24" s="734">
        <v>1</v>
      </c>
      <c r="H24" s="734">
        <v>1</v>
      </c>
      <c r="I24" s="701">
        <f>IF(G24/H24&gt;1,0,100%)</f>
        <v>1</v>
      </c>
      <c r="J24" s="734">
        <v>1</v>
      </c>
      <c r="K24" s="734">
        <v>1</v>
      </c>
      <c r="L24" s="701">
        <f>IF(J24/K24&gt;1,0,100%)</f>
        <v>1</v>
      </c>
      <c r="M24" s="734">
        <v>1</v>
      </c>
      <c r="N24" s="734">
        <v>1</v>
      </c>
      <c r="O24" s="701">
        <f>IF(M24/N24&gt;1,0,100%)</f>
        <v>1</v>
      </c>
      <c r="P24" s="734">
        <v>1</v>
      </c>
      <c r="Q24" s="734">
        <v>1</v>
      </c>
      <c r="R24" s="701">
        <f>IF(P24/Q24&gt;1,0,100%)</f>
        <v>1</v>
      </c>
      <c r="S24" s="734">
        <v>1</v>
      </c>
      <c r="T24" s="734">
        <v>1</v>
      </c>
      <c r="U24" s="701">
        <f>IF(S24/T24&gt;1,0,100%)</f>
        <v>1</v>
      </c>
      <c r="V24" s="734">
        <v>1</v>
      </c>
      <c r="W24" s="734">
        <v>1</v>
      </c>
      <c r="X24" s="701">
        <f>IF(V24/W24&gt;1,0,100%)</f>
        <v>1</v>
      </c>
      <c r="Y24" s="734">
        <v>1</v>
      </c>
      <c r="Z24" s="734">
        <v>1</v>
      </c>
      <c r="AA24" s="725">
        <f t="shared" si="6"/>
        <v>1</v>
      </c>
      <c r="AB24" s="802">
        <v>1</v>
      </c>
      <c r="AC24" s="803">
        <v>1</v>
      </c>
      <c r="AD24" s="799">
        <v>1</v>
      </c>
      <c r="AE24" s="729"/>
      <c r="AF24" s="729"/>
      <c r="AG24" s="729"/>
      <c r="AH24" s="729"/>
      <c r="AI24" s="729"/>
      <c r="AJ24" s="729"/>
      <c r="AK24" s="729"/>
      <c r="AL24" s="729"/>
      <c r="AM24" s="729"/>
      <c r="AN24" s="729"/>
      <c r="AO24" s="729"/>
      <c r="AP24" s="729"/>
      <c r="AQ24" s="797">
        <v>1</v>
      </c>
      <c r="AR24" s="803">
        <v>1</v>
      </c>
      <c r="AS24" s="799">
        <v>1</v>
      </c>
      <c r="AT24" s="1415">
        <v>5</v>
      </c>
      <c r="AU24" s="1415">
        <v>2</v>
      </c>
      <c r="AV24" s="708">
        <f>$AT$24/$AU$24</f>
        <v>2.5</v>
      </c>
      <c r="AW24" s="708">
        <f t="shared" si="8"/>
        <v>1</v>
      </c>
      <c r="AX24" s="708">
        <f>IF(AW24&gt;1,AQ24/AR24-1,AV24)</f>
        <v>2.5</v>
      </c>
      <c r="AY24" s="709" t="str">
        <f>+IF(AQ24="","NO REPORTADO",IF(AS24&gt;=1,"CUMPLE","NO CUMPLE"))</f>
        <v>CUMPLE</v>
      </c>
      <c r="AZ24" s="710"/>
      <c r="BA24" s="1213" t="s">
        <v>9288</v>
      </c>
      <c r="BB24" s="654"/>
      <c r="BC24" s="654"/>
      <c r="BE24" s="711"/>
      <c r="BF24" s="711"/>
      <c r="BG24" s="712"/>
      <c r="BH24" s="712"/>
      <c r="BI24" s="654"/>
      <c r="BJ24" s="711"/>
      <c r="BK24" s="711"/>
      <c r="BL24" s="711"/>
      <c r="BM24" s="711"/>
    </row>
    <row r="25" spans="2:65" ht="45">
      <c r="B25" s="1414"/>
      <c r="C25" s="735" t="s">
        <v>2395</v>
      </c>
      <c r="D25" s="731" t="s">
        <v>2355</v>
      </c>
      <c r="E25" s="732" t="s">
        <v>2394</v>
      </c>
      <c r="F25" s="733">
        <v>5</v>
      </c>
      <c r="G25" s="736">
        <v>5</v>
      </c>
      <c r="H25" s="736">
        <v>5</v>
      </c>
      <c r="I25" s="701">
        <f>IF(G25/H25&gt;1,0,100%)</f>
        <v>1</v>
      </c>
      <c r="J25" s="736">
        <v>5</v>
      </c>
      <c r="K25" s="736">
        <v>5</v>
      </c>
      <c r="L25" s="701">
        <f>IF(J25/K25&gt;1,0,100%)</f>
        <v>1</v>
      </c>
      <c r="M25" s="736">
        <v>5</v>
      </c>
      <c r="N25" s="736">
        <v>5</v>
      </c>
      <c r="O25" s="701">
        <f>IF(M25/N25&gt;1,0,100%)</f>
        <v>1</v>
      </c>
      <c r="P25" s="736">
        <v>5</v>
      </c>
      <c r="Q25" s="736">
        <v>5</v>
      </c>
      <c r="R25" s="701">
        <f>IF(P25/Q25&gt;1,0,100%)</f>
        <v>1</v>
      </c>
      <c r="S25" s="736">
        <v>5</v>
      </c>
      <c r="T25" s="736">
        <v>5</v>
      </c>
      <c r="U25" s="701">
        <f>IF(S25/T25&gt;1,0,100%)</f>
        <v>1</v>
      </c>
      <c r="V25" s="736">
        <v>5</v>
      </c>
      <c r="W25" s="736">
        <v>5</v>
      </c>
      <c r="X25" s="701">
        <f>IF(V25/W25&gt;1,0,100%)</f>
        <v>1</v>
      </c>
      <c r="Y25" s="736">
        <v>5</v>
      </c>
      <c r="Z25" s="736">
        <v>5</v>
      </c>
      <c r="AA25" s="725">
        <f t="shared" si="6"/>
        <v>1</v>
      </c>
      <c r="AB25" s="797">
        <v>5</v>
      </c>
      <c r="AC25" s="798">
        <v>5</v>
      </c>
      <c r="AD25" s="799">
        <v>1</v>
      </c>
      <c r="AE25" s="729"/>
      <c r="AF25" s="729"/>
      <c r="AG25" s="729"/>
      <c r="AH25" s="729"/>
      <c r="AI25" s="729"/>
      <c r="AJ25" s="729"/>
      <c r="AK25" s="729"/>
      <c r="AL25" s="729"/>
      <c r="AM25" s="729"/>
      <c r="AN25" s="729"/>
      <c r="AO25" s="729"/>
      <c r="AP25" s="729"/>
      <c r="AQ25" s="797">
        <v>5</v>
      </c>
      <c r="AR25" s="798">
        <v>5</v>
      </c>
      <c r="AS25" s="799">
        <v>1</v>
      </c>
      <c r="AT25" s="1416"/>
      <c r="AU25" s="1416"/>
      <c r="AV25" s="708">
        <f>$AT$24/$AU$24</f>
        <v>2.5</v>
      </c>
      <c r="AW25" s="708">
        <f t="shared" si="8"/>
        <v>1</v>
      </c>
      <c r="AX25" s="708">
        <f>IF(AW25&gt;1,AQ25/AR25-1,AV25)</f>
        <v>2.5</v>
      </c>
      <c r="AY25" s="709" t="str">
        <f>+IF(AQ25="","NO REPORTADO",IF(AS25&gt;=1,"CUMPLE","NO CUMPLE"))</f>
        <v>CUMPLE</v>
      </c>
      <c r="AZ25" s="710"/>
      <c r="BA25" s="1213" t="s">
        <v>9288</v>
      </c>
      <c r="BB25" s="654"/>
      <c r="BC25" s="654"/>
      <c r="BE25" s="711"/>
      <c r="BF25" s="711"/>
      <c r="BG25" s="712"/>
      <c r="BH25" s="712"/>
      <c r="BI25" s="654"/>
      <c r="BJ25" s="711"/>
      <c r="BK25" s="711"/>
      <c r="BL25" s="711"/>
      <c r="BM25" s="711"/>
    </row>
    <row r="26" spans="2:65" s="656" customFormat="1" ht="67.5">
      <c r="B26" s="737" t="s">
        <v>2396</v>
      </c>
      <c r="C26" s="738" t="s">
        <v>2397</v>
      </c>
      <c r="D26" s="739" t="s">
        <v>50</v>
      </c>
      <c r="E26" s="740" t="s">
        <v>2214</v>
      </c>
      <c r="F26" s="740">
        <v>100</v>
      </c>
      <c r="G26" s="702">
        <v>4.7427422146036342</v>
      </c>
      <c r="H26" s="741">
        <v>100</v>
      </c>
      <c r="I26" s="701">
        <f>G26/H26</f>
        <v>4.742742214603634E-2</v>
      </c>
      <c r="J26" s="702">
        <v>4.8382874722801423</v>
      </c>
      <c r="K26" s="741">
        <v>100</v>
      </c>
      <c r="L26" s="701">
        <f>J26/K26</f>
        <v>4.8382874722801422E-2</v>
      </c>
      <c r="M26" s="702">
        <v>3.7715558482481164</v>
      </c>
      <c r="N26" s="741">
        <v>100</v>
      </c>
      <c r="O26" s="701">
        <f>M26/N26</f>
        <v>3.7715558482481162E-2</v>
      </c>
      <c r="P26" s="702">
        <v>5.9777461349764174</v>
      </c>
      <c r="Q26" s="741">
        <v>100</v>
      </c>
      <c r="R26" s="701">
        <f>P26/Q26</f>
        <v>5.9777461349764173E-2</v>
      </c>
      <c r="S26" s="702">
        <v>6.3799745722220909</v>
      </c>
      <c r="T26" s="741">
        <v>100</v>
      </c>
      <c r="U26" s="701">
        <f>S26/T26</f>
        <v>6.3799745722220913E-2</v>
      </c>
      <c r="V26" s="702">
        <v>2.9516213125062101</v>
      </c>
      <c r="W26" s="741">
        <v>100</v>
      </c>
      <c r="X26" s="701">
        <f>V26/W26</f>
        <v>2.9516213125062099E-2</v>
      </c>
      <c r="Y26" s="727">
        <v>6</v>
      </c>
      <c r="Z26" s="741">
        <v>100</v>
      </c>
      <c r="AA26" s="725">
        <f t="shared" si="6"/>
        <v>0.06</v>
      </c>
      <c r="AB26" s="797">
        <v>36</v>
      </c>
      <c r="AC26" s="803">
        <v>100</v>
      </c>
      <c r="AD26" s="799">
        <v>0.36</v>
      </c>
      <c r="AE26" s="727"/>
      <c r="AF26" s="727"/>
      <c r="AG26" s="727"/>
      <c r="AH26" s="727"/>
      <c r="AI26" s="727"/>
      <c r="AJ26" s="727"/>
      <c r="AK26" s="727"/>
      <c r="AL26" s="727"/>
      <c r="AM26" s="727"/>
      <c r="AN26" s="727"/>
      <c r="AO26" s="727"/>
      <c r="AP26" s="727"/>
      <c r="AQ26" s="797">
        <v>36</v>
      </c>
      <c r="AR26" s="803">
        <v>100</v>
      </c>
      <c r="AS26" s="799">
        <v>0.36</v>
      </c>
      <c r="AT26" s="719">
        <v>10</v>
      </c>
      <c r="AU26" s="719">
        <f>COUNTA(F26)</f>
        <v>1</v>
      </c>
      <c r="AV26" s="708">
        <f>$AT$26/$AU$26</f>
        <v>10</v>
      </c>
      <c r="AW26" s="708">
        <f t="shared" si="8"/>
        <v>0.36</v>
      </c>
      <c r="AX26" s="708">
        <f>IF(AW26&lt;1,AV26*AW26,AV26)</f>
        <v>3.5999999999999996</v>
      </c>
      <c r="AY26" s="709" t="str">
        <f>+IF(AQ26="","NO REPORTADO",IF(AS26&gt;=1,"CUMPLE","NO CUMPLE"))</f>
        <v>NO CUMPLE</v>
      </c>
      <c r="AZ26" s="804" t="s">
        <v>2390</v>
      </c>
      <c r="BA26" s="1213" t="s">
        <v>9287</v>
      </c>
      <c r="BB26" s="654"/>
      <c r="BC26" s="654"/>
      <c r="BE26" s="711"/>
      <c r="BF26" s="711"/>
      <c r="BG26" s="712"/>
      <c r="BH26" s="712"/>
      <c r="BI26" s="654"/>
      <c r="BJ26" s="711"/>
      <c r="BK26" s="711"/>
      <c r="BL26" s="711"/>
      <c r="BM26" s="711"/>
    </row>
    <row r="27" spans="2:65" ht="29.25">
      <c r="B27" s="1417" t="s">
        <v>2398</v>
      </c>
      <c r="C27" s="1418"/>
      <c r="D27" s="1418"/>
      <c r="E27" s="1418"/>
      <c r="F27" s="1419"/>
      <c r="G27" s="742"/>
      <c r="H27" s="743"/>
      <c r="I27" s="743"/>
      <c r="J27" s="743"/>
      <c r="K27" s="743"/>
      <c r="L27" s="743"/>
      <c r="M27" s="743"/>
      <c r="N27" s="743"/>
      <c r="O27" s="743"/>
      <c r="P27" s="743"/>
      <c r="Q27" s="743"/>
      <c r="R27" s="743"/>
      <c r="S27" s="743"/>
      <c r="T27" s="743"/>
      <c r="U27" s="743"/>
      <c r="V27" s="743"/>
      <c r="W27" s="743"/>
      <c r="X27" s="743"/>
      <c r="Y27" s="743"/>
      <c r="Z27" s="743"/>
      <c r="AA27" s="743"/>
      <c r="AB27" s="743"/>
      <c r="AC27" s="743"/>
      <c r="AD27" s="743"/>
      <c r="AE27" s="743"/>
      <c r="AF27" s="743"/>
      <c r="AG27" s="743"/>
      <c r="AH27" s="743"/>
      <c r="AI27" s="743"/>
      <c r="AJ27" s="743"/>
      <c r="AK27" s="743"/>
      <c r="AL27" s="743"/>
      <c r="AM27" s="743"/>
      <c r="AN27" s="743"/>
      <c r="AO27" s="743"/>
      <c r="AP27" s="743"/>
      <c r="AQ27" s="743"/>
      <c r="AR27" s="743"/>
      <c r="AS27" s="744"/>
      <c r="AT27" s="745">
        <f>SUM(AT15:AT26)</f>
        <v>100</v>
      </c>
      <c r="AU27" s="746">
        <f>SUM(AU15:AU26)</f>
        <v>12</v>
      </c>
      <c r="AV27" s="746">
        <f>SUM(AV15:AV26)</f>
        <v>100.00000000000001</v>
      </c>
      <c r="AW27" s="747"/>
      <c r="AX27" s="748">
        <f>SUM(AX15:AX26)</f>
        <v>77.004284412032817</v>
      </c>
    </row>
    <row r="28" spans="2:65" ht="20.100000000000001" customHeight="1">
      <c r="Y28" s="749"/>
      <c r="AT28" s="750"/>
      <c r="AU28" s="750"/>
      <c r="AV28" s="751"/>
      <c r="AW28" s="751"/>
      <c r="AX28" s="751"/>
    </row>
    <row r="29" spans="2:65" ht="20.100000000000001" customHeight="1">
      <c r="Q29" s="682"/>
      <c r="T29" s="749"/>
      <c r="U29" s="749">
        <f>V19+S19+P19+M19+J19+G19</f>
        <v>9976.3428899999999</v>
      </c>
      <c r="W29" s="749"/>
      <c r="AT29" s="750"/>
      <c r="AU29" s="750"/>
      <c r="AV29" s="751"/>
      <c r="AW29" s="751"/>
      <c r="AX29" s="751"/>
    </row>
    <row r="30" spans="2:65" ht="20.100000000000001" customHeight="1">
      <c r="B30" s="752" t="s">
        <v>2399</v>
      </c>
      <c r="AT30" s="750"/>
      <c r="AU30" s="750"/>
      <c r="AV30" s="751"/>
      <c r="AW30" s="751"/>
      <c r="AX30" s="751"/>
    </row>
    <row r="31" spans="2:65" ht="20.100000000000001" customHeight="1">
      <c r="B31" s="753" t="s">
        <v>2400</v>
      </c>
      <c r="F31" s="1211"/>
      <c r="G31" s="1212"/>
      <c r="H31" s="1212"/>
      <c r="I31" s="1212"/>
      <c r="J31" s="1212"/>
      <c r="K31" s="1212"/>
      <c r="L31" s="1212"/>
      <c r="M31" s="1212"/>
      <c r="N31" s="1212"/>
      <c r="O31" s="1212"/>
      <c r="P31" s="1212"/>
      <c r="Q31" s="1212"/>
      <c r="R31" s="1212"/>
      <c r="S31" s="1212"/>
      <c r="T31" s="1212"/>
      <c r="U31" s="1212"/>
      <c r="V31" s="1212"/>
      <c r="W31" s="1212"/>
      <c r="X31" s="1212"/>
      <c r="Y31" s="1212"/>
      <c r="Z31" s="1212"/>
      <c r="AA31" s="1212"/>
      <c r="AB31" s="1212"/>
      <c r="AC31" s="1212"/>
      <c r="AD31" s="1212"/>
      <c r="AE31" s="1212"/>
      <c r="AF31" s="1212"/>
      <c r="AG31" s="1212"/>
      <c r="AH31" s="1212"/>
      <c r="AI31" s="1212"/>
      <c r="AJ31" s="1212"/>
      <c r="AK31" s="1212"/>
      <c r="AL31" s="1212"/>
      <c r="AM31" s="1212"/>
      <c r="AN31" s="1212"/>
      <c r="AO31" s="1212"/>
      <c r="AP31" s="1212"/>
      <c r="AQ31" s="1212"/>
      <c r="AR31" s="1212"/>
      <c r="AS31" s="1212"/>
      <c r="AT31" s="750"/>
      <c r="AU31" s="750"/>
      <c r="AV31" s="751"/>
      <c r="AW31" s="751"/>
      <c r="AX31" s="751"/>
      <c r="AY31" s="1212"/>
      <c r="AZ31" s="1212"/>
    </row>
    <row r="32" spans="2:65" ht="20.100000000000001" customHeight="1">
      <c r="B32" s="1214" t="s">
        <v>10234</v>
      </c>
      <c r="AT32" s="750"/>
      <c r="AU32" s="750"/>
      <c r="AV32" s="751"/>
      <c r="AW32" s="751"/>
      <c r="AX32" s="751"/>
    </row>
    <row r="33" spans="46:50" ht="20.100000000000001" customHeight="1">
      <c r="AT33" s="750"/>
      <c r="AU33" s="750"/>
      <c r="AV33" s="751"/>
      <c r="AW33" s="751"/>
      <c r="AX33" s="751"/>
    </row>
    <row r="34" spans="46:50" ht="20.100000000000001" customHeight="1">
      <c r="AT34" s="750"/>
      <c r="AU34" s="750"/>
      <c r="AV34" s="751"/>
      <c r="AW34" s="751"/>
      <c r="AX34" s="751"/>
    </row>
    <row r="35" spans="46:50" ht="18" customHeight="1">
      <c r="AT35" s="750"/>
      <c r="AU35" s="750"/>
      <c r="AV35" s="751"/>
      <c r="AW35" s="751"/>
      <c r="AX35" s="751"/>
    </row>
    <row r="36" spans="46:50" ht="18" customHeight="1">
      <c r="AT36" s="750"/>
      <c r="AU36" s="750"/>
      <c r="AV36" s="751"/>
      <c r="AW36" s="751"/>
      <c r="AX36" s="751"/>
    </row>
    <row r="37" spans="46:50" ht="18" customHeight="1">
      <c r="AT37" s="750"/>
      <c r="AU37" s="750"/>
      <c r="AV37" s="751"/>
      <c r="AW37" s="751"/>
      <c r="AX37" s="751"/>
    </row>
    <row r="38" spans="46:50" ht="18" customHeight="1">
      <c r="AT38" s="750"/>
      <c r="AU38" s="750"/>
      <c r="AV38" s="751"/>
      <c r="AW38" s="751"/>
      <c r="AX38" s="751"/>
    </row>
    <row r="39" spans="46:50" ht="18" customHeight="1">
      <c r="AT39" s="754"/>
      <c r="AU39" s="754"/>
    </row>
    <row r="41" spans="46:50" ht="18" customHeight="1">
      <c r="AT41" s="754"/>
      <c r="AU41" s="754"/>
      <c r="AV41" s="412"/>
      <c r="AW41" s="412"/>
      <c r="AX41" s="412"/>
    </row>
    <row r="42" spans="46:50" ht="18" customHeight="1">
      <c r="AT42" s="754"/>
      <c r="AU42" s="754"/>
      <c r="AV42" s="412"/>
      <c r="AW42" s="412"/>
      <c r="AX42" s="412"/>
    </row>
    <row r="43" spans="46:50" ht="18" customHeight="1">
      <c r="AT43" s="755"/>
      <c r="AU43" s="755"/>
      <c r="AV43" s="412"/>
      <c r="AW43" s="412"/>
      <c r="AX43" s="412"/>
    </row>
    <row r="44" spans="46:50" ht="18" customHeight="1">
      <c r="AT44" s="756"/>
      <c r="AU44" s="756"/>
      <c r="AV44" s="412"/>
      <c r="AW44" s="412"/>
      <c r="AX44" s="412"/>
    </row>
    <row r="45" spans="46:50" ht="18" customHeight="1">
      <c r="AT45" s="756"/>
      <c r="AU45" s="756"/>
      <c r="AV45" s="412"/>
      <c r="AW45" s="412"/>
      <c r="AX45" s="412"/>
    </row>
    <row r="46" spans="46:50" ht="18" customHeight="1">
      <c r="AT46" s="754"/>
      <c r="AU46" s="754"/>
      <c r="AV46" s="412"/>
      <c r="AW46" s="412"/>
      <c r="AX46" s="412"/>
    </row>
  </sheetData>
  <mergeCells count="34">
    <mergeCell ref="B5:E5"/>
    <mergeCell ref="D9:E10"/>
    <mergeCell ref="B13:B14"/>
    <mergeCell ref="C13:C14"/>
    <mergeCell ref="D13:D14"/>
    <mergeCell ref="E13:E14"/>
    <mergeCell ref="AY13:AY14"/>
    <mergeCell ref="AZ13:AZ14"/>
    <mergeCell ref="B21:B23"/>
    <mergeCell ref="AT21:AT23"/>
    <mergeCell ref="AU21:AU23"/>
    <mergeCell ref="AN13:AP13"/>
    <mergeCell ref="AQ13:AS13"/>
    <mergeCell ref="AT13:AT14"/>
    <mergeCell ref="AU13:AU14"/>
    <mergeCell ref="AV13:AV14"/>
    <mergeCell ref="AW13:AW14"/>
    <mergeCell ref="V13:X13"/>
    <mergeCell ref="Y13:AA13"/>
    <mergeCell ref="AB13:AD13"/>
    <mergeCell ref="AE13:AG13"/>
    <mergeCell ref="AH13:AJ13"/>
    <mergeCell ref="B24:B25"/>
    <mergeCell ref="AT24:AT25"/>
    <mergeCell ref="AU24:AU25"/>
    <mergeCell ref="B27:F27"/>
    <mergeCell ref="AX13:AX14"/>
    <mergeCell ref="AK13:AM13"/>
    <mergeCell ref="F13:F14"/>
    <mergeCell ref="G13:I13"/>
    <mergeCell ref="J13:L13"/>
    <mergeCell ref="M13:O13"/>
    <mergeCell ref="P13:R13"/>
    <mergeCell ref="S13:U13"/>
  </mergeCells>
  <conditionalFormatting sqref="AY15:AY26">
    <cfRule type="containsText" dxfId="60" priority="1" operator="containsText" text="NO CUMPLE">
      <formula>NOT(ISERROR(SEARCH("NO CUMPLE",AY15)))</formula>
    </cfRule>
  </conditionalFormatting>
  <conditionalFormatting sqref="AY15:AY26">
    <cfRule type="containsText" dxfId="59" priority="2" operator="containsText" text="CUMPLE">
      <formula>NOT(ISERROR(SEARCH("CUMPLE",AY15)))</formula>
    </cfRule>
  </conditionalFormatting>
  <conditionalFormatting sqref="AY15:AY26">
    <cfRule type="containsText" dxfId="58" priority="3" operator="containsText" text="NO REPORTADO">
      <formula>NOT(ISERROR(SEARCH("NO REPORTADO",AY15)))</formula>
    </cfRule>
  </conditionalFormatting>
  <conditionalFormatting sqref="G13:AR13">
    <cfRule type="expression" dxfId="57" priority="30">
      <formula>INT((COLUMN(G13)-COLUMN($G$13))/3)+1=MONTH(CFG_MES)</formula>
    </cfRule>
  </conditionalFormatting>
  <conditionalFormatting sqref="I15:I26">
    <cfRule type="expression" dxfId="56" priority="31">
      <formula>AND(ISNUMBER(I15),OR(AND($BA15="Mín",I15&gt;=1),AND($BA15="Máx",I15&lt;=1)))</formula>
    </cfRule>
  </conditionalFormatting>
  <conditionalFormatting sqref="I15:I26">
    <cfRule type="expression" dxfId="55" priority="32">
      <formula>AND(ISNUMBER(I15),OR(AND($BA15="Mín",I15&lt;1),AND($BA15="Máx",I15&gt;1)))</formula>
    </cfRule>
  </conditionalFormatting>
  <conditionalFormatting sqref="L15:L26">
    <cfRule type="expression" dxfId="54" priority="33">
      <formula>AND(ISNUMBER(L15),OR(AND($BA15="Mín",L15&gt;=1),AND($BA15="Máx",L15&lt;=1)))</formula>
    </cfRule>
  </conditionalFormatting>
  <conditionalFormatting sqref="L15:L26">
    <cfRule type="expression" dxfId="53" priority="34">
      <formula>AND(ISNUMBER(L15),OR(AND($BA15="Mín",L15&lt;1),AND($BA15="Máx",L15&gt;1)))</formula>
    </cfRule>
  </conditionalFormatting>
  <conditionalFormatting sqref="O15:O26">
    <cfRule type="expression" dxfId="52" priority="35">
      <formula>AND(ISNUMBER(O15),OR(AND($BA15="Mín",O15&gt;=1),AND($BA15="Máx",O15&lt;=1)))</formula>
    </cfRule>
  </conditionalFormatting>
  <conditionalFormatting sqref="O15:O26">
    <cfRule type="expression" dxfId="51" priority="36">
      <formula>AND(ISNUMBER(O15),OR(AND($BA15="Mín",O15&lt;1),AND($BA15="Máx",O15&gt;1)))</formula>
    </cfRule>
  </conditionalFormatting>
  <conditionalFormatting sqref="R15:R26">
    <cfRule type="expression" dxfId="50" priority="37">
      <formula>AND(ISNUMBER(R15),OR(AND($BA15="Mín",R15&gt;=1),AND($BA15="Máx",R15&lt;=1)))</formula>
    </cfRule>
  </conditionalFormatting>
  <conditionalFormatting sqref="R15:R26">
    <cfRule type="expression" dxfId="49" priority="38">
      <formula>AND(ISNUMBER(R15),OR(AND($BA15="Mín",R15&lt;1),AND($BA15="Máx",R15&gt;1)))</formula>
    </cfRule>
  </conditionalFormatting>
  <conditionalFormatting sqref="U15:U26">
    <cfRule type="expression" dxfId="48" priority="39">
      <formula>AND(ISNUMBER(U15),OR(AND($BA15="Mín",U15&gt;=1),AND($BA15="Máx",U15&lt;=1)))</formula>
    </cfRule>
  </conditionalFormatting>
  <conditionalFormatting sqref="U15:U26">
    <cfRule type="expression" dxfId="47" priority="40">
      <formula>AND(ISNUMBER(U15),OR(AND($BA15="Mín",U15&lt;1),AND($BA15="Máx",U15&gt;1)))</formula>
    </cfRule>
  </conditionalFormatting>
  <conditionalFormatting sqref="X15:X26">
    <cfRule type="expression" dxfId="46" priority="41">
      <formula>AND(ISNUMBER(X15),OR(AND($BA15="Mín",X15&gt;=1),AND($BA15="Máx",X15&lt;=1)))</formula>
    </cfRule>
  </conditionalFormatting>
  <conditionalFormatting sqref="X15:X26">
    <cfRule type="expression" dxfId="45" priority="42">
      <formula>AND(ISNUMBER(X15),OR(AND($BA15="Mín",X15&lt;1),AND($BA15="Máx",X15&gt;1)))</formula>
    </cfRule>
  </conditionalFormatting>
  <conditionalFormatting sqref="AA15:AA26">
    <cfRule type="expression" dxfId="44" priority="43">
      <formula>AND(ISNUMBER(AA15),OR(AND($BA15="Mín",AA15&gt;=1),AND($BA15="Máx",AA15&lt;=1)))</formula>
    </cfRule>
  </conditionalFormatting>
  <conditionalFormatting sqref="AA15:AA26">
    <cfRule type="expression" dxfId="43" priority="44">
      <formula>AND(ISNUMBER(AA15),OR(AND($BA15="Mín",AA15&lt;1),AND($BA15="Máx",AA15&gt;1)))</formula>
    </cfRule>
  </conditionalFormatting>
  <conditionalFormatting sqref="AD15:AD26">
    <cfRule type="expression" dxfId="42" priority="45">
      <formula>AND(ISNUMBER(AD15),OR(AND($BA15="Mín",AD15&gt;=1),AND($BA15="Máx",AD15&lt;=1)))</formula>
    </cfRule>
  </conditionalFormatting>
  <conditionalFormatting sqref="AD15:AD26">
    <cfRule type="expression" dxfId="41" priority="46">
      <formula>AND(ISNUMBER(AD15),OR(AND($BA15="Mín",AD15&lt;1),AND($BA15="Máx",AD15&gt;1)))</formula>
    </cfRule>
  </conditionalFormatting>
  <conditionalFormatting sqref="AG15:AG26">
    <cfRule type="expression" dxfId="40" priority="47">
      <formula>AND(ISNUMBER(AG15),OR(AND($BA15="Mín",AG15&gt;=1),AND($BA15="Máx",AG15&lt;=1)))</formula>
    </cfRule>
  </conditionalFormatting>
  <conditionalFormatting sqref="AG15:AG26">
    <cfRule type="expression" dxfId="39" priority="48">
      <formula>AND(ISNUMBER(AG15),OR(AND($BA15="Mín",AG15&lt;1),AND($BA15="Máx",AG15&gt;1)))</formula>
    </cfRule>
  </conditionalFormatting>
  <conditionalFormatting sqref="AJ15:AJ26">
    <cfRule type="expression" dxfId="38" priority="49">
      <formula>AND(ISNUMBER(AJ15),OR(AND($BA15="Mín",AJ15&gt;=1),AND($BA15="Máx",AJ15&lt;=1)))</formula>
    </cfRule>
  </conditionalFormatting>
  <conditionalFormatting sqref="AJ15:AJ26">
    <cfRule type="expression" dxfId="37" priority="50">
      <formula>AND(ISNUMBER(AJ15),OR(AND($BA15="Mín",AJ15&lt;1),AND($BA15="Máx",AJ15&gt;1)))</formula>
    </cfRule>
  </conditionalFormatting>
  <conditionalFormatting sqref="AM15:AM26">
    <cfRule type="expression" dxfId="36" priority="51">
      <formula>AND(ISNUMBER(AM15),OR(AND($BA15="Mín",AM15&gt;=1),AND($BA15="Máx",AM15&lt;=1)))</formula>
    </cfRule>
  </conditionalFormatting>
  <conditionalFormatting sqref="AM15:AM26">
    <cfRule type="expression" dxfId="35" priority="52">
      <formula>AND(ISNUMBER(AM15),OR(AND($BA15="Mín",AM15&lt;1),AND($BA15="Máx",AM15&gt;1)))</formula>
    </cfRule>
  </conditionalFormatting>
  <conditionalFormatting sqref="AP15:AP26">
    <cfRule type="expression" dxfId="34" priority="53">
      <formula>AND(ISNUMBER(AP15),OR(AND($BA15="Mín",AP15&gt;=1),AND($BA15="Máx",AP15&lt;=1)))</formula>
    </cfRule>
  </conditionalFormatting>
  <conditionalFormatting sqref="AP15:AP26">
    <cfRule type="expression" dxfId="33" priority="54">
      <formula>AND(ISNUMBER(AP15),OR(AND($BA15="Mín",AP15&lt;1),AND($BA15="Máx",AP15&gt;1)))</formula>
    </cfRule>
  </conditionalFormatting>
  <conditionalFormatting sqref="AS15:AS26">
    <cfRule type="expression" dxfId="32" priority="55">
      <formula>AND(ISNUMBER(AS15),OR(AND($BA15="Mín",AS15&gt;=1),AND($BA15="Máx",AS15&lt;=1)))</formula>
    </cfRule>
  </conditionalFormatting>
  <conditionalFormatting sqref="AS15:AS26">
    <cfRule type="expression" dxfId="31" priority="56">
      <formula>AND(ISNUMBER(AS15),OR(AND($BA15="Mín",AS15&lt;1),AND($BA15="Máx",AS15&gt;1)))</formula>
    </cfRule>
  </conditionalFormatting>
  <dataValidations count="1">
    <dataValidation type="list" allowBlank="1" showInputMessage="1" showErrorMessage="1" sqref="BA15:BA26" xr:uid="{9A68B318-9F93-48D4-9F2C-0FD26F1B372F}">
      <formula1>"Mín,Máx"</formula1>
    </dataValidation>
  </dataValidations>
  <printOptions horizontalCentered="1"/>
  <pageMargins left="0.5" right="0.5" top="0.61111111111111116" bottom="0.61111111111111116" header="0.3" footer="0.3"/>
  <pageSetup paperSize="9" scale="13" fitToHeight="0" orientation="landscape" r:id="rId1"/>
  <headerFooter>
    <oddHeader>&amp;Z&amp;R</oddHeader>
    <oddFooter>&amp;CShougang Hierro Perú S.A.A. — Beneficio ZA — embarque — Página &amp;P de &amp;F</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68EFA-2B1D-4E18-B48C-635730A053A2}">
  <sheetPr codeName="Hoja41">
    <tabColor rgb="FF2F75B5"/>
    <pageSetUpPr fitToPage="1"/>
  </sheetPr>
  <dimension ref="A1:K40"/>
  <sheetViews>
    <sheetView showGridLines="0" workbookViewId="0"/>
  </sheetViews>
  <sheetFormatPr baseColWidth="10" defaultRowHeight="15"/>
  <cols>
    <col min="1" max="1" width="2.85546875" customWidth="1"/>
    <col min="2" max="2" width="21" customWidth="1"/>
    <col min="3" max="3" width="62.85546875" customWidth="1"/>
    <col min="4" max="4" width="13.28515625" customWidth="1"/>
    <col min="5" max="6" width="15.28515625" customWidth="1"/>
    <col min="7" max="8" width="13.28515625" customWidth="1"/>
    <col min="9" max="9" width="15.28515625" customWidth="1"/>
    <col min="10" max="10" width="57.140625" customWidth="1"/>
  </cols>
  <sheetData>
    <row r="1" spans="1:11" ht="22.5" customHeight="1">
      <c r="A1" s="1033"/>
      <c r="B1" s="1219" t="s">
        <v>9999</v>
      </c>
      <c r="C1" s="1220"/>
      <c r="D1" s="1220"/>
      <c r="E1" s="1220"/>
      <c r="F1" s="1220"/>
      <c r="G1" s="1220"/>
      <c r="H1" s="1220"/>
      <c r="I1" s="1220"/>
      <c r="J1" s="1220"/>
      <c r="K1" s="1033"/>
    </row>
    <row r="2" spans="1:11">
      <c r="A2" s="1033"/>
      <c r="B2" s="1033"/>
      <c r="C2" s="1033"/>
      <c r="D2" s="1033"/>
      <c r="E2" s="1033"/>
      <c r="F2" s="1033"/>
      <c r="G2" s="1033"/>
      <c r="H2" s="1033"/>
      <c r="I2" s="1033"/>
      <c r="J2" s="1033"/>
      <c r="K2" s="1033"/>
    </row>
    <row r="3" spans="1:11">
      <c r="A3" s="1033"/>
      <c r="B3" s="1033"/>
      <c r="C3" s="1033"/>
      <c r="D3" s="1033"/>
      <c r="E3" s="1033"/>
      <c r="F3" s="1033"/>
      <c r="G3" s="1033"/>
      <c r="H3" s="1033"/>
      <c r="I3" s="1033"/>
      <c r="J3" s="1033"/>
      <c r="K3" s="1033"/>
    </row>
    <row r="4" spans="1:11" ht="15.75">
      <c r="A4" s="1033"/>
      <c r="B4" s="1047" t="s">
        <v>323</v>
      </c>
      <c r="C4" s="1097" t="str">
        <f>CFG_MES_TXT</f>
        <v>Setiembre 2026</v>
      </c>
      <c r="D4" s="1334" t="s">
        <v>10000</v>
      </c>
      <c r="E4" s="1220"/>
      <c r="F4" s="1220"/>
      <c r="G4" s="1220"/>
      <c r="H4" s="1220"/>
      <c r="I4" s="1220"/>
      <c r="J4" s="1220"/>
      <c r="K4" s="1033"/>
    </row>
    <row r="5" spans="1:11">
      <c r="A5" s="1033"/>
      <c r="B5" s="1033"/>
      <c r="C5" s="1033"/>
      <c r="D5" s="1033"/>
      <c r="E5" s="1033"/>
      <c r="F5" s="1033"/>
      <c r="G5" s="1033"/>
      <c r="H5" s="1033"/>
      <c r="I5" s="1033"/>
      <c r="J5" s="1033"/>
      <c r="K5" s="1033"/>
    </row>
    <row r="6" spans="1:11">
      <c r="A6" s="1033"/>
      <c r="B6" s="1066" t="s">
        <v>2191</v>
      </c>
      <c r="C6" s="1066" t="s">
        <v>2192</v>
      </c>
      <c r="D6" s="1066" t="s">
        <v>2193</v>
      </c>
      <c r="E6" s="1066" t="s">
        <v>10001</v>
      </c>
      <c r="F6" s="1066" t="s">
        <v>2204</v>
      </c>
      <c r="G6" s="1066" t="s">
        <v>2206</v>
      </c>
      <c r="H6" s="1066" t="s">
        <v>10002</v>
      </c>
      <c r="I6" s="1066" t="s">
        <v>568</v>
      </c>
      <c r="J6" s="1066" t="s">
        <v>10003</v>
      </c>
      <c r="K6" s="1033"/>
    </row>
    <row r="7" spans="1:11">
      <c r="A7" s="1033"/>
      <c r="B7" s="1049" t="s">
        <v>2207</v>
      </c>
      <c r="C7" s="1049" t="s">
        <v>10004</v>
      </c>
      <c r="D7" s="1048" t="s">
        <v>1392</v>
      </c>
      <c r="E7" s="1168">
        <f>KPI!E13/12</f>
        <v>666667.91666666663</v>
      </c>
      <c r="F7" s="1051">
        <f>'Informe Mensual'!C11</f>
        <v>614189</v>
      </c>
      <c r="G7" s="1169">
        <f t="shared" ref="G7:G17" si="0">IFERROR(F7/E7,"")</f>
        <v>0.92128177259667643</v>
      </c>
      <c r="H7" s="1048" t="s">
        <v>9287</v>
      </c>
      <c r="I7" s="1048" t="str">
        <f t="shared" ref="I7:I17" si="1">IF(OR(F7="",E7=""),"",IF(H7="Máx",IF(F7&lt;=E7,"Cumple","No cumple"),IF(F7&gt;=E7,"Cumple","No cumple")))</f>
        <v>No cumple</v>
      </c>
      <c r="J7" s="1170" t="s">
        <v>10005</v>
      </c>
      <c r="K7" s="1033"/>
    </row>
    <row r="8" spans="1:11">
      <c r="A8" s="1033"/>
      <c r="B8" s="1049"/>
      <c r="C8" s="1049" t="s">
        <v>10006</v>
      </c>
      <c r="D8" s="1048" t="s">
        <v>10007</v>
      </c>
      <c r="E8" s="1168">
        <f>KPI!E14/12</f>
        <v>100000</v>
      </c>
      <c r="F8" s="1051">
        <f>SUM('Índice Diario'!H5:H35)</f>
        <v>106432</v>
      </c>
      <c r="G8" s="1169">
        <f t="shared" si="0"/>
        <v>1.0643199999999999</v>
      </c>
      <c r="H8" s="1048" t="s">
        <v>9287</v>
      </c>
      <c r="I8" s="1048" t="str">
        <f t="shared" si="1"/>
        <v>Cumple</v>
      </c>
      <c r="J8" s="1170" t="s">
        <v>10008</v>
      </c>
      <c r="K8" s="1033"/>
    </row>
    <row r="9" spans="1:11">
      <c r="A9" s="1033"/>
      <c r="B9" s="1049"/>
      <c r="C9" s="1049" t="s">
        <v>10009</v>
      </c>
      <c r="D9" s="1048" t="s">
        <v>2217</v>
      </c>
      <c r="E9" s="1171">
        <f>KPI!G16</f>
        <v>1.45</v>
      </c>
      <c r="F9" s="1052">
        <f>IFERROR('Informe Mensual'!C8/'Informe Mensual'!C9,"")</f>
        <v>1.5375713815721508</v>
      </c>
      <c r="G9" s="1169">
        <f t="shared" si="0"/>
        <v>1.0603940562566558</v>
      </c>
      <c r="H9" s="1048" t="s">
        <v>9288</v>
      </c>
      <c r="I9" s="1048" t="str">
        <f t="shared" si="1"/>
        <v>No cumple</v>
      </c>
      <c r="J9" s="1170" t="s">
        <v>9965</v>
      </c>
      <c r="K9" s="1033"/>
    </row>
    <row r="10" spans="1:11">
      <c r="A10" s="1033"/>
      <c r="B10" s="1049"/>
      <c r="C10" s="1049" t="s">
        <v>10010</v>
      </c>
      <c r="D10" s="1048" t="s">
        <v>2214</v>
      </c>
      <c r="E10" s="1171">
        <f>KPI!G17</f>
        <v>0.2</v>
      </c>
      <c r="F10" s="1052">
        <f>'Informe Mensual'!C13</f>
        <v>0.18917441860465115</v>
      </c>
      <c r="G10" s="1169">
        <f t="shared" si="0"/>
        <v>0.9458720930232557</v>
      </c>
      <c r="H10" s="1048" t="s">
        <v>9288</v>
      </c>
      <c r="I10" s="1048" t="str">
        <f t="shared" si="1"/>
        <v>Cumple</v>
      </c>
      <c r="J10" s="1170" t="s">
        <v>9349</v>
      </c>
      <c r="K10" s="1033"/>
    </row>
    <row r="11" spans="1:11">
      <c r="A11" s="1033"/>
      <c r="B11" s="1049"/>
      <c r="C11" s="1049" t="s">
        <v>10011</v>
      </c>
      <c r="D11" s="1048" t="s">
        <v>2214</v>
      </c>
      <c r="E11" s="1172">
        <f>KPI!G19</f>
        <v>1.8</v>
      </c>
      <c r="F11" s="1173">
        <f>IFERROR(AVERAGEIFS(tblConcentrado[Prom. FeO],tblConcentrado[Fecha],"&gt;="&amp;CFG_MES,tblConcentrado[Fecha],"&lt;="&amp;CFG_FIN_MES),"")</f>
        <v>2.3968604651162773</v>
      </c>
      <c r="G11" s="1169">
        <f t="shared" si="0"/>
        <v>1.3315891472868207</v>
      </c>
      <c r="H11" s="1048" t="s">
        <v>9288</v>
      </c>
      <c r="I11" s="1048" t="str">
        <f t="shared" si="1"/>
        <v>No cumple</v>
      </c>
      <c r="J11" s="1170" t="s">
        <v>10012</v>
      </c>
      <c r="K11" s="1033"/>
    </row>
    <row r="12" spans="1:11">
      <c r="A12" s="1033"/>
      <c r="B12" s="1049"/>
      <c r="C12" s="1049" t="s">
        <v>10013</v>
      </c>
      <c r="D12" s="1048" t="s">
        <v>2229</v>
      </c>
      <c r="E12" s="1171">
        <f>KPI!G20</f>
        <v>0.34100000000000003</v>
      </c>
      <c r="F12" s="1052">
        <f>IFERROR((SUMIFS(tblControles[Valor],tblControles[Fecha],"&gt;="&amp;CFG_MES,tblControles[Fecha],"&lt;="&amp;CFG_FIN_MES,tblControles[Módulo],"AGREGADO MEDIOS",tblControles[Ítem],"BARRAS RM*")*$D$24+SUMIFS(tblControles[Valor],tblControles[Fecha],"&gt;="&amp;CFG_MES,tblControles[Fecha],"&lt;="&amp;CFG_FIN_MES,tblControles[Módulo],"AGREGADO MEDIOS",tblControles[Ítem],"BARRAS 9*")*$D$25)/'Informe Mensual'!C9,"")</f>
        <v>0.35591372385721937</v>
      </c>
      <c r="G12" s="1169">
        <f t="shared" si="0"/>
        <v>1.0437352605783559</v>
      </c>
      <c r="H12" s="1048" t="s">
        <v>9288</v>
      </c>
      <c r="I12" s="1048" t="str">
        <f t="shared" si="1"/>
        <v>No cumple</v>
      </c>
      <c r="J12" s="1170" t="s">
        <v>10014</v>
      </c>
      <c r="K12" s="1033"/>
    </row>
    <row r="13" spans="1:11">
      <c r="A13" s="1033"/>
      <c r="B13" s="1049"/>
      <c r="C13" s="1049" t="s">
        <v>10015</v>
      </c>
      <c r="D13" s="1048" t="s">
        <v>2229</v>
      </c>
      <c r="E13" s="1171">
        <f>KPI!G21</f>
        <v>0.76600000000000001</v>
      </c>
      <c r="F13" s="1052">
        <f>IFERROR(SUMIFS(tblControles[Valor],tblControles[Fecha],"&gt;="&amp;CFG_MES,tblControles[Fecha],"&lt;="&amp;CFG_FIN_MES,tblControles[Módulo],"AGREGADO MEDIOS",tblControles[Ítem],"CONOS*")*1000/'Informe Mensual'!C9,"")</f>
        <v>1.2269763139533589</v>
      </c>
      <c r="G13" s="1169">
        <f t="shared" si="0"/>
        <v>1.6017967545083014</v>
      </c>
      <c r="H13" s="1048" t="s">
        <v>9288</v>
      </c>
      <c r="I13" s="1048" t="str">
        <f t="shared" si="1"/>
        <v>No cumple</v>
      </c>
      <c r="J13" s="1170" t="s">
        <v>10016</v>
      </c>
      <c r="K13" s="1033"/>
    </row>
    <row r="14" spans="1:11">
      <c r="A14" s="1033"/>
      <c r="B14" s="1049"/>
      <c r="C14" s="1049" t="s">
        <v>10017</v>
      </c>
      <c r="D14" s="1048" t="s">
        <v>2229</v>
      </c>
      <c r="E14" s="1171">
        <f>KPI!G22</f>
        <v>0.65</v>
      </c>
      <c r="F14" s="1052">
        <f>IFERROR(SUMIFS(tblControles[Valor],tblControles[Fecha],"&gt;="&amp;CFG_MES,tblControles[Fecha],"&lt;="&amp;CFG_FIN_MES,tblControles[Módulo],"AGREGADO MEDIOS",tblControles[Ítem],"BOLAS*")*1000/'Informe Mensual'!C9,"")</f>
        <v>0.4863403524219273</v>
      </c>
      <c r="G14" s="1169">
        <f t="shared" si="0"/>
        <v>0.748215926802965</v>
      </c>
      <c r="H14" s="1048" t="s">
        <v>9288</v>
      </c>
      <c r="I14" s="1048" t="str">
        <f t="shared" si="1"/>
        <v>Cumple</v>
      </c>
      <c r="J14" s="1170" t="s">
        <v>10016</v>
      </c>
      <c r="K14" s="1033"/>
    </row>
    <row r="15" spans="1:11">
      <c r="A15" s="1033"/>
      <c r="B15" s="1049"/>
      <c r="C15" s="1049" t="s">
        <v>9511</v>
      </c>
      <c r="D15" s="1048" t="s">
        <v>2229</v>
      </c>
      <c r="E15" s="1174">
        <f>KPI!G23</f>
        <v>0.27800000000000002</v>
      </c>
      <c r="F15" s="1175">
        <f>'Informe Mensual'!C20</f>
        <v>0.33888863282733805</v>
      </c>
      <c r="G15" s="1169">
        <f t="shared" si="0"/>
        <v>1.219023859091144</v>
      </c>
      <c r="H15" s="1048" t="s">
        <v>9288</v>
      </c>
      <c r="I15" s="1048" t="str">
        <f t="shared" si="1"/>
        <v>No cumple</v>
      </c>
      <c r="J15" s="1170" t="s">
        <v>9914</v>
      </c>
      <c r="K15" s="1033"/>
    </row>
    <row r="16" spans="1:11">
      <c r="A16" s="1033"/>
      <c r="B16" s="1049"/>
      <c r="C16" s="1049" t="s">
        <v>9513</v>
      </c>
      <c r="D16" s="1048" t="s">
        <v>2229</v>
      </c>
      <c r="E16" s="1174">
        <f>KPI!G25</f>
        <v>9.0499999999999997E-2</v>
      </c>
      <c r="F16" s="1175">
        <f>'Informe Mensual'!C21</f>
        <v>0.12396910944088342</v>
      </c>
      <c r="G16" s="1169">
        <f t="shared" si="0"/>
        <v>1.3698244137114191</v>
      </c>
      <c r="H16" s="1048" t="s">
        <v>9288</v>
      </c>
      <c r="I16" s="1048" t="str">
        <f t="shared" si="1"/>
        <v>No cumple</v>
      </c>
      <c r="J16" s="1170" t="s">
        <v>9914</v>
      </c>
      <c r="K16" s="1033"/>
    </row>
    <row r="17" spans="1:11">
      <c r="A17" s="1033"/>
      <c r="B17" s="1049"/>
      <c r="C17" s="1049" t="s">
        <v>10018</v>
      </c>
      <c r="D17" s="1048" t="s">
        <v>2229</v>
      </c>
      <c r="E17" s="1171">
        <f>KPI!G26</f>
        <v>2.0760000000000001</v>
      </c>
      <c r="F17" s="1052">
        <f>'Informe Mensual'!C19</f>
        <v>1.7101379712614175</v>
      </c>
      <c r="G17" s="1169">
        <f t="shared" si="0"/>
        <v>0.82376588211050938</v>
      </c>
      <c r="H17" s="1048" t="s">
        <v>9288</v>
      </c>
      <c r="I17" s="1048" t="str">
        <f t="shared" si="1"/>
        <v>Cumple</v>
      </c>
      <c r="J17" s="1170" t="s">
        <v>9914</v>
      </c>
      <c r="K17" s="1033"/>
    </row>
    <row r="18" spans="1:11">
      <c r="A18" s="1033"/>
      <c r="B18" s="1033"/>
      <c r="C18" s="1033"/>
      <c r="D18" s="1033"/>
      <c r="E18" s="1033"/>
      <c r="F18" s="1033"/>
      <c r="G18" s="1033"/>
      <c r="H18" s="1033"/>
      <c r="I18" s="1033"/>
      <c r="J18" s="1033"/>
      <c r="K18" s="1033"/>
    </row>
    <row r="19" spans="1:11">
      <c r="A19" s="1033"/>
      <c r="B19" s="1045" t="s">
        <v>10019</v>
      </c>
      <c r="C19" s="1176" t="str">
        <f>COUNTIF(I7:I17,"Cumple")&amp;" de "&amp;(COUNTIF(I7:I17,"Cumple")+COUNTIF(I7:I17,"No cumple"))</f>
        <v>4 de 11</v>
      </c>
      <c r="D19" s="1033"/>
      <c r="E19" s="1033"/>
      <c r="F19" s="1033"/>
      <c r="G19" s="1033"/>
      <c r="H19" s="1033"/>
      <c r="I19" s="1033"/>
      <c r="J19" s="1033"/>
      <c r="K19" s="1033"/>
    </row>
    <row r="20" spans="1:11">
      <c r="A20" s="1033"/>
      <c r="B20" s="1033"/>
      <c r="C20" s="1033"/>
      <c r="D20" s="1033"/>
      <c r="E20" s="1033"/>
      <c r="F20" s="1033"/>
      <c r="G20" s="1033"/>
      <c r="H20" s="1033"/>
      <c r="I20" s="1033"/>
      <c r="J20" s="1033"/>
      <c r="K20" s="1033"/>
    </row>
    <row r="21" spans="1:11">
      <c r="A21" s="1033"/>
      <c r="B21" s="1033"/>
      <c r="C21" s="1033"/>
      <c r="D21" s="1033"/>
      <c r="E21" s="1033"/>
      <c r="F21" s="1033"/>
      <c r="G21" s="1033"/>
      <c r="H21" s="1033"/>
      <c r="I21" s="1033"/>
      <c r="J21" s="1033"/>
      <c r="K21" s="1033"/>
    </row>
    <row r="22" spans="1:11">
      <c r="A22" s="1033"/>
      <c r="B22" s="1335" t="s">
        <v>10020</v>
      </c>
      <c r="C22" s="1336"/>
      <c r="D22" s="1336"/>
      <c r="E22" s="1033"/>
      <c r="F22" s="1221" t="s">
        <v>10256</v>
      </c>
      <c r="G22" s="1221"/>
      <c r="H22" s="1221"/>
      <c r="I22" s="1221"/>
      <c r="J22" s="1221"/>
      <c r="K22" s="1033"/>
    </row>
    <row r="23" spans="1:11" ht="18.95" customHeight="1">
      <c r="A23" s="1033"/>
      <c r="B23" s="1045"/>
      <c r="C23" s="1063" t="s">
        <v>2407</v>
      </c>
      <c r="D23" s="1063" t="s">
        <v>2408</v>
      </c>
      <c r="E23" s="1033"/>
      <c r="F23" s="1545" t="s">
        <v>10100</v>
      </c>
      <c r="G23" s="1546" t="s">
        <v>10257</v>
      </c>
      <c r="H23" s="1546"/>
      <c r="I23" s="1546"/>
      <c r="J23" s="1546"/>
      <c r="K23" s="1033"/>
    </row>
    <row r="24" spans="1:11" ht="18.95" customHeight="1">
      <c r="A24" s="1033"/>
      <c r="B24" s="1033"/>
      <c r="C24" s="1049" t="s">
        <v>10021</v>
      </c>
      <c r="D24" s="1177">
        <v>241</v>
      </c>
      <c r="E24" s="1033"/>
      <c r="F24" s="1547"/>
      <c r="G24" s="1546"/>
      <c r="H24" s="1546"/>
      <c r="I24" s="1546"/>
      <c r="J24" s="1546"/>
      <c r="K24" s="1033"/>
    </row>
    <row r="25" spans="1:11" ht="18.95" customHeight="1">
      <c r="A25" s="1033"/>
      <c r="B25" s="1033"/>
      <c r="C25" s="1049" t="s">
        <v>10022</v>
      </c>
      <c r="D25" s="1177">
        <v>236</v>
      </c>
      <c r="E25" s="1033"/>
      <c r="F25" s="1545" t="s">
        <v>76</v>
      </c>
      <c r="G25" s="1546" t="s">
        <v>10258</v>
      </c>
      <c r="H25" s="1546"/>
      <c r="I25" s="1546"/>
      <c r="J25" s="1546"/>
      <c r="K25" s="1033"/>
    </row>
    <row r="26" spans="1:11" ht="18.95" customHeight="1">
      <c r="A26" s="1033"/>
      <c r="B26" s="1549"/>
      <c r="C26" s="981" t="s">
        <v>10023</v>
      </c>
      <c r="D26" s="1033"/>
      <c r="E26" s="1033"/>
      <c r="F26" s="1547"/>
      <c r="G26" s="1546"/>
      <c r="H26" s="1546"/>
      <c r="I26" s="1546"/>
      <c r="J26" s="1546"/>
      <c r="K26" s="1033"/>
    </row>
    <row r="27" spans="1:11" ht="18.95" customHeight="1">
      <c r="A27" s="1033"/>
      <c r="B27" s="1033"/>
      <c r="C27" s="1033"/>
      <c r="D27" s="1033"/>
      <c r="E27" s="1033"/>
      <c r="F27" s="1545" t="s">
        <v>46</v>
      </c>
      <c r="G27" s="1546" t="s">
        <v>10259</v>
      </c>
      <c r="H27" s="1546"/>
      <c r="I27" s="1546"/>
      <c r="J27" s="1546"/>
      <c r="K27" s="1033"/>
    </row>
    <row r="28" spans="1:11" ht="18.95" customHeight="1">
      <c r="A28" s="1033"/>
      <c r="B28" s="1033"/>
      <c r="C28" s="1033"/>
      <c r="D28" s="1033"/>
      <c r="E28" s="1033"/>
      <c r="F28" s="1547"/>
      <c r="G28" s="1546"/>
      <c r="H28" s="1546"/>
      <c r="I28" s="1546"/>
      <c r="J28" s="1546"/>
      <c r="K28" s="1033"/>
    </row>
    <row r="29" spans="1:11" ht="18.95" customHeight="1">
      <c r="A29" s="1033"/>
      <c r="B29" s="1033"/>
      <c r="C29" s="1033"/>
      <c r="D29" s="1033"/>
      <c r="E29" s="1033"/>
      <c r="F29" s="1545" t="s">
        <v>10261</v>
      </c>
      <c r="G29" s="1548" t="s">
        <v>10260</v>
      </c>
      <c r="H29" s="1548"/>
      <c r="I29" s="1548"/>
      <c r="J29" s="1548"/>
      <c r="K29" s="1033"/>
    </row>
    <row r="30" spans="1:11" ht="18.95" customHeight="1">
      <c r="A30" s="1033"/>
      <c r="B30" s="1033"/>
      <c r="C30" s="1033"/>
      <c r="D30" s="1033"/>
      <c r="E30" s="1033"/>
      <c r="F30" s="1547"/>
      <c r="G30" s="1548"/>
      <c r="H30" s="1548"/>
      <c r="I30" s="1548"/>
      <c r="J30" s="1548"/>
      <c r="K30" s="1033"/>
    </row>
    <row r="31" spans="1:11">
      <c r="A31" s="1033"/>
      <c r="B31" s="1033"/>
      <c r="C31" s="1033"/>
      <c r="D31" s="1033"/>
      <c r="E31" s="1033"/>
      <c r="F31" s="1033"/>
      <c r="G31" s="1033"/>
      <c r="H31" s="1033"/>
      <c r="I31" s="1033"/>
      <c r="J31" s="1033"/>
      <c r="K31" s="1033"/>
    </row>
    <row r="32" spans="1:11">
      <c r="A32" s="1033"/>
      <c r="B32" s="1033"/>
      <c r="C32" s="1033"/>
      <c r="D32" s="1033"/>
      <c r="E32" s="1033"/>
      <c r="F32" s="1033"/>
      <c r="G32" s="1033"/>
      <c r="H32" s="1033"/>
      <c r="I32" s="1033"/>
      <c r="J32" s="1033"/>
      <c r="K32" s="1033"/>
    </row>
    <row r="33" spans="1:11">
      <c r="A33" s="1033"/>
      <c r="B33" s="1033"/>
      <c r="C33" s="1033"/>
      <c r="D33" s="1033"/>
      <c r="E33" s="1033"/>
      <c r="F33" s="1033"/>
      <c r="G33" s="1033"/>
      <c r="H33" s="1033"/>
      <c r="I33" s="1033"/>
      <c r="J33" s="1033"/>
      <c r="K33" s="1033"/>
    </row>
    <row r="34" spans="1:11">
      <c r="A34" s="1033"/>
      <c r="B34" s="1033"/>
      <c r="C34" s="1033"/>
      <c r="D34" s="1033"/>
      <c r="E34" s="1033"/>
      <c r="F34" s="1033"/>
      <c r="G34" s="1033"/>
      <c r="H34" s="1033"/>
      <c r="I34" s="1033"/>
      <c r="J34" s="1033"/>
      <c r="K34" s="1033"/>
    </row>
    <row r="35" spans="1:11">
      <c r="A35" s="1033"/>
      <c r="B35" s="1033"/>
      <c r="C35" s="1033"/>
      <c r="D35" s="1033"/>
      <c r="E35" s="1033"/>
      <c r="F35" s="1033"/>
      <c r="G35" s="1033"/>
      <c r="H35" s="1033"/>
      <c r="I35" s="1033"/>
      <c r="J35" s="1033"/>
      <c r="K35" s="1033"/>
    </row>
    <row r="36" spans="1:11">
      <c r="A36" s="1033"/>
      <c r="B36" s="1033"/>
      <c r="C36" s="1033"/>
      <c r="D36" s="1033"/>
      <c r="E36" s="1033"/>
      <c r="F36" s="1033"/>
      <c r="G36" s="1033"/>
      <c r="H36" s="1033"/>
      <c r="I36" s="1033"/>
      <c r="J36" s="1033"/>
      <c r="K36" s="1033"/>
    </row>
    <row r="37" spans="1:11">
      <c r="A37" s="1033"/>
      <c r="B37" s="1033"/>
      <c r="C37" s="1033"/>
      <c r="D37" s="1033"/>
      <c r="E37" s="1033"/>
      <c r="F37" s="1033"/>
      <c r="G37" s="1033"/>
      <c r="H37" s="1033"/>
      <c r="I37" s="1033"/>
      <c r="J37" s="1033"/>
      <c r="K37" s="1033"/>
    </row>
    <row r="38" spans="1:11">
      <c r="A38" s="1033"/>
      <c r="B38" s="1033"/>
      <c r="C38" s="1033"/>
      <c r="D38" s="1033"/>
      <c r="E38" s="1033"/>
      <c r="F38" s="1033"/>
      <c r="G38" s="1033"/>
      <c r="H38" s="1033"/>
      <c r="I38" s="1033"/>
      <c r="J38" s="1033"/>
      <c r="K38" s="1033"/>
    </row>
    <row r="39" spans="1:11">
      <c r="A39" s="1033"/>
      <c r="B39" s="1033"/>
      <c r="C39" s="1033"/>
      <c r="D39" s="1033"/>
      <c r="E39" s="1033"/>
      <c r="F39" s="1033"/>
      <c r="G39" s="1033"/>
      <c r="H39" s="1033"/>
      <c r="I39" s="1033"/>
      <c r="J39" s="1033"/>
      <c r="K39" s="1033"/>
    </row>
    <row r="40" spans="1:11">
      <c r="A40" s="1033"/>
      <c r="B40" s="1033"/>
      <c r="C40" s="1033"/>
      <c r="D40" s="1033"/>
      <c r="E40" s="1033"/>
      <c r="F40" s="1033"/>
      <c r="G40" s="1033"/>
      <c r="H40" s="1033"/>
      <c r="I40" s="1033"/>
      <c r="J40" s="1033"/>
      <c r="K40" s="1033"/>
    </row>
  </sheetData>
  <mergeCells count="12">
    <mergeCell ref="G25:J26"/>
    <mergeCell ref="F25:F26"/>
    <mergeCell ref="G27:J28"/>
    <mergeCell ref="F27:F28"/>
    <mergeCell ref="G29:J30"/>
    <mergeCell ref="F29:F30"/>
    <mergeCell ref="B1:J1"/>
    <mergeCell ref="D4:J4"/>
    <mergeCell ref="B22:D22"/>
    <mergeCell ref="F22:J22"/>
    <mergeCell ref="G23:J24"/>
    <mergeCell ref="F23:F24"/>
  </mergeCells>
  <conditionalFormatting sqref="I7:I17">
    <cfRule type="containsText" dxfId="30" priority="1" operator="containsText" text="No cumple">
      <formula>NOT(ISERROR(SEARCH("No cumple",I7)))</formula>
    </cfRule>
  </conditionalFormatting>
  <conditionalFormatting sqref="I7:I17">
    <cfRule type="containsText" dxfId="29" priority="2" operator="containsText" text="Cumple">
      <formula>NOT(ISERROR(SEARCH("Cumple",I7)))</formula>
    </cfRule>
  </conditionalFormatting>
  <dataValidations count="1">
    <dataValidation type="list" allowBlank="1" showInputMessage="1" showErrorMessage="1" sqref="H7:H17" xr:uid="{F37F77CA-4636-4D44-AE7B-6591F32A86CC}">
      <formula1>"Máx,Mín"</formula1>
    </dataValidation>
  </dataValidations>
  <printOptions horizontalCentered="1"/>
  <pageMargins left="0.5" right="0.5" top="0.61111111111111116" bottom="0.61111111111111116" header="0.3" footer="0.3"/>
  <pageSetup paperSize="0" scale="0" fitToHeight="0" orientation="portrait" horizontalDpi="0" verticalDpi="0" copies="0"/>
  <headerFooter>
    <oddHeader>&amp;Z&amp;R</oddHeader>
    <oddFooter>&amp;CShougang Hierro Perú S.A.A. — Beneficio ZA — KPI Mes — Página &amp;P de &amp;F</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D5CF3-D0E5-4029-93F8-A87ED7886DFD}">
  <sheetPr codeName="Hoja38">
    <tabColor rgb="FF2F75B5"/>
    <pageSetUpPr fitToPage="1"/>
  </sheetPr>
  <dimension ref="A1:F60"/>
  <sheetViews>
    <sheetView showGridLines="0" workbookViewId="0">
      <selection activeCell="C3" sqref="C3:D3"/>
    </sheetView>
  </sheetViews>
  <sheetFormatPr baseColWidth="10" defaultRowHeight="15"/>
  <cols>
    <col min="1" max="1" width="2.85546875" customWidth="1"/>
    <col min="2" max="2" width="62.85546875" customWidth="1"/>
    <col min="3" max="3" width="21" customWidth="1"/>
    <col min="4" max="4" width="13.28515625" customWidth="1"/>
    <col min="5" max="5" width="62.85546875" customWidth="1"/>
  </cols>
  <sheetData>
    <row r="1" spans="1:6" ht="22.5" customHeight="1">
      <c r="A1" s="1033"/>
      <c r="B1" s="1219" t="s">
        <v>9926</v>
      </c>
      <c r="C1" s="1220"/>
      <c r="D1" s="1220"/>
      <c r="E1" s="1220"/>
      <c r="F1" s="1033"/>
    </row>
    <row r="2" spans="1:6">
      <c r="A2" s="1033"/>
      <c r="B2" s="1033"/>
      <c r="C2" s="1033"/>
      <c r="D2" s="1033"/>
      <c r="E2" s="1033"/>
      <c r="F2" s="1033"/>
    </row>
    <row r="3" spans="1:6" ht="15.75">
      <c r="A3" s="1033"/>
      <c r="B3" s="1047" t="s">
        <v>323</v>
      </c>
      <c r="C3" s="1308" t="str">
        <f>CFG_MES_TXT</f>
        <v>Setiembre 2026</v>
      </c>
      <c r="D3" s="1308"/>
      <c r="E3" s="1033"/>
      <c r="F3" s="1033"/>
    </row>
    <row r="4" spans="1:6">
      <c r="A4" s="1033"/>
      <c r="B4" s="1047" t="s">
        <v>9927</v>
      </c>
      <c r="C4" s="1333" t="str">
        <f ca="1">MAX(0,MIN(CFG_DIAS,TODAY()-CFG_MES+1))&amp;" de "&amp;CFG_DIAS</f>
        <v>30 de 30</v>
      </c>
      <c r="D4" s="1333"/>
      <c r="E4" s="1033"/>
      <c r="F4" s="1033"/>
    </row>
    <row r="5" spans="1:6">
      <c r="A5" s="1033"/>
      <c r="B5" s="1033"/>
      <c r="C5" s="1033"/>
      <c r="D5" s="1033"/>
      <c r="E5" s="1033"/>
      <c r="F5" s="1033"/>
    </row>
    <row r="6" spans="1:6">
      <c r="A6" s="1033"/>
      <c r="B6" s="1066" t="s">
        <v>9928</v>
      </c>
      <c r="C6" s="1066" t="s">
        <v>2408</v>
      </c>
      <c r="D6" s="1066" t="s">
        <v>2409</v>
      </c>
      <c r="E6" s="1066" t="s">
        <v>2435</v>
      </c>
      <c r="F6" s="1033"/>
    </row>
    <row r="7" spans="1:6">
      <c r="A7" s="1033"/>
      <c r="B7" s="1315" t="s">
        <v>9929</v>
      </c>
      <c r="C7" s="1331"/>
      <c r="D7" s="1221"/>
      <c r="E7" s="1332"/>
      <c r="F7" s="1033"/>
    </row>
    <row r="8" spans="1:6">
      <c r="A8" s="1033"/>
      <c r="B8" s="1049" t="s">
        <v>9934</v>
      </c>
      <c r="C8" s="1086">
        <f>SUMIFS(tblConcentrado[Mineral (TMS)],tblConcentrado[Fecha],"&gt;="&amp;CFG_MES,tblConcentrado[Fecha],"&lt;="&amp;CFG_FIN_MES)</f>
        <v>967423</v>
      </c>
      <c r="D8" s="1048" t="s">
        <v>1392</v>
      </c>
      <c r="E8" s="1087" t="s">
        <v>9941</v>
      </c>
      <c r="F8" s="1033"/>
    </row>
    <row r="9" spans="1:6">
      <c r="A9" s="1033"/>
      <c r="B9" s="1049" t="s">
        <v>9935</v>
      </c>
      <c r="C9" s="1086">
        <f>SUMIFS(tblConcentrado[Concentrado (TMS)],tblConcentrado[Fecha],"&gt;="&amp;CFG_MES,tblConcentrado[Fecha],"&lt;="&amp;CFG_FIN_MES)</f>
        <v>629189</v>
      </c>
      <c r="D9" s="1048" t="s">
        <v>1392</v>
      </c>
      <c r="E9" s="1087"/>
      <c r="F9" s="1033"/>
    </row>
    <row r="10" spans="1:6">
      <c r="A10" s="1033"/>
      <c r="B10" s="1049" t="s">
        <v>9942</v>
      </c>
      <c r="C10" s="1088">
        <f>COUNTIFS(tblDias[Fecha],"&gt;="&amp;CFG_MES,tblDias[Fecha],"&lt;="&amp;CFG_FIN_MES,tblDias[Horas cargadas],"&gt;0")</f>
        <v>30</v>
      </c>
      <c r="D10" s="1048" t="s">
        <v>9940</v>
      </c>
      <c r="E10" s="1087"/>
      <c r="F10" s="1033"/>
    </row>
    <row r="11" spans="1:6">
      <c r="A11" s="1033"/>
      <c r="B11" s="1049" t="s">
        <v>9936</v>
      </c>
      <c r="C11" s="1086">
        <f>IF(C9=0,"",C9-P_AJUSTE_CONC*C10)</f>
        <v>614189</v>
      </c>
      <c r="D11" s="1048" t="s">
        <v>1392</v>
      </c>
      <c r="E11" s="1087" t="s">
        <v>9943</v>
      </c>
      <c r="F11" s="1033"/>
    </row>
    <row r="12" spans="1:6">
      <c r="A12" s="1033"/>
      <c r="B12" s="1049" t="s">
        <v>9937</v>
      </c>
      <c r="C12" s="1089">
        <f>IFERROR(C9/C8,"")</f>
        <v>0.65037630901890897</v>
      </c>
      <c r="D12" s="1048" t="s">
        <v>2214</v>
      </c>
      <c r="E12" s="1087"/>
      <c r="F12" s="1033"/>
    </row>
    <row r="13" spans="1:6">
      <c r="A13" s="1033"/>
      <c r="B13" s="1049" t="s">
        <v>9938</v>
      </c>
      <c r="C13" s="1090">
        <f>IFERROR(AVERAGEIFS(tblConcentrado[S (%)],tblConcentrado[Fecha],"&gt;="&amp;CFG_MES,tblConcentrado[Fecha],"&lt;="&amp;CFG_FIN_MES),"")</f>
        <v>0.18917441860465115</v>
      </c>
      <c r="D13" s="1048" t="s">
        <v>2214</v>
      </c>
      <c r="E13" s="1087" t="s">
        <v>9944</v>
      </c>
      <c r="F13" s="1033"/>
    </row>
    <row r="14" spans="1:6">
      <c r="A14" s="1033"/>
      <c r="B14" s="1049" t="s">
        <v>9939</v>
      </c>
      <c r="C14" s="1088">
        <f ca="1">COUNTIFS(tblDias[Fecha],"&gt;="&amp;CFG_MES,tblDias[Fecha],"&lt;="&amp;CFG_FIN_MES,tblDias[Semáforo concentrado],"Completo")</f>
        <v>28</v>
      </c>
      <c r="D14" s="1048" t="s">
        <v>9940</v>
      </c>
      <c r="E14" s="1087"/>
      <c r="F14" s="1033"/>
    </row>
    <row r="15" spans="1:6">
      <c r="A15" s="1033"/>
      <c r="B15" s="1315" t="s">
        <v>9930</v>
      </c>
      <c r="C15" s="1331"/>
      <c r="D15" s="1221"/>
      <c r="E15" s="1332"/>
      <c r="F15" s="1033"/>
    </row>
    <row r="16" spans="1:6">
      <c r="A16" s="1033"/>
      <c r="B16" s="1049" t="s">
        <v>9508</v>
      </c>
      <c r="C16" s="1086">
        <f>SUMIFS(tblControles[Valor],tblControles[Fecha],"&gt;="&amp;CFG_MES,tblControles[Fecha],"&lt;="&amp;CFG_FIN_MES,tblControles[Módulo],"REACTIVOS",tblControles[Ítem],"Ácido oxálico")</f>
        <v>1076000</v>
      </c>
      <c r="D16" s="1048" t="s">
        <v>9510</v>
      </c>
      <c r="E16" s="1087"/>
      <c r="F16" s="1033"/>
    </row>
    <row r="17" spans="1:6">
      <c r="A17" s="1033"/>
      <c r="B17" s="1049" t="s">
        <v>9511</v>
      </c>
      <c r="C17" s="1086">
        <f>SUMIFS(tblControles[Valor],tblControles[Fecha],"&gt;="&amp;CFG_MES,tblControles[Fecha],"&lt;="&amp;CFG_FIN_MES,tblControles[Módulo],"REACTIVOS",tblControles[Ítem],"Xantato")</f>
        <v>213225</v>
      </c>
      <c r="D17" s="1048" t="s">
        <v>9510</v>
      </c>
      <c r="E17" s="1087"/>
      <c r="F17" s="1033"/>
    </row>
    <row r="18" spans="1:6">
      <c r="A18" s="1033"/>
      <c r="B18" s="1049" t="s">
        <v>9513</v>
      </c>
      <c r="C18" s="1086">
        <f>SUMIFS(tblControles[Valor],tblControles[Fecha],"&gt;="&amp;CFG_MES,tblControles[Fecha],"&lt;="&amp;CFG_FIN_MES,tblControles[Módulo],"REACTIVOS",tblControles[Ítem],"Espumante")</f>
        <v>78000</v>
      </c>
      <c r="D18" s="1048" t="s">
        <v>9510</v>
      </c>
      <c r="E18" s="1087"/>
      <c r="F18" s="1033"/>
    </row>
    <row r="19" spans="1:6">
      <c r="A19" s="1033"/>
      <c r="B19" s="1049" t="s">
        <v>9945</v>
      </c>
      <c r="C19" s="1091">
        <f>IFERROR(C16/C9,"")</f>
        <v>1.7101379712614175</v>
      </c>
      <c r="D19" s="1048" t="s">
        <v>9946</v>
      </c>
      <c r="E19" s="1087"/>
      <c r="F19" s="1033"/>
    </row>
    <row r="20" spans="1:6">
      <c r="A20" s="1033"/>
      <c r="B20" s="1049" t="s">
        <v>9947</v>
      </c>
      <c r="C20" s="1091">
        <f>IFERROR(C17/C9,"")</f>
        <v>0.33888863282733805</v>
      </c>
      <c r="D20" s="1048" t="s">
        <v>9946</v>
      </c>
      <c r="E20" s="1087"/>
      <c r="F20" s="1033"/>
    </row>
    <row r="21" spans="1:6">
      <c r="A21" s="1033"/>
      <c r="B21" s="1049" t="s">
        <v>9948</v>
      </c>
      <c r="C21" s="1091">
        <f>IFERROR(C18/C9,"")</f>
        <v>0.12396910944088342</v>
      </c>
      <c r="D21" s="1048" t="s">
        <v>9946</v>
      </c>
      <c r="E21" s="1087"/>
      <c r="F21" s="1033"/>
    </row>
    <row r="22" spans="1:6">
      <c r="A22" s="1033"/>
      <c r="B22" s="1315" t="s">
        <v>9931</v>
      </c>
      <c r="C22" s="1331"/>
      <c r="D22" s="1221"/>
      <c r="E22" s="1332"/>
      <c r="F22" s="1033"/>
    </row>
    <row r="23" spans="1:6">
      <c r="A23" s="1033"/>
      <c r="B23" s="1049" t="s">
        <v>9949</v>
      </c>
      <c r="C23" s="1086">
        <f>SUMIFS(tblControles[Valor],tblControles[Fecha],"&gt;="&amp;CFG_MES,tblControles[Fecha],"&lt;="&amp;CFG_FIN_MES,tblControles[Módulo],"TONELADAS X TURNO")</f>
        <v>961121</v>
      </c>
      <c r="D23" s="1048" t="s">
        <v>1392</v>
      </c>
      <c r="E23" s="1087"/>
      <c r="F23" s="1033"/>
    </row>
    <row r="24" spans="1:6">
      <c r="A24" s="1033"/>
      <c r="B24" s="1049" t="s">
        <v>9950</v>
      </c>
      <c r="C24" s="1086">
        <f>SUMIFS(tblControles[Valor],tblControles[Fecha],"&gt;="&amp;CFG_MES,tblControles[Fecha],"&lt;="&amp;CFG_FIN_MES,tblControles[Módulo],"AGREGADO MEDIOS",tblControles[Ítem],"BARRAS*")</f>
        <v>932</v>
      </c>
      <c r="D24" s="1048" t="s">
        <v>9515</v>
      </c>
      <c r="E24" s="1087"/>
      <c r="F24" s="1033"/>
    </row>
    <row r="25" spans="1:6">
      <c r="A25" s="1033"/>
      <c r="B25" s="1049" t="s">
        <v>9951</v>
      </c>
      <c r="C25" s="1086">
        <f>SUMIFS(tblControles[Valor],tblControles[Fecha],"&gt;="&amp;CFG_MES,tblControles[Fecha],"&lt;="&amp;CFG_FIN_MES,tblControles[Módulo],"AGREGADO MEDIOS")-C24</f>
        <v>1078</v>
      </c>
      <c r="D25" s="1048" t="s">
        <v>9517</v>
      </c>
      <c r="E25" s="1087"/>
      <c r="F25" s="1033"/>
    </row>
    <row r="26" spans="1:6">
      <c r="A26" s="1033"/>
      <c r="B26" s="1315" t="s">
        <v>9933</v>
      </c>
      <c r="C26" s="1331"/>
      <c r="D26" s="1221"/>
      <c r="E26" s="1332"/>
      <c r="F26" s="1033"/>
    </row>
    <row r="27" spans="1:6">
      <c r="A27" s="1033"/>
      <c r="B27" s="1049" t="s">
        <v>9952</v>
      </c>
      <c r="C27" s="1092">
        <f>IFERROR(COUNTIFS(tblControles[Fecha],"&gt;="&amp;CFG_MES,tblControles[Fecha],"&lt;="&amp;CFG_FIN_MES,tblControles[Módulo],"FILTROS H2O",tblControles[Valor],"OK")/(COUNTIFS(tblControles[Fecha],"&gt;="&amp;CFG_MES,tblControles[Fecha],"&lt;="&amp;CFG_FIN_MES,tblControles[Módulo],"FILTROS H2O",tblControles[Valor],"OK")+COUNTIFS(tblControles[Fecha],"&gt;="&amp;CFG_MES,tblControles[Fecha],"&lt;="&amp;CFG_FIN_MES,tblControles[Módulo],"FILTROS H2O",tblControles[Valor],"X")),"")</f>
        <v>0.70454545454545459</v>
      </c>
      <c r="D27" s="1048" t="s">
        <v>2214</v>
      </c>
      <c r="E27" s="1087"/>
      <c r="F27" s="1033"/>
    </row>
    <row r="28" spans="1:6">
      <c r="A28" s="1033"/>
      <c r="B28" s="1049" t="s">
        <v>9953</v>
      </c>
      <c r="C28" s="1092">
        <f>IFERROR(COUNTIFS(tblControles[Fecha],"&gt;="&amp;CFG_MES,tblControles[Fecha],"&lt;="&amp;CFG_FIN_MES,tblControles[Módulo],"PURGA TKS AIRE",tblControles[Valor],"OK")/(COUNTIFS(tblControles[Fecha],"&gt;="&amp;CFG_MES,tblControles[Fecha],"&lt;="&amp;CFG_FIN_MES,tblControles[Módulo],"PURGA TKS AIRE",tblControles[Valor],"OK")+COUNTIFS(tblControles[Fecha],"&gt;="&amp;CFG_MES,tblControles[Fecha],"&lt;="&amp;CFG_FIN_MES,tblControles[Módulo],"PURGA TKS AIRE",tblControles[Valor],"X")),"")</f>
        <v>0.93333333333333335</v>
      </c>
      <c r="D28" s="1048" t="s">
        <v>2214</v>
      </c>
      <c r="E28" s="1087"/>
      <c r="F28" s="1033"/>
    </row>
    <row r="29" spans="1:6">
      <c r="A29" s="1033"/>
      <c r="B29" s="1049" t="s">
        <v>9954</v>
      </c>
      <c r="C29" s="1092" t="str">
        <f>IFERROR(COUNTIFS(tblControles[Fecha],"&gt;="&amp;CFG_MES,tblControles[Fecha],"&lt;="&amp;CFG_FIN_MES,tblControles[Módulo],"LIMPIEZA SEP.MAG. COBBER",tblControles[Valor],"OK")/(COUNTIFS(tblControles[Fecha],"&gt;="&amp;CFG_MES,tblControles[Fecha],"&lt;="&amp;CFG_FIN_MES,tblControles[Módulo],"LIMPIEZA SEP.MAG. COBBER",tblControles[Valor],"OK")+COUNTIFS(tblControles[Fecha],"&gt;="&amp;CFG_MES,tblControles[Fecha],"&lt;="&amp;CFG_FIN_MES,tblControles[Módulo],"LIMPIEZA SEP.MAG. COBBER",tblControles[Valor],"X")),"")</f>
        <v/>
      </c>
      <c r="D29" s="1048" t="s">
        <v>2214</v>
      </c>
      <c r="E29" s="1087"/>
      <c r="F29" s="1033"/>
    </row>
    <row r="30" spans="1:6">
      <c r="A30" s="1033"/>
      <c r="B30" s="1049" t="s">
        <v>9955</v>
      </c>
      <c r="C30" s="1092" t="str">
        <f>IFERROR(COUNTIFS(tblControles[Fecha],"&gt;="&amp;CFG_MES,tblControles[Fecha],"&lt;="&amp;CFG_FIN_MES,tblControles[Módulo],"LIMPIEZA CANALETAS",tblControles[Valor],"OK")/(COUNTIFS(tblControles[Fecha],"&gt;="&amp;CFG_MES,tblControles[Fecha],"&lt;="&amp;CFG_FIN_MES,tblControles[Módulo],"LIMPIEZA CANALETAS",tblControles[Valor],"OK")+COUNTIFS(tblControles[Fecha],"&gt;="&amp;CFG_MES,tblControles[Fecha],"&lt;="&amp;CFG_FIN_MES,tblControles[Módulo],"LIMPIEZA CANALETAS",tblControles[Valor],"X")),"")</f>
        <v/>
      </c>
      <c r="D30" s="1048" t="s">
        <v>2214</v>
      </c>
      <c r="E30" s="1087"/>
      <c r="F30" s="1033"/>
    </row>
    <row r="31" spans="1:6">
      <c r="A31" s="1033"/>
      <c r="B31" s="1315" t="s">
        <v>9932</v>
      </c>
      <c r="C31" s="1331"/>
      <c r="D31" s="1221"/>
      <c r="E31" s="1332"/>
      <c r="F31" s="1033"/>
    </row>
    <row r="32" spans="1:6">
      <c r="A32" s="1033"/>
      <c r="B32" s="1049" t="s">
        <v>9956</v>
      </c>
      <c r="C32" s="1088">
        <f>COUNTIFS(tblParadas[Fecha],"&gt;="&amp;CFG_MES,tblParadas[Fecha],"&lt;="&amp;CFG_FIN_MES)</f>
        <v>54</v>
      </c>
      <c r="D32" s="1048" t="s">
        <v>9957</v>
      </c>
      <c r="E32" s="1087"/>
      <c r="F32" s="1033"/>
    </row>
    <row r="33" spans="1:6">
      <c r="A33" s="1033"/>
      <c r="B33" s="1049" t="s">
        <v>9550</v>
      </c>
      <c r="C33" s="1093">
        <f>SUMIFS(tblParadas[Horas perdidas],tblParadas[Fecha],"&gt;="&amp;CFG_MES,tblParadas[Fecha],"&lt;="&amp;CFG_FIN_MES)</f>
        <v>113.65</v>
      </c>
      <c r="D33" s="1048" t="s">
        <v>4</v>
      </c>
      <c r="E33" s="1087"/>
      <c r="F33" s="1033"/>
    </row>
    <row r="34" spans="1:6">
      <c r="A34" s="1033"/>
      <c r="B34" s="1049" t="s">
        <v>9958</v>
      </c>
      <c r="C34" s="1086">
        <f>SUMIFS(tblParadas[Mineral no procesado (TM)],tblParadas[Fecha],"&gt;="&amp;CFG_MES,tblParadas[Fecha],"&lt;="&amp;CFG_FIN_MES)</f>
        <v>22247.8</v>
      </c>
      <c r="D34" s="1048" t="s">
        <v>9517</v>
      </c>
      <c r="E34" s="1087"/>
      <c r="F34" s="1033"/>
    </row>
    <row r="35" spans="1:6">
      <c r="A35" s="1033"/>
      <c r="B35" s="1125" t="s">
        <v>9959</v>
      </c>
      <c r="C35" s="1178">
        <f>SUMIFS(tblParadas[Concentrado no producido (TMS)],tblParadas[Fecha],"&gt;="&amp;CFG_MES,tblParadas[Fecha],"&lt;="&amp;CFG_FIN_MES)</f>
        <v>14831.866666666669</v>
      </c>
      <c r="D35" s="1130" t="s">
        <v>1392</v>
      </c>
      <c r="E35" s="1179"/>
      <c r="F35" s="1033"/>
    </row>
    <row r="36" spans="1:6">
      <c r="A36" s="1033"/>
      <c r="B36" s="1329" t="s">
        <v>10024</v>
      </c>
      <c r="C36" s="1329"/>
      <c r="D36" s="1329"/>
      <c r="E36" s="1329"/>
      <c r="F36" s="1033"/>
    </row>
    <row r="37" spans="1:6">
      <c r="A37" s="1033"/>
      <c r="B37" s="1049" t="s">
        <v>10025</v>
      </c>
      <c r="C37" s="1088">
        <f>COUNTIFS(tblMantto[Fecha],"&gt;="&amp;CFG_MES,tblMantto[Fecha],"&lt;="&amp;CFG_FIN_MES)</f>
        <v>0</v>
      </c>
      <c r="D37" s="1048" t="s">
        <v>10026</v>
      </c>
      <c r="E37" s="1087" t="s">
        <v>10027</v>
      </c>
      <c r="F37" s="1033"/>
    </row>
    <row r="38" spans="1:6">
      <c r="A38" s="1033"/>
      <c r="B38" s="1049" t="s">
        <v>9985</v>
      </c>
      <c r="C38" s="1093">
        <f>SUMIFS(tblMantto[Horas],tblMantto[Fecha],"&gt;="&amp;CFG_MES,tblMantto[Fecha],"&lt;="&amp;CFG_FIN_MES)</f>
        <v>0</v>
      </c>
      <c r="D38" s="1048" t="s">
        <v>4</v>
      </c>
      <c r="E38" s="1087"/>
      <c r="F38" s="1033"/>
    </row>
    <row r="39" spans="1:6">
      <c r="A39" s="1033"/>
      <c r="B39" s="1049" t="s">
        <v>10028</v>
      </c>
      <c r="C39" s="1092" t="str">
        <f>IFERROR(COUNTIFS(tblMantto[Fecha],"&gt;="&amp;CFG_MES,tblMantto[Fecha],"&lt;="&amp;CFG_FIN_MES,tblMantto[Estado],"Terminado")/COUNTIFS(tblMantto[Fecha],"&gt;="&amp;CFG_MES,tblMantto[Fecha],"&lt;="&amp;CFG_FIN_MES),"")</f>
        <v/>
      </c>
      <c r="D39" s="1048" t="s">
        <v>2214</v>
      </c>
      <c r="E39" s="1087"/>
      <c r="F39" s="1033"/>
    </row>
    <row r="40" spans="1:6">
      <c r="A40" s="1033"/>
      <c r="B40" s="1049" t="s">
        <v>10029</v>
      </c>
      <c r="C40" s="1088">
        <f>COUNTIFS(tblBombas[Fecha],"&gt;="&amp;CFG_MES,tblBombas[Fecha],"&lt;="&amp;CFG_FIN_MES)</f>
        <v>0</v>
      </c>
      <c r="D40" s="1048" t="s">
        <v>9515</v>
      </c>
      <c r="E40" s="1087" t="s">
        <v>10030</v>
      </c>
      <c r="F40" s="1033"/>
    </row>
    <row r="41" spans="1:6">
      <c r="A41" s="1033"/>
      <c r="B41" s="1049" t="s">
        <v>10031</v>
      </c>
      <c r="C41" s="1088">
        <f>COUNTIFS(tblBombas[Fecha],"&gt;="&amp;CFG_MES,tblBombas[Fecha],"&lt;="&amp;CFG_FIN_MES,tblBombas[Tipo de mantenimiento],"Correctivo")</f>
        <v>0</v>
      </c>
      <c r="D41" s="1048" t="s">
        <v>9515</v>
      </c>
      <c r="E41" s="1087"/>
      <c r="F41" s="1033"/>
    </row>
    <row r="42" spans="1:6">
      <c r="A42" s="1033"/>
      <c r="B42" s="1329" t="s">
        <v>10032</v>
      </c>
      <c r="C42" s="1329"/>
      <c r="D42" s="1329"/>
      <c r="E42" s="1329"/>
      <c r="F42" s="1033"/>
    </row>
    <row r="43" spans="1:6">
      <c r="A43" s="1033"/>
      <c r="B43" s="1125" t="s">
        <v>10033</v>
      </c>
      <c r="C43" s="1197" t="str">
        <f>'KPI Mes'!C19</f>
        <v>4 de 11</v>
      </c>
      <c r="D43" s="1130"/>
      <c r="E43" s="1179" t="s">
        <v>10034</v>
      </c>
      <c r="F43" s="1033"/>
    </row>
    <row r="44" spans="1:6">
      <c r="A44" s="1033"/>
      <c r="B44" s="1315" t="s">
        <v>10211</v>
      </c>
      <c r="C44" s="1330"/>
      <c r="D44" s="1330"/>
      <c r="E44" s="1330"/>
      <c r="F44" s="1033"/>
    </row>
    <row r="45" spans="1:6">
      <c r="A45" s="1033"/>
      <c r="B45" s="1049" t="s">
        <v>10191</v>
      </c>
      <c r="C45" s="1088">
        <f>Operatividad!I10</f>
        <v>19</v>
      </c>
      <c r="D45" s="1048" t="s">
        <v>9515</v>
      </c>
      <c r="E45" s="1087" t="s">
        <v>10212</v>
      </c>
      <c r="F45" s="1033"/>
    </row>
    <row r="46" spans="1:6">
      <c r="A46" s="1033"/>
      <c r="B46" s="1049" t="s">
        <v>10213</v>
      </c>
      <c r="C46" s="1093">
        <f>Operatividad!I9</f>
        <v>113</v>
      </c>
      <c r="D46" s="1048" t="s">
        <v>4</v>
      </c>
      <c r="E46" s="1087"/>
      <c r="F46" s="1033"/>
    </row>
    <row r="47" spans="1:6">
      <c r="A47" s="1033"/>
      <c r="B47" s="1049" t="s">
        <v>10214</v>
      </c>
      <c r="C47" s="1089">
        <f ca="1">IFERROR(MIN(Operatividad!K26:K65),"")</f>
        <v>0.97334722222222225</v>
      </c>
      <c r="D47" s="1048" t="s">
        <v>2214</v>
      </c>
      <c r="E47" s="1087"/>
      <c r="F47" s="1033"/>
    </row>
    <row r="48" spans="1:6">
      <c r="A48" s="1033"/>
      <c r="B48" s="1049" t="s">
        <v>10215</v>
      </c>
      <c r="C48" s="1088">
        <f ca="1">COUNTIF(Operatividad!K26:K65,"&lt;"&amp;Operatividad!D9)</f>
        <v>0</v>
      </c>
      <c r="D48" s="1048" t="s">
        <v>9515</v>
      </c>
      <c r="E48" s="1087"/>
      <c r="F48" s="1033"/>
    </row>
    <row r="49" spans="1:6">
      <c r="A49" s="1033"/>
      <c r="B49" s="1033"/>
      <c r="C49" s="1033"/>
      <c r="D49" s="1033"/>
      <c r="E49" s="1033"/>
      <c r="F49" s="1033"/>
    </row>
    <row r="50" spans="1:6">
      <c r="A50" s="1033"/>
      <c r="B50" s="1033"/>
      <c r="C50" s="1033"/>
      <c r="D50" s="1033"/>
      <c r="E50" s="1033"/>
      <c r="F50" s="1033"/>
    </row>
    <row r="51" spans="1:6">
      <c r="A51" s="1033"/>
      <c r="B51" s="1033"/>
      <c r="C51" s="1033"/>
      <c r="D51" s="1033"/>
      <c r="E51" s="1033"/>
      <c r="F51" s="1033"/>
    </row>
    <row r="52" spans="1:6">
      <c r="A52" s="1033"/>
      <c r="B52" s="1033"/>
      <c r="C52" s="1033"/>
      <c r="D52" s="1033"/>
      <c r="E52" s="1033"/>
      <c r="F52" s="1033"/>
    </row>
    <row r="53" spans="1:6">
      <c r="A53" s="1033"/>
      <c r="B53" s="1033"/>
      <c r="C53" s="1033"/>
      <c r="D53" s="1033"/>
      <c r="E53" s="1033"/>
      <c r="F53" s="1033"/>
    </row>
    <row r="54" spans="1:6">
      <c r="A54" s="1033"/>
      <c r="B54" s="1033"/>
      <c r="C54" s="1033"/>
      <c r="D54" s="1033"/>
      <c r="E54" s="1033"/>
      <c r="F54" s="1033"/>
    </row>
    <row r="55" spans="1:6">
      <c r="A55" s="1033"/>
      <c r="B55" s="1033"/>
      <c r="C55" s="1033"/>
      <c r="D55" s="1033"/>
      <c r="E55" s="1033"/>
      <c r="F55" s="1033"/>
    </row>
    <row r="56" spans="1:6">
      <c r="A56" s="1033"/>
      <c r="B56" s="1033"/>
      <c r="C56" s="1033"/>
      <c r="D56" s="1033"/>
      <c r="E56" s="1033"/>
      <c r="F56" s="1033"/>
    </row>
    <row r="57" spans="1:6">
      <c r="A57" s="1033"/>
      <c r="B57" s="1033"/>
      <c r="C57" s="1033"/>
      <c r="D57" s="1033"/>
      <c r="E57" s="1033"/>
      <c r="F57" s="1033"/>
    </row>
    <row r="58" spans="1:6">
      <c r="A58" s="1033"/>
      <c r="B58" s="1033"/>
      <c r="C58" s="1033"/>
      <c r="D58" s="1033"/>
      <c r="E58" s="1033"/>
      <c r="F58" s="1033"/>
    </row>
    <row r="59" spans="1:6">
      <c r="A59" s="1033"/>
      <c r="B59" s="1033"/>
      <c r="C59" s="1033"/>
      <c r="D59" s="1033"/>
      <c r="E59" s="1033"/>
      <c r="F59" s="1033"/>
    </row>
    <row r="60" spans="1:6">
      <c r="A60" s="1033"/>
      <c r="B60" s="1033"/>
      <c r="C60" s="1033"/>
      <c r="D60" s="1033"/>
      <c r="E60" s="1033"/>
      <c r="F60" s="1033"/>
    </row>
  </sheetData>
  <mergeCells count="11">
    <mergeCell ref="B22:E22"/>
    <mergeCell ref="B1:E1"/>
    <mergeCell ref="C3:D3"/>
    <mergeCell ref="C4:D4"/>
    <mergeCell ref="B7:E7"/>
    <mergeCell ref="B15:E15"/>
    <mergeCell ref="B36:E36"/>
    <mergeCell ref="B42:E42"/>
    <mergeCell ref="B44:E44"/>
    <mergeCell ref="B26:E26"/>
    <mergeCell ref="B31:E31"/>
  </mergeCells>
  <printOptions horizontalCentered="1"/>
  <pageMargins left="0.5" right="0.5" top="0.61111111111111116" bottom="0.61111111111111116" header="0.3" footer="0.3"/>
  <pageSetup paperSize="9" scale="54" orientation="portrait" r:id="rId1"/>
  <headerFooter>
    <oddHeader>&amp;Z&amp;R</oddHeader>
    <oddFooter>&amp;CShougang Hierro Perú S.A.A. — Beneficio ZA — Informe Mensual — Página &amp;P de &amp;F</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3E7BD-E941-4D0D-9272-C3C13350318B}">
  <sheetPr codeName="Hoja36">
    <tabColor rgb="FF2F75B5"/>
    <pageSetUpPr fitToPage="1"/>
  </sheetPr>
  <dimension ref="A1:P70"/>
  <sheetViews>
    <sheetView showGridLines="0" zoomScale="85" zoomScaleNormal="85" workbookViewId="0"/>
  </sheetViews>
  <sheetFormatPr baseColWidth="10" defaultRowHeight="15"/>
  <cols>
    <col min="1" max="1" width="2.85546875" customWidth="1"/>
    <col min="2" max="3" width="21" customWidth="1"/>
    <col min="4" max="4" width="11.85546875" customWidth="1"/>
    <col min="5" max="5" width="14.85546875" customWidth="1"/>
    <col min="6" max="13" width="15.5703125" customWidth="1"/>
    <col min="14" max="14" width="19" customWidth="1"/>
  </cols>
  <sheetData>
    <row r="1" spans="1:16" ht="22.5" customHeight="1">
      <c r="A1" s="1033"/>
      <c r="B1" s="1219" t="s">
        <v>10184</v>
      </c>
      <c r="C1" s="1220"/>
      <c r="D1" s="1220"/>
      <c r="E1" s="1220"/>
      <c r="F1" s="1220"/>
      <c r="G1" s="1220"/>
      <c r="H1" s="1220"/>
      <c r="I1" s="1220"/>
      <c r="J1" s="1220"/>
      <c r="K1" s="1220"/>
      <c r="L1" s="1220"/>
      <c r="M1" s="1220"/>
      <c r="N1" s="1220"/>
      <c r="O1" s="1033"/>
      <c r="P1" s="1033"/>
    </row>
    <row r="2" spans="1:16">
      <c r="A2" s="1033"/>
      <c r="B2" s="1033"/>
      <c r="C2" s="1033"/>
      <c r="D2" s="1033"/>
      <c r="E2" s="1033"/>
      <c r="F2" s="1033"/>
      <c r="G2" s="1033"/>
      <c r="H2" s="1033"/>
      <c r="I2" s="1033"/>
      <c r="J2" s="1033"/>
      <c r="K2" s="1033"/>
      <c r="L2" s="1033"/>
      <c r="M2" s="1033"/>
      <c r="N2" s="1033"/>
      <c r="O2" s="1033"/>
      <c r="P2" s="1033"/>
    </row>
    <row r="3" spans="1:16">
      <c r="A3" s="1033"/>
      <c r="B3" s="1033"/>
      <c r="C3" s="1033"/>
      <c r="D3" s="1033"/>
      <c r="E3" s="1033"/>
      <c r="F3" s="1033"/>
      <c r="G3" s="1033"/>
      <c r="H3" s="1033"/>
      <c r="I3" s="1033"/>
      <c r="J3" s="1033"/>
      <c r="K3" s="1033"/>
      <c r="L3" s="1033"/>
      <c r="M3" s="1033"/>
      <c r="N3" s="1033"/>
      <c r="O3" s="1033"/>
      <c r="P3" s="1033"/>
    </row>
    <row r="4" spans="1:16" ht="15.75">
      <c r="A4" s="1033"/>
      <c r="B4" s="1047" t="s">
        <v>323</v>
      </c>
      <c r="C4" s="1308" t="str">
        <f>CFG_MES_TXT</f>
        <v>Setiembre 2026</v>
      </c>
      <c r="D4" s="1308"/>
      <c r="E4" s="1033"/>
      <c r="F4" s="1033"/>
      <c r="G4" s="1033"/>
      <c r="H4" s="1033"/>
      <c r="I4" s="1033"/>
      <c r="J4" s="1033"/>
      <c r="K4" s="1033"/>
      <c r="L4" s="1033"/>
      <c r="M4" s="1033"/>
      <c r="N4" s="1033"/>
      <c r="O4" s="1033"/>
      <c r="P4" s="1033"/>
    </row>
    <row r="5" spans="1:16">
      <c r="A5" s="1033"/>
      <c r="B5" s="1033"/>
      <c r="C5" s="1033"/>
      <c r="D5" s="1033"/>
      <c r="E5" s="1033"/>
      <c r="F5" s="1033"/>
      <c r="G5" s="1033"/>
      <c r="H5" s="1033"/>
      <c r="I5" s="1033"/>
      <c r="J5" s="1033"/>
      <c r="K5" s="1033"/>
      <c r="L5" s="1033"/>
      <c r="M5" s="1033"/>
      <c r="N5" s="1033"/>
      <c r="O5" s="1033"/>
      <c r="P5" s="1033"/>
    </row>
    <row r="6" spans="1:16">
      <c r="A6" s="1033"/>
      <c r="B6" s="1221" t="s">
        <v>10185</v>
      </c>
      <c r="C6" s="1222"/>
      <c r="D6" s="1222"/>
      <c r="E6" s="1033"/>
      <c r="F6" s="1221" t="s">
        <v>9984</v>
      </c>
      <c r="G6" s="1222"/>
      <c r="H6" s="1222"/>
      <c r="I6" s="1222"/>
      <c r="J6" s="1033"/>
      <c r="K6" s="1221" t="s">
        <v>10192</v>
      </c>
      <c r="L6" s="1222"/>
      <c r="M6" s="1222"/>
      <c r="N6" s="1222"/>
      <c r="O6" s="1033"/>
      <c r="P6" s="1033"/>
    </row>
    <row r="7" spans="1:16">
      <c r="A7" s="1033"/>
      <c r="B7" s="1321" t="s">
        <v>10186</v>
      </c>
      <c r="C7" s="1321"/>
      <c r="D7" s="1134">
        <f ca="1">MAX(0,MIN(CFG_DIAS,TODAY()-CFG_MES+1))</f>
        <v>30</v>
      </c>
      <c r="E7" s="1033"/>
      <c r="F7" s="1321" t="s">
        <v>9956</v>
      </c>
      <c r="G7" s="1321"/>
      <c r="H7" s="1321"/>
      <c r="I7" s="1183">
        <f>COUNTIFS(tblParadas[Fecha],"&gt;="&amp;CFG_MES,tblParadas[Fecha],"&lt;="&amp;CFG_FIN_MES)</f>
        <v>54</v>
      </c>
      <c r="J7" s="1033"/>
      <c r="K7" s="1105" t="s">
        <v>9417</v>
      </c>
      <c r="L7" s="1105" t="s">
        <v>10193</v>
      </c>
      <c r="M7" s="1105" t="s">
        <v>9990</v>
      </c>
      <c r="N7" s="1105" t="s">
        <v>10194</v>
      </c>
      <c r="O7" s="1033"/>
      <c r="P7" s="1033"/>
    </row>
    <row r="8" spans="1:16">
      <c r="A8" s="1033"/>
      <c r="B8" s="1321" t="s">
        <v>10187</v>
      </c>
      <c r="C8" s="1321"/>
      <c r="D8" s="1051">
        <f ca="1">D7*24</f>
        <v>720</v>
      </c>
      <c r="E8" s="1033"/>
      <c r="F8" s="1321" t="s">
        <v>10189</v>
      </c>
      <c r="G8" s="1321"/>
      <c r="H8" s="1321"/>
      <c r="I8" s="1184">
        <f>SUMIFS(tblParadas[Horas perdidas],tblParadas[Fecha],"&gt;="&amp;CFG_MES,tblParadas[Fecha],"&lt;="&amp;CFG_FIN_MES)</f>
        <v>113.65</v>
      </c>
      <c r="J8" s="1033"/>
      <c r="K8" s="1049" t="s">
        <v>9546</v>
      </c>
      <c r="L8" s="1048">
        <f>COUNTIFS(tblParadas[Fecha],"&gt;="&amp;CFG_MES,tblParadas[Fecha],"&lt;="&amp;CFG_FIN_MES,tblParadas[Tipo de falla],K8)</f>
        <v>37</v>
      </c>
      <c r="M8" s="1150">
        <f>SUMIFS(tblParadas[Horas perdidas],tblParadas[Fecha],"&gt;="&amp;CFG_MES,tblParadas[Fecha],"&lt;="&amp;CFG_FIN_MES,tblParadas[Tipo de falla],K8)</f>
        <v>101.59</v>
      </c>
      <c r="N8" s="1169">
        <f>IFERROR(M8/$I$8,"")</f>
        <v>0.89388473383194011</v>
      </c>
      <c r="O8" s="1033"/>
      <c r="P8" s="1033"/>
    </row>
    <row r="9" spans="1:16">
      <c r="A9" s="1033"/>
      <c r="B9" s="1339" t="s">
        <v>10188</v>
      </c>
      <c r="C9" s="1339"/>
      <c r="D9" s="1186">
        <v>0.9</v>
      </c>
      <c r="E9" s="1033"/>
      <c r="F9" s="1321" t="s">
        <v>10190</v>
      </c>
      <c r="G9" s="1321"/>
      <c r="H9" s="1321"/>
      <c r="I9" s="1184">
        <f>I8-SUMIFS(tblParadas[Horas perdidas],tblParadas[Fecha],"&gt;="&amp;CFG_MES,tblParadas[Fecha],"&lt;="&amp;CFG_FIN_MES,tblParadas[Tipo de falla],"Operaciones")</f>
        <v>113</v>
      </c>
      <c r="J9" s="1033"/>
      <c r="K9" s="1049" t="s">
        <v>9547</v>
      </c>
      <c r="L9" s="1048">
        <f>COUNTIFS(tblParadas[Fecha],"&gt;="&amp;CFG_MES,tblParadas[Fecha],"&lt;="&amp;CFG_FIN_MES,tblParadas[Tipo de falla],K9)</f>
        <v>6</v>
      </c>
      <c r="M9" s="1150">
        <f>SUMIFS(tblParadas[Horas perdidas],tblParadas[Fecha],"&gt;="&amp;CFG_MES,tblParadas[Fecha],"&lt;="&amp;CFG_FIN_MES,tblParadas[Tipo de falla],K9)</f>
        <v>9.56</v>
      </c>
      <c r="N9" s="1169">
        <f>IFERROR(M9/$I$8,"")</f>
        <v>8.4117905851297844E-2</v>
      </c>
      <c r="O9" s="1033"/>
      <c r="P9" s="1033"/>
    </row>
    <row r="10" spans="1:16">
      <c r="A10" s="1033"/>
      <c r="B10" s="1337" t="s">
        <v>10205</v>
      </c>
      <c r="C10" s="1338"/>
      <c r="D10" s="1187">
        <f>ROWS(tblEquipos[Código equipo])</f>
        <v>243</v>
      </c>
      <c r="E10" s="1033"/>
      <c r="F10" s="1323" t="s">
        <v>10191</v>
      </c>
      <c r="G10" s="1323"/>
      <c r="H10" s="1323"/>
      <c r="I10" s="1183">
        <f>COUNTIF(B26:B65,"?*")</f>
        <v>19</v>
      </c>
      <c r="J10" s="1033"/>
      <c r="K10" s="1049" t="s">
        <v>2506</v>
      </c>
      <c r="L10" s="1048">
        <f>COUNTIFS(tblParadas[Fecha],"&gt;="&amp;CFG_MES,tblParadas[Fecha],"&lt;="&amp;CFG_FIN_MES,tblParadas[Tipo de falla],K10)</f>
        <v>2</v>
      </c>
      <c r="M10" s="1150">
        <f>SUMIFS(tblParadas[Horas perdidas],tblParadas[Fecha],"&gt;="&amp;CFG_MES,tblParadas[Fecha],"&lt;="&amp;CFG_FIN_MES,tblParadas[Tipo de falla],K10)</f>
        <v>0.77999999999999992</v>
      </c>
      <c r="N10" s="1169">
        <f>IFERROR(M10/$I$8,"")</f>
        <v>6.8631764188297395E-3</v>
      </c>
      <c r="O10" s="1033"/>
      <c r="P10" s="1033"/>
    </row>
    <row r="11" spans="1:16">
      <c r="A11" s="1033"/>
      <c r="B11" s="1033"/>
      <c r="C11" s="1033"/>
      <c r="D11" s="1033"/>
      <c r="E11" s="1033"/>
      <c r="F11" s="1033"/>
      <c r="G11" s="1033"/>
      <c r="H11" s="1033"/>
      <c r="I11" s="1033"/>
      <c r="J11" s="1033"/>
      <c r="K11" s="1049" t="s">
        <v>260</v>
      </c>
      <c r="L11" s="1048">
        <f>COUNTIFS(tblParadas[Fecha],"&gt;="&amp;CFG_MES,tblParadas[Fecha],"&lt;="&amp;CFG_FIN_MES,tblParadas[Tipo de falla],K11)</f>
        <v>8</v>
      </c>
      <c r="M11" s="1150">
        <f>SUMIFS(tblParadas[Horas perdidas],tblParadas[Fecha],"&gt;="&amp;CFG_MES,tblParadas[Fecha],"&lt;="&amp;CFG_FIN_MES,tblParadas[Tipo de falla],K11)</f>
        <v>0.65</v>
      </c>
      <c r="N11" s="1169">
        <f>IFERROR(M11/$I$8,"")</f>
        <v>5.7193136823581172E-3</v>
      </c>
      <c r="O11" s="1033"/>
      <c r="P11" s="1033"/>
    </row>
    <row r="12" spans="1:16">
      <c r="A12" s="1033"/>
      <c r="B12" s="1033"/>
      <c r="C12" s="1033"/>
      <c r="D12" s="1033"/>
      <c r="E12" s="1033"/>
      <c r="F12" s="1033"/>
      <c r="G12" s="1033"/>
      <c r="H12" s="1033"/>
      <c r="I12" s="1033"/>
      <c r="J12" s="1033"/>
      <c r="K12" s="1049" t="s">
        <v>9548</v>
      </c>
      <c r="L12" s="1048">
        <f>COUNTIFS(tblParadas[Fecha],"&gt;="&amp;CFG_MES,tblParadas[Fecha],"&lt;="&amp;CFG_FIN_MES,tblParadas[Tipo de falla],K12)</f>
        <v>0</v>
      </c>
      <c r="M12" s="1150">
        <f>SUMIFS(tblParadas[Horas perdidas],tblParadas[Fecha],"&gt;="&amp;CFG_MES,tblParadas[Fecha],"&lt;="&amp;CFG_FIN_MES,tblParadas[Tipo de falla],K12)</f>
        <v>0</v>
      </c>
      <c r="N12" s="1169">
        <f>IFERROR(M12/$I$8,"")</f>
        <v>0</v>
      </c>
      <c r="O12" s="1033"/>
      <c r="P12" s="1033"/>
    </row>
    <row r="13" spans="1:16">
      <c r="A13" s="1033"/>
      <c r="B13" s="1033"/>
      <c r="C13" s="1033"/>
      <c r="D13" s="1033"/>
      <c r="E13" s="1033"/>
      <c r="F13" s="1033"/>
      <c r="G13" s="1033"/>
      <c r="H13" s="1033"/>
      <c r="I13" s="1033"/>
      <c r="J13" s="1033"/>
      <c r="K13" s="1033"/>
      <c r="L13" s="1033"/>
      <c r="M13" s="1033"/>
      <c r="N13" s="1033"/>
      <c r="O13" s="1033"/>
      <c r="P13" s="1033"/>
    </row>
    <row r="14" spans="1:16">
      <c r="A14" s="1033"/>
      <c r="B14" s="1033"/>
      <c r="C14" s="1033"/>
      <c r="D14" s="1033"/>
      <c r="E14" s="1033"/>
      <c r="F14" s="1033"/>
      <c r="G14" s="1033"/>
      <c r="H14" s="1033"/>
      <c r="I14" s="1033"/>
      <c r="J14" s="1033"/>
      <c r="K14" s="1033"/>
      <c r="L14" s="1033"/>
      <c r="M14" s="1033"/>
      <c r="N14" s="1033"/>
      <c r="O14" s="1033"/>
      <c r="P14" s="1033"/>
    </row>
    <row r="15" spans="1:16">
      <c r="A15" s="1033"/>
      <c r="B15" s="1033"/>
      <c r="C15" s="1033"/>
      <c r="D15" s="1033"/>
      <c r="E15" s="1033"/>
      <c r="F15" s="1033"/>
      <c r="G15" s="1033"/>
      <c r="H15" s="1033"/>
      <c r="I15" s="1033"/>
      <c r="J15" s="1033"/>
      <c r="K15" s="1033"/>
      <c r="L15" s="1033"/>
      <c r="M15" s="1033"/>
      <c r="N15" s="1033"/>
      <c r="O15" s="1033"/>
      <c r="P15" s="1033"/>
    </row>
    <row r="16" spans="1:16">
      <c r="A16" s="1033"/>
      <c r="B16" s="1033"/>
      <c r="C16" s="1033"/>
      <c r="D16" s="1033"/>
      <c r="E16" s="1033"/>
      <c r="F16" s="1033"/>
      <c r="G16" s="1033"/>
      <c r="H16" s="1033"/>
      <c r="I16" s="1033"/>
      <c r="J16" s="1033"/>
      <c r="K16" s="1033"/>
      <c r="L16" s="1033"/>
      <c r="M16" s="1033"/>
      <c r="N16" s="1033"/>
      <c r="O16" s="1033"/>
      <c r="P16" s="1033"/>
    </row>
    <row r="17" spans="1:16">
      <c r="A17" s="1033"/>
      <c r="B17" s="1033"/>
      <c r="C17" s="1033"/>
      <c r="D17" s="1033"/>
      <c r="E17" s="1033"/>
      <c r="F17" s="1033"/>
      <c r="G17" s="1033"/>
      <c r="H17" s="1033"/>
      <c r="I17" s="1033"/>
      <c r="J17" s="1033"/>
      <c r="K17" s="1033"/>
      <c r="L17" s="1033"/>
      <c r="M17" s="1033"/>
      <c r="N17" s="1033"/>
      <c r="O17" s="1033"/>
      <c r="P17" s="1033"/>
    </row>
    <row r="18" spans="1:16">
      <c r="A18" s="1033"/>
      <c r="B18" s="1033"/>
      <c r="C18" s="1033"/>
      <c r="D18" s="1033"/>
      <c r="E18" s="1033"/>
      <c r="F18" s="1033"/>
      <c r="G18" s="1033"/>
      <c r="H18" s="1033"/>
      <c r="I18" s="1033"/>
      <c r="J18" s="1033"/>
      <c r="K18" s="1033"/>
      <c r="L18" s="1033"/>
      <c r="M18" s="1033"/>
      <c r="N18" s="1033"/>
      <c r="O18" s="1033"/>
      <c r="P18" s="1033"/>
    </row>
    <row r="19" spans="1:16">
      <c r="A19" s="1033"/>
      <c r="B19" s="1033"/>
      <c r="C19" s="1033"/>
      <c r="D19" s="1033"/>
      <c r="E19" s="1033"/>
      <c r="F19" s="1033"/>
      <c r="G19" s="1033"/>
      <c r="H19" s="1033"/>
      <c r="I19" s="1033"/>
      <c r="J19" s="1033"/>
      <c r="K19" s="1033"/>
      <c r="L19" s="1033"/>
      <c r="M19" s="1033"/>
      <c r="N19" s="1033"/>
      <c r="O19" s="1033"/>
      <c r="P19" s="1033"/>
    </row>
    <row r="20" spans="1:16">
      <c r="A20" s="1033"/>
      <c r="B20" s="1033"/>
      <c r="C20" s="1033"/>
      <c r="D20" s="1033"/>
      <c r="E20" s="1033"/>
      <c r="F20" s="1033"/>
      <c r="G20" s="1033"/>
      <c r="H20" s="1033"/>
      <c r="I20" s="1033"/>
      <c r="J20" s="1033"/>
      <c r="K20" s="1033"/>
      <c r="L20" s="1033"/>
      <c r="M20" s="1033"/>
      <c r="N20" s="1033"/>
      <c r="O20" s="1033"/>
      <c r="P20" s="1033"/>
    </row>
    <row r="21" spans="1:16">
      <c r="A21" s="1033"/>
      <c r="B21" s="1033"/>
      <c r="C21" s="1033"/>
      <c r="D21" s="1033"/>
      <c r="E21" s="1033"/>
      <c r="F21" s="1033"/>
      <c r="G21" s="1033"/>
      <c r="H21" s="1033"/>
      <c r="I21" s="1033"/>
      <c r="J21" s="1033"/>
      <c r="K21" s="1033"/>
      <c r="L21" s="1033"/>
      <c r="M21" s="1033"/>
      <c r="N21" s="1033"/>
      <c r="O21" s="1033"/>
      <c r="P21" s="1033"/>
    </row>
    <row r="22" spans="1:16">
      <c r="A22" s="1033"/>
      <c r="B22" s="1033"/>
      <c r="C22" s="1033"/>
      <c r="D22" s="1033"/>
      <c r="E22" s="1033"/>
      <c r="F22" s="1033"/>
      <c r="G22" s="1033"/>
      <c r="H22" s="1033"/>
      <c r="I22" s="1033"/>
      <c r="J22" s="1033"/>
      <c r="K22" s="1033"/>
      <c r="L22" s="1033"/>
      <c r="M22" s="1033"/>
      <c r="N22" s="1033"/>
      <c r="O22" s="1033"/>
      <c r="P22" s="1033"/>
    </row>
    <row r="23" spans="1:16">
      <c r="A23" s="1033"/>
      <c r="B23" s="1335" t="s">
        <v>10195</v>
      </c>
      <c r="C23" s="1336"/>
      <c r="D23" s="1336"/>
      <c r="E23" s="1336"/>
      <c r="F23" s="1336"/>
      <c r="G23" s="1336"/>
      <c r="H23" s="1336"/>
      <c r="I23" s="1336"/>
      <c r="J23" s="1336"/>
      <c r="K23" s="1336"/>
      <c r="L23" s="1336"/>
      <c r="M23" s="1336"/>
      <c r="N23" s="1336"/>
      <c r="O23" s="1033"/>
      <c r="P23" s="1033"/>
    </row>
    <row r="24" spans="1:16">
      <c r="A24" s="1033"/>
      <c r="B24" s="981" t="s">
        <v>10196</v>
      </c>
      <c r="C24" s="1033"/>
      <c r="D24" s="1033"/>
      <c r="E24" s="1033"/>
      <c r="F24" s="1033"/>
      <c r="G24" s="1033"/>
      <c r="H24" s="1033"/>
      <c r="I24" s="1033"/>
      <c r="J24" s="1033"/>
      <c r="K24" s="1033"/>
      <c r="L24" s="1033"/>
      <c r="M24" s="1033"/>
      <c r="N24" s="1033"/>
      <c r="O24" s="1033"/>
      <c r="P24" s="1033"/>
    </row>
    <row r="25" spans="1:16" ht="42" customHeight="1">
      <c r="A25" s="1033"/>
      <c r="B25" s="1072" t="s">
        <v>254</v>
      </c>
      <c r="C25" s="1072" t="s">
        <v>3231</v>
      </c>
      <c r="D25" s="1072" t="s">
        <v>10193</v>
      </c>
      <c r="E25" s="1072" t="s">
        <v>9550</v>
      </c>
      <c r="F25" s="1072" t="s">
        <v>10197</v>
      </c>
      <c r="G25" s="1072" t="s">
        <v>10198</v>
      </c>
      <c r="H25" s="1072" t="s">
        <v>10199</v>
      </c>
      <c r="I25" s="1072" t="s">
        <v>10200</v>
      </c>
      <c r="J25" s="1072" t="s">
        <v>10201</v>
      </c>
      <c r="K25" s="1072" t="s">
        <v>10202</v>
      </c>
      <c r="L25" s="1072" t="s">
        <v>10203</v>
      </c>
      <c r="M25" s="1072" t="s">
        <v>10204</v>
      </c>
      <c r="N25" s="1072" t="s">
        <v>9552</v>
      </c>
      <c r="O25" s="1033"/>
      <c r="P25" s="1033"/>
    </row>
    <row r="26" spans="1:16">
      <c r="A26" s="1033"/>
      <c r="B26" s="1061" t="str" cm="1">
        <f t="array" ref="B26">IFERROR(INDEX(tblParadas[Equipo],_xlfn.AGGREGATE(15,6,(ROW(tblParadas[Equipo])-ROW(tblParadas[[#Headers],[Equipo]]))/((COUNTIF(B$25:B25,tblParadas[Equipo])=0)*(tblParadas[Equipo]&lt;&gt;"")*(tblParadas[Fecha]&gt;=CFG_MES)*(tblParadas[Fecha]&lt;=CFG_FIN_MES)),1)),"")</f>
        <v>032-081</v>
      </c>
      <c r="C26" s="1048" t="str">
        <f>IF(B26="","",IFERROR(INDEX(tblEquipos[Área planta],MATCH(B26,tblEquipos[Código equipo],0)),"s/d"))</f>
        <v>Magnética</v>
      </c>
      <c r="D26" s="1134">
        <f>IF(B26="","",COUNTIFS(tblParadas[Equipo],$B26,tblParadas[Fecha],"&gt;="&amp;CFG_MES,tblParadas[Fecha],"&lt;="&amp;CFG_FIN_MES))</f>
        <v>3</v>
      </c>
      <c r="E26" s="1053">
        <f>IF(B26="","",SUMIFS(tblParadas[Horas perdidas],tblParadas[Equipo],$B26,tblParadas[Fecha],"&gt;="&amp;CFG_MES,tblParadas[Fecha],"&lt;="&amp;CFG_FIN_MES))</f>
        <v>3.8</v>
      </c>
      <c r="F26" s="1053">
        <f t="shared" ref="F26:F65" si="0">IF(B26="","",E26-J26)</f>
        <v>3.8</v>
      </c>
      <c r="G26" s="1053">
        <f>IF(B26="","",SUMIFS(tblParadas[Horas perdidas],tblParadas[Equipo],$B26,tblParadas[Fecha],"&gt;="&amp;CFG_MES,tblParadas[Fecha],"&lt;="&amp;CFG_FIN_MES,tblParadas[Tipo de falla],"Mecánica"))</f>
        <v>3.8</v>
      </c>
      <c r="H26" s="1053">
        <f>IF(B26="","",SUMIFS(tblParadas[Horas perdidas],tblParadas[Equipo],$B26,tblParadas[Fecha],"&gt;="&amp;CFG_MES,tblParadas[Fecha],"&lt;="&amp;CFG_FIN_MES,tblParadas[Tipo de falla],"Eléctrica"))</f>
        <v>0</v>
      </c>
      <c r="I26" s="1053">
        <f>IF(B26="","",SUMIFS(tblParadas[Horas perdidas],tblParadas[Equipo],$B26,tblParadas[Fecha],"&gt;="&amp;CFG_MES,tblParadas[Fecha],"&lt;="&amp;CFG_FIN_MES,tblParadas[Tipo de falla],"Instrumentación"))</f>
        <v>0</v>
      </c>
      <c r="J26" s="1053">
        <f>IF(B26="","",SUMIFS(tblParadas[Horas perdidas],tblParadas[Equipo],$B26,tblParadas[Fecha],"&gt;="&amp;CFG_MES,tblParadas[Fecha],"&lt;="&amp;CFG_FIN_MES,tblParadas[Tipo de falla],"Operaciones"))</f>
        <v>0</v>
      </c>
      <c r="K26" s="1185">
        <f t="shared" ref="K26:K65" ca="1" si="1">IF(B26="","",IFERROR(1-F26/$D$8,""))</f>
        <v>0.99472222222222217</v>
      </c>
      <c r="L26" s="1185">
        <f t="shared" ref="L26:L65" ca="1" si="2">IF(B26="","",IFERROR(1-E26/$D$8,""))</f>
        <v>0.99472222222222217</v>
      </c>
      <c r="M26" s="1053">
        <f t="shared" ref="M26:M65" si="3">IF(B26="","",IFERROR(E26/D26,""))</f>
        <v>1.2666666666666666</v>
      </c>
      <c r="N26" s="1051">
        <f>IF(B26="","",SUMIFS(tblParadas[Mineral no procesado (TM)],tblParadas[Equipo],$B26,tblParadas[Fecha],"&gt;="&amp;CFG_MES,tblParadas[Fecha],"&lt;="&amp;CFG_FIN_MES))</f>
        <v>695</v>
      </c>
      <c r="O26" s="1033"/>
      <c r="P26" s="1033"/>
    </row>
    <row r="27" spans="1:16">
      <c r="A27" s="1033"/>
      <c r="B27" s="1061" t="str" cm="1">
        <f t="array" ref="B27">IFERROR(INDEX(tblParadas[Equipo],_xlfn.AGGREGATE(15,6,(ROW(tblParadas[Equipo])-ROW(tblParadas[[#Headers],[Equipo]]))/((COUNTIF(B$25:B26,tblParadas[Equipo])=0)*(tblParadas[Equipo]&lt;&gt;"")*(tblParadas[Fecha]&gt;=CFG_MES)*(tblParadas[Fecha]&lt;=CFG_FIN_MES)),1)),"")</f>
        <v>032-082</v>
      </c>
      <c r="C27" s="1048" t="str">
        <f>IF(B27="","",IFERROR(INDEX(tblEquipos[Área planta],MATCH(B27,tblEquipos[Código equipo],0)),"s/d"))</f>
        <v>Magnética</v>
      </c>
      <c r="D27" s="1134">
        <f>IF(B27="","",COUNTIFS(tblParadas[Equipo],$B27,tblParadas[Fecha],"&gt;="&amp;CFG_MES,tblParadas[Fecha],"&lt;="&amp;CFG_FIN_MES))</f>
        <v>3</v>
      </c>
      <c r="E27" s="1053">
        <f>IF(B27="","",SUMIFS(tblParadas[Horas perdidas],tblParadas[Equipo],$B27,tblParadas[Fecha],"&gt;="&amp;CFG_MES,tblParadas[Fecha],"&lt;="&amp;CFG_FIN_MES))</f>
        <v>1.07</v>
      </c>
      <c r="F27" s="1053">
        <f t="shared" si="0"/>
        <v>1.07</v>
      </c>
      <c r="G27" s="1053">
        <f>IF(B27="","",SUMIFS(tblParadas[Horas perdidas],tblParadas[Equipo],$B27,tblParadas[Fecha],"&gt;="&amp;CFG_MES,tblParadas[Fecha],"&lt;="&amp;CFG_FIN_MES,tblParadas[Tipo de falla],"Mecánica"))</f>
        <v>0</v>
      </c>
      <c r="H27" s="1053">
        <f>IF(B27="","",SUMIFS(tblParadas[Horas perdidas],tblParadas[Equipo],$B27,tblParadas[Fecha],"&gt;="&amp;CFG_MES,tblParadas[Fecha],"&lt;="&amp;CFG_FIN_MES,tblParadas[Tipo de falla],"Eléctrica"))</f>
        <v>0</v>
      </c>
      <c r="I27" s="1053">
        <f>IF(B27="","",SUMIFS(tblParadas[Horas perdidas],tblParadas[Equipo],$B27,tblParadas[Fecha],"&gt;="&amp;CFG_MES,tblParadas[Fecha],"&lt;="&amp;CFG_FIN_MES,tblParadas[Tipo de falla],"Instrumentación"))</f>
        <v>0</v>
      </c>
      <c r="J27" s="1053">
        <f>IF(B27="","",SUMIFS(tblParadas[Horas perdidas],tblParadas[Equipo],$B27,tblParadas[Fecha],"&gt;="&amp;CFG_MES,tblParadas[Fecha],"&lt;="&amp;CFG_FIN_MES,tblParadas[Tipo de falla],"Operaciones"))</f>
        <v>0</v>
      </c>
      <c r="K27" s="1185">
        <f t="shared" ca="1" si="1"/>
        <v>0.99851388888888892</v>
      </c>
      <c r="L27" s="1185">
        <f t="shared" ca="1" si="2"/>
        <v>0.99851388888888892</v>
      </c>
      <c r="M27" s="1053">
        <f t="shared" si="3"/>
        <v>0.35666666666666669</v>
      </c>
      <c r="N27" s="1051">
        <f>IF(B27="","",SUMIFS(tblParadas[Mineral no procesado (TM)],tblParadas[Equipo],$B27,tblParadas[Fecha],"&gt;="&amp;CFG_MES,tblParadas[Fecha],"&lt;="&amp;CFG_FIN_MES))</f>
        <v>214</v>
      </c>
      <c r="O27" s="1033"/>
      <c r="P27" s="1033"/>
    </row>
    <row r="28" spans="1:16">
      <c r="A28" s="1033"/>
      <c r="B28" s="1061" t="str" cm="1">
        <f t="array" ref="B28">IFERROR(INDEX(tblParadas[Equipo],_xlfn.AGGREGATE(15,6,(ROW(tblParadas[Equipo])-ROW(tblParadas[[#Headers],[Equipo]]))/((COUNTIF(B$25:B27,tblParadas[Equipo])=0)*(tblParadas[Equipo]&lt;&gt;"")*(tblParadas[Fecha]&gt;=CFG_MES)*(tblParadas[Fecha]&lt;=CFG_FIN_MES)),1)),"")</f>
        <v>032-089</v>
      </c>
      <c r="C28" s="1048" t="str">
        <f>IF(B28="","",IFERROR(INDEX(tblEquipos[Área planta],MATCH(B28,tblEquipos[Código equipo],0)),"s/d"))</f>
        <v>Magnética</v>
      </c>
      <c r="D28" s="1134">
        <f>IF(B28="","",COUNTIFS(tblParadas[Equipo],$B28,tblParadas[Fecha],"&gt;="&amp;CFG_MES,tblParadas[Fecha],"&lt;="&amp;CFG_FIN_MES))</f>
        <v>6</v>
      </c>
      <c r="E28" s="1053">
        <f>IF(B28="","",SUMIFS(tblParadas[Horas perdidas],tblParadas[Equipo],$B28,tblParadas[Fecha],"&gt;="&amp;CFG_MES,tblParadas[Fecha],"&lt;="&amp;CFG_FIN_MES))</f>
        <v>19.189999999999998</v>
      </c>
      <c r="F28" s="1053">
        <f t="shared" si="0"/>
        <v>19.189999999999998</v>
      </c>
      <c r="G28" s="1053">
        <f>IF(B28="","",SUMIFS(tblParadas[Horas perdidas],tblParadas[Equipo],$B28,tblParadas[Fecha],"&gt;="&amp;CFG_MES,tblParadas[Fecha],"&lt;="&amp;CFG_FIN_MES,tblParadas[Tipo de falla],"Mecánica"))</f>
        <v>16.53</v>
      </c>
      <c r="H28" s="1053">
        <f>IF(B28="","",SUMIFS(tblParadas[Horas perdidas],tblParadas[Equipo],$B28,tblParadas[Fecha],"&gt;="&amp;CFG_MES,tblParadas[Fecha],"&lt;="&amp;CFG_FIN_MES,tblParadas[Tipo de falla],"Eléctrica"))</f>
        <v>2.58</v>
      </c>
      <c r="I28" s="1053">
        <f>IF(B28="","",SUMIFS(tblParadas[Horas perdidas],tblParadas[Equipo],$B28,tblParadas[Fecha],"&gt;="&amp;CFG_MES,tblParadas[Fecha],"&lt;="&amp;CFG_FIN_MES,tblParadas[Tipo de falla],"Instrumentación"))</f>
        <v>0.08</v>
      </c>
      <c r="J28" s="1053">
        <f>IF(B28="","",SUMIFS(tblParadas[Horas perdidas],tblParadas[Equipo],$B28,tblParadas[Fecha],"&gt;="&amp;CFG_MES,tblParadas[Fecha],"&lt;="&amp;CFG_FIN_MES,tblParadas[Tipo de falla],"Operaciones"))</f>
        <v>0</v>
      </c>
      <c r="K28" s="1185">
        <f t="shared" ca="1" si="1"/>
        <v>0.97334722222222225</v>
      </c>
      <c r="L28" s="1185">
        <f t="shared" ca="1" si="2"/>
        <v>0.97334722222222225</v>
      </c>
      <c r="M28" s="1053">
        <f t="shared" si="3"/>
        <v>3.1983333333333328</v>
      </c>
      <c r="N28" s="1051">
        <f>IF(B28="","",SUMIFS(tblParadas[Mineral no procesado (TM)],tblParadas[Equipo],$B28,tblParadas[Fecha],"&gt;="&amp;CFG_MES,tblParadas[Fecha],"&lt;="&amp;CFG_FIN_MES))</f>
        <v>4221.8</v>
      </c>
      <c r="O28" s="1033"/>
      <c r="P28" s="1033"/>
    </row>
    <row r="29" spans="1:16">
      <c r="A29" s="1033"/>
      <c r="B29" s="1061" t="str" cm="1">
        <f t="array" ref="B29">IFERROR(INDEX(tblParadas[Equipo],_xlfn.AGGREGATE(15,6,(ROW(tblParadas[Equipo])-ROW(tblParadas[[#Headers],[Equipo]]))/((COUNTIF(B$25:B28,tblParadas[Equipo])=0)*(tblParadas[Equipo]&lt;&gt;"")*(tblParadas[Fecha]&gt;=CFG_MES)*(tblParadas[Fecha]&lt;=CFG_FIN_MES)),1)),"")</f>
        <v>032-209</v>
      </c>
      <c r="C29" s="1048" t="str">
        <f>IF(B29="","",IFERROR(INDEX(tblEquipos[Área planta],MATCH(B29,tblEquipos[Código equipo],0)),"s/d"))</f>
        <v>Magnética</v>
      </c>
      <c r="D29" s="1134">
        <f>IF(B29="","",COUNTIFS(tblParadas[Equipo],$B29,tblParadas[Fecha],"&gt;="&amp;CFG_MES,tblParadas[Fecha],"&lt;="&amp;CFG_FIN_MES))</f>
        <v>3</v>
      </c>
      <c r="E29" s="1053">
        <f>IF(B29="","",SUMIFS(tblParadas[Horas perdidas],tblParadas[Equipo],$B29,tblParadas[Fecha],"&gt;="&amp;CFG_MES,tblParadas[Fecha],"&lt;="&amp;CFG_FIN_MES))</f>
        <v>9.0500000000000007</v>
      </c>
      <c r="F29" s="1053">
        <f t="shared" si="0"/>
        <v>9.0500000000000007</v>
      </c>
      <c r="G29" s="1053">
        <f>IF(B29="","",SUMIFS(tblParadas[Horas perdidas],tblParadas[Equipo],$B29,tblParadas[Fecha],"&gt;="&amp;CFG_MES,tblParadas[Fecha],"&lt;="&amp;CFG_FIN_MES,tblParadas[Tipo de falla],"Mecánica"))</f>
        <v>6.5500000000000007</v>
      </c>
      <c r="H29" s="1053">
        <f>IF(B29="","",SUMIFS(tblParadas[Horas perdidas],tblParadas[Equipo],$B29,tblParadas[Fecha],"&gt;="&amp;CFG_MES,tblParadas[Fecha],"&lt;="&amp;CFG_FIN_MES,tblParadas[Tipo de falla],"Eléctrica"))</f>
        <v>2.5</v>
      </c>
      <c r="I29" s="1053">
        <f>IF(B29="","",SUMIFS(tblParadas[Horas perdidas],tblParadas[Equipo],$B29,tblParadas[Fecha],"&gt;="&amp;CFG_MES,tblParadas[Fecha],"&lt;="&amp;CFG_FIN_MES,tblParadas[Tipo de falla],"Instrumentación"))</f>
        <v>0</v>
      </c>
      <c r="J29" s="1053">
        <f>IF(B29="","",SUMIFS(tblParadas[Horas perdidas],tblParadas[Equipo],$B29,tblParadas[Fecha],"&gt;="&amp;CFG_MES,tblParadas[Fecha],"&lt;="&amp;CFG_FIN_MES,tblParadas[Tipo de falla],"Operaciones"))</f>
        <v>0</v>
      </c>
      <c r="K29" s="1185">
        <f t="shared" ca="1" si="1"/>
        <v>0.98743055555555559</v>
      </c>
      <c r="L29" s="1185">
        <f t="shared" ca="1" si="2"/>
        <v>0.98743055555555559</v>
      </c>
      <c r="M29" s="1053">
        <f t="shared" si="3"/>
        <v>3.0166666666666671</v>
      </c>
      <c r="N29" s="1051">
        <f>IF(B29="","",SUMIFS(tblParadas[Mineral no procesado (TM)],tblParadas[Equipo],$B29,tblParadas[Fecha],"&gt;="&amp;CFG_MES,tblParadas[Fecha],"&lt;="&amp;CFG_FIN_MES))</f>
        <v>1629</v>
      </c>
      <c r="O29" s="1033"/>
      <c r="P29" s="1033"/>
    </row>
    <row r="30" spans="1:16">
      <c r="A30" s="1033"/>
      <c r="B30" s="1061" t="str" cm="1">
        <f t="array" ref="B30">IFERROR(INDEX(tblParadas[Equipo],_xlfn.AGGREGATE(15,6,(ROW(tblParadas[Equipo])-ROW(tblParadas[[#Headers],[Equipo]]))/((COUNTIF(B$25:B29,tblParadas[Equipo])=0)*(tblParadas[Equipo]&lt;&gt;"")*(tblParadas[Fecha]&gt;=CFG_MES)*(tblParadas[Fecha]&lt;=CFG_FIN_MES)),1)),"")</f>
        <v>032-084</v>
      </c>
      <c r="C30" s="1048" t="str">
        <f>IF(B30="","",IFERROR(INDEX(tblEquipos[Área planta],MATCH(B30,tblEquipos[Código equipo],0)),"s/d"))</f>
        <v>Magnética</v>
      </c>
      <c r="D30" s="1134">
        <f>IF(B30="","",COUNTIFS(tblParadas[Equipo],$B30,tblParadas[Fecha],"&gt;="&amp;CFG_MES,tblParadas[Fecha],"&lt;="&amp;CFG_FIN_MES))</f>
        <v>5</v>
      </c>
      <c r="E30" s="1053">
        <f>IF(B30="","",SUMIFS(tblParadas[Horas perdidas],tblParadas[Equipo],$B30,tblParadas[Fecha],"&gt;="&amp;CFG_MES,tblParadas[Fecha],"&lt;="&amp;CFG_FIN_MES))</f>
        <v>5.4</v>
      </c>
      <c r="F30" s="1053">
        <f t="shared" si="0"/>
        <v>5.4</v>
      </c>
      <c r="G30" s="1053">
        <f>IF(B30="","",SUMIFS(tblParadas[Horas perdidas],tblParadas[Equipo],$B30,tblParadas[Fecha],"&gt;="&amp;CFG_MES,tblParadas[Fecha],"&lt;="&amp;CFG_FIN_MES,tblParadas[Tipo de falla],"Mecánica"))</f>
        <v>5.4</v>
      </c>
      <c r="H30" s="1053">
        <f>IF(B30="","",SUMIFS(tblParadas[Horas perdidas],tblParadas[Equipo],$B30,tblParadas[Fecha],"&gt;="&amp;CFG_MES,tblParadas[Fecha],"&lt;="&amp;CFG_FIN_MES,tblParadas[Tipo de falla],"Eléctrica"))</f>
        <v>0</v>
      </c>
      <c r="I30" s="1053">
        <f>IF(B30="","",SUMIFS(tblParadas[Horas perdidas],tblParadas[Equipo],$B30,tblParadas[Fecha],"&gt;="&amp;CFG_MES,tblParadas[Fecha],"&lt;="&amp;CFG_FIN_MES,tblParadas[Tipo de falla],"Instrumentación"))</f>
        <v>0</v>
      </c>
      <c r="J30" s="1053">
        <f>IF(B30="","",SUMIFS(tblParadas[Horas perdidas],tblParadas[Equipo],$B30,tblParadas[Fecha],"&gt;="&amp;CFG_MES,tblParadas[Fecha],"&lt;="&amp;CFG_FIN_MES,tblParadas[Tipo de falla],"Operaciones"))</f>
        <v>0</v>
      </c>
      <c r="K30" s="1185">
        <f t="shared" ca="1" si="1"/>
        <v>0.99250000000000005</v>
      </c>
      <c r="L30" s="1185">
        <f t="shared" ca="1" si="2"/>
        <v>0.99250000000000005</v>
      </c>
      <c r="M30" s="1053">
        <f t="shared" si="3"/>
        <v>1.08</v>
      </c>
      <c r="N30" s="1051">
        <f>IF(B30="","",SUMIFS(tblParadas[Mineral no procesado (TM)],tblParadas[Equipo],$B30,tblParadas[Fecha],"&gt;="&amp;CFG_MES,tblParadas[Fecha],"&lt;="&amp;CFG_FIN_MES))</f>
        <v>810</v>
      </c>
      <c r="O30" s="1033"/>
      <c r="P30" s="1033"/>
    </row>
    <row r="31" spans="1:16">
      <c r="A31" s="1033"/>
      <c r="B31" s="1061" t="str" cm="1">
        <f t="array" ref="B31">IFERROR(INDEX(tblParadas[Equipo],_xlfn.AGGREGATE(15,6,(ROW(tblParadas[Equipo])-ROW(tblParadas[[#Headers],[Equipo]]))/((COUNTIF(B$25:B30,tblParadas[Equipo])=0)*(tblParadas[Equipo]&lt;&gt;"")*(tblParadas[Fecha]&gt;=CFG_MES)*(tblParadas[Fecha]&lt;=CFG_FIN_MES)),1)),"")</f>
        <v>032-085</v>
      </c>
      <c r="C31" s="1048" t="str">
        <f>IF(B31="","",IFERROR(INDEX(tblEquipos[Área planta],MATCH(B31,tblEquipos[Código equipo],0)),"s/d"))</f>
        <v>Magnética</v>
      </c>
      <c r="D31" s="1134">
        <f>IF(B31="","",COUNTIFS(tblParadas[Equipo],$B31,tblParadas[Fecha],"&gt;="&amp;CFG_MES,tblParadas[Fecha],"&lt;="&amp;CFG_FIN_MES))</f>
        <v>3</v>
      </c>
      <c r="E31" s="1053">
        <f>IF(B31="","",SUMIFS(tblParadas[Horas perdidas],tblParadas[Equipo],$B31,tblParadas[Fecha],"&gt;="&amp;CFG_MES,tblParadas[Fecha],"&lt;="&amp;CFG_FIN_MES))</f>
        <v>5.08</v>
      </c>
      <c r="F31" s="1053">
        <f t="shared" si="0"/>
        <v>5.08</v>
      </c>
      <c r="G31" s="1053">
        <f>IF(B31="","",SUMIFS(tblParadas[Horas perdidas],tblParadas[Equipo],$B31,tblParadas[Fecha],"&gt;="&amp;CFG_MES,tblParadas[Fecha],"&lt;="&amp;CFG_FIN_MES,tblParadas[Tipo de falla],"Mecánica"))</f>
        <v>5.08</v>
      </c>
      <c r="H31" s="1053">
        <f>IF(B31="","",SUMIFS(tblParadas[Horas perdidas],tblParadas[Equipo],$B31,tblParadas[Fecha],"&gt;="&amp;CFG_MES,tblParadas[Fecha],"&lt;="&amp;CFG_FIN_MES,tblParadas[Tipo de falla],"Eléctrica"))</f>
        <v>0</v>
      </c>
      <c r="I31" s="1053">
        <f>IF(B31="","",SUMIFS(tblParadas[Horas perdidas],tblParadas[Equipo],$B31,tblParadas[Fecha],"&gt;="&amp;CFG_MES,tblParadas[Fecha],"&lt;="&amp;CFG_FIN_MES,tblParadas[Tipo de falla],"Instrumentación"))</f>
        <v>0</v>
      </c>
      <c r="J31" s="1053">
        <f>IF(B31="","",SUMIFS(tblParadas[Horas perdidas],tblParadas[Equipo],$B31,tblParadas[Fecha],"&gt;="&amp;CFG_MES,tblParadas[Fecha],"&lt;="&amp;CFG_FIN_MES,tblParadas[Tipo de falla],"Operaciones"))</f>
        <v>0</v>
      </c>
      <c r="K31" s="1185">
        <f t="shared" ca="1" si="1"/>
        <v>0.99294444444444441</v>
      </c>
      <c r="L31" s="1185">
        <f t="shared" ca="1" si="2"/>
        <v>0.99294444444444441</v>
      </c>
      <c r="M31" s="1053">
        <f t="shared" si="3"/>
        <v>1.6933333333333334</v>
      </c>
      <c r="N31" s="1051">
        <f>IF(B31="","",SUMIFS(tblParadas[Mineral no procesado (TM)],tblParadas[Equipo],$B31,tblParadas[Fecha],"&gt;="&amp;CFG_MES,tblParadas[Fecha],"&lt;="&amp;CFG_FIN_MES))</f>
        <v>1016</v>
      </c>
      <c r="O31" s="1033"/>
      <c r="P31" s="1033"/>
    </row>
    <row r="32" spans="1:16">
      <c r="A32" s="1033"/>
      <c r="B32" s="1061" t="str" cm="1">
        <f t="array" ref="B32">IFERROR(INDEX(tblParadas[Equipo],_xlfn.AGGREGATE(15,6,(ROW(tblParadas[Equipo])-ROW(tblParadas[[#Headers],[Equipo]]))/((COUNTIF(B$25:B31,tblParadas[Equipo])=0)*(tblParadas[Equipo]&lt;&gt;"")*(tblParadas[Fecha]&gt;=CFG_MES)*(tblParadas[Fecha]&lt;=CFG_FIN_MES)),1)),"")</f>
        <v>032-087</v>
      </c>
      <c r="C32" s="1048" t="str">
        <f>IF(B32="","",IFERROR(INDEX(tblEquipos[Área planta],MATCH(B32,tblEquipos[Código equipo],0)),"s/d"))</f>
        <v>Magnética</v>
      </c>
      <c r="D32" s="1134">
        <f>IF(B32="","",COUNTIFS(tblParadas[Equipo],$B32,tblParadas[Fecha],"&gt;="&amp;CFG_MES,tblParadas[Fecha],"&lt;="&amp;CFG_FIN_MES))</f>
        <v>5</v>
      </c>
      <c r="E32" s="1053">
        <f>IF(B32="","",SUMIFS(tblParadas[Horas perdidas],tblParadas[Equipo],$B32,tblParadas[Fecha],"&gt;="&amp;CFG_MES,tblParadas[Fecha],"&lt;="&amp;CFG_FIN_MES))</f>
        <v>8.8800000000000008</v>
      </c>
      <c r="F32" s="1053">
        <f t="shared" si="0"/>
        <v>8.8800000000000008</v>
      </c>
      <c r="G32" s="1053">
        <f>IF(B32="","",SUMIFS(tblParadas[Horas perdidas],tblParadas[Equipo],$B32,tblParadas[Fecha],"&gt;="&amp;CFG_MES,tblParadas[Fecha],"&lt;="&amp;CFG_FIN_MES,tblParadas[Tipo de falla],"Mecánica"))</f>
        <v>8.8800000000000008</v>
      </c>
      <c r="H32" s="1053">
        <f>IF(B32="","",SUMIFS(tblParadas[Horas perdidas],tblParadas[Equipo],$B32,tblParadas[Fecha],"&gt;="&amp;CFG_MES,tblParadas[Fecha],"&lt;="&amp;CFG_FIN_MES,tblParadas[Tipo de falla],"Eléctrica"))</f>
        <v>0</v>
      </c>
      <c r="I32" s="1053">
        <f>IF(B32="","",SUMIFS(tblParadas[Horas perdidas],tblParadas[Equipo],$B32,tblParadas[Fecha],"&gt;="&amp;CFG_MES,tblParadas[Fecha],"&lt;="&amp;CFG_FIN_MES,tblParadas[Tipo de falla],"Instrumentación"))</f>
        <v>0</v>
      </c>
      <c r="J32" s="1053">
        <f>IF(B32="","",SUMIFS(tblParadas[Horas perdidas],tblParadas[Equipo],$B32,tblParadas[Fecha],"&gt;="&amp;CFG_MES,tblParadas[Fecha],"&lt;="&amp;CFG_FIN_MES,tblParadas[Tipo de falla],"Operaciones"))</f>
        <v>0</v>
      </c>
      <c r="K32" s="1185">
        <f t="shared" ca="1" si="1"/>
        <v>0.98766666666666669</v>
      </c>
      <c r="L32" s="1185">
        <f t="shared" ca="1" si="2"/>
        <v>0.98766666666666669</v>
      </c>
      <c r="M32" s="1053">
        <f t="shared" si="3"/>
        <v>1.7760000000000002</v>
      </c>
      <c r="N32" s="1051">
        <f>IF(B32="","",SUMIFS(tblParadas[Mineral no procesado (TM)],tblParadas[Equipo],$B32,tblParadas[Fecha],"&gt;="&amp;CFG_MES,tblParadas[Fecha],"&lt;="&amp;CFG_FIN_MES))</f>
        <v>1771</v>
      </c>
      <c r="O32" s="1033"/>
      <c r="P32" s="1033"/>
    </row>
    <row r="33" spans="1:16">
      <c r="A33" s="1033"/>
      <c r="B33" s="1061" t="str" cm="1">
        <f t="array" ref="B33">IFERROR(INDEX(tblParadas[Equipo],_xlfn.AGGREGATE(15,6,(ROW(tblParadas[Equipo])-ROW(tblParadas[[#Headers],[Equipo]]))/((COUNTIF(B$25:B32,tblParadas[Equipo])=0)*(tblParadas[Equipo]&lt;&gt;"")*(tblParadas[Fecha]&gt;=CFG_MES)*(tblParadas[Fecha]&lt;=CFG_FIN_MES)),1)),"")</f>
        <v>032-083</v>
      </c>
      <c r="C33" s="1048" t="str">
        <f>IF(B33="","",IFERROR(INDEX(tblEquipos[Área planta],MATCH(B33,tblEquipos[Código equipo],0)),"s/d"))</f>
        <v>Magnética</v>
      </c>
      <c r="D33" s="1134">
        <f>IF(B33="","",COUNTIFS(tblParadas[Equipo],$B33,tblParadas[Fecha],"&gt;="&amp;CFG_MES,tblParadas[Fecha],"&lt;="&amp;CFG_FIN_MES))</f>
        <v>5</v>
      </c>
      <c r="E33" s="1053">
        <f>IF(B33="","",SUMIFS(tblParadas[Horas perdidas],tblParadas[Equipo],$B33,tblParadas[Fecha],"&gt;="&amp;CFG_MES,tblParadas[Fecha],"&lt;="&amp;CFG_FIN_MES))</f>
        <v>17.869999999999997</v>
      </c>
      <c r="F33" s="1053">
        <f t="shared" si="0"/>
        <v>17.869999999999997</v>
      </c>
      <c r="G33" s="1053">
        <f>IF(B33="","",SUMIFS(tblParadas[Horas perdidas],tblParadas[Equipo],$B33,tblParadas[Fecha],"&gt;="&amp;CFG_MES,tblParadas[Fecha],"&lt;="&amp;CFG_FIN_MES,tblParadas[Tipo de falla],"Mecánica"))</f>
        <v>17.869999999999997</v>
      </c>
      <c r="H33" s="1053">
        <f>IF(B33="","",SUMIFS(tblParadas[Horas perdidas],tblParadas[Equipo],$B33,tblParadas[Fecha],"&gt;="&amp;CFG_MES,tblParadas[Fecha],"&lt;="&amp;CFG_FIN_MES,tblParadas[Tipo de falla],"Eléctrica"))</f>
        <v>0</v>
      </c>
      <c r="I33" s="1053">
        <f>IF(B33="","",SUMIFS(tblParadas[Horas perdidas],tblParadas[Equipo],$B33,tblParadas[Fecha],"&gt;="&amp;CFG_MES,tblParadas[Fecha],"&lt;="&amp;CFG_FIN_MES,tblParadas[Tipo de falla],"Instrumentación"))</f>
        <v>0</v>
      </c>
      <c r="J33" s="1053">
        <f>IF(B33="","",SUMIFS(tblParadas[Horas perdidas],tblParadas[Equipo],$B33,tblParadas[Fecha],"&gt;="&amp;CFG_MES,tblParadas[Fecha],"&lt;="&amp;CFG_FIN_MES,tblParadas[Tipo de falla],"Operaciones"))</f>
        <v>0</v>
      </c>
      <c r="K33" s="1185">
        <f t="shared" ca="1" si="1"/>
        <v>0.97518055555555561</v>
      </c>
      <c r="L33" s="1185">
        <f t="shared" ca="1" si="2"/>
        <v>0.97518055555555561</v>
      </c>
      <c r="M33" s="1053">
        <f t="shared" si="3"/>
        <v>3.5739999999999994</v>
      </c>
      <c r="N33" s="1051">
        <f>IF(B33="","",SUMIFS(tblParadas[Mineral no procesado (TM)],tblParadas[Equipo],$B33,tblParadas[Fecha],"&gt;="&amp;CFG_MES,tblParadas[Fecha],"&lt;="&amp;CFG_FIN_MES))</f>
        <v>2680.5</v>
      </c>
      <c r="O33" s="1033"/>
      <c r="P33" s="1033"/>
    </row>
    <row r="34" spans="1:16">
      <c r="A34" s="1033"/>
      <c r="B34" s="1061" t="str" cm="1">
        <f t="array" ref="B34">IFERROR(INDEX(tblParadas[Equipo],_xlfn.AGGREGATE(15,6,(ROW(tblParadas[Equipo])-ROW(tblParadas[[#Headers],[Equipo]]))/((COUNTIF(B$25:B33,tblParadas[Equipo])=0)*(tblParadas[Equipo]&lt;&gt;"")*(tblParadas[Fecha]&gt;=CFG_MES)*(tblParadas[Fecha]&lt;=CFG_FIN_MES)),1)),"")</f>
        <v>032-204</v>
      </c>
      <c r="C34" s="1048" t="str">
        <f>IF(B34="","",IFERROR(INDEX(tblEquipos[Área planta],MATCH(B34,tblEquipos[Código equipo],0)),"s/d"))</f>
        <v>Magnética</v>
      </c>
      <c r="D34" s="1134">
        <f>IF(B34="","",COUNTIFS(tblParadas[Equipo],$B34,tblParadas[Fecha],"&gt;="&amp;CFG_MES,tblParadas[Fecha],"&lt;="&amp;CFG_FIN_MES))</f>
        <v>3</v>
      </c>
      <c r="E34" s="1053">
        <f>IF(B34="","",SUMIFS(tblParadas[Horas perdidas],tblParadas[Equipo],$B34,tblParadas[Fecha],"&gt;="&amp;CFG_MES,tblParadas[Fecha],"&lt;="&amp;CFG_FIN_MES))</f>
        <v>6.0600000000000005</v>
      </c>
      <c r="F34" s="1053">
        <f t="shared" si="0"/>
        <v>5.61</v>
      </c>
      <c r="G34" s="1053">
        <f>IF(B34="","",SUMIFS(tblParadas[Horas perdidas],tblParadas[Equipo],$B34,tblParadas[Fecha],"&gt;="&amp;CFG_MES,tblParadas[Fecha],"&lt;="&amp;CFG_FIN_MES,tblParadas[Tipo de falla],"Mecánica"))</f>
        <v>5.61</v>
      </c>
      <c r="H34" s="1053">
        <f>IF(B34="","",SUMIFS(tblParadas[Horas perdidas],tblParadas[Equipo],$B34,tblParadas[Fecha],"&gt;="&amp;CFG_MES,tblParadas[Fecha],"&lt;="&amp;CFG_FIN_MES,tblParadas[Tipo de falla],"Eléctrica"))</f>
        <v>0</v>
      </c>
      <c r="I34" s="1053">
        <f>IF(B34="","",SUMIFS(tblParadas[Horas perdidas],tblParadas[Equipo],$B34,tblParadas[Fecha],"&gt;="&amp;CFG_MES,tblParadas[Fecha],"&lt;="&amp;CFG_FIN_MES,tblParadas[Tipo de falla],"Instrumentación"))</f>
        <v>0</v>
      </c>
      <c r="J34" s="1053">
        <f>IF(B34="","",SUMIFS(tblParadas[Horas perdidas],tblParadas[Equipo],$B34,tblParadas[Fecha],"&gt;="&amp;CFG_MES,tblParadas[Fecha],"&lt;="&amp;CFG_FIN_MES,tblParadas[Tipo de falla],"Operaciones"))</f>
        <v>0.45</v>
      </c>
      <c r="K34" s="1185">
        <f t="shared" ca="1" si="1"/>
        <v>0.99220833333333336</v>
      </c>
      <c r="L34" s="1185">
        <f t="shared" ca="1" si="2"/>
        <v>0.99158333333333337</v>
      </c>
      <c r="M34" s="1053">
        <f t="shared" si="3"/>
        <v>2.02</v>
      </c>
      <c r="N34" s="1051">
        <f>IF(B34="","",SUMIFS(tblParadas[Mineral no procesado (TM)],tblParadas[Equipo],$B34,tblParadas[Fecha],"&gt;="&amp;CFG_MES,tblParadas[Fecha],"&lt;="&amp;CFG_FIN_MES))</f>
        <v>359.1</v>
      </c>
      <c r="O34" s="1033"/>
      <c r="P34" s="1033"/>
    </row>
    <row r="35" spans="1:16">
      <c r="A35" s="1033"/>
      <c r="B35" s="1061" t="str" cm="1">
        <f t="array" ref="B35">IFERROR(INDEX(tblParadas[Equipo],_xlfn.AGGREGATE(15,6,(ROW(tblParadas[Equipo])-ROW(tblParadas[[#Headers],[Equipo]]))/((COUNTIF(B$25:B34,tblParadas[Equipo])=0)*(tblParadas[Equipo]&lt;&gt;"")*(tblParadas[Fecha]&gt;=CFG_MES)*(tblParadas[Fecha]&lt;=CFG_FIN_MES)),1)),"")</f>
        <v>RM01/09</v>
      </c>
      <c r="C35" s="1048" t="str">
        <f>IF(B35="","",IFERROR(INDEX(tblEquipos[Área planta],MATCH(B35,tblEquipos[Código equipo],0)),"s/d"))</f>
        <v>s/d</v>
      </c>
      <c r="D35" s="1134">
        <f>IF(B35="","",COUNTIFS(tblParadas[Equipo],$B35,tblParadas[Fecha],"&gt;="&amp;CFG_MES,tblParadas[Fecha],"&lt;="&amp;CFG_FIN_MES))</f>
        <v>1</v>
      </c>
      <c r="E35" s="1053">
        <f>IF(B35="","",SUMIFS(tblParadas[Horas perdidas],tblParadas[Equipo],$B35,tblParadas[Fecha],"&gt;="&amp;CFG_MES,tblParadas[Fecha],"&lt;="&amp;CFG_FIN_MES))</f>
        <v>1.33</v>
      </c>
      <c r="F35" s="1053">
        <f t="shared" si="0"/>
        <v>1.33</v>
      </c>
      <c r="G35" s="1053">
        <f>IF(B35="","",SUMIFS(tblParadas[Horas perdidas],tblParadas[Equipo],$B35,tblParadas[Fecha],"&gt;="&amp;CFG_MES,tblParadas[Fecha],"&lt;="&amp;CFG_FIN_MES,tblParadas[Tipo de falla],"Mecánica"))</f>
        <v>0</v>
      </c>
      <c r="H35" s="1053">
        <f>IF(B35="","",SUMIFS(tblParadas[Horas perdidas],tblParadas[Equipo],$B35,tblParadas[Fecha],"&gt;="&amp;CFG_MES,tblParadas[Fecha],"&lt;="&amp;CFG_FIN_MES,tblParadas[Tipo de falla],"Eléctrica"))</f>
        <v>1.33</v>
      </c>
      <c r="I35" s="1053">
        <f>IF(B35="","",SUMIFS(tblParadas[Horas perdidas],tblParadas[Equipo],$B35,tblParadas[Fecha],"&gt;="&amp;CFG_MES,tblParadas[Fecha],"&lt;="&amp;CFG_FIN_MES,tblParadas[Tipo de falla],"Instrumentación"))</f>
        <v>0</v>
      </c>
      <c r="J35" s="1053">
        <f>IF(B35="","",SUMIFS(tblParadas[Horas perdidas],tblParadas[Equipo],$B35,tblParadas[Fecha],"&gt;="&amp;CFG_MES,tblParadas[Fecha],"&lt;="&amp;CFG_FIN_MES,tblParadas[Tipo de falla],"Operaciones"))</f>
        <v>0</v>
      </c>
      <c r="K35" s="1185">
        <f t="shared" ca="1" si="1"/>
        <v>0.99815277777777778</v>
      </c>
      <c r="L35" s="1185">
        <f t="shared" ca="1" si="2"/>
        <v>0.99815277777777778</v>
      </c>
      <c r="M35" s="1053">
        <f t="shared" si="3"/>
        <v>1.33</v>
      </c>
      <c r="N35" s="1051">
        <f>IF(B35="","",SUMIFS(tblParadas[Mineral no procesado (TM)],tblParadas[Equipo],$B35,tblParadas[Fecha],"&gt;="&amp;CFG_MES,tblParadas[Fecha],"&lt;="&amp;CFG_FIN_MES))</f>
        <v>2034.9</v>
      </c>
      <c r="O35" s="1033"/>
      <c r="P35" s="1033"/>
    </row>
    <row r="36" spans="1:16">
      <c r="A36" s="1033"/>
      <c r="B36" s="1061" t="str" cm="1">
        <f t="array" ref="B36">IFERROR(INDEX(tblParadas[Equipo],_xlfn.AGGREGATE(15,6,(ROW(tblParadas[Equipo])-ROW(tblParadas[[#Headers],[Equipo]]))/((COUNTIF(B$25:B35,tblParadas[Equipo])=0)*(tblParadas[Equipo]&lt;&gt;"")*(tblParadas[Fecha]&gt;=CFG_MES)*(tblParadas[Fecha]&lt;=CFG_FIN_MES)),1)),"")</f>
        <v>BM01/10</v>
      </c>
      <c r="C36" s="1048" t="str">
        <f>IF(B36="","",IFERROR(INDEX(tblEquipos[Área planta],MATCH(B36,tblEquipos[Código equipo],0)),"s/d"))</f>
        <v>s/d</v>
      </c>
      <c r="D36" s="1134">
        <f>IF(B36="","",COUNTIFS(tblParadas[Equipo],$B36,tblParadas[Fecha],"&gt;="&amp;CFG_MES,tblParadas[Fecha],"&lt;="&amp;CFG_FIN_MES))</f>
        <v>1</v>
      </c>
      <c r="E36" s="1053">
        <f>IF(B36="","",SUMIFS(tblParadas[Horas perdidas],tblParadas[Equipo],$B36,tblParadas[Fecha],"&gt;="&amp;CFG_MES,tblParadas[Fecha],"&lt;="&amp;CFG_FIN_MES))</f>
        <v>1.33</v>
      </c>
      <c r="F36" s="1053">
        <f t="shared" si="0"/>
        <v>1.33</v>
      </c>
      <c r="G36" s="1053">
        <f>IF(B36="","",SUMIFS(tblParadas[Horas perdidas],tblParadas[Equipo],$B36,tblParadas[Fecha],"&gt;="&amp;CFG_MES,tblParadas[Fecha],"&lt;="&amp;CFG_FIN_MES,tblParadas[Tipo de falla],"Mecánica"))</f>
        <v>0</v>
      </c>
      <c r="H36" s="1053">
        <f>IF(B36="","",SUMIFS(tblParadas[Horas perdidas],tblParadas[Equipo],$B36,tblParadas[Fecha],"&gt;="&amp;CFG_MES,tblParadas[Fecha],"&lt;="&amp;CFG_FIN_MES,tblParadas[Tipo de falla],"Eléctrica"))</f>
        <v>1.33</v>
      </c>
      <c r="I36" s="1053">
        <f>IF(B36="","",SUMIFS(tblParadas[Horas perdidas],tblParadas[Equipo],$B36,tblParadas[Fecha],"&gt;="&amp;CFG_MES,tblParadas[Fecha],"&lt;="&amp;CFG_FIN_MES,tblParadas[Tipo de falla],"Instrumentación"))</f>
        <v>0</v>
      </c>
      <c r="J36" s="1053">
        <f>IF(B36="","",SUMIFS(tblParadas[Horas perdidas],tblParadas[Equipo],$B36,tblParadas[Fecha],"&gt;="&amp;CFG_MES,tblParadas[Fecha],"&lt;="&amp;CFG_FIN_MES,tblParadas[Tipo de falla],"Operaciones"))</f>
        <v>0</v>
      </c>
      <c r="K36" s="1185">
        <f t="shared" ca="1" si="1"/>
        <v>0.99815277777777778</v>
      </c>
      <c r="L36" s="1185">
        <f t="shared" ca="1" si="2"/>
        <v>0.99815277777777778</v>
      </c>
      <c r="M36" s="1053">
        <f t="shared" si="3"/>
        <v>1.33</v>
      </c>
      <c r="N36" s="1051">
        <f>IF(B36="","",SUMIFS(tblParadas[Mineral no procesado (TM)],tblParadas[Equipo],$B36,tblParadas[Fecha],"&gt;="&amp;CFG_MES,tblParadas[Fecha],"&lt;="&amp;CFG_FIN_MES))</f>
        <v>1662.5</v>
      </c>
      <c r="O36" s="1033"/>
      <c r="P36" s="1033"/>
    </row>
    <row r="37" spans="1:16">
      <c r="A37" s="1033"/>
      <c r="B37" s="1061" t="str" cm="1">
        <f t="array" ref="B37">IFERROR(INDEX(tblParadas[Equipo],_xlfn.AGGREGATE(15,6,(ROW(tblParadas[Equipo])-ROW(tblParadas[[#Headers],[Equipo]]))/((COUNTIF(B$25:B36,tblParadas[Equipo])=0)*(tblParadas[Equipo]&lt;&gt;"")*(tblParadas[Fecha]&gt;=CFG_MES)*(tblParadas[Fecha]&lt;=CFG_FIN_MES)),1)),"")</f>
        <v>032-086</v>
      </c>
      <c r="C37" s="1048" t="str">
        <f>IF(B37="","",IFERROR(INDEX(tblEquipos[Área planta],MATCH(B37,tblEquipos[Código equipo],0)),"s/d"))</f>
        <v>Magnética</v>
      </c>
      <c r="D37" s="1134">
        <f>IF(B37="","",COUNTIFS(tblParadas[Equipo],$B37,tblParadas[Fecha],"&gt;="&amp;CFG_MES,tblParadas[Fecha],"&lt;="&amp;CFG_FIN_MES))</f>
        <v>1</v>
      </c>
      <c r="E37" s="1053">
        <f>IF(B37="","",SUMIFS(tblParadas[Horas perdidas],tblParadas[Equipo],$B37,tblParadas[Fecha],"&gt;="&amp;CFG_MES,tblParadas[Fecha],"&lt;="&amp;CFG_FIN_MES))</f>
        <v>0.2</v>
      </c>
      <c r="F37" s="1053">
        <f t="shared" si="0"/>
        <v>0</v>
      </c>
      <c r="G37" s="1053">
        <f>IF(B37="","",SUMIFS(tblParadas[Horas perdidas],tblParadas[Equipo],$B37,tblParadas[Fecha],"&gt;="&amp;CFG_MES,tblParadas[Fecha],"&lt;="&amp;CFG_FIN_MES,tblParadas[Tipo de falla],"Mecánica"))</f>
        <v>0</v>
      </c>
      <c r="H37" s="1053">
        <f>IF(B37="","",SUMIFS(tblParadas[Horas perdidas],tblParadas[Equipo],$B37,tblParadas[Fecha],"&gt;="&amp;CFG_MES,tblParadas[Fecha],"&lt;="&amp;CFG_FIN_MES,tblParadas[Tipo de falla],"Eléctrica"))</f>
        <v>0</v>
      </c>
      <c r="I37" s="1053">
        <f>IF(B37="","",SUMIFS(tblParadas[Horas perdidas],tblParadas[Equipo],$B37,tblParadas[Fecha],"&gt;="&amp;CFG_MES,tblParadas[Fecha],"&lt;="&amp;CFG_FIN_MES,tblParadas[Tipo de falla],"Instrumentación"))</f>
        <v>0</v>
      </c>
      <c r="J37" s="1053">
        <f>IF(B37="","",SUMIFS(tblParadas[Horas perdidas],tblParadas[Equipo],$B37,tblParadas[Fecha],"&gt;="&amp;CFG_MES,tblParadas[Fecha],"&lt;="&amp;CFG_FIN_MES,tblParadas[Tipo de falla],"Operaciones"))</f>
        <v>0.2</v>
      </c>
      <c r="K37" s="1185">
        <f t="shared" ca="1" si="1"/>
        <v>1</v>
      </c>
      <c r="L37" s="1185">
        <f t="shared" ca="1" si="2"/>
        <v>0.99972222222222218</v>
      </c>
      <c r="M37" s="1053">
        <f t="shared" si="3"/>
        <v>0.2</v>
      </c>
      <c r="N37" s="1051">
        <f>IF(B37="","",SUMIFS(tblParadas[Mineral no procesado (TM)],tblParadas[Equipo],$B37,tblParadas[Fecha],"&gt;="&amp;CFG_MES,tblParadas[Fecha],"&lt;="&amp;CFG_FIN_MES))</f>
        <v>40</v>
      </c>
      <c r="O37" s="1033"/>
      <c r="P37" s="1033"/>
    </row>
    <row r="38" spans="1:16">
      <c r="A38" s="1033"/>
      <c r="B38" s="1061" t="str" cm="1">
        <f t="array" ref="B38">IFERROR(INDEX(tblParadas[Equipo],_xlfn.AGGREGATE(15,6,(ROW(tblParadas[Equipo])-ROW(tblParadas[[#Headers],[Equipo]]))/((COUNTIF(B$25:B37,tblParadas[Equipo])=0)*(tblParadas[Equipo]&lt;&gt;"")*(tblParadas[Fecha]&gt;=CFG_MES)*(tblParadas[Fecha]&lt;=CFG_FIN_MES)),1)),"")</f>
        <v>032-201</v>
      </c>
      <c r="C38" s="1048" t="str">
        <f>IF(B38="","",IFERROR(INDEX(tblEquipos[Área planta],MATCH(B38,tblEquipos[Código equipo],0)),"s/d"))</f>
        <v>Magnética</v>
      </c>
      <c r="D38" s="1134">
        <f>IF(B38="","",COUNTIFS(tblParadas[Equipo],$B38,tblParadas[Fecha],"&gt;="&amp;CFG_MES,tblParadas[Fecha],"&lt;="&amp;CFG_FIN_MES))</f>
        <v>4</v>
      </c>
      <c r="E38" s="1053">
        <f>IF(B38="","",SUMIFS(tblParadas[Horas perdidas],tblParadas[Equipo],$B38,tblParadas[Fecha],"&gt;="&amp;CFG_MES,tblParadas[Fecha],"&lt;="&amp;CFG_FIN_MES))</f>
        <v>2.8400000000000003</v>
      </c>
      <c r="F38" s="1053">
        <f t="shared" si="0"/>
        <v>2.8400000000000003</v>
      </c>
      <c r="G38" s="1053">
        <f>IF(B38="","",SUMIFS(tblParadas[Horas perdidas],tblParadas[Equipo],$B38,tblParadas[Fecha],"&gt;="&amp;CFG_MES,tblParadas[Fecha],"&lt;="&amp;CFG_FIN_MES,tblParadas[Tipo de falla],"Mecánica"))</f>
        <v>2.14</v>
      </c>
      <c r="H38" s="1053">
        <f>IF(B38="","",SUMIFS(tblParadas[Horas perdidas],tblParadas[Equipo],$B38,tblParadas[Fecha],"&gt;="&amp;CFG_MES,tblParadas[Fecha],"&lt;="&amp;CFG_FIN_MES,tblParadas[Tipo de falla],"Eléctrica"))</f>
        <v>0</v>
      </c>
      <c r="I38" s="1053">
        <f>IF(B38="","",SUMIFS(tblParadas[Horas perdidas],tblParadas[Equipo],$B38,tblParadas[Fecha],"&gt;="&amp;CFG_MES,tblParadas[Fecha],"&lt;="&amp;CFG_FIN_MES,tblParadas[Tipo de falla],"Instrumentación"))</f>
        <v>0.7</v>
      </c>
      <c r="J38" s="1053">
        <f>IF(B38="","",SUMIFS(tblParadas[Horas perdidas],tblParadas[Equipo],$B38,tblParadas[Fecha],"&gt;="&amp;CFG_MES,tblParadas[Fecha],"&lt;="&amp;CFG_FIN_MES,tblParadas[Tipo de falla],"Operaciones"))</f>
        <v>0</v>
      </c>
      <c r="K38" s="1185">
        <f t="shared" ca="1" si="1"/>
        <v>0.99605555555555558</v>
      </c>
      <c r="L38" s="1185">
        <f t="shared" ca="1" si="2"/>
        <v>0.99605555555555558</v>
      </c>
      <c r="M38" s="1053">
        <f t="shared" si="3"/>
        <v>0.71000000000000008</v>
      </c>
      <c r="N38" s="1051">
        <f>IF(B38="","",SUMIFS(tblParadas[Mineral no procesado (TM)],tblParadas[Equipo],$B38,tblParadas[Fecha],"&gt;="&amp;CFG_MES,tblParadas[Fecha],"&lt;="&amp;CFG_FIN_MES))</f>
        <v>309</v>
      </c>
      <c r="O38" s="1033"/>
      <c r="P38" s="1033"/>
    </row>
    <row r="39" spans="1:16">
      <c r="A39" s="1033"/>
      <c r="B39" s="1061" t="str" cm="1">
        <f t="array" ref="B39">IFERROR(INDEX(tblParadas[Equipo],_xlfn.AGGREGATE(15,6,(ROW(tblParadas[Equipo])-ROW(tblParadas[[#Headers],[Equipo]]))/((COUNTIF(B$25:B38,tblParadas[Equipo])=0)*(tblParadas[Equipo]&lt;&gt;"")*(tblParadas[Fecha]&gt;=CFG_MES)*(tblParadas[Fecha]&lt;=CFG_FIN_MES)),1)),"")</f>
        <v>032-207</v>
      </c>
      <c r="C39" s="1048" t="str">
        <f>IF(B39="","",IFERROR(INDEX(tblEquipos[Área planta],MATCH(B39,tblEquipos[Código equipo],0)),"s/d"))</f>
        <v>Magnética</v>
      </c>
      <c r="D39" s="1134">
        <f>IF(B39="","",COUNTIFS(tblParadas[Equipo],$B39,tblParadas[Fecha],"&gt;="&amp;CFG_MES,tblParadas[Fecha],"&lt;="&amp;CFG_FIN_MES))</f>
        <v>3</v>
      </c>
      <c r="E39" s="1053">
        <f>IF(B39="","",SUMIFS(tblParadas[Horas perdidas],tblParadas[Equipo],$B39,tblParadas[Fecha],"&gt;="&amp;CFG_MES,tblParadas[Fecha],"&lt;="&amp;CFG_FIN_MES))</f>
        <v>8.73</v>
      </c>
      <c r="F39" s="1053">
        <f t="shared" si="0"/>
        <v>8.73</v>
      </c>
      <c r="G39" s="1053">
        <f>IF(B39="","",SUMIFS(tblParadas[Horas perdidas],tblParadas[Equipo],$B39,tblParadas[Fecha],"&gt;="&amp;CFG_MES,tblParadas[Fecha],"&lt;="&amp;CFG_FIN_MES,tblParadas[Tipo de falla],"Mecánica"))</f>
        <v>8.73</v>
      </c>
      <c r="H39" s="1053">
        <f>IF(B39="","",SUMIFS(tblParadas[Horas perdidas],tblParadas[Equipo],$B39,tblParadas[Fecha],"&gt;="&amp;CFG_MES,tblParadas[Fecha],"&lt;="&amp;CFG_FIN_MES,tblParadas[Tipo de falla],"Eléctrica"))</f>
        <v>0</v>
      </c>
      <c r="I39" s="1053">
        <f>IF(B39="","",SUMIFS(tblParadas[Horas perdidas],tblParadas[Equipo],$B39,tblParadas[Fecha],"&gt;="&amp;CFG_MES,tblParadas[Fecha],"&lt;="&amp;CFG_FIN_MES,tblParadas[Tipo de falla],"Instrumentación"))</f>
        <v>0</v>
      </c>
      <c r="J39" s="1053">
        <f>IF(B39="","",SUMIFS(tblParadas[Horas perdidas],tblParadas[Equipo],$B39,tblParadas[Fecha],"&gt;="&amp;CFG_MES,tblParadas[Fecha],"&lt;="&amp;CFG_FIN_MES,tblParadas[Tipo de falla],"Operaciones"))</f>
        <v>0</v>
      </c>
      <c r="K39" s="1185">
        <f t="shared" ca="1" si="1"/>
        <v>0.98787499999999995</v>
      </c>
      <c r="L39" s="1185">
        <f t="shared" ca="1" si="2"/>
        <v>0.98787499999999995</v>
      </c>
      <c r="M39" s="1053">
        <f t="shared" si="3"/>
        <v>2.91</v>
      </c>
      <c r="N39" s="1051">
        <f>IF(B39="","",SUMIFS(tblParadas[Mineral no procesado (TM)],tblParadas[Equipo],$B39,tblParadas[Fecha],"&gt;="&amp;CFG_MES,tblParadas[Fecha],"&lt;="&amp;CFG_FIN_MES))</f>
        <v>1309.5</v>
      </c>
      <c r="O39" s="1033"/>
      <c r="P39" s="1033"/>
    </row>
    <row r="40" spans="1:16">
      <c r="A40" s="1033"/>
      <c r="B40" s="1061" t="str" cm="1">
        <f t="array" ref="B40">IFERROR(INDEX(tblParadas[Equipo],_xlfn.AGGREGATE(15,6,(ROW(tblParadas[Equipo])-ROW(tblParadas[[#Headers],[Equipo]]))/((COUNTIF(B$25:B39,tblParadas[Equipo])=0)*(tblParadas[Equipo]&lt;&gt;"")*(tblParadas[Fecha]&gt;=CFG_MES)*(tblParadas[Fecha]&lt;=CFG_FIN_MES)),1)),"")</f>
        <v>032-210</v>
      </c>
      <c r="C40" s="1048" t="str">
        <f>IF(B40="","",IFERROR(INDEX(tblEquipos[Área planta],MATCH(B40,tblEquipos[Código equipo],0)),"s/d"))</f>
        <v>Magnética</v>
      </c>
      <c r="D40" s="1134">
        <f>IF(B40="","",COUNTIFS(tblParadas[Equipo],$B40,tblParadas[Fecha],"&gt;="&amp;CFG_MES,tblParadas[Fecha],"&lt;="&amp;CFG_FIN_MES))</f>
        <v>4</v>
      </c>
      <c r="E40" s="1053">
        <f>IF(B40="","",SUMIFS(tblParadas[Horas perdidas],tblParadas[Equipo],$B40,tblParadas[Fecha],"&gt;="&amp;CFG_MES,tblParadas[Fecha],"&lt;="&amp;CFG_FIN_MES))</f>
        <v>3.09</v>
      </c>
      <c r="F40" s="1053">
        <f t="shared" si="0"/>
        <v>3.09</v>
      </c>
      <c r="G40" s="1053">
        <f>IF(B40="","",SUMIFS(tblParadas[Horas perdidas],tblParadas[Equipo],$B40,tblParadas[Fecha],"&gt;="&amp;CFG_MES,tblParadas[Fecha],"&lt;="&amp;CFG_FIN_MES,tblParadas[Tipo de falla],"Mecánica"))</f>
        <v>1.27</v>
      </c>
      <c r="H40" s="1053">
        <f>IF(B40="","",SUMIFS(tblParadas[Horas perdidas],tblParadas[Equipo],$B40,tblParadas[Fecha],"&gt;="&amp;CFG_MES,tblParadas[Fecha],"&lt;="&amp;CFG_FIN_MES,tblParadas[Tipo de falla],"Eléctrica"))</f>
        <v>1.82</v>
      </c>
      <c r="I40" s="1053">
        <f>IF(B40="","",SUMIFS(tblParadas[Horas perdidas],tblParadas[Equipo],$B40,tblParadas[Fecha],"&gt;="&amp;CFG_MES,tblParadas[Fecha],"&lt;="&amp;CFG_FIN_MES,tblParadas[Tipo de falla],"Instrumentación"))</f>
        <v>0</v>
      </c>
      <c r="J40" s="1053">
        <f>IF(B40="","",SUMIFS(tblParadas[Horas perdidas],tblParadas[Equipo],$B40,tblParadas[Fecha],"&gt;="&amp;CFG_MES,tblParadas[Fecha],"&lt;="&amp;CFG_FIN_MES,tblParadas[Tipo de falla],"Operaciones"))</f>
        <v>0</v>
      </c>
      <c r="K40" s="1185">
        <f t="shared" ca="1" si="1"/>
        <v>0.99570833333333331</v>
      </c>
      <c r="L40" s="1185">
        <f t="shared" ca="1" si="2"/>
        <v>0.99570833333333331</v>
      </c>
      <c r="M40" s="1053">
        <f t="shared" si="3"/>
        <v>0.77249999999999996</v>
      </c>
      <c r="N40" s="1051">
        <f>IF(B40="","",SUMIFS(tblParadas[Mineral no procesado (TM)],tblParadas[Equipo],$B40,tblParadas[Fecha],"&gt;="&amp;CFG_MES,tblParadas[Fecha],"&lt;="&amp;CFG_FIN_MES))</f>
        <v>309</v>
      </c>
      <c r="O40" s="1033"/>
      <c r="P40" s="1033"/>
    </row>
    <row r="41" spans="1:16">
      <c r="A41" s="1033"/>
      <c r="B41" s="1061" t="str" cm="1">
        <f t="array" ref="B41">IFERROR(INDEX(tblParadas[Equipo],_xlfn.AGGREGATE(15,6,(ROW(tblParadas[Equipo])-ROW(tblParadas[[#Headers],[Equipo]]))/((COUNTIF(B$25:B40,tblParadas[Equipo])=0)*(tblParadas[Equipo]&lt;&gt;"")*(tblParadas[Fecha]&gt;=CFG_MES)*(tblParadas[Fecha]&lt;=CFG_FIN_MES)),1)),"")</f>
        <v>032-088</v>
      </c>
      <c r="C41" s="1048" t="str">
        <f>IF(B41="","",IFERROR(INDEX(tblEquipos[Área planta],MATCH(B41,tblEquipos[Código equipo],0)),"s/d"))</f>
        <v>Magnética</v>
      </c>
      <c r="D41" s="1134">
        <f>IF(B41="","",COUNTIFS(tblParadas[Equipo],$B41,tblParadas[Fecha],"&gt;="&amp;CFG_MES,tblParadas[Fecha],"&lt;="&amp;CFG_FIN_MES))</f>
        <v>1</v>
      </c>
      <c r="E41" s="1053">
        <f>IF(B41="","",SUMIFS(tblParadas[Horas perdidas],tblParadas[Equipo],$B41,tblParadas[Fecha],"&gt;="&amp;CFG_MES,tblParadas[Fecha],"&lt;="&amp;CFG_FIN_MES))</f>
        <v>7.2</v>
      </c>
      <c r="F41" s="1053">
        <f t="shared" si="0"/>
        <v>7.2</v>
      </c>
      <c r="G41" s="1053">
        <f>IF(B41="","",SUMIFS(tblParadas[Horas perdidas],tblParadas[Equipo],$B41,tblParadas[Fecha],"&gt;="&amp;CFG_MES,tblParadas[Fecha],"&lt;="&amp;CFG_FIN_MES,tblParadas[Tipo de falla],"Mecánica"))</f>
        <v>7.2</v>
      </c>
      <c r="H41" s="1053">
        <f>IF(B41="","",SUMIFS(tblParadas[Horas perdidas],tblParadas[Equipo],$B41,tblParadas[Fecha],"&gt;="&amp;CFG_MES,tblParadas[Fecha],"&lt;="&amp;CFG_FIN_MES,tblParadas[Tipo de falla],"Eléctrica"))</f>
        <v>0</v>
      </c>
      <c r="I41" s="1053">
        <f>IF(B41="","",SUMIFS(tblParadas[Horas perdidas],tblParadas[Equipo],$B41,tblParadas[Fecha],"&gt;="&amp;CFG_MES,tblParadas[Fecha],"&lt;="&amp;CFG_FIN_MES,tblParadas[Tipo de falla],"Instrumentación"))</f>
        <v>0</v>
      </c>
      <c r="J41" s="1053">
        <f>IF(B41="","",SUMIFS(tblParadas[Horas perdidas],tblParadas[Equipo],$B41,tblParadas[Fecha],"&gt;="&amp;CFG_MES,tblParadas[Fecha],"&lt;="&amp;CFG_FIN_MES,tblParadas[Tipo de falla],"Operaciones"))</f>
        <v>0</v>
      </c>
      <c r="K41" s="1185">
        <f t="shared" ca="1" si="1"/>
        <v>0.99</v>
      </c>
      <c r="L41" s="1185">
        <f t="shared" ca="1" si="2"/>
        <v>0.99</v>
      </c>
      <c r="M41" s="1053">
        <f t="shared" si="3"/>
        <v>7.2</v>
      </c>
      <c r="N41" s="1051">
        <f>IF(B41="","",SUMIFS(tblParadas[Mineral no procesado (TM)],tblParadas[Equipo],$B41,tblParadas[Fecha],"&gt;="&amp;CFG_MES,tblParadas[Fecha],"&lt;="&amp;CFG_FIN_MES))</f>
        <v>1440</v>
      </c>
      <c r="O41" s="1033"/>
      <c r="P41" s="1033"/>
    </row>
    <row r="42" spans="1:16">
      <c r="A42" s="1033"/>
      <c r="B42" s="1061" t="str" cm="1">
        <f t="array" ref="B42">IFERROR(INDEX(tblParadas[Equipo],_xlfn.AGGREGATE(15,6,(ROW(tblParadas[Equipo])-ROW(tblParadas[[#Headers],[Equipo]]))/((COUNTIF(B$25:B41,tblParadas[Equipo])=0)*(tblParadas[Equipo]&lt;&gt;"")*(tblParadas[Fecha]&gt;=CFG_MES)*(tblParadas[Fecha]&lt;=CFG_FIN_MES)),1)),"")</f>
        <v>032-208</v>
      </c>
      <c r="C42" s="1048" t="str">
        <f>IF(B42="","",IFERROR(INDEX(tblEquipos[Área planta],MATCH(B42,tblEquipos[Código equipo],0)),"s/d"))</f>
        <v>Magnética</v>
      </c>
      <c r="D42" s="1134">
        <f>IF(B42="","",COUNTIFS(tblParadas[Equipo],$B42,tblParadas[Fecha],"&gt;="&amp;CFG_MES,tblParadas[Fecha],"&lt;="&amp;CFG_FIN_MES))</f>
        <v>1</v>
      </c>
      <c r="E42" s="1053">
        <f>IF(B42="","",SUMIFS(tblParadas[Horas perdidas],tblParadas[Equipo],$B42,tblParadas[Fecha],"&gt;="&amp;CFG_MES,tblParadas[Fecha],"&lt;="&amp;CFG_FIN_MES))</f>
        <v>7.2</v>
      </c>
      <c r="F42" s="1053">
        <f t="shared" si="0"/>
        <v>7.2</v>
      </c>
      <c r="G42" s="1053">
        <f>IF(B42="","",SUMIFS(tblParadas[Horas perdidas],tblParadas[Equipo],$B42,tblParadas[Fecha],"&gt;="&amp;CFG_MES,tblParadas[Fecha],"&lt;="&amp;CFG_FIN_MES,tblParadas[Tipo de falla],"Mecánica"))</f>
        <v>7.2</v>
      </c>
      <c r="H42" s="1053">
        <f>IF(B42="","",SUMIFS(tblParadas[Horas perdidas],tblParadas[Equipo],$B42,tblParadas[Fecha],"&gt;="&amp;CFG_MES,tblParadas[Fecha],"&lt;="&amp;CFG_FIN_MES,tblParadas[Tipo de falla],"Eléctrica"))</f>
        <v>0</v>
      </c>
      <c r="I42" s="1053">
        <f>IF(B42="","",SUMIFS(tblParadas[Horas perdidas],tblParadas[Equipo],$B42,tblParadas[Fecha],"&gt;="&amp;CFG_MES,tblParadas[Fecha],"&lt;="&amp;CFG_FIN_MES,tblParadas[Tipo de falla],"Instrumentación"))</f>
        <v>0</v>
      </c>
      <c r="J42" s="1053">
        <f>IF(B42="","",SUMIFS(tblParadas[Horas perdidas],tblParadas[Equipo],$B42,tblParadas[Fecha],"&gt;="&amp;CFG_MES,tblParadas[Fecha],"&lt;="&amp;CFG_FIN_MES,tblParadas[Tipo de falla],"Operaciones"))</f>
        <v>0</v>
      </c>
      <c r="K42" s="1185">
        <f t="shared" ca="1" si="1"/>
        <v>0.99</v>
      </c>
      <c r="L42" s="1185">
        <f t="shared" ca="1" si="2"/>
        <v>0.99</v>
      </c>
      <c r="M42" s="1053">
        <f t="shared" si="3"/>
        <v>7.2</v>
      </c>
      <c r="N42" s="1051">
        <f>IF(B42="","",SUMIFS(tblParadas[Mineral no procesado (TM)],tblParadas[Equipo],$B42,tblParadas[Fecha],"&gt;="&amp;CFG_MES,tblParadas[Fecha],"&lt;="&amp;CFG_FIN_MES))</f>
        <v>1080</v>
      </c>
      <c r="O42" s="1033"/>
      <c r="P42" s="1033"/>
    </row>
    <row r="43" spans="1:16">
      <c r="A43" s="1033"/>
      <c r="B43" s="1061" t="str" cm="1">
        <f t="array" ref="B43">IFERROR(INDEX(tblParadas[Equipo],_xlfn.AGGREGATE(15,6,(ROW(tblParadas[Equipo])-ROW(tblParadas[[#Headers],[Equipo]]))/((COUNTIF(B$25:B42,tblParadas[Equipo])=0)*(tblParadas[Equipo]&lt;&gt;"")*(tblParadas[Fecha]&gt;=CFG_MES)*(tblParadas[Fecha]&lt;=CFG_FIN_MES)),1)),"")</f>
        <v>032-205</v>
      </c>
      <c r="C43" s="1048" t="str">
        <f>IF(B43="","",IFERROR(INDEX(tblEquipos[Área planta],MATCH(B43,tblEquipos[Código equipo],0)),"s/d"))</f>
        <v>Magnética</v>
      </c>
      <c r="D43" s="1134">
        <f>IF(B43="","",COUNTIFS(tblParadas[Equipo],$B43,tblParadas[Fecha],"&gt;="&amp;CFG_MES,tblParadas[Fecha],"&lt;="&amp;CFG_FIN_MES))</f>
        <v>1</v>
      </c>
      <c r="E43" s="1053">
        <f>IF(B43="","",SUMIFS(tblParadas[Horas perdidas],tblParadas[Equipo],$B43,tblParadas[Fecha],"&gt;="&amp;CFG_MES,tblParadas[Fecha],"&lt;="&amp;CFG_FIN_MES))</f>
        <v>4</v>
      </c>
      <c r="F43" s="1053">
        <f t="shared" si="0"/>
        <v>4</v>
      </c>
      <c r="G43" s="1053">
        <f>IF(B43="","",SUMIFS(tblParadas[Horas perdidas],tblParadas[Equipo],$B43,tblParadas[Fecha],"&gt;="&amp;CFG_MES,tblParadas[Fecha],"&lt;="&amp;CFG_FIN_MES,tblParadas[Tipo de falla],"Mecánica"))</f>
        <v>4</v>
      </c>
      <c r="H43" s="1053">
        <f>IF(B43="","",SUMIFS(tblParadas[Horas perdidas],tblParadas[Equipo],$B43,tblParadas[Fecha],"&gt;="&amp;CFG_MES,tblParadas[Fecha],"&lt;="&amp;CFG_FIN_MES,tblParadas[Tipo de falla],"Eléctrica"))</f>
        <v>0</v>
      </c>
      <c r="I43" s="1053">
        <f>IF(B43="","",SUMIFS(tblParadas[Horas perdidas],tblParadas[Equipo],$B43,tblParadas[Fecha],"&gt;="&amp;CFG_MES,tblParadas[Fecha],"&lt;="&amp;CFG_FIN_MES,tblParadas[Tipo de falla],"Instrumentación"))</f>
        <v>0</v>
      </c>
      <c r="J43" s="1053">
        <f>IF(B43="","",SUMIFS(tblParadas[Horas perdidas],tblParadas[Equipo],$B43,tblParadas[Fecha],"&gt;="&amp;CFG_MES,tblParadas[Fecha],"&lt;="&amp;CFG_FIN_MES,tblParadas[Tipo de falla],"Operaciones"))</f>
        <v>0</v>
      </c>
      <c r="K43" s="1185">
        <f t="shared" ca="1" si="1"/>
        <v>0.99444444444444446</v>
      </c>
      <c r="L43" s="1185">
        <f t="shared" ca="1" si="2"/>
        <v>0.99444444444444446</v>
      </c>
      <c r="M43" s="1053">
        <f t="shared" si="3"/>
        <v>4</v>
      </c>
      <c r="N43" s="1051">
        <f>IF(B43="","",SUMIFS(tblParadas[Mineral no procesado (TM)],tblParadas[Equipo],$B43,tblParadas[Fecha],"&gt;="&amp;CFG_MES,tblParadas[Fecha],"&lt;="&amp;CFG_FIN_MES))</f>
        <v>600</v>
      </c>
      <c r="O43" s="1033"/>
      <c r="P43" s="1033"/>
    </row>
    <row r="44" spans="1:16">
      <c r="A44" s="1033"/>
      <c r="B44" s="1061" t="str" cm="1">
        <f t="array" ref="B44">IFERROR(INDEX(tblParadas[Equipo],_xlfn.AGGREGATE(15,6,(ROW(tblParadas[Equipo])-ROW(tblParadas[[#Headers],[Equipo]]))/((COUNTIF(B$25:B43,tblParadas[Equipo])=0)*(tblParadas[Equipo]&lt;&gt;"")*(tblParadas[Fecha]&gt;=CFG_MES)*(tblParadas[Fecha]&lt;=CFG_FIN_MES)),1)),"")</f>
        <v>032-203</v>
      </c>
      <c r="C44" s="1048" t="str">
        <f>IF(B44="","",IFERROR(INDEX(tblEquipos[Área planta],MATCH(B44,tblEquipos[Código equipo],0)),"s/d"))</f>
        <v>Magnética</v>
      </c>
      <c r="D44" s="1134">
        <f>IF(B44="","",COUNTIFS(tblParadas[Equipo],$B44,tblParadas[Fecha],"&gt;="&amp;CFG_MES,tblParadas[Fecha],"&lt;="&amp;CFG_FIN_MES))</f>
        <v>1</v>
      </c>
      <c r="E44" s="1053">
        <f>IF(B44="","",SUMIFS(tblParadas[Horas perdidas],tblParadas[Equipo],$B44,tblParadas[Fecha],"&gt;="&amp;CFG_MES,tblParadas[Fecha],"&lt;="&amp;CFG_FIN_MES))</f>
        <v>1.33</v>
      </c>
      <c r="F44" s="1053">
        <f t="shared" si="0"/>
        <v>1.33</v>
      </c>
      <c r="G44" s="1053">
        <f>IF(B44="","",SUMIFS(tblParadas[Horas perdidas],tblParadas[Equipo],$B44,tblParadas[Fecha],"&gt;="&amp;CFG_MES,tblParadas[Fecha],"&lt;="&amp;CFG_FIN_MES,tblParadas[Tipo de falla],"Mecánica"))</f>
        <v>1.33</v>
      </c>
      <c r="H44" s="1053">
        <f>IF(B44="","",SUMIFS(tblParadas[Horas perdidas],tblParadas[Equipo],$B44,tblParadas[Fecha],"&gt;="&amp;CFG_MES,tblParadas[Fecha],"&lt;="&amp;CFG_FIN_MES,tblParadas[Tipo de falla],"Eléctrica"))</f>
        <v>0</v>
      </c>
      <c r="I44" s="1053">
        <f>IF(B44="","",SUMIFS(tblParadas[Horas perdidas],tblParadas[Equipo],$B44,tblParadas[Fecha],"&gt;="&amp;CFG_MES,tblParadas[Fecha],"&lt;="&amp;CFG_FIN_MES,tblParadas[Tipo de falla],"Instrumentación"))</f>
        <v>0</v>
      </c>
      <c r="J44" s="1053">
        <f>IF(B44="","",SUMIFS(tblParadas[Horas perdidas],tblParadas[Equipo],$B44,tblParadas[Fecha],"&gt;="&amp;CFG_MES,tblParadas[Fecha],"&lt;="&amp;CFG_FIN_MES,tblParadas[Tipo de falla],"Operaciones"))</f>
        <v>0</v>
      </c>
      <c r="K44" s="1185">
        <f t="shared" ca="1" si="1"/>
        <v>0.99815277777777778</v>
      </c>
      <c r="L44" s="1185">
        <f t="shared" ca="1" si="2"/>
        <v>0.99815277777777778</v>
      </c>
      <c r="M44" s="1053">
        <f t="shared" si="3"/>
        <v>1.33</v>
      </c>
      <c r="N44" s="1051">
        <f>IF(B44="","",SUMIFS(tblParadas[Mineral no procesado (TM)],tblParadas[Equipo],$B44,tblParadas[Fecha],"&gt;="&amp;CFG_MES,tblParadas[Fecha],"&lt;="&amp;CFG_FIN_MES))</f>
        <v>66.5</v>
      </c>
      <c r="O44" s="1033"/>
      <c r="P44" s="1033"/>
    </row>
    <row r="45" spans="1:16">
      <c r="A45" s="1033"/>
      <c r="B45" s="1061" t="str" cm="1">
        <f t="array" ref="B45">IFERROR(INDEX(tblParadas[Equipo],_xlfn.AGGREGATE(15,6,(ROW(tblParadas[Equipo])-ROW(tblParadas[[#Headers],[Equipo]]))/((COUNTIF(B$25:B44,tblParadas[Equipo])=0)*(tblParadas[Equipo]&lt;&gt;"")*(tblParadas[Fecha]&gt;=CFG_MES)*(tblParadas[Fecha]&lt;=CFG_FIN_MES)),1)),"")</f>
        <v/>
      </c>
      <c r="C45" s="1048" t="str">
        <f>IF(B45="","",IFERROR(INDEX(tblEquipos[Área planta],MATCH(B45,tblEquipos[Código equipo],0)),"s/d"))</f>
        <v/>
      </c>
      <c r="D45" s="1134" t="str">
        <f>IF(B45="","",COUNTIFS(tblParadas[Equipo],$B45,tblParadas[Fecha],"&gt;="&amp;CFG_MES,tblParadas[Fecha],"&lt;="&amp;CFG_FIN_MES))</f>
        <v/>
      </c>
      <c r="E45" s="1053" t="str">
        <f>IF(B45="","",SUMIFS(tblParadas[Horas perdidas],tblParadas[Equipo],$B45,tblParadas[Fecha],"&gt;="&amp;CFG_MES,tblParadas[Fecha],"&lt;="&amp;CFG_FIN_MES))</f>
        <v/>
      </c>
      <c r="F45" s="1053" t="str">
        <f t="shared" si="0"/>
        <v/>
      </c>
      <c r="G45" s="1053" t="str">
        <f>IF(B45="","",SUMIFS(tblParadas[Horas perdidas],tblParadas[Equipo],$B45,tblParadas[Fecha],"&gt;="&amp;CFG_MES,tblParadas[Fecha],"&lt;="&amp;CFG_FIN_MES,tblParadas[Tipo de falla],"Mecánica"))</f>
        <v/>
      </c>
      <c r="H45" s="1053" t="str">
        <f>IF(B45="","",SUMIFS(tblParadas[Horas perdidas],tblParadas[Equipo],$B45,tblParadas[Fecha],"&gt;="&amp;CFG_MES,tblParadas[Fecha],"&lt;="&amp;CFG_FIN_MES,tblParadas[Tipo de falla],"Eléctrica"))</f>
        <v/>
      </c>
      <c r="I45" s="1053" t="str">
        <f>IF(B45="","",SUMIFS(tblParadas[Horas perdidas],tblParadas[Equipo],$B45,tblParadas[Fecha],"&gt;="&amp;CFG_MES,tblParadas[Fecha],"&lt;="&amp;CFG_FIN_MES,tblParadas[Tipo de falla],"Instrumentación"))</f>
        <v/>
      </c>
      <c r="J45" s="1053" t="str">
        <f>IF(B45="","",SUMIFS(tblParadas[Horas perdidas],tblParadas[Equipo],$B45,tblParadas[Fecha],"&gt;="&amp;CFG_MES,tblParadas[Fecha],"&lt;="&amp;CFG_FIN_MES,tblParadas[Tipo de falla],"Operaciones"))</f>
        <v/>
      </c>
      <c r="K45" s="1185" t="str">
        <f t="shared" si="1"/>
        <v/>
      </c>
      <c r="L45" s="1185" t="str">
        <f t="shared" si="2"/>
        <v/>
      </c>
      <c r="M45" s="1053" t="str">
        <f t="shared" si="3"/>
        <v/>
      </c>
      <c r="N45" s="1051" t="str">
        <f>IF(B45="","",SUMIFS(tblParadas[Mineral no procesado (TM)],tblParadas[Equipo],$B45,tblParadas[Fecha],"&gt;="&amp;CFG_MES,tblParadas[Fecha],"&lt;="&amp;CFG_FIN_MES))</f>
        <v/>
      </c>
      <c r="O45" s="1033"/>
      <c r="P45" s="1033"/>
    </row>
    <row r="46" spans="1:16">
      <c r="A46" s="1033"/>
      <c r="B46" s="1061" t="str" cm="1">
        <f t="array" ref="B46">IFERROR(INDEX(tblParadas[Equipo],_xlfn.AGGREGATE(15,6,(ROW(tblParadas[Equipo])-ROW(tblParadas[[#Headers],[Equipo]]))/((COUNTIF(B$25:B45,tblParadas[Equipo])=0)*(tblParadas[Equipo]&lt;&gt;"")*(tblParadas[Fecha]&gt;=CFG_MES)*(tblParadas[Fecha]&lt;=CFG_FIN_MES)),1)),"")</f>
        <v/>
      </c>
      <c r="C46" s="1048" t="str">
        <f>IF(B46="","",IFERROR(INDEX(tblEquipos[Área planta],MATCH(B46,tblEquipos[Código equipo],0)),"s/d"))</f>
        <v/>
      </c>
      <c r="D46" s="1134" t="str">
        <f>IF(B46="","",COUNTIFS(tblParadas[Equipo],$B46,tblParadas[Fecha],"&gt;="&amp;CFG_MES,tblParadas[Fecha],"&lt;="&amp;CFG_FIN_MES))</f>
        <v/>
      </c>
      <c r="E46" s="1053" t="str">
        <f>IF(B46="","",SUMIFS(tblParadas[Horas perdidas],tblParadas[Equipo],$B46,tblParadas[Fecha],"&gt;="&amp;CFG_MES,tblParadas[Fecha],"&lt;="&amp;CFG_FIN_MES))</f>
        <v/>
      </c>
      <c r="F46" s="1053" t="str">
        <f t="shared" si="0"/>
        <v/>
      </c>
      <c r="G46" s="1053" t="str">
        <f>IF(B46="","",SUMIFS(tblParadas[Horas perdidas],tblParadas[Equipo],$B46,tblParadas[Fecha],"&gt;="&amp;CFG_MES,tblParadas[Fecha],"&lt;="&amp;CFG_FIN_MES,tblParadas[Tipo de falla],"Mecánica"))</f>
        <v/>
      </c>
      <c r="H46" s="1053" t="str">
        <f>IF(B46="","",SUMIFS(tblParadas[Horas perdidas],tblParadas[Equipo],$B46,tblParadas[Fecha],"&gt;="&amp;CFG_MES,tblParadas[Fecha],"&lt;="&amp;CFG_FIN_MES,tblParadas[Tipo de falla],"Eléctrica"))</f>
        <v/>
      </c>
      <c r="I46" s="1053" t="str">
        <f>IF(B46="","",SUMIFS(tblParadas[Horas perdidas],tblParadas[Equipo],$B46,tblParadas[Fecha],"&gt;="&amp;CFG_MES,tblParadas[Fecha],"&lt;="&amp;CFG_FIN_MES,tblParadas[Tipo de falla],"Instrumentación"))</f>
        <v/>
      </c>
      <c r="J46" s="1053" t="str">
        <f>IF(B46="","",SUMIFS(tblParadas[Horas perdidas],tblParadas[Equipo],$B46,tblParadas[Fecha],"&gt;="&amp;CFG_MES,tblParadas[Fecha],"&lt;="&amp;CFG_FIN_MES,tblParadas[Tipo de falla],"Operaciones"))</f>
        <v/>
      </c>
      <c r="K46" s="1185" t="str">
        <f t="shared" si="1"/>
        <v/>
      </c>
      <c r="L46" s="1185" t="str">
        <f t="shared" si="2"/>
        <v/>
      </c>
      <c r="M46" s="1053" t="str">
        <f t="shared" si="3"/>
        <v/>
      </c>
      <c r="N46" s="1051" t="str">
        <f>IF(B46="","",SUMIFS(tblParadas[Mineral no procesado (TM)],tblParadas[Equipo],$B46,tblParadas[Fecha],"&gt;="&amp;CFG_MES,tblParadas[Fecha],"&lt;="&amp;CFG_FIN_MES))</f>
        <v/>
      </c>
      <c r="O46" s="1033"/>
      <c r="P46" s="1033"/>
    </row>
    <row r="47" spans="1:16">
      <c r="A47" s="1033"/>
      <c r="B47" s="1061" t="str" cm="1">
        <f t="array" ref="B47">IFERROR(INDEX(tblParadas[Equipo],_xlfn.AGGREGATE(15,6,(ROW(tblParadas[Equipo])-ROW(tblParadas[[#Headers],[Equipo]]))/((COUNTIF(B$25:B46,tblParadas[Equipo])=0)*(tblParadas[Equipo]&lt;&gt;"")*(tblParadas[Fecha]&gt;=CFG_MES)*(tblParadas[Fecha]&lt;=CFG_FIN_MES)),1)),"")</f>
        <v/>
      </c>
      <c r="C47" s="1048" t="str">
        <f>IF(B47="","",IFERROR(INDEX(tblEquipos[Área planta],MATCH(B47,tblEquipos[Código equipo],0)),"s/d"))</f>
        <v/>
      </c>
      <c r="D47" s="1134" t="str">
        <f>IF(B47="","",COUNTIFS(tblParadas[Equipo],$B47,tblParadas[Fecha],"&gt;="&amp;CFG_MES,tblParadas[Fecha],"&lt;="&amp;CFG_FIN_MES))</f>
        <v/>
      </c>
      <c r="E47" s="1053" t="str">
        <f>IF(B47="","",SUMIFS(tblParadas[Horas perdidas],tblParadas[Equipo],$B47,tblParadas[Fecha],"&gt;="&amp;CFG_MES,tblParadas[Fecha],"&lt;="&amp;CFG_FIN_MES))</f>
        <v/>
      </c>
      <c r="F47" s="1053" t="str">
        <f t="shared" si="0"/>
        <v/>
      </c>
      <c r="G47" s="1053" t="str">
        <f>IF(B47="","",SUMIFS(tblParadas[Horas perdidas],tblParadas[Equipo],$B47,tblParadas[Fecha],"&gt;="&amp;CFG_MES,tblParadas[Fecha],"&lt;="&amp;CFG_FIN_MES,tblParadas[Tipo de falla],"Mecánica"))</f>
        <v/>
      </c>
      <c r="H47" s="1053" t="str">
        <f>IF(B47="","",SUMIFS(tblParadas[Horas perdidas],tblParadas[Equipo],$B47,tblParadas[Fecha],"&gt;="&amp;CFG_MES,tblParadas[Fecha],"&lt;="&amp;CFG_FIN_MES,tblParadas[Tipo de falla],"Eléctrica"))</f>
        <v/>
      </c>
      <c r="I47" s="1053" t="str">
        <f>IF(B47="","",SUMIFS(tblParadas[Horas perdidas],tblParadas[Equipo],$B47,tblParadas[Fecha],"&gt;="&amp;CFG_MES,tblParadas[Fecha],"&lt;="&amp;CFG_FIN_MES,tblParadas[Tipo de falla],"Instrumentación"))</f>
        <v/>
      </c>
      <c r="J47" s="1053" t="str">
        <f>IF(B47="","",SUMIFS(tblParadas[Horas perdidas],tblParadas[Equipo],$B47,tblParadas[Fecha],"&gt;="&amp;CFG_MES,tblParadas[Fecha],"&lt;="&amp;CFG_FIN_MES,tblParadas[Tipo de falla],"Operaciones"))</f>
        <v/>
      </c>
      <c r="K47" s="1185" t="str">
        <f t="shared" si="1"/>
        <v/>
      </c>
      <c r="L47" s="1185" t="str">
        <f t="shared" si="2"/>
        <v/>
      </c>
      <c r="M47" s="1053" t="str">
        <f t="shared" si="3"/>
        <v/>
      </c>
      <c r="N47" s="1051" t="str">
        <f>IF(B47="","",SUMIFS(tblParadas[Mineral no procesado (TM)],tblParadas[Equipo],$B47,tblParadas[Fecha],"&gt;="&amp;CFG_MES,tblParadas[Fecha],"&lt;="&amp;CFG_FIN_MES))</f>
        <v/>
      </c>
      <c r="O47" s="1033"/>
      <c r="P47" s="1033"/>
    </row>
    <row r="48" spans="1:16">
      <c r="A48" s="1033"/>
      <c r="B48" s="1061" t="str" cm="1">
        <f t="array" ref="B48">IFERROR(INDEX(tblParadas[Equipo],_xlfn.AGGREGATE(15,6,(ROW(tblParadas[Equipo])-ROW(tblParadas[[#Headers],[Equipo]]))/((COUNTIF(B$25:B47,tblParadas[Equipo])=0)*(tblParadas[Equipo]&lt;&gt;"")*(tblParadas[Fecha]&gt;=CFG_MES)*(tblParadas[Fecha]&lt;=CFG_FIN_MES)),1)),"")</f>
        <v/>
      </c>
      <c r="C48" s="1048" t="str">
        <f>IF(B48="","",IFERROR(INDEX(tblEquipos[Área planta],MATCH(B48,tblEquipos[Código equipo],0)),"s/d"))</f>
        <v/>
      </c>
      <c r="D48" s="1134" t="str">
        <f>IF(B48="","",COUNTIFS(tblParadas[Equipo],$B48,tblParadas[Fecha],"&gt;="&amp;CFG_MES,tblParadas[Fecha],"&lt;="&amp;CFG_FIN_MES))</f>
        <v/>
      </c>
      <c r="E48" s="1053" t="str">
        <f>IF(B48="","",SUMIFS(tblParadas[Horas perdidas],tblParadas[Equipo],$B48,tblParadas[Fecha],"&gt;="&amp;CFG_MES,tblParadas[Fecha],"&lt;="&amp;CFG_FIN_MES))</f>
        <v/>
      </c>
      <c r="F48" s="1053" t="str">
        <f t="shared" si="0"/>
        <v/>
      </c>
      <c r="G48" s="1053" t="str">
        <f>IF(B48="","",SUMIFS(tblParadas[Horas perdidas],tblParadas[Equipo],$B48,tblParadas[Fecha],"&gt;="&amp;CFG_MES,tblParadas[Fecha],"&lt;="&amp;CFG_FIN_MES,tblParadas[Tipo de falla],"Mecánica"))</f>
        <v/>
      </c>
      <c r="H48" s="1053" t="str">
        <f>IF(B48="","",SUMIFS(tblParadas[Horas perdidas],tblParadas[Equipo],$B48,tblParadas[Fecha],"&gt;="&amp;CFG_MES,tblParadas[Fecha],"&lt;="&amp;CFG_FIN_MES,tblParadas[Tipo de falla],"Eléctrica"))</f>
        <v/>
      </c>
      <c r="I48" s="1053" t="str">
        <f>IF(B48="","",SUMIFS(tblParadas[Horas perdidas],tblParadas[Equipo],$B48,tblParadas[Fecha],"&gt;="&amp;CFG_MES,tblParadas[Fecha],"&lt;="&amp;CFG_FIN_MES,tblParadas[Tipo de falla],"Instrumentación"))</f>
        <v/>
      </c>
      <c r="J48" s="1053" t="str">
        <f>IF(B48="","",SUMIFS(tblParadas[Horas perdidas],tblParadas[Equipo],$B48,tblParadas[Fecha],"&gt;="&amp;CFG_MES,tblParadas[Fecha],"&lt;="&amp;CFG_FIN_MES,tblParadas[Tipo de falla],"Operaciones"))</f>
        <v/>
      </c>
      <c r="K48" s="1185" t="str">
        <f t="shared" si="1"/>
        <v/>
      </c>
      <c r="L48" s="1185" t="str">
        <f t="shared" si="2"/>
        <v/>
      </c>
      <c r="M48" s="1053" t="str">
        <f t="shared" si="3"/>
        <v/>
      </c>
      <c r="N48" s="1051" t="str">
        <f>IF(B48="","",SUMIFS(tblParadas[Mineral no procesado (TM)],tblParadas[Equipo],$B48,tblParadas[Fecha],"&gt;="&amp;CFG_MES,tblParadas[Fecha],"&lt;="&amp;CFG_FIN_MES))</f>
        <v/>
      </c>
      <c r="O48" s="1033"/>
      <c r="P48" s="1033"/>
    </row>
    <row r="49" spans="1:16">
      <c r="A49" s="1033"/>
      <c r="B49" s="1061" t="str" cm="1">
        <f t="array" ref="B49">IFERROR(INDEX(tblParadas[Equipo],_xlfn.AGGREGATE(15,6,(ROW(tblParadas[Equipo])-ROW(tblParadas[[#Headers],[Equipo]]))/((COUNTIF(B$25:B48,tblParadas[Equipo])=0)*(tblParadas[Equipo]&lt;&gt;"")*(tblParadas[Fecha]&gt;=CFG_MES)*(tblParadas[Fecha]&lt;=CFG_FIN_MES)),1)),"")</f>
        <v/>
      </c>
      <c r="C49" s="1048" t="str">
        <f>IF(B49="","",IFERROR(INDEX(tblEquipos[Área planta],MATCH(B49,tblEquipos[Código equipo],0)),"s/d"))</f>
        <v/>
      </c>
      <c r="D49" s="1134" t="str">
        <f>IF(B49="","",COUNTIFS(tblParadas[Equipo],$B49,tblParadas[Fecha],"&gt;="&amp;CFG_MES,tblParadas[Fecha],"&lt;="&amp;CFG_FIN_MES))</f>
        <v/>
      </c>
      <c r="E49" s="1053" t="str">
        <f>IF(B49="","",SUMIFS(tblParadas[Horas perdidas],tblParadas[Equipo],$B49,tblParadas[Fecha],"&gt;="&amp;CFG_MES,tblParadas[Fecha],"&lt;="&amp;CFG_FIN_MES))</f>
        <v/>
      </c>
      <c r="F49" s="1053" t="str">
        <f t="shared" si="0"/>
        <v/>
      </c>
      <c r="G49" s="1053" t="str">
        <f>IF(B49="","",SUMIFS(tblParadas[Horas perdidas],tblParadas[Equipo],$B49,tblParadas[Fecha],"&gt;="&amp;CFG_MES,tblParadas[Fecha],"&lt;="&amp;CFG_FIN_MES,tblParadas[Tipo de falla],"Mecánica"))</f>
        <v/>
      </c>
      <c r="H49" s="1053" t="str">
        <f>IF(B49="","",SUMIFS(tblParadas[Horas perdidas],tblParadas[Equipo],$B49,tblParadas[Fecha],"&gt;="&amp;CFG_MES,tblParadas[Fecha],"&lt;="&amp;CFG_FIN_MES,tblParadas[Tipo de falla],"Eléctrica"))</f>
        <v/>
      </c>
      <c r="I49" s="1053" t="str">
        <f>IF(B49="","",SUMIFS(tblParadas[Horas perdidas],tblParadas[Equipo],$B49,tblParadas[Fecha],"&gt;="&amp;CFG_MES,tblParadas[Fecha],"&lt;="&amp;CFG_FIN_MES,tblParadas[Tipo de falla],"Instrumentación"))</f>
        <v/>
      </c>
      <c r="J49" s="1053" t="str">
        <f>IF(B49="","",SUMIFS(tblParadas[Horas perdidas],tblParadas[Equipo],$B49,tblParadas[Fecha],"&gt;="&amp;CFG_MES,tblParadas[Fecha],"&lt;="&amp;CFG_FIN_MES,tblParadas[Tipo de falla],"Operaciones"))</f>
        <v/>
      </c>
      <c r="K49" s="1185" t="str">
        <f t="shared" si="1"/>
        <v/>
      </c>
      <c r="L49" s="1185" t="str">
        <f t="shared" si="2"/>
        <v/>
      </c>
      <c r="M49" s="1053" t="str">
        <f t="shared" si="3"/>
        <v/>
      </c>
      <c r="N49" s="1051" t="str">
        <f>IF(B49="","",SUMIFS(tblParadas[Mineral no procesado (TM)],tblParadas[Equipo],$B49,tblParadas[Fecha],"&gt;="&amp;CFG_MES,tblParadas[Fecha],"&lt;="&amp;CFG_FIN_MES))</f>
        <v/>
      </c>
      <c r="O49" s="1033"/>
      <c r="P49" s="1033"/>
    </row>
    <row r="50" spans="1:16">
      <c r="A50" s="1033"/>
      <c r="B50" s="1061" t="str" cm="1">
        <f t="array" ref="B50">IFERROR(INDEX(tblParadas[Equipo],_xlfn.AGGREGATE(15,6,(ROW(tblParadas[Equipo])-ROW(tblParadas[[#Headers],[Equipo]]))/((COUNTIF(B$25:B49,tblParadas[Equipo])=0)*(tblParadas[Equipo]&lt;&gt;"")*(tblParadas[Fecha]&gt;=CFG_MES)*(tblParadas[Fecha]&lt;=CFG_FIN_MES)),1)),"")</f>
        <v/>
      </c>
      <c r="C50" s="1048" t="str">
        <f>IF(B50="","",IFERROR(INDEX(tblEquipos[Área planta],MATCH(B50,tblEquipos[Código equipo],0)),"s/d"))</f>
        <v/>
      </c>
      <c r="D50" s="1134" t="str">
        <f>IF(B50="","",COUNTIFS(tblParadas[Equipo],$B50,tblParadas[Fecha],"&gt;="&amp;CFG_MES,tblParadas[Fecha],"&lt;="&amp;CFG_FIN_MES))</f>
        <v/>
      </c>
      <c r="E50" s="1053" t="str">
        <f>IF(B50="","",SUMIFS(tblParadas[Horas perdidas],tblParadas[Equipo],$B50,tblParadas[Fecha],"&gt;="&amp;CFG_MES,tblParadas[Fecha],"&lt;="&amp;CFG_FIN_MES))</f>
        <v/>
      </c>
      <c r="F50" s="1053" t="str">
        <f t="shared" si="0"/>
        <v/>
      </c>
      <c r="G50" s="1053" t="str">
        <f>IF(B50="","",SUMIFS(tblParadas[Horas perdidas],tblParadas[Equipo],$B50,tblParadas[Fecha],"&gt;="&amp;CFG_MES,tblParadas[Fecha],"&lt;="&amp;CFG_FIN_MES,tblParadas[Tipo de falla],"Mecánica"))</f>
        <v/>
      </c>
      <c r="H50" s="1053" t="str">
        <f>IF(B50="","",SUMIFS(tblParadas[Horas perdidas],tblParadas[Equipo],$B50,tblParadas[Fecha],"&gt;="&amp;CFG_MES,tblParadas[Fecha],"&lt;="&amp;CFG_FIN_MES,tblParadas[Tipo de falla],"Eléctrica"))</f>
        <v/>
      </c>
      <c r="I50" s="1053" t="str">
        <f>IF(B50="","",SUMIFS(tblParadas[Horas perdidas],tblParadas[Equipo],$B50,tblParadas[Fecha],"&gt;="&amp;CFG_MES,tblParadas[Fecha],"&lt;="&amp;CFG_FIN_MES,tblParadas[Tipo de falla],"Instrumentación"))</f>
        <v/>
      </c>
      <c r="J50" s="1053" t="str">
        <f>IF(B50="","",SUMIFS(tblParadas[Horas perdidas],tblParadas[Equipo],$B50,tblParadas[Fecha],"&gt;="&amp;CFG_MES,tblParadas[Fecha],"&lt;="&amp;CFG_FIN_MES,tblParadas[Tipo de falla],"Operaciones"))</f>
        <v/>
      </c>
      <c r="K50" s="1185" t="str">
        <f t="shared" si="1"/>
        <v/>
      </c>
      <c r="L50" s="1185" t="str">
        <f t="shared" si="2"/>
        <v/>
      </c>
      <c r="M50" s="1053" t="str">
        <f t="shared" si="3"/>
        <v/>
      </c>
      <c r="N50" s="1051" t="str">
        <f>IF(B50="","",SUMIFS(tblParadas[Mineral no procesado (TM)],tblParadas[Equipo],$B50,tblParadas[Fecha],"&gt;="&amp;CFG_MES,tblParadas[Fecha],"&lt;="&amp;CFG_FIN_MES))</f>
        <v/>
      </c>
      <c r="O50" s="1033"/>
      <c r="P50" s="1033"/>
    </row>
    <row r="51" spans="1:16">
      <c r="A51" s="1033"/>
      <c r="B51" s="1061" t="str" cm="1">
        <f t="array" ref="B51">IFERROR(INDEX(tblParadas[Equipo],_xlfn.AGGREGATE(15,6,(ROW(tblParadas[Equipo])-ROW(tblParadas[[#Headers],[Equipo]]))/((COUNTIF(B$25:B50,tblParadas[Equipo])=0)*(tblParadas[Equipo]&lt;&gt;"")*(tblParadas[Fecha]&gt;=CFG_MES)*(tblParadas[Fecha]&lt;=CFG_FIN_MES)),1)),"")</f>
        <v/>
      </c>
      <c r="C51" s="1048" t="str">
        <f>IF(B51="","",IFERROR(INDEX(tblEquipos[Área planta],MATCH(B51,tblEquipos[Código equipo],0)),"s/d"))</f>
        <v/>
      </c>
      <c r="D51" s="1134" t="str">
        <f>IF(B51="","",COUNTIFS(tblParadas[Equipo],$B51,tblParadas[Fecha],"&gt;="&amp;CFG_MES,tblParadas[Fecha],"&lt;="&amp;CFG_FIN_MES))</f>
        <v/>
      </c>
      <c r="E51" s="1053" t="str">
        <f>IF(B51="","",SUMIFS(tblParadas[Horas perdidas],tblParadas[Equipo],$B51,tblParadas[Fecha],"&gt;="&amp;CFG_MES,tblParadas[Fecha],"&lt;="&amp;CFG_FIN_MES))</f>
        <v/>
      </c>
      <c r="F51" s="1053" t="str">
        <f t="shared" si="0"/>
        <v/>
      </c>
      <c r="G51" s="1053" t="str">
        <f>IF(B51="","",SUMIFS(tblParadas[Horas perdidas],tblParadas[Equipo],$B51,tblParadas[Fecha],"&gt;="&amp;CFG_MES,tblParadas[Fecha],"&lt;="&amp;CFG_FIN_MES,tblParadas[Tipo de falla],"Mecánica"))</f>
        <v/>
      </c>
      <c r="H51" s="1053" t="str">
        <f>IF(B51="","",SUMIFS(tblParadas[Horas perdidas],tblParadas[Equipo],$B51,tblParadas[Fecha],"&gt;="&amp;CFG_MES,tblParadas[Fecha],"&lt;="&amp;CFG_FIN_MES,tblParadas[Tipo de falla],"Eléctrica"))</f>
        <v/>
      </c>
      <c r="I51" s="1053" t="str">
        <f>IF(B51="","",SUMIFS(tblParadas[Horas perdidas],tblParadas[Equipo],$B51,tblParadas[Fecha],"&gt;="&amp;CFG_MES,tblParadas[Fecha],"&lt;="&amp;CFG_FIN_MES,tblParadas[Tipo de falla],"Instrumentación"))</f>
        <v/>
      </c>
      <c r="J51" s="1053" t="str">
        <f>IF(B51="","",SUMIFS(tblParadas[Horas perdidas],tblParadas[Equipo],$B51,tblParadas[Fecha],"&gt;="&amp;CFG_MES,tblParadas[Fecha],"&lt;="&amp;CFG_FIN_MES,tblParadas[Tipo de falla],"Operaciones"))</f>
        <v/>
      </c>
      <c r="K51" s="1185" t="str">
        <f t="shared" si="1"/>
        <v/>
      </c>
      <c r="L51" s="1185" t="str">
        <f t="shared" si="2"/>
        <v/>
      </c>
      <c r="M51" s="1053" t="str">
        <f t="shared" si="3"/>
        <v/>
      </c>
      <c r="N51" s="1051" t="str">
        <f>IF(B51="","",SUMIFS(tblParadas[Mineral no procesado (TM)],tblParadas[Equipo],$B51,tblParadas[Fecha],"&gt;="&amp;CFG_MES,tblParadas[Fecha],"&lt;="&amp;CFG_FIN_MES))</f>
        <v/>
      </c>
      <c r="O51" s="1033"/>
      <c r="P51" s="1033"/>
    </row>
    <row r="52" spans="1:16">
      <c r="A52" s="1033"/>
      <c r="B52" s="1061" t="str" cm="1">
        <f t="array" ref="B52">IFERROR(INDEX(tblParadas[Equipo],_xlfn.AGGREGATE(15,6,(ROW(tblParadas[Equipo])-ROW(tblParadas[[#Headers],[Equipo]]))/((COUNTIF(B$25:B51,tblParadas[Equipo])=0)*(tblParadas[Equipo]&lt;&gt;"")*(tblParadas[Fecha]&gt;=CFG_MES)*(tblParadas[Fecha]&lt;=CFG_FIN_MES)),1)),"")</f>
        <v/>
      </c>
      <c r="C52" s="1048" t="str">
        <f>IF(B52="","",IFERROR(INDEX(tblEquipos[Área planta],MATCH(B52,tblEquipos[Código equipo],0)),"s/d"))</f>
        <v/>
      </c>
      <c r="D52" s="1134" t="str">
        <f>IF(B52="","",COUNTIFS(tblParadas[Equipo],$B52,tblParadas[Fecha],"&gt;="&amp;CFG_MES,tblParadas[Fecha],"&lt;="&amp;CFG_FIN_MES))</f>
        <v/>
      </c>
      <c r="E52" s="1053" t="str">
        <f>IF(B52="","",SUMIFS(tblParadas[Horas perdidas],tblParadas[Equipo],$B52,tblParadas[Fecha],"&gt;="&amp;CFG_MES,tblParadas[Fecha],"&lt;="&amp;CFG_FIN_MES))</f>
        <v/>
      </c>
      <c r="F52" s="1053" t="str">
        <f t="shared" si="0"/>
        <v/>
      </c>
      <c r="G52" s="1053" t="str">
        <f>IF(B52="","",SUMIFS(tblParadas[Horas perdidas],tblParadas[Equipo],$B52,tblParadas[Fecha],"&gt;="&amp;CFG_MES,tblParadas[Fecha],"&lt;="&amp;CFG_FIN_MES,tblParadas[Tipo de falla],"Mecánica"))</f>
        <v/>
      </c>
      <c r="H52" s="1053" t="str">
        <f>IF(B52="","",SUMIFS(tblParadas[Horas perdidas],tblParadas[Equipo],$B52,tblParadas[Fecha],"&gt;="&amp;CFG_MES,tblParadas[Fecha],"&lt;="&amp;CFG_FIN_MES,tblParadas[Tipo de falla],"Eléctrica"))</f>
        <v/>
      </c>
      <c r="I52" s="1053" t="str">
        <f>IF(B52="","",SUMIFS(tblParadas[Horas perdidas],tblParadas[Equipo],$B52,tblParadas[Fecha],"&gt;="&amp;CFG_MES,tblParadas[Fecha],"&lt;="&amp;CFG_FIN_MES,tblParadas[Tipo de falla],"Instrumentación"))</f>
        <v/>
      </c>
      <c r="J52" s="1053" t="str">
        <f>IF(B52="","",SUMIFS(tblParadas[Horas perdidas],tblParadas[Equipo],$B52,tblParadas[Fecha],"&gt;="&amp;CFG_MES,tblParadas[Fecha],"&lt;="&amp;CFG_FIN_MES,tblParadas[Tipo de falla],"Operaciones"))</f>
        <v/>
      </c>
      <c r="K52" s="1185" t="str">
        <f t="shared" si="1"/>
        <v/>
      </c>
      <c r="L52" s="1185" t="str">
        <f t="shared" si="2"/>
        <v/>
      </c>
      <c r="M52" s="1053" t="str">
        <f t="shared" si="3"/>
        <v/>
      </c>
      <c r="N52" s="1051" t="str">
        <f>IF(B52="","",SUMIFS(tblParadas[Mineral no procesado (TM)],tblParadas[Equipo],$B52,tblParadas[Fecha],"&gt;="&amp;CFG_MES,tblParadas[Fecha],"&lt;="&amp;CFG_FIN_MES))</f>
        <v/>
      </c>
      <c r="O52" s="1033"/>
      <c r="P52" s="1033"/>
    </row>
    <row r="53" spans="1:16">
      <c r="A53" s="1033"/>
      <c r="B53" s="1061" t="str" cm="1">
        <f t="array" ref="B53">IFERROR(INDEX(tblParadas[Equipo],_xlfn.AGGREGATE(15,6,(ROW(tblParadas[Equipo])-ROW(tblParadas[[#Headers],[Equipo]]))/((COUNTIF(B$25:B52,tblParadas[Equipo])=0)*(tblParadas[Equipo]&lt;&gt;"")*(tblParadas[Fecha]&gt;=CFG_MES)*(tblParadas[Fecha]&lt;=CFG_FIN_MES)),1)),"")</f>
        <v/>
      </c>
      <c r="C53" s="1048" t="str">
        <f>IF(B53="","",IFERROR(INDEX(tblEquipos[Área planta],MATCH(B53,tblEquipos[Código equipo],0)),"s/d"))</f>
        <v/>
      </c>
      <c r="D53" s="1134" t="str">
        <f>IF(B53="","",COUNTIFS(tblParadas[Equipo],$B53,tblParadas[Fecha],"&gt;="&amp;CFG_MES,tblParadas[Fecha],"&lt;="&amp;CFG_FIN_MES))</f>
        <v/>
      </c>
      <c r="E53" s="1053" t="str">
        <f>IF(B53="","",SUMIFS(tblParadas[Horas perdidas],tblParadas[Equipo],$B53,tblParadas[Fecha],"&gt;="&amp;CFG_MES,tblParadas[Fecha],"&lt;="&amp;CFG_FIN_MES))</f>
        <v/>
      </c>
      <c r="F53" s="1053" t="str">
        <f t="shared" si="0"/>
        <v/>
      </c>
      <c r="G53" s="1053" t="str">
        <f>IF(B53="","",SUMIFS(tblParadas[Horas perdidas],tblParadas[Equipo],$B53,tblParadas[Fecha],"&gt;="&amp;CFG_MES,tblParadas[Fecha],"&lt;="&amp;CFG_FIN_MES,tblParadas[Tipo de falla],"Mecánica"))</f>
        <v/>
      </c>
      <c r="H53" s="1053" t="str">
        <f>IF(B53="","",SUMIFS(tblParadas[Horas perdidas],tblParadas[Equipo],$B53,tblParadas[Fecha],"&gt;="&amp;CFG_MES,tblParadas[Fecha],"&lt;="&amp;CFG_FIN_MES,tblParadas[Tipo de falla],"Eléctrica"))</f>
        <v/>
      </c>
      <c r="I53" s="1053" t="str">
        <f>IF(B53="","",SUMIFS(tblParadas[Horas perdidas],tblParadas[Equipo],$B53,tblParadas[Fecha],"&gt;="&amp;CFG_MES,tblParadas[Fecha],"&lt;="&amp;CFG_FIN_MES,tblParadas[Tipo de falla],"Instrumentación"))</f>
        <v/>
      </c>
      <c r="J53" s="1053" t="str">
        <f>IF(B53="","",SUMIFS(tblParadas[Horas perdidas],tblParadas[Equipo],$B53,tblParadas[Fecha],"&gt;="&amp;CFG_MES,tblParadas[Fecha],"&lt;="&amp;CFG_FIN_MES,tblParadas[Tipo de falla],"Operaciones"))</f>
        <v/>
      </c>
      <c r="K53" s="1185" t="str">
        <f t="shared" si="1"/>
        <v/>
      </c>
      <c r="L53" s="1185" t="str">
        <f t="shared" si="2"/>
        <v/>
      </c>
      <c r="M53" s="1053" t="str">
        <f t="shared" si="3"/>
        <v/>
      </c>
      <c r="N53" s="1051" t="str">
        <f>IF(B53="","",SUMIFS(tblParadas[Mineral no procesado (TM)],tblParadas[Equipo],$B53,tblParadas[Fecha],"&gt;="&amp;CFG_MES,tblParadas[Fecha],"&lt;="&amp;CFG_FIN_MES))</f>
        <v/>
      </c>
      <c r="O53" s="1033"/>
      <c r="P53" s="1033"/>
    </row>
    <row r="54" spans="1:16">
      <c r="A54" s="1033"/>
      <c r="B54" s="1061" t="str" cm="1">
        <f t="array" ref="B54">IFERROR(INDEX(tblParadas[Equipo],_xlfn.AGGREGATE(15,6,(ROW(tblParadas[Equipo])-ROW(tblParadas[[#Headers],[Equipo]]))/((COUNTIF(B$25:B53,tblParadas[Equipo])=0)*(tblParadas[Equipo]&lt;&gt;"")*(tblParadas[Fecha]&gt;=CFG_MES)*(tblParadas[Fecha]&lt;=CFG_FIN_MES)),1)),"")</f>
        <v/>
      </c>
      <c r="C54" s="1048" t="str">
        <f>IF(B54="","",IFERROR(INDEX(tblEquipos[Área planta],MATCH(B54,tblEquipos[Código equipo],0)),"s/d"))</f>
        <v/>
      </c>
      <c r="D54" s="1134" t="str">
        <f>IF(B54="","",COUNTIFS(tblParadas[Equipo],$B54,tblParadas[Fecha],"&gt;="&amp;CFG_MES,tblParadas[Fecha],"&lt;="&amp;CFG_FIN_MES))</f>
        <v/>
      </c>
      <c r="E54" s="1053" t="str">
        <f>IF(B54="","",SUMIFS(tblParadas[Horas perdidas],tblParadas[Equipo],$B54,tblParadas[Fecha],"&gt;="&amp;CFG_MES,tblParadas[Fecha],"&lt;="&amp;CFG_FIN_MES))</f>
        <v/>
      </c>
      <c r="F54" s="1053" t="str">
        <f t="shared" si="0"/>
        <v/>
      </c>
      <c r="G54" s="1053" t="str">
        <f>IF(B54="","",SUMIFS(tblParadas[Horas perdidas],tblParadas[Equipo],$B54,tblParadas[Fecha],"&gt;="&amp;CFG_MES,tblParadas[Fecha],"&lt;="&amp;CFG_FIN_MES,tblParadas[Tipo de falla],"Mecánica"))</f>
        <v/>
      </c>
      <c r="H54" s="1053" t="str">
        <f>IF(B54="","",SUMIFS(tblParadas[Horas perdidas],tblParadas[Equipo],$B54,tblParadas[Fecha],"&gt;="&amp;CFG_MES,tblParadas[Fecha],"&lt;="&amp;CFG_FIN_MES,tblParadas[Tipo de falla],"Eléctrica"))</f>
        <v/>
      </c>
      <c r="I54" s="1053" t="str">
        <f>IF(B54="","",SUMIFS(tblParadas[Horas perdidas],tblParadas[Equipo],$B54,tblParadas[Fecha],"&gt;="&amp;CFG_MES,tblParadas[Fecha],"&lt;="&amp;CFG_FIN_MES,tblParadas[Tipo de falla],"Instrumentación"))</f>
        <v/>
      </c>
      <c r="J54" s="1053" t="str">
        <f>IF(B54="","",SUMIFS(tblParadas[Horas perdidas],tblParadas[Equipo],$B54,tblParadas[Fecha],"&gt;="&amp;CFG_MES,tblParadas[Fecha],"&lt;="&amp;CFG_FIN_MES,tblParadas[Tipo de falla],"Operaciones"))</f>
        <v/>
      </c>
      <c r="K54" s="1185" t="str">
        <f t="shared" si="1"/>
        <v/>
      </c>
      <c r="L54" s="1185" t="str">
        <f t="shared" si="2"/>
        <v/>
      </c>
      <c r="M54" s="1053" t="str">
        <f t="shared" si="3"/>
        <v/>
      </c>
      <c r="N54" s="1051" t="str">
        <f>IF(B54="","",SUMIFS(tblParadas[Mineral no procesado (TM)],tblParadas[Equipo],$B54,tblParadas[Fecha],"&gt;="&amp;CFG_MES,tblParadas[Fecha],"&lt;="&amp;CFG_FIN_MES))</f>
        <v/>
      </c>
      <c r="O54" s="1033"/>
      <c r="P54" s="1033"/>
    </row>
    <row r="55" spans="1:16">
      <c r="A55" s="1033"/>
      <c r="B55" s="1061" t="str" cm="1">
        <f t="array" ref="B55">IFERROR(INDEX(tblParadas[Equipo],_xlfn.AGGREGATE(15,6,(ROW(tblParadas[Equipo])-ROW(tblParadas[[#Headers],[Equipo]]))/((COUNTIF(B$25:B54,tblParadas[Equipo])=0)*(tblParadas[Equipo]&lt;&gt;"")*(tblParadas[Fecha]&gt;=CFG_MES)*(tblParadas[Fecha]&lt;=CFG_FIN_MES)),1)),"")</f>
        <v/>
      </c>
      <c r="C55" s="1048" t="str">
        <f>IF(B55="","",IFERROR(INDEX(tblEquipos[Área planta],MATCH(B55,tblEquipos[Código equipo],0)),"s/d"))</f>
        <v/>
      </c>
      <c r="D55" s="1134" t="str">
        <f>IF(B55="","",COUNTIFS(tblParadas[Equipo],$B55,tblParadas[Fecha],"&gt;="&amp;CFG_MES,tblParadas[Fecha],"&lt;="&amp;CFG_FIN_MES))</f>
        <v/>
      </c>
      <c r="E55" s="1053" t="str">
        <f>IF(B55="","",SUMIFS(tblParadas[Horas perdidas],tblParadas[Equipo],$B55,tblParadas[Fecha],"&gt;="&amp;CFG_MES,tblParadas[Fecha],"&lt;="&amp;CFG_FIN_MES))</f>
        <v/>
      </c>
      <c r="F55" s="1053" t="str">
        <f t="shared" si="0"/>
        <v/>
      </c>
      <c r="G55" s="1053" t="str">
        <f>IF(B55="","",SUMIFS(tblParadas[Horas perdidas],tblParadas[Equipo],$B55,tblParadas[Fecha],"&gt;="&amp;CFG_MES,tblParadas[Fecha],"&lt;="&amp;CFG_FIN_MES,tblParadas[Tipo de falla],"Mecánica"))</f>
        <v/>
      </c>
      <c r="H55" s="1053" t="str">
        <f>IF(B55="","",SUMIFS(tblParadas[Horas perdidas],tblParadas[Equipo],$B55,tblParadas[Fecha],"&gt;="&amp;CFG_MES,tblParadas[Fecha],"&lt;="&amp;CFG_FIN_MES,tblParadas[Tipo de falla],"Eléctrica"))</f>
        <v/>
      </c>
      <c r="I55" s="1053" t="str">
        <f>IF(B55="","",SUMIFS(tblParadas[Horas perdidas],tblParadas[Equipo],$B55,tblParadas[Fecha],"&gt;="&amp;CFG_MES,tblParadas[Fecha],"&lt;="&amp;CFG_FIN_MES,tblParadas[Tipo de falla],"Instrumentación"))</f>
        <v/>
      </c>
      <c r="J55" s="1053" t="str">
        <f>IF(B55="","",SUMIFS(tblParadas[Horas perdidas],tblParadas[Equipo],$B55,tblParadas[Fecha],"&gt;="&amp;CFG_MES,tblParadas[Fecha],"&lt;="&amp;CFG_FIN_MES,tblParadas[Tipo de falla],"Operaciones"))</f>
        <v/>
      </c>
      <c r="K55" s="1185" t="str">
        <f t="shared" si="1"/>
        <v/>
      </c>
      <c r="L55" s="1185" t="str">
        <f t="shared" si="2"/>
        <v/>
      </c>
      <c r="M55" s="1053" t="str">
        <f t="shared" si="3"/>
        <v/>
      </c>
      <c r="N55" s="1051" t="str">
        <f>IF(B55="","",SUMIFS(tblParadas[Mineral no procesado (TM)],tblParadas[Equipo],$B55,tblParadas[Fecha],"&gt;="&amp;CFG_MES,tblParadas[Fecha],"&lt;="&amp;CFG_FIN_MES))</f>
        <v/>
      </c>
      <c r="O55" s="1033"/>
      <c r="P55" s="1033"/>
    </row>
    <row r="56" spans="1:16">
      <c r="A56" s="1033"/>
      <c r="B56" s="1061" t="str" cm="1">
        <f t="array" ref="B56">IFERROR(INDEX(tblParadas[Equipo],_xlfn.AGGREGATE(15,6,(ROW(tblParadas[Equipo])-ROW(tblParadas[[#Headers],[Equipo]]))/((COUNTIF(B$25:B55,tblParadas[Equipo])=0)*(tblParadas[Equipo]&lt;&gt;"")*(tblParadas[Fecha]&gt;=CFG_MES)*(tblParadas[Fecha]&lt;=CFG_FIN_MES)),1)),"")</f>
        <v/>
      </c>
      <c r="C56" s="1048" t="str">
        <f>IF(B56="","",IFERROR(INDEX(tblEquipos[Área planta],MATCH(B56,tblEquipos[Código equipo],0)),"s/d"))</f>
        <v/>
      </c>
      <c r="D56" s="1134" t="str">
        <f>IF(B56="","",COUNTIFS(tblParadas[Equipo],$B56,tblParadas[Fecha],"&gt;="&amp;CFG_MES,tblParadas[Fecha],"&lt;="&amp;CFG_FIN_MES))</f>
        <v/>
      </c>
      <c r="E56" s="1053" t="str">
        <f>IF(B56="","",SUMIFS(tblParadas[Horas perdidas],tblParadas[Equipo],$B56,tblParadas[Fecha],"&gt;="&amp;CFG_MES,tblParadas[Fecha],"&lt;="&amp;CFG_FIN_MES))</f>
        <v/>
      </c>
      <c r="F56" s="1053" t="str">
        <f t="shared" si="0"/>
        <v/>
      </c>
      <c r="G56" s="1053" t="str">
        <f>IF(B56="","",SUMIFS(tblParadas[Horas perdidas],tblParadas[Equipo],$B56,tblParadas[Fecha],"&gt;="&amp;CFG_MES,tblParadas[Fecha],"&lt;="&amp;CFG_FIN_MES,tblParadas[Tipo de falla],"Mecánica"))</f>
        <v/>
      </c>
      <c r="H56" s="1053" t="str">
        <f>IF(B56="","",SUMIFS(tblParadas[Horas perdidas],tblParadas[Equipo],$B56,tblParadas[Fecha],"&gt;="&amp;CFG_MES,tblParadas[Fecha],"&lt;="&amp;CFG_FIN_MES,tblParadas[Tipo de falla],"Eléctrica"))</f>
        <v/>
      </c>
      <c r="I56" s="1053" t="str">
        <f>IF(B56="","",SUMIFS(tblParadas[Horas perdidas],tblParadas[Equipo],$B56,tblParadas[Fecha],"&gt;="&amp;CFG_MES,tblParadas[Fecha],"&lt;="&amp;CFG_FIN_MES,tblParadas[Tipo de falla],"Instrumentación"))</f>
        <v/>
      </c>
      <c r="J56" s="1053" t="str">
        <f>IF(B56="","",SUMIFS(tblParadas[Horas perdidas],tblParadas[Equipo],$B56,tblParadas[Fecha],"&gt;="&amp;CFG_MES,tblParadas[Fecha],"&lt;="&amp;CFG_FIN_MES,tblParadas[Tipo de falla],"Operaciones"))</f>
        <v/>
      </c>
      <c r="K56" s="1185" t="str">
        <f t="shared" si="1"/>
        <v/>
      </c>
      <c r="L56" s="1185" t="str">
        <f t="shared" si="2"/>
        <v/>
      </c>
      <c r="M56" s="1053" t="str">
        <f t="shared" si="3"/>
        <v/>
      </c>
      <c r="N56" s="1051" t="str">
        <f>IF(B56="","",SUMIFS(tblParadas[Mineral no procesado (TM)],tblParadas[Equipo],$B56,tblParadas[Fecha],"&gt;="&amp;CFG_MES,tblParadas[Fecha],"&lt;="&amp;CFG_FIN_MES))</f>
        <v/>
      </c>
      <c r="O56" s="1033"/>
      <c r="P56" s="1033"/>
    </row>
    <row r="57" spans="1:16">
      <c r="A57" s="1033"/>
      <c r="B57" s="1061" t="str" cm="1">
        <f t="array" ref="B57">IFERROR(INDEX(tblParadas[Equipo],_xlfn.AGGREGATE(15,6,(ROW(tblParadas[Equipo])-ROW(tblParadas[[#Headers],[Equipo]]))/((COUNTIF(B$25:B56,tblParadas[Equipo])=0)*(tblParadas[Equipo]&lt;&gt;"")*(tblParadas[Fecha]&gt;=CFG_MES)*(tblParadas[Fecha]&lt;=CFG_FIN_MES)),1)),"")</f>
        <v/>
      </c>
      <c r="C57" s="1048" t="str">
        <f>IF(B57="","",IFERROR(INDEX(tblEquipos[Área planta],MATCH(B57,tblEquipos[Código equipo],0)),"s/d"))</f>
        <v/>
      </c>
      <c r="D57" s="1134" t="str">
        <f>IF(B57="","",COUNTIFS(tblParadas[Equipo],$B57,tblParadas[Fecha],"&gt;="&amp;CFG_MES,tblParadas[Fecha],"&lt;="&amp;CFG_FIN_MES))</f>
        <v/>
      </c>
      <c r="E57" s="1053" t="str">
        <f>IF(B57="","",SUMIFS(tblParadas[Horas perdidas],tblParadas[Equipo],$B57,tblParadas[Fecha],"&gt;="&amp;CFG_MES,tblParadas[Fecha],"&lt;="&amp;CFG_FIN_MES))</f>
        <v/>
      </c>
      <c r="F57" s="1053" t="str">
        <f t="shared" si="0"/>
        <v/>
      </c>
      <c r="G57" s="1053" t="str">
        <f>IF(B57="","",SUMIFS(tblParadas[Horas perdidas],tblParadas[Equipo],$B57,tblParadas[Fecha],"&gt;="&amp;CFG_MES,tblParadas[Fecha],"&lt;="&amp;CFG_FIN_MES,tblParadas[Tipo de falla],"Mecánica"))</f>
        <v/>
      </c>
      <c r="H57" s="1053" t="str">
        <f>IF(B57="","",SUMIFS(tblParadas[Horas perdidas],tblParadas[Equipo],$B57,tblParadas[Fecha],"&gt;="&amp;CFG_MES,tblParadas[Fecha],"&lt;="&amp;CFG_FIN_MES,tblParadas[Tipo de falla],"Eléctrica"))</f>
        <v/>
      </c>
      <c r="I57" s="1053" t="str">
        <f>IF(B57="","",SUMIFS(tblParadas[Horas perdidas],tblParadas[Equipo],$B57,tblParadas[Fecha],"&gt;="&amp;CFG_MES,tblParadas[Fecha],"&lt;="&amp;CFG_FIN_MES,tblParadas[Tipo de falla],"Instrumentación"))</f>
        <v/>
      </c>
      <c r="J57" s="1053" t="str">
        <f>IF(B57="","",SUMIFS(tblParadas[Horas perdidas],tblParadas[Equipo],$B57,tblParadas[Fecha],"&gt;="&amp;CFG_MES,tblParadas[Fecha],"&lt;="&amp;CFG_FIN_MES,tblParadas[Tipo de falla],"Operaciones"))</f>
        <v/>
      </c>
      <c r="K57" s="1185" t="str">
        <f t="shared" si="1"/>
        <v/>
      </c>
      <c r="L57" s="1185" t="str">
        <f t="shared" si="2"/>
        <v/>
      </c>
      <c r="M57" s="1053" t="str">
        <f t="shared" si="3"/>
        <v/>
      </c>
      <c r="N57" s="1051" t="str">
        <f>IF(B57="","",SUMIFS(tblParadas[Mineral no procesado (TM)],tblParadas[Equipo],$B57,tblParadas[Fecha],"&gt;="&amp;CFG_MES,tblParadas[Fecha],"&lt;="&amp;CFG_FIN_MES))</f>
        <v/>
      </c>
      <c r="O57" s="1033"/>
      <c r="P57" s="1033"/>
    </row>
    <row r="58" spans="1:16">
      <c r="A58" s="1033"/>
      <c r="B58" s="1061" t="str" cm="1">
        <f t="array" ref="B58">IFERROR(INDEX(tblParadas[Equipo],_xlfn.AGGREGATE(15,6,(ROW(tblParadas[Equipo])-ROW(tblParadas[[#Headers],[Equipo]]))/((COUNTIF(B$25:B57,tblParadas[Equipo])=0)*(tblParadas[Equipo]&lt;&gt;"")*(tblParadas[Fecha]&gt;=CFG_MES)*(tblParadas[Fecha]&lt;=CFG_FIN_MES)),1)),"")</f>
        <v/>
      </c>
      <c r="C58" s="1048" t="str">
        <f>IF(B58="","",IFERROR(INDEX(tblEquipos[Área planta],MATCH(B58,tblEquipos[Código equipo],0)),"s/d"))</f>
        <v/>
      </c>
      <c r="D58" s="1134" t="str">
        <f>IF(B58="","",COUNTIFS(tblParadas[Equipo],$B58,tblParadas[Fecha],"&gt;="&amp;CFG_MES,tblParadas[Fecha],"&lt;="&amp;CFG_FIN_MES))</f>
        <v/>
      </c>
      <c r="E58" s="1053" t="str">
        <f>IF(B58="","",SUMIFS(tblParadas[Horas perdidas],tblParadas[Equipo],$B58,tblParadas[Fecha],"&gt;="&amp;CFG_MES,tblParadas[Fecha],"&lt;="&amp;CFG_FIN_MES))</f>
        <v/>
      </c>
      <c r="F58" s="1053" t="str">
        <f t="shared" si="0"/>
        <v/>
      </c>
      <c r="G58" s="1053" t="str">
        <f>IF(B58="","",SUMIFS(tblParadas[Horas perdidas],tblParadas[Equipo],$B58,tblParadas[Fecha],"&gt;="&amp;CFG_MES,tblParadas[Fecha],"&lt;="&amp;CFG_FIN_MES,tblParadas[Tipo de falla],"Mecánica"))</f>
        <v/>
      </c>
      <c r="H58" s="1053" t="str">
        <f>IF(B58="","",SUMIFS(tblParadas[Horas perdidas],tblParadas[Equipo],$B58,tblParadas[Fecha],"&gt;="&amp;CFG_MES,tblParadas[Fecha],"&lt;="&amp;CFG_FIN_MES,tblParadas[Tipo de falla],"Eléctrica"))</f>
        <v/>
      </c>
      <c r="I58" s="1053" t="str">
        <f>IF(B58="","",SUMIFS(tblParadas[Horas perdidas],tblParadas[Equipo],$B58,tblParadas[Fecha],"&gt;="&amp;CFG_MES,tblParadas[Fecha],"&lt;="&amp;CFG_FIN_MES,tblParadas[Tipo de falla],"Instrumentación"))</f>
        <v/>
      </c>
      <c r="J58" s="1053" t="str">
        <f>IF(B58="","",SUMIFS(tblParadas[Horas perdidas],tblParadas[Equipo],$B58,tblParadas[Fecha],"&gt;="&amp;CFG_MES,tblParadas[Fecha],"&lt;="&amp;CFG_FIN_MES,tblParadas[Tipo de falla],"Operaciones"))</f>
        <v/>
      </c>
      <c r="K58" s="1185" t="str">
        <f t="shared" si="1"/>
        <v/>
      </c>
      <c r="L58" s="1185" t="str">
        <f t="shared" si="2"/>
        <v/>
      </c>
      <c r="M58" s="1053" t="str">
        <f t="shared" si="3"/>
        <v/>
      </c>
      <c r="N58" s="1051" t="str">
        <f>IF(B58="","",SUMIFS(tblParadas[Mineral no procesado (TM)],tblParadas[Equipo],$B58,tblParadas[Fecha],"&gt;="&amp;CFG_MES,tblParadas[Fecha],"&lt;="&amp;CFG_FIN_MES))</f>
        <v/>
      </c>
      <c r="O58" s="1033"/>
      <c r="P58" s="1033"/>
    </row>
    <row r="59" spans="1:16">
      <c r="A59" s="1033"/>
      <c r="B59" s="1061" t="str" cm="1">
        <f t="array" ref="B59">IFERROR(INDEX(tblParadas[Equipo],_xlfn.AGGREGATE(15,6,(ROW(tblParadas[Equipo])-ROW(tblParadas[[#Headers],[Equipo]]))/((COUNTIF(B$25:B58,tblParadas[Equipo])=0)*(tblParadas[Equipo]&lt;&gt;"")*(tblParadas[Fecha]&gt;=CFG_MES)*(tblParadas[Fecha]&lt;=CFG_FIN_MES)),1)),"")</f>
        <v/>
      </c>
      <c r="C59" s="1048" t="str">
        <f>IF(B59="","",IFERROR(INDEX(tblEquipos[Área planta],MATCH(B59,tblEquipos[Código equipo],0)),"s/d"))</f>
        <v/>
      </c>
      <c r="D59" s="1134" t="str">
        <f>IF(B59="","",COUNTIFS(tblParadas[Equipo],$B59,tblParadas[Fecha],"&gt;="&amp;CFG_MES,tblParadas[Fecha],"&lt;="&amp;CFG_FIN_MES))</f>
        <v/>
      </c>
      <c r="E59" s="1053" t="str">
        <f>IF(B59="","",SUMIFS(tblParadas[Horas perdidas],tblParadas[Equipo],$B59,tblParadas[Fecha],"&gt;="&amp;CFG_MES,tblParadas[Fecha],"&lt;="&amp;CFG_FIN_MES))</f>
        <v/>
      </c>
      <c r="F59" s="1053" t="str">
        <f t="shared" si="0"/>
        <v/>
      </c>
      <c r="G59" s="1053" t="str">
        <f>IF(B59="","",SUMIFS(tblParadas[Horas perdidas],tblParadas[Equipo],$B59,tblParadas[Fecha],"&gt;="&amp;CFG_MES,tblParadas[Fecha],"&lt;="&amp;CFG_FIN_MES,tblParadas[Tipo de falla],"Mecánica"))</f>
        <v/>
      </c>
      <c r="H59" s="1053" t="str">
        <f>IF(B59="","",SUMIFS(tblParadas[Horas perdidas],tblParadas[Equipo],$B59,tblParadas[Fecha],"&gt;="&amp;CFG_MES,tblParadas[Fecha],"&lt;="&amp;CFG_FIN_MES,tblParadas[Tipo de falla],"Eléctrica"))</f>
        <v/>
      </c>
      <c r="I59" s="1053" t="str">
        <f>IF(B59="","",SUMIFS(tblParadas[Horas perdidas],tblParadas[Equipo],$B59,tblParadas[Fecha],"&gt;="&amp;CFG_MES,tblParadas[Fecha],"&lt;="&amp;CFG_FIN_MES,tblParadas[Tipo de falla],"Instrumentación"))</f>
        <v/>
      </c>
      <c r="J59" s="1053" t="str">
        <f>IF(B59="","",SUMIFS(tblParadas[Horas perdidas],tblParadas[Equipo],$B59,tblParadas[Fecha],"&gt;="&amp;CFG_MES,tblParadas[Fecha],"&lt;="&amp;CFG_FIN_MES,tblParadas[Tipo de falla],"Operaciones"))</f>
        <v/>
      </c>
      <c r="K59" s="1185" t="str">
        <f t="shared" si="1"/>
        <v/>
      </c>
      <c r="L59" s="1185" t="str">
        <f t="shared" si="2"/>
        <v/>
      </c>
      <c r="M59" s="1053" t="str">
        <f t="shared" si="3"/>
        <v/>
      </c>
      <c r="N59" s="1051" t="str">
        <f>IF(B59="","",SUMIFS(tblParadas[Mineral no procesado (TM)],tblParadas[Equipo],$B59,tblParadas[Fecha],"&gt;="&amp;CFG_MES,tblParadas[Fecha],"&lt;="&amp;CFG_FIN_MES))</f>
        <v/>
      </c>
      <c r="O59" s="1033"/>
      <c r="P59" s="1033"/>
    </row>
    <row r="60" spans="1:16">
      <c r="A60" s="1033"/>
      <c r="B60" s="1061" t="str" cm="1">
        <f t="array" ref="B60">IFERROR(INDEX(tblParadas[Equipo],_xlfn.AGGREGATE(15,6,(ROW(tblParadas[Equipo])-ROW(tblParadas[[#Headers],[Equipo]]))/((COUNTIF(B$25:B59,tblParadas[Equipo])=0)*(tblParadas[Equipo]&lt;&gt;"")*(tblParadas[Fecha]&gt;=CFG_MES)*(tblParadas[Fecha]&lt;=CFG_FIN_MES)),1)),"")</f>
        <v/>
      </c>
      <c r="C60" s="1048" t="str">
        <f>IF(B60="","",IFERROR(INDEX(tblEquipos[Área planta],MATCH(B60,tblEquipos[Código equipo],0)),"s/d"))</f>
        <v/>
      </c>
      <c r="D60" s="1134" t="str">
        <f>IF(B60="","",COUNTIFS(tblParadas[Equipo],$B60,tblParadas[Fecha],"&gt;="&amp;CFG_MES,tblParadas[Fecha],"&lt;="&amp;CFG_FIN_MES))</f>
        <v/>
      </c>
      <c r="E60" s="1053" t="str">
        <f>IF(B60="","",SUMIFS(tblParadas[Horas perdidas],tblParadas[Equipo],$B60,tblParadas[Fecha],"&gt;="&amp;CFG_MES,tblParadas[Fecha],"&lt;="&amp;CFG_FIN_MES))</f>
        <v/>
      </c>
      <c r="F60" s="1053" t="str">
        <f t="shared" si="0"/>
        <v/>
      </c>
      <c r="G60" s="1053" t="str">
        <f>IF(B60="","",SUMIFS(tblParadas[Horas perdidas],tblParadas[Equipo],$B60,tblParadas[Fecha],"&gt;="&amp;CFG_MES,tblParadas[Fecha],"&lt;="&amp;CFG_FIN_MES,tblParadas[Tipo de falla],"Mecánica"))</f>
        <v/>
      </c>
      <c r="H60" s="1053" t="str">
        <f>IF(B60="","",SUMIFS(tblParadas[Horas perdidas],tblParadas[Equipo],$B60,tblParadas[Fecha],"&gt;="&amp;CFG_MES,tblParadas[Fecha],"&lt;="&amp;CFG_FIN_MES,tblParadas[Tipo de falla],"Eléctrica"))</f>
        <v/>
      </c>
      <c r="I60" s="1053" t="str">
        <f>IF(B60="","",SUMIFS(tblParadas[Horas perdidas],tblParadas[Equipo],$B60,tblParadas[Fecha],"&gt;="&amp;CFG_MES,tblParadas[Fecha],"&lt;="&amp;CFG_FIN_MES,tblParadas[Tipo de falla],"Instrumentación"))</f>
        <v/>
      </c>
      <c r="J60" s="1053" t="str">
        <f>IF(B60="","",SUMIFS(tblParadas[Horas perdidas],tblParadas[Equipo],$B60,tblParadas[Fecha],"&gt;="&amp;CFG_MES,tblParadas[Fecha],"&lt;="&amp;CFG_FIN_MES,tblParadas[Tipo de falla],"Operaciones"))</f>
        <v/>
      </c>
      <c r="K60" s="1185" t="str">
        <f t="shared" si="1"/>
        <v/>
      </c>
      <c r="L60" s="1185" t="str">
        <f t="shared" si="2"/>
        <v/>
      </c>
      <c r="M60" s="1053" t="str">
        <f t="shared" si="3"/>
        <v/>
      </c>
      <c r="N60" s="1051" t="str">
        <f>IF(B60="","",SUMIFS(tblParadas[Mineral no procesado (TM)],tblParadas[Equipo],$B60,tblParadas[Fecha],"&gt;="&amp;CFG_MES,tblParadas[Fecha],"&lt;="&amp;CFG_FIN_MES))</f>
        <v/>
      </c>
      <c r="O60" s="1033"/>
      <c r="P60" s="1033"/>
    </row>
    <row r="61" spans="1:16">
      <c r="A61" s="1033"/>
      <c r="B61" s="1061" t="str" cm="1">
        <f t="array" ref="B61">IFERROR(INDEX(tblParadas[Equipo],_xlfn.AGGREGATE(15,6,(ROW(tblParadas[Equipo])-ROW(tblParadas[[#Headers],[Equipo]]))/((COUNTIF(B$25:B60,tblParadas[Equipo])=0)*(tblParadas[Equipo]&lt;&gt;"")*(tblParadas[Fecha]&gt;=CFG_MES)*(tblParadas[Fecha]&lt;=CFG_FIN_MES)),1)),"")</f>
        <v/>
      </c>
      <c r="C61" s="1048" t="str">
        <f>IF(B61="","",IFERROR(INDEX(tblEquipos[Área planta],MATCH(B61,tblEquipos[Código equipo],0)),"s/d"))</f>
        <v/>
      </c>
      <c r="D61" s="1134" t="str">
        <f>IF(B61="","",COUNTIFS(tblParadas[Equipo],$B61,tblParadas[Fecha],"&gt;="&amp;CFG_MES,tblParadas[Fecha],"&lt;="&amp;CFG_FIN_MES))</f>
        <v/>
      </c>
      <c r="E61" s="1053" t="str">
        <f>IF(B61="","",SUMIFS(tblParadas[Horas perdidas],tblParadas[Equipo],$B61,tblParadas[Fecha],"&gt;="&amp;CFG_MES,tblParadas[Fecha],"&lt;="&amp;CFG_FIN_MES))</f>
        <v/>
      </c>
      <c r="F61" s="1053" t="str">
        <f t="shared" si="0"/>
        <v/>
      </c>
      <c r="G61" s="1053" t="str">
        <f>IF(B61="","",SUMIFS(tblParadas[Horas perdidas],tblParadas[Equipo],$B61,tblParadas[Fecha],"&gt;="&amp;CFG_MES,tblParadas[Fecha],"&lt;="&amp;CFG_FIN_MES,tblParadas[Tipo de falla],"Mecánica"))</f>
        <v/>
      </c>
      <c r="H61" s="1053" t="str">
        <f>IF(B61="","",SUMIFS(tblParadas[Horas perdidas],tblParadas[Equipo],$B61,tblParadas[Fecha],"&gt;="&amp;CFG_MES,tblParadas[Fecha],"&lt;="&amp;CFG_FIN_MES,tblParadas[Tipo de falla],"Eléctrica"))</f>
        <v/>
      </c>
      <c r="I61" s="1053" t="str">
        <f>IF(B61="","",SUMIFS(tblParadas[Horas perdidas],tblParadas[Equipo],$B61,tblParadas[Fecha],"&gt;="&amp;CFG_MES,tblParadas[Fecha],"&lt;="&amp;CFG_FIN_MES,tblParadas[Tipo de falla],"Instrumentación"))</f>
        <v/>
      </c>
      <c r="J61" s="1053" t="str">
        <f>IF(B61="","",SUMIFS(tblParadas[Horas perdidas],tblParadas[Equipo],$B61,tblParadas[Fecha],"&gt;="&amp;CFG_MES,tblParadas[Fecha],"&lt;="&amp;CFG_FIN_MES,tblParadas[Tipo de falla],"Operaciones"))</f>
        <v/>
      </c>
      <c r="K61" s="1185" t="str">
        <f t="shared" si="1"/>
        <v/>
      </c>
      <c r="L61" s="1185" t="str">
        <f t="shared" si="2"/>
        <v/>
      </c>
      <c r="M61" s="1053" t="str">
        <f t="shared" si="3"/>
        <v/>
      </c>
      <c r="N61" s="1051" t="str">
        <f>IF(B61="","",SUMIFS(tblParadas[Mineral no procesado (TM)],tblParadas[Equipo],$B61,tblParadas[Fecha],"&gt;="&amp;CFG_MES,tblParadas[Fecha],"&lt;="&amp;CFG_FIN_MES))</f>
        <v/>
      </c>
      <c r="O61" s="1033"/>
      <c r="P61" s="1033"/>
    </row>
    <row r="62" spans="1:16">
      <c r="A62" s="1033"/>
      <c r="B62" s="1061" t="str" cm="1">
        <f t="array" ref="B62">IFERROR(INDEX(tblParadas[Equipo],_xlfn.AGGREGATE(15,6,(ROW(tblParadas[Equipo])-ROW(tblParadas[[#Headers],[Equipo]]))/((COUNTIF(B$25:B61,tblParadas[Equipo])=0)*(tblParadas[Equipo]&lt;&gt;"")*(tblParadas[Fecha]&gt;=CFG_MES)*(tblParadas[Fecha]&lt;=CFG_FIN_MES)),1)),"")</f>
        <v/>
      </c>
      <c r="C62" s="1048" t="str">
        <f>IF(B62="","",IFERROR(INDEX(tblEquipos[Área planta],MATCH(B62,tblEquipos[Código equipo],0)),"s/d"))</f>
        <v/>
      </c>
      <c r="D62" s="1134" t="str">
        <f>IF(B62="","",COUNTIFS(tblParadas[Equipo],$B62,tblParadas[Fecha],"&gt;="&amp;CFG_MES,tblParadas[Fecha],"&lt;="&amp;CFG_FIN_MES))</f>
        <v/>
      </c>
      <c r="E62" s="1053" t="str">
        <f>IF(B62="","",SUMIFS(tblParadas[Horas perdidas],tblParadas[Equipo],$B62,tblParadas[Fecha],"&gt;="&amp;CFG_MES,tblParadas[Fecha],"&lt;="&amp;CFG_FIN_MES))</f>
        <v/>
      </c>
      <c r="F62" s="1053" t="str">
        <f t="shared" si="0"/>
        <v/>
      </c>
      <c r="G62" s="1053" t="str">
        <f>IF(B62="","",SUMIFS(tblParadas[Horas perdidas],tblParadas[Equipo],$B62,tblParadas[Fecha],"&gt;="&amp;CFG_MES,tblParadas[Fecha],"&lt;="&amp;CFG_FIN_MES,tblParadas[Tipo de falla],"Mecánica"))</f>
        <v/>
      </c>
      <c r="H62" s="1053" t="str">
        <f>IF(B62="","",SUMIFS(tblParadas[Horas perdidas],tblParadas[Equipo],$B62,tblParadas[Fecha],"&gt;="&amp;CFG_MES,tblParadas[Fecha],"&lt;="&amp;CFG_FIN_MES,tblParadas[Tipo de falla],"Eléctrica"))</f>
        <v/>
      </c>
      <c r="I62" s="1053" t="str">
        <f>IF(B62="","",SUMIFS(tblParadas[Horas perdidas],tblParadas[Equipo],$B62,tblParadas[Fecha],"&gt;="&amp;CFG_MES,tblParadas[Fecha],"&lt;="&amp;CFG_FIN_MES,tblParadas[Tipo de falla],"Instrumentación"))</f>
        <v/>
      </c>
      <c r="J62" s="1053" t="str">
        <f>IF(B62="","",SUMIFS(tblParadas[Horas perdidas],tblParadas[Equipo],$B62,tblParadas[Fecha],"&gt;="&amp;CFG_MES,tblParadas[Fecha],"&lt;="&amp;CFG_FIN_MES,tblParadas[Tipo de falla],"Operaciones"))</f>
        <v/>
      </c>
      <c r="K62" s="1185" t="str">
        <f t="shared" si="1"/>
        <v/>
      </c>
      <c r="L62" s="1185" t="str">
        <f t="shared" si="2"/>
        <v/>
      </c>
      <c r="M62" s="1053" t="str">
        <f t="shared" si="3"/>
        <v/>
      </c>
      <c r="N62" s="1051" t="str">
        <f>IF(B62="","",SUMIFS(tblParadas[Mineral no procesado (TM)],tblParadas[Equipo],$B62,tblParadas[Fecha],"&gt;="&amp;CFG_MES,tblParadas[Fecha],"&lt;="&amp;CFG_FIN_MES))</f>
        <v/>
      </c>
      <c r="O62" s="1033"/>
      <c r="P62" s="1033"/>
    </row>
    <row r="63" spans="1:16">
      <c r="A63" s="1033"/>
      <c r="B63" s="1061" t="str" cm="1">
        <f t="array" ref="B63">IFERROR(INDEX(tblParadas[Equipo],_xlfn.AGGREGATE(15,6,(ROW(tblParadas[Equipo])-ROW(tblParadas[[#Headers],[Equipo]]))/((COUNTIF(B$25:B62,tblParadas[Equipo])=0)*(tblParadas[Equipo]&lt;&gt;"")*(tblParadas[Fecha]&gt;=CFG_MES)*(tblParadas[Fecha]&lt;=CFG_FIN_MES)),1)),"")</f>
        <v/>
      </c>
      <c r="C63" s="1048" t="str">
        <f>IF(B63="","",IFERROR(INDEX(tblEquipos[Área planta],MATCH(B63,tblEquipos[Código equipo],0)),"s/d"))</f>
        <v/>
      </c>
      <c r="D63" s="1134" t="str">
        <f>IF(B63="","",COUNTIFS(tblParadas[Equipo],$B63,tblParadas[Fecha],"&gt;="&amp;CFG_MES,tblParadas[Fecha],"&lt;="&amp;CFG_FIN_MES))</f>
        <v/>
      </c>
      <c r="E63" s="1053" t="str">
        <f>IF(B63="","",SUMIFS(tblParadas[Horas perdidas],tblParadas[Equipo],$B63,tblParadas[Fecha],"&gt;="&amp;CFG_MES,tblParadas[Fecha],"&lt;="&amp;CFG_FIN_MES))</f>
        <v/>
      </c>
      <c r="F63" s="1053" t="str">
        <f t="shared" si="0"/>
        <v/>
      </c>
      <c r="G63" s="1053" t="str">
        <f>IF(B63="","",SUMIFS(tblParadas[Horas perdidas],tblParadas[Equipo],$B63,tblParadas[Fecha],"&gt;="&amp;CFG_MES,tblParadas[Fecha],"&lt;="&amp;CFG_FIN_MES,tblParadas[Tipo de falla],"Mecánica"))</f>
        <v/>
      </c>
      <c r="H63" s="1053" t="str">
        <f>IF(B63="","",SUMIFS(tblParadas[Horas perdidas],tblParadas[Equipo],$B63,tblParadas[Fecha],"&gt;="&amp;CFG_MES,tblParadas[Fecha],"&lt;="&amp;CFG_FIN_MES,tblParadas[Tipo de falla],"Eléctrica"))</f>
        <v/>
      </c>
      <c r="I63" s="1053" t="str">
        <f>IF(B63="","",SUMIFS(tblParadas[Horas perdidas],tblParadas[Equipo],$B63,tblParadas[Fecha],"&gt;="&amp;CFG_MES,tblParadas[Fecha],"&lt;="&amp;CFG_FIN_MES,tblParadas[Tipo de falla],"Instrumentación"))</f>
        <v/>
      </c>
      <c r="J63" s="1053" t="str">
        <f>IF(B63="","",SUMIFS(tblParadas[Horas perdidas],tblParadas[Equipo],$B63,tblParadas[Fecha],"&gt;="&amp;CFG_MES,tblParadas[Fecha],"&lt;="&amp;CFG_FIN_MES,tblParadas[Tipo de falla],"Operaciones"))</f>
        <v/>
      </c>
      <c r="K63" s="1185" t="str">
        <f t="shared" si="1"/>
        <v/>
      </c>
      <c r="L63" s="1185" t="str">
        <f t="shared" si="2"/>
        <v/>
      </c>
      <c r="M63" s="1053" t="str">
        <f t="shared" si="3"/>
        <v/>
      </c>
      <c r="N63" s="1051" t="str">
        <f>IF(B63="","",SUMIFS(tblParadas[Mineral no procesado (TM)],tblParadas[Equipo],$B63,tblParadas[Fecha],"&gt;="&amp;CFG_MES,tblParadas[Fecha],"&lt;="&amp;CFG_FIN_MES))</f>
        <v/>
      </c>
      <c r="O63" s="1033"/>
      <c r="P63" s="1033"/>
    </row>
    <row r="64" spans="1:16">
      <c r="A64" s="1033"/>
      <c r="B64" s="1061" t="str" cm="1">
        <f t="array" ref="B64">IFERROR(INDEX(tblParadas[Equipo],_xlfn.AGGREGATE(15,6,(ROW(tblParadas[Equipo])-ROW(tblParadas[[#Headers],[Equipo]]))/((COUNTIF(B$25:B63,tblParadas[Equipo])=0)*(tblParadas[Equipo]&lt;&gt;"")*(tblParadas[Fecha]&gt;=CFG_MES)*(tblParadas[Fecha]&lt;=CFG_FIN_MES)),1)),"")</f>
        <v/>
      </c>
      <c r="C64" s="1048" t="str">
        <f>IF(B64="","",IFERROR(INDEX(tblEquipos[Área planta],MATCH(B64,tblEquipos[Código equipo],0)),"s/d"))</f>
        <v/>
      </c>
      <c r="D64" s="1134" t="str">
        <f>IF(B64="","",COUNTIFS(tblParadas[Equipo],$B64,tblParadas[Fecha],"&gt;="&amp;CFG_MES,tblParadas[Fecha],"&lt;="&amp;CFG_FIN_MES))</f>
        <v/>
      </c>
      <c r="E64" s="1053" t="str">
        <f>IF(B64="","",SUMIFS(tblParadas[Horas perdidas],tblParadas[Equipo],$B64,tblParadas[Fecha],"&gt;="&amp;CFG_MES,tblParadas[Fecha],"&lt;="&amp;CFG_FIN_MES))</f>
        <v/>
      </c>
      <c r="F64" s="1053" t="str">
        <f t="shared" si="0"/>
        <v/>
      </c>
      <c r="G64" s="1053" t="str">
        <f>IF(B64="","",SUMIFS(tblParadas[Horas perdidas],tblParadas[Equipo],$B64,tblParadas[Fecha],"&gt;="&amp;CFG_MES,tblParadas[Fecha],"&lt;="&amp;CFG_FIN_MES,tblParadas[Tipo de falla],"Mecánica"))</f>
        <v/>
      </c>
      <c r="H64" s="1053" t="str">
        <f>IF(B64="","",SUMIFS(tblParadas[Horas perdidas],tblParadas[Equipo],$B64,tblParadas[Fecha],"&gt;="&amp;CFG_MES,tblParadas[Fecha],"&lt;="&amp;CFG_FIN_MES,tblParadas[Tipo de falla],"Eléctrica"))</f>
        <v/>
      </c>
      <c r="I64" s="1053" t="str">
        <f>IF(B64="","",SUMIFS(tblParadas[Horas perdidas],tblParadas[Equipo],$B64,tblParadas[Fecha],"&gt;="&amp;CFG_MES,tblParadas[Fecha],"&lt;="&amp;CFG_FIN_MES,tblParadas[Tipo de falla],"Instrumentación"))</f>
        <v/>
      </c>
      <c r="J64" s="1053" t="str">
        <f>IF(B64="","",SUMIFS(tblParadas[Horas perdidas],tblParadas[Equipo],$B64,tblParadas[Fecha],"&gt;="&amp;CFG_MES,tblParadas[Fecha],"&lt;="&amp;CFG_FIN_MES,tblParadas[Tipo de falla],"Operaciones"))</f>
        <v/>
      </c>
      <c r="K64" s="1185" t="str">
        <f t="shared" si="1"/>
        <v/>
      </c>
      <c r="L64" s="1185" t="str">
        <f t="shared" si="2"/>
        <v/>
      </c>
      <c r="M64" s="1053" t="str">
        <f t="shared" si="3"/>
        <v/>
      </c>
      <c r="N64" s="1051" t="str">
        <f>IF(B64="","",SUMIFS(tblParadas[Mineral no procesado (TM)],tblParadas[Equipo],$B64,tblParadas[Fecha],"&gt;="&amp;CFG_MES,tblParadas[Fecha],"&lt;="&amp;CFG_FIN_MES))</f>
        <v/>
      </c>
      <c r="O64" s="1033"/>
      <c r="P64" s="1033"/>
    </row>
    <row r="65" spans="1:16">
      <c r="A65" s="1033"/>
      <c r="B65" s="1061" t="str" cm="1">
        <f t="array" ref="B65">IFERROR(INDEX(tblParadas[Equipo],_xlfn.AGGREGATE(15,6,(ROW(tblParadas[Equipo])-ROW(tblParadas[[#Headers],[Equipo]]))/((COUNTIF(B$25:B64,tblParadas[Equipo])=0)*(tblParadas[Equipo]&lt;&gt;"")*(tblParadas[Fecha]&gt;=CFG_MES)*(tblParadas[Fecha]&lt;=CFG_FIN_MES)),1)),"")</f>
        <v/>
      </c>
      <c r="C65" s="1048" t="str">
        <f>IF(B65="","",IFERROR(INDEX(tblEquipos[Área planta],MATCH(B65,tblEquipos[Código equipo],0)),"s/d"))</f>
        <v/>
      </c>
      <c r="D65" s="1134" t="str">
        <f>IF(B65="","",COUNTIFS(tblParadas[Equipo],$B65,tblParadas[Fecha],"&gt;="&amp;CFG_MES,tblParadas[Fecha],"&lt;="&amp;CFG_FIN_MES))</f>
        <v/>
      </c>
      <c r="E65" s="1053" t="str">
        <f>IF(B65="","",SUMIFS(tblParadas[Horas perdidas],tblParadas[Equipo],$B65,tblParadas[Fecha],"&gt;="&amp;CFG_MES,tblParadas[Fecha],"&lt;="&amp;CFG_FIN_MES))</f>
        <v/>
      </c>
      <c r="F65" s="1053" t="str">
        <f t="shared" si="0"/>
        <v/>
      </c>
      <c r="G65" s="1053" t="str">
        <f>IF(B65="","",SUMIFS(tblParadas[Horas perdidas],tblParadas[Equipo],$B65,tblParadas[Fecha],"&gt;="&amp;CFG_MES,tblParadas[Fecha],"&lt;="&amp;CFG_FIN_MES,tblParadas[Tipo de falla],"Mecánica"))</f>
        <v/>
      </c>
      <c r="H65" s="1053" t="str">
        <f>IF(B65="","",SUMIFS(tblParadas[Horas perdidas],tblParadas[Equipo],$B65,tblParadas[Fecha],"&gt;="&amp;CFG_MES,tblParadas[Fecha],"&lt;="&amp;CFG_FIN_MES,tblParadas[Tipo de falla],"Eléctrica"))</f>
        <v/>
      </c>
      <c r="I65" s="1053" t="str">
        <f>IF(B65="","",SUMIFS(tblParadas[Horas perdidas],tblParadas[Equipo],$B65,tblParadas[Fecha],"&gt;="&amp;CFG_MES,tblParadas[Fecha],"&lt;="&amp;CFG_FIN_MES,tblParadas[Tipo de falla],"Instrumentación"))</f>
        <v/>
      </c>
      <c r="J65" s="1053" t="str">
        <f>IF(B65="","",SUMIFS(tblParadas[Horas perdidas],tblParadas[Equipo],$B65,tblParadas[Fecha],"&gt;="&amp;CFG_MES,tblParadas[Fecha],"&lt;="&amp;CFG_FIN_MES,tblParadas[Tipo de falla],"Operaciones"))</f>
        <v/>
      </c>
      <c r="K65" s="1185" t="str">
        <f t="shared" si="1"/>
        <v/>
      </c>
      <c r="L65" s="1185" t="str">
        <f t="shared" si="2"/>
        <v/>
      </c>
      <c r="M65" s="1053" t="str">
        <f t="shared" si="3"/>
        <v/>
      </c>
      <c r="N65" s="1051" t="str">
        <f>IF(B65="","",SUMIFS(tblParadas[Mineral no procesado (TM)],tblParadas[Equipo],$B65,tblParadas[Fecha],"&gt;="&amp;CFG_MES,tblParadas[Fecha],"&lt;="&amp;CFG_FIN_MES))</f>
        <v/>
      </c>
      <c r="O65" s="1033"/>
      <c r="P65" s="1033"/>
    </row>
    <row r="66" spans="1:16">
      <c r="A66" s="1033"/>
      <c r="B66" s="1033"/>
      <c r="C66" s="1033"/>
      <c r="D66" s="1033"/>
      <c r="E66" s="1033"/>
      <c r="F66" s="1033"/>
      <c r="G66" s="1033"/>
      <c r="H66" s="1033"/>
      <c r="I66" s="1033"/>
      <c r="J66" s="1033"/>
      <c r="K66" s="1033"/>
      <c r="L66" s="1033"/>
      <c r="M66" s="1033"/>
      <c r="N66" s="1033"/>
      <c r="O66" s="1033"/>
      <c r="P66" s="1033"/>
    </row>
    <row r="67" spans="1:16">
      <c r="A67" s="1033"/>
      <c r="B67" s="1033"/>
      <c r="C67" s="1033"/>
      <c r="D67" s="1033"/>
      <c r="E67" s="1033"/>
      <c r="F67" s="1033"/>
      <c r="G67" s="1033"/>
      <c r="H67" s="1033"/>
      <c r="I67" s="1033"/>
      <c r="J67" s="1033"/>
      <c r="K67" s="1033"/>
      <c r="L67" s="1033"/>
      <c r="M67" s="1033"/>
      <c r="N67" s="1033"/>
      <c r="O67" s="1033"/>
      <c r="P67" s="1033"/>
    </row>
    <row r="68" spans="1:16">
      <c r="A68" s="1033"/>
      <c r="B68" s="1033"/>
      <c r="C68" s="1033"/>
      <c r="D68" s="1033"/>
      <c r="E68" s="1033"/>
      <c r="F68" s="1033"/>
      <c r="G68" s="1033"/>
      <c r="H68" s="1033"/>
      <c r="I68" s="1033"/>
      <c r="J68" s="1033"/>
      <c r="K68" s="1033"/>
      <c r="L68" s="1033"/>
      <c r="M68" s="1033"/>
      <c r="N68" s="1033"/>
      <c r="O68" s="1033"/>
      <c r="P68" s="1033"/>
    </row>
    <row r="69" spans="1:16">
      <c r="A69" s="1033"/>
      <c r="B69" s="1033"/>
      <c r="C69" s="1033"/>
      <c r="D69" s="1033"/>
      <c r="E69" s="1033"/>
      <c r="F69" s="1033"/>
      <c r="G69" s="1033"/>
      <c r="H69" s="1033"/>
      <c r="I69" s="1033"/>
      <c r="J69" s="1033"/>
      <c r="K69" s="1033"/>
      <c r="L69" s="1033"/>
      <c r="M69" s="1033"/>
      <c r="N69" s="1033"/>
      <c r="O69" s="1033"/>
      <c r="P69" s="1033"/>
    </row>
    <row r="70" spans="1:16">
      <c r="A70" s="1033"/>
      <c r="B70" s="1033"/>
      <c r="C70" s="1033"/>
      <c r="D70" s="1033"/>
      <c r="E70" s="1033"/>
      <c r="F70" s="1033"/>
      <c r="G70" s="1033"/>
      <c r="H70" s="1033"/>
      <c r="I70" s="1033"/>
      <c r="J70" s="1033"/>
      <c r="K70" s="1033"/>
      <c r="L70" s="1033"/>
      <c r="M70" s="1033"/>
      <c r="N70" s="1033"/>
      <c r="O70" s="1033"/>
      <c r="P70" s="1033"/>
    </row>
  </sheetData>
  <mergeCells count="14">
    <mergeCell ref="F10:H10"/>
    <mergeCell ref="K6:N6"/>
    <mergeCell ref="B23:N23"/>
    <mergeCell ref="B10:C10"/>
    <mergeCell ref="B1:N1"/>
    <mergeCell ref="C4:D4"/>
    <mergeCell ref="B6:D6"/>
    <mergeCell ref="B7:C7"/>
    <mergeCell ref="B8:C8"/>
    <mergeCell ref="B9:C9"/>
    <mergeCell ref="F6:I6"/>
    <mergeCell ref="F7:H7"/>
    <mergeCell ref="F8:H8"/>
    <mergeCell ref="F9:H9"/>
  </mergeCells>
  <conditionalFormatting sqref="K26:K65">
    <cfRule type="expression" dxfId="28" priority="1">
      <formula>AND(ISNUMBER(K26),K26&lt;$D$9)</formula>
    </cfRule>
  </conditionalFormatting>
  <conditionalFormatting sqref="K26:K65">
    <cfRule type="expression" dxfId="27" priority="2">
      <formula>AND(ISNUMBER(K26),K26&gt;=$D$9)</formula>
    </cfRule>
  </conditionalFormatting>
  <printOptions horizontalCentered="1"/>
  <pageMargins left="0.5" right="0.5" top="0.61111111111111116" bottom="0.61111111111111116" header="0.3" footer="0.3"/>
  <pageSetup paperSize="9" fitToHeight="0" orientation="landscape" r:id="rId1"/>
  <headerFooter>
    <oddHeader>&amp;Z&amp;R</oddHeader>
    <oddFooter>&amp;CShougang Hierro Perú S.A.A. — Beneficio ZA — Operatividad — Página &amp;P de &amp;F</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278D2-0599-4A46-BD82-45BCAD4DCB98}">
  <sheetPr codeName="Hoja25">
    <tabColor rgb="FF2F75B5"/>
    <pageSetUpPr fitToPage="1"/>
  </sheetPr>
  <dimension ref="A1:AX220"/>
  <sheetViews>
    <sheetView showGridLines="0" topLeftCell="T49" zoomScale="85" zoomScaleNormal="85" workbookViewId="0">
      <selection activeCell="AN92" sqref="AN92"/>
    </sheetView>
  </sheetViews>
  <sheetFormatPr baseColWidth="10" defaultColWidth="9.140625" defaultRowHeight="15"/>
  <cols>
    <col min="1" max="2" width="9.140625" style="176"/>
    <col min="3" max="3" width="18.85546875" style="176" bestFit="1" customWidth="1"/>
    <col min="4" max="4" width="10.85546875" style="176" bestFit="1" customWidth="1"/>
    <col min="5" max="17" width="9.140625" style="176"/>
    <col min="18" max="18" width="9.140625" style="176" customWidth="1"/>
    <col min="19" max="19" width="11.42578125" style="176" customWidth="1"/>
    <col min="20" max="20" width="11.28515625" style="176" customWidth="1"/>
    <col min="21" max="29" width="9.140625" style="268" customWidth="1"/>
    <col min="30" max="34" width="9.140625" style="176" customWidth="1"/>
    <col min="35" max="35" width="18.28515625" style="176" bestFit="1" customWidth="1"/>
    <col min="36" max="36" width="12.5703125" style="176" bestFit="1" customWidth="1"/>
    <col min="37" max="37" width="15.140625" style="176" bestFit="1" customWidth="1"/>
    <col min="38" max="38" width="13.140625" style="176" customWidth="1"/>
    <col min="39" max="39" width="12.5703125" style="176" bestFit="1" customWidth="1"/>
    <col min="40" max="40" width="12.5703125" style="176" customWidth="1"/>
    <col min="41" max="41" width="10.85546875" style="176" bestFit="1" customWidth="1"/>
    <col min="42" max="42" width="28.5703125" style="176" customWidth="1"/>
    <col min="43" max="43" width="23.85546875" style="184" bestFit="1" customWidth="1"/>
    <col min="44" max="44" width="24.42578125" style="184" bestFit="1" customWidth="1"/>
    <col min="45" max="45" width="15.42578125" style="184" bestFit="1" customWidth="1"/>
    <col min="46" max="46" width="9.140625" style="184"/>
    <col min="47" max="47" width="9.28515625" style="184" bestFit="1" customWidth="1"/>
    <col min="48" max="48" width="21.140625" style="184" bestFit="1" customWidth="1"/>
    <col min="49" max="50" width="9.140625" style="184"/>
    <col min="51" max="16384" width="9.140625" style="176"/>
  </cols>
  <sheetData>
    <row r="1" spans="1:50" ht="21.75" thickBot="1">
      <c r="A1" s="1353" t="s">
        <v>0</v>
      </c>
      <c r="B1" s="1353"/>
      <c r="C1" s="1353"/>
      <c r="D1" s="1353"/>
      <c r="E1" s="1353"/>
      <c r="F1" s="1353"/>
      <c r="G1" s="1353"/>
      <c r="H1" s="1353"/>
      <c r="I1" s="1353"/>
      <c r="J1" s="1353"/>
      <c r="K1" s="1353"/>
      <c r="L1" s="1353"/>
      <c r="M1" s="1353"/>
      <c r="N1" s="1353"/>
      <c r="O1" s="1353"/>
      <c r="P1" s="1353"/>
      <c r="Q1" s="1353"/>
      <c r="R1" s="1353"/>
      <c r="S1" s="883" t="s">
        <v>2455</v>
      </c>
      <c r="T1" s="882">
        <v>46294</v>
      </c>
      <c r="U1" s="1357" t="s">
        <v>1</v>
      </c>
      <c r="V1" s="1357"/>
      <c r="W1" s="1357"/>
      <c r="X1" s="1357" t="s">
        <v>2</v>
      </c>
      <c r="Y1" s="1357"/>
      <c r="Z1" s="1357"/>
      <c r="AA1" s="851"/>
      <c r="AB1" s="851"/>
      <c r="AC1" s="851"/>
      <c r="AD1" s="173"/>
      <c r="AG1" s="170"/>
      <c r="AH1" s="1358" t="s">
        <v>0</v>
      </c>
      <c r="AI1" s="1359"/>
      <c r="AJ1" s="1359"/>
      <c r="AK1" s="1359"/>
      <c r="AL1" s="1359"/>
      <c r="AM1" s="1359"/>
      <c r="AN1" s="1359"/>
      <c r="AO1" s="1359"/>
      <c r="AP1" s="1359"/>
      <c r="AQ1" s="1359"/>
      <c r="AR1" s="1359"/>
      <c r="AS1" s="1359"/>
      <c r="AT1" s="1359"/>
      <c r="AU1" s="1359"/>
      <c r="AV1" s="1359"/>
      <c r="AW1" s="1359"/>
      <c r="AX1" s="1360"/>
    </row>
    <row r="2" spans="1:50" ht="48.75" thickBot="1">
      <c r="A2" s="182" t="s">
        <v>3</v>
      </c>
      <c r="B2" s="182" t="s">
        <v>4</v>
      </c>
      <c r="C2" s="182" t="s">
        <v>5</v>
      </c>
      <c r="D2" s="181" t="s">
        <v>9233</v>
      </c>
      <c r="E2" s="180" t="s">
        <v>6</v>
      </c>
      <c r="F2" s="181" t="s">
        <v>7</v>
      </c>
      <c r="G2" s="181" t="s">
        <v>8</v>
      </c>
      <c r="H2" s="181" t="s">
        <v>9</v>
      </c>
      <c r="I2" s="181" t="s">
        <v>10</v>
      </c>
      <c r="J2" s="181" t="s">
        <v>11</v>
      </c>
      <c r="K2" s="181" t="s">
        <v>12</v>
      </c>
      <c r="L2" s="181" t="s">
        <v>13</v>
      </c>
      <c r="M2" s="181" t="s">
        <v>14</v>
      </c>
      <c r="N2" s="181" t="s">
        <v>15</v>
      </c>
      <c r="O2" s="181" t="s">
        <v>16</v>
      </c>
      <c r="P2" s="181" t="s">
        <v>17</v>
      </c>
      <c r="Q2" s="181" t="s">
        <v>18</v>
      </c>
      <c r="R2" s="180" t="s">
        <v>19</v>
      </c>
      <c r="S2" s="181" t="s">
        <v>20</v>
      </c>
      <c r="T2" s="181" t="s">
        <v>21</v>
      </c>
      <c r="U2" s="385" t="s">
        <v>22</v>
      </c>
      <c r="V2" s="266" t="s">
        <v>23</v>
      </c>
      <c r="W2" s="266" t="s">
        <v>24</v>
      </c>
      <c r="X2" s="265" t="s">
        <v>22</v>
      </c>
      <c r="Y2" s="266" t="s">
        <v>23</v>
      </c>
      <c r="Z2" s="266" t="s">
        <v>24</v>
      </c>
      <c r="AA2" s="266" t="s">
        <v>25</v>
      </c>
      <c r="AB2" s="266" t="s">
        <v>26</v>
      </c>
      <c r="AC2" s="266" t="s">
        <v>27</v>
      </c>
      <c r="AD2" s="174"/>
      <c r="AG2" s="170"/>
      <c r="AH2" s="196"/>
      <c r="AI2" s="335">
        <f>P_CAP_ALIM_TURNO</f>
        <v>13360</v>
      </c>
      <c r="AJ2" s="245" t="s">
        <v>28</v>
      </c>
      <c r="AK2" s="246" t="s">
        <v>29</v>
      </c>
      <c r="AL2" s="215" t="s">
        <v>30</v>
      </c>
      <c r="AM2" s="216" t="s">
        <v>31</v>
      </c>
      <c r="AN2" s="170"/>
      <c r="AO2" s="170"/>
      <c r="AP2" s="197"/>
      <c r="AQ2" s="170"/>
    </row>
    <row r="3" spans="1:50">
      <c r="A3" s="1361">
        <f>RPT_FECHA</f>
        <v>46294</v>
      </c>
      <c r="B3" s="179">
        <v>0.375</v>
      </c>
      <c r="C3" s="178">
        <f>IFERROR(INDEX(tblConcentrado[Mineral (TMS)],MATCH(RPT_CLAVE*100+ROWS(C$3:C3),tblConcentrado[ID],0)),0)</f>
        <v>1564</v>
      </c>
      <c r="D3" s="178">
        <f>IFERROR(INDEX(tblConcentrado[Concentrado (TMS)],MATCH(RPT_CLAVE*100+ROWS(D$3:D3),tblConcentrado[ID],0)),0)</f>
        <v>991</v>
      </c>
      <c r="E3" s="178">
        <f>IFERROR(INDEX(tblConcentrado[S (%)],MATCH(RPT_CLAVE*100+ROWS(E$3:E3),tblConcentrado[ID],0)),0)</f>
        <v>0.22800000000000001</v>
      </c>
      <c r="F3" s="178">
        <f>IFERROR(INDEX(tblConcentrado[RM 1/2/3 DTT-100 S],MATCH(RPT_CLAVE*100+ROWS(F$3:F3),tblConcentrado[ID],0)),0)</f>
        <v>0.63100000000000001</v>
      </c>
      <c r="G3" s="178">
        <f>IFERROR(INDEX(tblConcentrado[RM 1/2/3 DTT-100 S/F],MATCH(RPT_CLAVE*100+ROWS(G$3:G3),tblConcentrado[ID],0)),0)</f>
        <v>0.36</v>
      </c>
      <c r="H3" s="178">
        <f>IFERROR(INDEX(tblConcentrado[RM 5/6/7/8/9 DTT-100 S],MATCH(RPT_CLAVE*100+ROWS(H$3:H3),tblConcentrado[ID],0)),0)</f>
        <v>0.63100000000000001</v>
      </c>
      <c r="I3" s="178">
        <f>IFERROR(INDEX(tblConcentrado[RM 5/6/7/8/9 DTT-100 S/F],MATCH(RPT_CLAVE*100+ROWS(I$3:I3),tblConcentrado[ID],0)),0)</f>
        <v>0.36</v>
      </c>
      <c r="J3" s="178">
        <f>IFERROR(INDEX(tblConcentrado[ESP.Ant Fe],MATCH(RPT_CLAVE*100+ROWS(J$3:J3),tblConcentrado[ID],0)),0)</f>
        <v>24.8</v>
      </c>
      <c r="K3" s="178">
        <f>IFERROR(INDEX(tblConcentrado[ESP.N Fe Sol],MATCH(RPT_CLAVE*100+ROWS(K$3:K3),tblConcentrado[ID],0)),0)</f>
        <v>12.6</v>
      </c>
      <c r="L3" s="178">
        <f>IFERROR(INDEX(tblConcentrado[ESP.Ant FeO],MATCH(RPT_CLAVE*100+ROWS(L$3:L3),tblConcentrado[ID],0)),0)</f>
        <v>2.2999999999999998</v>
      </c>
      <c r="M3" s="178">
        <f>IFERROR(INDEX(tblConcentrado[ESP.N FeO],MATCH(RPT_CLAVE*100+ROWS(M$3:M3),tblConcentrado[ID],0)),0)</f>
        <v>1.5</v>
      </c>
      <c r="N3" s="178">
        <f>N(IFERROR(INDEX(tblConcentrado[Prom. Fe Sol],MATCH(RPT_CLAVE*100+ROWS(N$3:N3),tblConcentrado[ID],0)),0))</f>
        <v>17.48</v>
      </c>
      <c r="O3" s="178">
        <f>N(IFERROR(INDEX(tblConcentrado[Prom. FeO],MATCH(RPT_CLAVE*100+ROWS(O$3:O3),tblConcentrado[ID],0)),0))</f>
        <v>1.8199999999999998</v>
      </c>
      <c r="P3" s="178">
        <f>IFERROR(INDEX(tblConcentrado[H2O (%)],MATCH(RPT_CLAVE*100+ROWS(P$3:P3),tblConcentrado[ID],0)),0)</f>
        <v>8.3000000000000007</v>
      </c>
      <c r="Q3" s="178">
        <f>IFERROR(INDEX(tblConcentrado[% Recup.],MATCH(RPT_CLAVE*100+ROWS(Q$3:Q3),tblConcentrado[ID],0)),"")</f>
        <v>0.63363171355498726</v>
      </c>
      <c r="R3" s="178">
        <f>IFERROR(INDEX(tblConcentrado[Ratio],MATCH(RPT_CLAVE*100+ROWS(R$3:R3),tblConcentrado[ID],0)),0)</f>
        <v>1.5782038345105953</v>
      </c>
      <c r="S3" s="333">
        <f t="shared" ref="S3:S26" si="0">C3/P_CAP_ALIM_H*100</f>
        <v>93.65269461077844</v>
      </c>
      <c r="T3" s="384">
        <f t="shared" ref="T3:T26" si="1">D3/P_CAP_CONC_H</f>
        <v>0.86044939161843292</v>
      </c>
      <c r="U3" s="267">
        <f>MEDIAN(F$3:F$26)</f>
        <v>0.27150000000000002</v>
      </c>
      <c r="V3" s="267">
        <f t="shared" ref="V3:V26" si="2">U3*(1+P_BANDA)</f>
        <v>0.29186250000000002</v>
      </c>
      <c r="W3" s="267">
        <f t="shared" ref="W3:W26" si="3">U3*(1-P_BANDA)</f>
        <v>0.25113750000000001</v>
      </c>
      <c r="X3" s="267">
        <f>MEDIAN(H$3:H$26)</f>
        <v>0.27150000000000002</v>
      </c>
      <c r="Y3" s="267">
        <f t="shared" ref="Y3:Y26" si="4">X3*(1+P_BANDA)</f>
        <v>0.29186250000000002</v>
      </c>
      <c r="Z3" s="267">
        <f t="shared" ref="Z3:Z26" si="5">X3*(1-P_BANDA)</f>
        <v>0.25113750000000001</v>
      </c>
      <c r="AA3" s="267">
        <f t="shared" ref="AA3:AA26" si="6">P_KPI_S</f>
        <v>0.2</v>
      </c>
      <c r="AB3" s="267">
        <f t="shared" ref="AB3:AB26" si="7">P_KPI_FE</f>
        <v>15</v>
      </c>
      <c r="AC3" s="267">
        <f t="shared" ref="AC3:AC26" si="8">P_KPI_FEO</f>
        <v>1.8</v>
      </c>
      <c r="AD3" s="175"/>
      <c r="AG3" s="170"/>
      <c r="AH3" s="196"/>
      <c r="AI3" s="185" t="s">
        <v>32</v>
      </c>
      <c r="AJ3" s="236">
        <f>SUM(C3:C10)</f>
        <v>10975</v>
      </c>
      <c r="AK3" s="237">
        <f>SUM(C11:C18)</f>
        <v>10879</v>
      </c>
      <c r="AL3" s="237">
        <f>SUM(C19:C26)</f>
        <v>11493</v>
      </c>
      <c r="AM3" s="238">
        <f>SUM(AJ3:AL3)</f>
        <v>33347</v>
      </c>
      <c r="AN3" s="170"/>
      <c r="AO3" s="170"/>
      <c r="AP3" s="197"/>
      <c r="AQ3" s="170"/>
    </row>
    <row r="4" spans="1:50">
      <c r="A4" s="1362"/>
      <c r="B4" s="179">
        <v>0.41666666666666702</v>
      </c>
      <c r="C4" s="178">
        <f>IFERROR(INDEX(tblConcentrado[Mineral (TMS)],MATCH(RPT_CLAVE*100+ROWS(C$3:C4),tblConcentrado[ID],0)),0)</f>
        <v>1505</v>
      </c>
      <c r="D4" s="178">
        <f>IFERROR(INDEX(tblConcentrado[Concentrado (TMS)],MATCH(RPT_CLAVE*100+ROWS(D$3:D4),tblConcentrado[ID],0)),0)</f>
        <v>975</v>
      </c>
      <c r="E4" s="178">
        <f>IFERROR(INDEX(tblConcentrado[S (%)],MATCH(RPT_CLAVE*100+ROWS(E$3:E4),tblConcentrado[ID],0)),0)</f>
        <v>0</v>
      </c>
      <c r="F4" s="178">
        <f>IFERROR(INDEX(tblConcentrado[RM 1/2/3 DTT-100 S],MATCH(RPT_CLAVE*100+ROWS(F$3:F4),tblConcentrado[ID],0)),0)</f>
        <v>0</v>
      </c>
      <c r="G4" s="178">
        <f>IFERROR(INDEX(tblConcentrado[RM 1/2/3 DTT-100 S/F],MATCH(RPT_CLAVE*100+ROWS(G$3:G4),tblConcentrado[ID],0)),0)</f>
        <v>0</v>
      </c>
      <c r="H4" s="178">
        <f>IFERROR(INDEX(tblConcentrado[RM 5/6/7/8/9 DTT-100 S],MATCH(RPT_CLAVE*100+ROWS(H$3:H4),tblConcentrado[ID],0)),0)</f>
        <v>0</v>
      </c>
      <c r="I4" s="178">
        <f>IFERROR(INDEX(tblConcentrado[RM 5/6/7/8/9 DTT-100 S/F],MATCH(RPT_CLAVE*100+ROWS(I$3:I4),tblConcentrado[ID],0)),0)</f>
        <v>0</v>
      </c>
      <c r="J4" s="178">
        <f>IFERROR(INDEX(tblConcentrado[ESP.Ant Fe],MATCH(RPT_CLAVE*100+ROWS(J$3:J4),tblConcentrado[ID],0)),0)</f>
        <v>0</v>
      </c>
      <c r="K4" s="178">
        <f>IFERROR(INDEX(tblConcentrado[ESP.N Fe Sol],MATCH(RPT_CLAVE*100+ROWS(K$3:K4),tblConcentrado[ID],0)),0)</f>
        <v>0</v>
      </c>
      <c r="L4" s="178">
        <f>IFERROR(INDEX(tblConcentrado[ESP.Ant FeO],MATCH(RPT_CLAVE*100+ROWS(L$3:L4),tblConcentrado[ID],0)),0)</f>
        <v>0</v>
      </c>
      <c r="M4" s="178">
        <f>IFERROR(INDEX(tblConcentrado[ESP.N FeO],MATCH(RPT_CLAVE*100+ROWS(M$3:M4),tblConcentrado[ID],0)),0)</f>
        <v>0</v>
      </c>
      <c r="N4" s="178">
        <f>N(IFERROR(INDEX(tblConcentrado[Prom. Fe Sol],MATCH(RPT_CLAVE*100+ROWS(N$3:N4),tblConcentrado[ID],0)),0))</f>
        <v>0</v>
      </c>
      <c r="O4" s="178">
        <f>N(IFERROR(INDEX(tblConcentrado[Prom. FeO],MATCH(RPT_CLAVE*100+ROWS(O$3:O4),tblConcentrado[ID],0)),0))</f>
        <v>0</v>
      </c>
      <c r="P4" s="178">
        <f>IFERROR(INDEX(tblConcentrado[H2O (%)],MATCH(RPT_CLAVE*100+ROWS(P$3:P4),tblConcentrado[ID],0)),0)</f>
        <v>0</v>
      </c>
      <c r="Q4" s="178">
        <f>IFERROR(INDEX(tblConcentrado[% Recup.],MATCH(RPT_CLAVE*100+ROWS(Q$3:Q4),tblConcentrado[ID],0)),"")</f>
        <v>0.64784053156146182</v>
      </c>
      <c r="R4" s="178">
        <f>IFERROR(INDEX(tblConcentrado[Ratio],MATCH(RPT_CLAVE*100+ROWS(R$3:R4),tblConcentrado[ID],0)),0)</f>
        <v>1.5435897435897434</v>
      </c>
      <c r="S4" s="333">
        <f t="shared" si="0"/>
        <v>90.119760479041915</v>
      </c>
      <c r="T4" s="384">
        <f t="shared" si="1"/>
        <v>0.84655717137030484</v>
      </c>
      <c r="U4" s="267">
        <f>U3</f>
        <v>0.27150000000000002</v>
      </c>
      <c r="V4" s="267">
        <f t="shared" si="2"/>
        <v>0.29186250000000002</v>
      </c>
      <c r="W4" s="267">
        <f t="shared" si="3"/>
        <v>0.25113750000000001</v>
      </c>
      <c r="X4" s="267">
        <f>X3</f>
        <v>0.27150000000000002</v>
      </c>
      <c r="Y4" s="267">
        <f t="shared" si="4"/>
        <v>0.29186250000000002</v>
      </c>
      <c r="Z4" s="267">
        <f t="shared" si="5"/>
        <v>0.25113750000000001</v>
      </c>
      <c r="AA4" s="267">
        <f t="shared" si="6"/>
        <v>0.2</v>
      </c>
      <c r="AB4" s="267">
        <f t="shared" si="7"/>
        <v>15</v>
      </c>
      <c r="AC4" s="267">
        <f t="shared" si="8"/>
        <v>1.8</v>
      </c>
      <c r="AD4" s="175"/>
      <c r="AG4" s="170"/>
      <c r="AH4" s="196"/>
      <c r="AI4" s="186" t="s">
        <v>33</v>
      </c>
      <c r="AJ4" s="217">
        <f>SUM(D3:D10)</f>
        <v>6880</v>
      </c>
      <c r="AK4" s="188">
        <f>SUM(D11:D18)</f>
        <v>7680</v>
      </c>
      <c r="AL4" s="188">
        <f>SUM(D19:D26)</f>
        <v>7039</v>
      </c>
      <c r="AM4" s="239">
        <f>SUM(AJ4:AL4)</f>
        <v>21599</v>
      </c>
      <c r="AN4" s="170"/>
      <c r="AO4" s="170"/>
      <c r="AP4" s="197"/>
      <c r="AQ4" s="170"/>
    </row>
    <row r="5" spans="1:50">
      <c r="A5" s="1362"/>
      <c r="B5" s="179">
        <v>0.45833333333333298</v>
      </c>
      <c r="C5" s="178">
        <f>IFERROR(INDEX(tblConcentrado[Mineral (TMS)],MATCH(RPT_CLAVE*100+ROWS(C$3:C5),tblConcentrado[ID],0)),0)</f>
        <v>1364</v>
      </c>
      <c r="D5" s="178">
        <f>IFERROR(INDEX(tblConcentrado[Concentrado (TMS)],MATCH(RPT_CLAVE*100+ROWS(D$3:D5),tblConcentrado[ID],0)),0)</f>
        <v>763</v>
      </c>
      <c r="E5" s="178">
        <f>IFERROR(INDEX(tblConcentrado[S (%)],MATCH(RPT_CLAVE*100+ROWS(E$3:E5),tblConcentrado[ID],0)),0)</f>
        <v>0.20100000000000001</v>
      </c>
      <c r="F5" s="178">
        <f>IFERROR(INDEX(tblConcentrado[RM 1/2/3 DTT-100 S],MATCH(RPT_CLAVE*100+ROWS(F$3:F5),tblConcentrado[ID],0)),0)</f>
        <v>0.63400000000000001</v>
      </c>
      <c r="G5" s="178">
        <f>IFERROR(INDEX(tblConcentrado[RM 1/2/3 DTT-100 S/F],MATCH(RPT_CLAVE*100+ROWS(G$3:G5),tblConcentrado[ID],0)),0)</f>
        <v>0.38</v>
      </c>
      <c r="H5" s="178">
        <f>IFERROR(INDEX(tblConcentrado[RM 5/6/7/8/9 DTT-100 S],MATCH(RPT_CLAVE*100+ROWS(H$3:H5),tblConcentrado[ID],0)),0)</f>
        <v>0.63400000000000001</v>
      </c>
      <c r="I5" s="178">
        <f>IFERROR(INDEX(tblConcentrado[RM 5/6/7/8/9 DTT-100 S/F],MATCH(RPT_CLAVE*100+ROWS(I$3:I5),tblConcentrado[ID],0)),0)</f>
        <v>0.38</v>
      </c>
      <c r="J5" s="178">
        <f>IFERROR(INDEX(tblConcentrado[ESP.Ant Fe],MATCH(RPT_CLAVE*100+ROWS(J$3:J5),tblConcentrado[ID],0)),0)</f>
        <v>21</v>
      </c>
      <c r="K5" s="178">
        <f>IFERROR(INDEX(tblConcentrado[ESP.N Fe Sol],MATCH(RPT_CLAVE*100+ROWS(K$3:K5),tblConcentrado[ID],0)),0)</f>
        <v>13.6</v>
      </c>
      <c r="L5" s="178">
        <f>IFERROR(INDEX(tblConcentrado[ESP.Ant FeO],MATCH(RPT_CLAVE*100+ROWS(L$3:L5),tblConcentrado[ID],0)),0)</f>
        <v>1.9</v>
      </c>
      <c r="M5" s="178">
        <f>IFERROR(INDEX(tblConcentrado[ESP.N FeO],MATCH(RPT_CLAVE*100+ROWS(M$3:M5),tblConcentrado[ID],0)),0)</f>
        <v>1.9</v>
      </c>
      <c r="N5" s="178">
        <f>N(IFERROR(INDEX(tblConcentrado[Prom. Fe Sol],MATCH(RPT_CLAVE*100+ROWS(N$3:N5),tblConcentrado[ID],0)),0))</f>
        <v>16.560000000000002</v>
      </c>
      <c r="O5" s="178">
        <f>N(IFERROR(INDEX(tblConcentrado[Prom. FeO],MATCH(RPT_CLAVE*100+ROWS(O$3:O5),tblConcentrado[ID],0)),0))</f>
        <v>1.9</v>
      </c>
      <c r="P5" s="178">
        <f>IFERROR(INDEX(tblConcentrado[H2O (%)],MATCH(RPT_CLAVE*100+ROWS(P$3:P5),tblConcentrado[ID],0)),0)</f>
        <v>8.1999999999999993</v>
      </c>
      <c r="Q5" s="178">
        <f>IFERROR(INDEX(tblConcentrado[% Recup.],MATCH(RPT_CLAVE*100+ROWS(Q$3:Q5),tblConcentrado[ID],0)),"")</f>
        <v>0.55938416422287385</v>
      </c>
      <c r="R5" s="178">
        <f>IFERROR(INDEX(tblConcentrado[Ratio],MATCH(RPT_CLAVE*100+ROWS(R$3:R5),tblConcentrado[ID],0)),0)</f>
        <v>1.7876802096985585</v>
      </c>
      <c r="S5" s="333">
        <f t="shared" si="0"/>
        <v>81.676646706586837</v>
      </c>
      <c r="T5" s="384">
        <f t="shared" si="1"/>
        <v>0.66248525308260775</v>
      </c>
      <c r="U5" s="267">
        <f t="shared" ref="U5:U26" si="9">U4</f>
        <v>0.27150000000000002</v>
      </c>
      <c r="V5" s="267">
        <f t="shared" si="2"/>
        <v>0.29186250000000002</v>
      </c>
      <c r="W5" s="267">
        <f t="shared" si="3"/>
        <v>0.25113750000000001</v>
      </c>
      <c r="X5" s="267">
        <f t="shared" ref="X5:X26" si="10">X4</f>
        <v>0.27150000000000002</v>
      </c>
      <c r="Y5" s="267">
        <f t="shared" si="4"/>
        <v>0.29186250000000002</v>
      </c>
      <c r="Z5" s="267">
        <f t="shared" si="5"/>
        <v>0.25113750000000001</v>
      </c>
      <c r="AA5" s="267">
        <f t="shared" si="6"/>
        <v>0.2</v>
      </c>
      <c r="AB5" s="267">
        <f t="shared" si="7"/>
        <v>15</v>
      </c>
      <c r="AC5" s="267">
        <f t="shared" si="8"/>
        <v>1.8</v>
      </c>
      <c r="AD5" s="175"/>
      <c r="AG5" s="170"/>
      <c r="AH5" s="196"/>
      <c r="AI5" s="186" t="s">
        <v>34</v>
      </c>
      <c r="AJ5" s="240">
        <f>IFERROR(AJ3/AJ4,0)</f>
        <v>1.5952034883720929</v>
      </c>
      <c r="AK5" s="189">
        <f>IFERROR(AK3/AK4,0)</f>
        <v>1.4165364583333333</v>
      </c>
      <c r="AL5" s="189">
        <f>IFERROR(AL3/AL4,0)</f>
        <v>1.6327603352748969</v>
      </c>
      <c r="AM5" s="241">
        <f>IFERROR(AM3/AM4,0)</f>
        <v>1.5439140700958378</v>
      </c>
      <c r="AN5" s="170"/>
      <c r="AO5" s="170"/>
      <c r="AP5" s="197"/>
      <c r="AQ5" s="170"/>
    </row>
    <row r="6" spans="1:50" ht="15.75" thickBot="1">
      <c r="A6" s="1362"/>
      <c r="B6" s="179">
        <v>0.5</v>
      </c>
      <c r="C6" s="178">
        <f>IFERROR(INDEX(tblConcentrado[Mineral (TMS)],MATCH(RPT_CLAVE*100+ROWS(C$3:C6),tblConcentrado[ID],0)),0)</f>
        <v>1317</v>
      </c>
      <c r="D6" s="178">
        <f>IFERROR(INDEX(tblConcentrado[Concentrado (TMS)],MATCH(RPT_CLAVE*100+ROWS(D$3:D6),tblConcentrado[ID],0)),0)</f>
        <v>458</v>
      </c>
      <c r="E6" s="178">
        <f>IFERROR(INDEX(tblConcentrado[S (%)],MATCH(RPT_CLAVE*100+ROWS(E$3:E6),tblConcentrado[ID],0)),0)</f>
        <v>0</v>
      </c>
      <c r="F6" s="178">
        <f>IFERROR(INDEX(tblConcentrado[RM 1/2/3 DTT-100 S],MATCH(RPT_CLAVE*100+ROWS(F$3:F6),tblConcentrado[ID],0)),0)</f>
        <v>0</v>
      </c>
      <c r="G6" s="178">
        <f>IFERROR(INDEX(tblConcentrado[RM 1/2/3 DTT-100 S/F],MATCH(RPT_CLAVE*100+ROWS(G$3:G6),tblConcentrado[ID],0)),0)</f>
        <v>0</v>
      </c>
      <c r="H6" s="178">
        <f>IFERROR(INDEX(tblConcentrado[RM 5/6/7/8/9 DTT-100 S],MATCH(RPT_CLAVE*100+ROWS(H$3:H6),tblConcentrado[ID],0)),0)</f>
        <v>0</v>
      </c>
      <c r="I6" s="178">
        <f>IFERROR(INDEX(tblConcentrado[RM 5/6/7/8/9 DTT-100 S/F],MATCH(RPT_CLAVE*100+ROWS(I$3:I6),tblConcentrado[ID],0)),0)</f>
        <v>0</v>
      </c>
      <c r="J6" s="178">
        <f>IFERROR(INDEX(tblConcentrado[ESP.Ant Fe],MATCH(RPT_CLAVE*100+ROWS(J$3:J6),tblConcentrado[ID],0)),0)</f>
        <v>0</v>
      </c>
      <c r="K6" s="178">
        <f>IFERROR(INDEX(tblConcentrado[ESP.N Fe Sol],MATCH(RPT_CLAVE*100+ROWS(K$3:K6),tblConcentrado[ID],0)),0)</f>
        <v>0</v>
      </c>
      <c r="L6" s="178">
        <f>IFERROR(INDEX(tblConcentrado[ESP.Ant FeO],MATCH(RPT_CLAVE*100+ROWS(L$3:L6),tblConcentrado[ID],0)),0)</f>
        <v>0</v>
      </c>
      <c r="M6" s="178">
        <f>IFERROR(INDEX(tblConcentrado[ESP.N FeO],MATCH(RPT_CLAVE*100+ROWS(M$3:M6),tblConcentrado[ID],0)),0)</f>
        <v>0</v>
      </c>
      <c r="N6" s="178">
        <f>N(IFERROR(INDEX(tblConcentrado[Prom. Fe Sol],MATCH(RPT_CLAVE*100+ROWS(N$3:N6),tblConcentrado[ID],0)),0))</f>
        <v>0</v>
      </c>
      <c r="O6" s="178">
        <f>N(IFERROR(INDEX(tblConcentrado[Prom. FeO],MATCH(RPT_CLAVE*100+ROWS(O$3:O6),tblConcentrado[ID],0)),0))</f>
        <v>0</v>
      </c>
      <c r="P6" s="178">
        <f>IFERROR(INDEX(tblConcentrado[H2O (%)],MATCH(RPT_CLAVE*100+ROWS(P$3:P6),tblConcentrado[ID],0)),0)</f>
        <v>0</v>
      </c>
      <c r="Q6" s="178">
        <f>IFERROR(INDEX(tblConcentrado[% Recup.],MATCH(RPT_CLAVE*100+ROWS(Q$3:Q6),tblConcentrado[ID],0)),"")</f>
        <v>0.34776006074411542</v>
      </c>
      <c r="R6" s="178">
        <f>IFERROR(INDEX(tblConcentrado[Ratio],MATCH(RPT_CLAVE*100+ROWS(R$3:R6),tblConcentrado[ID],0)),0)</f>
        <v>2.875545851528384</v>
      </c>
      <c r="S6" s="333">
        <f t="shared" si="0"/>
        <v>78.862275449101787</v>
      </c>
      <c r="T6" s="384">
        <f t="shared" si="1"/>
        <v>0.39766480460266629</v>
      </c>
      <c r="U6" s="267">
        <f t="shared" si="9"/>
        <v>0.27150000000000002</v>
      </c>
      <c r="V6" s="267">
        <f t="shared" si="2"/>
        <v>0.29186250000000002</v>
      </c>
      <c r="W6" s="267">
        <f t="shared" si="3"/>
        <v>0.25113750000000001</v>
      </c>
      <c r="X6" s="267">
        <f t="shared" si="10"/>
        <v>0.27150000000000002</v>
      </c>
      <c r="Y6" s="267">
        <f t="shared" si="4"/>
        <v>0.29186250000000002</v>
      </c>
      <c r="Z6" s="267">
        <f t="shared" si="5"/>
        <v>0.25113750000000001</v>
      </c>
      <c r="AA6" s="267">
        <f t="shared" si="6"/>
        <v>0.2</v>
      </c>
      <c r="AB6" s="267">
        <f t="shared" si="7"/>
        <v>15</v>
      </c>
      <c r="AC6" s="267">
        <f t="shared" si="8"/>
        <v>1.8</v>
      </c>
      <c r="AD6" s="175"/>
      <c r="AG6" s="170"/>
      <c r="AH6" s="196"/>
      <c r="AI6" s="187" t="s">
        <v>35</v>
      </c>
      <c r="AJ6" s="242">
        <f>IFERROR(AJ4/AJ3,0)</f>
        <v>0.62687927107061503</v>
      </c>
      <c r="AK6" s="243">
        <f>IFERROR(AK4/AK3,0)</f>
        <v>0.70594723779759172</v>
      </c>
      <c r="AL6" s="243">
        <f>IFERROR(AL4/AL3,0)</f>
        <v>0.6124597581136344</v>
      </c>
      <c r="AM6" s="244">
        <f>IFERROR(AM4/AM3,0)</f>
        <v>0.64770444117911652</v>
      </c>
      <c r="AN6" s="170"/>
      <c r="AO6" s="170"/>
      <c r="AP6" s="197"/>
      <c r="AQ6" s="170"/>
    </row>
    <row r="7" spans="1:50">
      <c r="A7" s="1362"/>
      <c r="B7" s="179">
        <v>0.54166666666666696</v>
      </c>
      <c r="C7" s="178">
        <f>IFERROR(INDEX(tblConcentrado[Mineral (TMS)],MATCH(RPT_CLAVE*100+ROWS(C$3:C7),tblConcentrado[ID],0)),0)</f>
        <v>1292</v>
      </c>
      <c r="D7" s="178">
        <f>IFERROR(INDEX(tblConcentrado[Concentrado (TMS)],MATCH(RPT_CLAVE*100+ROWS(D$3:D7),tblConcentrado[ID],0)),0)</f>
        <v>787</v>
      </c>
      <c r="E7" s="178">
        <f>IFERROR(INDEX(tblConcentrado[S (%)],MATCH(RPT_CLAVE*100+ROWS(E$3:E7),tblConcentrado[ID],0)),0)</f>
        <v>0.222</v>
      </c>
      <c r="F7" s="178">
        <f>IFERROR(INDEX(tblConcentrado[RM 1/2/3 DTT-100 S],MATCH(RPT_CLAVE*100+ROWS(F$3:F7),tblConcentrado[ID],0)),0)</f>
        <v>0.71299999999999997</v>
      </c>
      <c r="G7" s="178">
        <f>IFERROR(INDEX(tblConcentrado[RM 1/2/3 DTT-100 S/F],MATCH(RPT_CLAVE*100+ROWS(G$3:G7),tblConcentrado[ID],0)),0)</f>
        <v>0.4</v>
      </c>
      <c r="H7" s="178">
        <f>IFERROR(INDEX(tblConcentrado[RM 5/6/7/8/9 DTT-100 S],MATCH(RPT_CLAVE*100+ROWS(H$3:H7),tblConcentrado[ID],0)),0)</f>
        <v>0.71299999999999997</v>
      </c>
      <c r="I7" s="178">
        <f>IFERROR(INDEX(tblConcentrado[RM 5/6/7/8/9 DTT-100 S/F],MATCH(RPT_CLAVE*100+ROWS(I$3:I7),tblConcentrado[ID],0)),0)</f>
        <v>0.4</v>
      </c>
      <c r="J7" s="178">
        <f>IFERROR(INDEX(tblConcentrado[ESP.Ant Fe],MATCH(RPT_CLAVE*100+ROWS(J$3:J7),tblConcentrado[ID],0)),0)</f>
        <v>26</v>
      </c>
      <c r="K7" s="178">
        <f>IFERROR(INDEX(tblConcentrado[ESP.N Fe Sol],MATCH(RPT_CLAVE*100+ROWS(K$3:K7),tblConcentrado[ID],0)),0)</f>
        <v>13.3</v>
      </c>
      <c r="L7" s="178">
        <f>IFERROR(INDEX(tblConcentrado[ESP.Ant FeO],MATCH(RPT_CLAVE*100+ROWS(L$3:L7),tblConcentrado[ID],0)),0)</f>
        <v>2.4</v>
      </c>
      <c r="M7" s="178">
        <f>IFERROR(INDEX(tblConcentrado[ESP.N FeO],MATCH(RPT_CLAVE*100+ROWS(M$3:M7),tblConcentrado[ID],0)),0)</f>
        <v>2</v>
      </c>
      <c r="N7" s="178">
        <f>N(IFERROR(INDEX(tblConcentrado[Prom. Fe Sol],MATCH(RPT_CLAVE*100+ROWS(N$3:N7),tblConcentrado[ID],0)),0))</f>
        <v>18.380000000000003</v>
      </c>
      <c r="O7" s="178">
        <f>N(IFERROR(INDEX(tblConcentrado[Prom. FeO],MATCH(RPT_CLAVE*100+ROWS(O$3:O7),tblConcentrado[ID],0)),0))</f>
        <v>2.16</v>
      </c>
      <c r="P7" s="178">
        <f>IFERROR(INDEX(tblConcentrado[H2O (%)],MATCH(RPT_CLAVE*100+ROWS(P$3:P7),tblConcentrado[ID],0)),0)</f>
        <v>8</v>
      </c>
      <c r="Q7" s="178">
        <f>IFERROR(INDEX(tblConcentrado[% Recup.],MATCH(RPT_CLAVE*100+ROWS(Q$3:Q7),tblConcentrado[ID],0)),"")</f>
        <v>0.60913312693498456</v>
      </c>
      <c r="R7" s="178">
        <f>IFERROR(INDEX(tblConcentrado[Ratio],MATCH(RPT_CLAVE*100+ROWS(R$3:R7),tblConcentrado[ID],0)),0)</f>
        <v>1.6416772554002541</v>
      </c>
      <c r="S7" s="333">
        <f t="shared" si="0"/>
        <v>77.365269461077844</v>
      </c>
      <c r="T7" s="384">
        <f t="shared" si="1"/>
        <v>0.68332358345479993</v>
      </c>
      <c r="U7" s="267">
        <f t="shared" si="9"/>
        <v>0.27150000000000002</v>
      </c>
      <c r="V7" s="267">
        <f t="shared" si="2"/>
        <v>0.29186250000000002</v>
      </c>
      <c r="W7" s="267">
        <f t="shared" si="3"/>
        <v>0.25113750000000001</v>
      </c>
      <c r="X7" s="267">
        <f t="shared" si="10"/>
        <v>0.27150000000000002</v>
      </c>
      <c r="Y7" s="267">
        <f t="shared" si="4"/>
        <v>0.29186250000000002</v>
      </c>
      <c r="Z7" s="267">
        <f t="shared" si="5"/>
        <v>0.25113750000000001</v>
      </c>
      <c r="AA7" s="267">
        <f t="shared" si="6"/>
        <v>0.2</v>
      </c>
      <c r="AB7" s="267">
        <f t="shared" si="7"/>
        <v>15</v>
      </c>
      <c r="AC7" s="267">
        <f t="shared" si="8"/>
        <v>1.8</v>
      </c>
      <c r="AD7" s="175"/>
      <c r="AG7" s="170"/>
      <c r="AH7" s="196"/>
      <c r="AI7" s="170"/>
      <c r="AJ7" s="334">
        <f>+AJ3/$AI$2*100</f>
        <v>82.148203592814369</v>
      </c>
      <c r="AK7" s="334">
        <f>+AK3/$AI$2*100</f>
        <v>81.429640718562879</v>
      </c>
      <c r="AL7" s="334">
        <f>+AL3/$AI$2*100</f>
        <v>86.025449101796397</v>
      </c>
      <c r="AM7" s="170"/>
      <c r="AN7" s="170"/>
      <c r="AO7" s="170"/>
      <c r="AP7" s="197"/>
      <c r="AQ7" s="170"/>
    </row>
    <row r="8" spans="1:50" ht="15.75" thickBot="1">
      <c r="A8" s="1362"/>
      <c r="B8" s="179">
        <v>0.58333333333333304</v>
      </c>
      <c r="C8" s="178">
        <f>IFERROR(INDEX(tblConcentrado[Mineral (TMS)],MATCH(RPT_CLAVE*100+ROWS(C$3:C8),tblConcentrado[ID],0)),0)</f>
        <v>1226</v>
      </c>
      <c r="D8" s="178">
        <f>IFERROR(INDEX(tblConcentrado[Concentrado (TMS)],MATCH(RPT_CLAVE*100+ROWS(D$3:D8),tblConcentrado[ID],0)),0)</f>
        <v>840</v>
      </c>
      <c r="E8" s="178">
        <f>IFERROR(INDEX(tblConcentrado[S (%)],MATCH(RPT_CLAVE*100+ROWS(E$3:E8),tblConcentrado[ID],0)),0)</f>
        <v>0</v>
      </c>
      <c r="F8" s="178">
        <f>IFERROR(INDEX(tblConcentrado[RM 1/2/3 DTT-100 S],MATCH(RPT_CLAVE*100+ROWS(F$3:F8),tblConcentrado[ID],0)),0)</f>
        <v>0</v>
      </c>
      <c r="G8" s="178">
        <f>IFERROR(INDEX(tblConcentrado[RM 1/2/3 DTT-100 S/F],MATCH(RPT_CLAVE*100+ROWS(G$3:G8),tblConcentrado[ID],0)),0)</f>
        <v>0</v>
      </c>
      <c r="H8" s="178">
        <f>IFERROR(INDEX(tblConcentrado[RM 5/6/7/8/9 DTT-100 S],MATCH(RPT_CLAVE*100+ROWS(H$3:H8),tblConcentrado[ID],0)),0)</f>
        <v>0</v>
      </c>
      <c r="I8" s="178">
        <f>IFERROR(INDEX(tblConcentrado[RM 5/6/7/8/9 DTT-100 S/F],MATCH(RPT_CLAVE*100+ROWS(I$3:I8),tblConcentrado[ID],0)),0)</f>
        <v>0</v>
      </c>
      <c r="J8" s="178">
        <f>IFERROR(INDEX(tblConcentrado[ESP.Ant Fe],MATCH(RPT_CLAVE*100+ROWS(J$3:J8),tblConcentrado[ID],0)),0)</f>
        <v>0</v>
      </c>
      <c r="K8" s="178">
        <f>IFERROR(INDEX(tblConcentrado[ESP.N Fe Sol],MATCH(RPT_CLAVE*100+ROWS(K$3:K8),tblConcentrado[ID],0)),0)</f>
        <v>0</v>
      </c>
      <c r="L8" s="178">
        <f>IFERROR(INDEX(tblConcentrado[ESP.Ant FeO],MATCH(RPT_CLAVE*100+ROWS(L$3:L8),tblConcentrado[ID],0)),0)</f>
        <v>0</v>
      </c>
      <c r="M8" s="178">
        <f>IFERROR(INDEX(tblConcentrado[ESP.N FeO],MATCH(RPT_CLAVE*100+ROWS(M$3:M8),tblConcentrado[ID],0)),0)</f>
        <v>0</v>
      </c>
      <c r="N8" s="178">
        <f>N(IFERROR(INDEX(tblConcentrado[Prom. Fe Sol],MATCH(RPT_CLAVE*100+ROWS(N$3:N8),tblConcentrado[ID],0)),0))</f>
        <v>0</v>
      </c>
      <c r="O8" s="178">
        <f>N(IFERROR(INDEX(tblConcentrado[Prom. FeO],MATCH(RPT_CLAVE*100+ROWS(O$3:O8),tblConcentrado[ID],0)),0))</f>
        <v>0</v>
      </c>
      <c r="P8" s="178">
        <f>IFERROR(INDEX(tblConcentrado[H2O (%)],MATCH(RPT_CLAVE*100+ROWS(P$3:P8),tblConcentrado[ID],0)),0)</f>
        <v>0</v>
      </c>
      <c r="Q8" s="178">
        <f>IFERROR(INDEX(tblConcentrado[% Recup.],MATCH(RPT_CLAVE*100+ROWS(Q$3:Q8),tblConcentrado[ID],0)),"")</f>
        <v>0.68515497553017946</v>
      </c>
      <c r="R8" s="178">
        <f>IFERROR(INDEX(tblConcentrado[Ratio],MATCH(RPT_CLAVE*100+ROWS(R$3:R8),tblConcentrado[ID],0)),0)</f>
        <v>1.4595238095238094</v>
      </c>
      <c r="S8" s="333">
        <f t="shared" si="0"/>
        <v>73.41317365269461</v>
      </c>
      <c r="T8" s="384">
        <f t="shared" si="1"/>
        <v>0.72934156302672415</v>
      </c>
      <c r="U8" s="267">
        <f t="shared" si="9"/>
        <v>0.27150000000000002</v>
      </c>
      <c r="V8" s="267">
        <f t="shared" si="2"/>
        <v>0.29186250000000002</v>
      </c>
      <c r="W8" s="267">
        <f t="shared" si="3"/>
        <v>0.25113750000000001</v>
      </c>
      <c r="X8" s="267">
        <f t="shared" si="10"/>
        <v>0.27150000000000002</v>
      </c>
      <c r="Y8" s="267">
        <f t="shared" si="4"/>
        <v>0.29186250000000002</v>
      </c>
      <c r="Z8" s="267">
        <f t="shared" si="5"/>
        <v>0.25113750000000001</v>
      </c>
      <c r="AA8" s="267">
        <f t="shared" si="6"/>
        <v>0.2</v>
      </c>
      <c r="AB8" s="267">
        <f t="shared" si="7"/>
        <v>15</v>
      </c>
      <c r="AC8" s="267">
        <f t="shared" si="8"/>
        <v>1.8</v>
      </c>
      <c r="AD8" s="175"/>
      <c r="AG8" s="170"/>
      <c r="AH8" s="196"/>
      <c r="AI8" s="199" t="s">
        <v>36</v>
      </c>
      <c r="AJ8" s="199" t="s">
        <v>36</v>
      </c>
      <c r="AK8" s="199" t="s">
        <v>36</v>
      </c>
      <c r="AL8" s="199" t="s">
        <v>36</v>
      </c>
      <c r="AM8" s="199" t="s">
        <v>36</v>
      </c>
      <c r="AN8" s="199"/>
      <c r="AO8" s="170"/>
      <c r="AP8" s="197"/>
      <c r="AQ8" s="170"/>
    </row>
    <row r="9" spans="1:50" ht="15.75" thickBot="1">
      <c r="A9" s="1362"/>
      <c r="B9" s="179">
        <v>0.625</v>
      </c>
      <c r="C9" s="178">
        <f>IFERROR(INDEX(tblConcentrado[Mineral (TMS)],MATCH(RPT_CLAVE*100+ROWS(C$3:C9),tblConcentrado[ID],0)),0)</f>
        <v>1327</v>
      </c>
      <c r="D9" s="178">
        <f>IFERROR(INDEX(tblConcentrado[Concentrado (TMS)],MATCH(RPT_CLAVE*100+ROWS(D$3:D9),tblConcentrado[ID],0)),0)</f>
        <v>1078</v>
      </c>
      <c r="E9" s="178">
        <f>IFERROR(INDEX(tblConcentrado[S (%)],MATCH(RPT_CLAVE*100+ROWS(E$3:E9),tblConcentrado[ID],0)),0)</f>
        <v>0.17499999999999999</v>
      </c>
      <c r="F9" s="178">
        <f>IFERROR(INDEX(tblConcentrado[RM 1/2/3 DTT-100 S],MATCH(RPT_CLAVE*100+ROWS(F$3:F9),tblConcentrado[ID],0)),0)</f>
        <v>0.66500000000000004</v>
      </c>
      <c r="G9" s="178">
        <f>IFERROR(INDEX(tblConcentrado[RM 1/2/3 DTT-100 S/F],MATCH(RPT_CLAVE*100+ROWS(G$3:G9),tblConcentrado[ID],0)),0)</f>
        <v>0.4</v>
      </c>
      <c r="H9" s="178">
        <f>IFERROR(INDEX(tblConcentrado[RM 5/6/7/8/9 DTT-100 S],MATCH(RPT_CLAVE*100+ROWS(H$3:H9),tblConcentrado[ID],0)),0)</f>
        <v>0.66500000000000004</v>
      </c>
      <c r="I9" s="178">
        <f>IFERROR(INDEX(tblConcentrado[RM 5/6/7/8/9 DTT-100 S/F],MATCH(RPT_CLAVE*100+ROWS(I$3:I9),tblConcentrado[ID],0)),0)</f>
        <v>0.4</v>
      </c>
      <c r="J9" s="178">
        <f>IFERROR(INDEX(tblConcentrado[ESP.Ant Fe],MATCH(RPT_CLAVE*100+ROWS(J$3:J9),tblConcentrado[ID],0)),0)</f>
        <v>26.5</v>
      </c>
      <c r="K9" s="178">
        <f>IFERROR(INDEX(tblConcentrado[ESP.N Fe Sol],MATCH(RPT_CLAVE*100+ROWS(K$3:K9),tblConcentrado[ID],0)),0)</f>
        <v>14.9</v>
      </c>
      <c r="L9" s="178">
        <f>IFERROR(INDEX(tblConcentrado[ESP.Ant FeO],MATCH(RPT_CLAVE*100+ROWS(L$3:L9),tblConcentrado[ID],0)),0)</f>
        <v>1.9</v>
      </c>
      <c r="M9" s="178">
        <f>IFERROR(INDEX(tblConcentrado[ESP.N FeO],MATCH(RPT_CLAVE*100+ROWS(M$3:M9),tblConcentrado[ID],0)),0)</f>
        <v>1.9</v>
      </c>
      <c r="N9" s="178">
        <f>N(IFERROR(INDEX(tblConcentrado[Prom. Fe Sol],MATCH(RPT_CLAVE*100+ROWS(N$3:N9),tblConcentrado[ID],0)),0))</f>
        <v>19.54</v>
      </c>
      <c r="O9" s="178">
        <f>N(IFERROR(INDEX(tblConcentrado[Prom. FeO],MATCH(RPT_CLAVE*100+ROWS(O$3:O9),tblConcentrado[ID],0)),0))</f>
        <v>1.9</v>
      </c>
      <c r="P9" s="178">
        <f>IFERROR(INDEX(tblConcentrado[H2O (%)],MATCH(RPT_CLAVE*100+ROWS(P$3:P9),tblConcentrado[ID],0)),0)</f>
        <v>8</v>
      </c>
      <c r="Q9" s="178">
        <f>IFERROR(INDEX(tblConcentrado[% Recup.],MATCH(RPT_CLAVE*100+ROWS(Q$3:Q9),tblConcentrado[ID],0)),"")</f>
        <v>0.81235870384325548</v>
      </c>
      <c r="R9" s="178">
        <f>IFERROR(INDEX(tblConcentrado[Ratio],MATCH(RPT_CLAVE*100+ROWS(R$3:R9),tblConcentrado[ID],0)),0)</f>
        <v>1.2309833024118737</v>
      </c>
      <c r="S9" s="333">
        <f t="shared" si="0"/>
        <v>79.461077844311376</v>
      </c>
      <c r="T9" s="384">
        <f t="shared" si="1"/>
        <v>0.93598833921762936</v>
      </c>
      <c r="U9" s="267">
        <f t="shared" si="9"/>
        <v>0.27150000000000002</v>
      </c>
      <c r="V9" s="267">
        <f t="shared" si="2"/>
        <v>0.29186250000000002</v>
      </c>
      <c r="W9" s="267">
        <f t="shared" si="3"/>
        <v>0.25113750000000001</v>
      </c>
      <c r="X9" s="267">
        <f t="shared" si="10"/>
        <v>0.27150000000000002</v>
      </c>
      <c r="Y9" s="267">
        <f t="shared" si="4"/>
        <v>0.29186250000000002</v>
      </c>
      <c r="Z9" s="267">
        <f t="shared" si="5"/>
        <v>0.25113750000000001</v>
      </c>
      <c r="AA9" s="267">
        <f t="shared" si="6"/>
        <v>0.2</v>
      </c>
      <c r="AB9" s="267">
        <f t="shared" si="7"/>
        <v>15</v>
      </c>
      <c r="AC9" s="267">
        <f t="shared" si="8"/>
        <v>1.8</v>
      </c>
      <c r="AD9" s="175"/>
      <c r="AG9" s="170"/>
      <c r="AH9" s="196"/>
      <c r="AI9" s="1364" t="s">
        <v>37</v>
      </c>
      <c r="AJ9" s="1365"/>
      <c r="AK9" s="1365"/>
      <c r="AL9" s="1366"/>
      <c r="AM9" s="199" t="s">
        <v>36</v>
      </c>
      <c r="AN9" s="199"/>
      <c r="AO9" s="170"/>
      <c r="AP9" s="197"/>
      <c r="AQ9" s="170"/>
    </row>
    <row r="10" spans="1:50">
      <c r="A10" s="1362"/>
      <c r="B10" s="179">
        <v>0.66666666666666696</v>
      </c>
      <c r="C10" s="178">
        <f>IFERROR(INDEX(tblConcentrado[Mineral (TMS)],MATCH(RPT_CLAVE*100+ROWS(C$3:C10),tblConcentrado[ID],0)),0)</f>
        <v>1380</v>
      </c>
      <c r="D10" s="178">
        <f>IFERROR(INDEX(tblConcentrado[Concentrado (TMS)],MATCH(RPT_CLAVE*100+ROWS(D$3:D10),tblConcentrado[ID],0)),0)</f>
        <v>988</v>
      </c>
      <c r="E10" s="178">
        <f>IFERROR(INDEX(tblConcentrado[S (%)],MATCH(RPT_CLAVE*100+ROWS(E$3:E10),tblConcentrado[ID],0)),0)</f>
        <v>0</v>
      </c>
      <c r="F10" s="178">
        <f>IFERROR(INDEX(tblConcentrado[RM 1/2/3 DTT-100 S],MATCH(RPT_CLAVE*100+ROWS(F$3:F10),tblConcentrado[ID],0)),0)</f>
        <v>0</v>
      </c>
      <c r="G10" s="178">
        <f>IFERROR(INDEX(tblConcentrado[RM 1/2/3 DTT-100 S/F],MATCH(RPT_CLAVE*100+ROWS(G$3:G10),tblConcentrado[ID],0)),0)</f>
        <v>0</v>
      </c>
      <c r="H10" s="178">
        <f>IFERROR(INDEX(tblConcentrado[RM 5/6/7/8/9 DTT-100 S],MATCH(RPT_CLAVE*100+ROWS(H$3:H10),tblConcentrado[ID],0)),0)</f>
        <v>0</v>
      </c>
      <c r="I10" s="178">
        <f>IFERROR(INDEX(tblConcentrado[RM 5/6/7/8/9 DTT-100 S/F],MATCH(RPT_CLAVE*100+ROWS(I$3:I10),tblConcentrado[ID],0)),0)</f>
        <v>0</v>
      </c>
      <c r="J10" s="178">
        <f>IFERROR(INDEX(tblConcentrado[ESP.Ant Fe],MATCH(RPT_CLAVE*100+ROWS(J$3:J10),tblConcentrado[ID],0)),0)</f>
        <v>0</v>
      </c>
      <c r="K10" s="178">
        <f>IFERROR(INDEX(tblConcentrado[ESP.N Fe Sol],MATCH(RPT_CLAVE*100+ROWS(K$3:K10),tblConcentrado[ID],0)),0)</f>
        <v>0</v>
      </c>
      <c r="L10" s="178">
        <f>IFERROR(INDEX(tblConcentrado[ESP.Ant FeO],MATCH(RPT_CLAVE*100+ROWS(L$3:L10),tblConcentrado[ID],0)),0)</f>
        <v>0</v>
      </c>
      <c r="M10" s="178">
        <f>IFERROR(INDEX(tblConcentrado[ESP.N FeO],MATCH(RPT_CLAVE*100+ROWS(M$3:M10),tblConcentrado[ID],0)),0)</f>
        <v>0</v>
      </c>
      <c r="N10" s="178">
        <f>N(IFERROR(INDEX(tblConcentrado[Prom. Fe Sol],MATCH(RPT_CLAVE*100+ROWS(N$3:N10),tblConcentrado[ID],0)),0))</f>
        <v>0</v>
      </c>
      <c r="O10" s="178">
        <f>N(IFERROR(INDEX(tblConcentrado[Prom. FeO],MATCH(RPT_CLAVE*100+ROWS(O$3:O10),tblConcentrado[ID],0)),0))</f>
        <v>0</v>
      </c>
      <c r="P10" s="178">
        <f>IFERROR(INDEX(tblConcentrado[H2O (%)],MATCH(RPT_CLAVE*100+ROWS(P$3:P10),tblConcentrado[ID],0)),0)</f>
        <v>0</v>
      </c>
      <c r="Q10" s="178">
        <f>IFERROR(INDEX(tblConcentrado[% Recup.],MATCH(RPT_CLAVE*100+ROWS(Q$3:Q10),tblConcentrado[ID],0)),"")</f>
        <v>0.71594202898550729</v>
      </c>
      <c r="R10" s="178">
        <f>IFERROR(INDEX(tblConcentrado[Ratio],MATCH(RPT_CLAVE*100+ROWS(R$3:R10),tblConcentrado[ID],0)),0)</f>
        <v>1.3967611336032388</v>
      </c>
      <c r="S10" s="333">
        <f t="shared" si="0"/>
        <v>82.634730538922156</v>
      </c>
      <c r="T10" s="384">
        <f t="shared" si="1"/>
        <v>0.8578446003219089</v>
      </c>
      <c r="U10" s="267">
        <f t="shared" si="9"/>
        <v>0.27150000000000002</v>
      </c>
      <c r="V10" s="267">
        <f t="shared" si="2"/>
        <v>0.29186250000000002</v>
      </c>
      <c r="W10" s="267">
        <f t="shared" si="3"/>
        <v>0.25113750000000001</v>
      </c>
      <c r="X10" s="267">
        <f t="shared" si="10"/>
        <v>0.27150000000000002</v>
      </c>
      <c r="Y10" s="267">
        <f t="shared" si="4"/>
        <v>0.29186250000000002</v>
      </c>
      <c r="Z10" s="267">
        <f t="shared" si="5"/>
        <v>0.25113750000000001</v>
      </c>
      <c r="AA10" s="267">
        <f t="shared" si="6"/>
        <v>0.2</v>
      </c>
      <c r="AB10" s="267">
        <f t="shared" si="7"/>
        <v>15</v>
      </c>
      <c r="AC10" s="267">
        <f t="shared" si="8"/>
        <v>1.8</v>
      </c>
      <c r="AD10" s="175"/>
      <c r="AG10" s="170"/>
      <c r="AH10" s="196"/>
      <c r="AI10" s="231" t="s">
        <v>38</v>
      </c>
      <c r="AJ10" s="254"/>
      <c r="AK10" s="254"/>
      <c r="AL10" s="255"/>
      <c r="AM10" s="199" t="s">
        <v>36</v>
      </c>
      <c r="AN10" s="199"/>
      <c r="AO10" s="170"/>
      <c r="AP10" s="197"/>
      <c r="AQ10" s="170"/>
    </row>
    <row r="11" spans="1:50">
      <c r="A11" s="1362"/>
      <c r="B11" s="179">
        <v>0.70833333333333304</v>
      </c>
      <c r="C11" s="178">
        <f>IFERROR(INDEX(tblConcentrado[Mineral (TMS)],MATCH(RPT_CLAVE*100+ROWS(C$3:C11),tblConcentrado[ID],0)),0)</f>
        <v>1353</v>
      </c>
      <c r="D11" s="178">
        <f>IFERROR(INDEX(tblConcentrado[Concentrado (TMS)],MATCH(RPT_CLAVE*100+ROWS(D$3:D11),tblConcentrado[ID],0)),0)</f>
        <v>1151</v>
      </c>
      <c r="E11" s="178">
        <f>IFERROR(INDEX(tblConcentrado[S (%)],MATCH(RPT_CLAVE*100+ROWS(E$3:E11),tblConcentrado[ID],0)),0)</f>
        <v>0.19</v>
      </c>
      <c r="F11" s="178">
        <f>IFERROR(INDEX(tblConcentrado[RM 1/2/3 DTT-100 S],MATCH(RPT_CLAVE*100+ROWS(F$3:F11),tblConcentrado[ID],0)),0)</f>
        <v>0.59699999999999998</v>
      </c>
      <c r="G11" s="178">
        <f>IFERROR(INDEX(tblConcentrado[RM 1/2/3 DTT-100 S/F],MATCH(RPT_CLAVE*100+ROWS(G$3:G11),tblConcentrado[ID],0)),0)</f>
        <v>0.36</v>
      </c>
      <c r="H11" s="178">
        <f>IFERROR(INDEX(tblConcentrado[RM 5/6/7/8/9 DTT-100 S],MATCH(RPT_CLAVE*100+ROWS(H$3:H11),tblConcentrado[ID],0)),0)</f>
        <v>0.59699999999999998</v>
      </c>
      <c r="I11" s="178">
        <f>IFERROR(INDEX(tblConcentrado[RM 5/6/7/8/9 DTT-100 S/F],MATCH(RPT_CLAVE*100+ROWS(I$3:I11),tblConcentrado[ID],0)),0)</f>
        <v>0.36</v>
      </c>
      <c r="J11" s="178">
        <f>IFERROR(INDEX(tblConcentrado[ESP.Ant Fe],MATCH(RPT_CLAVE*100+ROWS(J$3:J11),tblConcentrado[ID],0)),0)</f>
        <v>24.2</v>
      </c>
      <c r="K11" s="178">
        <f>IFERROR(INDEX(tblConcentrado[ESP.N Fe Sol],MATCH(RPT_CLAVE*100+ROWS(K$3:K11),tblConcentrado[ID],0)),0)</f>
        <v>13.7</v>
      </c>
      <c r="L11" s="178">
        <f>IFERROR(INDEX(tblConcentrado[ESP.Ant FeO],MATCH(RPT_CLAVE*100+ROWS(L$3:L11),tblConcentrado[ID],0)),0)</f>
        <v>2.2000000000000002</v>
      </c>
      <c r="M11" s="178">
        <f>IFERROR(INDEX(tblConcentrado[ESP.N FeO],MATCH(RPT_CLAVE*100+ROWS(M$3:M11),tblConcentrado[ID],0)),0)</f>
        <v>2</v>
      </c>
      <c r="N11" s="178">
        <f>N(IFERROR(INDEX(tblConcentrado[Prom. Fe Sol],MATCH(RPT_CLAVE*100+ROWS(N$3:N11),tblConcentrado[ID],0)),0))</f>
        <v>17.899999999999999</v>
      </c>
      <c r="O11" s="178">
        <f>N(IFERROR(INDEX(tblConcentrado[Prom. FeO],MATCH(RPT_CLAVE*100+ROWS(O$3:O11),tblConcentrado[ID],0)),0))</f>
        <v>2.08</v>
      </c>
      <c r="P11" s="178">
        <f>IFERROR(INDEX(tblConcentrado[H2O (%)],MATCH(RPT_CLAVE*100+ROWS(P$3:P11),tblConcentrado[ID],0)),0)</f>
        <v>8.4</v>
      </c>
      <c r="Q11" s="178">
        <f>IFERROR(INDEX(tblConcentrado[% Recup.],MATCH(RPT_CLAVE*100+ROWS(Q$3:Q11),tblConcentrado[ID],0)),"")</f>
        <v>0.85070214338507022</v>
      </c>
      <c r="R11" s="178">
        <f>IFERROR(INDEX(tblConcentrado[Ratio],MATCH(RPT_CLAVE*100+ROWS(R$3:R11),tblConcentrado[ID],0)),0)</f>
        <v>1.1754995655951346</v>
      </c>
      <c r="S11" s="333">
        <f t="shared" si="0"/>
        <v>81.017964071856284</v>
      </c>
      <c r="T11" s="384">
        <f t="shared" si="1"/>
        <v>0.99937159409971366</v>
      </c>
      <c r="U11" s="267">
        <f t="shared" si="9"/>
        <v>0.27150000000000002</v>
      </c>
      <c r="V11" s="267">
        <f t="shared" si="2"/>
        <v>0.29186250000000002</v>
      </c>
      <c r="W11" s="267">
        <f t="shared" si="3"/>
        <v>0.25113750000000001</v>
      </c>
      <c r="X11" s="267">
        <f t="shared" si="10"/>
        <v>0.27150000000000002</v>
      </c>
      <c r="Y11" s="267">
        <f t="shared" si="4"/>
        <v>0.29186250000000002</v>
      </c>
      <c r="Z11" s="267">
        <f t="shared" si="5"/>
        <v>0.25113750000000001</v>
      </c>
      <c r="AA11" s="267">
        <f t="shared" si="6"/>
        <v>0.2</v>
      </c>
      <c r="AB11" s="267">
        <f t="shared" si="7"/>
        <v>15</v>
      </c>
      <c r="AC11" s="267">
        <f t="shared" si="8"/>
        <v>1.8</v>
      </c>
      <c r="AD11" s="175"/>
      <c r="AG11" s="170"/>
      <c r="AH11" s="196"/>
      <c r="AI11" s="231" t="s">
        <v>39</v>
      </c>
      <c r="AJ11" s="252"/>
      <c r="AK11" s="252"/>
      <c r="AL11" s="253"/>
      <c r="AM11" s="199" t="s">
        <v>36</v>
      </c>
      <c r="AN11" s="199"/>
      <c r="AO11" s="170"/>
      <c r="AP11" s="197"/>
      <c r="AQ11" s="170"/>
    </row>
    <row r="12" spans="1:50" ht="15.75" thickBot="1">
      <c r="A12" s="1362"/>
      <c r="B12" s="179">
        <v>0.75</v>
      </c>
      <c r="C12" s="178">
        <f>IFERROR(INDEX(tblConcentrado[Mineral (TMS)],MATCH(RPT_CLAVE*100+ROWS(C$3:C12),tblConcentrado[ID],0)),0)</f>
        <v>1397</v>
      </c>
      <c r="D12" s="178">
        <f>IFERROR(INDEX(tblConcentrado[Concentrado (TMS)],MATCH(RPT_CLAVE*100+ROWS(D$3:D12),tblConcentrado[ID],0)),0)</f>
        <v>1194</v>
      </c>
      <c r="E12" s="178">
        <f>IFERROR(INDEX(tblConcentrado[S (%)],MATCH(RPT_CLAVE*100+ROWS(E$3:E12),tblConcentrado[ID],0)),0)</f>
        <v>0</v>
      </c>
      <c r="F12" s="178">
        <f>IFERROR(INDEX(tblConcentrado[RM 1/2/3 DTT-100 S],MATCH(RPT_CLAVE*100+ROWS(F$3:F12),tblConcentrado[ID],0)),0)</f>
        <v>0</v>
      </c>
      <c r="G12" s="178">
        <f>IFERROR(INDEX(tblConcentrado[RM 1/2/3 DTT-100 S/F],MATCH(RPT_CLAVE*100+ROWS(G$3:G12),tblConcentrado[ID],0)),0)</f>
        <v>0</v>
      </c>
      <c r="H12" s="178">
        <f>IFERROR(INDEX(tblConcentrado[RM 5/6/7/8/9 DTT-100 S],MATCH(RPT_CLAVE*100+ROWS(H$3:H12),tblConcentrado[ID],0)),0)</f>
        <v>0</v>
      </c>
      <c r="I12" s="178">
        <f>IFERROR(INDEX(tblConcentrado[RM 5/6/7/8/9 DTT-100 S/F],MATCH(RPT_CLAVE*100+ROWS(I$3:I12),tblConcentrado[ID],0)),0)</f>
        <v>0</v>
      </c>
      <c r="J12" s="178">
        <f>IFERROR(INDEX(tblConcentrado[ESP.Ant Fe],MATCH(RPT_CLAVE*100+ROWS(J$3:J12),tblConcentrado[ID],0)),0)</f>
        <v>0</v>
      </c>
      <c r="K12" s="178">
        <f>IFERROR(INDEX(tblConcentrado[ESP.N Fe Sol],MATCH(RPT_CLAVE*100+ROWS(K$3:K12),tblConcentrado[ID],0)),0)</f>
        <v>0</v>
      </c>
      <c r="L12" s="178">
        <f>IFERROR(INDEX(tblConcentrado[ESP.Ant FeO],MATCH(RPT_CLAVE*100+ROWS(L$3:L12),tblConcentrado[ID],0)),0)</f>
        <v>0</v>
      </c>
      <c r="M12" s="178">
        <f>IFERROR(INDEX(tblConcentrado[ESP.N FeO],MATCH(RPT_CLAVE*100+ROWS(M$3:M12),tblConcentrado[ID],0)),0)</f>
        <v>0</v>
      </c>
      <c r="N12" s="178">
        <f>N(IFERROR(INDEX(tblConcentrado[Prom. Fe Sol],MATCH(RPT_CLAVE*100+ROWS(N$3:N12),tblConcentrado[ID],0)),0))</f>
        <v>0</v>
      </c>
      <c r="O12" s="178">
        <f>N(IFERROR(INDEX(tblConcentrado[Prom. FeO],MATCH(RPT_CLAVE*100+ROWS(O$3:O12),tblConcentrado[ID],0)),0))</f>
        <v>0</v>
      </c>
      <c r="P12" s="178">
        <f>IFERROR(INDEX(tblConcentrado[H2O (%)],MATCH(RPT_CLAVE*100+ROWS(P$3:P12),tblConcentrado[ID],0)),0)</f>
        <v>0</v>
      </c>
      <c r="Q12" s="178">
        <f>IFERROR(INDEX(tblConcentrado[% Recup.],MATCH(RPT_CLAVE*100+ROWS(Q$3:Q12),tblConcentrado[ID],0)),"")</f>
        <v>0.85468861846814603</v>
      </c>
      <c r="R12" s="178">
        <f>IFERROR(INDEX(tblConcentrado[Ratio],MATCH(RPT_CLAVE*100+ROWS(R$3:R12),tblConcentrado[ID],0)),0)</f>
        <v>1.1700167504187604</v>
      </c>
      <c r="S12" s="333">
        <f t="shared" si="0"/>
        <v>83.65269461077844</v>
      </c>
      <c r="T12" s="384">
        <f t="shared" si="1"/>
        <v>1.0367069360165579</v>
      </c>
      <c r="U12" s="267">
        <f t="shared" si="9"/>
        <v>0.27150000000000002</v>
      </c>
      <c r="V12" s="267">
        <f t="shared" si="2"/>
        <v>0.29186250000000002</v>
      </c>
      <c r="W12" s="267">
        <f t="shared" si="3"/>
        <v>0.25113750000000001</v>
      </c>
      <c r="X12" s="267">
        <f t="shared" si="10"/>
        <v>0.27150000000000002</v>
      </c>
      <c r="Y12" s="267">
        <f t="shared" si="4"/>
        <v>0.29186250000000002</v>
      </c>
      <c r="Z12" s="267">
        <f t="shared" si="5"/>
        <v>0.25113750000000001</v>
      </c>
      <c r="AA12" s="267">
        <f t="shared" si="6"/>
        <v>0.2</v>
      </c>
      <c r="AB12" s="267">
        <f t="shared" si="7"/>
        <v>15</v>
      </c>
      <c r="AC12" s="267">
        <f t="shared" si="8"/>
        <v>1.8</v>
      </c>
      <c r="AD12" s="175"/>
      <c r="AG12" s="170"/>
      <c r="AH12" s="196"/>
      <c r="AI12" s="232" t="s">
        <v>40</v>
      </c>
      <c r="AJ12" s="233"/>
      <c r="AK12" s="234"/>
      <c r="AL12" s="235"/>
      <c r="AM12" s="199" t="s">
        <v>36</v>
      </c>
      <c r="AN12" s="199"/>
      <c r="AO12" s="170"/>
      <c r="AP12" s="197"/>
      <c r="AQ12" s="170"/>
    </row>
    <row r="13" spans="1:50" ht="15.75" thickBot="1">
      <c r="A13" s="1362"/>
      <c r="B13" s="179">
        <v>0.79166666666666696</v>
      </c>
      <c r="C13" s="178">
        <f>IFERROR(INDEX(tblConcentrado[Mineral (TMS)],MATCH(RPT_CLAVE*100+ROWS(C$3:C13),tblConcentrado[ID],0)),0)</f>
        <v>1412</v>
      </c>
      <c r="D13" s="178">
        <f>IFERROR(INDEX(tblConcentrado[Concentrado (TMS)],MATCH(RPT_CLAVE*100+ROWS(D$3:D13),tblConcentrado[ID],0)),0)</f>
        <v>1001</v>
      </c>
      <c r="E13" s="178">
        <f>IFERROR(INDEX(tblConcentrado[S (%)],MATCH(RPT_CLAVE*100+ROWS(E$3:E13),tblConcentrado[ID],0)),0)</f>
        <v>0.17899999999999999</v>
      </c>
      <c r="F13" s="178">
        <f>IFERROR(INDEX(tblConcentrado[RM 1/2/3 DTT-100 S],MATCH(RPT_CLAVE*100+ROWS(F$3:F13),tblConcentrado[ID],0)),0)</f>
        <v>0.62</v>
      </c>
      <c r="G13" s="178">
        <f>IFERROR(INDEX(tblConcentrado[RM 1/2/3 DTT-100 S/F],MATCH(RPT_CLAVE*100+ROWS(G$3:G13),tblConcentrado[ID],0)),0)</f>
        <v>0.4</v>
      </c>
      <c r="H13" s="178">
        <f>IFERROR(INDEX(tblConcentrado[RM 5/6/7/8/9 DTT-100 S],MATCH(RPT_CLAVE*100+ROWS(H$3:H13),tblConcentrado[ID],0)),0)</f>
        <v>0.62</v>
      </c>
      <c r="I13" s="178">
        <f>IFERROR(INDEX(tblConcentrado[RM 5/6/7/8/9 DTT-100 S/F],MATCH(RPT_CLAVE*100+ROWS(I$3:I13),tblConcentrado[ID],0)),0)</f>
        <v>0.4</v>
      </c>
      <c r="J13" s="178">
        <f>IFERROR(INDEX(tblConcentrado[ESP.Ant Fe],MATCH(RPT_CLAVE*100+ROWS(J$3:J13),tblConcentrado[ID],0)),0)</f>
        <v>25</v>
      </c>
      <c r="K13" s="178">
        <f>IFERROR(INDEX(tblConcentrado[ESP.N Fe Sol],MATCH(RPT_CLAVE*100+ROWS(K$3:K13),tblConcentrado[ID],0)),0)</f>
        <v>14.3</v>
      </c>
      <c r="L13" s="178">
        <f>IFERROR(INDEX(tblConcentrado[ESP.Ant FeO],MATCH(RPT_CLAVE*100+ROWS(L$3:L13),tblConcentrado[ID],0)),0)</f>
        <v>2.6</v>
      </c>
      <c r="M13" s="178">
        <f>IFERROR(INDEX(tblConcentrado[ESP.N FeO],MATCH(RPT_CLAVE*100+ROWS(M$3:M13),tblConcentrado[ID],0)),0)</f>
        <v>1.9</v>
      </c>
      <c r="N13" s="178">
        <f>N(IFERROR(INDEX(tblConcentrado[Prom. Fe Sol],MATCH(RPT_CLAVE*100+ROWS(N$3:N13),tblConcentrado[ID],0)),0))</f>
        <v>18.579999999999998</v>
      </c>
      <c r="O13" s="178">
        <f>N(IFERROR(INDEX(tblConcentrado[Prom. FeO],MATCH(RPT_CLAVE*100+ROWS(O$3:O13),tblConcentrado[ID],0)),0))</f>
        <v>2.1799999999999997</v>
      </c>
      <c r="P13" s="178">
        <f>IFERROR(INDEX(tblConcentrado[H2O (%)],MATCH(RPT_CLAVE*100+ROWS(P$3:P13),tblConcentrado[ID],0)),0)</f>
        <v>8.8000000000000007</v>
      </c>
      <c r="Q13" s="178">
        <f>IFERROR(INDEX(tblConcentrado[% Recup.],MATCH(RPT_CLAVE*100+ROWS(Q$3:Q13),tblConcentrado[ID],0)),"")</f>
        <v>0.70892351274787535</v>
      </c>
      <c r="R13" s="178">
        <f>IFERROR(INDEX(tblConcentrado[Ratio],MATCH(RPT_CLAVE*100+ROWS(R$3:R13),tblConcentrado[ID],0)),0)</f>
        <v>1.4105894105894106</v>
      </c>
      <c r="S13" s="333">
        <f t="shared" si="0"/>
        <v>84.550898203592823</v>
      </c>
      <c r="T13" s="384">
        <f t="shared" si="1"/>
        <v>0.86913202927351296</v>
      </c>
      <c r="U13" s="267">
        <f t="shared" si="9"/>
        <v>0.27150000000000002</v>
      </c>
      <c r="V13" s="267">
        <f t="shared" si="2"/>
        <v>0.29186250000000002</v>
      </c>
      <c r="W13" s="267">
        <f t="shared" si="3"/>
        <v>0.25113750000000001</v>
      </c>
      <c r="X13" s="267">
        <f t="shared" si="10"/>
        <v>0.27150000000000002</v>
      </c>
      <c r="Y13" s="267">
        <f t="shared" si="4"/>
        <v>0.29186250000000002</v>
      </c>
      <c r="Z13" s="267">
        <f t="shared" si="5"/>
        <v>0.25113750000000001</v>
      </c>
      <c r="AA13" s="267">
        <f t="shared" si="6"/>
        <v>0.2</v>
      </c>
      <c r="AB13" s="267">
        <f t="shared" si="7"/>
        <v>15</v>
      </c>
      <c r="AC13" s="267">
        <f t="shared" si="8"/>
        <v>1.8</v>
      </c>
      <c r="AD13" s="175"/>
      <c r="AG13" s="170"/>
      <c r="AH13" s="196"/>
      <c r="AI13" s="199" t="s">
        <v>36</v>
      </c>
      <c r="AJ13" s="199"/>
      <c r="AK13" s="199" t="s">
        <v>36</v>
      </c>
      <c r="AL13" s="199" t="s">
        <v>36</v>
      </c>
      <c r="AM13" s="199" t="s">
        <v>36</v>
      </c>
      <c r="AN13" s="199"/>
      <c r="AO13" s="170"/>
      <c r="AP13" s="197"/>
      <c r="AQ13" s="170"/>
    </row>
    <row r="14" spans="1:50" ht="15.75" thickBot="1">
      <c r="A14" s="1362"/>
      <c r="B14" s="179">
        <v>0.83333333333333304</v>
      </c>
      <c r="C14" s="178">
        <f>IFERROR(INDEX(tblConcentrado[Mineral (TMS)],MATCH(RPT_CLAVE*100+ROWS(C$3:C14),tblConcentrado[ID],0)),0)</f>
        <v>1399</v>
      </c>
      <c r="D14" s="178">
        <f>IFERROR(INDEX(tblConcentrado[Concentrado (TMS)],MATCH(RPT_CLAVE*100+ROWS(D$3:D14),tblConcentrado[ID],0)),0)</f>
        <v>464</v>
      </c>
      <c r="E14" s="178">
        <f>IFERROR(INDEX(tblConcentrado[S (%)],MATCH(RPT_CLAVE*100+ROWS(E$3:E14),tblConcentrado[ID],0)),0)</f>
        <v>0</v>
      </c>
      <c r="F14" s="178">
        <f>IFERROR(INDEX(tblConcentrado[RM 1/2/3 DTT-100 S],MATCH(RPT_CLAVE*100+ROWS(F$3:F14),tblConcentrado[ID],0)),0)</f>
        <v>0</v>
      </c>
      <c r="G14" s="178">
        <f>IFERROR(INDEX(tblConcentrado[RM 1/2/3 DTT-100 S/F],MATCH(RPT_CLAVE*100+ROWS(G$3:G14),tblConcentrado[ID],0)),0)</f>
        <v>0</v>
      </c>
      <c r="H14" s="178">
        <f>IFERROR(INDEX(tblConcentrado[RM 5/6/7/8/9 DTT-100 S],MATCH(RPT_CLAVE*100+ROWS(H$3:H14),tblConcentrado[ID],0)),0)</f>
        <v>0</v>
      </c>
      <c r="I14" s="178">
        <f>IFERROR(INDEX(tblConcentrado[RM 5/6/7/8/9 DTT-100 S/F],MATCH(RPT_CLAVE*100+ROWS(I$3:I14),tblConcentrado[ID],0)),0)</f>
        <v>0</v>
      </c>
      <c r="J14" s="178">
        <f>IFERROR(INDEX(tblConcentrado[ESP.Ant Fe],MATCH(RPT_CLAVE*100+ROWS(J$3:J14),tblConcentrado[ID],0)),0)</f>
        <v>0</v>
      </c>
      <c r="K14" s="178">
        <f>IFERROR(INDEX(tblConcentrado[ESP.N Fe Sol],MATCH(RPT_CLAVE*100+ROWS(K$3:K14),tblConcentrado[ID],0)),0)</f>
        <v>0</v>
      </c>
      <c r="L14" s="178">
        <f>IFERROR(INDEX(tblConcentrado[ESP.Ant FeO],MATCH(RPT_CLAVE*100+ROWS(L$3:L14),tblConcentrado[ID],0)),0)</f>
        <v>0</v>
      </c>
      <c r="M14" s="178">
        <f>IFERROR(INDEX(tblConcentrado[ESP.N FeO],MATCH(RPT_CLAVE*100+ROWS(M$3:M14),tblConcentrado[ID],0)),0)</f>
        <v>0</v>
      </c>
      <c r="N14" s="178">
        <f>N(IFERROR(INDEX(tblConcentrado[Prom. Fe Sol],MATCH(RPT_CLAVE*100+ROWS(N$3:N14),tblConcentrado[ID],0)),0))</f>
        <v>0</v>
      </c>
      <c r="O14" s="178">
        <f>N(IFERROR(INDEX(tblConcentrado[Prom. FeO],MATCH(RPT_CLAVE*100+ROWS(O$3:O14),tblConcentrado[ID],0)),0))</f>
        <v>0</v>
      </c>
      <c r="P14" s="178">
        <f>IFERROR(INDEX(tblConcentrado[H2O (%)],MATCH(RPT_CLAVE*100+ROWS(P$3:P14),tblConcentrado[ID],0)),0)</f>
        <v>0</v>
      </c>
      <c r="Q14" s="178">
        <f>IFERROR(INDEX(tblConcentrado[% Recup.],MATCH(RPT_CLAVE*100+ROWS(Q$3:Q14),tblConcentrado[ID],0)),"")</f>
        <v>0.33166547533952823</v>
      </c>
      <c r="R14" s="178">
        <f>IFERROR(INDEX(tblConcentrado[Ratio],MATCH(RPT_CLAVE*100+ROWS(R$3:R14),tblConcentrado[ID],0)),0)</f>
        <v>3.0150862068965516</v>
      </c>
      <c r="S14" s="333">
        <f t="shared" si="0"/>
        <v>83.772455089820369</v>
      </c>
      <c r="T14" s="384">
        <f t="shared" si="1"/>
        <v>0.40287438719571428</v>
      </c>
      <c r="U14" s="267">
        <f t="shared" si="9"/>
        <v>0.27150000000000002</v>
      </c>
      <c r="V14" s="267">
        <f t="shared" si="2"/>
        <v>0.29186250000000002</v>
      </c>
      <c r="W14" s="267">
        <f t="shared" si="3"/>
        <v>0.25113750000000001</v>
      </c>
      <c r="X14" s="267">
        <f t="shared" si="10"/>
        <v>0.27150000000000002</v>
      </c>
      <c r="Y14" s="267">
        <f t="shared" si="4"/>
        <v>0.29186250000000002</v>
      </c>
      <c r="Z14" s="267">
        <f t="shared" si="5"/>
        <v>0.25113750000000001</v>
      </c>
      <c r="AA14" s="267">
        <f t="shared" si="6"/>
        <v>0.2</v>
      </c>
      <c r="AB14" s="267">
        <f t="shared" si="7"/>
        <v>15</v>
      </c>
      <c r="AC14" s="267">
        <f t="shared" si="8"/>
        <v>1.8</v>
      </c>
      <c r="AD14" s="175"/>
      <c r="AG14" s="170"/>
      <c r="AH14" s="196"/>
      <c r="AI14" s="1367" t="s">
        <v>41</v>
      </c>
      <c r="AJ14" s="1368"/>
      <c r="AK14" s="1369"/>
      <c r="AL14" s="199" t="s">
        <v>36</v>
      </c>
      <c r="AM14" s="199" t="s">
        <v>36</v>
      </c>
      <c r="AN14" s="199"/>
      <c r="AO14" s="170"/>
      <c r="AP14" s="197"/>
      <c r="AQ14" s="170"/>
    </row>
    <row r="15" spans="1:50">
      <c r="A15" s="1362"/>
      <c r="B15" s="179">
        <v>0.875</v>
      </c>
      <c r="C15" s="178">
        <f>IFERROR(INDEX(tblConcentrado[Mineral (TMS)],MATCH(RPT_CLAVE*100+ROWS(C$3:C15),tblConcentrado[ID],0)),0)</f>
        <v>1390</v>
      </c>
      <c r="D15" s="178">
        <f>IFERROR(INDEX(tblConcentrado[Concentrado (TMS)],MATCH(RPT_CLAVE*100+ROWS(D$3:D15),tblConcentrado[ID],0)),0)</f>
        <v>1065</v>
      </c>
      <c r="E15" s="178">
        <f>IFERROR(INDEX(tblConcentrado[S (%)],MATCH(RPT_CLAVE*100+ROWS(E$3:E15),tblConcentrado[ID],0)),0)</f>
        <v>0.16700000000000001</v>
      </c>
      <c r="F15" s="178">
        <f>IFERROR(INDEX(tblConcentrado[RM 1/2/3 DTT-100 S],MATCH(RPT_CLAVE*100+ROWS(F$3:F15),tblConcentrado[ID],0)),0)</f>
        <v>0.56499999999999995</v>
      </c>
      <c r="G15" s="178">
        <f>IFERROR(INDEX(tblConcentrado[RM 1/2/3 DTT-100 S/F],MATCH(RPT_CLAVE*100+ROWS(G$3:G15),tblConcentrado[ID],0)),0)</f>
        <v>0.37</v>
      </c>
      <c r="H15" s="178">
        <f>IFERROR(INDEX(tblConcentrado[RM 5/6/7/8/9 DTT-100 S],MATCH(RPT_CLAVE*100+ROWS(H$3:H15),tblConcentrado[ID],0)),0)</f>
        <v>0.56499999999999995</v>
      </c>
      <c r="I15" s="178">
        <f>IFERROR(INDEX(tblConcentrado[RM 5/6/7/8/9 DTT-100 S/F],MATCH(RPT_CLAVE*100+ROWS(I$3:I15),tblConcentrado[ID],0)),0)</f>
        <v>0.37</v>
      </c>
      <c r="J15" s="178">
        <f>IFERROR(INDEX(tblConcentrado[ESP.Ant Fe],MATCH(RPT_CLAVE*100+ROWS(J$3:J15),tblConcentrado[ID],0)),0)</f>
        <v>23</v>
      </c>
      <c r="K15" s="178">
        <f>IFERROR(INDEX(tblConcentrado[ESP.N Fe Sol],MATCH(RPT_CLAVE*100+ROWS(K$3:K15),tblConcentrado[ID],0)),0)</f>
        <v>15.5</v>
      </c>
      <c r="L15" s="178">
        <f>IFERROR(INDEX(tblConcentrado[ESP.Ant FeO],MATCH(RPT_CLAVE*100+ROWS(L$3:L15),tblConcentrado[ID],0)),0)</f>
        <v>2.7</v>
      </c>
      <c r="M15" s="178">
        <f>IFERROR(INDEX(tblConcentrado[ESP.N FeO],MATCH(RPT_CLAVE*100+ROWS(M$3:M15),tblConcentrado[ID],0)),0)</f>
        <v>2.6</v>
      </c>
      <c r="N15" s="178">
        <f>N(IFERROR(INDEX(tblConcentrado[Prom. Fe Sol],MATCH(RPT_CLAVE*100+ROWS(N$3:N15),tblConcentrado[ID],0)),0))</f>
        <v>18.5</v>
      </c>
      <c r="O15" s="178">
        <f>N(IFERROR(INDEX(tblConcentrado[Prom. FeO],MATCH(RPT_CLAVE*100+ROWS(O$3:O15),tblConcentrado[ID],0)),0))</f>
        <v>2.64</v>
      </c>
      <c r="P15" s="178">
        <f>IFERROR(INDEX(tblConcentrado[H2O (%)],MATCH(RPT_CLAVE*100+ROWS(P$3:P15),tblConcentrado[ID],0)),0)</f>
        <v>8.6</v>
      </c>
      <c r="Q15" s="178">
        <f>IFERROR(INDEX(tblConcentrado[% Recup.],MATCH(RPT_CLAVE*100+ROWS(Q$3:Q15),tblConcentrado[ID],0)),"")</f>
        <v>0.76618705035971224</v>
      </c>
      <c r="R15" s="178">
        <f>IFERROR(INDEX(tblConcentrado[Ratio],MATCH(RPT_CLAVE*100+ROWS(R$3:R15),tblConcentrado[ID],0)),0)</f>
        <v>1.3051643192488263</v>
      </c>
      <c r="S15" s="333">
        <f t="shared" si="0"/>
        <v>83.233532934131745</v>
      </c>
      <c r="T15" s="384">
        <f t="shared" si="1"/>
        <v>0.9247009102660253</v>
      </c>
      <c r="U15" s="267">
        <f t="shared" si="9"/>
        <v>0.27150000000000002</v>
      </c>
      <c r="V15" s="267">
        <f t="shared" si="2"/>
        <v>0.29186250000000002</v>
      </c>
      <c r="W15" s="267">
        <f t="shared" si="3"/>
        <v>0.25113750000000001</v>
      </c>
      <c r="X15" s="267">
        <f t="shared" si="10"/>
        <v>0.27150000000000002</v>
      </c>
      <c r="Y15" s="267">
        <f t="shared" si="4"/>
        <v>0.29186250000000002</v>
      </c>
      <c r="Z15" s="267">
        <f t="shared" si="5"/>
        <v>0.25113750000000001</v>
      </c>
      <c r="AA15" s="267">
        <f t="shared" si="6"/>
        <v>0.2</v>
      </c>
      <c r="AB15" s="267">
        <f t="shared" si="7"/>
        <v>15</v>
      </c>
      <c r="AC15" s="267">
        <f t="shared" si="8"/>
        <v>1.8</v>
      </c>
      <c r="AD15" s="175"/>
      <c r="AG15" s="170"/>
      <c r="AH15" s="196"/>
      <c r="AI15" s="186" t="s">
        <v>42</v>
      </c>
      <c r="AJ15" s="1370" t="str" cm="1">
        <f t="array" ref="AJ15">IFERROR(INDEX($AP$65:$AP$77,COUNTA($AP$65:$AP$77)),"")</f>
        <v>M/V "SHANDOND HUA ZHANG”</v>
      </c>
      <c r="AK15" s="1371"/>
      <c r="AL15" s="199" t="s">
        <v>36</v>
      </c>
      <c r="AM15" s="199" t="s">
        <v>36</v>
      </c>
      <c r="AN15" s="199"/>
      <c r="AO15" s="170"/>
      <c r="AP15" s="197"/>
      <c r="AQ15" s="170"/>
    </row>
    <row r="16" spans="1:50">
      <c r="A16" s="1362"/>
      <c r="B16" s="179">
        <v>0.91666666666666696</v>
      </c>
      <c r="C16" s="178">
        <f>IFERROR(INDEX(tblConcentrado[Mineral (TMS)],MATCH(RPT_CLAVE*100+ROWS(C$3:C16),tblConcentrado[ID],0)),0)</f>
        <v>1227</v>
      </c>
      <c r="D16" s="178">
        <f>IFERROR(INDEX(tblConcentrado[Concentrado (TMS)],MATCH(RPT_CLAVE*100+ROWS(D$3:D16),tblConcentrado[ID],0)),0)</f>
        <v>1069</v>
      </c>
      <c r="E16" s="178">
        <f>IFERROR(INDEX(tblConcentrado[S (%)],MATCH(RPT_CLAVE*100+ROWS(E$3:E16),tblConcentrado[ID],0)),0)</f>
        <v>0</v>
      </c>
      <c r="F16" s="178">
        <f>IFERROR(INDEX(tblConcentrado[RM 1/2/3 DTT-100 S],MATCH(RPT_CLAVE*100+ROWS(F$3:F16),tblConcentrado[ID],0)),0)</f>
        <v>0</v>
      </c>
      <c r="G16" s="178">
        <f>IFERROR(INDEX(tblConcentrado[RM 1/2/3 DTT-100 S/F],MATCH(RPT_CLAVE*100+ROWS(G$3:G16),tblConcentrado[ID],0)),0)</f>
        <v>0</v>
      </c>
      <c r="H16" s="178">
        <f>IFERROR(INDEX(tblConcentrado[RM 5/6/7/8/9 DTT-100 S],MATCH(RPT_CLAVE*100+ROWS(H$3:H16),tblConcentrado[ID],0)),0)</f>
        <v>0</v>
      </c>
      <c r="I16" s="178">
        <f>IFERROR(INDEX(tblConcentrado[RM 5/6/7/8/9 DTT-100 S/F],MATCH(RPT_CLAVE*100+ROWS(I$3:I16),tblConcentrado[ID],0)),0)</f>
        <v>0</v>
      </c>
      <c r="J16" s="178">
        <f>IFERROR(INDEX(tblConcentrado[ESP.Ant Fe],MATCH(RPT_CLAVE*100+ROWS(J$3:J16),tblConcentrado[ID],0)),0)</f>
        <v>0</v>
      </c>
      <c r="K16" s="178">
        <f>IFERROR(INDEX(tblConcentrado[ESP.N Fe Sol],MATCH(RPT_CLAVE*100+ROWS(K$3:K16),tblConcentrado[ID],0)),0)</f>
        <v>0</v>
      </c>
      <c r="L16" s="178">
        <f>IFERROR(INDEX(tblConcentrado[ESP.Ant FeO],MATCH(RPT_CLAVE*100+ROWS(L$3:L16),tblConcentrado[ID],0)),0)</f>
        <v>0</v>
      </c>
      <c r="M16" s="178">
        <f>IFERROR(INDEX(tblConcentrado[ESP.N FeO],MATCH(RPT_CLAVE*100+ROWS(M$3:M16),tblConcentrado[ID],0)),0)</f>
        <v>0</v>
      </c>
      <c r="N16" s="178">
        <f>N(IFERROR(INDEX(tblConcentrado[Prom. Fe Sol],MATCH(RPT_CLAVE*100+ROWS(N$3:N16),tblConcentrado[ID],0)),0))</f>
        <v>0</v>
      </c>
      <c r="O16" s="178">
        <f>N(IFERROR(INDEX(tblConcentrado[Prom. FeO],MATCH(RPT_CLAVE*100+ROWS(O$3:O16),tblConcentrado[ID],0)),0))</f>
        <v>0</v>
      </c>
      <c r="P16" s="178">
        <f>IFERROR(INDEX(tblConcentrado[H2O (%)],MATCH(RPT_CLAVE*100+ROWS(P$3:P16),tblConcentrado[ID],0)),0)</f>
        <v>0</v>
      </c>
      <c r="Q16" s="178">
        <f>IFERROR(INDEX(tblConcentrado[% Recup.],MATCH(RPT_CLAVE*100+ROWS(Q$3:Q16),tblConcentrado[ID],0)),"")</f>
        <v>0.87123064384678073</v>
      </c>
      <c r="R16" s="178">
        <f>IFERROR(INDEX(tblConcentrado[Ratio],MATCH(RPT_CLAVE*100+ROWS(R$3:R16),tblConcentrado[ID],0)),0)</f>
        <v>1.1478016838166512</v>
      </c>
      <c r="S16" s="333">
        <f t="shared" si="0"/>
        <v>73.473053892215574</v>
      </c>
      <c r="T16" s="384">
        <f t="shared" si="1"/>
        <v>0.92817396532805729</v>
      </c>
      <c r="U16" s="267">
        <f t="shared" si="9"/>
        <v>0.27150000000000002</v>
      </c>
      <c r="V16" s="267">
        <f t="shared" si="2"/>
        <v>0.29186250000000002</v>
      </c>
      <c r="W16" s="267">
        <f t="shared" si="3"/>
        <v>0.25113750000000001</v>
      </c>
      <c r="X16" s="267">
        <f t="shared" si="10"/>
        <v>0.27150000000000002</v>
      </c>
      <c r="Y16" s="267">
        <f t="shared" si="4"/>
        <v>0.29186250000000002</v>
      </c>
      <c r="Z16" s="267">
        <f t="shared" si="5"/>
        <v>0.25113750000000001</v>
      </c>
      <c r="AA16" s="267">
        <f t="shared" si="6"/>
        <v>0.2</v>
      </c>
      <c r="AB16" s="267">
        <f t="shared" si="7"/>
        <v>15</v>
      </c>
      <c r="AC16" s="267">
        <f t="shared" si="8"/>
        <v>1.8</v>
      </c>
      <c r="AD16" s="175"/>
      <c r="AG16" s="170"/>
      <c r="AH16" s="196"/>
      <c r="AI16" s="186" t="s">
        <v>43</v>
      </c>
      <c r="AJ16" s="1372" t="str" cm="1">
        <f t="array" ref="AJ16">IFERROR(INDEX($AQ$65:$AQ$77,COUNTA($AP$65:$AP$77)),"")</f>
        <v>04/09/2026 🕐 00:00 hrs</v>
      </c>
      <c r="AK16" s="1373"/>
      <c r="AL16" s="199" t="s">
        <v>36</v>
      </c>
      <c r="AM16" s="199" t="s">
        <v>36</v>
      </c>
      <c r="AN16" s="199"/>
      <c r="AO16" s="170"/>
      <c r="AP16" s="197"/>
      <c r="AQ16" s="170"/>
    </row>
    <row r="17" spans="1:44">
      <c r="A17" s="1362"/>
      <c r="B17" s="179">
        <v>0.95833333333333304</v>
      </c>
      <c r="C17" s="178">
        <f>IFERROR(INDEX(tblConcentrado[Mineral (TMS)],MATCH(RPT_CLAVE*100+ROWS(C$3:C17),tblConcentrado[ID],0)),0)</f>
        <v>1389</v>
      </c>
      <c r="D17" s="178">
        <f>IFERROR(INDEX(tblConcentrado[Concentrado (TMS)],MATCH(RPT_CLAVE*100+ROWS(D$3:D17),tblConcentrado[ID],0)),0)</f>
        <v>980</v>
      </c>
      <c r="E17" s="178">
        <f>IFERROR(INDEX(tblConcentrado[S (%)],MATCH(RPT_CLAVE*100+ROWS(E$3:E17),tblConcentrado[ID],0)),0)</f>
        <v>0.17699999999999999</v>
      </c>
      <c r="F17" s="178">
        <f>IFERROR(INDEX(tblConcentrado[RM 1/2/3 DTT-100 S],MATCH(RPT_CLAVE*100+ROWS(F$3:F17),tblConcentrado[ID],0)),0)</f>
        <v>0.59399999999999997</v>
      </c>
      <c r="G17" s="178">
        <f>IFERROR(INDEX(tblConcentrado[RM 1/2/3 DTT-100 S/F],MATCH(RPT_CLAVE*100+ROWS(G$3:G17),tblConcentrado[ID],0)),0)</f>
        <v>0.38</v>
      </c>
      <c r="H17" s="178">
        <f>IFERROR(INDEX(tblConcentrado[RM 5/6/7/8/9 DTT-100 S],MATCH(RPT_CLAVE*100+ROWS(H$3:H17),tblConcentrado[ID],0)),0)</f>
        <v>0.59399999999999997</v>
      </c>
      <c r="I17" s="178">
        <f>IFERROR(INDEX(tblConcentrado[RM 5/6/7/8/9 DTT-100 S/F],MATCH(RPT_CLAVE*100+ROWS(I$3:I17),tblConcentrado[ID],0)),0)</f>
        <v>0.38</v>
      </c>
      <c r="J17" s="178">
        <f>IFERROR(INDEX(tblConcentrado[ESP.Ant Fe],MATCH(RPT_CLAVE*100+ROWS(J$3:J17),tblConcentrado[ID],0)),0)</f>
        <v>23.6</v>
      </c>
      <c r="K17" s="178">
        <f>IFERROR(INDEX(tblConcentrado[ESP.N Fe Sol],MATCH(RPT_CLAVE*100+ROWS(K$3:K17),tblConcentrado[ID],0)),0)</f>
        <v>14.4</v>
      </c>
      <c r="L17" s="178">
        <f>IFERROR(INDEX(tblConcentrado[ESP.Ant FeO],MATCH(RPT_CLAVE*100+ROWS(L$3:L17),tblConcentrado[ID],0)),0)</f>
        <v>2.4</v>
      </c>
      <c r="M17" s="178">
        <f>IFERROR(INDEX(tblConcentrado[ESP.N FeO],MATCH(RPT_CLAVE*100+ROWS(M$3:M17),tblConcentrado[ID],0)),0)</f>
        <v>2.2000000000000002</v>
      </c>
      <c r="N17" s="178">
        <f>N(IFERROR(INDEX(tblConcentrado[Prom. Fe Sol],MATCH(RPT_CLAVE*100+ROWS(N$3:N17),tblConcentrado[ID],0)),0))</f>
        <v>18.080000000000002</v>
      </c>
      <c r="O17" s="178">
        <f>N(IFERROR(INDEX(tblConcentrado[Prom. FeO],MATCH(RPT_CLAVE*100+ROWS(O$3:O17),tblConcentrado[ID],0)),0))</f>
        <v>2.2800000000000002</v>
      </c>
      <c r="P17" s="178">
        <f>IFERROR(INDEX(tblConcentrado[H2O (%)],MATCH(RPT_CLAVE*100+ROWS(P$3:P17),tblConcentrado[ID],0)),0)</f>
        <v>8.1999999999999993</v>
      </c>
      <c r="Q17" s="178">
        <f>IFERROR(INDEX(tblConcentrado[% Recup.],MATCH(RPT_CLAVE*100+ROWS(Q$3:Q17),tblConcentrado[ID],0)),"")</f>
        <v>0.70554355651547873</v>
      </c>
      <c r="R17" s="178">
        <f>IFERROR(INDEX(tblConcentrado[Ratio],MATCH(RPT_CLAVE*100+ROWS(R$3:R17),tblConcentrado[ID],0)),0)</f>
        <v>1.4173469387755102</v>
      </c>
      <c r="S17" s="333">
        <f t="shared" si="0"/>
        <v>83.17365269461078</v>
      </c>
      <c r="T17" s="384">
        <f t="shared" si="1"/>
        <v>0.8508984901978448</v>
      </c>
      <c r="U17" s="267">
        <f t="shared" si="9"/>
        <v>0.27150000000000002</v>
      </c>
      <c r="V17" s="267">
        <f t="shared" si="2"/>
        <v>0.29186250000000002</v>
      </c>
      <c r="W17" s="267">
        <f t="shared" si="3"/>
        <v>0.25113750000000001</v>
      </c>
      <c r="X17" s="267">
        <f t="shared" si="10"/>
        <v>0.27150000000000002</v>
      </c>
      <c r="Y17" s="267">
        <f t="shared" si="4"/>
        <v>0.29186250000000002</v>
      </c>
      <c r="Z17" s="267">
        <f t="shared" si="5"/>
        <v>0.25113750000000001</v>
      </c>
      <c r="AA17" s="267">
        <f t="shared" si="6"/>
        <v>0.2</v>
      </c>
      <c r="AB17" s="267">
        <f t="shared" si="7"/>
        <v>15</v>
      </c>
      <c r="AC17" s="267">
        <f t="shared" si="8"/>
        <v>1.8</v>
      </c>
      <c r="AD17" s="175"/>
      <c r="AG17" s="170"/>
      <c r="AH17" s="196"/>
      <c r="AI17" s="186" t="s">
        <v>44</v>
      </c>
      <c r="AJ17" s="1372" t="str" cm="1">
        <f t="array" ref="AJ17">IFERROR(IF(INDEX($AR$65:$AR$77,COUNTA($AP$65:$AP$77))="","En curso",INDEX($AR$65:$AR$77,COUNTA($AP$65:$AP$77))),"")</f>
        <v>En curso</v>
      </c>
      <c r="AK17" s="1373"/>
      <c r="AL17" s="199" t="s">
        <v>36</v>
      </c>
      <c r="AM17" s="199" t="s">
        <v>36</v>
      </c>
      <c r="AN17" s="199"/>
      <c r="AO17" s="170"/>
      <c r="AP17" s="197"/>
      <c r="AQ17" s="170"/>
    </row>
    <row r="18" spans="1:44" ht="15.75" thickBot="1">
      <c r="A18" s="1362"/>
      <c r="B18" s="179">
        <v>1</v>
      </c>
      <c r="C18" s="178">
        <f>IFERROR(INDEX(tblConcentrado[Mineral (TMS)],MATCH(RPT_CLAVE*100+ROWS(C$3:C18),tblConcentrado[ID],0)),0)</f>
        <v>1312</v>
      </c>
      <c r="D18" s="178">
        <f>IFERROR(INDEX(tblConcentrado[Concentrado (TMS)],MATCH(RPT_CLAVE*100+ROWS(D$3:D18),tblConcentrado[ID],0)),0)</f>
        <v>756</v>
      </c>
      <c r="E18" s="178">
        <f>IFERROR(INDEX(tblConcentrado[S (%)],MATCH(RPT_CLAVE*100+ROWS(E$3:E18),tblConcentrado[ID],0)),0)</f>
        <v>0</v>
      </c>
      <c r="F18" s="178">
        <f>IFERROR(INDEX(tblConcentrado[RM 1/2/3 DTT-100 S],MATCH(RPT_CLAVE*100+ROWS(F$3:F18),tblConcentrado[ID],0)),0)</f>
        <v>0</v>
      </c>
      <c r="G18" s="178">
        <f>IFERROR(INDEX(tblConcentrado[RM 1/2/3 DTT-100 S/F],MATCH(RPT_CLAVE*100+ROWS(G$3:G18),tblConcentrado[ID],0)),0)</f>
        <v>0</v>
      </c>
      <c r="H18" s="178">
        <f>IFERROR(INDEX(tblConcentrado[RM 5/6/7/8/9 DTT-100 S],MATCH(RPT_CLAVE*100+ROWS(H$3:H18),tblConcentrado[ID],0)),0)</f>
        <v>0</v>
      </c>
      <c r="I18" s="178">
        <f>IFERROR(INDEX(tblConcentrado[RM 5/6/7/8/9 DTT-100 S/F],MATCH(RPT_CLAVE*100+ROWS(I$3:I18),tblConcentrado[ID],0)),0)</f>
        <v>0</v>
      </c>
      <c r="J18" s="178">
        <f>IFERROR(INDEX(tblConcentrado[ESP.Ant Fe],MATCH(RPT_CLAVE*100+ROWS(J$3:J18),tblConcentrado[ID],0)),0)</f>
        <v>0</v>
      </c>
      <c r="K18" s="178">
        <f>IFERROR(INDEX(tblConcentrado[ESP.N Fe Sol],MATCH(RPT_CLAVE*100+ROWS(K$3:K18),tblConcentrado[ID],0)),0)</f>
        <v>0</v>
      </c>
      <c r="L18" s="178">
        <f>IFERROR(INDEX(tblConcentrado[ESP.Ant FeO],MATCH(RPT_CLAVE*100+ROWS(L$3:L18),tblConcentrado[ID],0)),0)</f>
        <v>0</v>
      </c>
      <c r="M18" s="178">
        <f>IFERROR(INDEX(tblConcentrado[ESP.N FeO],MATCH(RPT_CLAVE*100+ROWS(M$3:M18),tblConcentrado[ID],0)),0)</f>
        <v>0</v>
      </c>
      <c r="N18" s="178">
        <f>N(IFERROR(INDEX(tblConcentrado[Prom. Fe Sol],MATCH(RPT_CLAVE*100+ROWS(N$3:N18),tblConcentrado[ID],0)),0))</f>
        <v>0</v>
      </c>
      <c r="O18" s="178">
        <f>N(IFERROR(INDEX(tblConcentrado[Prom. FeO],MATCH(RPT_CLAVE*100+ROWS(O$3:O18),tblConcentrado[ID],0)),0))</f>
        <v>0</v>
      </c>
      <c r="P18" s="178">
        <f>IFERROR(INDEX(tblConcentrado[H2O (%)],MATCH(RPT_CLAVE*100+ROWS(P$3:P18),tblConcentrado[ID],0)),0)</f>
        <v>0</v>
      </c>
      <c r="Q18" s="178">
        <f>IFERROR(INDEX(tblConcentrado[% Recup.],MATCH(RPT_CLAVE*100+ROWS(Q$3:Q18),tblConcentrado[ID],0)),"")</f>
        <v>0.57621951219512191</v>
      </c>
      <c r="R18" s="178">
        <f>IFERROR(INDEX(tblConcentrado[Ratio],MATCH(RPT_CLAVE*100+ROWS(R$3:R18),tblConcentrado[ID],0)),0)</f>
        <v>1.7354497354497356</v>
      </c>
      <c r="S18" s="333">
        <f t="shared" si="0"/>
        <v>78.562874251497007</v>
      </c>
      <c r="T18" s="384">
        <f t="shared" si="1"/>
        <v>0.65640740672405173</v>
      </c>
      <c r="U18" s="267">
        <f t="shared" si="9"/>
        <v>0.27150000000000002</v>
      </c>
      <c r="V18" s="267">
        <f t="shared" si="2"/>
        <v>0.29186250000000002</v>
      </c>
      <c r="W18" s="267">
        <f t="shared" si="3"/>
        <v>0.25113750000000001</v>
      </c>
      <c r="X18" s="267">
        <f t="shared" si="10"/>
        <v>0.27150000000000002</v>
      </c>
      <c r="Y18" s="267">
        <f t="shared" si="4"/>
        <v>0.29186250000000002</v>
      </c>
      <c r="Z18" s="267">
        <f t="shared" si="5"/>
        <v>0.25113750000000001</v>
      </c>
      <c r="AA18" s="267">
        <f t="shared" si="6"/>
        <v>0.2</v>
      </c>
      <c r="AB18" s="267">
        <f t="shared" si="7"/>
        <v>15</v>
      </c>
      <c r="AC18" s="267">
        <f t="shared" si="8"/>
        <v>1.8</v>
      </c>
      <c r="AD18" s="175"/>
      <c r="AG18" s="170"/>
      <c r="AH18" s="196"/>
      <c r="AI18" s="187" t="s">
        <v>45</v>
      </c>
      <c r="AJ18" s="1351" t="str" cm="1">
        <f t="array" ref="AJ18">IFERROR(IF(INDEX($AS$65:$AS$77,COUNTA($AP$65:$AP$77))="","En curso",INDEX($AS$65:$AS$77,COUNTA($AP$65:$AP$77))),"")</f>
        <v>En curso</v>
      </c>
      <c r="AK18" s="1352"/>
      <c r="AL18" s="199" t="s">
        <v>36</v>
      </c>
      <c r="AM18" s="199" t="s">
        <v>36</v>
      </c>
      <c r="AN18" s="199"/>
      <c r="AO18" s="170"/>
      <c r="AP18" s="197"/>
      <c r="AQ18" s="170"/>
    </row>
    <row r="19" spans="1:44" ht="15.75" thickBot="1">
      <c r="A19" s="1362"/>
      <c r="B19" s="179">
        <v>1.0416666666666701</v>
      </c>
      <c r="C19" s="178">
        <f>IFERROR(INDEX(tblConcentrado[Mineral (TMS)],MATCH(RPT_CLAVE*100+ROWS(C$3:C19),tblConcentrado[ID],0)),0)</f>
        <v>1376</v>
      </c>
      <c r="D19" s="178">
        <f>IFERROR(INDEX(tblConcentrado[Concentrado (TMS)],MATCH(RPT_CLAVE*100+ROWS(D$3:D19),tblConcentrado[ID],0)),0)</f>
        <v>891</v>
      </c>
      <c r="E19" s="178">
        <f>IFERROR(INDEX(tblConcentrado[S (%)],MATCH(RPT_CLAVE*100+ROWS(E$3:E19),tblConcentrado[ID],0)),0)</f>
        <v>0.16</v>
      </c>
      <c r="F19" s="178">
        <f>IFERROR(INDEX(tblConcentrado[RM 1/2/3 DTT-100 S],MATCH(RPT_CLAVE*100+ROWS(F$3:F19),tblConcentrado[ID],0)),0)</f>
        <v>0.59699999999999998</v>
      </c>
      <c r="G19" s="178">
        <f>IFERROR(INDEX(tblConcentrado[RM 1/2/3 DTT-100 S/F],MATCH(RPT_CLAVE*100+ROWS(G$3:G19),tblConcentrado[ID],0)),0)</f>
        <v>0.35</v>
      </c>
      <c r="H19" s="178">
        <f>IFERROR(INDEX(tblConcentrado[RM 5/6/7/8/9 DTT-100 S],MATCH(RPT_CLAVE*100+ROWS(H$3:H19),tblConcentrado[ID],0)),0)</f>
        <v>0.59699999999999998</v>
      </c>
      <c r="I19" s="178">
        <f>IFERROR(INDEX(tblConcentrado[RM 5/6/7/8/9 DTT-100 S/F],MATCH(RPT_CLAVE*100+ROWS(I$3:I19),tblConcentrado[ID],0)),0)</f>
        <v>0.35</v>
      </c>
      <c r="J19" s="178">
        <f>IFERROR(INDEX(tblConcentrado[ESP.Ant Fe],MATCH(RPT_CLAVE*100+ROWS(J$3:J19),tblConcentrado[ID],0)),0)</f>
        <v>22.6</v>
      </c>
      <c r="K19" s="178">
        <f>IFERROR(INDEX(tblConcentrado[ESP.N Fe Sol],MATCH(RPT_CLAVE*100+ROWS(K$3:K19),tblConcentrado[ID],0)),0)</f>
        <v>14.9</v>
      </c>
      <c r="L19" s="178">
        <f>IFERROR(INDEX(tblConcentrado[ESP.Ant FeO],MATCH(RPT_CLAVE*100+ROWS(L$3:L19),tblConcentrado[ID],0)),0)</f>
        <v>2.8</v>
      </c>
      <c r="M19" s="178">
        <f>IFERROR(INDEX(tblConcentrado[ESP.N FeO],MATCH(RPT_CLAVE*100+ROWS(M$3:M19),tblConcentrado[ID],0)),0)</f>
        <v>2.4</v>
      </c>
      <c r="N19" s="178">
        <f>N(IFERROR(INDEX(tblConcentrado[Prom. Fe Sol],MATCH(RPT_CLAVE*100+ROWS(N$3:N19),tblConcentrado[ID],0)),0))</f>
        <v>17.98</v>
      </c>
      <c r="O19" s="178">
        <f>N(IFERROR(INDEX(tblConcentrado[Prom. FeO],MATCH(RPT_CLAVE*100+ROWS(O$3:O19),tblConcentrado[ID],0)),0))</f>
        <v>2.5599999999999996</v>
      </c>
      <c r="P19" s="178">
        <f>IFERROR(INDEX(tblConcentrado[H2O (%)],MATCH(RPT_CLAVE*100+ROWS(P$3:P19),tblConcentrado[ID],0)),0)</f>
        <v>8.3000000000000007</v>
      </c>
      <c r="Q19" s="178">
        <f>IFERROR(INDEX(tblConcentrado[% Recup.],MATCH(RPT_CLAVE*100+ROWS(Q$3:Q19),tblConcentrado[ID],0)),"")</f>
        <v>0.64752906976744184</v>
      </c>
      <c r="R19" s="178">
        <f>IFERROR(INDEX(tblConcentrado[Ratio],MATCH(RPT_CLAVE*100+ROWS(R$3:R19),tblConcentrado[ID],0)),0)</f>
        <v>1.5443322109988777</v>
      </c>
      <c r="S19" s="333">
        <f t="shared" si="0"/>
        <v>82.395209580838326</v>
      </c>
      <c r="T19" s="384">
        <f t="shared" si="1"/>
        <v>0.77362301506763242</v>
      </c>
      <c r="U19" s="267">
        <f t="shared" si="9"/>
        <v>0.27150000000000002</v>
      </c>
      <c r="V19" s="267">
        <f t="shared" si="2"/>
        <v>0.29186250000000002</v>
      </c>
      <c r="W19" s="267">
        <f t="shared" si="3"/>
        <v>0.25113750000000001</v>
      </c>
      <c r="X19" s="267">
        <f t="shared" si="10"/>
        <v>0.27150000000000002</v>
      </c>
      <c r="Y19" s="267">
        <f t="shared" si="4"/>
        <v>0.29186250000000002</v>
      </c>
      <c r="Z19" s="267">
        <f t="shared" si="5"/>
        <v>0.25113750000000001</v>
      </c>
      <c r="AA19" s="267">
        <f t="shared" si="6"/>
        <v>0.2</v>
      </c>
      <c r="AB19" s="267">
        <f t="shared" si="7"/>
        <v>15</v>
      </c>
      <c r="AC19" s="267">
        <f t="shared" si="8"/>
        <v>1.8</v>
      </c>
      <c r="AD19" s="175"/>
      <c r="AG19" s="170"/>
      <c r="AH19" s="196"/>
      <c r="AI19" s="199" t="s">
        <v>36</v>
      </c>
      <c r="AJ19" s="199" t="s">
        <v>36</v>
      </c>
      <c r="AK19" s="199" t="s">
        <v>36</v>
      </c>
      <c r="AL19" s="199" t="s">
        <v>36</v>
      </c>
      <c r="AM19" s="199" t="s">
        <v>36</v>
      </c>
      <c r="AN19" s="199"/>
      <c r="AO19" s="170"/>
      <c r="AP19" s="197"/>
      <c r="AQ19" s="170"/>
    </row>
    <row r="20" spans="1:44" ht="15.75" thickBot="1">
      <c r="A20" s="1362"/>
      <c r="B20" s="179">
        <v>1.0833333333333299</v>
      </c>
      <c r="C20" s="178">
        <f>IFERROR(INDEX(tblConcentrado[Mineral (TMS)],MATCH(RPT_CLAVE*100+ROWS(C$3:C20),tblConcentrado[ID],0)),0)</f>
        <v>1391</v>
      </c>
      <c r="D20" s="178">
        <f>IFERROR(INDEX(tblConcentrado[Concentrado (TMS)],MATCH(RPT_CLAVE*100+ROWS(D$3:D20),tblConcentrado[ID],0)),0)</f>
        <v>792</v>
      </c>
      <c r="E20" s="178">
        <f>IFERROR(INDEX(tblConcentrado[S (%)],MATCH(RPT_CLAVE*100+ROWS(E$3:E20),tblConcentrado[ID],0)),0)</f>
        <v>0</v>
      </c>
      <c r="F20" s="178">
        <f>IFERROR(INDEX(tblConcentrado[RM 1/2/3 DTT-100 S],MATCH(RPT_CLAVE*100+ROWS(F$3:F20),tblConcentrado[ID],0)),0)</f>
        <v>0</v>
      </c>
      <c r="G20" s="178">
        <f>IFERROR(INDEX(tblConcentrado[RM 1/2/3 DTT-100 S/F],MATCH(RPT_CLAVE*100+ROWS(G$3:G20),tblConcentrado[ID],0)),0)</f>
        <v>0</v>
      </c>
      <c r="H20" s="178">
        <f>IFERROR(INDEX(tblConcentrado[RM 5/6/7/8/9 DTT-100 S],MATCH(RPT_CLAVE*100+ROWS(H$3:H20),tblConcentrado[ID],0)),0)</f>
        <v>0</v>
      </c>
      <c r="I20" s="178">
        <f>IFERROR(INDEX(tblConcentrado[RM 5/6/7/8/9 DTT-100 S/F],MATCH(RPT_CLAVE*100+ROWS(I$3:I20),tblConcentrado[ID],0)),0)</f>
        <v>0</v>
      </c>
      <c r="J20" s="178">
        <f>IFERROR(INDEX(tblConcentrado[ESP.Ant Fe],MATCH(RPT_CLAVE*100+ROWS(J$3:J20),tblConcentrado[ID],0)),0)</f>
        <v>0</v>
      </c>
      <c r="K20" s="178">
        <f>IFERROR(INDEX(tblConcentrado[ESP.N Fe Sol],MATCH(RPT_CLAVE*100+ROWS(K$3:K20),tblConcentrado[ID],0)),0)</f>
        <v>0</v>
      </c>
      <c r="L20" s="178">
        <f>IFERROR(INDEX(tblConcentrado[ESP.Ant FeO],MATCH(RPT_CLAVE*100+ROWS(L$3:L20),tblConcentrado[ID],0)),0)</f>
        <v>0</v>
      </c>
      <c r="M20" s="178">
        <f>IFERROR(INDEX(tblConcentrado[ESP.N FeO],MATCH(RPT_CLAVE*100+ROWS(M$3:M20),tblConcentrado[ID],0)),0)</f>
        <v>0</v>
      </c>
      <c r="N20" s="178">
        <f>N(IFERROR(INDEX(tblConcentrado[Prom. Fe Sol],MATCH(RPT_CLAVE*100+ROWS(N$3:N20),tblConcentrado[ID],0)),0))</f>
        <v>0</v>
      </c>
      <c r="O20" s="178">
        <f>N(IFERROR(INDEX(tblConcentrado[Prom. FeO],MATCH(RPT_CLAVE*100+ROWS(O$3:O20),tblConcentrado[ID],0)),0))</f>
        <v>0</v>
      </c>
      <c r="P20" s="178">
        <f>IFERROR(INDEX(tblConcentrado[H2O (%)],MATCH(RPT_CLAVE*100+ROWS(P$3:P20),tblConcentrado[ID],0)),0)</f>
        <v>0</v>
      </c>
      <c r="Q20" s="178">
        <f>IFERROR(INDEX(tblConcentrado[% Recup.],MATCH(RPT_CLAVE*100+ROWS(Q$3:Q20),tblConcentrado[ID],0)),"")</f>
        <v>0.56937455068296194</v>
      </c>
      <c r="R20" s="178">
        <f>IFERROR(INDEX(tblConcentrado[Ratio],MATCH(RPT_CLAVE*100+ROWS(R$3:R20),tblConcentrado[ID],0)),0)</f>
        <v>1.7563131313131313</v>
      </c>
      <c r="S20" s="333">
        <f t="shared" si="0"/>
        <v>83.293413173652695</v>
      </c>
      <c r="T20" s="384">
        <f t="shared" si="1"/>
        <v>0.6876649022823399</v>
      </c>
      <c r="U20" s="267">
        <f t="shared" si="9"/>
        <v>0.27150000000000002</v>
      </c>
      <c r="V20" s="267">
        <f t="shared" si="2"/>
        <v>0.29186250000000002</v>
      </c>
      <c r="W20" s="267">
        <f t="shared" si="3"/>
        <v>0.25113750000000001</v>
      </c>
      <c r="X20" s="267">
        <f t="shared" si="10"/>
        <v>0.27150000000000002</v>
      </c>
      <c r="Y20" s="267">
        <f t="shared" si="4"/>
        <v>0.29186250000000002</v>
      </c>
      <c r="Z20" s="267">
        <f t="shared" si="5"/>
        <v>0.25113750000000001</v>
      </c>
      <c r="AA20" s="267">
        <f t="shared" si="6"/>
        <v>0.2</v>
      </c>
      <c r="AB20" s="267">
        <f t="shared" si="7"/>
        <v>15</v>
      </c>
      <c r="AC20" s="267">
        <f t="shared" si="8"/>
        <v>1.8</v>
      </c>
      <c r="AD20" s="175"/>
      <c r="AG20" s="170"/>
      <c r="AH20" s="196"/>
      <c r="AI20" s="1342" t="s">
        <v>46</v>
      </c>
      <c r="AJ20" s="1343"/>
      <c r="AK20" s="1343"/>
      <c r="AL20" s="1343"/>
      <c r="AM20" s="1344"/>
      <c r="AN20" s="199"/>
      <c r="AO20" s="170"/>
      <c r="AP20" s="197"/>
      <c r="AQ20" s="170"/>
    </row>
    <row r="21" spans="1:44">
      <c r="A21" s="1362"/>
      <c r="B21" s="179">
        <v>1.125</v>
      </c>
      <c r="C21" s="178">
        <f>IFERROR(INDEX(tblConcentrado[Mineral (TMS)],MATCH(RPT_CLAVE*100+ROWS(C$3:C21),tblConcentrado[ID],0)),0)</f>
        <v>1409</v>
      </c>
      <c r="D21" s="178">
        <f>IFERROR(INDEX(tblConcentrado[Concentrado (TMS)],MATCH(RPT_CLAVE*100+ROWS(D$3:D21),tblConcentrado[ID],0)),0)</f>
        <v>868</v>
      </c>
      <c r="E21" s="178">
        <f>IFERROR(INDEX(tblConcentrado[S (%)],MATCH(RPT_CLAVE*100+ROWS(E$3:E21),tblConcentrado[ID],0)),0)</f>
        <v>0.189</v>
      </c>
      <c r="F21" s="178">
        <f>IFERROR(INDEX(tblConcentrado[RM 1/2/3 DTT-100 S],MATCH(RPT_CLAVE*100+ROWS(F$3:F21),tblConcentrado[ID],0)),0)</f>
        <v>0.627</v>
      </c>
      <c r="G21" s="178">
        <f>IFERROR(INDEX(tblConcentrado[RM 1/2/3 DTT-100 S/F],MATCH(RPT_CLAVE*100+ROWS(G$3:G21),tblConcentrado[ID],0)),0)</f>
        <v>0.38</v>
      </c>
      <c r="H21" s="178">
        <f>IFERROR(INDEX(tblConcentrado[RM 5/6/7/8/9 DTT-100 S],MATCH(RPT_CLAVE*100+ROWS(H$3:H21),tblConcentrado[ID],0)),0)</f>
        <v>0.627</v>
      </c>
      <c r="I21" s="178">
        <f>IFERROR(INDEX(tblConcentrado[RM 5/6/7/8/9 DTT-100 S/F],MATCH(RPT_CLAVE*100+ROWS(I$3:I21),tblConcentrado[ID],0)),0)</f>
        <v>0.38</v>
      </c>
      <c r="J21" s="178">
        <f>IFERROR(INDEX(tblConcentrado[ESP.Ant Fe],MATCH(RPT_CLAVE*100+ROWS(J$3:J21),tblConcentrado[ID],0)),0)</f>
        <v>21.3</v>
      </c>
      <c r="K21" s="178">
        <f>IFERROR(INDEX(tblConcentrado[ESP.N Fe Sol],MATCH(RPT_CLAVE*100+ROWS(K$3:K21),tblConcentrado[ID],0)),0)</f>
        <v>14.3</v>
      </c>
      <c r="L21" s="178">
        <f>IFERROR(INDEX(tblConcentrado[ESP.Ant FeO],MATCH(RPT_CLAVE*100+ROWS(L$3:L21),tblConcentrado[ID],0)),0)</f>
        <v>2.7</v>
      </c>
      <c r="M21" s="178">
        <f>IFERROR(INDEX(tblConcentrado[ESP.N FeO],MATCH(RPT_CLAVE*100+ROWS(M$3:M21),tblConcentrado[ID],0)),0)</f>
        <v>2.2000000000000002</v>
      </c>
      <c r="N21" s="178">
        <f>N(IFERROR(INDEX(tblConcentrado[Prom. Fe Sol],MATCH(RPT_CLAVE*100+ROWS(N$3:N21),tblConcentrado[ID],0)),0))</f>
        <v>17.100000000000001</v>
      </c>
      <c r="O21" s="178">
        <f>N(IFERROR(INDEX(tblConcentrado[Prom. FeO],MATCH(RPT_CLAVE*100+ROWS(O$3:O21),tblConcentrado[ID],0)),0))</f>
        <v>2.4000000000000004</v>
      </c>
      <c r="P21" s="178">
        <f>IFERROR(INDEX(tblConcentrado[H2O (%)],MATCH(RPT_CLAVE*100+ROWS(P$3:P21),tblConcentrado[ID],0)),0)</f>
        <v>8.1999999999999993</v>
      </c>
      <c r="Q21" s="178">
        <f>IFERROR(INDEX(tblConcentrado[% Recup.],MATCH(RPT_CLAVE*100+ROWS(Q$3:Q21),tblConcentrado[ID],0)),"")</f>
        <v>0.61603974449964516</v>
      </c>
      <c r="R21" s="178">
        <f>IFERROR(INDEX(tblConcentrado[Ratio],MATCH(RPT_CLAVE*100+ROWS(R$3:R21),tblConcentrado[ID],0)),0)</f>
        <v>1.6232718894009217</v>
      </c>
      <c r="S21" s="333">
        <f t="shared" si="0"/>
        <v>84.371257485029943</v>
      </c>
      <c r="T21" s="384">
        <f t="shared" si="1"/>
        <v>0.75365294846094832</v>
      </c>
      <c r="U21" s="267">
        <f t="shared" si="9"/>
        <v>0.27150000000000002</v>
      </c>
      <c r="V21" s="267">
        <f t="shared" si="2"/>
        <v>0.29186250000000002</v>
      </c>
      <c r="W21" s="267">
        <f t="shared" si="3"/>
        <v>0.25113750000000001</v>
      </c>
      <c r="X21" s="267">
        <f t="shared" si="10"/>
        <v>0.27150000000000002</v>
      </c>
      <c r="Y21" s="267">
        <f t="shared" si="4"/>
        <v>0.29186250000000002</v>
      </c>
      <c r="Z21" s="267">
        <f t="shared" si="5"/>
        <v>0.25113750000000001</v>
      </c>
      <c r="AA21" s="267">
        <f t="shared" si="6"/>
        <v>0.2</v>
      </c>
      <c r="AB21" s="267">
        <f t="shared" si="7"/>
        <v>15</v>
      </c>
      <c r="AC21" s="267">
        <f t="shared" si="8"/>
        <v>1.8</v>
      </c>
      <c r="AD21" s="175"/>
      <c r="AG21" s="170"/>
      <c r="AH21" s="196"/>
      <c r="AI21" s="759"/>
      <c r="AJ21" s="190" t="s">
        <v>47</v>
      </c>
      <c r="AK21" s="191" t="s">
        <v>48</v>
      </c>
      <c r="AL21" s="192" t="str">
        <f>RPT_MES_NOMBRE</f>
        <v>Setiembre</v>
      </c>
      <c r="AM21" s="760" t="s">
        <v>50</v>
      </c>
      <c r="AN21" s="199"/>
      <c r="AO21" s="170"/>
      <c r="AP21" s="197"/>
      <c r="AQ21" s="170"/>
    </row>
    <row r="22" spans="1:44">
      <c r="A22" s="1362"/>
      <c r="B22" s="179">
        <v>1.1666666666666701</v>
      </c>
      <c r="C22" s="178">
        <f>IFERROR(INDEX(tblConcentrado[Mineral (TMS)],MATCH(RPT_CLAVE*100+ROWS(C$3:C22),tblConcentrado[ID],0)),0)</f>
        <v>1452</v>
      </c>
      <c r="D22" s="178">
        <f>IFERROR(INDEX(tblConcentrado[Concentrado (TMS)],MATCH(RPT_CLAVE*100+ROWS(D$3:D22),tblConcentrado[ID],0)),0)</f>
        <v>807</v>
      </c>
      <c r="E22" s="178">
        <f>IFERROR(INDEX(tblConcentrado[S (%)],MATCH(RPT_CLAVE*100+ROWS(E$3:E22),tblConcentrado[ID],0)),0)</f>
        <v>0</v>
      </c>
      <c r="F22" s="178">
        <f>IFERROR(INDEX(tblConcentrado[RM 1/2/3 DTT-100 S],MATCH(RPT_CLAVE*100+ROWS(F$3:F22),tblConcentrado[ID],0)),0)</f>
        <v>0</v>
      </c>
      <c r="G22" s="178">
        <f>IFERROR(INDEX(tblConcentrado[RM 1/2/3 DTT-100 S/F],MATCH(RPT_CLAVE*100+ROWS(G$3:G22),tblConcentrado[ID],0)),0)</f>
        <v>0</v>
      </c>
      <c r="H22" s="178">
        <f>IFERROR(INDEX(tblConcentrado[RM 5/6/7/8/9 DTT-100 S],MATCH(RPT_CLAVE*100+ROWS(H$3:H22),tblConcentrado[ID],0)),0)</f>
        <v>0</v>
      </c>
      <c r="I22" s="178">
        <f>IFERROR(INDEX(tblConcentrado[RM 5/6/7/8/9 DTT-100 S/F],MATCH(RPT_CLAVE*100+ROWS(I$3:I22),tblConcentrado[ID],0)),0)</f>
        <v>0</v>
      </c>
      <c r="J22" s="178">
        <f>IFERROR(INDEX(tblConcentrado[ESP.Ant Fe],MATCH(RPT_CLAVE*100+ROWS(J$3:J22),tblConcentrado[ID],0)),0)</f>
        <v>0</v>
      </c>
      <c r="K22" s="178">
        <f>IFERROR(INDEX(tblConcentrado[ESP.N Fe Sol],MATCH(RPT_CLAVE*100+ROWS(K$3:K22),tblConcentrado[ID],0)),0)</f>
        <v>0</v>
      </c>
      <c r="L22" s="178">
        <f>IFERROR(INDEX(tblConcentrado[ESP.Ant FeO],MATCH(RPT_CLAVE*100+ROWS(L$3:L22),tblConcentrado[ID],0)),0)</f>
        <v>0</v>
      </c>
      <c r="M22" s="178">
        <f>IFERROR(INDEX(tblConcentrado[ESP.N FeO],MATCH(RPT_CLAVE*100+ROWS(M$3:M22),tblConcentrado[ID],0)),0)</f>
        <v>0</v>
      </c>
      <c r="N22" s="178">
        <f>N(IFERROR(INDEX(tblConcentrado[Prom. Fe Sol],MATCH(RPT_CLAVE*100+ROWS(N$3:N22),tblConcentrado[ID],0)),0))</f>
        <v>0</v>
      </c>
      <c r="O22" s="178">
        <f>N(IFERROR(INDEX(tblConcentrado[Prom. FeO],MATCH(RPT_CLAVE*100+ROWS(O$3:O22),tblConcentrado[ID],0)),0))</f>
        <v>0</v>
      </c>
      <c r="P22" s="178">
        <f>IFERROR(INDEX(tblConcentrado[H2O (%)],MATCH(RPT_CLAVE*100+ROWS(P$3:P22),tblConcentrado[ID],0)),0)</f>
        <v>0</v>
      </c>
      <c r="Q22" s="178">
        <f>IFERROR(INDEX(tblConcentrado[% Recup.],MATCH(RPT_CLAVE*100+ROWS(Q$3:Q22),tblConcentrado[ID],0)),"")</f>
        <v>0.55578512396694213</v>
      </c>
      <c r="R22" s="178">
        <f>IFERROR(INDEX(tblConcentrado[Ratio],MATCH(RPT_CLAVE*100+ROWS(R$3:R22),tblConcentrado[ID],0)),0)</f>
        <v>1.7992565055762082</v>
      </c>
      <c r="S22" s="333">
        <f t="shared" si="0"/>
        <v>86.946107784431135</v>
      </c>
      <c r="T22" s="384">
        <f t="shared" si="1"/>
        <v>0.70068885876496001</v>
      </c>
      <c r="U22" s="267">
        <f t="shared" si="9"/>
        <v>0.27150000000000002</v>
      </c>
      <c r="V22" s="267">
        <f t="shared" si="2"/>
        <v>0.29186250000000002</v>
      </c>
      <c r="W22" s="267">
        <f t="shared" si="3"/>
        <v>0.25113750000000001</v>
      </c>
      <c r="X22" s="267">
        <f t="shared" si="10"/>
        <v>0.27150000000000002</v>
      </c>
      <c r="Y22" s="267">
        <f t="shared" si="4"/>
        <v>0.29186250000000002</v>
      </c>
      <c r="Z22" s="267">
        <f t="shared" si="5"/>
        <v>0.25113750000000001</v>
      </c>
      <c r="AA22" s="267">
        <f t="shared" si="6"/>
        <v>0.2</v>
      </c>
      <c r="AB22" s="267">
        <f t="shared" si="7"/>
        <v>15</v>
      </c>
      <c r="AC22" s="267">
        <f t="shared" si="8"/>
        <v>1.8</v>
      </c>
      <c r="AD22" s="175"/>
      <c r="AG22" s="170"/>
      <c r="AH22" s="196"/>
      <c r="AI22" s="761" t="s">
        <v>51</v>
      </c>
      <c r="AJ22" s="188" cm="1">
        <f t="array" ref="AJ22">INDEX($AJ$64:$AJ$94,RPT_DIA)</f>
        <v>21099</v>
      </c>
      <c r="AK22" s="188">
        <f>SUM(INDEX($AJ$64:$AJ$94,MAX(1,RPT_SEM_INI)):INDEX($AJ$64:$AJ$94,RPT_DIA))+IF(RPT_SEM_INI&lt;1,$AJ$61,0)</f>
        <v>65830</v>
      </c>
      <c r="AL22" s="188">
        <f>SUM($AJ$64:INDEX($AJ$64:$AJ$94,RPT_DIA))</f>
        <v>608102</v>
      </c>
      <c r="AM22" s="239">
        <f>SUMIFS(REAL_CONC,Parámetros!$C$17:$C$28,"&lt;"&amp;RPT_MES)+AL22</f>
        <v>5734863</v>
      </c>
      <c r="AN22" s="223"/>
      <c r="AO22" s="170"/>
      <c r="AP22" s="197"/>
      <c r="AQ22" s="170"/>
    </row>
    <row r="23" spans="1:44">
      <c r="A23" s="1362"/>
      <c r="B23" s="179">
        <v>1.2083333333333299</v>
      </c>
      <c r="C23" s="178">
        <f>IFERROR(INDEX(tblConcentrado[Mineral (TMS)],MATCH(RPT_CLAVE*100+ROWS(C$3:C23),tblConcentrado[ID],0)),0)</f>
        <v>1465</v>
      </c>
      <c r="D23" s="178">
        <f>IFERROR(INDEX(tblConcentrado[Concentrado (TMS)],MATCH(RPT_CLAVE*100+ROWS(D$3:D23),tblConcentrado[ID],0)),0)</f>
        <v>910</v>
      </c>
      <c r="E23" s="178">
        <f>IFERROR(INDEX(tblConcentrado[S (%)],MATCH(RPT_CLAVE*100+ROWS(E$3:E23),tblConcentrado[ID],0)),0)</f>
        <v>0.19</v>
      </c>
      <c r="F23" s="178">
        <f>IFERROR(INDEX(tblConcentrado[RM 1/2/3 DTT-100 S],MATCH(RPT_CLAVE*100+ROWS(F$3:F23),tblConcentrado[ID],0)),0)</f>
        <v>0.6</v>
      </c>
      <c r="G23" s="178">
        <f>IFERROR(INDEX(tblConcentrado[RM 1/2/3 DTT-100 S/F],MATCH(RPT_CLAVE*100+ROWS(G$3:G23),tblConcentrado[ID],0)),0)</f>
        <v>0.37</v>
      </c>
      <c r="H23" s="178">
        <f>IFERROR(INDEX(tblConcentrado[RM 5/6/7/8/9 DTT-100 S],MATCH(RPT_CLAVE*100+ROWS(H$3:H23),tblConcentrado[ID],0)),0)</f>
        <v>0.6</v>
      </c>
      <c r="I23" s="178">
        <f>IFERROR(INDEX(tblConcentrado[RM 5/6/7/8/9 DTT-100 S/F],MATCH(RPT_CLAVE*100+ROWS(I$3:I23),tblConcentrado[ID],0)),0)</f>
        <v>0.37</v>
      </c>
      <c r="J23" s="178">
        <f>IFERROR(INDEX(tblConcentrado[ESP.Ant Fe],MATCH(RPT_CLAVE*100+ROWS(J$3:J23),tblConcentrado[ID],0)),0)</f>
        <v>22.6</v>
      </c>
      <c r="K23" s="178">
        <f>IFERROR(INDEX(tblConcentrado[ESP.N Fe Sol],MATCH(RPT_CLAVE*100+ROWS(K$3:K23),tblConcentrado[ID],0)),0)</f>
        <v>15.4</v>
      </c>
      <c r="L23" s="178">
        <f>IFERROR(INDEX(tblConcentrado[ESP.Ant FeO],MATCH(RPT_CLAVE*100+ROWS(L$3:L23),tblConcentrado[ID],0)),0)</f>
        <v>2.5</v>
      </c>
      <c r="M23" s="178">
        <f>IFERROR(INDEX(tblConcentrado[ESP.N FeO],MATCH(RPT_CLAVE*100+ROWS(M$3:M23),tblConcentrado[ID],0)),0)</f>
        <v>2.1</v>
      </c>
      <c r="N23" s="178">
        <f>N(IFERROR(INDEX(tblConcentrado[Prom. Fe Sol],MATCH(RPT_CLAVE*100+ROWS(N$3:N23),tblConcentrado[ID],0)),0))</f>
        <v>18.28</v>
      </c>
      <c r="O23" s="178">
        <f>N(IFERROR(INDEX(tblConcentrado[Prom. FeO],MATCH(RPT_CLAVE*100+ROWS(O$3:O23),tblConcentrado[ID],0)),0))</f>
        <v>2.2599999999999998</v>
      </c>
      <c r="P23" s="178">
        <f>IFERROR(INDEX(tblConcentrado[H2O (%)],MATCH(RPT_CLAVE*100+ROWS(P$3:P23),tblConcentrado[ID],0)),0)</f>
        <v>8.5</v>
      </c>
      <c r="Q23" s="178">
        <f>IFERROR(INDEX(tblConcentrado[% Recup.],MATCH(RPT_CLAVE*100+ROWS(Q$3:Q23),tblConcentrado[ID],0)),"")</f>
        <v>0.62116040955631402</v>
      </c>
      <c r="R23" s="178">
        <f>IFERROR(INDEX(tblConcentrado[Ratio],MATCH(RPT_CLAVE*100+ROWS(R$3:R23),tblConcentrado[ID],0)),0)</f>
        <v>1.6098901098901097</v>
      </c>
      <c r="S23" s="333">
        <f t="shared" si="0"/>
        <v>87.724550898203589</v>
      </c>
      <c r="T23" s="384">
        <f t="shared" si="1"/>
        <v>0.79012002661228453</v>
      </c>
      <c r="U23" s="267">
        <f t="shared" si="9"/>
        <v>0.27150000000000002</v>
      </c>
      <c r="V23" s="267">
        <f t="shared" si="2"/>
        <v>0.29186250000000002</v>
      </c>
      <c r="W23" s="267">
        <f t="shared" si="3"/>
        <v>0.25113750000000001</v>
      </c>
      <c r="X23" s="267">
        <f t="shared" si="10"/>
        <v>0.27150000000000002</v>
      </c>
      <c r="Y23" s="267">
        <f t="shared" si="4"/>
        <v>0.29186250000000002</v>
      </c>
      <c r="Z23" s="267">
        <f t="shared" si="5"/>
        <v>0.25113750000000001</v>
      </c>
      <c r="AA23" s="267">
        <f t="shared" si="6"/>
        <v>0.2</v>
      </c>
      <c r="AB23" s="267">
        <f t="shared" si="7"/>
        <v>15</v>
      </c>
      <c r="AC23" s="267">
        <f t="shared" si="8"/>
        <v>1.8</v>
      </c>
      <c r="AD23" s="175"/>
      <c r="AG23" s="170"/>
      <c r="AH23" s="196"/>
      <c r="AI23" s="231" t="s">
        <v>52</v>
      </c>
      <c r="AJ23" s="188">
        <f>RPT_PPTO_DIA_CONC</f>
        <v>23201.566666666666</v>
      </c>
      <c r="AK23" s="188">
        <f>RPT_PPTO_DIA_CONC*RPT_SEM_DIAS</f>
        <v>69604.7</v>
      </c>
      <c r="AL23" s="188">
        <f>RPT_PPTO_DIA_CONC*RPT_DIA</f>
        <v>672845.43333333335</v>
      </c>
      <c r="AM23" s="239">
        <f>SUM(PPTO_CONC)</f>
        <v>8000014</v>
      </c>
      <c r="AN23" s="223"/>
      <c r="AO23" s="170"/>
      <c r="AP23" s="197"/>
      <c r="AQ23" s="170"/>
    </row>
    <row r="24" spans="1:44" ht="15.75" thickBot="1">
      <c r="A24" s="1362"/>
      <c r="B24" s="179">
        <v>1.25</v>
      </c>
      <c r="C24" s="178">
        <f>IFERROR(INDEX(tblConcentrado[Mineral (TMS)],MATCH(RPT_CLAVE*100+ROWS(C$3:C24),tblConcentrado[ID],0)),0)</f>
        <v>1455</v>
      </c>
      <c r="D24" s="178">
        <f>IFERROR(INDEX(tblConcentrado[Concentrado (TMS)],MATCH(RPT_CLAVE*100+ROWS(D$3:D24),tblConcentrado[ID],0)),0)</f>
        <v>963</v>
      </c>
      <c r="E24" s="178">
        <f>IFERROR(INDEX(tblConcentrado[S (%)],MATCH(RPT_CLAVE*100+ROWS(E$3:E24),tblConcentrado[ID],0)),0)</f>
        <v>0</v>
      </c>
      <c r="F24" s="178">
        <f>IFERROR(INDEX(tblConcentrado[RM 1/2/3 DTT-100 S],MATCH(RPT_CLAVE*100+ROWS(F$3:F24),tblConcentrado[ID],0)),0)</f>
        <v>0</v>
      </c>
      <c r="G24" s="178">
        <f>IFERROR(INDEX(tblConcentrado[RM 1/2/3 DTT-100 S/F],MATCH(RPT_CLAVE*100+ROWS(G$3:G24),tblConcentrado[ID],0)),0)</f>
        <v>0</v>
      </c>
      <c r="H24" s="178">
        <f>IFERROR(INDEX(tblConcentrado[RM 5/6/7/8/9 DTT-100 S],MATCH(RPT_CLAVE*100+ROWS(H$3:H24),tblConcentrado[ID],0)),0)</f>
        <v>0</v>
      </c>
      <c r="I24" s="178">
        <f>IFERROR(INDEX(tblConcentrado[RM 5/6/7/8/9 DTT-100 S/F],MATCH(RPT_CLAVE*100+ROWS(I$3:I24),tblConcentrado[ID],0)),0)</f>
        <v>0</v>
      </c>
      <c r="J24" s="178">
        <f>IFERROR(INDEX(tblConcentrado[ESP.Ant Fe],MATCH(RPT_CLAVE*100+ROWS(J$3:J24),tblConcentrado[ID],0)),0)</f>
        <v>0</v>
      </c>
      <c r="K24" s="178">
        <f>IFERROR(INDEX(tblConcentrado[ESP.N Fe Sol],MATCH(RPT_CLAVE*100+ROWS(K$3:K24),tblConcentrado[ID],0)),0)</f>
        <v>0</v>
      </c>
      <c r="L24" s="178">
        <f>IFERROR(INDEX(tblConcentrado[ESP.Ant FeO],MATCH(RPT_CLAVE*100+ROWS(L$3:L24),tblConcentrado[ID],0)),0)</f>
        <v>0</v>
      </c>
      <c r="M24" s="178">
        <f>IFERROR(INDEX(tblConcentrado[ESP.N FeO],MATCH(RPT_CLAVE*100+ROWS(M$3:M24),tblConcentrado[ID],0)),0)</f>
        <v>0</v>
      </c>
      <c r="N24" s="178">
        <f>N(IFERROR(INDEX(tblConcentrado[Prom. Fe Sol],MATCH(RPT_CLAVE*100+ROWS(N$3:N24),tblConcentrado[ID],0)),0))</f>
        <v>0</v>
      </c>
      <c r="O24" s="178">
        <f>N(IFERROR(INDEX(tblConcentrado[Prom. FeO],MATCH(RPT_CLAVE*100+ROWS(O$3:O24),tblConcentrado[ID],0)),0))</f>
        <v>0</v>
      </c>
      <c r="P24" s="178">
        <f>IFERROR(INDEX(tblConcentrado[H2O (%)],MATCH(RPT_CLAVE*100+ROWS(P$3:P24),tblConcentrado[ID],0)),0)</f>
        <v>0</v>
      </c>
      <c r="Q24" s="178">
        <f>IFERROR(INDEX(tblConcentrado[% Recup.],MATCH(RPT_CLAVE*100+ROWS(Q$3:Q24),tblConcentrado[ID],0)),"")</f>
        <v>0.66185567010309276</v>
      </c>
      <c r="R24" s="178">
        <f>IFERROR(INDEX(tblConcentrado[Ratio],MATCH(RPT_CLAVE*100+ROWS(R$3:R24),tblConcentrado[ID],0)),0)</f>
        <v>1.5109034267912773</v>
      </c>
      <c r="S24" s="333">
        <f t="shared" si="0"/>
        <v>87.125748502994014</v>
      </c>
      <c r="T24" s="384">
        <f t="shared" si="1"/>
        <v>0.83613800618420875</v>
      </c>
      <c r="U24" s="267">
        <f t="shared" si="9"/>
        <v>0.27150000000000002</v>
      </c>
      <c r="V24" s="267">
        <f t="shared" si="2"/>
        <v>0.29186250000000002</v>
      </c>
      <c r="W24" s="267">
        <f t="shared" si="3"/>
        <v>0.25113750000000001</v>
      </c>
      <c r="X24" s="267">
        <f t="shared" si="10"/>
        <v>0.27150000000000002</v>
      </c>
      <c r="Y24" s="267">
        <f t="shared" si="4"/>
        <v>0.29186250000000002</v>
      </c>
      <c r="Z24" s="267">
        <f t="shared" si="5"/>
        <v>0.25113750000000001</v>
      </c>
      <c r="AA24" s="267">
        <f t="shared" si="6"/>
        <v>0.2</v>
      </c>
      <c r="AB24" s="267">
        <f t="shared" si="7"/>
        <v>15</v>
      </c>
      <c r="AC24" s="267">
        <f t="shared" si="8"/>
        <v>1.8</v>
      </c>
      <c r="AD24" s="175"/>
      <c r="AG24" s="170"/>
      <c r="AH24" s="196"/>
      <c r="AI24" s="232" t="s">
        <v>53</v>
      </c>
      <c r="AJ24" s="233">
        <f>IFERROR(AJ22/AJ23,0)</f>
        <v>0.90937824600924944</v>
      </c>
      <c r="AK24" s="233">
        <f>IFERROR(AK22/AK23,0)</f>
        <v>0.94576946671704643</v>
      </c>
      <c r="AL24" s="233">
        <f>IFERROR(AL22/AL23,0)</f>
        <v>0.90377666232705345</v>
      </c>
      <c r="AM24" s="244">
        <f>IFERROR(AM22/AM23,0)</f>
        <v>0.71685662050091414</v>
      </c>
      <c r="AN24" s="224"/>
      <c r="AO24" s="170"/>
      <c r="AP24" s="197"/>
      <c r="AQ24" s="170"/>
    </row>
    <row r="25" spans="1:44" ht="15.75" thickBot="1">
      <c r="A25" s="1362"/>
      <c r="B25" s="179">
        <v>1.2916666666666701</v>
      </c>
      <c r="C25" s="178">
        <f>IFERROR(INDEX(tblConcentrado[Mineral (TMS)],MATCH(RPT_CLAVE*100+ROWS(C$3:C25),tblConcentrado[ID],0)),0)</f>
        <v>1481</v>
      </c>
      <c r="D25" s="178">
        <f>IFERROR(INDEX(tblConcentrado[Concentrado (TMS)],MATCH(RPT_CLAVE*100+ROWS(D$3:D25),tblConcentrado[ID],0)),0)</f>
        <v>847</v>
      </c>
      <c r="E25" s="178">
        <f>IFERROR(INDEX(tblConcentrado[S (%)],MATCH(RPT_CLAVE*100+ROWS(E$3:E25),tblConcentrado[ID],0)),0)</f>
        <v>0.21099999999999999</v>
      </c>
      <c r="F25" s="178">
        <f>IFERROR(INDEX(tblConcentrado[RM 1/2/3 DTT-100 S],MATCH(RPT_CLAVE*100+ROWS(F$3:F25),tblConcentrado[ID],0)),0)</f>
        <v>0.54300000000000004</v>
      </c>
      <c r="G25" s="178">
        <f>IFERROR(INDEX(tblConcentrado[RM 1/2/3 DTT-100 S/F],MATCH(RPT_CLAVE*100+ROWS(G$3:G25),tblConcentrado[ID],0)),0)</f>
        <v>0</v>
      </c>
      <c r="H25" s="178">
        <f>IFERROR(INDEX(tblConcentrado[RM 5/6/7/8/9 DTT-100 S],MATCH(RPT_CLAVE*100+ROWS(H$3:H25),tblConcentrado[ID],0)),0)</f>
        <v>0.54300000000000004</v>
      </c>
      <c r="I25" s="178">
        <f>IFERROR(INDEX(tblConcentrado[RM 5/6/7/8/9 DTT-100 S/F],MATCH(RPT_CLAVE*100+ROWS(I$3:I25),tblConcentrado[ID],0)),0)</f>
        <v>0</v>
      </c>
      <c r="J25" s="178">
        <f>IFERROR(INDEX(tblConcentrado[ESP.Ant Fe],MATCH(RPT_CLAVE*100+ROWS(J$3:J25),tblConcentrado[ID],0)),0)</f>
        <v>0</v>
      </c>
      <c r="K25" s="178">
        <f>IFERROR(INDEX(tblConcentrado[ESP.N Fe Sol],MATCH(RPT_CLAVE*100+ROWS(K$3:K25),tblConcentrado[ID],0)),0)</f>
        <v>0</v>
      </c>
      <c r="L25" s="178">
        <f>IFERROR(INDEX(tblConcentrado[ESP.Ant FeO],MATCH(RPT_CLAVE*100+ROWS(L$3:L25),tblConcentrado[ID],0)),0)</f>
        <v>2.8</v>
      </c>
      <c r="M25" s="178">
        <f>IFERROR(INDEX(tblConcentrado[ESP.N FeO],MATCH(RPT_CLAVE*100+ROWS(M$3:M25),tblConcentrado[ID],0)),0)</f>
        <v>1.9</v>
      </c>
      <c r="N25" s="178">
        <f>N(IFERROR(INDEX(tblConcentrado[Prom. Fe Sol],MATCH(RPT_CLAVE*100+ROWS(N$3:N25),tblConcentrado[ID],0)),0))</f>
        <v>0</v>
      </c>
      <c r="O25" s="178">
        <f>N(IFERROR(INDEX(tblConcentrado[Prom. FeO],MATCH(RPT_CLAVE*100+ROWS(O$3:O25),tblConcentrado[ID],0)),0))</f>
        <v>2.2599999999999998</v>
      </c>
      <c r="P25" s="178">
        <f>IFERROR(INDEX(tblConcentrado[H2O (%)],MATCH(RPT_CLAVE*100+ROWS(P$3:P25),tblConcentrado[ID],0)),0)</f>
        <v>8.1999999999999993</v>
      </c>
      <c r="Q25" s="178">
        <f>IFERROR(INDEX(tblConcentrado[% Recup.],MATCH(RPT_CLAVE*100+ROWS(Q$3:Q25),tblConcentrado[ID],0)),"")</f>
        <v>0.5719108710330858</v>
      </c>
      <c r="R25" s="178">
        <f>IFERROR(INDEX(tblConcentrado[Ratio],MATCH(RPT_CLAVE*100+ROWS(R$3:R25),tblConcentrado[ID],0)),0)</f>
        <v>1.7485242030696575</v>
      </c>
      <c r="S25" s="333">
        <f t="shared" si="0"/>
        <v>88.682634730538922</v>
      </c>
      <c r="T25" s="384">
        <f t="shared" si="1"/>
        <v>0.73541940938528017</v>
      </c>
      <c r="U25" s="267">
        <f t="shared" si="9"/>
        <v>0.27150000000000002</v>
      </c>
      <c r="V25" s="267">
        <f t="shared" si="2"/>
        <v>0.29186250000000002</v>
      </c>
      <c r="W25" s="267">
        <f t="shared" si="3"/>
        <v>0.25113750000000001</v>
      </c>
      <c r="X25" s="267">
        <f t="shared" si="10"/>
        <v>0.27150000000000002</v>
      </c>
      <c r="Y25" s="267">
        <f t="shared" si="4"/>
        <v>0.29186250000000002</v>
      </c>
      <c r="Z25" s="267">
        <f t="shared" si="5"/>
        <v>0.25113750000000001</v>
      </c>
      <c r="AA25" s="267">
        <f t="shared" si="6"/>
        <v>0.2</v>
      </c>
      <c r="AB25" s="267">
        <f t="shared" si="7"/>
        <v>15</v>
      </c>
      <c r="AC25" s="267">
        <f t="shared" si="8"/>
        <v>1.8</v>
      </c>
      <c r="AD25" s="175"/>
      <c r="AG25" s="170"/>
      <c r="AH25" s="196"/>
      <c r="AI25" s="199" t="s">
        <v>36</v>
      </c>
      <c r="AJ25" s="199" t="s">
        <v>36</v>
      </c>
      <c r="AK25" s="199" t="s">
        <v>36</v>
      </c>
      <c r="AL25" s="199" t="s">
        <v>36</v>
      </c>
      <c r="AM25" s="199" t="s">
        <v>36</v>
      </c>
      <c r="AN25" s="224"/>
      <c r="AO25" s="170"/>
      <c r="AP25" s="197"/>
      <c r="AQ25" s="170"/>
    </row>
    <row r="26" spans="1:44" ht="15.75" thickBot="1">
      <c r="A26" s="1363"/>
      <c r="B26" s="183">
        <v>1.3333333333333299</v>
      </c>
      <c r="C26" s="178">
        <f>IFERROR(INDEX(tblConcentrado[Mineral (TMS)],MATCH(RPT_CLAVE*100+ROWS(C$3:C26),tblConcentrado[ID],0)),0)</f>
        <v>1464</v>
      </c>
      <c r="D26" s="178">
        <f>IFERROR(INDEX(tblConcentrado[Concentrado (TMS)],MATCH(RPT_CLAVE*100+ROWS(D$3:D26),tblConcentrado[ID],0)),0)</f>
        <v>961</v>
      </c>
      <c r="E26" s="178">
        <f>IFERROR(INDEX(tblConcentrado[S (%)],MATCH(RPT_CLAVE*100+ROWS(E$3:E26),tblConcentrado[ID],0)),0)</f>
        <v>0</v>
      </c>
      <c r="F26" s="178">
        <f>IFERROR(INDEX(tblConcentrado[RM 1/2/3 DTT-100 S],MATCH(RPT_CLAVE*100+ROWS(F$3:F26),tblConcentrado[ID],0)),0)</f>
        <v>0</v>
      </c>
      <c r="G26" s="178">
        <f>IFERROR(INDEX(tblConcentrado[RM 1/2/3 DTT-100 S/F],MATCH(RPT_CLAVE*100+ROWS(G$3:G26),tblConcentrado[ID],0)),0)</f>
        <v>0</v>
      </c>
      <c r="H26" s="178">
        <f>IFERROR(INDEX(tblConcentrado[RM 5/6/7/8/9 DTT-100 S],MATCH(RPT_CLAVE*100+ROWS(H$3:H26),tblConcentrado[ID],0)),0)</f>
        <v>0</v>
      </c>
      <c r="I26" s="178">
        <f>IFERROR(INDEX(tblConcentrado[RM 5/6/7/8/9 DTT-100 S/F],MATCH(RPT_CLAVE*100+ROWS(I$3:I26),tblConcentrado[ID],0)),0)</f>
        <v>0</v>
      </c>
      <c r="J26" s="178">
        <f>IFERROR(INDEX(tblConcentrado[ESP.Ant Fe],MATCH(RPT_CLAVE*100+ROWS(J$3:J26),tblConcentrado[ID],0)),0)</f>
        <v>0</v>
      </c>
      <c r="K26" s="178">
        <f>IFERROR(INDEX(tblConcentrado[ESP.N Fe Sol],MATCH(RPT_CLAVE*100+ROWS(K$3:K26),tblConcentrado[ID],0)),0)</f>
        <v>0</v>
      </c>
      <c r="L26" s="178">
        <f>IFERROR(INDEX(tblConcentrado[ESP.Ant FeO],MATCH(RPT_CLAVE*100+ROWS(L$3:L26),tblConcentrado[ID],0)),0)</f>
        <v>0</v>
      </c>
      <c r="M26" s="178">
        <f>IFERROR(INDEX(tblConcentrado[ESP.N FeO],MATCH(RPT_CLAVE*100+ROWS(M$3:M26),tblConcentrado[ID],0)),0)</f>
        <v>0</v>
      </c>
      <c r="N26" s="178">
        <f>N(IFERROR(INDEX(tblConcentrado[Prom. Fe Sol],MATCH(RPT_CLAVE*100+ROWS(N$3:N26),tblConcentrado[ID],0)),0))</f>
        <v>0</v>
      </c>
      <c r="O26" s="178">
        <f>N(IFERROR(INDEX(tblConcentrado[Prom. FeO],MATCH(RPT_CLAVE*100+ROWS(O$3:O26),tblConcentrado[ID],0)),0))</f>
        <v>0</v>
      </c>
      <c r="P26" s="178">
        <f>IFERROR(INDEX(tblConcentrado[H2O (%)],MATCH(RPT_CLAVE*100+ROWS(P$3:P26),tblConcentrado[ID],0)),0)</f>
        <v>0</v>
      </c>
      <c r="Q26" s="178">
        <f>IFERROR(INDEX(tblConcentrado[% Recup.],MATCH(RPT_CLAVE*100+ROWS(Q$3:Q26),tblConcentrado[ID],0)),"")</f>
        <v>0.65642076502732238</v>
      </c>
      <c r="R26" s="178">
        <f>IFERROR(INDEX(tblConcentrado[Ratio],MATCH(RPT_CLAVE*100+ROWS(R$3:R26),tblConcentrado[ID],0)),0)</f>
        <v>1.5234131113423517</v>
      </c>
      <c r="S26" s="333">
        <f t="shared" si="0"/>
        <v>87.664670658682624</v>
      </c>
      <c r="T26" s="384">
        <f t="shared" si="1"/>
        <v>0.8344014786531927</v>
      </c>
      <c r="U26" s="267">
        <f t="shared" si="9"/>
        <v>0.27150000000000002</v>
      </c>
      <c r="V26" s="267">
        <f t="shared" si="2"/>
        <v>0.29186250000000002</v>
      </c>
      <c r="W26" s="267">
        <f t="shared" si="3"/>
        <v>0.25113750000000001</v>
      </c>
      <c r="X26" s="267">
        <f t="shared" si="10"/>
        <v>0.27150000000000002</v>
      </c>
      <c r="Y26" s="267">
        <f t="shared" si="4"/>
        <v>0.29186250000000002</v>
      </c>
      <c r="Z26" s="267">
        <f t="shared" si="5"/>
        <v>0.25113750000000001</v>
      </c>
      <c r="AA26" s="267">
        <f t="shared" si="6"/>
        <v>0.2</v>
      </c>
      <c r="AB26" s="267">
        <f t="shared" si="7"/>
        <v>15</v>
      </c>
      <c r="AC26" s="267">
        <f t="shared" si="8"/>
        <v>1.8</v>
      </c>
      <c r="AD26" s="175"/>
      <c r="AG26" s="170"/>
      <c r="AH26" s="196"/>
      <c r="AI26" s="1342" t="s">
        <v>54</v>
      </c>
      <c r="AJ26" s="1343"/>
      <c r="AK26" s="1343"/>
      <c r="AL26" s="1343"/>
      <c r="AM26" s="1344"/>
      <c r="AN26" s="224"/>
      <c r="AO26" s="170"/>
      <c r="AP26" s="197"/>
      <c r="AQ26" s="170"/>
    </row>
    <row r="27" spans="1:44">
      <c r="A27" s="1353" t="s">
        <v>55</v>
      </c>
      <c r="B27" s="1353"/>
      <c r="C27" s="178">
        <f>IF(SUMIFS(tblConcentrado[Mineral (TMS)],tblConcentrado[Fecha],RPT_FECHA)=0,"",SUMIFS(tblConcentrado[Mineral (TMS)],tblConcentrado[Fecha],RPT_FECHA))</f>
        <v>33347</v>
      </c>
      <c r="D27" s="178">
        <f>IF(SUMIFS(tblConcentrado[Concentrado (TMS)],tblConcentrado[Fecha],RPT_FECHA)=0,"",SUMIFS(tblConcentrado[Concentrado (TMS)],tblConcentrado[Fecha],RPT_FECHA))</f>
        <v>21599</v>
      </c>
      <c r="E27" s="178">
        <f>IFERROR(AVERAGEIFS(tblConcentrado[S (%)],tblConcentrado[Fecha],RPT_FECHA),0)</f>
        <v>0.19075</v>
      </c>
      <c r="F27" s="178">
        <f>IFERROR(AVERAGEIFS(tblConcentrado[RM 1/2/3 DTT-100 S],tblConcentrado[Fecha],RPT_FECHA),0)</f>
        <v>0.61550000000000005</v>
      </c>
      <c r="G27" s="178">
        <f>IFERROR(AVERAGEIFS(tblConcentrado[RM 1/2/3 DTT-100 S/F],tblConcentrado[Fecha],RPT_FECHA),0)</f>
        <v>0.3772727272727272</v>
      </c>
      <c r="H27" s="178">
        <f>IFERROR(AVERAGEIFS(tblConcentrado[RM 5/6/7/8/9 DTT-100 S],tblConcentrado[Fecha],RPT_FECHA),0)</f>
        <v>0.61550000000000005</v>
      </c>
      <c r="I27" s="178">
        <f>IFERROR(AVERAGEIFS(tblConcentrado[RM 5/6/7/8/9 DTT-100 S/F],tblConcentrado[Fecha],RPT_FECHA),0)</f>
        <v>0.3772727272727272</v>
      </c>
      <c r="J27" s="178">
        <f>IFERROR(AVERAGEIFS(tblConcentrado[ESP.Ant Fe],tblConcentrado[Fecha],RPT_FECHA),"")</f>
        <v>23.690909090909091</v>
      </c>
      <c r="K27" s="178">
        <f>IFERROR(AVERAGEIFS(tblConcentrado[ESP.N Fe Sol],tblConcentrado[Fecha],RPT_FECHA),"")</f>
        <v>14.263636363636364</v>
      </c>
      <c r="L27" s="178">
        <f>IFERROR(AVERAGEIFS(tblConcentrado[ESP.Ant FeO],tblConcentrado[Fecha],RPT_FECHA),"")</f>
        <v>2.4333333333333331</v>
      </c>
      <c r="M27" s="178">
        <f>IFERROR(AVERAGEIFS(tblConcentrado[ESP.N FeO],tblConcentrado[Fecha],RPT_FECHA),"")</f>
        <v>2.0499999999999998</v>
      </c>
      <c r="N27" s="178">
        <f>IFERROR(AVERAGEIFS(tblConcentrado[Prom. Fe Sol],tblConcentrado[Fecha],RPT_FECHA),0)</f>
        <v>18.034545454545455</v>
      </c>
      <c r="O27" s="178">
        <f>IFERROR(AVERAGEIFS(tblConcentrado[Prom. FeO],tblConcentrado[Fecha],RPT_FECHA),0)</f>
        <v>2.2033333333333331</v>
      </c>
      <c r="P27" s="178">
        <f>IFERROR(AVERAGEIFS(tblConcentrado[H2O (%)],tblConcentrado[Fecha],RPT_FECHA),0)</f>
        <v>8.3083333333333336</v>
      </c>
      <c r="Q27" s="178">
        <f>IFERROR(D27/C27,"")</f>
        <v>0.64770444117911652</v>
      </c>
      <c r="R27" s="178">
        <f>IFERROR(1/Q27,0)</f>
        <v>1.5439140700958378</v>
      </c>
      <c r="S27" s="333">
        <f>AVERAGE(S3:S26)</f>
        <v>83.201097804391225</v>
      </c>
      <c r="T27" s="384">
        <f>D27/P_CAP_CONC_DIA</f>
        <v>0.78140121130030826</v>
      </c>
      <c r="U27" s="386">
        <f>+C27/S27*100</f>
        <v>40079.999999999993</v>
      </c>
      <c r="AG27" s="170"/>
      <c r="AH27" s="196"/>
      <c r="AI27" s="759"/>
      <c r="AJ27" s="193" t="s">
        <v>47</v>
      </c>
      <c r="AK27" s="194" t="s">
        <v>48</v>
      </c>
      <c r="AL27" s="195" t="str">
        <f>RPT_MES_NOMBRE</f>
        <v>Setiembre</v>
      </c>
      <c r="AM27" s="203" t="s">
        <v>50</v>
      </c>
      <c r="AN27" s="224"/>
      <c r="AO27" s="170"/>
      <c r="AP27" s="170"/>
      <c r="AQ27" s="170"/>
    </row>
    <row r="28" spans="1:44">
      <c r="B28" s="177"/>
      <c r="AG28" s="170"/>
      <c r="AH28" s="196"/>
      <c r="AI28" s="761" t="s">
        <v>51</v>
      </c>
      <c r="AJ28" s="188" cm="1">
        <f t="array" ref="AJ28">INDEX($AK$64:$AK$94,RPT_DIA)</f>
        <v>1970</v>
      </c>
      <c r="AK28" s="188">
        <f>SUM(INDEX($AK$64:$AK$94,MAX(1,RPT_SEM_INI)):INDEX($AK$64:$AK$94,RPT_DIA))+IF(RPT_SEM_INI&lt;1,$AK$61,0)</f>
        <v>10415</v>
      </c>
      <c r="AL28" s="188">
        <f>SUM($AK$64:INDEX($AK$64:$AK$94,RPT_DIA))</f>
        <v>106432</v>
      </c>
      <c r="AM28" s="204">
        <f>SUMIFS(REAL_SINTER,Parámetros!$C$17:$C$28,"&lt;"&amp;RPT_MES)+AL28</f>
        <v>1112610</v>
      </c>
      <c r="AN28" s="223"/>
      <c r="AO28" s="170"/>
      <c r="AP28" s="170"/>
      <c r="AQ28" s="170"/>
    </row>
    <row r="29" spans="1:44">
      <c r="B29" s="177"/>
      <c r="T29" s="176">
        <f>+C27/U27</f>
        <v>0.83201097804391233</v>
      </c>
      <c r="AG29" s="170"/>
      <c r="AH29" s="196"/>
      <c r="AI29" s="231" t="s">
        <v>52</v>
      </c>
      <c r="AJ29" s="188">
        <f>RPT_PPTO_DIA_SINTER</f>
        <v>3333.3333333333335</v>
      </c>
      <c r="AK29" s="188">
        <f>RPT_PPTO_DIA_SINTER*RPT_SEM_DIAS</f>
        <v>10000</v>
      </c>
      <c r="AL29" s="188">
        <f>RPT_PPTO_DIA_SINTER*RPT_DIA</f>
        <v>96666.666666666672</v>
      </c>
      <c r="AM29" s="204">
        <f>SUM(PPTO_SINTER)</f>
        <v>1200000</v>
      </c>
      <c r="AN29" s="199"/>
      <c r="AO29" s="170"/>
      <c r="AP29" s="170"/>
      <c r="AQ29" s="170"/>
    </row>
    <row r="30" spans="1:44" ht="15.75" thickBot="1">
      <c r="B30" s="177"/>
      <c r="AG30" s="170"/>
      <c r="AH30" s="198"/>
      <c r="AI30" s="232" t="s">
        <v>53</v>
      </c>
      <c r="AJ30" s="233">
        <f>IFERROR(AJ28/AJ29,0)</f>
        <v>0.59099999999999997</v>
      </c>
      <c r="AK30" s="233">
        <f>IFERROR(AK28/AK29,0)</f>
        <v>1.0415000000000001</v>
      </c>
      <c r="AL30" s="233">
        <f>IFERROR(AL28/AL29,0)</f>
        <v>1.1010206896551724</v>
      </c>
      <c r="AM30" s="205">
        <f>IFERROR(AM28/AM29,0)</f>
        <v>0.92717499999999997</v>
      </c>
      <c r="AN30" s="199"/>
      <c r="AO30" s="258"/>
      <c r="AP30" s="258"/>
      <c r="AQ30" s="170"/>
    </row>
    <row r="31" spans="1:44">
      <c r="B31" s="177"/>
      <c r="AG31" s="170"/>
      <c r="AH31" s="170"/>
      <c r="AI31" s="170"/>
      <c r="AJ31" s="170"/>
      <c r="AK31" s="170"/>
      <c r="AL31" s="170"/>
      <c r="AM31" s="170"/>
      <c r="AN31" s="170"/>
      <c r="AO31" s="170"/>
      <c r="AP31" s="170"/>
      <c r="AQ31" s="170"/>
      <c r="AR31" s="170"/>
    </row>
    <row r="32" spans="1:44">
      <c r="B32" s="177"/>
      <c r="AG32" s="170"/>
      <c r="AH32" s="170"/>
      <c r="AI32" s="170"/>
      <c r="AJ32" s="170"/>
      <c r="AK32" s="170"/>
      <c r="AL32" s="170"/>
      <c r="AM32" s="170"/>
      <c r="AN32" s="170"/>
      <c r="AO32" s="170"/>
      <c r="AP32" s="170"/>
      <c r="AQ32" s="170"/>
      <c r="AR32" s="170"/>
    </row>
    <row r="33" spans="2:44">
      <c r="B33" s="177"/>
      <c r="AG33" s="184"/>
      <c r="AH33" s="184"/>
      <c r="AI33" s="170"/>
      <c r="AJ33" s="170"/>
      <c r="AK33" s="170"/>
      <c r="AL33" s="170"/>
      <c r="AM33" s="170"/>
      <c r="AN33" s="170"/>
      <c r="AO33" s="170"/>
      <c r="AP33" s="170"/>
      <c r="AQ33" s="170"/>
      <c r="AR33" s="170"/>
    </row>
    <row r="34" spans="2:44">
      <c r="B34" s="177"/>
      <c r="AG34" s="184"/>
      <c r="AH34" s="184"/>
      <c r="AI34" s="170"/>
      <c r="AJ34" s="170"/>
      <c r="AK34" s="170"/>
      <c r="AL34" s="170"/>
      <c r="AM34" s="170"/>
      <c r="AN34" s="170"/>
      <c r="AO34" s="170"/>
      <c r="AP34" s="170"/>
      <c r="AQ34" s="170"/>
      <c r="AR34" s="170"/>
    </row>
    <row r="35" spans="2:44">
      <c r="B35" s="177"/>
      <c r="AG35" s="184"/>
      <c r="AH35" s="184"/>
      <c r="AI35" s="170"/>
      <c r="AJ35" s="170"/>
      <c r="AK35" s="170"/>
      <c r="AL35" s="170"/>
      <c r="AM35" s="170"/>
      <c r="AN35" s="170"/>
      <c r="AO35" s="170"/>
      <c r="AP35" s="170"/>
      <c r="AQ35" s="170"/>
      <c r="AR35" s="170"/>
    </row>
    <row r="36" spans="2:44">
      <c r="B36" s="177"/>
      <c r="AG36" s="184"/>
      <c r="AH36" s="184"/>
      <c r="AI36" s="170"/>
      <c r="AJ36" s="170"/>
      <c r="AK36" s="170"/>
      <c r="AL36" s="170"/>
      <c r="AM36" s="170"/>
      <c r="AN36" s="170"/>
      <c r="AO36" s="170"/>
      <c r="AP36" s="170"/>
      <c r="AQ36" s="170"/>
      <c r="AR36" s="170"/>
    </row>
    <row r="37" spans="2:44">
      <c r="AG37" s="184"/>
      <c r="AH37" s="184"/>
      <c r="AI37" s="170"/>
      <c r="AJ37" s="170"/>
      <c r="AK37" s="170"/>
      <c r="AL37" s="170"/>
      <c r="AM37" s="170"/>
      <c r="AN37" s="170"/>
      <c r="AO37" s="170"/>
      <c r="AP37" s="170"/>
      <c r="AQ37" s="170"/>
      <c r="AR37" s="170"/>
    </row>
    <row r="38" spans="2:44">
      <c r="AG38" s="184"/>
      <c r="AH38" s="184"/>
      <c r="AI38" s="170"/>
      <c r="AJ38" s="170"/>
      <c r="AK38" s="170"/>
      <c r="AL38" s="170"/>
      <c r="AM38" s="170"/>
      <c r="AN38" s="170"/>
      <c r="AO38" s="170"/>
      <c r="AP38" s="170"/>
      <c r="AQ38" s="170"/>
      <c r="AR38" s="170"/>
    </row>
    <row r="39" spans="2:44">
      <c r="AG39" s="184"/>
      <c r="AH39" s="184"/>
      <c r="AI39" s="170"/>
      <c r="AJ39" s="170"/>
      <c r="AK39" s="170"/>
      <c r="AL39" s="170"/>
      <c r="AM39" s="170"/>
      <c r="AN39" s="170"/>
      <c r="AO39" s="170"/>
      <c r="AP39" s="170"/>
      <c r="AQ39" s="170"/>
      <c r="AR39" s="170"/>
    </row>
    <row r="40" spans="2:44">
      <c r="AG40" s="184"/>
      <c r="AH40" s="184"/>
      <c r="AI40" s="170"/>
      <c r="AJ40" s="170"/>
      <c r="AK40" s="170"/>
      <c r="AL40" s="170"/>
      <c r="AM40" s="170"/>
      <c r="AN40" s="170"/>
      <c r="AO40" s="170"/>
      <c r="AP40" s="170"/>
      <c r="AQ40" s="170"/>
      <c r="AR40" s="170"/>
    </row>
    <row r="41" spans="2:44">
      <c r="AG41" s="184"/>
      <c r="AH41" s="184"/>
      <c r="AI41" s="170"/>
      <c r="AJ41" s="170"/>
      <c r="AK41" s="170"/>
      <c r="AL41" s="170"/>
      <c r="AM41" s="170"/>
      <c r="AN41" s="170"/>
      <c r="AO41" s="170"/>
      <c r="AP41" s="170"/>
      <c r="AQ41" s="170"/>
      <c r="AR41" s="170"/>
    </row>
    <row r="42" spans="2:44">
      <c r="AG42" s="184"/>
      <c r="AH42" s="184"/>
      <c r="AI42" s="170"/>
      <c r="AJ42" s="170"/>
      <c r="AK42" s="170"/>
      <c r="AL42" s="170"/>
      <c r="AM42" s="170"/>
      <c r="AN42" s="170"/>
      <c r="AO42" s="170"/>
      <c r="AP42" s="170"/>
      <c r="AQ42" s="170"/>
      <c r="AR42" s="170"/>
    </row>
    <row r="43" spans="2:44">
      <c r="AG43" s="184"/>
      <c r="AH43" s="184"/>
      <c r="AI43" s="170"/>
      <c r="AJ43" s="170"/>
      <c r="AK43" s="170"/>
      <c r="AL43" s="170"/>
      <c r="AM43" s="170"/>
      <c r="AN43" s="170"/>
      <c r="AO43" s="170"/>
      <c r="AP43" s="170"/>
      <c r="AQ43" s="170"/>
      <c r="AR43" s="170"/>
    </row>
    <row r="44" spans="2:44">
      <c r="AG44" s="184"/>
      <c r="AH44" s="184"/>
      <c r="AI44" s="170"/>
      <c r="AJ44" s="170"/>
      <c r="AK44" s="170"/>
      <c r="AL44" s="170"/>
      <c r="AM44" s="170"/>
      <c r="AN44" s="170"/>
      <c r="AO44" s="170"/>
      <c r="AP44" s="170"/>
      <c r="AQ44" s="170"/>
      <c r="AR44" s="170"/>
    </row>
    <row r="45" spans="2:44">
      <c r="AG45" s="184"/>
      <c r="AH45" s="184"/>
      <c r="AI45" s="170"/>
      <c r="AJ45" s="170"/>
      <c r="AK45" s="170"/>
      <c r="AL45" s="170"/>
      <c r="AM45" s="170"/>
      <c r="AN45" s="170"/>
      <c r="AO45" s="170"/>
      <c r="AP45" s="170"/>
      <c r="AQ45" s="170"/>
      <c r="AR45" s="170"/>
    </row>
    <row r="46" spans="2:44">
      <c r="AG46" s="184"/>
      <c r="AH46" s="184"/>
      <c r="AI46" s="170"/>
      <c r="AJ46" s="170"/>
      <c r="AK46" s="170"/>
      <c r="AL46" s="170"/>
      <c r="AM46" s="170"/>
      <c r="AN46" s="170"/>
      <c r="AO46" s="170"/>
      <c r="AP46" s="170"/>
      <c r="AQ46" s="170"/>
      <c r="AR46" s="170"/>
    </row>
    <row r="47" spans="2:44">
      <c r="AG47" s="184"/>
      <c r="AH47" s="184"/>
      <c r="AI47" s="170"/>
      <c r="AJ47" s="170"/>
      <c r="AK47" s="170"/>
      <c r="AL47" s="170"/>
      <c r="AM47" s="170"/>
      <c r="AN47" s="170"/>
      <c r="AO47" s="170"/>
      <c r="AP47" s="170"/>
      <c r="AQ47" s="170"/>
      <c r="AR47" s="170"/>
    </row>
    <row r="48" spans="2:44">
      <c r="AG48" s="184"/>
      <c r="AH48" s="184"/>
      <c r="AI48" s="170"/>
      <c r="AJ48" s="170"/>
      <c r="AK48" s="170"/>
      <c r="AL48" s="170"/>
      <c r="AM48" s="170"/>
      <c r="AN48" s="170"/>
      <c r="AO48" s="170"/>
      <c r="AP48" s="170"/>
      <c r="AQ48" s="170"/>
      <c r="AR48" s="170"/>
    </row>
    <row r="49" spans="33:48">
      <c r="AG49" s="184"/>
      <c r="AH49" s="184"/>
      <c r="AI49" s="170"/>
      <c r="AJ49" s="170"/>
      <c r="AK49" s="170"/>
      <c r="AL49" s="170"/>
      <c r="AM49" s="170"/>
      <c r="AN49" s="170"/>
      <c r="AO49" s="170"/>
      <c r="AP49" s="170"/>
      <c r="AQ49" s="170"/>
      <c r="AR49" s="170"/>
    </row>
    <row r="50" spans="33:48">
      <c r="AG50" s="184"/>
      <c r="AH50" s="184"/>
      <c r="AI50" s="170"/>
      <c r="AJ50" s="170"/>
      <c r="AK50" s="170"/>
      <c r="AL50" s="170"/>
      <c r="AM50" s="170"/>
      <c r="AN50" s="170"/>
      <c r="AO50" s="170"/>
      <c r="AP50" s="170"/>
      <c r="AQ50" s="170"/>
      <c r="AR50" s="170"/>
    </row>
    <row r="51" spans="33:48">
      <c r="AG51" s="184"/>
      <c r="AH51" s="184"/>
      <c r="AI51" s="170"/>
      <c r="AJ51" s="170"/>
      <c r="AK51" s="170"/>
      <c r="AL51" s="170"/>
      <c r="AM51" s="170"/>
      <c r="AN51" s="170"/>
      <c r="AO51" s="170"/>
      <c r="AP51" s="170"/>
      <c r="AQ51" s="170"/>
      <c r="AR51" s="170"/>
    </row>
    <row r="52" spans="33:48">
      <c r="AG52" s="184"/>
      <c r="AH52" s="184"/>
      <c r="AI52" s="170"/>
      <c r="AJ52" s="170"/>
      <c r="AK52" s="170"/>
      <c r="AL52" s="170"/>
      <c r="AM52" s="170"/>
      <c r="AN52" s="170"/>
      <c r="AO52" s="170"/>
      <c r="AP52" s="170"/>
      <c r="AQ52" s="170"/>
      <c r="AR52" s="170"/>
    </row>
    <row r="53" spans="33:48">
      <c r="AG53" s="184"/>
      <c r="AH53" s="184"/>
      <c r="AI53" s="170"/>
      <c r="AJ53" s="170"/>
      <c r="AK53" s="170"/>
      <c r="AL53" s="170"/>
      <c r="AM53" s="170"/>
      <c r="AN53" s="170"/>
      <c r="AO53" s="170"/>
      <c r="AP53" s="170"/>
      <c r="AQ53" s="170"/>
      <c r="AR53" s="170"/>
    </row>
    <row r="54" spans="33:48">
      <c r="AG54" s="184"/>
      <c r="AH54" s="184"/>
      <c r="AI54" s="170"/>
      <c r="AJ54" s="170"/>
      <c r="AK54" s="170"/>
      <c r="AL54" s="170"/>
      <c r="AM54" s="170"/>
      <c r="AN54" s="170"/>
      <c r="AO54" s="170"/>
      <c r="AP54" s="170"/>
      <c r="AQ54" s="170"/>
      <c r="AR54" s="170"/>
    </row>
    <row r="55" spans="33:48">
      <c r="AG55" s="184"/>
      <c r="AH55" s="184"/>
      <c r="AI55" s="170"/>
      <c r="AJ55" s="170"/>
      <c r="AK55" s="170"/>
      <c r="AL55" s="170">
        <v>22218</v>
      </c>
      <c r="AM55" s="170">
        <f>+AL55*5</f>
        <v>111090</v>
      </c>
      <c r="AN55" s="170"/>
      <c r="AO55" s="170"/>
      <c r="AP55" s="170"/>
      <c r="AQ55" s="170"/>
      <c r="AR55" s="170"/>
    </row>
    <row r="56" spans="33:48">
      <c r="AG56" s="184"/>
      <c r="AH56" s="184"/>
      <c r="AI56" s="170"/>
      <c r="AJ56" s="170"/>
      <c r="AK56" s="170"/>
      <c r="AL56" s="170">
        <v>18889.52</v>
      </c>
      <c r="AM56" s="170">
        <f>+AL56*2</f>
        <v>37779.040000000001</v>
      </c>
      <c r="AN56" s="170"/>
      <c r="AO56" s="170"/>
      <c r="AP56" s="170"/>
      <c r="AQ56" s="170"/>
      <c r="AR56" s="170"/>
    </row>
    <row r="57" spans="33:48">
      <c r="AG57" s="184"/>
      <c r="AH57" s="184"/>
      <c r="AI57" s="170"/>
      <c r="AJ57" s="170"/>
      <c r="AK57" s="170"/>
      <c r="AL57" s="170"/>
      <c r="AM57" s="170">
        <f>SUM(AM55:AM56)</f>
        <v>148869.04</v>
      </c>
      <c r="AN57" s="170"/>
      <c r="AO57" s="170"/>
      <c r="AP57" s="170"/>
      <c r="AQ57" s="170"/>
      <c r="AR57" s="170"/>
    </row>
    <row r="58" spans="33:48">
      <c r="AG58" s="184"/>
      <c r="AH58" s="184"/>
      <c r="AI58" s="170"/>
      <c r="AJ58" s="170"/>
      <c r="AK58" s="170"/>
      <c r="AL58" s="170"/>
      <c r="AM58" s="170"/>
      <c r="AN58" s="170"/>
      <c r="AO58" s="170"/>
      <c r="AP58" s="170"/>
      <c r="AQ58" s="170"/>
      <c r="AR58" s="170"/>
    </row>
    <row r="59" spans="33:48">
      <c r="AG59" s="184"/>
      <c r="AH59" s="184"/>
      <c r="AI59" s="170"/>
      <c r="AJ59" s="170"/>
      <c r="AK59" s="170"/>
      <c r="AL59" s="170"/>
      <c r="AM59" s="170"/>
      <c r="AN59" s="170"/>
      <c r="AO59" s="170"/>
      <c r="AP59" s="170"/>
      <c r="AQ59" s="170"/>
      <c r="AR59" s="170"/>
    </row>
    <row r="60" spans="33:48">
      <c r="AG60" s="184"/>
      <c r="AH60" s="184"/>
      <c r="AI60" s="170"/>
      <c r="AJ60" s="170"/>
      <c r="AK60" s="170"/>
      <c r="AL60" s="170"/>
      <c r="AM60" s="170"/>
      <c r="AN60" s="170"/>
      <c r="AO60" s="170"/>
      <c r="AP60" s="170"/>
      <c r="AQ60" s="170"/>
      <c r="AR60" s="170"/>
    </row>
    <row r="61" spans="33:48" ht="15.75" thickBot="1">
      <c r="AG61" s="184"/>
      <c r="AH61" s="184"/>
      <c r="AI61" s="170"/>
      <c r="AJ61" s="318">
        <v>45361</v>
      </c>
      <c r="AK61" s="318">
        <v>6693</v>
      </c>
      <c r="AL61" s="318"/>
      <c r="AM61" s="318"/>
      <c r="AN61" s="170"/>
      <c r="AO61" s="170"/>
      <c r="AP61" s="170"/>
      <c r="AQ61" s="170"/>
      <c r="AR61" s="170"/>
    </row>
    <row r="62" spans="33:48" ht="15.75" thickBot="1">
      <c r="AG62" s="184"/>
      <c r="AH62" s="184"/>
      <c r="AI62" s="1354" t="str">
        <f>UPPER(RPT_MES_NOMBRE)</f>
        <v>SETIEMBRE</v>
      </c>
      <c r="AJ62" s="1355"/>
      <c r="AK62" s="1355"/>
      <c r="AL62" s="1355"/>
      <c r="AM62" s="1356"/>
      <c r="AN62" s="170"/>
      <c r="AO62" s="170"/>
      <c r="AP62" s="1354" t="str">
        <f>UPPER(RPT_MES_NOMBRE)</f>
        <v>SETIEMBRE</v>
      </c>
      <c r="AQ62" s="1355"/>
      <c r="AR62" s="1355"/>
      <c r="AS62" s="1355"/>
      <c r="AT62" s="1356"/>
      <c r="AV62" s="302"/>
    </row>
    <row r="63" spans="33:48" ht="16.5" thickBot="1">
      <c r="AG63" s="184"/>
      <c r="AH63" s="184"/>
      <c r="AI63" s="193" t="s">
        <v>31</v>
      </c>
      <c r="AJ63" s="193" t="s">
        <v>46</v>
      </c>
      <c r="AK63" s="193" t="s">
        <v>54</v>
      </c>
      <c r="AL63" s="257">
        <f>RPT_PPTO_DIA_CONC</f>
        <v>23201.566666666666</v>
      </c>
      <c r="AM63" s="303">
        <f>RPT_PPTO_DIA_SINTER</f>
        <v>3333.3333333333335</v>
      </c>
      <c r="AN63" s="304">
        <f>RPT_DIA</f>
        <v>29</v>
      </c>
      <c r="AO63" s="184"/>
      <c r="AP63" s="1340" t="s">
        <v>41</v>
      </c>
      <c r="AQ63" s="1341"/>
      <c r="AR63" s="1341"/>
      <c r="AS63" s="1341"/>
      <c r="AT63" s="1341"/>
      <c r="AV63" s="302"/>
    </row>
    <row r="64" spans="33:48">
      <c r="AG64" s="184"/>
      <c r="AH64" s="184"/>
      <c r="AI64" s="305">
        <v>1</v>
      </c>
      <c r="AJ64" s="895">
        <f>IF(OR($AI64&gt;RPT_DIA,N('Índice Diario'!E5)=0),"",'Índice Diario'!E5)</f>
        <v>23744</v>
      </c>
      <c r="AK64" s="895">
        <f>IF(OR($AI64&gt;RPT_DIA,N('Índice Diario'!H5)=0),"",'Índice Diario'!H5)</f>
        <v>3144</v>
      </c>
      <c r="AL64" s="394"/>
      <c r="AM64" s="394"/>
      <c r="AN64" s="336"/>
      <c r="AO64" s="193" t="s">
        <v>57</v>
      </c>
      <c r="AP64" s="200" t="s">
        <v>58</v>
      </c>
      <c r="AQ64" s="193" t="s">
        <v>59</v>
      </c>
      <c r="AR64" s="193" t="s">
        <v>60</v>
      </c>
      <c r="AS64" s="193" t="s">
        <v>61</v>
      </c>
      <c r="AT64" s="193" t="s">
        <v>62</v>
      </c>
      <c r="AU64" s="193" t="s">
        <v>63</v>
      </c>
      <c r="AV64" s="302"/>
    </row>
    <row r="65" spans="33:50">
      <c r="AG65" s="184"/>
      <c r="AH65" s="184"/>
      <c r="AI65" s="305">
        <v>2</v>
      </c>
      <c r="AJ65" s="895">
        <f>IF(OR($AI65&gt;RPT_DIA,N('Índice Diario'!E6)=0),"",'Índice Diario'!E6)</f>
        <v>24312</v>
      </c>
      <c r="AK65" s="895">
        <f>IF(OR($AI65&gt;RPT_DIA,N('Índice Diario'!H6)=0),"",'Índice Diario'!H6)</f>
        <v>3286</v>
      </c>
      <c r="AL65" s="306"/>
      <c r="AM65" s="306"/>
      <c r="AN65" s="336"/>
      <c r="AO65" s="171">
        <v>1</v>
      </c>
      <c r="AP65" s="188" t="s">
        <v>64</v>
      </c>
      <c r="AQ65" s="188" t="s">
        <v>65</v>
      </c>
      <c r="AR65" s="188" t="s">
        <v>66</v>
      </c>
      <c r="AS65" s="188">
        <v>168408</v>
      </c>
      <c r="AT65" s="201"/>
      <c r="AU65" s="201"/>
      <c r="AV65" s="302"/>
    </row>
    <row r="66" spans="33:50">
      <c r="AG66" s="184"/>
      <c r="AH66" s="184"/>
      <c r="AI66" s="305">
        <v>3</v>
      </c>
      <c r="AJ66" s="895">
        <f>IF(OR($AI66&gt;RPT_DIA,N('Índice Diario'!E7)=0),"",'Índice Diario'!E7)</f>
        <v>21281</v>
      </c>
      <c r="AK66" s="895">
        <f>IF(OR($AI66&gt;RPT_DIA,N('Índice Diario'!H7)=0),"",'Índice Diario'!H7)</f>
        <v>3318</v>
      </c>
      <c r="AL66" s="307"/>
      <c r="AM66" s="307"/>
      <c r="AN66" s="336"/>
      <c r="AO66" s="202">
        <v>2</v>
      </c>
      <c r="AP66" s="188" t="s">
        <v>67</v>
      </c>
      <c r="AQ66" s="325" t="s">
        <v>68</v>
      </c>
      <c r="AR66" s="188" t="s">
        <v>69</v>
      </c>
      <c r="AS66" s="188">
        <v>163104.85999999999</v>
      </c>
      <c r="AT66" s="201"/>
      <c r="AU66" s="201"/>
      <c r="AV66" s="302"/>
    </row>
    <row r="67" spans="33:50">
      <c r="AG67" s="184"/>
      <c r="AH67" s="184"/>
      <c r="AI67" s="305">
        <v>4</v>
      </c>
      <c r="AJ67" s="895">
        <f>IF(OR($AI67&gt;RPT_DIA,N('Índice Diario'!E8)=0),"",'Índice Diario'!E8)</f>
        <v>21231</v>
      </c>
      <c r="AK67" s="895">
        <f>IF(OR($AI67&gt;RPT_DIA,N('Índice Diario'!H8)=0),"",'Índice Diario'!H8)</f>
        <v>4243</v>
      </c>
      <c r="AL67" s="308"/>
      <c r="AM67" s="308"/>
      <c r="AN67" s="336"/>
      <c r="AO67" s="202">
        <v>3</v>
      </c>
      <c r="AP67" s="188" t="s">
        <v>70</v>
      </c>
      <c r="AQ67" s="188" t="s">
        <v>71</v>
      </c>
      <c r="AR67" s="188"/>
      <c r="AS67" s="188"/>
      <c r="AT67" s="201"/>
      <c r="AU67" s="201"/>
      <c r="AV67" s="302"/>
    </row>
    <row r="68" spans="33:50">
      <c r="AG68" s="184"/>
      <c r="AH68" s="170"/>
      <c r="AI68" s="305">
        <v>5</v>
      </c>
      <c r="AJ68" s="895">
        <f>IF(OR($AI68&gt;RPT_DIA,N('Índice Diario'!E9)=0),"",'Índice Diario'!E9)</f>
        <v>21964</v>
      </c>
      <c r="AK68" s="895">
        <f>IF(OR($AI68&gt;RPT_DIA,N('Índice Diario'!H9)=0),"",'Índice Diario'!H9)</f>
        <v>3411</v>
      </c>
      <c r="AL68" s="308">
        <f>+SUM(AJ61,AJ64:AJ68)</f>
        <v>157893</v>
      </c>
      <c r="AM68" s="308">
        <f>+SUM(AK61,AK64:AK68)</f>
        <v>24095</v>
      </c>
      <c r="AN68" s="336"/>
      <c r="AO68" s="202">
        <v>4</v>
      </c>
      <c r="AP68" s="188"/>
      <c r="AQ68" s="188"/>
      <c r="AR68" s="188"/>
      <c r="AS68" s="188"/>
      <c r="AT68" s="201"/>
      <c r="AU68" s="201"/>
      <c r="AV68" s="302"/>
    </row>
    <row r="69" spans="33:50">
      <c r="AG69" s="184"/>
      <c r="AH69" s="170"/>
      <c r="AI69" s="310">
        <v>6</v>
      </c>
      <c r="AJ69" s="895">
        <f>IF(OR($AI69&gt;RPT_DIA,N('Índice Diario'!E10)=0),"",'Índice Diario'!E10)</f>
        <v>21113</v>
      </c>
      <c r="AK69" s="895">
        <f>IF(OR($AI69&gt;RPT_DIA,N('Índice Diario'!H10)=0),"",'Índice Diario'!H10)</f>
        <v>4183</v>
      </c>
      <c r="AL69" s="308"/>
      <c r="AM69" s="308"/>
      <c r="AN69" s="336"/>
      <c r="AO69" s="202">
        <v>5</v>
      </c>
      <c r="AP69" s="188"/>
      <c r="AQ69" s="188"/>
      <c r="AR69" s="188"/>
      <c r="AS69" s="188"/>
      <c r="AT69" s="201"/>
      <c r="AU69" s="201"/>
      <c r="AV69" s="302"/>
    </row>
    <row r="70" spans="33:50">
      <c r="AG70" s="184"/>
      <c r="AH70" s="170"/>
      <c r="AI70" s="310">
        <v>7</v>
      </c>
      <c r="AJ70" s="895">
        <f>IF(OR($AI70&gt;RPT_DIA,N('Índice Diario'!E11)=0),"",'Índice Diario'!E11)</f>
        <v>20225</v>
      </c>
      <c r="AK70" s="895">
        <f>IF(OR($AI70&gt;RPT_DIA,N('Índice Diario'!H11)=0),"",'Índice Diario'!H11)</f>
        <v>3814</v>
      </c>
      <c r="AL70" s="307"/>
      <c r="AM70" s="307"/>
      <c r="AN70" s="336"/>
      <c r="AO70" s="202">
        <v>6</v>
      </c>
      <c r="AP70" s="188"/>
      <c r="AQ70" s="188"/>
      <c r="AR70" s="188"/>
      <c r="AS70" s="188"/>
      <c r="AT70" s="201"/>
      <c r="AU70" s="201"/>
      <c r="AV70" s="302"/>
    </row>
    <row r="71" spans="33:50">
      <c r="AG71" s="184"/>
      <c r="AH71" s="170"/>
      <c r="AI71" s="310">
        <v>8</v>
      </c>
      <c r="AJ71" s="895">
        <f>IF(OR($AI71&gt;RPT_DIA,N('Índice Diario'!E12)=0),"",'Índice Diario'!E12)</f>
        <v>23222</v>
      </c>
      <c r="AK71" s="895">
        <f>IF(OR($AI71&gt;RPT_DIA,N('Índice Diario'!H12)=0),"",'Índice Diario'!H12)</f>
        <v>3401</v>
      </c>
      <c r="AL71" s="308"/>
      <c r="AM71" s="308"/>
      <c r="AN71" s="336"/>
      <c r="AO71" s="202">
        <v>7</v>
      </c>
      <c r="AP71" s="188"/>
      <c r="AQ71" s="188"/>
      <c r="AR71" s="188"/>
      <c r="AS71" s="188"/>
      <c r="AT71" s="201"/>
      <c r="AU71" s="201"/>
      <c r="AV71" s="302"/>
    </row>
    <row r="72" spans="33:50">
      <c r="AG72" s="184"/>
      <c r="AH72" s="170"/>
      <c r="AI72" s="310">
        <v>9</v>
      </c>
      <c r="AJ72" s="895">
        <f>IF(OR($AI72&gt;RPT_DIA,N('Índice Diario'!E13)=0),"",'Índice Diario'!E13)</f>
        <v>24549</v>
      </c>
      <c r="AK72" s="895">
        <f>IF(OR($AI72&gt;RPT_DIA,N('Índice Diario'!H13)=0),"",'Índice Diario'!H13)</f>
        <v>3119</v>
      </c>
      <c r="AL72" s="306"/>
      <c r="AM72" s="306"/>
      <c r="AN72" s="336"/>
      <c r="AO72" s="202">
        <v>8</v>
      </c>
      <c r="AP72" s="188"/>
      <c r="AQ72" s="188"/>
      <c r="AR72" s="188"/>
      <c r="AS72" s="188"/>
      <c r="AT72" s="201"/>
      <c r="AU72" s="201"/>
      <c r="AV72" s="302"/>
    </row>
    <row r="73" spans="33:50">
      <c r="AG73" s="206"/>
      <c r="AH73"/>
      <c r="AI73" s="310">
        <v>10</v>
      </c>
      <c r="AJ73" s="895">
        <f>IF(OR($AI73&gt;RPT_DIA,N('Índice Diario'!E14)=0),"",'Índice Diario'!E14)</f>
        <v>22889</v>
      </c>
      <c r="AK73" s="895">
        <f>IF(OR($AI73&gt;RPT_DIA,N('Índice Diario'!H14)=0),"",'Índice Diario'!H14)</f>
        <v>3381</v>
      </c>
      <c r="AL73" s="307"/>
      <c r="AM73" s="307"/>
      <c r="AN73" s="336"/>
      <c r="AO73" s="208">
        <v>9</v>
      </c>
      <c r="AP73" s="188"/>
      <c r="AQ73" s="188"/>
      <c r="AR73" s="188"/>
      <c r="AS73" s="188"/>
      <c r="AT73" s="70"/>
      <c r="AU73" s="70"/>
      <c r="AV73" s="302"/>
      <c r="AW73" s="206"/>
      <c r="AX73" s="206"/>
    </row>
    <row r="74" spans="33:50">
      <c r="AG74" s="206"/>
      <c r="AH74"/>
      <c r="AI74" s="310">
        <v>11</v>
      </c>
      <c r="AJ74" s="895">
        <f>IF(OR($AI74&gt;RPT_DIA,N('Índice Diario'!E15)=0),"",'Índice Diario'!E15)</f>
        <v>24603</v>
      </c>
      <c r="AK74" s="895">
        <f>IF(OR($AI74&gt;RPT_DIA,N('Índice Diario'!H15)=0),"",'Índice Diario'!H15)</f>
        <v>2499</v>
      </c>
      <c r="AL74" s="308"/>
      <c r="AM74" s="308"/>
      <c r="AN74" s="336"/>
      <c r="AO74" s="208">
        <v>10</v>
      </c>
      <c r="AP74" s="188"/>
      <c r="AQ74" s="188"/>
      <c r="AR74" s="188"/>
      <c r="AS74" s="188"/>
      <c r="AT74" s="70"/>
      <c r="AU74" s="70"/>
      <c r="AV74" s="184" t="s">
        <v>72</v>
      </c>
      <c r="AW74" s="206"/>
      <c r="AX74" s="206"/>
    </row>
    <row r="75" spans="33:50">
      <c r="AG75"/>
      <c r="AH75"/>
      <c r="AI75" s="310">
        <v>12</v>
      </c>
      <c r="AJ75" s="895">
        <f>IF(OR($AI75&gt;RPT_DIA,N('Índice Diario'!E16)=0),"",'Índice Diario'!E16)</f>
        <v>10197</v>
      </c>
      <c r="AK75" s="895">
        <f>IF(OR($AI75&gt;RPT_DIA,N('Índice Diario'!H16)=0),"",'Índice Diario'!H16)</f>
        <v>1871</v>
      </c>
      <c r="AL75" s="308">
        <f>+SUM(AJ69:AJ75)</f>
        <v>146798</v>
      </c>
      <c r="AM75" s="308">
        <f>+SUM(AK69:AK75)</f>
        <v>22268</v>
      </c>
      <c r="AN75" s="336"/>
      <c r="AO75" s="208">
        <v>11</v>
      </c>
      <c r="AP75" s="188"/>
      <c r="AQ75" s="188"/>
      <c r="AR75" s="188"/>
      <c r="AS75" s="188"/>
      <c r="AT75" s="70"/>
      <c r="AU75" s="70"/>
      <c r="AW75" s="206"/>
      <c r="AX75" s="206"/>
    </row>
    <row r="76" spans="33:50">
      <c r="AG76"/>
      <c r="AH76"/>
      <c r="AI76" s="787">
        <v>13</v>
      </c>
      <c r="AJ76" s="895">
        <f>IF(OR($AI76&gt;RPT_DIA,N('Índice Diario'!E17)=0),"",'Índice Diario'!E17)</f>
        <v>23245</v>
      </c>
      <c r="AK76" s="895">
        <f>IF(OR($AI76&gt;RPT_DIA,N('Índice Diario'!H17)=0),"",'Índice Diario'!H17)</f>
        <v>5450</v>
      </c>
      <c r="AL76" s="308"/>
      <c r="AM76" s="308"/>
      <c r="AN76" s="336"/>
      <c r="AO76" s="208">
        <v>12</v>
      </c>
      <c r="AP76" s="188"/>
      <c r="AQ76" s="188"/>
      <c r="AR76" s="188"/>
      <c r="AS76" s="188"/>
      <c r="AT76" s="70"/>
      <c r="AU76" s="70"/>
      <c r="AW76" s="206"/>
      <c r="AX76" s="206"/>
    </row>
    <row r="77" spans="33:50">
      <c r="AG77" s="206"/>
      <c r="AH77" s="206"/>
      <c r="AI77" s="787">
        <v>14</v>
      </c>
      <c r="AJ77" s="895">
        <f>IF(OR($AI77&gt;RPT_DIA,N('Índice Diario'!E18)=0),"",'Índice Diario'!E18)</f>
        <v>22572</v>
      </c>
      <c r="AK77" s="895">
        <f>IF(OR($AI77&gt;RPT_DIA,N('Índice Diario'!H18)=0),"",'Índice Diario'!H18)</f>
        <v>4888</v>
      </c>
      <c r="AL77" s="307"/>
      <c r="AM77" s="307"/>
      <c r="AN77" s="336"/>
      <c r="AO77" s="208">
        <v>13</v>
      </c>
      <c r="AP77" s="188"/>
      <c r="AQ77" s="188"/>
      <c r="AR77" s="188"/>
      <c r="AS77" s="188"/>
      <c r="AT77" s="70"/>
      <c r="AU77" s="70"/>
      <c r="AW77" s="206"/>
      <c r="AX77" s="206"/>
    </row>
    <row r="78" spans="33:50">
      <c r="AG78" s="206"/>
      <c r="AH78" s="206"/>
      <c r="AI78" s="787">
        <v>15</v>
      </c>
      <c r="AJ78" s="895">
        <f>IF(OR($AI78&gt;RPT_DIA,N('Índice Diario'!E19)=0),"",'Índice Diario'!E19)</f>
        <v>18958</v>
      </c>
      <c r="AK78" s="895">
        <f>IF(OR($AI78&gt;RPT_DIA,N('Índice Diario'!H19)=0),"",'Índice Diario'!H19)</f>
        <v>5804</v>
      </c>
      <c r="AL78" s="308"/>
      <c r="AM78" s="308"/>
      <c r="AN78" s="336"/>
      <c r="AO78" s="206"/>
      <c r="AP78" s="206"/>
      <c r="AQ78" s="206"/>
      <c r="AR78" s="209" t="s">
        <v>55</v>
      </c>
      <c r="AS78" s="311">
        <f>SUM(AS65:AS77)</f>
        <v>331512.86</v>
      </c>
      <c r="AT78" s="206"/>
      <c r="AU78" s="206"/>
      <c r="AW78" s="206"/>
      <c r="AX78" s="206"/>
    </row>
    <row r="79" spans="33:50">
      <c r="AG79" s="206"/>
      <c r="AH79" s="206"/>
      <c r="AI79" s="787">
        <v>16</v>
      </c>
      <c r="AJ79" s="895">
        <f>IF(OR($AI79&gt;RPT_DIA,N('Índice Diario'!E20)=0),"",'Índice Diario'!E20)</f>
        <v>20090</v>
      </c>
      <c r="AK79" s="895">
        <f>IF(OR($AI79&gt;RPT_DIA,N('Índice Diario'!H20)=0),"",'Índice Diario'!H20)</f>
        <v>4381</v>
      </c>
      <c r="AL79" s="306"/>
      <c r="AM79" s="306"/>
      <c r="AN79" s="336"/>
      <c r="AO79" s="206">
        <v>10</v>
      </c>
      <c r="AP79" s="312"/>
      <c r="AQ79" s="206"/>
      <c r="AR79" s="206"/>
      <c r="AS79" s="206"/>
      <c r="AT79" s="206"/>
      <c r="AU79" s="206"/>
      <c r="AW79" s="206"/>
      <c r="AX79" s="206"/>
    </row>
    <row r="80" spans="33:50">
      <c r="AG80" s="206"/>
      <c r="AH80" s="206"/>
      <c r="AI80" s="787">
        <v>17</v>
      </c>
      <c r="AJ80" s="895">
        <f>IF(OR($AI80&gt;RPT_DIA,N('Índice Diario'!E21)=0),"",'Índice Diario'!E21)</f>
        <v>18072</v>
      </c>
      <c r="AK80" s="895">
        <f>IF(OR($AI80&gt;RPT_DIA,N('Índice Diario'!H21)=0),"",'Índice Diario'!H21)</f>
        <v>4128</v>
      </c>
      <c r="AL80" s="307"/>
      <c r="AM80" s="307"/>
      <c r="AN80" s="336"/>
      <c r="AO80" s="312"/>
      <c r="AP80" s="312"/>
      <c r="AQ80" s="206"/>
      <c r="AR80" s="312"/>
      <c r="AS80" s="206"/>
      <c r="AT80" s="206"/>
      <c r="AU80" s="206"/>
      <c r="AV80" s="206"/>
      <c r="AW80" s="206"/>
      <c r="AX80" s="206"/>
    </row>
    <row r="81" spans="33:50">
      <c r="AG81" s="206"/>
      <c r="AH81" s="206"/>
      <c r="AI81" s="787">
        <v>18</v>
      </c>
      <c r="AJ81" s="895">
        <f>IF(OR($AI81&gt;RPT_DIA,N('Índice Diario'!E22)=0),"",'Índice Diario'!E22)</f>
        <v>18854</v>
      </c>
      <c r="AK81" s="895">
        <f>IF(OR($AI81&gt;RPT_DIA,N('Índice Diario'!H22)=0),"",'Índice Diario'!H22)</f>
        <v>5191</v>
      </c>
      <c r="AL81" s="308"/>
      <c r="AM81" s="308"/>
      <c r="AN81" s="336"/>
      <c r="AO81" s="206"/>
      <c r="AP81" s="312"/>
      <c r="AQ81" s="206"/>
      <c r="AR81" s="312"/>
      <c r="AS81" s="206"/>
      <c r="AT81" s="206"/>
      <c r="AU81" s="206"/>
      <c r="AV81" s="206"/>
      <c r="AW81" s="206"/>
      <c r="AX81" s="206"/>
    </row>
    <row r="82" spans="33:50">
      <c r="AG82" s="206"/>
      <c r="AH82" s="206"/>
      <c r="AI82" s="787">
        <v>19</v>
      </c>
      <c r="AJ82" s="895">
        <f>IF(OR($AI82&gt;RPT_DIA,N('Índice Diario'!E23)=0),"",'Índice Diario'!E23)</f>
        <v>19438</v>
      </c>
      <c r="AK82" s="895">
        <f>IF(OR($AI82&gt;RPT_DIA,N('Índice Diario'!H23)=0),"",'Índice Diario'!H23)</f>
        <v>5182</v>
      </c>
      <c r="AL82" s="308">
        <f>+SUM(AJ76:AJ82)</f>
        <v>141229</v>
      </c>
      <c r="AM82" s="308">
        <f>+SUM(AK76:AK82)</f>
        <v>35024</v>
      </c>
      <c r="AN82" s="336"/>
      <c r="AO82" s="206"/>
      <c r="AP82" s="312"/>
      <c r="AQ82" s="312"/>
      <c r="AR82" s="312"/>
      <c r="AS82" s="206"/>
      <c r="AT82" s="206"/>
      <c r="AU82" s="206"/>
      <c r="AV82" s="206"/>
      <c r="AW82" s="206"/>
      <c r="AX82" s="206"/>
    </row>
    <row r="83" spans="33:50">
      <c r="AG83" s="206"/>
      <c r="AH83" s="206"/>
      <c r="AI83" s="788">
        <v>20</v>
      </c>
      <c r="AJ83" s="895">
        <f>IF(OR($AI83&gt;RPT_DIA,N('Índice Diario'!E24)=0),"",'Índice Diario'!E24)</f>
        <v>19413</v>
      </c>
      <c r="AK83" s="895">
        <f>IF(OR($AI83&gt;RPT_DIA,N('Índice Diario'!H24)=0),"",'Índice Diario'!H24)</f>
        <v>4126</v>
      </c>
      <c r="AL83" s="308"/>
      <c r="AM83" s="308"/>
      <c r="AN83" s="336"/>
      <c r="AO83" s="206"/>
      <c r="AP83" s="312"/>
      <c r="AQ83" s="312"/>
      <c r="AR83" s="312"/>
      <c r="AS83" s="206"/>
      <c r="AT83" s="206"/>
      <c r="AU83" s="206"/>
      <c r="AV83" s="206"/>
      <c r="AW83" s="206"/>
      <c r="AX83" s="206"/>
    </row>
    <row r="84" spans="33:50">
      <c r="AG84" s="206"/>
      <c r="AH84" s="206"/>
      <c r="AI84" s="788">
        <v>21</v>
      </c>
      <c r="AJ84" s="895">
        <f>IF(OR($AI84&gt;RPT_DIA,N('Índice Diario'!E25)=0),"",'Índice Diario'!E25)</f>
        <v>17987</v>
      </c>
      <c r="AK84" s="895">
        <f>IF(OR($AI84&gt;RPT_DIA,N('Índice Diario'!H25)=0),"",'Índice Diario'!H25)</f>
        <v>3588</v>
      </c>
      <c r="AL84" s="307"/>
      <c r="AM84" s="307"/>
      <c r="AN84" s="336"/>
      <c r="AO84" s="206"/>
      <c r="AP84" s="312"/>
      <c r="AQ84" s="312"/>
      <c r="AR84" s="324"/>
      <c r="AS84" s="206"/>
      <c r="AT84" s="206"/>
      <c r="AU84" s="206"/>
      <c r="AV84" s="206"/>
      <c r="AW84" s="206"/>
      <c r="AX84" s="206"/>
    </row>
    <row r="85" spans="33:50">
      <c r="AG85" s="206"/>
      <c r="AH85" s="206"/>
      <c r="AI85" s="788">
        <v>22</v>
      </c>
      <c r="AJ85" s="895">
        <f>IF(OR($AI85&gt;RPT_DIA,N('Índice Diario'!E26)=0),"",'Índice Diario'!E26)</f>
        <v>20607</v>
      </c>
      <c r="AK85" s="895" t="str">
        <f>IF(OR($AI85&gt;RPT_DIA,N('Índice Diario'!H26)=0),"",'Índice Diario'!H26)</f>
        <v/>
      </c>
      <c r="AL85" s="308"/>
      <c r="AM85" s="308"/>
      <c r="AN85" s="336"/>
      <c r="AO85" s="312"/>
      <c r="AP85" s="206"/>
      <c r="AQ85" s="312"/>
      <c r="AR85" s="312"/>
      <c r="AS85" s="206"/>
      <c r="AT85" s="206"/>
      <c r="AU85" s="206"/>
      <c r="AV85" s="206"/>
      <c r="AW85" s="206"/>
      <c r="AX85" s="206"/>
    </row>
    <row r="86" spans="33:50">
      <c r="AG86" s="206"/>
      <c r="AH86" s="206"/>
      <c r="AI86" s="788">
        <v>23</v>
      </c>
      <c r="AJ86" s="895">
        <f>IF(OR($AI86&gt;RPT_DIA,N('Índice Diario'!E27)=0),"",'Índice Diario'!E27)</f>
        <v>21802</v>
      </c>
      <c r="AK86" s="895">
        <f>IF(OR($AI86&gt;RPT_DIA,N('Índice Diario'!H27)=0),"",'Índice Diario'!H27)</f>
        <v>3355</v>
      </c>
      <c r="AL86" s="306"/>
      <c r="AM86" s="306"/>
      <c r="AN86" s="336"/>
      <c r="AO86" s="206"/>
      <c r="AP86" s="206"/>
      <c r="AQ86" s="312"/>
      <c r="AR86" s="312"/>
      <c r="AS86" s="206"/>
      <c r="AT86" s="206"/>
      <c r="AU86" s="206"/>
      <c r="AV86" s="206"/>
      <c r="AW86" s="206"/>
      <c r="AX86" s="206"/>
    </row>
    <row r="87" spans="33:50">
      <c r="AG87" s="206" t="s">
        <v>73</v>
      </c>
      <c r="AH87" s="206"/>
      <c r="AI87" s="788">
        <v>24</v>
      </c>
      <c r="AJ87" s="895">
        <f>IF(OR($AI87&gt;RPT_DIA,N('Índice Diario'!E28)=0),"",'Índice Diario'!E28)</f>
        <v>21632</v>
      </c>
      <c r="AK87" s="895">
        <f>IF(OR($AI87&gt;RPT_DIA,N('Índice Diario'!H28)=0),"",'Índice Diario'!H28)</f>
        <v>2694</v>
      </c>
      <c r="AL87" s="307"/>
      <c r="AM87" s="307"/>
      <c r="AN87" s="336"/>
      <c r="AO87" s="206"/>
      <c r="AP87" s="206"/>
      <c r="AQ87" s="312"/>
      <c r="AR87" s="312"/>
      <c r="AS87" s="206"/>
      <c r="AT87" s="206"/>
      <c r="AU87" s="206"/>
      <c r="AV87" s="206"/>
      <c r="AW87" s="206"/>
      <c r="AX87" s="206"/>
    </row>
    <row r="88" spans="33:50">
      <c r="AG88" s="206"/>
      <c r="AH88" s="206"/>
      <c r="AI88" s="788">
        <v>25</v>
      </c>
      <c r="AJ88" s="895">
        <f>IF(OR($AI88&gt;RPT_DIA,N('Índice Diario'!E29)=0),"",'Índice Diario'!E29)</f>
        <v>21500</v>
      </c>
      <c r="AK88" s="895">
        <f>IF(OR($AI88&gt;RPT_DIA,N('Índice Diario'!H29)=0),"",'Índice Diario'!H29)</f>
        <v>3566</v>
      </c>
      <c r="AL88" s="308"/>
      <c r="AM88" s="308"/>
      <c r="AN88" s="336"/>
      <c r="AO88" s="206"/>
      <c r="AP88" s="206"/>
      <c r="AQ88" s="312"/>
      <c r="AR88" s="312"/>
      <c r="AS88" s="206"/>
      <c r="AT88" s="206"/>
      <c r="AU88" s="206"/>
      <c r="AV88" s="206"/>
      <c r="AW88" s="206"/>
      <c r="AX88" s="206"/>
    </row>
    <row r="89" spans="33:50">
      <c r="AG89" s="206"/>
      <c r="AH89" s="206"/>
      <c r="AI89" s="788">
        <v>26</v>
      </c>
      <c r="AJ89" s="895">
        <f>IF(OR($AI89&gt;RPT_DIA,N('Índice Diario'!E30)=0),"",'Índice Diario'!E30)</f>
        <v>18772</v>
      </c>
      <c r="AK89" s="895">
        <f>IF(OR($AI89&gt;RPT_DIA,N('Índice Diario'!H30)=0),"",'Índice Diario'!H30)</f>
        <v>3994</v>
      </c>
      <c r="AL89" s="308">
        <f>+SUM(AJ83:AJ89)</f>
        <v>141713</v>
      </c>
      <c r="AM89" s="308">
        <f>+SUM(AK83:AK89)</f>
        <v>21323</v>
      </c>
      <c r="AN89" s="336"/>
      <c r="AO89" s="206"/>
      <c r="AP89" s="206"/>
      <c r="AQ89" s="312"/>
      <c r="AR89" s="312"/>
      <c r="AS89" s="206"/>
      <c r="AT89" s="206"/>
      <c r="AU89" s="206"/>
      <c r="AV89" s="206"/>
      <c r="AW89" s="206"/>
      <c r="AX89" s="206"/>
    </row>
    <row r="90" spans="33:50">
      <c r="AG90" s="206"/>
      <c r="AH90" s="206"/>
      <c r="AI90" s="317">
        <v>27</v>
      </c>
      <c r="AJ90" s="895">
        <f>IF(OR($AI90&gt;RPT_DIA,N('Índice Diario'!E31)=0),"",'Índice Diario'!E31)</f>
        <v>22055</v>
      </c>
      <c r="AK90" s="895">
        <f>IF(OR($AI90&gt;RPT_DIA,N('Índice Diario'!H31)=0),"",'Índice Diario'!H31)</f>
        <v>4623</v>
      </c>
      <c r="AL90" s="308"/>
      <c r="AM90" s="308"/>
      <c r="AN90" s="336"/>
      <c r="AO90" s="206"/>
      <c r="AP90" s="206"/>
      <c r="AQ90" s="312"/>
      <c r="AR90" s="312"/>
      <c r="AS90" s="206"/>
      <c r="AT90" s="206"/>
      <c r="AU90" s="206"/>
      <c r="AV90" s="206"/>
      <c r="AW90" s="206"/>
      <c r="AX90" s="206"/>
    </row>
    <row r="91" spans="33:50">
      <c r="AG91" s="206"/>
      <c r="AH91" s="206"/>
      <c r="AI91" s="317">
        <v>28</v>
      </c>
      <c r="AJ91" s="895">
        <f>IF(OR($AI91&gt;RPT_DIA,N('Índice Diario'!E32)=0),"",'Índice Diario'!E32)</f>
        <v>22676</v>
      </c>
      <c r="AK91" s="895">
        <f>IF(OR($AI91&gt;RPT_DIA,N('Índice Diario'!H32)=0),"",'Índice Diario'!H32)</f>
        <v>3822</v>
      </c>
      <c r="AL91" s="307"/>
      <c r="AM91" s="307"/>
      <c r="AN91" s="336"/>
      <c r="AO91" s="206"/>
      <c r="AP91" s="206"/>
      <c r="AQ91" s="312"/>
      <c r="AR91" s="312"/>
      <c r="AS91" s="206"/>
      <c r="AT91" s="206"/>
      <c r="AU91" s="206"/>
      <c r="AV91" s="206"/>
      <c r="AW91" s="206"/>
      <c r="AX91" s="206"/>
    </row>
    <row r="92" spans="33:50">
      <c r="AG92" s="206"/>
      <c r="AH92" s="206"/>
      <c r="AI92" s="317">
        <v>29</v>
      </c>
      <c r="AJ92" s="895">
        <f>IF(OR($AI92&gt;RPT_DIA,N('Índice Diario'!E33)=0),"",'Índice Diario'!E33)</f>
        <v>21099</v>
      </c>
      <c r="AK92" s="895">
        <f>IF(OR($AI92&gt;RPT_DIA,N('Índice Diario'!H33)=0),"",'Índice Diario'!H33)</f>
        <v>1970</v>
      </c>
      <c r="AL92" s="308"/>
      <c r="AM92" s="308"/>
      <c r="AN92" s="336"/>
      <c r="AO92" s="206"/>
      <c r="AP92" s="206"/>
      <c r="AQ92" s="312"/>
      <c r="AR92" s="312"/>
      <c r="AS92" s="206"/>
      <c r="AT92" s="206"/>
      <c r="AU92" s="206"/>
      <c r="AV92" s="206"/>
      <c r="AW92" s="206"/>
      <c r="AX92" s="206"/>
    </row>
    <row r="93" spans="33:50">
      <c r="AG93" s="206"/>
      <c r="AH93" s="206"/>
      <c r="AI93" s="317">
        <v>30</v>
      </c>
      <c r="AJ93" s="895" t="str">
        <f>IF(OR($AI93&gt;RPT_DIA,N('Índice Diario'!E34)=0),"",'Índice Diario'!E34)</f>
        <v/>
      </c>
      <c r="AK93" s="895" t="str">
        <f>IF(OR($AI93&gt;RPT_DIA,N('Índice Diario'!H34)=0),"",'Índice Diario'!H34)</f>
        <v/>
      </c>
      <c r="AL93" s="308"/>
      <c r="AM93" s="308"/>
      <c r="AN93" s="336"/>
      <c r="AO93" s="206"/>
      <c r="AP93" s="206"/>
      <c r="AQ93" s="312"/>
      <c r="AR93" s="312"/>
      <c r="AS93" s="206"/>
      <c r="AT93" s="206"/>
      <c r="AU93" s="206"/>
      <c r="AV93" s="206"/>
      <c r="AW93" s="206"/>
      <c r="AX93" s="206"/>
    </row>
    <row r="94" spans="33:50">
      <c r="AG94" s="206"/>
      <c r="AH94" s="206"/>
      <c r="AI94" s="317">
        <v>31</v>
      </c>
      <c r="AJ94" s="895" t="str">
        <f>IF(OR($AI94&gt;RPT_DIA,N('Índice Diario'!E35)=0),"",'Índice Diario'!E35)</f>
        <v/>
      </c>
      <c r="AK94" s="895" t="str">
        <f>IF(OR($AI94&gt;RPT_DIA,N('Índice Diario'!H35)=0),"",'Índice Diario'!H35)</f>
        <v/>
      </c>
      <c r="AL94" s="308">
        <f>+SUM(AJ90:AJ94)</f>
        <v>65830</v>
      </c>
      <c r="AM94" s="308">
        <f>+SUM(AK90:AK94)</f>
        <v>10415</v>
      </c>
      <c r="AN94" s="336"/>
      <c r="AO94" s="206"/>
      <c r="AP94" s="206"/>
      <c r="AQ94" s="206"/>
      <c r="AR94" s="312"/>
      <c r="AS94" s="206"/>
      <c r="AT94" s="206"/>
      <c r="AU94" s="206"/>
      <c r="AV94" s="206"/>
      <c r="AW94" s="206"/>
      <c r="AX94" s="206"/>
    </row>
    <row r="95" spans="33:50">
      <c r="AG95" s="206"/>
      <c r="AH95" s="206"/>
      <c r="AI95" s="313" t="s">
        <v>55</v>
      </c>
      <c r="AJ95" s="207">
        <f>SUM(AJ64:AJ94)</f>
        <v>608102</v>
      </c>
      <c r="AK95" s="207">
        <f>SUM(AK64:AK94)</f>
        <v>106432</v>
      </c>
      <c r="AL95" s="314"/>
      <c r="AM95" s="314"/>
      <c r="AN95" s="309"/>
      <c r="AO95" s="206"/>
      <c r="AP95" s="206"/>
      <c r="AQ95" s="206"/>
      <c r="AR95" s="312"/>
      <c r="AS95" s="206"/>
      <c r="AT95" s="206"/>
      <c r="AU95" s="206"/>
      <c r="AV95" s="206"/>
      <c r="AW95" s="206"/>
      <c r="AX95" s="206"/>
    </row>
    <row r="96" spans="33:50">
      <c r="AG96" s="206"/>
      <c r="AH96" s="206"/>
      <c r="AI96" s="314"/>
      <c r="AJ96" s="230">
        <f>+AK113</f>
        <v>5734863</v>
      </c>
      <c r="AK96" s="322">
        <f>+AN113</f>
        <v>1112610</v>
      </c>
      <c r="AL96" s="314"/>
      <c r="AM96" s="314"/>
      <c r="AN96" s="309"/>
      <c r="AO96" s="206"/>
      <c r="AP96" s="206"/>
      <c r="AQ96" s="206"/>
      <c r="AR96" s="206"/>
      <c r="AS96" s="206"/>
      <c r="AT96" s="206"/>
      <c r="AU96" s="206"/>
      <c r="AV96" s="206"/>
      <c r="AW96" s="206"/>
      <c r="AX96" s="206"/>
    </row>
    <row r="97" spans="33:50" ht="15.75" thickBot="1">
      <c r="AG97" s="206"/>
      <c r="AH97" s="206"/>
      <c r="AI97" s="206"/>
      <c r="AJ97"/>
      <c r="AK97" s="206"/>
      <c r="AL97"/>
      <c r="AM97" s="206"/>
      <c r="AN97" s="206"/>
      <c r="AO97"/>
      <c r="AP97" s="206"/>
      <c r="AQ97" s="206"/>
      <c r="AR97" s="206"/>
      <c r="AS97" s="206"/>
      <c r="AT97" s="206"/>
      <c r="AU97" s="206"/>
      <c r="AV97" s="206"/>
      <c r="AW97" s="206"/>
      <c r="AX97" s="206"/>
    </row>
    <row r="98" spans="33:50" ht="15.75" thickBot="1">
      <c r="AG98" s="206"/>
      <c r="AH98" s="206"/>
      <c r="AI98" s="1342" t="s">
        <v>50</v>
      </c>
      <c r="AJ98" s="1343"/>
      <c r="AK98" s="1343"/>
      <c r="AL98" s="1343"/>
      <c r="AM98" s="1343"/>
      <c r="AN98" s="1343"/>
      <c r="AO98" s="1344"/>
      <c r="AP98" s="206"/>
      <c r="AQ98" s="206"/>
      <c r="AR98" s="206"/>
      <c r="AS98" s="206"/>
      <c r="AT98" s="206"/>
      <c r="AU98" s="206"/>
      <c r="AV98" s="206"/>
      <c r="AW98" s="206"/>
      <c r="AX98" s="206"/>
    </row>
    <row r="99" spans="33:50">
      <c r="AG99" s="206"/>
      <c r="AH99" s="206"/>
      <c r="AI99" s="315"/>
      <c r="AJ99" s="1345" t="s">
        <v>46</v>
      </c>
      <c r="AK99" s="1346"/>
      <c r="AL99" s="1347"/>
      <c r="AM99" s="1348" t="s">
        <v>54</v>
      </c>
      <c r="AN99" s="1349"/>
      <c r="AO99" s="1350"/>
      <c r="AP99" s="206"/>
      <c r="AQ99" s="206"/>
      <c r="AR99" s="206"/>
      <c r="AS99" s="206"/>
      <c r="AT99" s="206"/>
      <c r="AU99" s="206"/>
      <c r="AV99" s="206"/>
      <c r="AW99" s="206"/>
      <c r="AX99" s="206"/>
    </row>
    <row r="100" spans="33:50" ht="15.75" thickBot="1">
      <c r="AG100" s="206"/>
      <c r="AH100" s="206"/>
      <c r="AI100" s="387" t="s">
        <v>74</v>
      </c>
      <c r="AJ100" s="388" t="s">
        <v>75</v>
      </c>
      <c r="AK100" s="389" t="s">
        <v>76</v>
      </c>
      <c r="AL100" s="390" t="s">
        <v>77</v>
      </c>
      <c r="AM100" s="407" t="s">
        <v>75</v>
      </c>
      <c r="AN100" s="408" t="s">
        <v>76</v>
      </c>
      <c r="AO100" s="409" t="s">
        <v>77</v>
      </c>
      <c r="AP100"/>
      <c r="AQ100" s="206"/>
      <c r="AR100" s="206"/>
      <c r="AS100" s="206"/>
      <c r="AT100" s="206"/>
      <c r="AU100" s="206"/>
      <c r="AV100" s="206"/>
      <c r="AW100" s="206"/>
      <c r="AX100" s="206"/>
    </row>
    <row r="101" spans="33:50">
      <c r="AG101" s="206"/>
      <c r="AH101" s="206"/>
      <c r="AI101" s="319" t="s">
        <v>78</v>
      </c>
      <c r="AJ101" s="877">
        <f>Parámetros!D17</f>
        <v>688440</v>
      </c>
      <c r="AK101" s="218">
        <f>IF(Parámetros!$C17&lt;RPT_MES,Parámetros!E17,IF(Parámetros!$C17=RPT_MES,$AL$22,""))</f>
        <v>670354</v>
      </c>
      <c r="AL101" s="404">
        <f>IF(AK101="","",AK101-IF(Parámetros!$C17=RPT_MES,$AL$23,AJ101))</f>
        <v>-18086</v>
      </c>
      <c r="AM101" s="879">
        <f>Parámetros!F17</f>
        <v>100000</v>
      </c>
      <c r="AN101" s="400">
        <f>IF(Parámetros!$C17&lt;RPT_MES,Parámetros!G17,IF(Parámetros!$C17=RPT_MES,$AL$28,""))</f>
        <v>108808</v>
      </c>
      <c r="AO101" s="401">
        <f>IF(AN101="","",AN101-IF(Parámetros!$C17=RPT_MES,$AL$29,AM101))</f>
        <v>8808</v>
      </c>
      <c r="AP101"/>
      <c r="AQ101"/>
      <c r="AR101" s="206"/>
      <c r="AS101" s="206"/>
      <c r="AT101" s="206"/>
      <c r="AU101" s="206"/>
      <c r="AV101" s="206"/>
      <c r="AW101" s="206"/>
      <c r="AX101" s="206"/>
    </row>
    <row r="102" spans="33:50">
      <c r="AG102" s="206"/>
      <c r="AH102" s="206"/>
      <c r="AI102" s="320" t="s">
        <v>79</v>
      </c>
      <c r="AJ102" s="877">
        <f>Parámetros!D18</f>
        <v>594128</v>
      </c>
      <c r="AK102" s="220">
        <f>IF(Parámetros!$C18&lt;RPT_MES,Parámetros!E18,IF(Parámetros!$C18=RPT_MES,$AL$22,""))</f>
        <v>578899</v>
      </c>
      <c r="AL102" s="404">
        <f>IF(AK102="","",AK102-IF(Parámetros!$C18=RPT_MES,$AL$23,AJ102))</f>
        <v>-15229</v>
      </c>
      <c r="AM102" s="880">
        <f>Parámetros!F18</f>
        <v>100000</v>
      </c>
      <c r="AN102" s="220">
        <f>IF(Parámetros!$C18&lt;RPT_MES,Parámetros!G18,IF(Parámetros!$C18=RPT_MES,$AL$28,""))</f>
        <v>163710</v>
      </c>
      <c r="AO102" s="219">
        <f>IF(AN102="","",AN102-IF(Parámetros!$C18=RPT_MES,$AL$29,AM102))</f>
        <v>63710</v>
      </c>
      <c r="AP102"/>
      <c r="AQ102"/>
      <c r="AR102" s="206"/>
      <c r="AS102" s="206"/>
      <c r="AT102" s="206"/>
      <c r="AU102" s="206"/>
      <c r="AV102" s="206"/>
      <c r="AW102" s="206"/>
      <c r="AX102" s="206"/>
    </row>
    <row r="103" spans="33:50">
      <c r="AG103" s="206"/>
      <c r="AH103" s="206"/>
      <c r="AI103" s="320" t="s">
        <v>80</v>
      </c>
      <c r="AJ103" s="877">
        <f>Parámetros!D19</f>
        <v>698462</v>
      </c>
      <c r="AK103" s="220">
        <f>IF(Parámetros!$C19&lt;RPT_MES,Parámetros!E19,IF(Parámetros!$C19=RPT_MES,$AL$22,""))</f>
        <v>634696</v>
      </c>
      <c r="AL103" s="404">
        <f>IF(AK103="","",AK103-IF(Parámetros!$C19=RPT_MES,$AL$23,AJ103))</f>
        <v>-63766</v>
      </c>
      <c r="AM103" s="880">
        <f>Parámetros!F19</f>
        <v>100000</v>
      </c>
      <c r="AN103" s="220">
        <f>IF(Parámetros!$C19&lt;RPT_MES,Parámetros!G19,IF(Parámetros!$C19=RPT_MES,$AL$28,""))</f>
        <v>104094</v>
      </c>
      <c r="AO103" s="219">
        <f>IF(AN103="","",AN103-IF(Parámetros!$C19=RPT_MES,$AL$29,AM103))</f>
        <v>4094</v>
      </c>
      <c r="AP103"/>
      <c r="AQ103"/>
      <c r="AR103" s="206"/>
      <c r="AS103" s="206"/>
      <c r="AT103" s="206"/>
      <c r="AU103" s="206"/>
      <c r="AV103" s="206"/>
      <c r="AW103" s="206"/>
      <c r="AX103" s="206"/>
    </row>
    <row r="104" spans="33:50">
      <c r="AG104" s="206"/>
      <c r="AH104" s="206"/>
      <c r="AI104" s="320" t="s">
        <v>81</v>
      </c>
      <c r="AJ104" s="877">
        <f>Parámetros!D20</f>
        <v>666558</v>
      </c>
      <c r="AK104" s="220">
        <f>IF(Parámetros!$C20&lt;RPT_MES,Parámetros!E20,IF(Parámetros!$C20=RPT_MES,$AL$22,""))</f>
        <v>660962</v>
      </c>
      <c r="AL104" s="404">
        <f>IF(AK104="","",AK104-IF(Parámetros!$C20=RPT_MES,$AL$23,AJ104))</f>
        <v>-5596</v>
      </c>
      <c r="AM104" s="880">
        <f>Parámetros!F20</f>
        <v>100000</v>
      </c>
      <c r="AN104" s="220">
        <f>IF(Parámetros!$C20&lt;RPT_MES,Parámetros!G20,IF(Parámetros!$C20=RPT_MES,$AL$28,""))</f>
        <v>108628</v>
      </c>
      <c r="AO104" s="219">
        <f>IF(AN104="","",AN104-IF(Parámetros!$C20=RPT_MES,$AL$29,AM104))</f>
        <v>8628</v>
      </c>
      <c r="AP104"/>
      <c r="AQ104"/>
      <c r="AR104" s="206"/>
      <c r="AS104" s="206"/>
      <c r="AT104" s="206"/>
      <c r="AU104" s="206"/>
      <c r="AV104" s="206"/>
      <c r="AW104" s="206"/>
      <c r="AX104" s="206"/>
    </row>
    <row r="105" spans="33:50">
      <c r="AG105" s="206"/>
      <c r="AH105" s="206"/>
      <c r="AI105" s="320" t="s">
        <v>82</v>
      </c>
      <c r="AJ105" s="877">
        <f>Parámetros!D21</f>
        <v>585575</v>
      </c>
      <c r="AK105" s="220">
        <f>IF(Parámetros!$C21&lt;RPT_MES,Parámetros!E21,IF(Parámetros!$C21=RPT_MES,$AL$22,""))</f>
        <v>671051</v>
      </c>
      <c r="AL105" s="404">
        <f>IF(AK105="","",AK105-IF(Parámetros!$C21=RPT_MES,$AL$23,AJ105))</f>
        <v>85476</v>
      </c>
      <c r="AM105" s="880">
        <f>Parámetros!F21</f>
        <v>100000</v>
      </c>
      <c r="AN105" s="220">
        <f>IF(Parámetros!$C21&lt;RPT_MES,Parámetros!G21,IF(Parámetros!$C21=RPT_MES,$AL$28,""))</f>
        <v>143683</v>
      </c>
      <c r="AO105" s="219">
        <f>IF(AN105="","",AN105-IF(Parámetros!$C21=RPT_MES,$AL$29,AM105))</f>
        <v>43683</v>
      </c>
      <c r="AP105" s="256"/>
      <c r="AQ105" s="170"/>
    </row>
    <row r="106" spans="33:50">
      <c r="AG106" s="206"/>
      <c r="AH106" s="206"/>
      <c r="AI106" s="320" t="s">
        <v>83</v>
      </c>
      <c r="AJ106" s="877">
        <f>Parámetros!D22</f>
        <v>660185</v>
      </c>
      <c r="AK106" s="220">
        <f>IF(Parámetros!$C22&lt;RPT_MES,Parámetros!E22,IF(Parámetros!$C22=RPT_MES,$AL$22,""))</f>
        <v>605790</v>
      </c>
      <c r="AL106" s="404">
        <f>IF(AK106="","",AK106-IF(Parámetros!$C22=RPT_MES,$AL$23,AJ106))</f>
        <v>-54395</v>
      </c>
      <c r="AM106" s="880">
        <f>Parámetros!F22</f>
        <v>100000</v>
      </c>
      <c r="AN106" s="220">
        <f>IF(Parámetros!$C22&lt;RPT_MES,Parámetros!G22,IF(Parámetros!$C22=RPT_MES,$AL$28,""))</f>
        <v>141197</v>
      </c>
      <c r="AO106" s="316">
        <f>IF(AN106="","",AN106-IF(Parámetros!$C22=RPT_MES,$AL$29,AM106))</f>
        <v>41197</v>
      </c>
      <c r="AP106"/>
      <c r="AQ106" s="170"/>
    </row>
    <row r="107" spans="33:50">
      <c r="AG107" s="206"/>
      <c r="AH107" s="206"/>
      <c r="AI107" s="320" t="s">
        <v>84</v>
      </c>
      <c r="AJ107" s="877">
        <f>Parámetros!D23</f>
        <v>719467</v>
      </c>
      <c r="AK107" s="220">
        <f>IF(Parámetros!$C23&lt;RPT_MES,Parámetros!E23,IF(Parámetros!$C23=RPT_MES,$AL$22,""))</f>
        <v>656288</v>
      </c>
      <c r="AL107" s="404">
        <f>IF(AK107="","",AK107-IF(Parámetros!$C23=RPT_MES,$AL$23,AJ107))</f>
        <v>-63179</v>
      </c>
      <c r="AM107" s="880">
        <f>Parámetros!F23</f>
        <v>100000</v>
      </c>
      <c r="AN107" s="220">
        <f>IF(Parámetros!$C23&lt;RPT_MES,Parámetros!G23,IF(Parámetros!$C23=RPT_MES,$AL$28,""))</f>
        <v>115970</v>
      </c>
      <c r="AO107" s="316">
        <f>IF(AN107="","",AN107-IF(Parámetros!$C23=RPT_MES,$AL$29,AM107))</f>
        <v>15970</v>
      </c>
      <c r="AP107"/>
      <c r="AQ107" s="302"/>
    </row>
    <row r="108" spans="33:50">
      <c r="AG108" s="206"/>
      <c r="AH108" s="206"/>
      <c r="AI108" s="320" t="s">
        <v>49</v>
      </c>
      <c r="AJ108" s="877">
        <f>Parámetros!D24</f>
        <v>669573</v>
      </c>
      <c r="AK108" s="404">
        <f>IF(Parámetros!$C24&lt;RPT_MES,Parámetros!E24,IF(Parámetros!$C24=RPT_MES,$AL$22,""))</f>
        <v>648721</v>
      </c>
      <c r="AL108" s="404">
        <f>IF(AK108="","",AK108-IF(Parámetros!$C24=RPT_MES,$AL$23,AJ108))</f>
        <v>-20852</v>
      </c>
      <c r="AM108" s="880">
        <f>Parámetros!F24</f>
        <v>100000</v>
      </c>
      <c r="AN108" s="404">
        <f>IF(Parámetros!$C24&lt;RPT_MES,Parámetros!G24,IF(Parámetros!$C24=RPT_MES,$AL$28,""))</f>
        <v>120088</v>
      </c>
      <c r="AO108" s="219">
        <f>IF(AN108="","",AN108-IF(Parámetros!$C24=RPT_MES,$AL$29,AM108))</f>
        <v>20088</v>
      </c>
      <c r="AP108"/>
      <c r="AQ108" s="778"/>
    </row>
    <row r="109" spans="33:50">
      <c r="AG109" s="206"/>
      <c r="AH109" s="206"/>
      <c r="AI109" s="320" t="s">
        <v>58</v>
      </c>
      <c r="AJ109" s="877">
        <f>Parámetros!D25</f>
        <v>696047</v>
      </c>
      <c r="AK109" s="404">
        <f>IF(Parámetros!$C25&lt;RPT_MES,Parámetros!E25,IF(Parámetros!$C25=RPT_MES,$AL$22,""))</f>
        <v>608102</v>
      </c>
      <c r="AL109" s="404">
        <f>IF(AK109="","",AK109-IF(Parámetros!$C25=RPT_MES,$AL$23,AJ109))</f>
        <v>-64743.433333333349</v>
      </c>
      <c r="AM109" s="880">
        <f>Parámetros!F25</f>
        <v>100000</v>
      </c>
      <c r="AN109" s="404">
        <f>IF(Parámetros!$C25&lt;RPT_MES,Parámetros!G25,IF(Parámetros!$C25=RPT_MES,$AL$28,""))</f>
        <v>106432</v>
      </c>
      <c r="AO109" s="219">
        <f>IF(AN109="","",AN109-IF(Parámetros!$C25=RPT_MES,$AL$29,AM109))</f>
        <v>9765.3333333333285</v>
      </c>
      <c r="AP109">
        <f>+AJ109/30</f>
        <v>23201.566666666666</v>
      </c>
    </row>
    <row r="110" spans="33:50">
      <c r="AG110" s="206"/>
      <c r="AH110" s="206"/>
      <c r="AI110" s="320" t="s">
        <v>85</v>
      </c>
      <c r="AJ110" s="877">
        <f>Parámetros!D26</f>
        <v>715388</v>
      </c>
      <c r="AK110" s="221" t="str">
        <f>IF(Parámetros!$C26&lt;RPT_MES,Parámetros!E26,IF(Parámetros!$C26=RPT_MES,$AL$22,""))</f>
        <v/>
      </c>
      <c r="AL110" s="405" t="str">
        <f>IF(AK110="","",AK110-IF(Parámetros!$C26=RPT_MES,$AL$23,AJ110))</f>
        <v/>
      </c>
      <c r="AM110" s="880">
        <f>Parámetros!F26</f>
        <v>100000</v>
      </c>
      <c r="AN110" s="221" t="str">
        <f>IF(Parámetros!$C26&lt;RPT_MES,Parámetros!G26,IF(Parámetros!$C26=RPT_MES,$AL$28,""))</f>
        <v/>
      </c>
      <c r="AO110" s="259" t="str">
        <f>IF(AN110="","",AN110-IF(Parámetros!$C26=RPT_MES,$AL$29,AM110))</f>
        <v/>
      </c>
      <c r="AP110">
        <f>+AP109*7</f>
        <v>162410.96666666667</v>
      </c>
    </row>
    <row r="111" spans="33:50">
      <c r="AG111" s="206"/>
      <c r="AH111" s="206"/>
      <c r="AI111" s="320" t="s">
        <v>86</v>
      </c>
      <c r="AJ111" s="877">
        <f>Parámetros!D27</f>
        <v>601289</v>
      </c>
      <c r="AK111" s="221" t="str">
        <f>IF(Parámetros!$C27&lt;RPT_MES,Parámetros!E27,IF(Parámetros!$C27=RPT_MES,$AL$22,""))</f>
        <v/>
      </c>
      <c r="AL111" s="405" t="str">
        <f>IF(AK111="","",AK111-IF(Parámetros!$C27=RPT_MES,$AL$23,AJ111))</f>
        <v/>
      </c>
      <c r="AM111" s="880">
        <f>Parámetros!F27</f>
        <v>100000</v>
      </c>
      <c r="AN111" s="221" t="str">
        <f>IF(Parámetros!$C27&lt;RPT_MES,Parámetros!G27,IF(Parámetros!$C27=RPT_MES,$AL$28,""))</f>
        <v/>
      </c>
      <c r="AO111" s="259" t="str">
        <f>IF(AN111="","",AN111-IF(Parámetros!$C27=RPT_MES,$AL$29,AM111))</f>
        <v/>
      </c>
      <c r="AP111"/>
    </row>
    <row r="112" spans="33:50" ht="15.75" thickBot="1">
      <c r="AG112" s="206"/>
      <c r="AH112" s="206"/>
      <c r="AI112" s="321" t="s">
        <v>87</v>
      </c>
      <c r="AJ112" s="878">
        <f>Parámetros!D28</f>
        <v>704902</v>
      </c>
      <c r="AK112" s="222" t="str">
        <f>IF(Parámetros!$C28&lt;RPT_MES,Parámetros!E28,IF(Parámetros!$C28=RPT_MES,$AL$22,""))</f>
        <v/>
      </c>
      <c r="AL112" s="406" t="str">
        <f>IF(AK112="","",AK112-IF(Parámetros!$C28=RPT_MES,$AL$23,AJ112))</f>
        <v/>
      </c>
      <c r="AM112" s="881">
        <f>Parámetros!F28</f>
        <v>100000</v>
      </c>
      <c r="AN112" s="402" t="str">
        <f>IF(Parámetros!$C28&lt;RPT_MES,Parámetros!G28,IF(Parámetros!$C28=RPT_MES,$AL$28,""))</f>
        <v/>
      </c>
      <c r="AO112" s="403" t="str">
        <f>IF(AN112="","",AN112-IF(Parámetros!$C28=RPT_MES,$AL$29,AM112))</f>
        <v/>
      </c>
      <c r="AP112"/>
    </row>
    <row r="113" spans="33:50" ht="15.75" thickBot="1">
      <c r="AG113" s="206"/>
      <c r="AH113" s="206"/>
      <c r="AI113" s="391" t="s">
        <v>55</v>
      </c>
      <c r="AJ113" s="323">
        <f t="shared" ref="AJ113:AO113" si="11">SUM(AJ101:AJ112)</f>
        <v>8000014</v>
      </c>
      <c r="AK113" s="392">
        <f t="shared" si="11"/>
        <v>5734863</v>
      </c>
      <c r="AL113" s="393">
        <f t="shared" si="11"/>
        <v>-220370.43333333335</v>
      </c>
      <c r="AM113" s="410">
        <f t="shared" si="11"/>
        <v>1200000</v>
      </c>
      <c r="AN113" s="411">
        <f t="shared" si="11"/>
        <v>1112610</v>
      </c>
      <c r="AO113" s="411">
        <f t="shared" si="11"/>
        <v>215943.33333333331</v>
      </c>
      <c r="AP113"/>
    </row>
    <row r="114" spans="33:50">
      <c r="AG114" s="206"/>
      <c r="AH114" s="206"/>
      <c r="AI114"/>
      <c r="AJ114"/>
      <c r="AK114" s="814">
        <f>+AK113/AJ113</f>
        <v>0.71685662050091414</v>
      </c>
      <c r="AL114" s="813">
        <f>+AL113/AK113</f>
        <v>-3.8426451221822276E-2</v>
      </c>
      <c r="AM114"/>
      <c r="AN114"/>
      <c r="AO114"/>
      <c r="AP114"/>
    </row>
    <row r="115" spans="33:50">
      <c r="AG115"/>
      <c r="AH115"/>
      <c r="AI115"/>
      <c r="AJ115"/>
      <c r="AK115"/>
      <c r="AL115"/>
      <c r="AM115"/>
      <c r="AN115"/>
      <c r="AO115"/>
      <c r="AP115"/>
    </row>
    <row r="116" spans="33:50">
      <c r="AQ116" s="176"/>
      <c r="AR116" s="176"/>
      <c r="AS116" s="176"/>
      <c r="AT116" s="176"/>
      <c r="AU116" s="176"/>
      <c r="AV116" s="176"/>
      <c r="AW116" s="176"/>
      <c r="AX116" s="176"/>
    </row>
    <row r="117" spans="33:50">
      <c r="AQ117" s="176"/>
      <c r="AR117" s="176"/>
      <c r="AS117" s="176"/>
      <c r="AT117" s="176"/>
      <c r="AU117" s="176"/>
      <c r="AV117" s="176"/>
      <c r="AW117" s="176"/>
      <c r="AX117" s="176"/>
    </row>
    <row r="118" spans="33:50">
      <c r="AQ118" s="176"/>
      <c r="AR118" s="176"/>
      <c r="AS118" s="176"/>
      <c r="AT118" s="176"/>
      <c r="AU118" s="176"/>
      <c r="AV118" s="176"/>
      <c r="AW118" s="176"/>
      <c r="AX118" s="176"/>
    </row>
    <row r="119" spans="33:50">
      <c r="AQ119" s="176"/>
      <c r="AR119" s="176"/>
      <c r="AS119" s="176"/>
      <c r="AT119" s="176"/>
      <c r="AU119" s="176"/>
      <c r="AV119" s="176"/>
      <c r="AW119" s="176"/>
      <c r="AX119" s="176"/>
    </row>
    <row r="120" spans="33:50">
      <c r="AQ120" s="176"/>
      <c r="AR120" s="176"/>
      <c r="AS120" s="176"/>
      <c r="AT120" s="176"/>
      <c r="AU120" s="176"/>
      <c r="AV120" s="176"/>
      <c r="AW120" s="176"/>
      <c r="AX120" s="176"/>
    </row>
    <row r="121" spans="33:50">
      <c r="AQ121" s="176"/>
      <c r="AR121" s="176"/>
      <c r="AS121" s="176"/>
      <c r="AT121" s="176"/>
      <c r="AU121" s="176"/>
      <c r="AV121" s="176"/>
      <c r="AW121" s="176"/>
      <c r="AX121" s="176"/>
    </row>
    <row r="122" spans="33:50">
      <c r="AQ122" s="176"/>
      <c r="AR122" s="176"/>
      <c r="AS122" s="176"/>
      <c r="AT122" s="176"/>
      <c r="AU122" s="176"/>
      <c r="AV122" s="176"/>
      <c r="AW122" s="176"/>
      <c r="AX122" s="176"/>
    </row>
    <row r="123" spans="33:50">
      <c r="AQ123" s="176"/>
      <c r="AR123" s="176"/>
      <c r="AS123" s="176"/>
      <c r="AT123" s="176"/>
      <c r="AU123" s="176"/>
      <c r="AV123" s="176"/>
      <c r="AW123" s="176"/>
      <c r="AX123" s="176"/>
    </row>
    <row r="124" spans="33:50">
      <c r="AQ124" s="176"/>
      <c r="AR124" s="176"/>
      <c r="AS124" s="176"/>
      <c r="AT124" s="176"/>
      <c r="AU124" s="176"/>
      <c r="AV124" s="176"/>
      <c r="AW124" s="176"/>
      <c r="AX124" s="176"/>
    </row>
    <row r="125" spans="33:50">
      <c r="AQ125" s="176"/>
      <c r="AR125" s="176"/>
      <c r="AS125" s="176"/>
      <c r="AT125" s="176"/>
      <c r="AU125" s="176"/>
      <c r="AV125" s="176"/>
      <c r="AW125" s="176"/>
      <c r="AX125" s="176"/>
    </row>
    <row r="126" spans="33:50">
      <c r="AQ126" s="176"/>
      <c r="AR126" s="176"/>
      <c r="AS126" s="176"/>
      <c r="AT126" s="176"/>
      <c r="AU126" s="176"/>
      <c r="AV126" s="176"/>
      <c r="AW126" s="176"/>
      <c r="AX126" s="176"/>
    </row>
    <row r="127" spans="33:50">
      <c r="AQ127" s="176"/>
      <c r="AR127" s="176"/>
      <c r="AS127" s="176"/>
      <c r="AT127" s="176"/>
      <c r="AU127" s="176"/>
      <c r="AV127" s="176"/>
      <c r="AW127" s="176"/>
      <c r="AX127" s="176"/>
    </row>
    <row r="128" spans="33:50">
      <c r="AQ128" s="176"/>
      <c r="AR128" s="176"/>
      <c r="AS128" s="176"/>
      <c r="AT128" s="176"/>
      <c r="AU128" s="176"/>
      <c r="AV128" s="176"/>
      <c r="AW128" s="176"/>
      <c r="AX128" s="176"/>
    </row>
    <row r="129" spans="43:50">
      <c r="AQ129" s="176"/>
      <c r="AR129" s="176"/>
      <c r="AS129" s="176"/>
      <c r="AT129" s="176"/>
      <c r="AU129" s="176"/>
      <c r="AV129" s="176"/>
      <c r="AW129" s="176"/>
      <c r="AX129" s="176"/>
    </row>
    <row r="130" spans="43:50">
      <c r="AQ130" s="176"/>
      <c r="AR130" s="176"/>
      <c r="AS130" s="176"/>
      <c r="AT130" s="176"/>
      <c r="AU130" s="176"/>
      <c r="AV130" s="176"/>
      <c r="AW130" s="176"/>
      <c r="AX130" s="176"/>
    </row>
    <row r="131" spans="43:50">
      <c r="AQ131" s="176"/>
      <c r="AR131" s="176"/>
      <c r="AS131" s="176"/>
      <c r="AT131" s="176"/>
      <c r="AU131" s="176"/>
      <c r="AV131" s="176"/>
      <c r="AW131" s="176"/>
      <c r="AX131" s="176"/>
    </row>
    <row r="132" spans="43:50">
      <c r="AQ132" s="176"/>
      <c r="AR132" s="176"/>
      <c r="AS132" s="176"/>
      <c r="AT132" s="176"/>
      <c r="AU132" s="176"/>
      <c r="AV132" s="176"/>
      <c r="AW132" s="176"/>
      <c r="AX132" s="176"/>
    </row>
    <row r="133" spans="43:50">
      <c r="AQ133" s="176"/>
      <c r="AR133" s="176"/>
      <c r="AS133" s="176"/>
      <c r="AT133" s="176"/>
      <c r="AU133" s="176"/>
      <c r="AV133" s="176"/>
      <c r="AW133" s="176"/>
      <c r="AX133" s="176"/>
    </row>
    <row r="134" spans="43:50">
      <c r="AQ134" s="176"/>
      <c r="AR134" s="176"/>
      <c r="AS134" s="176"/>
      <c r="AT134" s="176"/>
      <c r="AU134" s="176"/>
      <c r="AV134" s="176"/>
      <c r="AW134" s="176"/>
      <c r="AX134" s="176"/>
    </row>
    <row r="135" spans="43:50">
      <c r="AQ135" s="176"/>
      <c r="AR135" s="176"/>
      <c r="AS135" s="176"/>
      <c r="AT135" s="176"/>
      <c r="AU135" s="176"/>
      <c r="AV135" s="176"/>
      <c r="AW135" s="176"/>
      <c r="AX135" s="176"/>
    </row>
    <row r="136" spans="43:50">
      <c r="AQ136" s="176"/>
      <c r="AR136" s="176"/>
      <c r="AS136" s="176"/>
      <c r="AT136" s="176"/>
      <c r="AU136" s="176"/>
      <c r="AV136" s="176"/>
      <c r="AW136" s="176"/>
      <c r="AX136" s="176"/>
    </row>
    <row r="137" spans="43:50">
      <c r="AQ137" s="176"/>
      <c r="AR137" s="176"/>
      <c r="AS137" s="176"/>
      <c r="AT137" s="176"/>
      <c r="AU137" s="176"/>
      <c r="AV137" s="176"/>
      <c r="AW137" s="176"/>
      <c r="AX137" s="176"/>
    </row>
    <row r="138" spans="43:50">
      <c r="AQ138" s="176"/>
      <c r="AR138" s="176"/>
      <c r="AS138" s="176"/>
      <c r="AT138" s="176"/>
      <c r="AU138" s="176"/>
      <c r="AV138" s="176"/>
      <c r="AW138" s="176"/>
      <c r="AX138" s="176"/>
    </row>
    <row r="139" spans="43:50">
      <c r="AQ139" s="176"/>
      <c r="AR139" s="176"/>
      <c r="AS139" s="176"/>
      <c r="AT139" s="176"/>
      <c r="AU139" s="176"/>
      <c r="AV139" s="176"/>
      <c r="AW139" s="176"/>
      <c r="AX139" s="176"/>
    </row>
    <row r="140" spans="43:50">
      <c r="AQ140" s="176"/>
      <c r="AR140" s="176"/>
      <c r="AS140" s="176"/>
      <c r="AT140" s="176"/>
      <c r="AU140" s="176"/>
      <c r="AV140" s="176"/>
      <c r="AW140" s="176"/>
      <c r="AX140" s="176"/>
    </row>
    <row r="141" spans="43:50">
      <c r="AQ141" s="176"/>
      <c r="AR141" s="176"/>
      <c r="AS141" s="176"/>
      <c r="AT141" s="176"/>
      <c r="AU141" s="176"/>
      <c r="AV141" s="176"/>
      <c r="AW141" s="176"/>
      <c r="AX141" s="176"/>
    </row>
    <row r="142" spans="43:50">
      <c r="AQ142" s="176"/>
      <c r="AR142" s="176"/>
      <c r="AS142" s="176"/>
      <c r="AT142" s="176"/>
      <c r="AU142" s="176"/>
      <c r="AV142" s="176"/>
      <c r="AW142" s="176"/>
      <c r="AX142" s="176"/>
    </row>
    <row r="143" spans="43:50">
      <c r="AQ143" s="176"/>
      <c r="AR143" s="176"/>
      <c r="AS143" s="176"/>
      <c r="AT143" s="176"/>
      <c r="AU143" s="176"/>
      <c r="AV143" s="176"/>
      <c r="AW143" s="176"/>
      <c r="AX143" s="176"/>
    </row>
    <row r="144" spans="43:50">
      <c r="AQ144" s="176"/>
      <c r="AR144" s="176"/>
      <c r="AS144" s="176"/>
      <c r="AT144" s="176"/>
      <c r="AU144" s="176"/>
      <c r="AV144" s="176"/>
      <c r="AW144" s="176"/>
      <c r="AX144" s="176"/>
    </row>
    <row r="145" spans="43:50">
      <c r="AQ145" s="176"/>
      <c r="AR145" s="176"/>
      <c r="AS145" s="176"/>
      <c r="AT145" s="176"/>
      <c r="AU145" s="176"/>
      <c r="AV145" s="176"/>
      <c r="AW145" s="176"/>
      <c r="AX145" s="176"/>
    </row>
    <row r="146" spans="43:50">
      <c r="AQ146" s="176"/>
      <c r="AR146" s="176"/>
      <c r="AS146" s="176"/>
      <c r="AT146" s="176"/>
      <c r="AU146" s="176"/>
      <c r="AV146" s="176"/>
      <c r="AW146" s="176"/>
      <c r="AX146" s="176"/>
    </row>
    <row r="147" spans="43:50">
      <c r="AQ147" s="176"/>
      <c r="AR147" s="176"/>
      <c r="AS147" s="176"/>
      <c r="AT147" s="176"/>
      <c r="AU147" s="176"/>
      <c r="AV147" s="176"/>
      <c r="AW147" s="176"/>
      <c r="AX147" s="176"/>
    </row>
    <row r="148" spans="43:50">
      <c r="AQ148" s="176"/>
      <c r="AR148" s="176"/>
      <c r="AS148" s="176"/>
      <c r="AT148" s="176"/>
      <c r="AU148" s="176"/>
      <c r="AV148" s="176"/>
      <c r="AW148" s="176"/>
      <c r="AX148" s="176"/>
    </row>
    <row r="149" spans="43:50">
      <c r="AQ149" s="176"/>
      <c r="AR149" s="176"/>
      <c r="AS149" s="176"/>
      <c r="AT149" s="176"/>
      <c r="AU149" s="176"/>
      <c r="AV149" s="176"/>
      <c r="AW149" s="176"/>
      <c r="AX149" s="176"/>
    </row>
    <row r="150" spans="43:50">
      <c r="AQ150" s="176"/>
      <c r="AR150" s="176"/>
      <c r="AS150" s="176"/>
      <c r="AT150" s="176"/>
      <c r="AU150" s="176"/>
      <c r="AV150" s="176"/>
      <c r="AW150" s="176"/>
      <c r="AX150" s="176"/>
    </row>
    <row r="151" spans="43:50">
      <c r="AQ151" s="176"/>
      <c r="AR151" s="176"/>
      <c r="AS151" s="176"/>
      <c r="AT151" s="176"/>
      <c r="AU151" s="176"/>
      <c r="AV151" s="176"/>
      <c r="AW151" s="176"/>
      <c r="AX151" s="176"/>
    </row>
    <row r="152" spans="43:50">
      <c r="AQ152" s="176"/>
      <c r="AR152" s="176"/>
      <c r="AS152" s="176"/>
      <c r="AT152" s="176"/>
      <c r="AU152" s="176"/>
      <c r="AV152" s="176"/>
      <c r="AW152" s="176"/>
      <c r="AX152" s="176"/>
    </row>
    <row r="153" spans="43:50">
      <c r="AQ153" s="176"/>
      <c r="AR153" s="176"/>
      <c r="AS153" s="176"/>
      <c r="AT153" s="176"/>
      <c r="AU153" s="176"/>
      <c r="AV153" s="176"/>
      <c r="AW153" s="176"/>
      <c r="AX153" s="176"/>
    </row>
    <row r="154" spans="43:50">
      <c r="AQ154" s="176"/>
      <c r="AR154" s="176"/>
      <c r="AS154" s="176"/>
      <c r="AT154" s="176"/>
      <c r="AU154" s="176"/>
      <c r="AV154" s="176"/>
      <c r="AW154" s="176"/>
      <c r="AX154" s="176"/>
    </row>
    <row r="155" spans="43:50">
      <c r="AQ155" s="176"/>
      <c r="AR155" s="176"/>
      <c r="AS155" s="176"/>
      <c r="AT155" s="176"/>
      <c r="AU155" s="176"/>
      <c r="AV155" s="176"/>
      <c r="AW155" s="176"/>
      <c r="AX155" s="176"/>
    </row>
    <row r="156" spans="43:50">
      <c r="AQ156" s="176"/>
      <c r="AR156" s="176"/>
      <c r="AS156" s="176"/>
      <c r="AT156" s="176"/>
      <c r="AU156" s="176"/>
      <c r="AV156" s="176"/>
      <c r="AW156" s="176"/>
      <c r="AX156" s="176"/>
    </row>
    <row r="157" spans="43:50">
      <c r="AQ157" s="176"/>
      <c r="AR157" s="176"/>
      <c r="AS157" s="176"/>
      <c r="AT157" s="176"/>
      <c r="AU157" s="176"/>
      <c r="AV157" s="176"/>
      <c r="AW157" s="176"/>
      <c r="AX157" s="176"/>
    </row>
    <row r="158" spans="43:50">
      <c r="AQ158" s="176"/>
      <c r="AR158" s="176"/>
      <c r="AS158" s="176"/>
      <c r="AT158" s="176"/>
      <c r="AU158" s="176"/>
      <c r="AV158" s="176"/>
      <c r="AW158" s="176"/>
      <c r="AX158" s="176"/>
    </row>
    <row r="159" spans="43:50">
      <c r="AQ159" s="176"/>
      <c r="AR159" s="176"/>
      <c r="AS159" s="176"/>
      <c r="AT159" s="176"/>
      <c r="AU159" s="176"/>
      <c r="AV159" s="176"/>
      <c r="AW159" s="176"/>
      <c r="AX159" s="176"/>
    </row>
    <row r="160" spans="43:50">
      <c r="AQ160" s="176"/>
      <c r="AR160" s="176"/>
      <c r="AS160" s="176"/>
      <c r="AT160" s="176"/>
      <c r="AU160" s="176"/>
      <c r="AV160" s="176"/>
      <c r="AW160" s="176"/>
      <c r="AX160" s="176"/>
    </row>
    <row r="161" spans="43:50">
      <c r="AQ161" s="176"/>
      <c r="AR161" s="176"/>
      <c r="AS161" s="176"/>
      <c r="AT161" s="176"/>
      <c r="AU161" s="176"/>
      <c r="AV161" s="176"/>
      <c r="AW161" s="176"/>
      <c r="AX161" s="176"/>
    </row>
    <row r="162" spans="43:50">
      <c r="AQ162" s="176"/>
      <c r="AR162" s="176"/>
      <c r="AS162" s="176"/>
      <c r="AT162" s="176"/>
      <c r="AU162" s="176"/>
      <c r="AV162" s="176"/>
      <c r="AW162" s="176"/>
      <c r="AX162" s="176"/>
    </row>
    <row r="163" spans="43:50">
      <c r="AQ163" s="176"/>
      <c r="AR163" s="176"/>
      <c r="AS163" s="176"/>
      <c r="AT163" s="176"/>
      <c r="AU163" s="176"/>
      <c r="AV163" s="176"/>
      <c r="AW163" s="176"/>
      <c r="AX163" s="176"/>
    </row>
    <row r="164" spans="43:50">
      <c r="AQ164" s="176"/>
      <c r="AR164" s="176"/>
      <c r="AS164" s="176"/>
      <c r="AT164" s="176"/>
      <c r="AU164" s="176"/>
      <c r="AV164" s="176"/>
      <c r="AW164" s="176"/>
      <c r="AX164" s="176"/>
    </row>
    <row r="165" spans="43:50">
      <c r="AQ165" s="176"/>
      <c r="AR165" s="176"/>
      <c r="AS165" s="176"/>
      <c r="AT165" s="176"/>
      <c r="AU165" s="176"/>
      <c r="AV165" s="176"/>
      <c r="AW165" s="176"/>
      <c r="AX165" s="176"/>
    </row>
    <row r="166" spans="43:50">
      <c r="AQ166" s="176"/>
      <c r="AR166" s="176"/>
      <c r="AS166" s="176"/>
      <c r="AT166" s="176"/>
      <c r="AU166" s="176"/>
      <c r="AV166" s="176"/>
      <c r="AW166" s="176"/>
      <c r="AX166" s="176"/>
    </row>
    <row r="167" spans="43:50">
      <c r="AQ167" s="176"/>
      <c r="AR167" s="176"/>
      <c r="AS167" s="176"/>
      <c r="AT167" s="176"/>
      <c r="AU167" s="176"/>
      <c r="AV167" s="176"/>
      <c r="AW167" s="176"/>
      <c r="AX167" s="176"/>
    </row>
    <row r="168" spans="43:50">
      <c r="AQ168" s="176"/>
      <c r="AR168" s="176"/>
      <c r="AS168" s="176"/>
      <c r="AT168" s="176"/>
      <c r="AU168" s="176"/>
      <c r="AV168" s="176"/>
      <c r="AW168" s="176"/>
      <c r="AX168" s="176"/>
    </row>
    <row r="169" spans="43:50">
      <c r="AQ169" s="176"/>
      <c r="AR169" s="176"/>
      <c r="AS169" s="176"/>
      <c r="AT169" s="176"/>
      <c r="AU169" s="176"/>
      <c r="AV169" s="176"/>
      <c r="AW169" s="176"/>
      <c r="AX169" s="176"/>
    </row>
    <row r="170" spans="43:50">
      <c r="AQ170" s="176"/>
      <c r="AR170" s="176"/>
      <c r="AS170" s="176"/>
      <c r="AT170" s="176"/>
      <c r="AU170" s="176"/>
      <c r="AV170" s="176"/>
      <c r="AW170" s="176"/>
      <c r="AX170" s="176"/>
    </row>
    <row r="171" spans="43:50">
      <c r="AQ171" s="176"/>
      <c r="AR171" s="176"/>
      <c r="AS171" s="176"/>
      <c r="AT171" s="176"/>
      <c r="AU171" s="176"/>
      <c r="AV171" s="176"/>
      <c r="AW171" s="176"/>
      <c r="AX171" s="176"/>
    </row>
    <row r="172" spans="43:50">
      <c r="AQ172" s="176"/>
      <c r="AR172" s="176"/>
      <c r="AS172" s="176"/>
      <c r="AT172" s="176"/>
      <c r="AU172" s="176"/>
      <c r="AV172" s="176"/>
      <c r="AW172" s="176"/>
      <c r="AX172" s="176"/>
    </row>
    <row r="173" spans="43:50">
      <c r="AQ173" s="176"/>
      <c r="AR173" s="176"/>
      <c r="AS173" s="176"/>
      <c r="AT173" s="176"/>
      <c r="AU173" s="176"/>
      <c r="AV173" s="176"/>
      <c r="AW173" s="176"/>
      <c r="AX173" s="176"/>
    </row>
    <row r="174" spans="43:50">
      <c r="AQ174" s="176"/>
      <c r="AR174" s="176"/>
      <c r="AS174" s="176"/>
      <c r="AT174" s="176"/>
      <c r="AU174" s="176"/>
      <c r="AV174" s="176"/>
      <c r="AW174" s="176"/>
      <c r="AX174" s="176"/>
    </row>
    <row r="175" spans="43:50">
      <c r="AQ175" s="176"/>
      <c r="AR175" s="176"/>
      <c r="AS175" s="176"/>
      <c r="AT175" s="176"/>
      <c r="AU175" s="176"/>
      <c r="AV175" s="176"/>
      <c r="AW175" s="176"/>
      <c r="AX175" s="176"/>
    </row>
    <row r="176" spans="43:50">
      <c r="AQ176" s="176"/>
      <c r="AR176" s="176"/>
      <c r="AS176" s="176"/>
      <c r="AT176" s="176"/>
      <c r="AU176" s="176"/>
      <c r="AV176" s="176"/>
      <c r="AW176" s="176"/>
      <c r="AX176" s="176"/>
    </row>
    <row r="177" spans="43:50">
      <c r="AQ177" s="176"/>
      <c r="AR177" s="176"/>
      <c r="AS177" s="176"/>
      <c r="AT177" s="176"/>
      <c r="AU177" s="176"/>
      <c r="AV177" s="176"/>
      <c r="AW177" s="176"/>
      <c r="AX177" s="176"/>
    </row>
    <row r="178" spans="43:50">
      <c r="AQ178" s="176"/>
      <c r="AR178" s="176"/>
      <c r="AS178" s="176"/>
      <c r="AT178" s="176"/>
      <c r="AU178" s="176"/>
      <c r="AV178" s="176"/>
      <c r="AW178" s="176"/>
      <c r="AX178" s="176"/>
    </row>
    <row r="179" spans="43:50">
      <c r="AQ179" s="176"/>
      <c r="AR179" s="176"/>
      <c r="AS179" s="176"/>
      <c r="AT179" s="176"/>
      <c r="AU179" s="176"/>
      <c r="AV179" s="176"/>
      <c r="AW179" s="176"/>
      <c r="AX179" s="176"/>
    </row>
    <row r="180" spans="43:50">
      <c r="AQ180" s="176"/>
      <c r="AR180" s="176"/>
      <c r="AS180" s="176"/>
      <c r="AT180" s="176"/>
      <c r="AU180" s="176"/>
      <c r="AV180" s="176"/>
      <c r="AW180" s="176"/>
      <c r="AX180" s="176"/>
    </row>
    <row r="181" spans="43:50">
      <c r="AQ181" s="176"/>
      <c r="AR181" s="176"/>
      <c r="AS181" s="176"/>
      <c r="AT181" s="176"/>
      <c r="AU181" s="176"/>
      <c r="AV181" s="176"/>
      <c r="AW181" s="176"/>
      <c r="AX181" s="176"/>
    </row>
    <row r="182" spans="43:50">
      <c r="AQ182" s="176"/>
      <c r="AR182" s="176"/>
      <c r="AS182" s="176"/>
      <c r="AT182" s="176"/>
      <c r="AU182" s="176"/>
      <c r="AV182" s="176"/>
      <c r="AW182" s="176"/>
      <c r="AX182" s="176"/>
    </row>
    <row r="183" spans="43:50">
      <c r="AQ183" s="176"/>
      <c r="AR183" s="176"/>
      <c r="AS183" s="176"/>
      <c r="AT183" s="176"/>
      <c r="AU183" s="176"/>
      <c r="AV183" s="176"/>
      <c r="AW183" s="176"/>
      <c r="AX183" s="176"/>
    </row>
    <row r="184" spans="43:50">
      <c r="AQ184" s="176"/>
      <c r="AR184" s="176"/>
      <c r="AS184" s="176"/>
      <c r="AT184" s="176"/>
      <c r="AU184" s="176"/>
      <c r="AV184" s="176"/>
      <c r="AW184" s="176"/>
      <c r="AX184" s="176"/>
    </row>
    <row r="185" spans="43:50">
      <c r="AQ185" s="176"/>
      <c r="AR185" s="176"/>
      <c r="AS185" s="176"/>
      <c r="AT185" s="176"/>
      <c r="AU185" s="176"/>
      <c r="AV185" s="176"/>
      <c r="AW185" s="176"/>
      <c r="AX185" s="176"/>
    </row>
    <row r="186" spans="43:50">
      <c r="AQ186" s="176"/>
      <c r="AR186" s="176"/>
      <c r="AS186" s="176"/>
      <c r="AT186" s="176"/>
      <c r="AU186" s="176"/>
      <c r="AV186" s="176"/>
      <c r="AW186" s="176"/>
      <c r="AX186" s="176"/>
    </row>
    <row r="187" spans="43:50">
      <c r="AQ187" s="176"/>
      <c r="AR187" s="176"/>
      <c r="AS187" s="176"/>
      <c r="AT187" s="176"/>
      <c r="AU187" s="176"/>
      <c r="AV187" s="176"/>
      <c r="AW187" s="176"/>
      <c r="AX187" s="176"/>
    </row>
    <row r="188" spans="43:50">
      <c r="AQ188" s="176"/>
      <c r="AR188" s="176"/>
      <c r="AS188" s="176"/>
      <c r="AT188" s="176"/>
      <c r="AU188" s="176"/>
      <c r="AV188" s="176"/>
      <c r="AW188" s="176"/>
      <c r="AX188" s="176"/>
    </row>
    <row r="189" spans="43:50">
      <c r="AQ189" s="176"/>
      <c r="AR189" s="176"/>
      <c r="AS189" s="176"/>
      <c r="AT189" s="176"/>
      <c r="AU189" s="176"/>
      <c r="AV189" s="176"/>
      <c r="AW189" s="176"/>
      <c r="AX189" s="176"/>
    </row>
    <row r="190" spans="43:50">
      <c r="AQ190" s="176"/>
      <c r="AR190" s="176"/>
      <c r="AS190" s="176"/>
      <c r="AT190" s="176"/>
      <c r="AU190" s="176"/>
      <c r="AV190" s="176"/>
      <c r="AW190" s="176"/>
      <c r="AX190" s="176"/>
    </row>
    <row r="191" spans="43:50">
      <c r="AQ191" s="176"/>
      <c r="AR191" s="176"/>
      <c r="AS191" s="176"/>
      <c r="AT191" s="176"/>
      <c r="AU191" s="176"/>
      <c r="AV191" s="176"/>
      <c r="AW191" s="176"/>
      <c r="AX191" s="176"/>
    </row>
    <row r="192" spans="43:50">
      <c r="AQ192" s="176"/>
      <c r="AR192" s="176"/>
      <c r="AS192" s="176"/>
      <c r="AT192" s="176"/>
      <c r="AU192" s="176"/>
      <c r="AV192" s="176"/>
      <c r="AW192" s="176"/>
      <c r="AX192" s="176"/>
    </row>
    <row r="193" spans="43:50">
      <c r="AQ193" s="176"/>
      <c r="AR193" s="176"/>
      <c r="AS193" s="176"/>
      <c r="AT193" s="176"/>
      <c r="AU193" s="176"/>
      <c r="AV193" s="176"/>
      <c r="AW193" s="176"/>
      <c r="AX193" s="176"/>
    </row>
    <row r="194" spans="43:50">
      <c r="AQ194" s="176"/>
      <c r="AR194" s="176"/>
      <c r="AS194" s="176"/>
      <c r="AT194" s="176"/>
      <c r="AU194" s="176"/>
      <c r="AV194" s="176"/>
      <c r="AW194" s="176"/>
      <c r="AX194" s="176"/>
    </row>
    <row r="195" spans="43:50">
      <c r="AQ195" s="176"/>
      <c r="AR195" s="176"/>
      <c r="AS195" s="176"/>
      <c r="AT195" s="176"/>
      <c r="AU195" s="176"/>
      <c r="AV195" s="176"/>
      <c r="AW195" s="176"/>
      <c r="AX195" s="176"/>
    </row>
    <row r="196" spans="43:50">
      <c r="AQ196" s="176"/>
      <c r="AR196" s="176"/>
      <c r="AS196" s="176"/>
      <c r="AT196" s="176"/>
      <c r="AU196" s="176"/>
      <c r="AV196" s="176"/>
      <c r="AW196" s="176"/>
      <c r="AX196" s="176"/>
    </row>
    <row r="197" spans="43:50">
      <c r="AQ197" s="176"/>
      <c r="AR197" s="176"/>
      <c r="AS197" s="176"/>
      <c r="AT197" s="176"/>
      <c r="AU197" s="176"/>
      <c r="AV197" s="176"/>
      <c r="AW197" s="176"/>
      <c r="AX197" s="176"/>
    </row>
    <row r="198" spans="43:50">
      <c r="AQ198" s="176"/>
      <c r="AR198" s="176"/>
      <c r="AS198" s="176"/>
      <c r="AT198" s="176"/>
      <c r="AU198" s="176"/>
      <c r="AV198" s="176"/>
      <c r="AW198" s="176"/>
      <c r="AX198" s="176"/>
    </row>
    <row r="199" spans="43:50">
      <c r="AQ199" s="176"/>
      <c r="AR199" s="176"/>
      <c r="AS199" s="176"/>
      <c r="AT199" s="176"/>
      <c r="AU199" s="176"/>
      <c r="AV199" s="176"/>
      <c r="AW199" s="176"/>
      <c r="AX199" s="176"/>
    </row>
    <row r="200" spans="43:50">
      <c r="AQ200" s="176"/>
      <c r="AR200" s="176"/>
      <c r="AS200" s="176"/>
      <c r="AT200" s="176"/>
      <c r="AU200" s="176"/>
      <c r="AV200" s="176"/>
      <c r="AW200" s="176"/>
      <c r="AX200" s="176"/>
    </row>
    <row r="201" spans="43:50">
      <c r="AQ201" s="176"/>
      <c r="AR201" s="176"/>
      <c r="AS201" s="176"/>
      <c r="AT201" s="176"/>
      <c r="AU201" s="176"/>
      <c r="AV201" s="176"/>
      <c r="AW201" s="176"/>
      <c r="AX201" s="176"/>
    </row>
    <row r="202" spans="43:50">
      <c r="AQ202" s="176"/>
      <c r="AR202" s="176"/>
      <c r="AS202" s="176"/>
      <c r="AT202" s="176"/>
      <c r="AU202" s="176"/>
      <c r="AV202" s="176"/>
      <c r="AW202" s="176"/>
      <c r="AX202" s="176"/>
    </row>
    <row r="203" spans="43:50">
      <c r="AQ203" s="176"/>
      <c r="AR203" s="176"/>
      <c r="AS203" s="176"/>
      <c r="AT203" s="176"/>
      <c r="AU203" s="176"/>
      <c r="AV203" s="176"/>
      <c r="AW203" s="176"/>
      <c r="AX203" s="176"/>
    </row>
    <row r="204" spans="43:50">
      <c r="AQ204" s="176"/>
      <c r="AR204" s="176"/>
      <c r="AS204" s="176"/>
      <c r="AT204" s="176"/>
      <c r="AU204" s="176"/>
      <c r="AV204" s="176"/>
      <c r="AW204" s="176"/>
      <c r="AX204" s="176"/>
    </row>
    <row r="205" spans="43:50">
      <c r="AQ205" s="176"/>
      <c r="AR205" s="176"/>
      <c r="AS205" s="176"/>
      <c r="AT205" s="176"/>
      <c r="AU205" s="176"/>
      <c r="AV205" s="176"/>
      <c r="AW205" s="176"/>
      <c r="AX205" s="176"/>
    </row>
    <row r="206" spans="43:50">
      <c r="AQ206" s="176"/>
      <c r="AR206" s="176"/>
      <c r="AS206" s="176"/>
      <c r="AT206" s="176"/>
      <c r="AU206" s="176"/>
      <c r="AV206" s="176"/>
      <c r="AW206" s="176"/>
      <c r="AX206" s="176"/>
    </row>
    <row r="207" spans="43:50">
      <c r="AQ207" s="176"/>
      <c r="AR207" s="176"/>
      <c r="AS207" s="176"/>
      <c r="AT207" s="176"/>
      <c r="AU207" s="176"/>
      <c r="AV207" s="176"/>
      <c r="AW207" s="176"/>
      <c r="AX207" s="176"/>
    </row>
    <row r="208" spans="43:50">
      <c r="AQ208" s="176"/>
      <c r="AR208" s="176"/>
      <c r="AS208" s="176"/>
      <c r="AT208" s="176"/>
      <c r="AU208" s="176"/>
      <c r="AV208" s="176"/>
      <c r="AW208" s="176"/>
      <c r="AX208" s="176"/>
    </row>
    <row r="209" spans="43:50">
      <c r="AQ209" s="176"/>
      <c r="AR209" s="176"/>
      <c r="AS209" s="176"/>
      <c r="AT209" s="176"/>
      <c r="AU209" s="176"/>
      <c r="AV209" s="176"/>
      <c r="AW209" s="176"/>
      <c r="AX209" s="176"/>
    </row>
    <row r="210" spans="43:50">
      <c r="AQ210" s="176"/>
      <c r="AR210" s="176"/>
      <c r="AS210" s="176"/>
      <c r="AT210" s="176"/>
      <c r="AU210" s="176"/>
      <c r="AV210" s="176"/>
      <c r="AW210" s="176"/>
      <c r="AX210" s="176"/>
    </row>
    <row r="211" spans="43:50">
      <c r="AQ211" s="176"/>
      <c r="AR211" s="176"/>
      <c r="AS211" s="176"/>
      <c r="AT211" s="176"/>
      <c r="AU211" s="176"/>
      <c r="AV211" s="176"/>
      <c r="AW211" s="176"/>
      <c r="AX211" s="176"/>
    </row>
    <row r="212" spans="43:50">
      <c r="AQ212" s="176"/>
      <c r="AR212" s="176"/>
      <c r="AS212" s="176"/>
      <c r="AT212" s="176"/>
      <c r="AU212" s="176"/>
      <c r="AV212" s="176"/>
      <c r="AW212" s="176"/>
      <c r="AX212" s="176"/>
    </row>
    <row r="213" spans="43:50">
      <c r="AQ213" s="176"/>
      <c r="AR213" s="176"/>
      <c r="AS213" s="176"/>
      <c r="AT213" s="176"/>
      <c r="AU213" s="176"/>
      <c r="AV213" s="176"/>
      <c r="AW213" s="176"/>
      <c r="AX213" s="176"/>
    </row>
    <row r="214" spans="43:50">
      <c r="AQ214" s="176"/>
      <c r="AR214" s="176"/>
      <c r="AS214" s="176"/>
      <c r="AT214" s="176"/>
      <c r="AU214" s="176"/>
      <c r="AV214" s="176"/>
      <c r="AW214" s="176"/>
      <c r="AX214" s="176"/>
    </row>
    <row r="215" spans="43:50">
      <c r="AQ215" s="176"/>
      <c r="AR215" s="176"/>
      <c r="AS215" s="176"/>
      <c r="AT215" s="176"/>
      <c r="AU215" s="176"/>
      <c r="AV215" s="176"/>
      <c r="AW215" s="176"/>
      <c r="AX215" s="176"/>
    </row>
    <row r="216" spans="43:50">
      <c r="AQ216" s="176"/>
      <c r="AR216" s="176"/>
      <c r="AS216" s="176"/>
      <c r="AT216" s="176"/>
      <c r="AU216" s="176"/>
      <c r="AV216" s="176"/>
      <c r="AW216" s="176"/>
      <c r="AX216" s="176"/>
    </row>
    <row r="217" spans="43:50">
      <c r="AQ217" s="176"/>
      <c r="AR217" s="176"/>
      <c r="AS217" s="176"/>
      <c r="AT217" s="176"/>
      <c r="AU217" s="176"/>
      <c r="AV217" s="176"/>
      <c r="AW217" s="176"/>
      <c r="AX217" s="176"/>
    </row>
    <row r="218" spans="43:50">
      <c r="AQ218" s="176"/>
      <c r="AR218" s="176"/>
      <c r="AS218" s="176"/>
      <c r="AT218" s="176"/>
      <c r="AU218" s="176"/>
      <c r="AV218" s="176"/>
      <c r="AW218" s="176"/>
      <c r="AX218" s="176"/>
    </row>
    <row r="219" spans="43:50">
      <c r="AQ219" s="176"/>
      <c r="AR219" s="176"/>
      <c r="AS219" s="176"/>
      <c r="AT219" s="176"/>
      <c r="AU219" s="176"/>
      <c r="AV219" s="176"/>
      <c r="AW219" s="176"/>
      <c r="AX219" s="176"/>
    </row>
    <row r="220" spans="43:50">
      <c r="AQ220" s="176"/>
      <c r="AR220" s="176"/>
      <c r="AS220" s="176"/>
      <c r="AT220" s="176"/>
      <c r="AU220" s="176"/>
      <c r="AV220" s="176"/>
      <c r="AW220" s="176"/>
      <c r="AX220" s="176"/>
    </row>
  </sheetData>
  <mergeCells count="20">
    <mergeCell ref="A27:B27"/>
    <mergeCell ref="AI62:AM62"/>
    <mergeCell ref="AP62:AT62"/>
    <mergeCell ref="A1:R1"/>
    <mergeCell ref="U1:W1"/>
    <mergeCell ref="X1:Z1"/>
    <mergeCell ref="AH1:AX1"/>
    <mergeCell ref="A3:A26"/>
    <mergeCell ref="AI9:AL9"/>
    <mergeCell ref="AI14:AK14"/>
    <mergeCell ref="AJ15:AK15"/>
    <mergeCell ref="AJ16:AK16"/>
    <mergeCell ref="AJ17:AK17"/>
    <mergeCell ref="AP63:AT63"/>
    <mergeCell ref="AI98:AO98"/>
    <mergeCell ref="AJ99:AL99"/>
    <mergeCell ref="AM99:AO99"/>
    <mergeCell ref="AJ18:AK18"/>
    <mergeCell ref="AI20:AM20"/>
    <mergeCell ref="AI26:AM26"/>
  </mergeCells>
  <conditionalFormatting sqref="AN22">
    <cfRule type="cellIs" dxfId="26" priority="2" operator="lessThan">
      <formula>0</formula>
    </cfRule>
  </conditionalFormatting>
  <conditionalFormatting sqref="AN28">
    <cfRule type="cellIs" dxfId="25" priority="1" operator="lessThan">
      <formula>0</formula>
    </cfRule>
  </conditionalFormatting>
  <conditionalFormatting sqref="T1">
    <cfRule type="expression" dxfId="24" priority="3">
      <formula>AND(ISNUMBER(T1),OR(MONTH(T1)&lt;&gt;MONTH(CFG_MES),YEAR(T1)&lt;&gt;YEAR(CFG_MES)))</formula>
    </cfRule>
  </conditionalFormatting>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Reporte Auto — Página &amp;P de &amp;F</oddFooter>
  </headerFooter>
  <drawing r:id="rId1"/>
  <extLst>
    <ext xmlns:x14="http://schemas.microsoft.com/office/spreadsheetml/2009/9/main" uri="{CCE6A557-97BC-4b89-ADB6-D9C93CAAB3DF}">
      <x14:dataValidations xmlns:xm="http://schemas.microsoft.com/office/excel/2006/main" count="1">
        <x14:dataValidation type="list" allowBlank="1" showInputMessage="1" showErrorMessage="1" errorTitle="Fecha fuera del mes" error="Elija una fecha de la lista. Para otro mes, cambie Mes y Año en Config (C5:C6)." promptTitle="Fecha del mes en control" prompt="Elija una fecha de la lista (mes y año definidos en Config C5:C6)." xr:uid="{3C2FE71A-B6FC-475C-98E6-A14809FD58B2}">
          <x14:formula1>
            <xm:f>OFFSET(Listas!$I$5,0,0,Config!$C$13,1)</xm:f>
          </x14:formula1>
          <xm:sqref>T1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9B6BD-CED2-44BE-9721-44EA5CDF123A}">
  <sheetPr codeName="Hoja27">
    <tabColor rgb="FF2F75B5"/>
    <pageSetUpPr fitToPage="1"/>
  </sheetPr>
  <dimension ref="B1:J37"/>
  <sheetViews>
    <sheetView showGridLines="0" zoomScale="85" zoomScaleNormal="85" workbookViewId="0">
      <pane ySplit="4" topLeftCell="A11" activePane="bottomLeft" state="frozen"/>
      <selection pane="bottomLeft" activeCell="F32" sqref="F32"/>
    </sheetView>
  </sheetViews>
  <sheetFormatPr baseColWidth="10" defaultRowHeight="15"/>
  <cols>
    <col min="2" max="2" width="6.7109375" customWidth="1"/>
    <col min="3" max="8" width="17.140625" customWidth="1"/>
    <col min="9" max="9" width="22.85546875" customWidth="1"/>
    <col min="10" max="10" width="53.28515625" customWidth="1"/>
  </cols>
  <sheetData>
    <row r="1" spans="2:10" ht="18.75">
      <c r="B1" s="885" t="s">
        <v>2465</v>
      </c>
    </row>
    <row r="2" spans="2:10">
      <c r="B2" s="886" t="s">
        <v>9375</v>
      </c>
    </row>
    <row r="4" spans="2:10" ht="32.1" customHeight="1">
      <c r="B4" s="888" t="s">
        <v>31</v>
      </c>
      <c r="C4" s="888" t="s">
        <v>3</v>
      </c>
      <c r="D4" s="888" t="s">
        <v>9237</v>
      </c>
      <c r="E4" s="888" t="s">
        <v>9234</v>
      </c>
      <c r="F4" s="888" t="s">
        <v>2466</v>
      </c>
      <c r="G4" s="888" t="s">
        <v>2467</v>
      </c>
      <c r="H4" s="888" t="s">
        <v>2468</v>
      </c>
      <c r="I4" s="888" t="s">
        <v>2469</v>
      </c>
      <c r="J4" s="888" t="s">
        <v>2435</v>
      </c>
    </row>
    <row r="5" spans="2:10">
      <c r="B5" s="865">
        <v>1</v>
      </c>
      <c r="C5" s="889">
        <f t="shared" ref="C5:C35" si="0">IF(B5&gt;RPT_DIAS_MES,"",DATE(YEAR(RPT_FECHA),RPT_MES,B5))</f>
        <v>46266</v>
      </c>
      <c r="D5" s="890">
        <f>IF(C5="","",IF(SUMIFS(tblConcentrado[Concentrado (TMS)],tblConcentrado[Fecha],C5)=0,"",SUMIFS(tblConcentrado[Concentrado (TMS)],tblConcentrado[Fecha],C5)))</f>
        <v>24244</v>
      </c>
      <c r="E5" s="890">
        <f t="shared" ref="E5:E35" si="1">IF(N(D5)=0,"",D5-P_AJUSTE_CONC)</f>
        <v>23744</v>
      </c>
      <c r="F5" s="864" t="str">
        <f>IF(C5="","",IFERROR(INDEX(tblRDO[Hoja RDO],MATCH(C5,tblRDO[Fecha],0)),""))</f>
        <v>RDO-01 SET</v>
      </c>
      <c r="G5" s="889">
        <f t="shared" ref="G5:G35" si="2">IF(F5="","",C5)</f>
        <v>46266</v>
      </c>
      <c r="H5" s="890">
        <f>IF(C5="","",IF(COUNTIFS(tblRDO[Fecha],C5,tblRDO[Área],CFG_SINTER_AREA,tblRDO[Parámetro],CFG_SINTER_PARAM,tblRDO[Guardia],CFG_SINTER_GUARDIA)=0,"",SUMIFS(tblRDO[Valor],tblRDO[Fecha],C5,tblRDO[Área],CFG_SINTER_AREA,tblRDO[Parámetro],CFG_SINTER_PARAM,tblRDO[Guardia],CFG_SINTER_GUARDIA)))</f>
        <v>3144</v>
      </c>
      <c r="I5" s="864" t="str">
        <f t="shared" ref="I5:I35" si="3">IF(C5="","",IF(F5="","Sin RDO",IF(N(H5)=0,"RDO sin datos","OK")))</f>
        <v>OK</v>
      </c>
      <c r="J5" s="864"/>
    </row>
    <row r="6" spans="2:10">
      <c r="B6" s="865">
        <v>2</v>
      </c>
      <c r="C6" s="889">
        <f t="shared" si="0"/>
        <v>46267</v>
      </c>
      <c r="D6" s="890">
        <f>IF(C6="","",IF(SUMIFS(tblConcentrado[Concentrado (TMS)],tblConcentrado[Fecha],C6)=0,"",SUMIFS(tblConcentrado[Concentrado (TMS)],tblConcentrado[Fecha],C6)))</f>
        <v>24812</v>
      </c>
      <c r="E6" s="890">
        <f t="shared" si="1"/>
        <v>24312</v>
      </c>
      <c r="F6" s="864" t="str">
        <f>IF(C6="","",IFERROR(INDEX(tblRDO[Hoja RDO],MATCH(C6,tblRDO[Fecha],0)),""))</f>
        <v>RDO-02 SET</v>
      </c>
      <c r="G6" s="889">
        <f t="shared" si="2"/>
        <v>46267</v>
      </c>
      <c r="H6" s="890">
        <f>IF(C6="","",IF(COUNTIFS(tblRDO[Fecha],C6,tblRDO[Área],CFG_SINTER_AREA,tblRDO[Parámetro],CFG_SINTER_PARAM,tblRDO[Guardia],CFG_SINTER_GUARDIA)=0,"",SUMIFS(tblRDO[Valor],tblRDO[Fecha],C6,tblRDO[Área],CFG_SINTER_AREA,tblRDO[Parámetro],CFG_SINTER_PARAM,tblRDO[Guardia],CFG_SINTER_GUARDIA)))</f>
        <v>3286</v>
      </c>
      <c r="I6" s="864" t="str">
        <f t="shared" si="3"/>
        <v>OK</v>
      </c>
      <c r="J6" s="864"/>
    </row>
    <row r="7" spans="2:10">
      <c r="B7" s="865">
        <v>3</v>
      </c>
      <c r="C7" s="889">
        <f t="shared" si="0"/>
        <v>46268</v>
      </c>
      <c r="D7" s="890">
        <f>IF(C7="","",IF(SUMIFS(tblConcentrado[Concentrado (TMS)],tblConcentrado[Fecha],C7)=0,"",SUMIFS(tblConcentrado[Concentrado (TMS)],tblConcentrado[Fecha],C7)))</f>
        <v>21781</v>
      </c>
      <c r="E7" s="890">
        <f t="shared" si="1"/>
        <v>21281</v>
      </c>
      <c r="F7" s="864" t="str">
        <f>IF(C7="","",IFERROR(INDEX(tblRDO[Hoja RDO],MATCH(C7,tblRDO[Fecha],0)),""))</f>
        <v>RDO-03 SET</v>
      </c>
      <c r="G7" s="889">
        <f t="shared" si="2"/>
        <v>46268</v>
      </c>
      <c r="H7" s="890">
        <f>IF(C7="","",IF(COUNTIFS(tblRDO[Fecha],C7,tblRDO[Área],CFG_SINTER_AREA,tblRDO[Parámetro],CFG_SINTER_PARAM,tblRDO[Guardia],CFG_SINTER_GUARDIA)=0,"",SUMIFS(tblRDO[Valor],tblRDO[Fecha],C7,tblRDO[Área],CFG_SINTER_AREA,tblRDO[Parámetro],CFG_SINTER_PARAM,tblRDO[Guardia],CFG_SINTER_GUARDIA)))</f>
        <v>3318</v>
      </c>
      <c r="I7" s="864" t="str">
        <f t="shared" si="3"/>
        <v>OK</v>
      </c>
      <c r="J7" s="864"/>
    </row>
    <row r="8" spans="2:10">
      <c r="B8" s="865">
        <v>4</v>
      </c>
      <c r="C8" s="889">
        <f t="shared" si="0"/>
        <v>46269</v>
      </c>
      <c r="D8" s="890">
        <f>IF(C8="","",IF(SUMIFS(tblConcentrado[Concentrado (TMS)],tblConcentrado[Fecha],C8)=0,"",SUMIFS(tblConcentrado[Concentrado (TMS)],tblConcentrado[Fecha],C8)))</f>
        <v>21731</v>
      </c>
      <c r="E8" s="890">
        <f t="shared" si="1"/>
        <v>21231</v>
      </c>
      <c r="F8" s="864" t="str">
        <f>IF(C8="","",IFERROR(INDEX(tblRDO[Hoja RDO],MATCH(C8,tblRDO[Fecha],0)),""))</f>
        <v>RDO-04 SET</v>
      </c>
      <c r="G8" s="889">
        <f t="shared" si="2"/>
        <v>46269</v>
      </c>
      <c r="H8" s="890">
        <f>IF(C8="","",IF(COUNTIFS(tblRDO[Fecha],C8,tblRDO[Área],CFG_SINTER_AREA,tblRDO[Parámetro],CFG_SINTER_PARAM,tblRDO[Guardia],CFG_SINTER_GUARDIA)=0,"",SUMIFS(tblRDO[Valor],tblRDO[Fecha],C8,tblRDO[Área],CFG_SINTER_AREA,tblRDO[Parámetro],CFG_SINTER_PARAM,tblRDO[Guardia],CFG_SINTER_GUARDIA)))</f>
        <v>4243</v>
      </c>
      <c r="I8" s="864" t="str">
        <f t="shared" si="3"/>
        <v>OK</v>
      </c>
      <c r="J8" s="864"/>
    </row>
    <row r="9" spans="2:10">
      <c r="B9" s="865">
        <v>5</v>
      </c>
      <c r="C9" s="889">
        <f t="shared" si="0"/>
        <v>46270</v>
      </c>
      <c r="D9" s="890">
        <f>IF(C9="","",IF(SUMIFS(tblConcentrado[Concentrado (TMS)],tblConcentrado[Fecha],C9)=0,"",SUMIFS(tblConcentrado[Concentrado (TMS)],tblConcentrado[Fecha],C9)))</f>
        <v>22464</v>
      </c>
      <c r="E9" s="890">
        <f t="shared" si="1"/>
        <v>21964</v>
      </c>
      <c r="F9" s="864" t="str">
        <f>IF(C9="","",IFERROR(INDEX(tblRDO[Hoja RDO],MATCH(C9,tblRDO[Fecha],0)),""))</f>
        <v>RDO-05 SET</v>
      </c>
      <c r="G9" s="889">
        <f t="shared" si="2"/>
        <v>46270</v>
      </c>
      <c r="H9" s="890">
        <f>IF(C9="","",IF(COUNTIFS(tblRDO[Fecha],C9,tblRDO[Área],CFG_SINTER_AREA,tblRDO[Parámetro],CFG_SINTER_PARAM,tblRDO[Guardia],CFG_SINTER_GUARDIA)=0,"",SUMIFS(tblRDO[Valor],tblRDO[Fecha],C9,tblRDO[Área],CFG_SINTER_AREA,tblRDO[Parámetro],CFG_SINTER_PARAM,tblRDO[Guardia],CFG_SINTER_GUARDIA)))</f>
        <v>3411</v>
      </c>
      <c r="I9" s="864" t="str">
        <f t="shared" si="3"/>
        <v>OK</v>
      </c>
      <c r="J9" s="864" t="s">
        <v>2492</v>
      </c>
    </row>
    <row r="10" spans="2:10">
      <c r="B10" s="865">
        <v>6</v>
      </c>
      <c r="C10" s="889">
        <f t="shared" si="0"/>
        <v>46271</v>
      </c>
      <c r="D10" s="890">
        <f>IF(C10="","",IF(SUMIFS(tblConcentrado[Concentrado (TMS)],tblConcentrado[Fecha],C10)=0,"",SUMIFS(tblConcentrado[Concentrado (TMS)],tblConcentrado[Fecha],C10)))</f>
        <v>21613</v>
      </c>
      <c r="E10" s="890">
        <f t="shared" si="1"/>
        <v>21113</v>
      </c>
      <c r="F10" s="864" t="str">
        <f>IF(C10="","",IFERROR(INDEX(tblRDO[Hoja RDO],MATCH(C10,tblRDO[Fecha],0)),""))</f>
        <v>RDO-06 SET</v>
      </c>
      <c r="G10" s="889">
        <f t="shared" si="2"/>
        <v>46271</v>
      </c>
      <c r="H10" s="890">
        <f>IF(C10="","",IF(COUNTIFS(tblRDO[Fecha],C10,tblRDO[Área],CFG_SINTER_AREA,tblRDO[Parámetro],CFG_SINTER_PARAM,tblRDO[Guardia],CFG_SINTER_GUARDIA)=0,"",SUMIFS(tblRDO[Valor],tblRDO[Fecha],C10,tblRDO[Área],CFG_SINTER_AREA,tblRDO[Parámetro],CFG_SINTER_PARAM,tblRDO[Guardia],CFG_SINTER_GUARDIA)))</f>
        <v>4183</v>
      </c>
      <c r="I10" s="864" t="str">
        <f t="shared" si="3"/>
        <v>OK</v>
      </c>
      <c r="J10" s="864"/>
    </row>
    <row r="11" spans="2:10">
      <c r="B11" s="865">
        <v>7</v>
      </c>
      <c r="C11" s="889">
        <f t="shared" si="0"/>
        <v>46272</v>
      </c>
      <c r="D11" s="890">
        <f>IF(C11="","",IF(SUMIFS(tblConcentrado[Concentrado (TMS)],tblConcentrado[Fecha],C11)=0,"",SUMIFS(tblConcentrado[Concentrado (TMS)],tblConcentrado[Fecha],C11)))</f>
        <v>20725</v>
      </c>
      <c r="E11" s="890">
        <f t="shared" si="1"/>
        <v>20225</v>
      </c>
      <c r="F11" s="864" t="str">
        <f>IF(C11="","",IFERROR(INDEX(tblRDO[Hoja RDO],MATCH(C11,tblRDO[Fecha],0)),""))</f>
        <v>RDO-07 SET</v>
      </c>
      <c r="G11" s="889">
        <f t="shared" si="2"/>
        <v>46272</v>
      </c>
      <c r="H11" s="890">
        <f>IF(C11="","",IF(COUNTIFS(tblRDO[Fecha],C11,tblRDO[Área],CFG_SINTER_AREA,tblRDO[Parámetro],CFG_SINTER_PARAM,tblRDO[Guardia],CFG_SINTER_GUARDIA)=0,"",SUMIFS(tblRDO[Valor],tblRDO[Fecha],C11,tblRDO[Área],CFG_SINTER_AREA,tblRDO[Parámetro],CFG_SINTER_PARAM,tblRDO[Guardia],CFG_SINTER_GUARDIA)))</f>
        <v>3814</v>
      </c>
      <c r="I11" s="864" t="str">
        <f t="shared" si="3"/>
        <v>OK</v>
      </c>
      <c r="J11" s="864"/>
    </row>
    <row r="12" spans="2:10">
      <c r="B12" s="865">
        <v>8</v>
      </c>
      <c r="C12" s="889">
        <f t="shared" si="0"/>
        <v>46273</v>
      </c>
      <c r="D12" s="890">
        <f>IF(C12="","",IF(SUMIFS(tblConcentrado[Concentrado (TMS)],tblConcentrado[Fecha],C12)=0,"",SUMIFS(tblConcentrado[Concentrado (TMS)],tblConcentrado[Fecha],C12)))</f>
        <v>23722</v>
      </c>
      <c r="E12" s="890">
        <f t="shared" si="1"/>
        <v>23222</v>
      </c>
      <c r="F12" s="864" t="str">
        <f>IF(C12="","",IFERROR(INDEX(tblRDO[Hoja RDO],MATCH(C12,tblRDO[Fecha],0)),""))</f>
        <v>RDO-08 SET</v>
      </c>
      <c r="G12" s="889">
        <f t="shared" si="2"/>
        <v>46273</v>
      </c>
      <c r="H12" s="890">
        <f>IF(C12="","",IF(COUNTIFS(tblRDO[Fecha],C12,tblRDO[Área],CFG_SINTER_AREA,tblRDO[Parámetro],CFG_SINTER_PARAM,tblRDO[Guardia],CFG_SINTER_GUARDIA)=0,"",SUMIFS(tblRDO[Valor],tblRDO[Fecha],C12,tblRDO[Área],CFG_SINTER_AREA,tblRDO[Parámetro],CFG_SINTER_PARAM,tblRDO[Guardia],CFG_SINTER_GUARDIA)))</f>
        <v>3401</v>
      </c>
      <c r="I12" s="864" t="str">
        <f t="shared" si="3"/>
        <v>OK</v>
      </c>
      <c r="J12" s="864"/>
    </row>
    <row r="13" spans="2:10">
      <c r="B13" s="865">
        <v>9</v>
      </c>
      <c r="C13" s="889">
        <f t="shared" si="0"/>
        <v>46274</v>
      </c>
      <c r="D13" s="890">
        <f>IF(C13="","",IF(SUMIFS(tblConcentrado[Concentrado (TMS)],tblConcentrado[Fecha],C13)=0,"",SUMIFS(tblConcentrado[Concentrado (TMS)],tblConcentrado[Fecha],C13)))</f>
        <v>25049</v>
      </c>
      <c r="E13" s="890">
        <f t="shared" si="1"/>
        <v>24549</v>
      </c>
      <c r="F13" s="864" t="str">
        <f>IF(C13="","",IFERROR(INDEX(tblRDO[Hoja RDO],MATCH(C13,tblRDO[Fecha],0)),""))</f>
        <v>RDO-09 SET</v>
      </c>
      <c r="G13" s="889">
        <f t="shared" si="2"/>
        <v>46274</v>
      </c>
      <c r="H13" s="890">
        <f>IF(C13="","",IF(COUNTIFS(tblRDO[Fecha],C13,tblRDO[Área],CFG_SINTER_AREA,tblRDO[Parámetro],CFG_SINTER_PARAM,tblRDO[Guardia],CFG_SINTER_GUARDIA)=0,"",SUMIFS(tblRDO[Valor],tblRDO[Fecha],C13,tblRDO[Área],CFG_SINTER_AREA,tblRDO[Parámetro],CFG_SINTER_PARAM,tblRDO[Guardia],CFG_SINTER_GUARDIA)))</f>
        <v>3119</v>
      </c>
      <c r="I13" s="864" t="str">
        <f t="shared" si="3"/>
        <v>OK</v>
      </c>
      <c r="J13" s="864"/>
    </row>
    <row r="14" spans="2:10">
      <c r="B14" s="865">
        <v>10</v>
      </c>
      <c r="C14" s="889">
        <f t="shared" si="0"/>
        <v>46275</v>
      </c>
      <c r="D14" s="890">
        <f>IF(C14="","",IF(SUMIFS(tblConcentrado[Concentrado (TMS)],tblConcentrado[Fecha],C14)=0,"",SUMIFS(tblConcentrado[Concentrado (TMS)],tblConcentrado[Fecha],C14)))</f>
        <v>23389</v>
      </c>
      <c r="E14" s="890">
        <f t="shared" si="1"/>
        <v>22889</v>
      </c>
      <c r="F14" s="864" t="str">
        <f>IF(C14="","",IFERROR(INDEX(tblRDO[Hoja RDO],MATCH(C14,tblRDO[Fecha],0)),""))</f>
        <v>RDO-10 SET</v>
      </c>
      <c r="G14" s="889">
        <f t="shared" si="2"/>
        <v>46275</v>
      </c>
      <c r="H14" s="890">
        <f>IF(C14="","",IF(COUNTIFS(tblRDO[Fecha],C14,tblRDO[Área],CFG_SINTER_AREA,tblRDO[Parámetro],CFG_SINTER_PARAM,tblRDO[Guardia],CFG_SINTER_GUARDIA)=0,"",SUMIFS(tblRDO[Valor],tblRDO[Fecha],C14,tblRDO[Área],CFG_SINTER_AREA,tblRDO[Parámetro],CFG_SINTER_PARAM,tblRDO[Guardia],CFG_SINTER_GUARDIA)))</f>
        <v>3381</v>
      </c>
      <c r="I14" s="864" t="str">
        <f t="shared" si="3"/>
        <v>OK</v>
      </c>
      <c r="J14" s="864" t="s">
        <v>2494</v>
      </c>
    </row>
    <row r="15" spans="2:10">
      <c r="B15" s="865">
        <v>11</v>
      </c>
      <c r="C15" s="889">
        <f t="shared" si="0"/>
        <v>46276</v>
      </c>
      <c r="D15" s="890">
        <f>IF(C15="","",IF(SUMIFS(tblConcentrado[Concentrado (TMS)],tblConcentrado[Fecha],C15)=0,"",SUMIFS(tblConcentrado[Concentrado (TMS)],tblConcentrado[Fecha],C15)))</f>
        <v>25103</v>
      </c>
      <c r="E15" s="890">
        <f t="shared" si="1"/>
        <v>24603</v>
      </c>
      <c r="F15" s="864" t="str">
        <f>IF(C15="","",IFERROR(INDEX(tblRDO[Hoja RDO],MATCH(C15,tblRDO[Fecha],0)),""))</f>
        <v>RDO-11 SET</v>
      </c>
      <c r="G15" s="889">
        <f t="shared" si="2"/>
        <v>46276</v>
      </c>
      <c r="H15" s="890">
        <f>IF(C15="","",IF(COUNTIFS(tblRDO[Fecha],C15,tblRDO[Área],CFG_SINTER_AREA,tblRDO[Parámetro],CFG_SINTER_PARAM,tblRDO[Guardia],CFG_SINTER_GUARDIA)=0,"",SUMIFS(tblRDO[Valor],tblRDO[Fecha],C15,tblRDO[Área],CFG_SINTER_AREA,tblRDO[Parámetro],CFG_SINTER_PARAM,tblRDO[Guardia],CFG_SINTER_GUARDIA)))</f>
        <v>2499</v>
      </c>
      <c r="I15" s="864" t="str">
        <f t="shared" si="3"/>
        <v>OK</v>
      </c>
      <c r="J15" s="864" t="s">
        <v>2495</v>
      </c>
    </row>
    <row r="16" spans="2:10">
      <c r="B16" s="865">
        <v>12</v>
      </c>
      <c r="C16" s="889">
        <f t="shared" si="0"/>
        <v>46277</v>
      </c>
      <c r="D16" s="890">
        <f>IF(C16="","",IF(SUMIFS(tblConcentrado[Concentrado (TMS)],tblConcentrado[Fecha],C16)=0,"",SUMIFS(tblConcentrado[Concentrado (TMS)],tblConcentrado[Fecha],C16)))</f>
        <v>10697</v>
      </c>
      <c r="E16" s="890">
        <f t="shared" si="1"/>
        <v>10197</v>
      </c>
      <c r="F16" s="864" t="str">
        <f>IF(C16="","",IFERROR(INDEX(tblRDO[Hoja RDO],MATCH(C16,tblRDO[Fecha],0)),""))</f>
        <v>RDO-12 SET</v>
      </c>
      <c r="G16" s="889">
        <f t="shared" si="2"/>
        <v>46277</v>
      </c>
      <c r="H16" s="890">
        <f>IF(C16="","",IF(COUNTIFS(tblRDO[Fecha],C16,tblRDO[Área],CFG_SINTER_AREA,tblRDO[Parámetro],CFG_SINTER_PARAM,tblRDO[Guardia],CFG_SINTER_GUARDIA)=0,"",SUMIFS(tblRDO[Valor],tblRDO[Fecha],C16,tblRDO[Área],CFG_SINTER_AREA,tblRDO[Parámetro],CFG_SINTER_PARAM,tblRDO[Guardia],CFG_SINTER_GUARDIA)))</f>
        <v>1871</v>
      </c>
      <c r="I16" s="864" t="str">
        <f t="shared" si="3"/>
        <v>OK</v>
      </c>
      <c r="J16" s="864" t="s">
        <v>2498</v>
      </c>
    </row>
    <row r="17" spans="2:10">
      <c r="B17" s="865">
        <v>13</v>
      </c>
      <c r="C17" s="889">
        <f t="shared" si="0"/>
        <v>46278</v>
      </c>
      <c r="D17" s="890">
        <f>IF(C17="","",IF(SUMIFS(tblConcentrado[Concentrado (TMS)],tblConcentrado[Fecha],C17)=0,"",SUMIFS(tblConcentrado[Concentrado (TMS)],tblConcentrado[Fecha],C17)))</f>
        <v>23745</v>
      </c>
      <c r="E17" s="890">
        <f t="shared" si="1"/>
        <v>23245</v>
      </c>
      <c r="F17" s="864" t="str">
        <f>IF(C17="","",IFERROR(INDEX(tblRDO[Hoja RDO],MATCH(C17,tblRDO[Fecha],0)),""))</f>
        <v>RDO-13 SET</v>
      </c>
      <c r="G17" s="889">
        <f t="shared" si="2"/>
        <v>46278</v>
      </c>
      <c r="H17" s="890">
        <f>IF(C17="","",IF(COUNTIFS(tblRDO[Fecha],C17,tblRDO[Área],CFG_SINTER_AREA,tblRDO[Parámetro],CFG_SINTER_PARAM,tblRDO[Guardia],CFG_SINTER_GUARDIA)=0,"",SUMIFS(tblRDO[Valor],tblRDO[Fecha],C17,tblRDO[Área],CFG_SINTER_AREA,tblRDO[Parámetro],CFG_SINTER_PARAM,tblRDO[Guardia],CFG_SINTER_GUARDIA)))</f>
        <v>5450</v>
      </c>
      <c r="I17" s="864" t="str">
        <f t="shared" si="3"/>
        <v>OK</v>
      </c>
      <c r="J17" s="864"/>
    </row>
    <row r="18" spans="2:10">
      <c r="B18" s="865">
        <v>14</v>
      </c>
      <c r="C18" s="889">
        <f t="shared" si="0"/>
        <v>46279</v>
      </c>
      <c r="D18" s="890">
        <f>IF(C18="","",IF(SUMIFS(tblConcentrado[Concentrado (TMS)],tblConcentrado[Fecha],C18)=0,"",SUMIFS(tblConcentrado[Concentrado (TMS)],tblConcentrado[Fecha],C18)))</f>
        <v>23072</v>
      </c>
      <c r="E18" s="890">
        <f t="shared" si="1"/>
        <v>22572</v>
      </c>
      <c r="F18" s="864" t="str">
        <f>IF(C18="","",IFERROR(INDEX(tblRDO[Hoja RDO],MATCH(C18,tblRDO[Fecha],0)),""))</f>
        <v>RDO-14 SET</v>
      </c>
      <c r="G18" s="889">
        <f t="shared" si="2"/>
        <v>46279</v>
      </c>
      <c r="H18" s="890">
        <f>IF(C18="","",IF(COUNTIFS(tblRDO[Fecha],C18,tblRDO[Área],CFG_SINTER_AREA,tblRDO[Parámetro],CFG_SINTER_PARAM,tblRDO[Guardia],CFG_SINTER_GUARDIA)=0,"",SUMIFS(tblRDO[Valor],tblRDO[Fecha],C18,tblRDO[Área],CFG_SINTER_AREA,tblRDO[Parámetro],CFG_SINTER_PARAM,tblRDO[Guardia],CFG_SINTER_GUARDIA)))</f>
        <v>4888</v>
      </c>
      <c r="I18" s="864" t="str">
        <f t="shared" si="3"/>
        <v>OK</v>
      </c>
      <c r="J18" s="864"/>
    </row>
    <row r="19" spans="2:10">
      <c r="B19" s="865">
        <v>15</v>
      </c>
      <c r="C19" s="889">
        <f t="shared" si="0"/>
        <v>46280</v>
      </c>
      <c r="D19" s="890">
        <f>IF(C19="","",IF(SUMIFS(tblConcentrado[Concentrado (TMS)],tblConcentrado[Fecha],C19)=0,"",SUMIFS(tblConcentrado[Concentrado (TMS)],tblConcentrado[Fecha],C19)))</f>
        <v>19458</v>
      </c>
      <c r="E19" s="890">
        <f t="shared" si="1"/>
        <v>18958</v>
      </c>
      <c r="F19" s="864" t="str">
        <f>IF(C19="","",IFERROR(INDEX(tblRDO[Hoja RDO],MATCH(C19,tblRDO[Fecha],0)),""))</f>
        <v>RDO-15 SET</v>
      </c>
      <c r="G19" s="889">
        <f t="shared" si="2"/>
        <v>46280</v>
      </c>
      <c r="H19" s="890">
        <f>IF(C19="","",IF(COUNTIFS(tblRDO[Fecha],C19,tblRDO[Área],CFG_SINTER_AREA,tblRDO[Parámetro],CFG_SINTER_PARAM,tblRDO[Guardia],CFG_SINTER_GUARDIA)=0,"",SUMIFS(tblRDO[Valor],tblRDO[Fecha],C19,tblRDO[Área],CFG_SINTER_AREA,tblRDO[Parámetro],CFG_SINTER_PARAM,tblRDO[Guardia],CFG_SINTER_GUARDIA)))</f>
        <v>5804</v>
      </c>
      <c r="I19" s="864" t="str">
        <f t="shared" si="3"/>
        <v>OK</v>
      </c>
      <c r="J19" s="864"/>
    </row>
    <row r="20" spans="2:10">
      <c r="B20" s="865">
        <v>16</v>
      </c>
      <c r="C20" s="889">
        <f t="shared" si="0"/>
        <v>46281</v>
      </c>
      <c r="D20" s="890">
        <f>IF(C20="","",IF(SUMIFS(tblConcentrado[Concentrado (TMS)],tblConcentrado[Fecha],C20)=0,"",SUMIFS(tblConcentrado[Concentrado (TMS)],tblConcentrado[Fecha],C20)))</f>
        <v>20590</v>
      </c>
      <c r="E20" s="890">
        <f t="shared" si="1"/>
        <v>20090</v>
      </c>
      <c r="F20" s="864" t="str">
        <f>IF(C20="","",IFERROR(INDEX(tblRDO[Hoja RDO],MATCH(C20,tblRDO[Fecha],0)),""))</f>
        <v>RDO-16 SET</v>
      </c>
      <c r="G20" s="889">
        <f t="shared" si="2"/>
        <v>46281</v>
      </c>
      <c r="H20" s="890">
        <f>IF(C20="","",IF(COUNTIFS(tblRDO[Fecha],C20,tblRDO[Área],CFG_SINTER_AREA,tblRDO[Parámetro],CFG_SINTER_PARAM,tblRDO[Guardia],CFG_SINTER_GUARDIA)=0,"",SUMIFS(tblRDO[Valor],tblRDO[Fecha],C20,tblRDO[Área],CFG_SINTER_AREA,tblRDO[Parámetro],CFG_SINTER_PARAM,tblRDO[Guardia],CFG_SINTER_GUARDIA)))</f>
        <v>4381</v>
      </c>
      <c r="I20" s="864" t="str">
        <f t="shared" si="3"/>
        <v>OK</v>
      </c>
      <c r="J20" s="864"/>
    </row>
    <row r="21" spans="2:10">
      <c r="B21" s="865">
        <v>17</v>
      </c>
      <c r="C21" s="889">
        <f t="shared" si="0"/>
        <v>46282</v>
      </c>
      <c r="D21" s="890">
        <f>IF(C21="","",IF(SUMIFS(tblConcentrado[Concentrado (TMS)],tblConcentrado[Fecha],C21)=0,"",SUMIFS(tblConcentrado[Concentrado (TMS)],tblConcentrado[Fecha],C21)))</f>
        <v>18572</v>
      </c>
      <c r="E21" s="890">
        <f t="shared" si="1"/>
        <v>18072</v>
      </c>
      <c r="F21" s="864" t="str">
        <f>IF(C21="","",IFERROR(INDEX(tblRDO[Hoja RDO],MATCH(C21,tblRDO[Fecha],0)),""))</f>
        <v>RDO-17 SET</v>
      </c>
      <c r="G21" s="889">
        <f t="shared" si="2"/>
        <v>46282</v>
      </c>
      <c r="H21" s="890">
        <f>IF(C21="","",IF(COUNTIFS(tblRDO[Fecha],C21,tblRDO[Área],CFG_SINTER_AREA,tblRDO[Parámetro],CFG_SINTER_PARAM,tblRDO[Guardia],CFG_SINTER_GUARDIA)=0,"",SUMIFS(tblRDO[Valor],tblRDO[Fecha],C21,tblRDO[Área],CFG_SINTER_AREA,tblRDO[Parámetro],CFG_SINTER_PARAM,tblRDO[Guardia],CFG_SINTER_GUARDIA)))</f>
        <v>4128</v>
      </c>
      <c r="I21" s="864" t="str">
        <f t="shared" si="3"/>
        <v>OK</v>
      </c>
      <c r="J21" s="864"/>
    </row>
    <row r="22" spans="2:10">
      <c r="B22" s="865">
        <v>18</v>
      </c>
      <c r="C22" s="889">
        <f t="shared" si="0"/>
        <v>46283</v>
      </c>
      <c r="D22" s="890">
        <f>IF(C22="","",IF(SUMIFS(tblConcentrado[Concentrado (TMS)],tblConcentrado[Fecha],C22)=0,"",SUMIFS(tblConcentrado[Concentrado (TMS)],tblConcentrado[Fecha],C22)))</f>
        <v>19354</v>
      </c>
      <c r="E22" s="890">
        <f t="shared" si="1"/>
        <v>18854</v>
      </c>
      <c r="F22" s="864" t="str">
        <f>IF(C22="","",IFERROR(INDEX(tblRDO[Hoja RDO],MATCH(C22,tblRDO[Fecha],0)),""))</f>
        <v>RDO-18 SET</v>
      </c>
      <c r="G22" s="889">
        <f t="shared" si="2"/>
        <v>46283</v>
      </c>
      <c r="H22" s="890">
        <f>IF(C22="","",IF(COUNTIFS(tblRDO[Fecha],C22,tblRDO[Área],CFG_SINTER_AREA,tblRDO[Parámetro],CFG_SINTER_PARAM,tblRDO[Guardia],CFG_SINTER_GUARDIA)=0,"",SUMIFS(tblRDO[Valor],tblRDO[Fecha],C22,tblRDO[Área],CFG_SINTER_AREA,tblRDO[Parámetro],CFG_SINTER_PARAM,tblRDO[Guardia],CFG_SINTER_GUARDIA)))</f>
        <v>5191</v>
      </c>
      <c r="I22" s="864" t="str">
        <f t="shared" si="3"/>
        <v>OK</v>
      </c>
      <c r="J22" s="864"/>
    </row>
    <row r="23" spans="2:10">
      <c r="B23" s="865">
        <v>19</v>
      </c>
      <c r="C23" s="889">
        <f t="shared" si="0"/>
        <v>46284</v>
      </c>
      <c r="D23" s="890">
        <f>IF(C23="","",IF(SUMIFS(tblConcentrado[Concentrado (TMS)],tblConcentrado[Fecha],C23)=0,"",SUMIFS(tblConcentrado[Concentrado (TMS)],tblConcentrado[Fecha],C23)))</f>
        <v>19938</v>
      </c>
      <c r="E23" s="890">
        <f t="shared" si="1"/>
        <v>19438</v>
      </c>
      <c r="F23" s="864" t="str">
        <f>IF(C23="","",IFERROR(INDEX(tblRDO[Hoja RDO],MATCH(C23,tblRDO[Fecha],0)),""))</f>
        <v>RDO-19 SET</v>
      </c>
      <c r="G23" s="889">
        <f t="shared" si="2"/>
        <v>46284</v>
      </c>
      <c r="H23" s="890">
        <f>IF(C23="","",IF(COUNTIFS(tblRDO[Fecha],C23,tblRDO[Área],CFG_SINTER_AREA,tblRDO[Parámetro],CFG_SINTER_PARAM,tblRDO[Guardia],CFG_SINTER_GUARDIA)=0,"",SUMIFS(tblRDO[Valor],tblRDO[Fecha],C23,tblRDO[Área],CFG_SINTER_AREA,tblRDO[Parámetro],CFG_SINTER_PARAM,tblRDO[Guardia],CFG_SINTER_GUARDIA)))</f>
        <v>5182</v>
      </c>
      <c r="I23" s="864" t="str">
        <f t="shared" si="3"/>
        <v>OK</v>
      </c>
      <c r="J23" s="864" t="s">
        <v>2493</v>
      </c>
    </row>
    <row r="24" spans="2:10">
      <c r="B24" s="865">
        <v>20</v>
      </c>
      <c r="C24" s="889">
        <f t="shared" si="0"/>
        <v>46285</v>
      </c>
      <c r="D24" s="890">
        <f>IF(C24="","",IF(SUMIFS(tblConcentrado[Concentrado (TMS)],tblConcentrado[Fecha],C24)=0,"",SUMIFS(tblConcentrado[Concentrado (TMS)],tblConcentrado[Fecha],C24)))</f>
        <v>19913</v>
      </c>
      <c r="E24" s="890">
        <f t="shared" si="1"/>
        <v>19413</v>
      </c>
      <c r="F24" s="864" t="str">
        <f>IF(C24="","",IFERROR(INDEX(tblRDO[Hoja RDO],MATCH(C24,tblRDO[Fecha],0)),""))</f>
        <v>RDO-20 SET</v>
      </c>
      <c r="G24" s="889">
        <f t="shared" si="2"/>
        <v>46285</v>
      </c>
      <c r="H24" s="890">
        <f>IF(C24="","",IF(COUNTIFS(tblRDO[Fecha],C24,tblRDO[Área],CFG_SINTER_AREA,tblRDO[Parámetro],CFG_SINTER_PARAM,tblRDO[Guardia],CFG_SINTER_GUARDIA)=0,"",SUMIFS(tblRDO[Valor],tblRDO[Fecha],C24,tblRDO[Área],CFG_SINTER_AREA,tblRDO[Parámetro],CFG_SINTER_PARAM,tblRDO[Guardia],CFG_SINTER_GUARDIA)))</f>
        <v>4126</v>
      </c>
      <c r="I24" s="864" t="str">
        <f t="shared" si="3"/>
        <v>OK</v>
      </c>
      <c r="J24" s="864"/>
    </row>
    <row r="25" spans="2:10">
      <c r="B25" s="865">
        <v>21</v>
      </c>
      <c r="C25" s="889">
        <f t="shared" si="0"/>
        <v>46286</v>
      </c>
      <c r="D25" s="890">
        <f>IF(C25="","",IF(SUMIFS(tblConcentrado[Concentrado (TMS)],tblConcentrado[Fecha],C25)=0,"",SUMIFS(tblConcentrado[Concentrado (TMS)],tblConcentrado[Fecha],C25)))</f>
        <v>18487</v>
      </c>
      <c r="E25" s="890">
        <f t="shared" si="1"/>
        <v>17987</v>
      </c>
      <c r="F25" s="864" t="str">
        <f>IF(C25="","",IFERROR(INDEX(tblRDO[Hoja RDO],MATCH(C25,tblRDO[Fecha],0)),""))</f>
        <v>RDO-21 SET</v>
      </c>
      <c r="G25" s="889">
        <f t="shared" si="2"/>
        <v>46286</v>
      </c>
      <c r="H25" s="890">
        <f>IF(C25="","",IF(COUNTIFS(tblRDO[Fecha],C25,tblRDO[Área],CFG_SINTER_AREA,tblRDO[Parámetro],CFG_SINTER_PARAM,tblRDO[Guardia],CFG_SINTER_GUARDIA)=0,"",SUMIFS(tblRDO[Valor],tblRDO[Fecha],C25,tblRDO[Área],CFG_SINTER_AREA,tblRDO[Parámetro],CFG_SINTER_PARAM,tblRDO[Guardia],CFG_SINTER_GUARDIA)))</f>
        <v>3588</v>
      </c>
      <c r="I25" s="864" t="str">
        <f t="shared" si="3"/>
        <v>OK</v>
      </c>
      <c r="J25" s="864"/>
    </row>
    <row r="26" spans="2:10">
      <c r="B26" s="865">
        <v>22</v>
      </c>
      <c r="C26" s="889">
        <f t="shared" si="0"/>
        <v>46287</v>
      </c>
      <c r="D26" s="890">
        <f>IF(C26="","",IF(SUMIFS(tblConcentrado[Concentrado (TMS)],tblConcentrado[Fecha],C26)=0,"",SUMIFS(tblConcentrado[Concentrado (TMS)],tblConcentrado[Fecha],C26)))</f>
        <v>21107</v>
      </c>
      <c r="E26" s="890">
        <f t="shared" si="1"/>
        <v>20607</v>
      </c>
      <c r="F26" s="864" t="str">
        <f>IF(C26="","",IFERROR(INDEX(tblRDO[Hoja RDO],MATCH(C26,tblRDO[Fecha],0)),""))</f>
        <v>RDO-22 SET</v>
      </c>
      <c r="G26" s="889">
        <f t="shared" si="2"/>
        <v>46287</v>
      </c>
      <c r="H26" s="890">
        <f>IF(C26="","",IF(COUNTIFS(tblRDO[Fecha],C26,tblRDO[Área],CFG_SINTER_AREA,tblRDO[Parámetro],CFG_SINTER_PARAM,tblRDO[Guardia],CFG_SINTER_GUARDIA)=0,"",SUMIFS(tblRDO[Valor],tblRDO[Fecha],C26,tblRDO[Área],CFG_SINTER_AREA,tblRDO[Parámetro],CFG_SINTER_PARAM,tblRDO[Guardia],CFG_SINTER_GUARDIA)))</f>
        <v>0</v>
      </c>
      <c r="I26" s="864" t="str">
        <f t="shared" si="3"/>
        <v>RDO sin datos</v>
      </c>
      <c r="J26" s="864" t="s">
        <v>2496</v>
      </c>
    </row>
    <row r="27" spans="2:10">
      <c r="B27" s="865">
        <v>23</v>
      </c>
      <c r="C27" s="889">
        <f t="shared" si="0"/>
        <v>46288</v>
      </c>
      <c r="D27" s="890">
        <f>IF(C27="","",IF(SUMIFS(tblConcentrado[Concentrado (TMS)],tblConcentrado[Fecha],C27)=0,"",SUMIFS(tblConcentrado[Concentrado (TMS)],tblConcentrado[Fecha],C27)))</f>
        <v>22302</v>
      </c>
      <c r="E27" s="890">
        <f t="shared" si="1"/>
        <v>21802</v>
      </c>
      <c r="F27" s="864" t="str">
        <f>IF(C27="","",IFERROR(INDEX(tblRDO[Hoja RDO],MATCH(C27,tblRDO[Fecha],0)),""))</f>
        <v>RDO-23 SET</v>
      </c>
      <c r="G27" s="889">
        <f t="shared" si="2"/>
        <v>46288</v>
      </c>
      <c r="H27" s="890">
        <f>IF(C27="","",IF(COUNTIFS(tblRDO[Fecha],C27,tblRDO[Área],CFG_SINTER_AREA,tblRDO[Parámetro],CFG_SINTER_PARAM,tblRDO[Guardia],CFG_SINTER_GUARDIA)=0,"",SUMIFS(tblRDO[Valor],tblRDO[Fecha],C27,tblRDO[Área],CFG_SINTER_AREA,tblRDO[Parámetro],CFG_SINTER_PARAM,tblRDO[Guardia],CFG_SINTER_GUARDIA)))</f>
        <v>3355</v>
      </c>
      <c r="I27" s="864" t="str">
        <f t="shared" si="3"/>
        <v>OK</v>
      </c>
      <c r="J27" s="864"/>
    </row>
    <row r="28" spans="2:10">
      <c r="B28" s="865">
        <v>24</v>
      </c>
      <c r="C28" s="889">
        <f t="shared" si="0"/>
        <v>46289</v>
      </c>
      <c r="D28" s="890">
        <f>IF(C28="","",IF(SUMIFS(tblConcentrado[Concentrado (TMS)],tblConcentrado[Fecha],C28)=0,"",SUMIFS(tblConcentrado[Concentrado (TMS)],tblConcentrado[Fecha],C28)))</f>
        <v>22132</v>
      </c>
      <c r="E28" s="890">
        <f t="shared" si="1"/>
        <v>21632</v>
      </c>
      <c r="F28" s="864" t="str">
        <f>IF(C28="","",IFERROR(INDEX(tblRDO[Hoja RDO],MATCH(C28,tblRDO[Fecha],0)),""))</f>
        <v>RDO-24 SET</v>
      </c>
      <c r="G28" s="889">
        <f t="shared" si="2"/>
        <v>46289</v>
      </c>
      <c r="H28" s="890">
        <f>IF(C28="","",IF(COUNTIFS(tblRDO[Fecha],C28,tblRDO[Área],CFG_SINTER_AREA,tblRDO[Parámetro],CFG_SINTER_PARAM,tblRDO[Guardia],CFG_SINTER_GUARDIA)=0,"",SUMIFS(tblRDO[Valor],tblRDO[Fecha],C28,tblRDO[Área],CFG_SINTER_AREA,tblRDO[Parámetro],CFG_SINTER_PARAM,tblRDO[Guardia],CFG_SINTER_GUARDIA)))</f>
        <v>2694</v>
      </c>
      <c r="I28" s="864" t="str">
        <f t="shared" si="3"/>
        <v>OK</v>
      </c>
      <c r="J28" s="864"/>
    </row>
    <row r="29" spans="2:10">
      <c r="B29" s="865">
        <v>25</v>
      </c>
      <c r="C29" s="889">
        <f t="shared" si="0"/>
        <v>46290</v>
      </c>
      <c r="D29" s="890">
        <f>IF(C29="","",IF(SUMIFS(tblConcentrado[Concentrado (TMS)],tblConcentrado[Fecha],C29)=0,"",SUMIFS(tblConcentrado[Concentrado (TMS)],tblConcentrado[Fecha],C29)))</f>
        <v>22000</v>
      </c>
      <c r="E29" s="890">
        <f t="shared" si="1"/>
        <v>21500</v>
      </c>
      <c r="F29" s="864" t="str">
        <f>IF(C29="","",IFERROR(INDEX(tblRDO[Hoja RDO],MATCH(C29,tblRDO[Fecha],0)),""))</f>
        <v>RDO-25 SET</v>
      </c>
      <c r="G29" s="889">
        <f t="shared" si="2"/>
        <v>46290</v>
      </c>
      <c r="H29" s="890">
        <f>IF(C29="","",IF(COUNTIFS(tblRDO[Fecha],C29,tblRDO[Área],CFG_SINTER_AREA,tblRDO[Parámetro],CFG_SINTER_PARAM,tblRDO[Guardia],CFG_SINTER_GUARDIA)=0,"",SUMIFS(tblRDO[Valor],tblRDO[Fecha],C29,tblRDO[Área],CFG_SINTER_AREA,tblRDO[Parámetro],CFG_SINTER_PARAM,tblRDO[Guardia],CFG_SINTER_GUARDIA)))</f>
        <v>3566</v>
      </c>
      <c r="I29" s="864" t="str">
        <f t="shared" si="3"/>
        <v>OK</v>
      </c>
      <c r="J29" s="864"/>
    </row>
    <row r="30" spans="2:10">
      <c r="B30" s="865">
        <v>26</v>
      </c>
      <c r="C30" s="889">
        <f t="shared" si="0"/>
        <v>46291</v>
      </c>
      <c r="D30" s="890">
        <f>IF(C30="","",IF(SUMIFS(tblConcentrado[Concentrado (TMS)],tblConcentrado[Fecha],C30)=0,"",SUMIFS(tblConcentrado[Concentrado (TMS)],tblConcentrado[Fecha],C30)))</f>
        <v>19272</v>
      </c>
      <c r="E30" s="890">
        <f t="shared" si="1"/>
        <v>18772</v>
      </c>
      <c r="F30" s="864" t="str">
        <f>IF(C30="","",IFERROR(INDEX(tblRDO[Hoja RDO],MATCH(C30,tblRDO[Fecha],0)),""))</f>
        <v>RDO-26 SET</v>
      </c>
      <c r="G30" s="889">
        <f t="shared" si="2"/>
        <v>46291</v>
      </c>
      <c r="H30" s="890">
        <f>IF(C30="","",IF(COUNTIFS(tblRDO[Fecha],C30,tblRDO[Área],CFG_SINTER_AREA,tblRDO[Parámetro],CFG_SINTER_PARAM,tblRDO[Guardia],CFG_SINTER_GUARDIA)=0,"",SUMIFS(tblRDO[Valor],tblRDO[Fecha],C30,tblRDO[Área],CFG_SINTER_AREA,tblRDO[Parámetro],CFG_SINTER_PARAM,tblRDO[Guardia],CFG_SINTER_GUARDIA)))</f>
        <v>3994</v>
      </c>
      <c r="I30" s="864" t="str">
        <f t="shared" si="3"/>
        <v>OK</v>
      </c>
      <c r="J30" s="864"/>
    </row>
    <row r="31" spans="2:10">
      <c r="B31" s="865">
        <v>27</v>
      </c>
      <c r="C31" s="889">
        <f t="shared" si="0"/>
        <v>46292</v>
      </c>
      <c r="D31" s="890">
        <f>IF(C31="","",IF(SUMIFS(tblConcentrado[Concentrado (TMS)],tblConcentrado[Fecha],C31)=0,"",SUMIFS(tblConcentrado[Concentrado (TMS)],tblConcentrado[Fecha],C31)))</f>
        <v>22555</v>
      </c>
      <c r="E31" s="890">
        <f t="shared" si="1"/>
        <v>22055</v>
      </c>
      <c r="F31" s="864" t="str">
        <f>IF(C31="","",IFERROR(INDEX(tblRDO[Hoja RDO],MATCH(C31,tblRDO[Fecha],0)),""))</f>
        <v>RDO-27 SET</v>
      </c>
      <c r="G31" s="889">
        <f t="shared" si="2"/>
        <v>46292</v>
      </c>
      <c r="H31" s="890">
        <f>IF(C31="","",IF(COUNTIFS(tblRDO[Fecha],C31,tblRDO[Área],CFG_SINTER_AREA,tblRDO[Parámetro],CFG_SINTER_PARAM,tblRDO[Guardia],CFG_SINTER_GUARDIA)=0,"",SUMIFS(tblRDO[Valor],tblRDO[Fecha],C31,tblRDO[Área],CFG_SINTER_AREA,tblRDO[Parámetro],CFG_SINTER_PARAM,tblRDO[Guardia],CFG_SINTER_GUARDIA)))</f>
        <v>4623</v>
      </c>
      <c r="I31" s="864" t="str">
        <f t="shared" si="3"/>
        <v>OK</v>
      </c>
      <c r="J31" s="864"/>
    </row>
    <row r="32" spans="2:10">
      <c r="B32" s="865">
        <v>28</v>
      </c>
      <c r="C32" s="889">
        <f t="shared" si="0"/>
        <v>46293</v>
      </c>
      <c r="D32" s="890">
        <f>IF(C32="","",IF(SUMIFS(tblConcentrado[Concentrado (TMS)],tblConcentrado[Fecha],C32)=0,"",SUMIFS(tblConcentrado[Concentrado (TMS)],tblConcentrado[Fecha],C32)))</f>
        <v>23176</v>
      </c>
      <c r="E32" s="890">
        <f t="shared" si="1"/>
        <v>22676</v>
      </c>
      <c r="F32" s="864" t="str">
        <f>IF(C32="","",IFERROR(INDEX(tblRDO[Hoja RDO],MATCH(C32,tblRDO[Fecha],0)),""))</f>
        <v>RDO-28 SET</v>
      </c>
      <c r="G32" s="889">
        <f t="shared" si="2"/>
        <v>46293</v>
      </c>
      <c r="H32" s="890">
        <f>IF(C32="","",IF(COUNTIFS(tblRDO[Fecha],C32,tblRDO[Área],CFG_SINTER_AREA,tblRDO[Parámetro],CFG_SINTER_PARAM,tblRDO[Guardia],CFG_SINTER_GUARDIA)=0,"",SUMIFS(tblRDO[Valor],tblRDO[Fecha],C32,tblRDO[Área],CFG_SINTER_AREA,tblRDO[Parámetro],CFG_SINTER_PARAM,tblRDO[Guardia],CFG_SINTER_GUARDIA)))</f>
        <v>3822</v>
      </c>
      <c r="I32" s="864" t="str">
        <f t="shared" si="3"/>
        <v>OK</v>
      </c>
      <c r="J32" s="864"/>
    </row>
    <row r="33" spans="2:10">
      <c r="B33" s="865">
        <v>29</v>
      </c>
      <c r="C33" s="889">
        <f t="shared" si="0"/>
        <v>46294</v>
      </c>
      <c r="D33" s="890">
        <f>IF(C33="","",IF(SUMIFS(tblConcentrado[Concentrado (TMS)],tblConcentrado[Fecha],C33)=0,"",SUMIFS(tblConcentrado[Concentrado (TMS)],tblConcentrado[Fecha],C33)))</f>
        <v>21599</v>
      </c>
      <c r="E33" s="890">
        <f t="shared" si="1"/>
        <v>21099</v>
      </c>
      <c r="F33" s="864" t="str">
        <f>IF(C33="","",IFERROR(INDEX(tblRDO[Hoja RDO],MATCH(C33,tblRDO[Fecha],0)),""))</f>
        <v>RDO-29 SET</v>
      </c>
      <c r="G33" s="889">
        <f t="shared" si="2"/>
        <v>46294</v>
      </c>
      <c r="H33" s="890">
        <f>IF(C33="","",IF(COUNTIFS(tblRDO[Fecha],C33,tblRDO[Área],CFG_SINTER_AREA,tblRDO[Parámetro],CFG_SINTER_PARAM,tblRDO[Guardia],CFG_SINTER_GUARDIA)=0,"",SUMIFS(tblRDO[Valor],tblRDO[Fecha],C33,tblRDO[Área],CFG_SINTER_AREA,tblRDO[Parámetro],CFG_SINTER_PARAM,tblRDO[Guardia],CFG_SINTER_GUARDIA)))</f>
        <v>1970</v>
      </c>
      <c r="I33" s="864" t="str">
        <f t="shared" si="3"/>
        <v>OK</v>
      </c>
      <c r="J33" s="864"/>
    </row>
    <row r="34" spans="2:10">
      <c r="B34" s="865">
        <v>30</v>
      </c>
      <c r="C34" s="889">
        <f t="shared" si="0"/>
        <v>46295</v>
      </c>
      <c r="D34" s="890">
        <f>IF(C34="","",IF(SUMIFS(tblConcentrado[Concentrado (TMS)],tblConcentrado[Fecha],C34)=0,"",SUMIFS(tblConcentrado[Concentrado (TMS)],tblConcentrado[Fecha],C34)))</f>
        <v>6587</v>
      </c>
      <c r="E34" s="890">
        <f t="shared" si="1"/>
        <v>6087</v>
      </c>
      <c r="F34" s="864" t="str">
        <f>IF(C34="","",IFERROR(INDEX(tblRDO[Hoja RDO],MATCH(C34,tblRDO[Fecha],0)),""))</f>
        <v/>
      </c>
      <c r="G34" s="889" t="str">
        <f t="shared" si="2"/>
        <v/>
      </c>
      <c r="H34" s="890" t="str">
        <f>IF(C34="","",IF(COUNTIFS(tblRDO[Fecha],C34,tblRDO[Área],CFG_SINTER_AREA,tblRDO[Parámetro],CFG_SINTER_PARAM,tblRDO[Guardia],CFG_SINTER_GUARDIA)=0,"",SUMIFS(tblRDO[Valor],tblRDO[Fecha],C34,tblRDO[Área],CFG_SINTER_AREA,tblRDO[Parámetro],CFG_SINTER_PARAM,tblRDO[Guardia],CFG_SINTER_GUARDIA)))</f>
        <v/>
      </c>
      <c r="I34" s="864" t="str">
        <f t="shared" si="3"/>
        <v>Sin RDO</v>
      </c>
      <c r="J34" s="864"/>
    </row>
    <row r="35" spans="2:10">
      <c r="B35" s="891">
        <v>31</v>
      </c>
      <c r="C35" s="892" t="str">
        <f t="shared" si="0"/>
        <v/>
      </c>
      <c r="D35" s="893" t="str">
        <f>IF(C35="","",IF(SUMIFS(tblConcentrado[Concentrado (TMS)],tblConcentrado[Fecha],C35)=0,"",SUMIFS(tblConcentrado[Concentrado (TMS)],tblConcentrado[Fecha],C35)))</f>
        <v/>
      </c>
      <c r="E35" s="893" t="str">
        <f t="shared" si="1"/>
        <v/>
      </c>
      <c r="F35" s="894" t="str">
        <f>IF(C35="","",IFERROR(INDEX(tblRDO[Hoja RDO],MATCH(C35,tblRDO[Fecha],0)),""))</f>
        <v/>
      </c>
      <c r="G35" s="892" t="str">
        <f t="shared" si="2"/>
        <v/>
      </c>
      <c r="H35" s="893" t="str">
        <f>IF(C35="","",IF(COUNTIFS(tblRDO[Fecha],C35,tblRDO[Área],CFG_SINTER_AREA,tblRDO[Parámetro],CFG_SINTER_PARAM,tblRDO[Guardia],CFG_SINTER_GUARDIA)=0,"",SUMIFS(tblRDO[Valor],tblRDO[Fecha],C35,tblRDO[Área],CFG_SINTER_AREA,tblRDO[Parámetro],CFG_SINTER_PARAM,tblRDO[Guardia],CFG_SINTER_GUARDIA)))</f>
        <v/>
      </c>
      <c r="I35" s="894" t="str">
        <f t="shared" si="3"/>
        <v/>
      </c>
      <c r="J35" s="894"/>
    </row>
    <row r="37" spans="2:10">
      <c r="B37" s="886" t="s">
        <v>2497</v>
      </c>
    </row>
  </sheetData>
  <conditionalFormatting sqref="I5:I35">
    <cfRule type="containsText" dxfId="23" priority="1" operator="containsText" text="Revisar">
      <formula>NOT(ISERROR(SEARCH("Revisar",I5)))</formula>
    </cfRule>
  </conditionalFormatting>
  <conditionalFormatting sqref="I5:I35">
    <cfRule type="containsText" dxfId="22" priority="2" operator="containsText" text="OK">
      <formula>NOT(ISERROR(SEARCH("OK",I5)))</formula>
    </cfRule>
  </conditionalFormatting>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Índice Diario — Página &amp;P de &amp;F</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2ED41-F6FB-48FE-AB9E-8E0D01C3ED58}">
  <sheetPr codeName="Hoja28">
    <tabColor rgb="FF2F75B5"/>
    <pageSetUpPr fitToPage="1"/>
  </sheetPr>
  <dimension ref="B1:I88"/>
  <sheetViews>
    <sheetView showGridLines="0" workbookViewId="0">
      <pane ySplit="6" topLeftCell="A7" activePane="bottomLeft" state="frozen"/>
      <selection pane="bottomLeft" activeCell="H27" sqref="H27"/>
    </sheetView>
  </sheetViews>
  <sheetFormatPr baseColWidth="10" defaultRowHeight="15"/>
  <cols>
    <col min="1" max="1" width="1.85546875" customWidth="1"/>
    <col min="2" max="2" width="21" customWidth="1"/>
    <col min="3" max="3" width="38.140625" customWidth="1"/>
    <col min="4" max="6" width="36.140625" customWidth="1"/>
    <col min="7" max="7" width="3.85546875" customWidth="1"/>
    <col min="8" max="9" width="15.28515625" customWidth="1"/>
  </cols>
  <sheetData>
    <row r="1" spans="2:9" ht="18.75">
      <c r="B1" s="885" t="s">
        <v>9220</v>
      </c>
    </row>
    <row r="2" spans="2:9">
      <c r="H2" s="914" t="s">
        <v>9221</v>
      </c>
      <c r="I2" s="914" t="s">
        <v>9222</v>
      </c>
    </row>
    <row r="3" spans="2:9">
      <c r="B3" s="172" t="s">
        <v>2455</v>
      </c>
      <c r="C3" s="928">
        <v>46294</v>
      </c>
      <c r="E3" s="916" t="str">
        <f>"Hoja: "&amp;IFERROR(INDEX(tblRDO[Hoja RDO],MATCH(C3,tblRDO[Fecha],0)),"sin RDO para esta fecha")</f>
        <v>Hoja: RDO-29 SET</v>
      </c>
      <c r="H3" s="915">
        <f>MIN(tblRDO[Fecha])</f>
        <v>46266</v>
      </c>
      <c r="I3" s="915">
        <f>MAX(tblRDO[Fecha])</f>
        <v>46294</v>
      </c>
    </row>
    <row r="4" spans="2:9">
      <c r="E4" s="918" t="s">
        <v>9223</v>
      </c>
    </row>
    <row r="5" spans="2:9">
      <c r="D5" s="1374" t="s">
        <v>3232</v>
      </c>
      <c r="E5" s="1220"/>
      <c r="F5" s="1220"/>
    </row>
    <row r="6" spans="2:9">
      <c r="B6" s="887" t="s">
        <v>3231</v>
      </c>
      <c r="C6" s="887" t="s">
        <v>2407</v>
      </c>
      <c r="D6" s="917" t="s">
        <v>526</v>
      </c>
      <c r="E6" s="917" t="s">
        <v>527</v>
      </c>
      <c r="F6" s="917" t="s">
        <v>528</v>
      </c>
    </row>
    <row r="7" spans="2:9">
      <c r="B7" s="919" t="s">
        <v>1375</v>
      </c>
      <c r="C7" s="920" t="s">
        <v>1377</v>
      </c>
      <c r="D7" s="921" t="str" cm="1">
        <f t="array" ref="D7">IFERROR(INDEX(tblRDO[Valor],MATCH(1,INDEX((tblRDO[Fecha]=$C$3)*(tblRDO[Área]=$B7)*(tblRDO[Parámetro]=$C7)*(tblRDO[Guardia]=D$6),0),0)),"")</f>
        <v>C2</v>
      </c>
      <c r="E7" s="921" t="str" cm="1">
        <f t="array" ref="E7">IFERROR(INDEX(tblRDO[Valor],MATCH(1,INDEX((tblRDO[Fecha]=$C$3)*(tblRDO[Área]=$B7)*(tblRDO[Parámetro]=$C7)*(tblRDO[Guardia]=E$6),0),0)),"")</f>
        <v>C2</v>
      </c>
      <c r="F7" s="921" t="str" cm="1">
        <f t="array" ref="F7">IFERROR(INDEX(tblRDO[Valor],MATCH(1,INDEX((tblRDO[Fecha]=$C$3)*(tblRDO[Área]=$B7)*(tblRDO[Parámetro]=$C7)*(tblRDO[Guardia]=F$6),0),0)),"")</f>
        <v>C2</v>
      </c>
    </row>
    <row r="8" spans="2:9">
      <c r="B8" s="922" t="s">
        <v>1375</v>
      </c>
      <c r="C8" s="923" t="s">
        <v>1380</v>
      </c>
      <c r="D8" s="924" t="str" cm="1">
        <f t="array" ref="D8">IFERROR(INDEX(tblRDO[Valor],MATCH(1,INDEX((tblRDO[Fecha]=$C$3)*(tblRDO[Área]=$B8)*(tblRDO[Parámetro]=$C8)*(tblRDO[Guardia]=D$6),0),0)),"")</f>
        <v>9 AL 15</v>
      </c>
      <c r="E8" s="924" t="str" cm="1">
        <f t="array" ref="E8">IFERROR(INDEX(tblRDO[Valor],MATCH(1,INDEX((tblRDO[Fecha]=$C$3)*(tblRDO[Área]=$B8)*(tblRDO[Parámetro]=$C8)*(tblRDO[Guardia]=E$6),0),0)),"")</f>
        <v>14 AL 15</v>
      </c>
      <c r="F8" s="924" t="str" cm="1">
        <f t="array" ref="F8">IFERROR(INDEX(tblRDO[Valor],MATCH(1,INDEX((tblRDO[Fecha]=$C$3)*(tblRDO[Área]=$B8)*(tblRDO[Parámetro]=$C8)*(tblRDO[Guardia]=F$6),0),0)),"")</f>
        <v>10 AL 15</v>
      </c>
    </row>
    <row r="9" spans="2:9">
      <c r="B9" s="922" t="s">
        <v>1375</v>
      </c>
      <c r="C9" s="923" t="s">
        <v>54</v>
      </c>
      <c r="D9" s="924" cm="1">
        <f t="array" ref="D9">IFERROR(INDEX(tblRDO[Valor],MATCH(1,INDEX((tblRDO[Fecha]=$C$3)*(tblRDO[Área]=$B9)*(tblRDO[Parámetro]=$C9)*(tblRDO[Guardia]=D$6),0),0)),"")</f>
        <v>0</v>
      </c>
      <c r="E9" s="924" cm="1">
        <f t="array" ref="E9">IFERROR(INDEX(tblRDO[Valor],MATCH(1,INDEX((tblRDO[Fecha]=$C$3)*(tblRDO[Área]=$B9)*(tblRDO[Parámetro]=$C9)*(tblRDO[Guardia]=E$6),0),0)),"")</f>
        <v>0</v>
      </c>
      <c r="F9" s="924" cm="1">
        <f t="array" ref="F9">IFERROR(INDEX(tblRDO[Valor],MATCH(1,INDEX((tblRDO[Fecha]=$C$3)*(tblRDO[Área]=$B9)*(tblRDO[Parámetro]=$C9)*(tblRDO[Guardia]=F$6),0),0)),"")</f>
        <v>0</v>
      </c>
    </row>
    <row r="10" spans="2:9">
      <c r="B10" s="922" t="s">
        <v>1375</v>
      </c>
      <c r="C10" s="923" t="s">
        <v>1385</v>
      </c>
      <c r="D10" s="924" cm="1">
        <f t="array" ref="D10">IFERROR(INDEX(tblRDO[Valor],MATCH(1,INDEX((tblRDO[Fecha]=$C$3)*(tblRDO[Área]=$B10)*(tblRDO[Parámetro]=$C10)*(tblRDO[Guardia]=D$6),0),0)),"")</f>
        <v>966</v>
      </c>
      <c r="E10" s="924" cm="1">
        <f t="array" ref="E10">IFERROR(INDEX(tblRDO[Valor],MATCH(1,INDEX((tblRDO[Fecha]=$C$3)*(tblRDO[Área]=$B10)*(tblRDO[Parámetro]=$C10)*(tblRDO[Guardia]=E$6),0),0)),"")</f>
        <v>1010</v>
      </c>
      <c r="F10" s="924" cm="1">
        <f t="array" ref="F10">IFERROR(INDEX(tblRDO[Valor],MATCH(1,INDEX((tblRDO[Fecha]=$C$3)*(tblRDO[Área]=$B10)*(tblRDO[Parámetro]=$C10)*(tblRDO[Guardia]=F$6),0),0)),"")</f>
        <v>1970</v>
      </c>
    </row>
    <row r="11" spans="2:9">
      <c r="B11" s="922" t="s">
        <v>1375</v>
      </c>
      <c r="C11" s="923" t="s">
        <v>1388</v>
      </c>
      <c r="D11" s="924" cm="1">
        <f t="array" ref="D11">IFERROR(INDEX(tblRDO[Valor],MATCH(1,INDEX((tblRDO[Fecha]=$C$3)*(tblRDO[Área]=$B11)*(tblRDO[Parámetro]=$C11)*(tblRDO[Guardia]=D$6),0),0)),"")</f>
        <v>0</v>
      </c>
      <c r="E11" s="924" cm="1">
        <f t="array" ref="E11">IFERROR(INDEX(tblRDO[Valor],MATCH(1,INDEX((tblRDO[Fecha]=$C$3)*(tblRDO[Área]=$B11)*(tblRDO[Parámetro]=$C11)*(tblRDO[Guardia]=E$6),0),0)),"")</f>
        <v>0</v>
      </c>
      <c r="F11" s="924" cm="1">
        <f t="array" ref="F11">IFERROR(INDEX(tblRDO[Valor],MATCH(1,INDEX((tblRDO[Fecha]=$C$3)*(tblRDO[Área]=$B11)*(tblRDO[Parámetro]=$C11)*(tblRDO[Guardia]=F$6),0),0)),"")</f>
        <v>0</v>
      </c>
    </row>
    <row r="12" spans="2:9">
      <c r="B12" s="922" t="s">
        <v>1375</v>
      </c>
      <c r="C12" s="923" t="s">
        <v>3266</v>
      </c>
      <c r="D12" s="924" cm="1">
        <f t="array" ref="D12">IFERROR(INDEX(tblRDO[Valor],MATCH(1,INDEX((tblRDO[Fecha]=$C$3)*(tblRDO[Área]=$B12)*(tblRDO[Parámetro]=$C12)*(tblRDO[Guardia]=D$6),0),0)),"")</f>
        <v>5</v>
      </c>
      <c r="E12" s="924" cm="1">
        <f t="array" ref="E12">IFERROR(INDEX(tblRDO[Valor],MATCH(1,INDEX((tblRDO[Fecha]=$C$3)*(tblRDO[Área]=$B12)*(tblRDO[Parámetro]=$C12)*(tblRDO[Guardia]=E$6),0),0)),"")</f>
        <v>2</v>
      </c>
      <c r="F12" s="924" cm="1">
        <f t="array" ref="F12">IFERROR(INDEX(tblRDO[Valor],MATCH(1,INDEX((tblRDO[Fecha]=$C$3)*(tblRDO[Área]=$B12)*(tblRDO[Parámetro]=$C12)*(tblRDO[Guardia]=F$6),0),0)),"")</f>
        <v>2</v>
      </c>
    </row>
    <row r="13" spans="2:9">
      <c r="B13" s="922" t="s">
        <v>1375</v>
      </c>
      <c r="C13" s="923" t="s">
        <v>3273</v>
      </c>
      <c r="D13" s="924" cm="1">
        <f t="array" ref="D13">IFERROR(INDEX(tblRDO[Valor],MATCH(1,INDEX((tblRDO[Fecha]=$C$3)*(tblRDO[Área]=$B13)*(tblRDO[Parámetro]=$C13)*(tblRDO[Guardia]=D$6),0),0)),"")</f>
        <v>1</v>
      </c>
      <c r="E13" s="924" cm="1">
        <f t="array" ref="E13">IFERROR(INDEX(tblRDO[Valor],MATCH(1,INDEX((tblRDO[Fecha]=$C$3)*(tblRDO[Área]=$B13)*(tblRDO[Parámetro]=$C13)*(tblRDO[Guardia]=E$6),0),0)),"")</f>
        <v>1</v>
      </c>
      <c r="F13" s="924" cm="1">
        <f t="array" ref="F13">IFERROR(INDEX(tblRDO[Valor],MATCH(1,INDEX((tblRDO[Fecha]=$C$3)*(tblRDO[Área]=$B13)*(tblRDO[Parámetro]=$C13)*(tblRDO[Guardia]=F$6),0),0)),"")</f>
        <v>2</v>
      </c>
    </row>
    <row r="14" spans="2:9">
      <c r="B14" s="922" t="s">
        <v>1375</v>
      </c>
      <c r="C14" s="923" t="s">
        <v>3280</v>
      </c>
      <c r="D14" s="924" cm="1">
        <f t="array" ref="D14">IFERROR(INDEX(tblRDO[Valor],MATCH(1,INDEX((tblRDO[Fecha]=$C$3)*(tblRDO[Área]=$B14)*(tblRDO[Parámetro]=$C14)*(tblRDO[Guardia]=D$6),0),0)),"")</f>
        <v>3</v>
      </c>
      <c r="E14" s="924" cm="1">
        <f t="array" ref="E14">IFERROR(INDEX(tblRDO[Valor],MATCH(1,INDEX((tblRDO[Fecha]=$C$3)*(tblRDO[Área]=$B14)*(tblRDO[Parámetro]=$C14)*(tblRDO[Guardia]=E$6),0),0)),"")</f>
        <v>2</v>
      </c>
      <c r="F14" s="924" cm="1">
        <f t="array" ref="F14">IFERROR(INDEX(tblRDO[Valor],MATCH(1,INDEX((tblRDO[Fecha]=$C$3)*(tblRDO[Área]=$B14)*(tblRDO[Parámetro]=$C14)*(tblRDO[Guardia]=F$6),0),0)),"")</f>
        <v>2</v>
      </c>
    </row>
    <row r="15" spans="2:9">
      <c r="B15" s="922" t="s">
        <v>1375</v>
      </c>
      <c r="C15" s="923" t="s">
        <v>3287</v>
      </c>
      <c r="D15" s="924" cm="1">
        <f t="array" ref="D15">IFERROR(INDEX(tblRDO[Valor],MATCH(1,INDEX((tblRDO[Fecha]=$C$3)*(tblRDO[Área]=$B15)*(tblRDO[Parámetro]=$C15)*(tblRDO[Guardia]=D$6),0),0)),"")</f>
        <v>2</v>
      </c>
      <c r="E15" s="924" cm="1">
        <f t="array" ref="E15">IFERROR(INDEX(tblRDO[Valor],MATCH(1,INDEX((tblRDO[Fecha]=$C$3)*(tblRDO[Área]=$B15)*(tblRDO[Parámetro]=$C15)*(tblRDO[Guardia]=E$6),0),0)),"")</f>
        <v>3</v>
      </c>
      <c r="F15" s="924" cm="1">
        <f t="array" ref="F15">IFERROR(INDEX(tblRDO[Valor],MATCH(1,INDEX((tblRDO[Fecha]=$C$3)*(tblRDO[Área]=$B15)*(tblRDO[Parámetro]=$C15)*(tblRDO[Guardia]=F$6),0),0)),"")</f>
        <v>2</v>
      </c>
    </row>
    <row r="16" spans="2:9">
      <c r="B16" s="922" t="s">
        <v>1375</v>
      </c>
      <c r="C16" s="923" t="s">
        <v>3291</v>
      </c>
      <c r="D16" s="924" cm="1">
        <f t="array" ref="D16">IFERROR(INDEX(tblRDO[Valor],MATCH(1,INDEX((tblRDO[Fecha]=$C$3)*(tblRDO[Área]=$B16)*(tblRDO[Parámetro]=$C16)*(tblRDO[Guardia]=D$6),0),0)),"")</f>
        <v>3</v>
      </c>
      <c r="E16" s="924" cm="1">
        <f t="array" ref="E16">IFERROR(INDEX(tblRDO[Valor],MATCH(1,INDEX((tblRDO[Fecha]=$C$3)*(tblRDO[Área]=$B16)*(tblRDO[Parámetro]=$C16)*(tblRDO[Guardia]=E$6),0),0)),"")</f>
        <v>3</v>
      </c>
      <c r="F16" s="924" cm="1">
        <f t="array" ref="F16">IFERROR(INDEX(tblRDO[Valor],MATCH(1,INDEX((tblRDO[Fecha]=$C$3)*(tblRDO[Área]=$B16)*(tblRDO[Parámetro]=$C16)*(tblRDO[Guardia]=F$6),0),0)),"")</f>
        <v>3</v>
      </c>
    </row>
    <row r="17" spans="2:6">
      <c r="B17" s="922" t="s">
        <v>1375</v>
      </c>
      <c r="C17" s="923" t="s">
        <v>3298</v>
      </c>
      <c r="D17" s="924" cm="1">
        <f t="array" ref="D17">IFERROR(INDEX(tblRDO[Valor],MATCH(1,INDEX((tblRDO[Fecha]=$C$3)*(tblRDO[Área]=$B17)*(tblRDO[Parámetro]=$C17)*(tblRDO[Guardia]=D$6),0),0)),"")</f>
        <v>4</v>
      </c>
      <c r="E17" s="924" cm="1">
        <f t="array" ref="E17">IFERROR(INDEX(tblRDO[Valor],MATCH(1,INDEX((tblRDO[Fecha]=$C$3)*(tblRDO[Área]=$B17)*(tblRDO[Parámetro]=$C17)*(tblRDO[Guardia]=E$6),0),0)),"")</f>
        <v>3</v>
      </c>
      <c r="F17" s="924" cm="1">
        <f t="array" ref="F17">IFERROR(INDEX(tblRDO[Valor],MATCH(1,INDEX((tblRDO[Fecha]=$C$3)*(tblRDO[Área]=$B17)*(tblRDO[Parámetro]=$C17)*(tblRDO[Guardia]=F$6),0),0)),"")</f>
        <v>3</v>
      </c>
    </row>
    <row r="18" spans="2:6">
      <c r="B18" s="922" t="s">
        <v>1375</v>
      </c>
      <c r="C18" s="923" t="s">
        <v>3305</v>
      </c>
      <c r="D18" s="924" cm="1">
        <f t="array" ref="D18">IFERROR(INDEX(tblRDO[Valor],MATCH(1,INDEX((tblRDO[Fecha]=$C$3)*(tblRDO[Área]=$B18)*(tblRDO[Parámetro]=$C18)*(tblRDO[Guardia]=D$6),0),0)),"")</f>
        <v>3</v>
      </c>
      <c r="E18" s="924" cm="1">
        <f t="array" ref="E18">IFERROR(INDEX(tblRDO[Valor],MATCH(1,INDEX((tblRDO[Fecha]=$C$3)*(tblRDO[Área]=$B18)*(tblRDO[Parámetro]=$C18)*(tblRDO[Guardia]=E$6),0),0)),"")</f>
        <v>3</v>
      </c>
      <c r="F18" s="924" cm="1">
        <f t="array" ref="F18">IFERROR(INDEX(tblRDO[Valor],MATCH(1,INDEX((tblRDO[Fecha]=$C$3)*(tblRDO[Área]=$B18)*(tblRDO[Parámetro]=$C18)*(tblRDO[Guardia]=F$6),0),0)),"")</f>
        <v>1</v>
      </c>
    </row>
    <row r="19" spans="2:6">
      <c r="B19" s="922" t="s">
        <v>1375</v>
      </c>
      <c r="C19" s="923" t="s">
        <v>3312</v>
      </c>
      <c r="D19" s="924" cm="1">
        <f t="array" ref="D19">IFERROR(INDEX(tblRDO[Valor],MATCH(1,INDEX((tblRDO[Fecha]=$C$3)*(tblRDO[Área]=$B19)*(tblRDO[Parámetro]=$C19)*(tblRDO[Guardia]=D$6),0),0)),"")</f>
        <v>3</v>
      </c>
      <c r="E19" s="924" cm="1">
        <f t="array" ref="E19">IFERROR(INDEX(tblRDO[Valor],MATCH(1,INDEX((tblRDO[Fecha]=$C$3)*(tblRDO[Área]=$B19)*(tblRDO[Parámetro]=$C19)*(tblRDO[Guardia]=E$6),0),0)),"")</f>
        <v>2</v>
      </c>
      <c r="F19" s="924" cm="1">
        <f t="array" ref="F19">IFERROR(INDEX(tblRDO[Valor],MATCH(1,INDEX((tblRDO[Fecha]=$C$3)*(tblRDO[Área]=$B19)*(tblRDO[Parámetro]=$C19)*(tblRDO[Guardia]=F$6),0),0)),"")</f>
        <v>3</v>
      </c>
    </row>
    <row r="20" spans="2:6">
      <c r="B20" s="922" t="s">
        <v>1375</v>
      </c>
      <c r="C20" s="923" t="s">
        <v>3319</v>
      </c>
      <c r="D20" s="924" cm="1">
        <f t="array" ref="D20">IFERROR(INDEX(tblRDO[Valor],MATCH(1,INDEX((tblRDO[Fecha]=$C$3)*(tblRDO[Área]=$B20)*(tblRDO[Parámetro]=$C20)*(tblRDO[Guardia]=D$6),0),0)),"")</f>
        <v>3</v>
      </c>
      <c r="E20" s="924" cm="1">
        <f t="array" ref="E20">IFERROR(INDEX(tblRDO[Valor],MATCH(1,INDEX((tblRDO[Fecha]=$C$3)*(tblRDO[Área]=$B20)*(tblRDO[Parámetro]=$C20)*(tblRDO[Guardia]=E$6),0),0)),"")</f>
        <v>3</v>
      </c>
      <c r="F20" s="924" cm="1">
        <f t="array" ref="F20">IFERROR(INDEX(tblRDO[Valor],MATCH(1,INDEX((tblRDO[Fecha]=$C$3)*(tblRDO[Área]=$B20)*(tblRDO[Parámetro]=$C20)*(tblRDO[Guardia]=F$6),0),0)),"")</f>
        <v>4</v>
      </c>
    </row>
    <row r="21" spans="2:6">
      <c r="B21" s="922" t="s">
        <v>1375</v>
      </c>
      <c r="C21" s="923" t="s">
        <v>3326</v>
      </c>
      <c r="D21" s="924" t="str" cm="1">
        <f t="array" ref="D21">IFERROR(INDEX(tblRDO[Valor],MATCH(1,INDEX((tblRDO[Fecha]=$C$3)*(tblRDO[Área]=$B21)*(tblRDO[Parámetro]=$C21)*(tblRDO[Guardia]=D$6),0),0)),"")</f>
        <v xml:space="preserve">3 chancadoras C2 </v>
      </c>
      <c r="E21" s="924" t="str" cm="1">
        <f t="array" ref="E21">IFERROR(INDEX(tblRDO[Valor],MATCH(1,INDEX((tblRDO[Fecha]=$C$3)*(tblRDO[Área]=$B21)*(tblRDO[Parámetro]=$C21)*(tblRDO[Guardia]=E$6),0),0)),"")</f>
        <v xml:space="preserve">3 chancadoras C2 </v>
      </c>
      <c r="F21" s="924" t="str" cm="1">
        <f t="array" ref="F21">IFERROR(INDEX(tblRDO[Valor],MATCH(1,INDEX((tblRDO[Fecha]=$C$3)*(tblRDO[Área]=$B21)*(tblRDO[Parámetro]=$C21)*(tblRDO[Guardia]=F$6),0),0)),"")</f>
        <v xml:space="preserve">3 chancadoras C2 </v>
      </c>
    </row>
    <row r="22" spans="2:6">
      <c r="B22" s="922" t="s">
        <v>1375</v>
      </c>
      <c r="C22" s="923" t="s">
        <v>3336</v>
      </c>
      <c r="D22" s="924" t="str" cm="1">
        <f t="array" ref="D22">IFERROR(INDEX(tblRDO[Valor],MATCH(1,INDEX((tblRDO[Fecha]=$C$3)*(tblRDO[Área]=$B22)*(tblRDO[Parámetro]=$C22)*(tblRDO[Guardia]=D$6),0),0)),"")</f>
        <v xml:space="preserve">2 chancadoras C2 </v>
      </c>
      <c r="E22" s="924" t="str" cm="1">
        <f t="array" ref="E22">IFERROR(INDEX(tblRDO[Valor],MATCH(1,INDEX((tblRDO[Fecha]=$C$3)*(tblRDO[Área]=$B22)*(tblRDO[Parámetro]=$C22)*(tblRDO[Guardia]=E$6),0),0)),"")</f>
        <v xml:space="preserve">2 chancadoras C2 </v>
      </c>
      <c r="F22" s="924" t="str" cm="1">
        <f t="array" ref="F22">IFERROR(INDEX(tblRDO[Valor],MATCH(1,INDEX((tblRDO[Fecha]=$C$3)*(tblRDO[Área]=$B22)*(tblRDO[Parámetro]=$C22)*(tblRDO[Guardia]=F$6),0),0)),"")</f>
        <v xml:space="preserve">2 chancadoras C2 </v>
      </c>
    </row>
    <row r="23" spans="2:6">
      <c r="B23" s="925" t="s">
        <v>1409</v>
      </c>
      <c r="C23" s="926" t="s">
        <v>1411</v>
      </c>
      <c r="D23" s="927" cm="1">
        <f t="array" ref="D23">IFERROR(INDEX(tblRDO[Valor],MATCH(1,INDEX((tblRDO[Fecha]=$C$3)*(tblRDO[Área]=$B23)*(tblRDO[Parámetro]=$C23)*(tblRDO[Guardia]=D$6),0),0)),"")</f>
        <v>0</v>
      </c>
      <c r="E23" s="927" cm="1">
        <f t="array" ref="E23">IFERROR(INDEX(tblRDO[Valor],MATCH(1,INDEX((tblRDO[Fecha]=$C$3)*(tblRDO[Área]=$B23)*(tblRDO[Parámetro]=$C23)*(tblRDO[Guardia]=E$6),0),0)),"")</f>
        <v>0</v>
      </c>
      <c r="F23" s="927" cm="1">
        <f t="array" ref="F23">IFERROR(INDEX(tblRDO[Valor],MATCH(1,INDEX((tblRDO[Fecha]=$C$3)*(tblRDO[Área]=$B23)*(tblRDO[Parámetro]=$C23)*(tblRDO[Guardia]=F$6),0),0)),"")</f>
        <v>0</v>
      </c>
    </row>
    <row r="24" spans="2:6">
      <c r="B24" s="925" t="s">
        <v>1409</v>
      </c>
      <c r="C24" s="926" t="s">
        <v>1413</v>
      </c>
      <c r="D24" s="927" t="str" cm="1">
        <f t="array" ref="D24">IFERROR(INDEX(tblRDO[Valor],MATCH(1,INDEX((tblRDO[Fecha]=$C$3)*(tblRDO[Área]=$B24)*(tblRDO[Parámetro]=$C24)*(tblRDO[Guardia]=D$6),0),0)),"")</f>
        <v>1,3,4,5,6,7,8,9</v>
      </c>
      <c r="E24" s="927" t="str" cm="1">
        <f t="array" ref="E24">IFERROR(INDEX(tblRDO[Valor],MATCH(1,INDEX((tblRDO[Fecha]=$C$3)*(tblRDO[Área]=$B24)*(tblRDO[Parámetro]=$C24)*(tblRDO[Guardia]=E$6),0),0)),"")</f>
        <v>1,3,4,5,6,7,8,9</v>
      </c>
      <c r="F24" s="927" t="str" cm="1">
        <f t="array" ref="F24">IFERROR(INDEX(tblRDO[Valor],MATCH(1,INDEX((tblRDO[Fecha]=$C$3)*(tblRDO[Área]=$B24)*(tblRDO[Parámetro]=$C24)*(tblRDO[Guardia]=F$6),0),0)),"")</f>
        <v>1,3,4,5,6,7,8,9</v>
      </c>
    </row>
    <row r="25" spans="2:6">
      <c r="B25" s="925" t="s">
        <v>1409</v>
      </c>
      <c r="C25" s="926" t="s">
        <v>1420</v>
      </c>
      <c r="D25" s="927" t="str" cm="1">
        <f t="array" ref="D25">IFERROR(INDEX(tblRDO[Valor],MATCH(1,INDEX((tblRDO[Fecha]=$C$3)*(tblRDO[Área]=$B25)*(tblRDO[Parámetro]=$C25)*(tblRDO[Guardia]=D$6),0),0)),"")</f>
        <v>1,2,3,5,6,7,8,9,10</v>
      </c>
      <c r="E25" s="927" t="str" cm="1">
        <f t="array" ref="E25">IFERROR(INDEX(tblRDO[Valor],MATCH(1,INDEX((tblRDO[Fecha]=$C$3)*(tblRDO[Área]=$B25)*(tblRDO[Parámetro]=$C25)*(tblRDO[Guardia]=E$6),0),0)),"")</f>
        <v>1,3,4,5,6,7,8,9,10</v>
      </c>
      <c r="F25" s="927" t="str" cm="1">
        <f t="array" ref="F25">IFERROR(INDEX(tblRDO[Valor],MATCH(1,INDEX((tblRDO[Fecha]=$C$3)*(tblRDO[Área]=$B25)*(tblRDO[Parámetro]=$C25)*(tblRDO[Guardia]=F$6),0),0)),"")</f>
        <v>1,2,4,5,6,7,8,9,10</v>
      </c>
    </row>
    <row r="26" spans="2:6">
      <c r="B26" s="925" t="s">
        <v>1409</v>
      </c>
      <c r="C26" s="926" t="s">
        <v>1424</v>
      </c>
      <c r="D26" s="927" cm="1">
        <f t="array" ref="D26">IFERROR(INDEX(tblRDO[Valor],MATCH(1,INDEX((tblRDO[Fecha]=$C$3)*(tblRDO[Área]=$B26)*(tblRDO[Parámetro]=$C26)*(tblRDO[Guardia]=D$6),0),0)),"")</f>
        <v>0</v>
      </c>
      <c r="E26" s="927" cm="1">
        <f t="array" ref="E26">IFERROR(INDEX(tblRDO[Valor],MATCH(1,INDEX((tblRDO[Fecha]=$C$3)*(tblRDO[Área]=$B26)*(tblRDO[Parámetro]=$C26)*(tblRDO[Guardia]=E$6),0),0)),"")</f>
        <v>0</v>
      </c>
      <c r="F26" s="927" cm="1">
        <f t="array" ref="F26">IFERROR(INDEX(tblRDO[Valor],MATCH(1,INDEX((tblRDO[Fecha]=$C$3)*(tblRDO[Área]=$B26)*(tblRDO[Parámetro]=$C26)*(tblRDO[Guardia]=F$6),0),0)),"")</f>
        <v>0</v>
      </c>
    </row>
    <row r="27" spans="2:6">
      <c r="B27" s="925" t="s">
        <v>1409</v>
      </c>
      <c r="C27" s="926" t="s">
        <v>1431</v>
      </c>
      <c r="D27" s="927" cm="1">
        <f t="array" ref="D27">IFERROR(INDEX(tblRDO[Valor],MATCH(1,INDEX((tblRDO[Fecha]=$C$3)*(tblRDO[Área]=$B27)*(tblRDO[Parámetro]=$C27)*(tblRDO[Guardia]=D$6),0),0)),"")</f>
        <v>0</v>
      </c>
      <c r="E27" s="927" cm="1">
        <f t="array" ref="E27">IFERROR(INDEX(tblRDO[Valor],MATCH(1,INDEX((tblRDO[Fecha]=$C$3)*(tblRDO[Área]=$B27)*(tblRDO[Parámetro]=$C27)*(tblRDO[Guardia]=E$6),0),0)),"")</f>
        <v>0</v>
      </c>
      <c r="F27" s="927" cm="1">
        <f t="array" ref="F27">IFERROR(INDEX(tblRDO[Valor],MATCH(1,INDEX((tblRDO[Fecha]=$C$3)*(tblRDO[Área]=$B27)*(tblRDO[Parámetro]=$C27)*(tblRDO[Guardia]=F$6),0),0)),"")</f>
        <v>0</v>
      </c>
    </row>
    <row r="28" spans="2:6">
      <c r="B28" s="922" t="s">
        <v>1434</v>
      </c>
      <c r="C28" s="923" t="s">
        <v>42</v>
      </c>
      <c r="D28" s="924" t="str" cm="1">
        <f t="array" ref="D28">IFERROR(INDEX(tblRDO[Valor],MATCH(1,INDEX((tblRDO[Fecha]=$C$3)*(tblRDO[Área]=$B28)*(tblRDO[Parámetro]=$C28)*(tblRDO[Guardia]=D$6),0),0)),"")</f>
        <v>M/V MAIRAKI</v>
      </c>
      <c r="E28" s="924" cm="1">
        <f t="array" ref="E28">IFERROR(INDEX(tblRDO[Valor],MATCH(1,INDEX((tblRDO[Fecha]=$C$3)*(tblRDO[Área]=$B28)*(tblRDO[Parámetro]=$C28)*(tblRDO[Guardia]=E$6),0),0)),"")</f>
        <v>0</v>
      </c>
      <c r="F28" s="924" cm="1">
        <f t="array" ref="F28">IFERROR(INDEX(tblRDO[Valor],MATCH(1,INDEX((tblRDO[Fecha]=$C$3)*(tblRDO[Área]=$B28)*(tblRDO[Parámetro]=$C28)*(tblRDO[Guardia]=F$6),0),0)),"")</f>
        <v>0</v>
      </c>
    </row>
    <row r="29" spans="2:6">
      <c r="B29" s="922" t="s">
        <v>1434</v>
      </c>
      <c r="C29" s="923" t="s">
        <v>1439</v>
      </c>
      <c r="D29" s="924" t="str" cm="1">
        <f t="array" ref="D29">IFERROR(INDEX(tblRDO[Valor],MATCH(1,INDEX((tblRDO[Fecha]=$C$3)*(tblRDO[Área]=$B29)*(tblRDO[Parámetro]=$C29)*(tblRDO[Guardia]=D$6),0),0)),"")</f>
        <v>》Mineral: CDSS</v>
      </c>
      <c r="E29" s="924" cm="1">
        <f t="array" ref="E29">IFERROR(INDEX(tblRDO[Valor],MATCH(1,INDEX((tblRDO[Fecha]=$C$3)*(tblRDO[Área]=$B29)*(tblRDO[Parámetro]=$C29)*(tblRDO[Guardia]=E$6),0),0)),"")</f>
        <v>0</v>
      </c>
      <c r="F29" s="924" cm="1">
        <f t="array" ref="F29">IFERROR(INDEX(tblRDO[Valor],MATCH(1,INDEX((tblRDO[Fecha]=$C$3)*(tblRDO[Área]=$B29)*(tblRDO[Parámetro]=$C29)*(tblRDO[Guardia]=F$6),0),0)),"")</f>
        <v>0</v>
      </c>
    </row>
    <row r="30" spans="2:6" ht="30">
      <c r="B30" s="922" t="s">
        <v>1434</v>
      </c>
      <c r="C30" s="923" t="s">
        <v>43</v>
      </c>
      <c r="D30" s="924" t="str" cm="1">
        <f t="array" ref="D30">IFERROR(INDEX(tblRDO[Valor],MATCH(1,INDEX((tblRDO[Fecha]=$C$3)*(tblRDO[Área]=$B30)*(tblRDO[Parámetro]=$C30)*(tblRDO[Guardia]=D$6),0),0)),"")</f>
        <v>✅Inicio : 25-09-2026🕰️20:45hrs</v>
      </c>
      <c r="E30" s="924" cm="1">
        <f t="array" ref="E30">IFERROR(INDEX(tblRDO[Valor],MATCH(1,INDEX((tblRDO[Fecha]=$C$3)*(tblRDO[Área]=$B30)*(tblRDO[Parámetro]=$C30)*(tblRDO[Guardia]=E$6),0),0)),"")</f>
        <v>0</v>
      </c>
      <c r="F30" s="924" cm="1">
        <f t="array" ref="F30">IFERROR(INDEX(tblRDO[Valor],MATCH(1,INDEX((tblRDO[Fecha]=$C$3)*(tblRDO[Área]=$B30)*(tblRDO[Parámetro]=$C30)*(tblRDO[Guardia]=F$6),0),0)),"")</f>
        <v>0</v>
      </c>
    </row>
    <row r="31" spans="2:6">
      <c r="B31" s="922" t="s">
        <v>1434</v>
      </c>
      <c r="C31" s="923" t="s">
        <v>1441</v>
      </c>
      <c r="D31" s="924" cm="1">
        <f t="array" ref="D31">IFERROR(INDEX(tblRDO[Valor],MATCH(1,INDEX((tblRDO[Fecha]=$C$3)*(tblRDO[Área]=$B31)*(tblRDO[Parámetro]=$C31)*(tblRDO[Guardia]=D$6),0),0)),"")</f>
        <v>0</v>
      </c>
      <c r="E31" s="924" cm="1">
        <f t="array" ref="E31">IFERROR(INDEX(tblRDO[Valor],MATCH(1,INDEX((tblRDO[Fecha]=$C$3)*(tblRDO[Área]=$B31)*(tblRDO[Parámetro]=$C31)*(tblRDO[Guardia]=E$6),0),0)),"")</f>
        <v>0</v>
      </c>
      <c r="F31" s="924" cm="1">
        <f t="array" ref="F31">IFERROR(INDEX(tblRDO[Valor],MATCH(1,INDEX((tblRDO[Fecha]=$C$3)*(tblRDO[Área]=$B31)*(tblRDO[Parámetro]=$C31)*(tblRDO[Guardia]=F$6),0),0)),"")</f>
        <v>0</v>
      </c>
    </row>
    <row r="32" spans="2:6" ht="30">
      <c r="B32" s="922" t="s">
        <v>1434</v>
      </c>
      <c r="C32" s="923" t="s">
        <v>1444</v>
      </c>
      <c r="D32" s="924" cm="1">
        <f t="array" ref="D32">IFERROR(INDEX(tblRDO[Valor],MATCH(1,INDEX((tblRDO[Fecha]=$C$3)*(tblRDO[Área]=$B32)*(tblRDO[Parámetro]=$C32)*(tblRDO[Guardia]=D$6),0),0)),"")</f>
        <v>0</v>
      </c>
      <c r="E32" s="924" cm="1">
        <f t="array" ref="E32">IFERROR(INDEX(tblRDO[Valor],MATCH(1,INDEX((tblRDO[Fecha]=$C$3)*(tblRDO[Área]=$B32)*(tblRDO[Parámetro]=$C32)*(tblRDO[Guardia]=E$6),0),0)),"")</f>
        <v>0</v>
      </c>
      <c r="F32" s="924" cm="1">
        <f t="array" ref="F32">IFERROR(INDEX(tblRDO[Valor],MATCH(1,INDEX((tblRDO[Fecha]=$C$3)*(tblRDO[Área]=$B32)*(tblRDO[Parámetro]=$C32)*(tblRDO[Guardia]=F$6),0),0)),"")</f>
        <v>0</v>
      </c>
    </row>
    <row r="33" spans="2:6">
      <c r="B33" s="922" t="s">
        <v>1434</v>
      </c>
      <c r="C33" s="923" t="s">
        <v>1446</v>
      </c>
      <c r="D33" s="924" t="str" cm="1">
        <f t="array" ref="D33">IFERROR(INDEX(tblRDO[Valor],MATCH(1,INDEX((tblRDO[Fecha]=$C$3)*(tblRDO[Área]=$B33)*(tblRDO[Parámetro]=$C33)*(tblRDO[Guardia]=D$6),0),0)),"")</f>
        <v>📍Peso por balanza: 100,000 TM</v>
      </c>
      <c r="E33" s="924" cm="1">
        <f t="array" ref="E33">IFERROR(INDEX(tblRDO[Valor],MATCH(1,INDEX((tblRDO[Fecha]=$C$3)*(tblRDO[Área]=$B33)*(tblRDO[Parámetro]=$C33)*(tblRDO[Guardia]=E$6),0),0)),"")</f>
        <v>0</v>
      </c>
      <c r="F33" s="924" cm="1">
        <f t="array" ref="F33">IFERROR(INDEX(tblRDO[Valor],MATCH(1,INDEX((tblRDO[Fecha]=$C$3)*(tblRDO[Área]=$B33)*(tblRDO[Parámetro]=$C33)*(tblRDO[Guardia]=F$6),0),0)),"")</f>
        <v>0</v>
      </c>
    </row>
    <row r="34" spans="2:6">
      <c r="B34" s="922" t="s">
        <v>1434</v>
      </c>
      <c r="C34" s="923" t="s">
        <v>3439</v>
      </c>
      <c r="D34" s="924" cm="1">
        <f t="array" ref="D34">IFERROR(INDEX(tblRDO[Valor],MATCH(1,INDEX((tblRDO[Fecha]=$C$3)*(tblRDO[Área]=$B34)*(tblRDO[Parámetro]=$C34)*(tblRDO[Guardia]=D$6),0),0)),"")</f>
        <v>0</v>
      </c>
      <c r="E34" s="924" cm="1">
        <f t="array" ref="E34">IFERROR(INDEX(tblRDO[Valor],MATCH(1,INDEX((tblRDO[Fecha]=$C$3)*(tblRDO[Área]=$B34)*(tblRDO[Parámetro]=$C34)*(tblRDO[Guardia]=E$6),0),0)),"")</f>
        <v>0</v>
      </c>
      <c r="F34" s="924" t="str" cm="1">
        <f t="array" ref="F34">IFERROR(INDEX(tblRDO[Valor],MATCH(1,INDEX((tblRDO[Fecha]=$C$3)*(tblRDO[Área]=$B34)*(tblRDO[Parámetro]=$C34)*(tblRDO[Guardia]=F$6),0),0)),"")</f>
        <v>M/V CS HANG ZHOU</v>
      </c>
    </row>
    <row r="35" spans="2:6">
      <c r="B35" s="922" t="s">
        <v>1434</v>
      </c>
      <c r="C35" s="923" t="s">
        <v>3447</v>
      </c>
      <c r="D35" s="924" cm="1">
        <f t="array" ref="D35">IFERROR(INDEX(tblRDO[Valor],MATCH(1,INDEX((tblRDO[Fecha]=$C$3)*(tblRDO[Área]=$B35)*(tblRDO[Parámetro]=$C35)*(tblRDO[Guardia]=D$6),0),0)),"")</f>
        <v>0</v>
      </c>
      <c r="E35" s="924" cm="1">
        <f t="array" ref="E35">IFERROR(INDEX(tblRDO[Valor],MATCH(1,INDEX((tblRDO[Fecha]=$C$3)*(tblRDO[Área]=$B35)*(tblRDO[Parámetro]=$C35)*(tblRDO[Guardia]=E$6),0),0)),"")</f>
        <v>0</v>
      </c>
      <c r="F35" s="924" t="str" cm="1">
        <f t="array" ref="F35">IFERROR(INDEX(tblRDO[Valor],MATCH(1,INDEX((tblRDO[Fecha]=$C$3)*(tblRDO[Área]=$B35)*(tblRDO[Parámetro]=$C35)*(tblRDO[Guardia]=F$6),0),0)),"")</f>
        <v>》Mineral: FKPS</v>
      </c>
    </row>
    <row r="36" spans="2:6">
      <c r="B36" s="922" t="s">
        <v>1434</v>
      </c>
      <c r="C36" s="923" t="s">
        <v>3455</v>
      </c>
      <c r="D36" s="924" cm="1">
        <f t="array" ref="D36">IFERROR(INDEX(tblRDO[Valor],MATCH(1,INDEX((tblRDO[Fecha]=$C$3)*(tblRDO[Área]=$B36)*(tblRDO[Parámetro]=$C36)*(tblRDO[Guardia]=D$6),0),0)),"")</f>
        <v>0</v>
      </c>
      <c r="E36" s="924" cm="1">
        <f t="array" ref="E36">IFERROR(INDEX(tblRDO[Valor],MATCH(1,INDEX((tblRDO[Fecha]=$C$3)*(tblRDO[Área]=$B36)*(tblRDO[Parámetro]=$C36)*(tblRDO[Guardia]=E$6),0),0)),"")</f>
        <v>0</v>
      </c>
      <c r="F36" s="924" t="str" cm="1">
        <f t="array" ref="F36">IFERROR(INDEX(tblRDO[Valor],MATCH(1,INDEX((tblRDO[Fecha]=$C$3)*(tblRDO[Área]=$B36)*(tblRDO[Parámetro]=$C36)*(tblRDO[Guardia]=F$6),0),0)),"")</f>
        <v>✅Inicio : 29-09-2026🕰️15:15hrs</v>
      </c>
    </row>
    <row r="37" spans="2:6">
      <c r="B37" s="922" t="s">
        <v>1434</v>
      </c>
      <c r="C37" s="923" t="s">
        <v>3463</v>
      </c>
      <c r="D37" s="924" cm="1">
        <f t="array" ref="D37">IFERROR(INDEX(tblRDO[Valor],MATCH(1,INDEX((tblRDO[Fecha]=$C$3)*(tblRDO[Área]=$B37)*(tblRDO[Parámetro]=$C37)*(tblRDO[Guardia]=D$6),0),0)),"")</f>
        <v>0</v>
      </c>
      <c r="E37" s="924" cm="1">
        <f t="array" ref="E37">IFERROR(INDEX(tblRDO[Valor],MATCH(1,INDEX((tblRDO[Fecha]=$C$3)*(tblRDO[Área]=$B37)*(tblRDO[Parámetro]=$C37)*(tblRDO[Guardia]=E$6),0),0)),"")</f>
        <v>0</v>
      </c>
      <c r="F37" s="924" cm="1">
        <f t="array" ref="F37">IFERROR(INDEX(tblRDO[Valor],MATCH(1,INDEX((tblRDO[Fecha]=$C$3)*(tblRDO[Área]=$B37)*(tblRDO[Parámetro]=$C37)*(tblRDO[Guardia]=F$6),0),0)),"")</f>
        <v>0</v>
      </c>
    </row>
    <row r="38" spans="2:6">
      <c r="B38" s="922" t="s">
        <v>1434</v>
      </c>
      <c r="C38" s="923" t="s">
        <v>3471</v>
      </c>
      <c r="D38" s="924" cm="1">
        <f t="array" ref="D38">IFERROR(INDEX(tblRDO[Valor],MATCH(1,INDEX((tblRDO[Fecha]=$C$3)*(tblRDO[Área]=$B38)*(tblRDO[Parámetro]=$C38)*(tblRDO[Guardia]=D$6),0),0)),"")</f>
        <v>0</v>
      </c>
      <c r="E38" s="924" cm="1">
        <f t="array" ref="E38">IFERROR(INDEX(tblRDO[Valor],MATCH(1,INDEX((tblRDO[Fecha]=$C$3)*(tblRDO[Área]=$B38)*(tblRDO[Parámetro]=$C38)*(tblRDO[Guardia]=E$6),0),0)),"")</f>
        <v>0</v>
      </c>
      <c r="F38" s="924" cm="1">
        <f t="array" ref="F38">IFERROR(INDEX(tblRDO[Valor],MATCH(1,INDEX((tblRDO[Fecha]=$C$3)*(tblRDO[Área]=$B38)*(tblRDO[Parámetro]=$C38)*(tblRDO[Guardia]=F$6),0),0)),"")</f>
        <v>0</v>
      </c>
    </row>
    <row r="39" spans="2:6">
      <c r="B39" s="922" t="s">
        <v>1434</v>
      </c>
      <c r="C39" s="923" t="s">
        <v>3479</v>
      </c>
      <c r="D39" s="924" cm="1">
        <f t="array" ref="D39">IFERROR(INDEX(tblRDO[Valor],MATCH(1,INDEX((tblRDO[Fecha]=$C$3)*(tblRDO[Área]=$B39)*(tblRDO[Parámetro]=$C39)*(tblRDO[Guardia]=D$6),0),0)),"")</f>
        <v>0</v>
      </c>
      <c r="E39" s="924" cm="1">
        <f t="array" ref="E39">IFERROR(INDEX(tblRDO[Valor],MATCH(1,INDEX((tblRDO[Fecha]=$C$3)*(tblRDO[Área]=$B39)*(tblRDO[Parámetro]=$C39)*(tblRDO[Guardia]=E$6),0),0)),"")</f>
        <v>0</v>
      </c>
      <c r="F39" s="924" t="str" cm="1">
        <f t="array" ref="F39">IFERROR(INDEX(tblRDO[Valor],MATCH(1,INDEX((tblRDO[Fecha]=$C$3)*(tblRDO[Área]=$B39)*(tblRDO[Parámetro]=$C39)*(tblRDO[Guardia]=F$6),0),0)),"")</f>
        <v>📍Peso por balanza: 34500 TM</v>
      </c>
    </row>
    <row r="40" spans="2:6">
      <c r="B40" s="925" t="s">
        <v>1376</v>
      </c>
      <c r="C40" s="926" t="s">
        <v>1379</v>
      </c>
      <c r="D40" s="927" cm="1">
        <f t="array" ref="D40">IFERROR(INDEX(tblRDO[Valor],MATCH(1,INDEX((tblRDO[Fecha]=$C$3)*(tblRDO[Área]=$B40)*(tblRDO[Parámetro]=$C40)*(tblRDO[Guardia]=D$6),0),0)),"")</f>
        <v>0</v>
      </c>
      <c r="E40" s="927" cm="1">
        <f t="array" ref="E40">IFERROR(INDEX(tblRDO[Valor],MATCH(1,INDEX((tblRDO[Fecha]=$C$3)*(tblRDO[Área]=$B40)*(tblRDO[Parámetro]=$C40)*(tblRDO[Guardia]=E$6),0),0)),"")</f>
        <v>0</v>
      </c>
      <c r="F40" s="927" cm="1">
        <f t="array" ref="F40">IFERROR(INDEX(tblRDO[Valor],MATCH(1,INDEX((tblRDO[Fecha]=$C$3)*(tblRDO[Área]=$B40)*(tblRDO[Parámetro]=$C40)*(tblRDO[Guardia]=F$6),0),0)),"")</f>
        <v>0</v>
      </c>
    </row>
    <row r="41" spans="2:6">
      <c r="B41" s="925" t="s">
        <v>1376</v>
      </c>
      <c r="C41" s="926" t="s">
        <v>1383</v>
      </c>
      <c r="D41" s="927" cm="1">
        <f t="array" ref="D41">IFERROR(INDEX(tblRDO[Valor],MATCH(1,INDEX((tblRDO[Fecha]=$C$3)*(tblRDO[Área]=$B41)*(tblRDO[Parámetro]=$C41)*(tblRDO[Guardia]=D$6),0),0)),"")</f>
        <v>0.56000000000000005</v>
      </c>
      <c r="E41" s="927" cm="1">
        <f t="array" ref="E41">IFERROR(INDEX(tblRDO[Valor],MATCH(1,INDEX((tblRDO[Fecha]=$C$3)*(tblRDO[Área]=$B41)*(tblRDO[Parámetro]=$C41)*(tblRDO[Guardia]=E$6),0),0)),"")</f>
        <v>0</v>
      </c>
      <c r="F41" s="927" cm="1">
        <f t="array" ref="F41">IFERROR(INDEX(tblRDO[Valor],MATCH(1,INDEX((tblRDO[Fecha]=$C$3)*(tblRDO[Área]=$B41)*(tblRDO[Parámetro]=$C41)*(tblRDO[Guardia]=F$6),0),0)),"")</f>
        <v>0</v>
      </c>
    </row>
    <row r="42" spans="2:6">
      <c r="B42" s="925" t="s">
        <v>1376</v>
      </c>
      <c r="C42" s="926" t="s">
        <v>1384</v>
      </c>
      <c r="D42" s="927" cm="1">
        <f t="array" ref="D42">IFERROR(INDEX(tblRDO[Valor],MATCH(1,INDEX((tblRDO[Fecha]=$C$3)*(tblRDO[Área]=$B42)*(tblRDO[Parámetro]=$C42)*(tblRDO[Guardia]=D$6),0),0)),"")</f>
        <v>0.36</v>
      </c>
      <c r="E42" s="927" cm="1">
        <f t="array" ref="E42">IFERROR(INDEX(tblRDO[Valor],MATCH(1,INDEX((tblRDO[Fecha]=$C$3)*(tblRDO[Área]=$B42)*(tblRDO[Parámetro]=$C42)*(tblRDO[Guardia]=E$6),0),0)),"")</f>
        <v>0.4</v>
      </c>
      <c r="F42" s="927" cm="1">
        <f t="array" ref="F42">IFERROR(INDEX(tblRDO[Valor],MATCH(1,INDEX((tblRDO[Fecha]=$C$3)*(tblRDO[Área]=$B42)*(tblRDO[Parámetro]=$C42)*(tblRDO[Guardia]=F$6),0),0)),"")</f>
        <v>0.4</v>
      </c>
    </row>
    <row r="43" spans="2:6">
      <c r="B43" s="925" t="s">
        <v>1376</v>
      </c>
      <c r="C43" s="926" t="s">
        <v>1386</v>
      </c>
      <c r="D43" s="927" cm="1">
        <f t="array" ref="D43">IFERROR(INDEX(tblRDO[Valor],MATCH(1,INDEX((tblRDO[Fecha]=$C$3)*(tblRDO[Área]=$B43)*(tblRDO[Parámetro]=$C43)*(tblRDO[Guardia]=D$6),0),0)),"")</f>
        <v>0.4</v>
      </c>
      <c r="E43" s="927" cm="1">
        <f t="array" ref="E43">IFERROR(INDEX(tblRDO[Valor],MATCH(1,INDEX((tblRDO[Fecha]=$C$3)*(tblRDO[Área]=$B43)*(tblRDO[Parámetro]=$C43)*(tblRDO[Guardia]=E$6),0),0)),"")</f>
        <v>0.38</v>
      </c>
      <c r="F43" s="927" cm="1">
        <f t="array" ref="F43">IFERROR(INDEX(tblRDO[Valor],MATCH(1,INDEX((tblRDO[Fecha]=$C$3)*(tblRDO[Área]=$B43)*(tblRDO[Parámetro]=$C43)*(tblRDO[Guardia]=F$6),0),0)),"")</f>
        <v>0.36</v>
      </c>
    </row>
    <row r="44" spans="2:6">
      <c r="B44" s="925" t="s">
        <v>1376</v>
      </c>
      <c r="C44" s="926" t="s">
        <v>1387</v>
      </c>
      <c r="D44" s="927" cm="1">
        <f t="array" ref="D44">IFERROR(INDEX(tblRDO[Valor],MATCH(1,INDEX((tblRDO[Fecha]=$C$3)*(tblRDO[Área]=$B44)*(tblRDO[Parámetro]=$C44)*(tblRDO[Guardia]=D$6),0),0)),"")</f>
        <v>8.1</v>
      </c>
      <c r="E44" s="927" cm="1">
        <f t="array" ref="E44">IFERROR(INDEX(tblRDO[Valor],MATCH(1,INDEX((tblRDO[Fecha]=$C$3)*(tblRDO[Área]=$B44)*(tblRDO[Parámetro]=$C44)*(tblRDO[Guardia]=E$6),0),0)),"")</f>
        <v>0</v>
      </c>
      <c r="F44" s="927" cm="1">
        <f t="array" ref="F44">IFERROR(INDEX(tblRDO[Valor],MATCH(1,INDEX((tblRDO[Fecha]=$C$3)*(tblRDO[Área]=$B44)*(tblRDO[Parámetro]=$C44)*(tblRDO[Guardia]=F$6),0),0)),"")</f>
        <v>8.3000000000000007</v>
      </c>
    </row>
    <row r="45" spans="2:6">
      <c r="B45" s="925" t="s">
        <v>1376</v>
      </c>
      <c r="C45" s="926" t="s">
        <v>1389</v>
      </c>
      <c r="D45" s="927" cm="1">
        <f t="array" ref="D45">IFERROR(INDEX(tblRDO[Valor],MATCH(1,INDEX((tblRDO[Fecha]=$C$3)*(tblRDO[Área]=$B45)*(tblRDO[Parámetro]=$C45)*(tblRDO[Guardia]=D$6),0),0)),"")</f>
        <v>63.3</v>
      </c>
      <c r="E45" s="927" cm="1">
        <f t="array" ref="E45">IFERROR(INDEX(tblRDO[Valor],MATCH(1,INDEX((tblRDO[Fecha]=$C$3)*(tblRDO[Área]=$B45)*(tblRDO[Parámetro]=$C45)*(tblRDO[Guardia]=E$6),0),0)),"")</f>
        <v>0</v>
      </c>
      <c r="F45" s="927" cm="1">
        <f t="array" ref="F45">IFERROR(INDEX(tblRDO[Valor],MATCH(1,INDEX((tblRDO[Fecha]=$C$3)*(tblRDO[Área]=$B45)*(tblRDO[Parámetro]=$C45)*(tblRDO[Guardia]=F$6),0),0)),"")</f>
        <v>66.099999999999994</v>
      </c>
    </row>
    <row r="46" spans="2:6">
      <c r="B46" s="925" t="s">
        <v>1376</v>
      </c>
      <c r="C46" s="926" t="s">
        <v>1390</v>
      </c>
      <c r="D46" s="927" cm="1">
        <f t="array" ref="D46">IFERROR(INDEX(tblRDO[Valor],MATCH(1,INDEX((tblRDO[Fecha]=$C$3)*(tblRDO[Área]=$B46)*(tblRDO[Parámetro]=$C46)*(tblRDO[Guardia]=D$6),0),0)),"")</f>
        <v>2.0699999999999998E-3</v>
      </c>
      <c r="E46" s="927" cm="1">
        <f t="array" ref="E46">IFERROR(INDEX(tblRDO[Valor],MATCH(1,INDEX((tblRDO[Fecha]=$C$3)*(tblRDO[Área]=$B46)*(tblRDO[Parámetro]=$C46)*(tblRDO[Guardia]=E$6),0),0)),"")</f>
        <v>0</v>
      </c>
      <c r="F46" s="927" cm="1">
        <f t="array" ref="F46">IFERROR(INDEX(tblRDO[Valor],MATCH(1,INDEX((tblRDO[Fecha]=$C$3)*(tblRDO[Área]=$B46)*(tblRDO[Parámetro]=$C46)*(tblRDO[Guardia]=F$6),0),0)),"")</f>
        <v>1.8E-3</v>
      </c>
    </row>
    <row r="47" spans="2:6">
      <c r="B47" s="925" t="s">
        <v>1376</v>
      </c>
      <c r="C47" s="926" t="s">
        <v>1391</v>
      </c>
      <c r="D47" s="927" cm="1">
        <f t="array" ref="D47">IFERROR(INDEX(tblRDO[Valor],MATCH(1,INDEX((tblRDO[Fecha]=$C$3)*(tblRDO[Área]=$B47)*(tblRDO[Parámetro]=$C47)*(tblRDO[Guardia]=D$6),0),0)),"")</f>
        <v>0</v>
      </c>
      <c r="E47" s="927" cm="1">
        <f t="array" ref="E47">IFERROR(INDEX(tblRDO[Valor],MATCH(1,INDEX((tblRDO[Fecha]=$C$3)*(tblRDO[Área]=$B47)*(tblRDO[Parámetro]=$C47)*(tblRDO[Guardia]=E$6),0),0)),"")</f>
        <v>0</v>
      </c>
      <c r="F47" s="927" cm="1">
        <f t="array" ref="F47">IFERROR(INDEX(tblRDO[Valor],MATCH(1,INDEX((tblRDO[Fecha]=$C$3)*(tblRDO[Área]=$B47)*(tblRDO[Parámetro]=$C47)*(tblRDO[Guardia]=F$6),0),0)),"")</f>
        <v>7560</v>
      </c>
    </row>
    <row r="48" spans="2:6">
      <c r="B48" s="925" t="s">
        <v>1376</v>
      </c>
      <c r="C48" s="926" t="s">
        <v>1392</v>
      </c>
      <c r="D48" s="927" cm="1">
        <f t="array" ref="D48">IFERROR(INDEX(tblRDO[Valor],MATCH(1,INDEX((tblRDO[Fecha]=$C$3)*(tblRDO[Área]=$B48)*(tblRDO[Parámetro]=$C48)*(tblRDO[Guardia]=D$6),0),0)),"")</f>
        <v>7560</v>
      </c>
      <c r="E48" s="927" cm="1">
        <f t="array" ref="E48">IFERROR(INDEX(tblRDO[Valor],MATCH(1,INDEX((tblRDO[Fecha]=$C$3)*(tblRDO[Área]=$B48)*(tblRDO[Parámetro]=$C48)*(tblRDO[Guardia]=E$6),0),0)),"")</f>
        <v>0</v>
      </c>
      <c r="F48" s="927" cm="1">
        <f t="array" ref="F48">IFERROR(INDEX(tblRDO[Valor],MATCH(1,INDEX((tblRDO[Fecha]=$C$3)*(tblRDO[Área]=$B48)*(tblRDO[Parámetro]=$C48)*(tblRDO[Guardia]=F$6),0),0)),"")</f>
        <v>0</v>
      </c>
    </row>
    <row r="49" spans="2:6">
      <c r="B49" s="925" t="s">
        <v>1376</v>
      </c>
      <c r="C49" s="926" t="s">
        <v>453</v>
      </c>
      <c r="D49" s="927" cm="1">
        <f t="array" ref="D49">IFERROR(INDEX(tblRDO[Valor],MATCH(1,INDEX((tblRDO[Fecha]=$C$3)*(tblRDO[Área]=$B49)*(tblRDO[Parámetro]=$C49)*(tblRDO[Guardia]=D$6),0),0)),"")</f>
        <v>0</v>
      </c>
      <c r="E49" s="927" cm="1">
        <f t="array" ref="E49">IFERROR(INDEX(tblRDO[Valor],MATCH(1,INDEX((tblRDO[Fecha]=$C$3)*(tblRDO[Área]=$B49)*(tblRDO[Parámetro]=$C49)*(tblRDO[Guardia]=E$6),0),0)),"")</f>
        <v>0</v>
      </c>
      <c r="F49" s="927" cm="1">
        <f t="array" ref="F49">IFERROR(INDEX(tblRDO[Valor],MATCH(1,INDEX((tblRDO[Fecha]=$C$3)*(tblRDO[Área]=$B49)*(tblRDO[Parámetro]=$C49)*(tblRDO[Guardia]=F$6),0),0)),"")</f>
        <v>0</v>
      </c>
    </row>
    <row r="50" spans="2:6">
      <c r="B50" s="925" t="s">
        <v>1376</v>
      </c>
      <c r="C50" s="926" t="s">
        <v>1394</v>
      </c>
      <c r="D50" s="927" t="str" cm="1">
        <f t="array" ref="D50">IFERROR(INDEX(tblRDO[Valor],MATCH(1,INDEX((tblRDO[Fecha]=$C$3)*(tblRDO[Área]=$B50)*(tblRDO[Parámetro]=$C50)*(tblRDO[Guardia]=D$6),0),0)),"")</f>
        <v>2,3,4</v>
      </c>
      <c r="E50" s="927" t="str" cm="1">
        <f t="array" ref="E50">IFERROR(INDEX(tblRDO[Valor],MATCH(1,INDEX((tblRDO[Fecha]=$C$3)*(tblRDO[Área]=$B50)*(tblRDO[Parámetro]=$C50)*(tblRDO[Guardia]=E$6),0),0)),"")</f>
        <v>2,3</v>
      </c>
      <c r="F50" s="927" t="str" cm="1">
        <f t="array" ref="F50">IFERROR(INDEX(tblRDO[Valor],MATCH(1,INDEX((tblRDO[Fecha]=$C$3)*(tblRDO[Área]=$B50)*(tblRDO[Parámetro]=$C50)*(tblRDO[Guardia]=F$6),0),0)),"")</f>
        <v>2,3</v>
      </c>
    </row>
    <row r="51" spans="2:6">
      <c r="B51" s="925" t="s">
        <v>1376</v>
      </c>
      <c r="C51" s="926" t="s">
        <v>1398</v>
      </c>
      <c r="D51" s="927" cm="1">
        <f t="array" ref="D51">IFERROR(INDEX(tblRDO[Valor],MATCH(1,INDEX((tblRDO[Fecha]=$C$3)*(tblRDO[Área]=$B51)*(tblRDO[Parámetro]=$C51)*(tblRDO[Guardia]=D$6),0),0)),"")</f>
        <v>11</v>
      </c>
      <c r="E51" s="927" cm="1">
        <f t="array" ref="E51">IFERROR(INDEX(tblRDO[Valor],MATCH(1,INDEX((tblRDO[Fecha]=$C$3)*(tblRDO[Área]=$B51)*(tblRDO[Parámetro]=$C51)*(tblRDO[Guardia]=E$6),0),0)),"")</f>
        <v>12</v>
      </c>
      <c r="F51" s="927" cm="1">
        <f t="array" ref="F51">IFERROR(INDEX(tblRDO[Valor],MATCH(1,INDEX((tblRDO[Fecha]=$C$3)*(tblRDO[Área]=$B51)*(tblRDO[Parámetro]=$C51)*(tblRDO[Guardia]=F$6),0),0)),"")</f>
        <v>10</v>
      </c>
    </row>
    <row r="52" spans="2:6">
      <c r="B52" s="925" t="s">
        <v>1376</v>
      </c>
      <c r="C52" s="926" t="s">
        <v>1399</v>
      </c>
      <c r="D52" s="927" cm="1">
        <f t="array" ref="D52">IFERROR(INDEX(tblRDO[Valor],MATCH(1,INDEX((tblRDO[Fecha]=$C$3)*(tblRDO[Área]=$B52)*(tblRDO[Parámetro]=$C52)*(tblRDO[Guardia]=D$6),0),0)),"")</f>
        <v>12</v>
      </c>
      <c r="E52" s="927" cm="1">
        <f t="array" ref="E52">IFERROR(INDEX(tblRDO[Valor],MATCH(1,INDEX((tblRDO[Fecha]=$C$3)*(tblRDO[Área]=$B52)*(tblRDO[Parámetro]=$C52)*(tblRDO[Guardia]=E$6),0),0)),"")</f>
        <v>13</v>
      </c>
      <c r="F52" s="927" cm="1">
        <f t="array" ref="F52">IFERROR(INDEX(tblRDO[Valor],MATCH(1,INDEX((tblRDO[Fecha]=$C$3)*(tblRDO[Área]=$B52)*(tblRDO[Parámetro]=$C52)*(tblRDO[Guardia]=F$6),0),0)),"")</f>
        <v>11</v>
      </c>
    </row>
    <row r="53" spans="2:6">
      <c r="B53" s="925" t="s">
        <v>1376</v>
      </c>
      <c r="C53" s="926" t="s">
        <v>1400</v>
      </c>
      <c r="D53" s="927" cm="1">
        <f t="array" ref="D53">IFERROR(INDEX(tblRDO[Valor],MATCH(1,INDEX((tblRDO[Fecha]=$C$3)*(tblRDO[Área]=$B53)*(tblRDO[Parámetro]=$C53)*(tblRDO[Guardia]=D$6),0),0)),"")</f>
        <v>17</v>
      </c>
      <c r="E53" s="927" cm="1">
        <f t="array" ref="E53">IFERROR(INDEX(tblRDO[Valor],MATCH(1,INDEX((tblRDO[Fecha]=$C$3)*(tblRDO[Área]=$B53)*(tblRDO[Parámetro]=$C53)*(tblRDO[Guardia]=E$6),0),0)),"")</f>
        <v>17</v>
      </c>
      <c r="F53" s="927" cm="1">
        <f t="array" ref="F53">IFERROR(INDEX(tblRDO[Valor],MATCH(1,INDEX((tblRDO[Fecha]=$C$3)*(tblRDO[Área]=$B53)*(tblRDO[Parámetro]=$C53)*(tblRDO[Guardia]=F$6),0),0)),"")</f>
        <v>15</v>
      </c>
    </row>
    <row r="54" spans="2:6">
      <c r="B54" s="925" t="s">
        <v>1376</v>
      </c>
      <c r="C54" s="926" t="s">
        <v>1401</v>
      </c>
      <c r="D54" s="927" cm="1">
        <f t="array" ref="D54">IFERROR(INDEX(tblRDO[Valor],MATCH(1,INDEX((tblRDO[Fecha]=$C$3)*(tblRDO[Área]=$B54)*(tblRDO[Parámetro]=$C54)*(tblRDO[Guardia]=D$6),0),0)),"")</f>
        <v>5.76</v>
      </c>
      <c r="E54" s="927" cm="1">
        <f t="array" ref="E54">IFERROR(INDEX(tblRDO[Valor],MATCH(1,INDEX((tblRDO[Fecha]=$C$3)*(tblRDO[Área]=$B54)*(tblRDO[Parámetro]=$C54)*(tblRDO[Guardia]=E$6),0),0)),"")</f>
        <v>6.65</v>
      </c>
      <c r="F54" s="927" cm="1">
        <f t="array" ref="F54">IFERROR(INDEX(tblRDO[Valor],MATCH(1,INDEX((tblRDO[Fecha]=$C$3)*(tblRDO[Área]=$B54)*(tblRDO[Parámetro]=$C54)*(tblRDO[Guardia]=F$6),0),0)),"")</f>
        <v>5.0999999999999996</v>
      </c>
    </row>
    <row r="55" spans="2:6">
      <c r="B55" s="925" t="s">
        <v>1376</v>
      </c>
      <c r="C55" s="926" t="s">
        <v>1403</v>
      </c>
      <c r="D55" s="927" cm="1">
        <f t="array" ref="D55">IFERROR(INDEX(tblRDO[Valor],MATCH(1,INDEX((tblRDO[Fecha]=$C$3)*(tblRDO[Área]=$B55)*(tblRDO[Parámetro]=$C55)*(tblRDO[Guardia]=D$6),0),0)),"")</f>
        <v>690</v>
      </c>
      <c r="E55" s="927" cm="1">
        <f t="array" ref="E55">IFERROR(INDEX(tblRDO[Valor],MATCH(1,INDEX((tblRDO[Fecha]=$C$3)*(tblRDO[Área]=$B55)*(tblRDO[Parámetro]=$C55)*(tblRDO[Guardia]=E$6),0),0)),"")</f>
        <v>660</v>
      </c>
      <c r="F55" s="927" cm="1">
        <f t="array" ref="F55">IFERROR(INDEX(tblRDO[Valor],MATCH(1,INDEX((tblRDO[Fecha]=$C$3)*(tblRDO[Área]=$B55)*(tblRDO[Parámetro]=$C55)*(tblRDO[Guardia]=F$6),0),0)),"")</f>
        <v>680</v>
      </c>
    </row>
    <row r="56" spans="2:6">
      <c r="B56" s="925" t="s">
        <v>1376</v>
      </c>
      <c r="C56" s="926" t="s">
        <v>1404</v>
      </c>
      <c r="D56" s="927" cm="1">
        <f t="array" ref="D56">IFERROR(INDEX(tblRDO[Valor],MATCH(1,INDEX((tblRDO[Fecha]=$C$3)*(tblRDO[Área]=$B56)*(tblRDO[Parámetro]=$C56)*(tblRDO[Guardia]=D$6),0),0)),"")</f>
        <v>3.76</v>
      </c>
      <c r="E56" s="927" cm="1">
        <f t="array" ref="E56">IFERROR(INDEX(tblRDO[Valor],MATCH(1,INDEX((tblRDO[Fecha]=$C$3)*(tblRDO[Área]=$B56)*(tblRDO[Parámetro]=$C56)*(tblRDO[Guardia]=E$6),0),0)),"")</f>
        <v>4.25</v>
      </c>
      <c r="F56" s="927" cm="1">
        <f t="array" ref="F56">IFERROR(INDEX(tblRDO[Valor],MATCH(1,INDEX((tblRDO[Fecha]=$C$3)*(tblRDO[Área]=$B56)*(tblRDO[Parámetro]=$C56)*(tblRDO[Guardia]=F$6),0),0)),"")</f>
        <v>3.18</v>
      </c>
    </row>
    <row r="57" spans="2:6">
      <c r="B57" s="925" t="s">
        <v>1376</v>
      </c>
      <c r="C57" s="926" t="s">
        <v>1407</v>
      </c>
      <c r="D57" s="927" cm="1">
        <f t="array" ref="D57">IFERROR(INDEX(tblRDO[Valor],MATCH(1,INDEX((tblRDO[Fecha]=$C$3)*(tblRDO[Área]=$B57)*(tblRDO[Parámetro]=$C57)*(tblRDO[Guardia]=D$6),0),0)),"")</f>
        <v>380</v>
      </c>
      <c r="E57" s="927" cm="1">
        <f t="array" ref="E57">IFERROR(INDEX(tblRDO[Valor],MATCH(1,INDEX((tblRDO[Fecha]=$C$3)*(tblRDO[Área]=$B57)*(tblRDO[Parámetro]=$C57)*(tblRDO[Guardia]=E$6),0),0)),"")</f>
        <v>330</v>
      </c>
      <c r="F57" s="927" cm="1">
        <f t="array" ref="F57">IFERROR(INDEX(tblRDO[Valor],MATCH(1,INDEX((tblRDO[Fecha]=$C$3)*(tblRDO[Área]=$B57)*(tblRDO[Parámetro]=$C57)*(tblRDO[Guardia]=F$6),0),0)),"")</f>
        <v>290</v>
      </c>
    </row>
    <row r="58" spans="2:6">
      <c r="B58" s="925" t="s">
        <v>1376</v>
      </c>
      <c r="C58" s="926" t="s">
        <v>1408</v>
      </c>
      <c r="D58" s="927" cm="1">
        <f t="array" ref="D58">IFERROR(INDEX(tblRDO[Valor],MATCH(1,INDEX((tblRDO[Fecha]=$C$3)*(tblRDO[Área]=$B58)*(tblRDO[Parámetro]=$C58)*(tblRDO[Guardia]=D$6),0),0)),"")</f>
        <v>1032</v>
      </c>
      <c r="E58" s="927" cm="1">
        <f t="array" ref="E58">IFERROR(INDEX(tblRDO[Valor],MATCH(1,INDEX((tblRDO[Fecha]=$C$3)*(tblRDO[Área]=$B58)*(tblRDO[Parámetro]=$C58)*(tblRDO[Guardia]=E$6),0),0)),"")</f>
        <v>1032</v>
      </c>
      <c r="F58" s="927" cm="1">
        <f t="array" ref="F58">IFERROR(INDEX(tblRDO[Valor],MATCH(1,INDEX((tblRDO[Fecha]=$C$3)*(tblRDO[Área]=$B58)*(tblRDO[Parámetro]=$C58)*(tblRDO[Guardia]=F$6),0),0)),"")</f>
        <v>1027</v>
      </c>
    </row>
    <row r="59" spans="2:6">
      <c r="B59" s="922" t="s">
        <v>1393</v>
      </c>
      <c r="C59" s="923" t="s">
        <v>1394</v>
      </c>
      <c r="D59" s="924" t="str" cm="1">
        <f t="array" ref="D59">IFERROR(INDEX(tblRDO[Valor],MATCH(1,INDEX((tblRDO[Fecha]=$C$3)*(tblRDO[Área]=$B59)*(tblRDO[Parámetro]=$C59)*(tblRDO[Guardia]=D$6),0),0)),"")</f>
        <v/>
      </c>
      <c r="E59" s="924" t="str" cm="1">
        <f t="array" ref="E59">IFERROR(INDEX(tblRDO[Valor],MATCH(1,INDEX((tblRDO[Fecha]=$C$3)*(tblRDO[Área]=$B59)*(tblRDO[Parámetro]=$C59)*(tblRDO[Guardia]=E$6),0),0)),"")</f>
        <v/>
      </c>
      <c r="F59" s="924" t="str" cm="1">
        <f t="array" ref="F59">IFERROR(INDEX(tblRDO[Valor],MATCH(1,INDEX((tblRDO[Fecha]=$C$3)*(tblRDO[Área]=$B59)*(tblRDO[Parámetro]=$C59)*(tblRDO[Guardia]=F$6),0),0)),"")</f>
        <v/>
      </c>
    </row>
    <row r="60" spans="2:6">
      <c r="B60" s="922" t="s">
        <v>1393</v>
      </c>
      <c r="C60" s="923" t="s">
        <v>1398</v>
      </c>
      <c r="D60" s="924" t="str" cm="1">
        <f t="array" ref="D60">IFERROR(INDEX(tblRDO[Valor],MATCH(1,INDEX((tblRDO[Fecha]=$C$3)*(tblRDO[Área]=$B60)*(tblRDO[Parámetro]=$C60)*(tblRDO[Guardia]=D$6),0),0)),"")</f>
        <v/>
      </c>
      <c r="E60" s="924" t="str" cm="1">
        <f t="array" ref="E60">IFERROR(INDEX(tblRDO[Valor],MATCH(1,INDEX((tblRDO[Fecha]=$C$3)*(tblRDO[Área]=$B60)*(tblRDO[Parámetro]=$C60)*(tblRDO[Guardia]=E$6),0),0)),"")</f>
        <v/>
      </c>
      <c r="F60" s="924" t="str" cm="1">
        <f t="array" ref="F60">IFERROR(INDEX(tblRDO[Valor],MATCH(1,INDEX((tblRDO[Fecha]=$C$3)*(tblRDO[Área]=$B60)*(tblRDO[Parámetro]=$C60)*(tblRDO[Guardia]=F$6),0),0)),"")</f>
        <v/>
      </c>
    </row>
    <row r="61" spans="2:6">
      <c r="B61" s="922" t="s">
        <v>1393</v>
      </c>
      <c r="C61" s="923" t="s">
        <v>1399</v>
      </c>
      <c r="D61" s="924" t="str" cm="1">
        <f t="array" ref="D61">IFERROR(INDEX(tblRDO[Valor],MATCH(1,INDEX((tblRDO[Fecha]=$C$3)*(tblRDO[Área]=$B61)*(tblRDO[Parámetro]=$C61)*(tblRDO[Guardia]=D$6),0),0)),"")</f>
        <v/>
      </c>
      <c r="E61" s="924" t="str" cm="1">
        <f t="array" ref="E61">IFERROR(INDEX(tblRDO[Valor],MATCH(1,INDEX((tblRDO[Fecha]=$C$3)*(tblRDO[Área]=$B61)*(tblRDO[Parámetro]=$C61)*(tblRDO[Guardia]=E$6),0),0)),"")</f>
        <v/>
      </c>
      <c r="F61" s="924" t="str" cm="1">
        <f t="array" ref="F61">IFERROR(INDEX(tblRDO[Valor],MATCH(1,INDEX((tblRDO[Fecha]=$C$3)*(tblRDO[Área]=$B61)*(tblRDO[Parámetro]=$C61)*(tblRDO[Guardia]=F$6),0),0)),"")</f>
        <v/>
      </c>
    </row>
    <row r="62" spans="2:6">
      <c r="B62" s="922" t="s">
        <v>1393</v>
      </c>
      <c r="C62" s="923" t="s">
        <v>1400</v>
      </c>
      <c r="D62" s="924" t="str" cm="1">
        <f t="array" ref="D62">IFERROR(INDEX(tblRDO[Valor],MATCH(1,INDEX((tblRDO[Fecha]=$C$3)*(tblRDO[Área]=$B62)*(tblRDO[Parámetro]=$C62)*(tblRDO[Guardia]=D$6),0),0)),"")</f>
        <v/>
      </c>
      <c r="E62" s="924" t="str" cm="1">
        <f t="array" ref="E62">IFERROR(INDEX(tblRDO[Valor],MATCH(1,INDEX((tblRDO[Fecha]=$C$3)*(tblRDO[Área]=$B62)*(tblRDO[Parámetro]=$C62)*(tblRDO[Guardia]=E$6),0),0)),"")</f>
        <v/>
      </c>
      <c r="F62" s="924" t="str" cm="1">
        <f t="array" ref="F62">IFERROR(INDEX(tblRDO[Valor],MATCH(1,INDEX((tblRDO[Fecha]=$C$3)*(tblRDO[Área]=$B62)*(tblRDO[Parámetro]=$C62)*(tblRDO[Guardia]=F$6),0),0)),"")</f>
        <v/>
      </c>
    </row>
    <row r="63" spans="2:6">
      <c r="B63" s="922" t="s">
        <v>1393</v>
      </c>
      <c r="C63" s="923" t="s">
        <v>1401</v>
      </c>
      <c r="D63" s="924" t="str" cm="1">
        <f t="array" ref="D63">IFERROR(INDEX(tblRDO[Valor],MATCH(1,INDEX((tblRDO[Fecha]=$C$3)*(tblRDO[Área]=$B63)*(tblRDO[Parámetro]=$C63)*(tblRDO[Guardia]=D$6),0),0)),"")</f>
        <v/>
      </c>
      <c r="E63" s="924" t="str" cm="1">
        <f t="array" ref="E63">IFERROR(INDEX(tblRDO[Valor],MATCH(1,INDEX((tblRDO[Fecha]=$C$3)*(tblRDO[Área]=$B63)*(tblRDO[Parámetro]=$C63)*(tblRDO[Guardia]=E$6),0),0)),"")</f>
        <v/>
      </c>
      <c r="F63" s="924" t="str" cm="1">
        <f t="array" ref="F63">IFERROR(INDEX(tblRDO[Valor],MATCH(1,INDEX((tblRDO[Fecha]=$C$3)*(tblRDO[Área]=$B63)*(tblRDO[Parámetro]=$C63)*(tblRDO[Guardia]=F$6),0),0)),"")</f>
        <v/>
      </c>
    </row>
    <row r="64" spans="2:6">
      <c r="B64" s="922" t="s">
        <v>1393</v>
      </c>
      <c r="C64" s="923" t="s">
        <v>1403</v>
      </c>
      <c r="D64" s="924" t="str" cm="1">
        <f t="array" ref="D64">IFERROR(INDEX(tblRDO[Valor],MATCH(1,INDEX((tblRDO[Fecha]=$C$3)*(tblRDO[Área]=$B64)*(tblRDO[Parámetro]=$C64)*(tblRDO[Guardia]=D$6),0),0)),"")</f>
        <v/>
      </c>
      <c r="E64" s="924" t="str" cm="1">
        <f t="array" ref="E64">IFERROR(INDEX(tblRDO[Valor],MATCH(1,INDEX((tblRDO[Fecha]=$C$3)*(tblRDO[Área]=$B64)*(tblRDO[Parámetro]=$C64)*(tblRDO[Guardia]=E$6),0),0)),"")</f>
        <v/>
      </c>
      <c r="F64" s="924" t="str" cm="1">
        <f t="array" ref="F64">IFERROR(INDEX(tblRDO[Valor],MATCH(1,INDEX((tblRDO[Fecha]=$C$3)*(tblRDO[Área]=$B64)*(tblRDO[Parámetro]=$C64)*(tblRDO[Guardia]=F$6),0),0)),"")</f>
        <v/>
      </c>
    </row>
    <row r="65" spans="2:6">
      <c r="B65" s="922" t="s">
        <v>1393</v>
      </c>
      <c r="C65" s="923" t="s">
        <v>1404</v>
      </c>
      <c r="D65" s="924" t="str" cm="1">
        <f t="array" ref="D65">IFERROR(INDEX(tblRDO[Valor],MATCH(1,INDEX((tblRDO[Fecha]=$C$3)*(tblRDO[Área]=$B65)*(tblRDO[Parámetro]=$C65)*(tblRDO[Guardia]=D$6),0),0)),"")</f>
        <v/>
      </c>
      <c r="E65" s="924" t="str" cm="1">
        <f t="array" ref="E65">IFERROR(INDEX(tblRDO[Valor],MATCH(1,INDEX((tblRDO[Fecha]=$C$3)*(tblRDO[Área]=$B65)*(tblRDO[Parámetro]=$C65)*(tblRDO[Guardia]=E$6),0),0)),"")</f>
        <v/>
      </c>
      <c r="F65" s="924" t="str" cm="1">
        <f t="array" ref="F65">IFERROR(INDEX(tblRDO[Valor],MATCH(1,INDEX((tblRDO[Fecha]=$C$3)*(tblRDO[Área]=$B65)*(tblRDO[Parámetro]=$C65)*(tblRDO[Guardia]=F$6),0),0)),"")</f>
        <v/>
      </c>
    </row>
    <row r="66" spans="2:6">
      <c r="B66" s="922" t="s">
        <v>1393</v>
      </c>
      <c r="C66" s="923" t="s">
        <v>1407</v>
      </c>
      <c r="D66" s="924" t="str" cm="1">
        <f t="array" ref="D66">IFERROR(INDEX(tblRDO[Valor],MATCH(1,INDEX((tblRDO[Fecha]=$C$3)*(tblRDO[Área]=$B66)*(tblRDO[Parámetro]=$C66)*(tblRDO[Guardia]=D$6),0),0)),"")</f>
        <v/>
      </c>
      <c r="E66" s="924" t="str" cm="1">
        <f t="array" ref="E66">IFERROR(INDEX(tblRDO[Valor],MATCH(1,INDEX((tblRDO[Fecha]=$C$3)*(tblRDO[Área]=$B66)*(tblRDO[Parámetro]=$C66)*(tblRDO[Guardia]=E$6),0),0)),"")</f>
        <v/>
      </c>
      <c r="F66" s="924" t="str" cm="1">
        <f t="array" ref="F66">IFERROR(INDEX(tblRDO[Valor],MATCH(1,INDEX((tblRDO[Fecha]=$C$3)*(tblRDO[Área]=$B66)*(tblRDO[Parámetro]=$C66)*(tblRDO[Guardia]=F$6),0),0)),"")</f>
        <v/>
      </c>
    </row>
    <row r="67" spans="2:6">
      <c r="B67" s="922" t="s">
        <v>1393</v>
      </c>
      <c r="C67" s="923" t="s">
        <v>1408</v>
      </c>
      <c r="D67" s="924" t="str" cm="1">
        <f t="array" ref="D67">IFERROR(INDEX(tblRDO[Valor],MATCH(1,INDEX((tblRDO[Fecha]=$C$3)*(tblRDO[Área]=$B67)*(tblRDO[Parámetro]=$C67)*(tblRDO[Guardia]=D$6),0),0)),"")</f>
        <v/>
      </c>
      <c r="E67" s="924" t="str" cm="1">
        <f t="array" ref="E67">IFERROR(INDEX(tblRDO[Valor],MATCH(1,INDEX((tblRDO[Fecha]=$C$3)*(tblRDO[Área]=$B67)*(tblRDO[Parámetro]=$C67)*(tblRDO[Guardia]=E$6),0),0)),"")</f>
        <v/>
      </c>
      <c r="F67" s="924" t="str" cm="1">
        <f t="array" ref="F67">IFERROR(INDEX(tblRDO[Valor],MATCH(1,INDEX((tblRDO[Fecha]=$C$3)*(tblRDO[Área]=$B67)*(tblRDO[Parámetro]=$C67)*(tblRDO[Guardia]=F$6),0),0)),"")</f>
        <v/>
      </c>
    </row>
    <row r="68" spans="2:6">
      <c r="B68" s="925" t="s">
        <v>1410</v>
      </c>
      <c r="C68" s="926" t="s">
        <v>3352</v>
      </c>
      <c r="D68" s="927" t="str" cm="1">
        <f t="array" ref="D68">IFERROR(INDEX(tblRDO[Valor],MATCH(1,INDEX((tblRDO[Fecha]=$C$3)*(tblRDO[Área]=$B68)*(tblRDO[Parámetro]=$C68)*(tblRDO[Guardia]=D$6),0),0)),"")</f>
        <v>AX3</v>
      </c>
      <c r="E68" s="927" t="str" cm="1">
        <f t="array" ref="E68">IFERROR(INDEX(tblRDO[Valor],MATCH(1,INDEX((tblRDO[Fecha]=$C$3)*(tblRDO[Área]=$B68)*(tblRDO[Parámetro]=$C68)*(tblRDO[Guardia]=E$6),0),0)),"")</f>
        <v>AX3</v>
      </c>
      <c r="F68" s="927" t="str" cm="1">
        <f t="array" ref="F68">IFERROR(INDEX(tblRDO[Valor],MATCH(1,INDEX((tblRDO[Fecha]=$C$3)*(tblRDO[Área]=$B68)*(tblRDO[Parámetro]=$C68)*(tblRDO[Guardia]=F$6),0),0)),"")</f>
        <v>AX1 / BX3</v>
      </c>
    </row>
    <row r="69" spans="2:6">
      <c r="B69" s="925" t="s">
        <v>1410</v>
      </c>
      <c r="C69" s="926" t="s">
        <v>3359</v>
      </c>
      <c r="D69" s="927" cm="1">
        <f t="array" ref="D69">IFERROR(INDEX(tblRDO[Valor],MATCH(1,INDEX((tblRDO[Fecha]=$C$3)*(tblRDO[Área]=$B69)*(tblRDO[Parámetro]=$C69)*(tblRDO[Guardia]=D$6),0),0)),"")</f>
        <v>108</v>
      </c>
      <c r="E69" s="927" cm="1">
        <f t="array" ref="E69">IFERROR(INDEX(tblRDO[Valor],MATCH(1,INDEX((tblRDO[Fecha]=$C$3)*(tblRDO[Área]=$B69)*(tblRDO[Parámetro]=$C69)*(tblRDO[Guardia]=E$6),0),0)),"")</f>
        <v>110</v>
      </c>
      <c r="F69" s="927" t="str" cm="1">
        <f t="array" ref="F69">IFERROR(INDEX(tblRDO[Valor],MATCH(1,INDEX((tblRDO[Fecha]=$C$3)*(tblRDO[Área]=$B69)*(tblRDO[Parámetro]=$C69)*(tblRDO[Guardia]=F$6),0),0)),"")</f>
        <v>116 / 109</v>
      </c>
    </row>
    <row r="70" spans="2:6">
      <c r="B70" s="925" t="s">
        <v>1410</v>
      </c>
      <c r="C70" s="926" t="s">
        <v>3366</v>
      </c>
      <c r="D70" s="927" cm="1">
        <f t="array" ref="D70">IFERROR(INDEX(tblRDO[Valor],MATCH(1,INDEX((tblRDO[Fecha]=$C$3)*(tblRDO[Área]=$B70)*(tblRDO[Parámetro]=$C70)*(tblRDO[Guardia]=D$6),0),0)),"")</f>
        <v>2824</v>
      </c>
      <c r="E70" s="927" cm="1">
        <f t="array" ref="E70">IFERROR(INDEX(tblRDO[Valor],MATCH(1,INDEX((tblRDO[Fecha]=$C$3)*(tblRDO[Área]=$B70)*(tblRDO[Parámetro]=$C70)*(tblRDO[Guardia]=E$6),0),0)),"")</f>
        <v>2686</v>
      </c>
      <c r="F70" s="927" t="str" cm="1">
        <f t="array" ref="F70">IFERROR(INDEX(tblRDO[Valor],MATCH(1,INDEX((tblRDO[Fecha]=$C$3)*(tblRDO[Área]=$B70)*(tblRDO[Parámetro]=$C70)*(tblRDO[Guardia]=F$6),0),0)),"")</f>
        <v>2120 / 2850</v>
      </c>
    </row>
    <row r="71" spans="2:6">
      <c r="B71" s="925" t="s">
        <v>1410</v>
      </c>
      <c r="C71" s="926" t="s">
        <v>3370</v>
      </c>
      <c r="D71" s="927" t="str" cm="1">
        <f t="array" ref="D71">IFERROR(INDEX(tblRDO[Valor],MATCH(1,INDEX((tblRDO[Fecha]=$C$3)*(tblRDO[Área]=$B71)*(tblRDO[Parámetro]=$C71)*(tblRDO[Guardia]=D$6),0),0)),"")</f>
        <v>1H/1V</v>
      </c>
      <c r="E71" s="927" t="str" cm="1">
        <f t="array" ref="E71">IFERROR(INDEX(tblRDO[Valor],MATCH(1,INDEX((tblRDO[Fecha]=$C$3)*(tblRDO[Área]=$B71)*(tblRDO[Parámetro]=$C71)*(tblRDO[Guardia]=E$6),0),0)),"")</f>
        <v>1H/1V</v>
      </c>
      <c r="F71" s="927" t="str" cm="1">
        <f t="array" ref="F71">IFERROR(INDEX(tblRDO[Valor],MATCH(1,INDEX((tblRDO[Fecha]=$C$3)*(tblRDO[Área]=$B71)*(tblRDO[Parámetro]=$C71)*(tblRDO[Guardia]=F$6),0),0)),"")</f>
        <v>1H/1V</v>
      </c>
    </row>
    <row r="72" spans="2:6">
      <c r="B72" s="925" t="s">
        <v>1410</v>
      </c>
      <c r="C72" s="926" t="s">
        <v>3374</v>
      </c>
      <c r="D72" s="927" cm="1">
        <f t="array" ref="D72">IFERROR(INDEX(tblRDO[Valor],MATCH(1,INDEX((tblRDO[Fecha]=$C$3)*(tblRDO[Área]=$B72)*(tblRDO[Parámetro]=$C72)*(tblRDO[Guardia]=D$6),0),0)),"")</f>
        <v>2.2999999999999998</v>
      </c>
      <c r="E72" s="927" cm="1">
        <f t="array" ref="E72">IFERROR(INDEX(tblRDO[Valor],MATCH(1,INDEX((tblRDO[Fecha]=$C$3)*(tblRDO[Área]=$B72)*(tblRDO[Parámetro]=$C72)*(tblRDO[Guardia]=E$6),0),0)),"")</f>
        <v>3.8</v>
      </c>
      <c r="F72" s="927" cm="1">
        <f t="array" ref="F72">IFERROR(INDEX(tblRDO[Valor],MATCH(1,INDEX((tblRDO[Fecha]=$C$3)*(tblRDO[Área]=$B72)*(tblRDO[Parámetro]=$C72)*(tblRDO[Guardia]=F$6),0),0)),"")</f>
        <v>2.85</v>
      </c>
    </row>
    <row r="73" spans="2:6">
      <c r="B73" s="925" t="s">
        <v>1410</v>
      </c>
      <c r="C73" s="926" t="s">
        <v>3378</v>
      </c>
      <c r="D73" s="927" t="str" cm="1">
        <f t="array" ref="D73">IFERROR(INDEX(tblRDO[Valor],MATCH(1,INDEX((tblRDO[Fecha]=$C$3)*(tblRDO[Área]=$B73)*(tblRDO[Parámetro]=$C73)*(tblRDO[Guardia]=D$6),0),0)),"")</f>
        <v>L2</v>
      </c>
      <c r="E73" s="927" t="str" cm="1">
        <f t="array" ref="E73">IFERROR(INDEX(tblRDO[Valor],MATCH(1,INDEX((tblRDO[Fecha]=$C$3)*(tblRDO[Área]=$B73)*(tblRDO[Parámetro]=$C73)*(tblRDO[Guardia]=E$6),0),0)),"")</f>
        <v>L2</v>
      </c>
      <c r="F73" s="927" t="str" cm="1">
        <f t="array" ref="F73">IFERROR(INDEX(tblRDO[Valor],MATCH(1,INDEX((tblRDO[Fecha]=$C$3)*(tblRDO[Área]=$B73)*(tblRDO[Parámetro]=$C73)*(tblRDO[Guardia]=F$6),0),0)),"")</f>
        <v>L2</v>
      </c>
    </row>
    <row r="74" spans="2:6">
      <c r="B74" s="925" t="s">
        <v>1410</v>
      </c>
      <c r="C74" s="926" t="s">
        <v>3382</v>
      </c>
      <c r="D74" s="927" cm="1">
        <f t="array" ref="D74">IFERROR(INDEX(tblRDO[Valor],MATCH(1,INDEX((tblRDO[Fecha]=$C$3)*(tblRDO[Área]=$B74)*(tblRDO[Parámetro]=$C74)*(tblRDO[Guardia]=D$6),0),0)),"")</f>
        <v>96</v>
      </c>
      <c r="E74" s="927" cm="1">
        <f t="array" ref="E74">IFERROR(INDEX(tblRDO[Valor],MATCH(1,INDEX((tblRDO[Fecha]=$C$3)*(tblRDO[Área]=$B74)*(tblRDO[Parámetro]=$C74)*(tblRDO[Guardia]=E$6),0),0)),"")</f>
        <v>103</v>
      </c>
      <c r="F74" s="927" cm="1">
        <f t="array" ref="F74">IFERROR(INDEX(tblRDO[Valor],MATCH(1,INDEX((tblRDO[Fecha]=$C$3)*(tblRDO[Área]=$B74)*(tblRDO[Parámetro]=$C74)*(tblRDO[Guardia]=F$6),0),0)),"")</f>
        <v>91</v>
      </c>
    </row>
    <row r="75" spans="2:6">
      <c r="B75" s="925" t="s">
        <v>1410</v>
      </c>
      <c r="C75" s="926" t="s">
        <v>3389</v>
      </c>
      <c r="D75" s="927" cm="1">
        <f t="array" ref="D75">IFERROR(INDEX(tblRDO[Valor],MATCH(1,INDEX((tblRDO[Fecha]=$C$3)*(tblRDO[Área]=$B75)*(tblRDO[Parámetro]=$C75)*(tblRDO[Guardia]=D$6),0),0)),"")</f>
        <v>2765</v>
      </c>
      <c r="E75" s="927" cm="1">
        <f t="array" ref="E75">IFERROR(INDEX(tblRDO[Valor],MATCH(1,INDEX((tblRDO[Fecha]=$C$3)*(tblRDO[Área]=$B75)*(tblRDO[Parámetro]=$C75)*(tblRDO[Guardia]=E$6),0),0)),"")</f>
        <v>2686</v>
      </c>
      <c r="F75" s="927" cm="1">
        <f t="array" ref="F75">IFERROR(INDEX(tblRDO[Valor],MATCH(1,INDEX((tblRDO[Fecha]=$C$3)*(tblRDO[Área]=$B75)*(tblRDO[Parámetro]=$C75)*(tblRDO[Guardia]=F$6),0),0)),"")</f>
        <v>2780</v>
      </c>
    </row>
    <row r="76" spans="2:6">
      <c r="B76" s="925" t="s">
        <v>1410</v>
      </c>
      <c r="C76" s="926" t="s">
        <v>3393</v>
      </c>
      <c r="D76" s="927" t="str" cm="1">
        <f t="array" ref="D76">IFERROR(INDEX(tblRDO[Valor],MATCH(1,INDEX((tblRDO[Fecha]=$C$3)*(tblRDO[Área]=$B76)*(tblRDO[Parámetro]=$C76)*(tblRDO[Guardia]=D$6),0),0)),"")</f>
        <v>4h</v>
      </c>
      <c r="E76" s="927" t="str" cm="1">
        <f t="array" ref="E76">IFERROR(INDEX(tblRDO[Valor],MATCH(1,INDEX((tblRDO[Fecha]=$C$3)*(tblRDO[Área]=$B76)*(tblRDO[Parámetro]=$C76)*(tblRDO[Guardia]=E$6),0),0)),"")</f>
        <v>4h</v>
      </c>
      <c r="F76" s="927" t="str" cm="1">
        <f t="array" ref="F76">IFERROR(INDEX(tblRDO[Valor],MATCH(1,INDEX((tblRDO[Fecha]=$C$3)*(tblRDO[Área]=$B76)*(tblRDO[Parámetro]=$C76)*(tblRDO[Guardia]=F$6),0),0)),"")</f>
        <v>3h</v>
      </c>
    </row>
    <row r="77" spans="2:6">
      <c r="B77" s="925" t="s">
        <v>1410</v>
      </c>
      <c r="C77" s="926" t="s">
        <v>3397</v>
      </c>
      <c r="D77" s="927" t="str" cm="1">
        <f t="array" ref="D77">IFERROR(INDEX(tblRDO[Valor],MATCH(1,INDEX((tblRDO[Fecha]=$C$3)*(tblRDO[Área]=$B77)*(tblRDO[Parámetro]=$C77)*(tblRDO[Guardia]=D$6),0),0)),"")</f>
        <v>AX1</v>
      </c>
      <c r="E77" s="927" t="str" cm="1">
        <f t="array" ref="E77">IFERROR(INDEX(tblRDO[Valor],MATCH(1,INDEX((tblRDO[Fecha]=$C$3)*(tblRDO[Área]=$B77)*(tblRDO[Parámetro]=$C77)*(tblRDO[Guardia]=E$6),0),0)),"")</f>
        <v>AX1</v>
      </c>
      <c r="F77" s="927" t="str" cm="1">
        <f t="array" ref="F77">IFERROR(INDEX(tblRDO[Valor],MATCH(1,INDEX((tblRDO[Fecha]=$C$3)*(tblRDO[Área]=$B77)*(tblRDO[Parámetro]=$C77)*(tblRDO[Guardia]=F$6),0),0)),"")</f>
        <v>AX1</v>
      </c>
    </row>
    <row r="78" spans="2:6">
      <c r="B78" s="925" t="s">
        <v>1410</v>
      </c>
      <c r="C78" s="926" t="s">
        <v>3404</v>
      </c>
      <c r="D78" s="927" t="str" cm="1">
        <f t="array" ref="D78">IFERROR(INDEX(tblRDO[Valor],MATCH(1,INDEX((tblRDO[Fecha]=$C$3)*(tblRDO[Área]=$B78)*(tblRDO[Parámetro]=$C78)*(tblRDO[Guardia]=D$6),0),0)),"")</f>
        <v>CX3</v>
      </c>
      <c r="E78" s="927" t="str" cm="1">
        <f t="array" ref="E78">IFERROR(INDEX(tblRDO[Valor],MATCH(1,INDEX((tblRDO[Fecha]=$C$3)*(tblRDO[Área]=$B78)*(tblRDO[Parámetro]=$C78)*(tblRDO[Guardia]=E$6),0),0)),"")</f>
        <v>CX3</v>
      </c>
      <c r="F78" s="927" t="str" cm="1">
        <f t="array" ref="F78">IFERROR(INDEX(tblRDO[Valor],MATCH(1,INDEX((tblRDO[Fecha]=$C$3)*(tblRDO[Área]=$B78)*(tblRDO[Parámetro]=$C78)*(tblRDO[Guardia]=F$6),0),0)),"")</f>
        <v>CX3</v>
      </c>
    </row>
    <row r="79" spans="2:6">
      <c r="B79" s="925" t="s">
        <v>1410</v>
      </c>
      <c r="C79" s="926" t="s">
        <v>3411</v>
      </c>
      <c r="D79" s="927" cm="1">
        <f t="array" ref="D79">IFERROR(INDEX(tblRDO[Valor],MATCH(1,INDEX((tblRDO[Fecha]=$C$3)*(tblRDO[Área]=$B79)*(tblRDO[Parámetro]=$C79)*(tblRDO[Guardia]=D$6),0),0)),"")</f>
        <v>48</v>
      </c>
      <c r="E79" s="927" cm="1">
        <f t="array" ref="E79">IFERROR(INDEX(tblRDO[Valor],MATCH(1,INDEX((tblRDO[Fecha]=$C$3)*(tblRDO[Área]=$B79)*(tblRDO[Parámetro]=$C79)*(tblRDO[Guardia]=E$6),0),0)),"")</f>
        <v>60</v>
      </c>
      <c r="F79" s="927" cm="1">
        <f t="array" ref="F79">IFERROR(INDEX(tblRDO[Valor],MATCH(1,INDEX((tblRDO[Fecha]=$C$3)*(tblRDO[Área]=$B79)*(tblRDO[Parámetro]=$C79)*(tblRDO[Guardia]=F$6),0),0)),"")</f>
        <v>47</v>
      </c>
    </row>
    <row r="80" spans="2:6">
      <c r="B80" s="925" t="s">
        <v>1410</v>
      </c>
      <c r="C80" s="926" t="s">
        <v>3418</v>
      </c>
      <c r="D80" s="927" cm="1">
        <f t="array" ref="D80">IFERROR(INDEX(tblRDO[Valor],MATCH(1,INDEX((tblRDO[Fecha]=$C$3)*(tblRDO[Área]=$B80)*(tblRDO[Parámetro]=$C80)*(tblRDO[Guardia]=D$6),0),0)),"")</f>
        <v>114</v>
      </c>
      <c r="E80" s="927" cm="1">
        <f t="array" ref="E80">IFERROR(INDEX(tblRDO[Valor],MATCH(1,INDEX((tblRDO[Fecha]=$C$3)*(tblRDO[Área]=$B80)*(tblRDO[Parámetro]=$C80)*(tblRDO[Guardia]=E$6),0),0)),"")</f>
        <v>116</v>
      </c>
      <c r="F80" s="927" cm="1">
        <f t="array" ref="F80">IFERROR(INDEX(tblRDO[Valor],MATCH(1,INDEX((tblRDO[Fecha]=$C$3)*(tblRDO[Área]=$B80)*(tblRDO[Parámetro]=$C80)*(tblRDO[Guardia]=F$6),0),0)),"")</f>
        <v>99</v>
      </c>
    </row>
    <row r="81" spans="2:6">
      <c r="B81" s="925" t="s">
        <v>1410</v>
      </c>
      <c r="C81" s="926" t="s">
        <v>3425</v>
      </c>
      <c r="D81" s="927" t="str" cm="1">
        <f t="array" ref="D81">IFERROR(INDEX(tblRDO[Valor],MATCH(1,INDEX((tblRDO[Fecha]=$C$3)*(tblRDO[Área]=$B81)*(tblRDO[Parámetro]=$C81)*(tblRDO[Guardia]=D$6),0),0)),"")</f>
        <v>Shouxin</v>
      </c>
      <c r="E81" s="927" t="str" cm="1">
        <f t="array" ref="E81">IFERROR(INDEX(tblRDO[Valor],MATCH(1,INDEX((tblRDO[Fecha]=$C$3)*(tblRDO[Área]=$B81)*(tblRDO[Parámetro]=$C81)*(tblRDO[Guardia]=E$6),0),0)),"")</f>
        <v>Shouxin</v>
      </c>
      <c r="F81" s="927" t="str" cm="1">
        <f t="array" ref="F81">IFERROR(INDEX(tblRDO[Valor],MATCH(1,INDEX((tblRDO[Fecha]=$C$3)*(tblRDO[Área]=$B81)*(tblRDO[Parámetro]=$C81)*(tblRDO[Guardia]=F$6),0),0)),"")</f>
        <v>Shouxin</v>
      </c>
    </row>
    <row r="82" spans="2:6">
      <c r="B82" s="925" t="s">
        <v>1410</v>
      </c>
      <c r="C82" s="926" t="s">
        <v>3435</v>
      </c>
      <c r="D82" s="927" t="str" cm="1">
        <f t="array" ref="D82">IFERROR(INDEX(tblRDO[Valor],MATCH(1,INDEX((tblRDO[Fecha]=$C$3)*(tblRDO[Área]=$B82)*(tblRDO[Parámetro]=$C82)*(tblRDO[Guardia]=D$6),0),0)),"")</f>
        <v>PARADO</v>
      </c>
      <c r="E82" s="927" t="str" cm="1">
        <f t="array" ref="E82">IFERROR(INDEX(tblRDO[Valor],MATCH(1,INDEX((tblRDO[Fecha]=$C$3)*(tblRDO[Área]=$B82)*(tblRDO[Parámetro]=$C82)*(tblRDO[Guardia]=E$6),0),0)),"")</f>
        <v>PARADO</v>
      </c>
      <c r="F82" s="927" t="str" cm="1">
        <f t="array" ref="F82">IFERROR(INDEX(tblRDO[Valor],MATCH(1,INDEX((tblRDO[Fecha]=$C$3)*(tblRDO[Área]=$B82)*(tblRDO[Parámetro]=$C82)*(tblRDO[Guardia]=F$6),0),0)),"")</f>
        <v>PARADO</v>
      </c>
    </row>
    <row r="83" spans="2:6">
      <c r="B83" s="925" t="s">
        <v>1410</v>
      </c>
      <c r="C83" s="926" t="s">
        <v>3443</v>
      </c>
      <c r="D83" s="927" cm="1">
        <f t="array" ref="D83">IFERROR(INDEX(tblRDO[Valor],MATCH(1,INDEX((tblRDO[Fecha]=$C$3)*(tblRDO[Área]=$B83)*(tblRDO[Parámetro]=$C83)*(tblRDO[Guardia]=D$6),0),0)),"")</f>
        <v>0</v>
      </c>
      <c r="E83" s="927" cm="1">
        <f t="array" ref="E83">IFERROR(INDEX(tblRDO[Valor],MATCH(1,INDEX((tblRDO[Fecha]=$C$3)*(tblRDO[Área]=$B83)*(tblRDO[Parámetro]=$C83)*(tblRDO[Guardia]=E$6),0),0)),"")</f>
        <v>0</v>
      </c>
      <c r="F83" s="927" cm="1">
        <f t="array" ref="F83">IFERROR(INDEX(tblRDO[Valor],MATCH(1,INDEX((tblRDO[Fecha]=$C$3)*(tblRDO[Área]=$B83)*(tblRDO[Parámetro]=$C83)*(tblRDO[Guardia]=F$6),0),0)),"")</f>
        <v>0</v>
      </c>
    </row>
    <row r="84" spans="2:6">
      <c r="B84" s="925" t="s">
        <v>1410</v>
      </c>
      <c r="C84" s="926" t="s">
        <v>3451</v>
      </c>
      <c r="D84" s="927" cm="1">
        <f t="array" ref="D84">IFERROR(INDEX(tblRDO[Valor],MATCH(1,INDEX((tblRDO[Fecha]=$C$3)*(tblRDO[Área]=$B84)*(tblRDO[Parámetro]=$C84)*(tblRDO[Guardia]=D$6),0),0)),"")</f>
        <v>0</v>
      </c>
      <c r="E84" s="927" cm="1">
        <f t="array" ref="E84">IFERROR(INDEX(tblRDO[Valor],MATCH(1,INDEX((tblRDO[Fecha]=$C$3)*(tblRDO[Área]=$B84)*(tblRDO[Parámetro]=$C84)*(tblRDO[Guardia]=E$6),0),0)),"")</f>
        <v>0</v>
      </c>
      <c r="F84" s="927" cm="1">
        <f t="array" ref="F84">IFERROR(INDEX(tblRDO[Valor],MATCH(1,INDEX((tblRDO[Fecha]=$C$3)*(tblRDO[Área]=$B84)*(tblRDO[Parámetro]=$C84)*(tblRDO[Guardia]=F$6),0),0)),"")</f>
        <v>0</v>
      </c>
    </row>
    <row r="85" spans="2:6">
      <c r="B85" s="925" t="s">
        <v>1410</v>
      </c>
      <c r="C85" s="926" t="s">
        <v>3459</v>
      </c>
      <c r="D85" s="927" cm="1">
        <f t="array" ref="D85">IFERROR(INDEX(tblRDO[Valor],MATCH(1,INDEX((tblRDO[Fecha]=$C$3)*(tblRDO[Área]=$B85)*(tblRDO[Parámetro]=$C85)*(tblRDO[Guardia]=D$6),0),0)),"")</f>
        <v>28</v>
      </c>
      <c r="E85" s="927" cm="1">
        <f t="array" ref="E85">IFERROR(INDEX(tblRDO[Valor],MATCH(1,INDEX((tblRDO[Fecha]=$C$3)*(tblRDO[Área]=$B85)*(tblRDO[Parámetro]=$C85)*(tblRDO[Guardia]=E$6),0),0)),"")</f>
        <v>28</v>
      </c>
      <c r="F85" s="927" cm="1">
        <f t="array" ref="F85">IFERROR(INDEX(tblRDO[Valor],MATCH(1,INDEX((tblRDO[Fecha]=$C$3)*(tblRDO[Área]=$B85)*(tblRDO[Parámetro]=$C85)*(tblRDO[Guardia]=F$6),0),0)),"")</f>
        <v>26</v>
      </c>
    </row>
    <row r="86" spans="2:6">
      <c r="B86" s="925" t="s">
        <v>1410</v>
      </c>
      <c r="C86" s="926" t="s">
        <v>3467</v>
      </c>
      <c r="D86" s="927" cm="1">
        <f t="array" ref="D86">IFERROR(INDEX(tblRDO[Valor],MATCH(1,INDEX((tblRDO[Fecha]=$C$3)*(tblRDO[Área]=$B86)*(tblRDO[Parámetro]=$C86)*(tblRDO[Guardia]=D$6),0),0)),"")</f>
        <v>28</v>
      </c>
      <c r="E86" s="927" cm="1">
        <f t="array" ref="E86">IFERROR(INDEX(tblRDO[Valor],MATCH(1,INDEX((tblRDO[Fecha]=$C$3)*(tblRDO[Área]=$B86)*(tblRDO[Parámetro]=$C86)*(tblRDO[Guardia]=E$6),0),0)),"")</f>
        <v>0</v>
      </c>
      <c r="F86" s="927" cm="1">
        <f t="array" ref="F86">IFERROR(INDEX(tblRDO[Valor],MATCH(1,INDEX((tblRDO[Fecha]=$C$3)*(tblRDO[Área]=$B86)*(tblRDO[Parámetro]=$C86)*(tblRDO[Guardia]=F$6),0),0)),"")</f>
        <v>26</v>
      </c>
    </row>
    <row r="87" spans="2:6">
      <c r="B87" s="925" t="s">
        <v>1410</v>
      </c>
      <c r="C87" s="926" t="s">
        <v>3475</v>
      </c>
      <c r="D87" s="927" cm="1">
        <f t="array" ref="D87">IFERROR(INDEX(tblRDO[Valor],MATCH(1,INDEX((tblRDO[Fecha]=$C$3)*(tblRDO[Área]=$B87)*(tblRDO[Parámetro]=$C87)*(tblRDO[Guardia]=D$6),0),0)),"")</f>
        <v>17</v>
      </c>
      <c r="E87" s="927" cm="1">
        <f t="array" ref="E87">IFERROR(INDEX(tblRDO[Valor],MATCH(1,INDEX((tblRDO[Fecha]=$C$3)*(tblRDO[Área]=$B87)*(tblRDO[Parámetro]=$C87)*(tblRDO[Guardia]=E$6),0),0)),"")</f>
        <v>18</v>
      </c>
      <c r="F87" s="927" cm="1">
        <f t="array" ref="F87">IFERROR(INDEX(tblRDO[Valor],MATCH(1,INDEX((tblRDO[Fecha]=$C$3)*(tblRDO[Área]=$B87)*(tblRDO[Parámetro]=$C87)*(tblRDO[Guardia]=F$6),0),0)),"")</f>
        <v>17</v>
      </c>
    </row>
    <row r="88" spans="2:6">
      <c r="B88" s="925" t="s">
        <v>1410</v>
      </c>
      <c r="C88" s="926" t="s">
        <v>3483</v>
      </c>
      <c r="D88" s="927" cm="1">
        <f t="array" ref="D88">IFERROR(INDEX(tblRDO[Valor],MATCH(1,INDEX((tblRDO[Fecha]=$C$3)*(tblRDO[Área]=$B88)*(tblRDO[Parámetro]=$C88)*(tblRDO[Guardia]=D$6),0),0)),"")</f>
        <v>5</v>
      </c>
      <c r="E88" s="927" cm="1">
        <f t="array" ref="E88">IFERROR(INDEX(tblRDO[Valor],MATCH(1,INDEX((tblRDO[Fecha]=$C$3)*(tblRDO[Área]=$B88)*(tblRDO[Parámetro]=$C88)*(tblRDO[Guardia]=E$6),0),0)),"")</f>
        <v>5</v>
      </c>
      <c r="F88" s="927" t="str" cm="1">
        <f t="array" ref="F88">IFERROR(INDEX(tblRDO[Valor],MATCH(1,INDEX((tblRDO[Fecha]=$C$3)*(tblRDO[Área]=$B88)*(tblRDO[Parámetro]=$C88)*(tblRDO[Guardia]=F$6),0),0)),"")</f>
        <v>3 y 12</v>
      </c>
    </row>
  </sheetData>
  <mergeCells count="1">
    <mergeCell ref="D5:F5"/>
  </mergeCells>
  <conditionalFormatting sqref="C3">
    <cfRule type="expression" dxfId="21" priority="1">
      <formula>AND(ISNUMBER(C3),OR(MONTH(C3)&lt;&gt;MONTH(CFG_MES),YEAR(C3)&lt;&gt;YEAR(CFG_MES)))</formula>
    </cfRule>
  </conditionalFormatting>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Vista RDO — Página &amp;P de &amp;F</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Title="Fecha fuera del mes" error="Elija una fecha de la lista. Para otro mes, cambie Mes y Año en Config (C5:C6)." promptTitle="Fecha del mes en control" prompt="Elija una fecha de la lista (mes y año definidos en Config C5:C6)." xr:uid="{4C587BF9-460E-41FF-8997-2BEF5A40DCDE}">
          <x14:formula1>
            <xm:f>OFFSET(Listas!$I$5,0,0,Config!$C$13,1)</xm:f>
          </x14:formula1>
          <xm:sqref>C3</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7A650-79B5-4407-88A0-47F05A83AAA4}">
  <sheetPr codeName="Hoja31">
    <tabColor rgb="FF2F75B5"/>
    <pageSetUpPr fitToPage="1"/>
  </sheetPr>
  <dimension ref="B1:O21"/>
  <sheetViews>
    <sheetView showGridLines="0" workbookViewId="0">
      <selection activeCell="N17" sqref="N17"/>
    </sheetView>
  </sheetViews>
  <sheetFormatPr baseColWidth="10" defaultRowHeight="15"/>
  <cols>
    <col min="2" max="2" width="17.140625" customWidth="1"/>
    <col min="3" max="7" width="14.28515625" customWidth="1"/>
    <col min="8" max="8" width="3.85546875" customWidth="1"/>
    <col min="9" max="9" width="17.140625" customWidth="1"/>
    <col min="10" max="15" width="13.28515625" customWidth="1"/>
  </cols>
  <sheetData>
    <row r="1" spans="2:15" ht="18.75">
      <c r="B1" s="885" t="s">
        <v>3211</v>
      </c>
    </row>
    <row r="2" spans="2:15">
      <c r="B2" s="886" t="str">
        <f ca="1">"Fuente: tabla tblAvisos (hoja Avisos OT). Se recalcula al abrir el archivo; días abiertos calculados al "&amp;DAY(TODAY())&amp;"/"&amp;MONTH(TODAY())&amp;"/"&amp;YEAR(TODAY())</f>
        <v>Fuente: tabla tblAvisos (hoja Avisos OT). Se recalcula al abrir el archivo; días abiertos calculados al 30/9/2026</v>
      </c>
    </row>
    <row r="4" spans="2:15" ht="15.75">
      <c r="B4" s="912" t="s">
        <v>3212</v>
      </c>
      <c r="C4" s="852"/>
      <c r="D4" s="852"/>
      <c r="E4" s="852"/>
      <c r="F4" s="852"/>
      <c r="G4" s="852"/>
      <c r="H4" s="852"/>
      <c r="I4" s="912" t="s">
        <v>3213</v>
      </c>
    </row>
    <row r="5" spans="2:15" ht="30" customHeight="1">
      <c r="B5" s="909" t="s">
        <v>2500</v>
      </c>
      <c r="C5" s="902" t="s">
        <v>1173</v>
      </c>
      <c r="D5" s="902" t="s">
        <v>2511</v>
      </c>
      <c r="E5" s="902" t="s">
        <v>821</v>
      </c>
      <c r="F5" s="902" t="s">
        <v>2512</v>
      </c>
      <c r="G5" s="902" t="s">
        <v>55</v>
      </c>
      <c r="I5" s="909" t="s">
        <v>2500</v>
      </c>
      <c r="J5" s="902" t="s">
        <v>672</v>
      </c>
      <c r="K5" s="902" t="s">
        <v>668</v>
      </c>
      <c r="L5" s="902" t="s">
        <v>665</v>
      </c>
      <c r="M5" s="902" t="s">
        <v>662</v>
      </c>
      <c r="N5" s="902" t="s">
        <v>3214</v>
      </c>
      <c r="O5" s="902" t="s">
        <v>3215</v>
      </c>
    </row>
    <row r="6" spans="2:15">
      <c r="B6" s="910" t="s">
        <v>2501</v>
      </c>
      <c r="C6" s="903">
        <f>COUNTIFS(tblAvisos[Área planta],$B6,tblAvisos[Estado trabajo],C$5)</f>
        <v>0</v>
      </c>
      <c r="D6" s="903">
        <f>COUNTIFS(tblAvisos[Área planta],$B6,tblAvisos[Estado trabajo],D$5)</f>
        <v>0</v>
      </c>
      <c r="E6" s="903">
        <f>COUNTIFS(tblAvisos[Área planta],$B6,tblAvisos[Estado trabajo],E$5)</f>
        <v>0</v>
      </c>
      <c r="F6" s="903">
        <f>COUNTIFS(tblAvisos[Área planta],$B6,tblAvisos[Estado trabajo],F$5)</f>
        <v>77</v>
      </c>
      <c r="G6" s="903">
        <f>SUM(C6:F6)</f>
        <v>77</v>
      </c>
      <c r="I6" s="910" t="s">
        <v>2501</v>
      </c>
      <c r="J6" s="903">
        <f>COUNTIFS(tblAvisos[Área planta],$I6,tblAvisos[Estado trabajo],"&lt;&gt;Cerrado",tblAvisos[Criticidad],J$5)</f>
        <v>0</v>
      </c>
      <c r="K6" s="903">
        <f>COUNTIFS(tblAvisos[Área planta],$I6,tblAvisos[Estado trabajo],"&lt;&gt;Cerrado",tblAvisos[Criticidad],K$5)</f>
        <v>0</v>
      </c>
      <c r="L6" s="903">
        <f>COUNTIFS(tblAvisos[Área planta],$I6,tblAvisos[Estado trabajo],"&lt;&gt;Cerrado",tblAvisos[Criticidad],L$5)</f>
        <v>0</v>
      </c>
      <c r="M6" s="903">
        <f>COUNTIFS(tblAvisos[Área planta],$I6,tblAvisos[Estado trabajo],"&lt;&gt;Cerrado",tblAvisos[Criticidad],M$5)</f>
        <v>0</v>
      </c>
      <c r="N6" s="903">
        <f>COUNTIFS(tblAvisos[Área planta],$I6,tblAvisos[Estado trabajo],"&lt;&gt;Cerrado",tblAvisos[Criticidad],"")</f>
        <v>0</v>
      </c>
      <c r="O6" s="903">
        <f>SUM(J6:N6)</f>
        <v>0</v>
      </c>
    </row>
    <row r="7" spans="2:15">
      <c r="B7" s="910" t="s">
        <v>2502</v>
      </c>
      <c r="C7" s="903">
        <f>COUNTIFS(tblAvisos[Área planta],$B7,tblAvisos[Estado trabajo],C$5)</f>
        <v>271</v>
      </c>
      <c r="D7" s="903">
        <f>COUNTIFS(tblAvisos[Área planta],$B7,tblAvisos[Estado trabajo],D$5)</f>
        <v>0</v>
      </c>
      <c r="E7" s="903">
        <f>COUNTIFS(tblAvisos[Área planta],$B7,tblAvisos[Estado trabajo],E$5)</f>
        <v>1</v>
      </c>
      <c r="F7" s="903">
        <f>COUNTIFS(tblAvisos[Área planta],$B7,tblAvisos[Estado trabajo],F$5)</f>
        <v>2</v>
      </c>
      <c r="G7" s="903">
        <f>SUM(C7:F7)</f>
        <v>274</v>
      </c>
      <c r="I7" s="910" t="s">
        <v>2502</v>
      </c>
      <c r="J7" s="903">
        <f>COUNTIFS(tblAvisos[Área planta],$I7,tblAvisos[Estado trabajo],"&lt;&gt;Cerrado",tblAvisos[Criticidad],J$5)</f>
        <v>35</v>
      </c>
      <c r="K7" s="903">
        <f>COUNTIFS(tblAvisos[Área planta],$I7,tblAvisos[Estado trabajo],"&lt;&gt;Cerrado",tblAvisos[Criticidad],K$5)</f>
        <v>70</v>
      </c>
      <c r="L7" s="903">
        <f>COUNTIFS(tblAvisos[Área planta],$I7,tblAvisos[Estado trabajo],"&lt;&gt;Cerrado",tblAvisos[Criticidad],L$5)</f>
        <v>83</v>
      </c>
      <c r="M7" s="903">
        <f>COUNTIFS(tblAvisos[Área planta],$I7,tblAvisos[Estado trabajo],"&lt;&gt;Cerrado",tblAvisos[Criticidad],M$5)</f>
        <v>0</v>
      </c>
      <c r="N7" s="903">
        <f>COUNTIFS(tblAvisos[Área planta],$I7,tblAvisos[Estado trabajo],"&lt;&gt;Cerrado",tblAvisos[Criticidad],"")</f>
        <v>84</v>
      </c>
      <c r="O7" s="903">
        <f>SUM(J7:N7)</f>
        <v>272</v>
      </c>
    </row>
    <row r="8" spans="2:15">
      <c r="B8" s="910" t="s">
        <v>2503</v>
      </c>
      <c r="C8" s="903">
        <f>COUNTIFS(tblAvisos[Área planta],$B8,tblAvisos[Estado trabajo],C$5)</f>
        <v>8</v>
      </c>
      <c r="D8" s="903">
        <f>COUNTIFS(tblAvisos[Área planta],$B8,tblAvisos[Estado trabajo],D$5)</f>
        <v>0</v>
      </c>
      <c r="E8" s="903">
        <f>COUNTIFS(tblAvisos[Área planta],$B8,tblAvisos[Estado trabajo],E$5)</f>
        <v>0</v>
      </c>
      <c r="F8" s="903">
        <f>COUNTIFS(tblAvisos[Área planta],$B8,tblAvisos[Estado trabajo],F$5)</f>
        <v>17</v>
      </c>
      <c r="G8" s="903">
        <f>SUM(C8:F8)</f>
        <v>25</v>
      </c>
      <c r="I8" s="910" t="s">
        <v>2503</v>
      </c>
      <c r="J8" s="903">
        <f>COUNTIFS(tblAvisos[Área planta],$I8,tblAvisos[Estado trabajo],"&lt;&gt;Cerrado",tblAvisos[Criticidad],J$5)</f>
        <v>0</v>
      </c>
      <c r="K8" s="903">
        <f>COUNTIFS(tblAvisos[Área planta],$I8,tblAvisos[Estado trabajo],"&lt;&gt;Cerrado",tblAvisos[Criticidad],K$5)</f>
        <v>8</v>
      </c>
      <c r="L8" s="903">
        <f>COUNTIFS(tblAvisos[Área planta],$I8,tblAvisos[Estado trabajo],"&lt;&gt;Cerrado",tblAvisos[Criticidad],L$5)</f>
        <v>0</v>
      </c>
      <c r="M8" s="903">
        <f>COUNTIFS(tblAvisos[Área planta],$I8,tblAvisos[Estado trabajo],"&lt;&gt;Cerrado",tblAvisos[Criticidad],M$5)</f>
        <v>0</v>
      </c>
      <c r="N8" s="903">
        <f>COUNTIFS(tblAvisos[Área planta],$I8,tblAvisos[Estado trabajo],"&lt;&gt;Cerrado",tblAvisos[Criticidad],"")</f>
        <v>0</v>
      </c>
      <c r="O8" s="903">
        <f>SUM(J8:N8)</f>
        <v>8</v>
      </c>
    </row>
    <row r="9" spans="2:15">
      <c r="B9" s="910" t="s">
        <v>2504</v>
      </c>
      <c r="C9" s="903">
        <f>COUNTIFS(tblAvisos[Área planta],$B9,tblAvisos[Estado trabajo],C$5)</f>
        <v>12</v>
      </c>
      <c r="D9" s="903">
        <f>COUNTIFS(tblAvisos[Área planta],$B9,tblAvisos[Estado trabajo],D$5)</f>
        <v>0</v>
      </c>
      <c r="E9" s="903">
        <f>COUNTIFS(tblAvisos[Área planta],$B9,tblAvisos[Estado trabajo],E$5)</f>
        <v>0</v>
      </c>
      <c r="F9" s="903">
        <f>COUNTIFS(tblAvisos[Área planta],$B9,tblAvisos[Estado trabajo],F$5)</f>
        <v>23</v>
      </c>
      <c r="G9" s="903">
        <f>SUM(C9:F9)</f>
        <v>35</v>
      </c>
      <c r="I9" s="910" t="s">
        <v>2504</v>
      </c>
      <c r="J9" s="903">
        <f>COUNTIFS(tblAvisos[Área planta],$I9,tblAvisos[Estado trabajo],"&lt;&gt;Cerrado",tblAvisos[Criticidad],J$5)</f>
        <v>0</v>
      </c>
      <c r="K9" s="903">
        <f>COUNTIFS(tblAvisos[Área planta],$I9,tblAvisos[Estado trabajo],"&lt;&gt;Cerrado",tblAvisos[Criticidad],K$5)</f>
        <v>9</v>
      </c>
      <c r="L9" s="903">
        <f>COUNTIFS(tblAvisos[Área planta],$I9,tblAvisos[Estado trabajo],"&lt;&gt;Cerrado",tblAvisos[Criticidad],L$5)</f>
        <v>1</v>
      </c>
      <c r="M9" s="903">
        <f>COUNTIFS(tblAvisos[Área planta],$I9,tblAvisos[Estado trabajo],"&lt;&gt;Cerrado",tblAvisos[Criticidad],M$5)</f>
        <v>2</v>
      </c>
      <c r="N9" s="903">
        <f>COUNTIFS(tblAvisos[Área planta],$I9,tblAvisos[Estado trabajo],"&lt;&gt;Cerrado",tblAvisos[Criticidad],"")</f>
        <v>0</v>
      </c>
      <c r="O9" s="903">
        <f>SUM(J9:N9)</f>
        <v>12</v>
      </c>
    </row>
    <row r="10" spans="2:15">
      <c r="B10" s="910" t="s">
        <v>41</v>
      </c>
      <c r="C10" s="903">
        <f>COUNTIFS(tblAvisos[Área planta],$B10,tblAvisos[Estado trabajo],C$5)</f>
        <v>71</v>
      </c>
      <c r="D10" s="903">
        <f>COUNTIFS(tblAvisos[Área planta],$B10,tblAvisos[Estado trabajo],D$5)</f>
        <v>0</v>
      </c>
      <c r="E10" s="903">
        <f>COUNTIFS(tblAvisos[Área planta],$B10,tblAvisos[Estado trabajo],E$5)</f>
        <v>0</v>
      </c>
      <c r="F10" s="903">
        <f>COUNTIFS(tblAvisos[Área planta],$B10,tblAvisos[Estado trabajo],F$5)</f>
        <v>4</v>
      </c>
      <c r="G10" s="903">
        <f>SUM(C10:F10)</f>
        <v>75</v>
      </c>
      <c r="I10" s="910" t="s">
        <v>41</v>
      </c>
      <c r="J10" s="903">
        <f>COUNTIFS(tblAvisos[Área planta],$I10,tblAvisos[Estado trabajo],"&lt;&gt;Cerrado",tblAvisos[Criticidad],J$5)</f>
        <v>2</v>
      </c>
      <c r="K10" s="903">
        <f>COUNTIFS(tblAvisos[Área planta],$I10,tblAvisos[Estado trabajo],"&lt;&gt;Cerrado",tblAvisos[Criticidad],K$5)</f>
        <v>27</v>
      </c>
      <c r="L10" s="903">
        <f>COUNTIFS(tblAvisos[Área planta],$I10,tblAvisos[Estado trabajo],"&lt;&gt;Cerrado",tblAvisos[Criticidad],L$5)</f>
        <v>34</v>
      </c>
      <c r="M10" s="903">
        <f>COUNTIFS(tblAvisos[Área planta],$I10,tblAvisos[Estado trabajo],"&lt;&gt;Cerrado",tblAvisos[Criticidad],M$5)</f>
        <v>6</v>
      </c>
      <c r="N10" s="903">
        <f>COUNTIFS(tblAvisos[Área planta],$I10,tblAvisos[Estado trabajo],"&lt;&gt;Cerrado",tblAvisos[Criticidad],"")</f>
        <v>2</v>
      </c>
      <c r="O10" s="903">
        <f>SUM(J10:N10)</f>
        <v>71</v>
      </c>
    </row>
    <row r="11" spans="2:15">
      <c r="B11" s="911" t="s">
        <v>55</v>
      </c>
      <c r="C11" s="904">
        <f>SUM(C6:C10)</f>
        <v>362</v>
      </c>
      <c r="D11" s="904">
        <f>SUM(D6:D10)</f>
        <v>0</v>
      </c>
      <c r="E11" s="904">
        <f>SUM(E6:E10)</f>
        <v>1</v>
      </c>
      <c r="F11" s="904">
        <f>SUM(F6:F10)</f>
        <v>123</v>
      </c>
      <c r="G11" s="904">
        <f>SUM(G6:G10)</f>
        <v>486</v>
      </c>
      <c r="I11" s="911" t="s">
        <v>55</v>
      </c>
      <c r="J11" s="904">
        <f t="shared" ref="J11:O11" si="0">SUM(J6:J10)</f>
        <v>37</v>
      </c>
      <c r="K11" s="904">
        <f t="shared" si="0"/>
        <v>114</v>
      </c>
      <c r="L11" s="904">
        <f t="shared" si="0"/>
        <v>118</v>
      </c>
      <c r="M11" s="904">
        <f t="shared" si="0"/>
        <v>8</v>
      </c>
      <c r="N11" s="904">
        <f t="shared" si="0"/>
        <v>86</v>
      </c>
      <c r="O11" s="904">
        <f t="shared" si="0"/>
        <v>363</v>
      </c>
    </row>
    <row r="12" spans="2:15">
      <c r="B12" s="852"/>
      <c r="C12" s="853"/>
      <c r="D12" s="853"/>
      <c r="E12" s="853"/>
      <c r="F12" s="853"/>
      <c r="G12" s="853"/>
      <c r="I12" s="852"/>
      <c r="J12" s="853"/>
      <c r="K12" s="853"/>
      <c r="L12" s="853"/>
      <c r="M12" s="853"/>
      <c r="N12" s="853"/>
      <c r="O12" s="853"/>
    </row>
    <row r="13" spans="2:15" ht="15.75">
      <c r="B13" s="912" t="s">
        <v>3216</v>
      </c>
      <c r="C13" s="852"/>
      <c r="D13" s="852"/>
      <c r="E13" s="852"/>
      <c r="F13" s="852"/>
      <c r="G13" s="852"/>
      <c r="H13" s="852"/>
      <c r="I13" s="912" t="s">
        <v>3222</v>
      </c>
      <c r="J13" s="853"/>
      <c r="K13" s="853"/>
      <c r="L13" s="853"/>
      <c r="M13" s="853"/>
      <c r="N13" s="853"/>
      <c r="O13" s="853"/>
    </row>
    <row r="14" spans="2:15" ht="45" customHeight="1">
      <c r="B14" s="909" t="s">
        <v>2500</v>
      </c>
      <c r="C14" s="902" t="s">
        <v>3217</v>
      </c>
      <c r="D14" s="902" t="s">
        <v>3218</v>
      </c>
      <c r="E14" s="902" t="s">
        <v>3219</v>
      </c>
      <c r="F14" s="902" t="s">
        <v>3220</v>
      </c>
      <c r="G14" s="902" t="s">
        <v>3221</v>
      </c>
      <c r="I14" s="909" t="s">
        <v>2469</v>
      </c>
      <c r="J14" s="902" t="s">
        <v>3223</v>
      </c>
      <c r="K14" s="853"/>
      <c r="L14" s="853"/>
      <c r="M14" s="853"/>
      <c r="N14" s="853"/>
      <c r="O14" s="853"/>
    </row>
    <row r="15" spans="2:15">
      <c r="B15" s="910" t="s">
        <v>2501</v>
      </c>
      <c r="C15" s="903">
        <f>COUNTIFS(tblAvisos[Área planta],$B15,tblAvisos[Estado trabajo],"&lt;&gt;Cerrado",tblAvisos[Condición equipo],"Parado")</f>
        <v>0</v>
      </c>
      <c r="D15" s="903">
        <f ca="1">COUNTIFS(tblAvisos[Área planta],$B15,tblAvisos[Días abierto],"&gt;90")</f>
        <v>0</v>
      </c>
      <c r="E15" s="905" t="str">
        <f ca="1">IFERROR(AVERAGEIFS(tblAvisos[Días abierto],tblAvisos[Área planta],$B15,tblAvisos[Días abierto],"&gt;=0"),"")</f>
        <v/>
      </c>
      <c r="F15" s="906">
        <f t="shared" ref="F15:F20" si="1">IFERROR(F6/G6,"")</f>
        <v>1</v>
      </c>
      <c r="G15" s="903">
        <f ca="1">COUNTIFS(tblAvisos[Área planta],$B15,tblAvisos[Control datos],"&lt;&gt;OK")</f>
        <v>71</v>
      </c>
      <c r="I15" s="910" t="s">
        <v>3224</v>
      </c>
      <c r="J15" s="905">
        <f ca="1">COUNTIFS(tblAvisos[Control datos],I15)</f>
        <v>190</v>
      </c>
      <c r="K15" s="853"/>
      <c r="L15" s="853"/>
      <c r="M15" s="853"/>
      <c r="N15" s="853"/>
      <c r="O15" s="853"/>
    </row>
    <row r="16" spans="2:15">
      <c r="B16" s="910" t="s">
        <v>2502</v>
      </c>
      <c r="C16" s="903">
        <f>COUNTIFS(tblAvisos[Área planta],$B16,tblAvisos[Estado trabajo],"&lt;&gt;Cerrado",tblAvisos[Condición equipo],"Parado")</f>
        <v>122</v>
      </c>
      <c r="D16" s="903">
        <f ca="1">COUNTIFS(tblAvisos[Área planta],$B16,tblAvisos[Días abierto],"&gt;90")</f>
        <v>76</v>
      </c>
      <c r="E16" s="905">
        <f ca="1">IFERROR(AVERAGEIFS(tblAvisos[Días abierto],tblAvisos[Área planta],$B16,tblAvisos[Días abierto],"&gt;=0"),"")</f>
        <v>285.67948717948718</v>
      </c>
      <c r="F16" s="906">
        <f t="shared" si="1"/>
        <v>7.2992700729927005E-3</v>
      </c>
      <c r="G16" s="903">
        <f ca="1">COUNTIFS(tblAvisos[Área planta],$B16,tblAvisos[Control datos],"&lt;&gt;OK")</f>
        <v>264</v>
      </c>
      <c r="I16" s="910" t="s">
        <v>3225</v>
      </c>
      <c r="J16" s="905">
        <f ca="1">COUNTIFS(tblAvisos[Control datos],I16)</f>
        <v>14</v>
      </c>
      <c r="K16" s="853"/>
      <c r="L16" s="853"/>
      <c r="M16" s="853"/>
      <c r="N16" s="853"/>
      <c r="O16" s="853"/>
    </row>
    <row r="17" spans="2:15">
      <c r="B17" s="910" t="s">
        <v>2503</v>
      </c>
      <c r="C17" s="903">
        <f>COUNTIFS(tblAvisos[Área planta],$B17,tblAvisos[Estado trabajo],"&lt;&gt;Cerrado",tblAvisos[Condición equipo],"Parado")</f>
        <v>0</v>
      </c>
      <c r="D17" s="903">
        <f ca="1">COUNTIFS(tblAvisos[Área planta],$B17,tblAvisos[Días abierto],"&gt;90")</f>
        <v>8</v>
      </c>
      <c r="E17" s="905">
        <f ca="1">IFERROR(AVERAGEIFS(tblAvisos[Días abierto],tblAvisos[Área planta],$B17,tblAvisos[Días abierto],"&gt;=0"),"")</f>
        <v>384.375</v>
      </c>
      <c r="F17" s="906">
        <f t="shared" si="1"/>
        <v>0.68</v>
      </c>
      <c r="G17" s="903">
        <f ca="1">COUNTIFS(tblAvisos[Área planta],$B17,tblAvisos[Control datos],"&lt;&gt;OK")</f>
        <v>15</v>
      </c>
      <c r="I17" s="910" t="s">
        <v>3226</v>
      </c>
      <c r="J17" s="905">
        <f ca="1">COUNTIFS(tblAvisos[Control datos],I17)</f>
        <v>152</v>
      </c>
      <c r="K17" s="853"/>
      <c r="L17" s="853"/>
      <c r="M17" s="853"/>
      <c r="N17" s="853"/>
      <c r="O17" s="853"/>
    </row>
    <row r="18" spans="2:15">
      <c r="B18" s="910" t="s">
        <v>2504</v>
      </c>
      <c r="C18" s="903">
        <f>COUNTIFS(tblAvisos[Área planta],$B18,tblAvisos[Estado trabajo],"&lt;&gt;Cerrado",tblAvisos[Condición equipo],"Parado")</f>
        <v>0</v>
      </c>
      <c r="D18" s="903">
        <f ca="1">COUNTIFS(tblAvisos[Área planta],$B18,tblAvisos[Días abierto],"&gt;90")</f>
        <v>12</v>
      </c>
      <c r="E18" s="905">
        <f ca="1">IFERROR(AVERAGEIFS(tblAvisos[Días abierto],tblAvisos[Área planta],$B18,tblAvisos[Días abierto],"&gt;=0"),"")</f>
        <v>398.58333333333331</v>
      </c>
      <c r="F18" s="906">
        <f t="shared" si="1"/>
        <v>0.65714285714285714</v>
      </c>
      <c r="G18" s="903">
        <f ca="1">COUNTIFS(tblAvisos[Área planta],$B18,tblAvisos[Control datos],"&lt;&gt;OK")</f>
        <v>0</v>
      </c>
      <c r="I18" s="910" t="s">
        <v>3214</v>
      </c>
      <c r="J18" s="905">
        <f ca="1">COUNTIFS(tblAvisos[Control datos],I18)</f>
        <v>6</v>
      </c>
      <c r="K18" s="853"/>
      <c r="L18" s="853"/>
      <c r="M18" s="853"/>
      <c r="N18" s="853"/>
      <c r="O18" s="853"/>
    </row>
    <row r="19" spans="2:15">
      <c r="B19" s="910" t="s">
        <v>41</v>
      </c>
      <c r="C19" s="903">
        <f>COUNTIFS(tblAvisos[Área planta],$B19,tblAvisos[Estado trabajo],"&lt;&gt;Cerrado",tblAvisos[Condición equipo],"Parado")</f>
        <v>0</v>
      </c>
      <c r="D19" s="903">
        <f ca="1">COUNTIFS(tblAvisos[Área planta],$B19,tblAvisos[Días abierto],"&gt;90")</f>
        <v>63</v>
      </c>
      <c r="E19" s="905">
        <f ca="1">IFERROR(AVERAGEIFS(tblAvisos[Días abierto],tblAvisos[Área planta],$B19,tblAvisos[Días abierto],"&gt;=0"),"")</f>
        <v>301.85714285714283</v>
      </c>
      <c r="F19" s="906">
        <f t="shared" si="1"/>
        <v>5.3333333333333337E-2</v>
      </c>
      <c r="G19" s="903">
        <f ca="1">COUNTIFS(tblAvisos[Área planta],$B19,tblAvisos[Control datos],"&lt;&gt;OK")</f>
        <v>12</v>
      </c>
      <c r="I19" s="910" t="s">
        <v>3229</v>
      </c>
      <c r="J19" s="905">
        <f ca="1">COUNTIFS(tblAvisos[Control datos],I19)</f>
        <v>0</v>
      </c>
      <c r="K19" s="853"/>
      <c r="L19" s="853"/>
      <c r="M19" s="853"/>
      <c r="N19" s="853"/>
      <c r="O19" s="853"/>
    </row>
    <row r="20" spans="2:15">
      <c r="B20" s="911" t="s">
        <v>55</v>
      </c>
      <c r="C20" s="904">
        <f>SUM(C15:C19)</f>
        <v>122</v>
      </c>
      <c r="D20" s="904">
        <f ca="1">SUM(D15:D19)</f>
        <v>159</v>
      </c>
      <c r="E20" s="907">
        <f ca="1">IFERROR(AVERAGEIFS(tblAvisos[Días abierto],tblAvisos[Días abierto],"&gt;=0"),"")</f>
        <v>305.32919254658384</v>
      </c>
      <c r="F20" s="908">
        <f t="shared" si="1"/>
        <v>0.25308641975308643</v>
      </c>
      <c r="G20" s="904">
        <f ca="1">SUM(G15:G19)</f>
        <v>362</v>
      </c>
      <c r="I20" s="910" t="s">
        <v>3227</v>
      </c>
      <c r="J20" s="905">
        <f ca="1">COUNTIFS(tblAvisos[Control datos],I20)</f>
        <v>124</v>
      </c>
      <c r="K20" s="853"/>
      <c r="L20" s="853"/>
      <c r="M20" s="853"/>
      <c r="N20" s="853"/>
      <c r="O20" s="853"/>
    </row>
    <row r="21" spans="2:15">
      <c r="I21" s="911" t="s">
        <v>55</v>
      </c>
      <c r="J21" s="907">
        <f ca="1">SUM(J15:J20)</f>
        <v>486</v>
      </c>
    </row>
  </sheetData>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Resumen Avisos — Página &amp;P de &amp;F</oddFooter>
  </headerFooter>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338F6-AA07-44B5-A54B-4592C95DECA1}">
  <sheetPr codeName="Hoja15">
    <tabColor rgb="FFBF8F00"/>
    <pageSetUpPr fitToPage="1"/>
  </sheetPr>
  <dimension ref="B1:O497"/>
  <sheetViews>
    <sheetView showGridLines="0" workbookViewId="0">
      <pane ySplit="10" topLeftCell="A44" activePane="bottomLeft" state="frozen"/>
      <selection pane="bottomLeft" activeCell="D35" sqref="D35"/>
    </sheetView>
  </sheetViews>
  <sheetFormatPr baseColWidth="10" defaultRowHeight="15"/>
  <cols>
    <col min="1" max="1" width="2.85546875" customWidth="1"/>
    <col min="2" max="2" width="15.28515625" customWidth="1"/>
    <col min="3" max="3" width="7.5703125" customWidth="1"/>
    <col min="4" max="4" width="16.140625" customWidth="1"/>
    <col min="5" max="7" width="14.28515625" customWidth="1"/>
    <col min="8" max="8" width="21" customWidth="1"/>
    <col min="10" max="10" width="18.140625" customWidth="1"/>
    <col min="11" max="12" width="15.28515625" customWidth="1"/>
    <col min="13" max="13" width="49.5703125" customWidth="1"/>
  </cols>
  <sheetData>
    <row r="1" spans="2:15" ht="18.75">
      <c r="B1" s="948" t="s">
        <v>9355</v>
      </c>
    </row>
    <row r="2" spans="2:15">
      <c r="B2" s="949" t="s">
        <v>9356</v>
      </c>
    </row>
    <row r="4" spans="2:15">
      <c r="B4" s="980" t="s">
        <v>9364</v>
      </c>
      <c r="E4" s="212" t="str">
        <f>CFG_MES_TXT</f>
        <v>Setiembre 2026</v>
      </c>
      <c r="G4" s="980" t="s">
        <v>9560</v>
      </c>
      <c r="K4" s="995">
        <f>SUMIFS(tblDias[Horas de parada],tblDias[Fecha],"&gt;="&amp;CFG_MES,tblDias[Fecha],"&lt;="&amp;CFG_FIN_MES)</f>
        <v>113.64999999999999</v>
      </c>
    </row>
    <row r="5" spans="2:15">
      <c r="B5" s="980" t="s">
        <v>9365</v>
      </c>
      <c r="E5" s="212">
        <f ca="1">COUNTIFS(tblDias[Fecha],"&gt;="&amp;CFG_MES,tblDias[Fecha],"&lt;="&amp;CFG_FIN_MES,tblDias[Semáforo concentrado],"Completo")</f>
        <v>28</v>
      </c>
      <c r="G5" s="980" t="s">
        <v>9561</v>
      </c>
      <c r="K5" s="212">
        <f>COUNTIFS(tblDias[Fecha],"&gt;="&amp;CFG_MES,tblDias[Fecha],"&lt;="&amp;CFG_FIN_MES,tblDias[Filas controles],"&gt;0")</f>
        <v>29</v>
      </c>
    </row>
    <row r="6" spans="2:15">
      <c r="B6" s="980" t="s">
        <v>9366</v>
      </c>
      <c r="E6" s="212">
        <f ca="1">COUNTIFS(tblDias[Fecha],"&gt;="&amp;CFG_MES,tblDias[Fecha],"&lt;="&amp;CFG_FIN_MES,tblDias[Semáforo concentrado],"Parcial")</f>
        <v>2</v>
      </c>
    </row>
    <row r="7" spans="2:15">
      <c r="B7" s="980" t="s">
        <v>9367</v>
      </c>
      <c r="E7" s="212">
        <f ca="1">COUNTIFS(tblDias[Fecha],"&gt;="&amp;CFG_MES,tblDias[Fecha],"&lt;="&amp;CFG_FIN_MES,tblDias[Semáforo concentrado],"Sin datos")</f>
        <v>0</v>
      </c>
    </row>
    <row r="8" spans="2:15">
      <c r="B8" s="980" t="s">
        <v>9368</v>
      </c>
      <c r="E8" s="212">
        <f>COUNTIFS(tblDias[Fecha],"&gt;="&amp;CFG_MES,tblDias[Fecha],"&lt;="&amp;CFG_FIN_MES,tblDias[Estado],"&lt;&gt;Abierto")</f>
        <v>2</v>
      </c>
    </row>
    <row r="10" spans="2:15" ht="32.1" customHeight="1">
      <c r="B10" s="977" t="s">
        <v>3</v>
      </c>
      <c r="C10" s="977" t="s">
        <v>31</v>
      </c>
      <c r="D10" s="977" t="s">
        <v>384</v>
      </c>
      <c r="E10" s="977" t="s">
        <v>9357</v>
      </c>
      <c r="F10" s="977" t="s">
        <v>9358</v>
      </c>
      <c r="G10" s="977" t="s">
        <v>9359</v>
      </c>
      <c r="H10" s="977" t="s">
        <v>9360</v>
      </c>
      <c r="I10" s="977" t="s">
        <v>9361</v>
      </c>
      <c r="J10" s="977" t="s">
        <v>9362</v>
      </c>
      <c r="K10" s="977" t="s">
        <v>9558</v>
      </c>
      <c r="L10" s="977" t="s">
        <v>9559</v>
      </c>
      <c r="M10" s="977" t="s">
        <v>9363</v>
      </c>
      <c r="N10" s="977" t="s">
        <v>2518</v>
      </c>
      <c r="O10" s="977" t="s">
        <v>2435</v>
      </c>
    </row>
    <row r="11" spans="2:15">
      <c r="B11" s="953">
        <v>46266</v>
      </c>
      <c r="C11" t="str">
        <f>CHOOSE(WEEKDAY(tblDias[[#This Row],[Fecha]],2),"lun","mar","mié","jue","vie","sáb","dom")</f>
        <v>mar</v>
      </c>
      <c r="D11" s="955" t="s">
        <v>2512</v>
      </c>
      <c r="E11">
        <f>COUNTIFS(tblConcentrado[Fecha],tblDias[[#This Row],[Fecha]])</f>
        <v>24</v>
      </c>
      <c r="F11">
        <f t="shared" ref="F11:F74" si="0">CFG_HORAS</f>
        <v>24</v>
      </c>
      <c r="G11" s="979">
        <f>IF(tblDias[[#This Row],[Horas esperadas]]=0,0,tblDias[[#This Row],[Horas cargadas]]/tblDias[[#This Row],[Horas esperadas]])</f>
        <v>1</v>
      </c>
      <c r="H11" t="str">
        <f ca="1">IF(tblDias[[#This Row],[Fecha]]&gt;TODAY(),"Pendiente",IF(tblDias[[#This Row],[Horas cargadas]]=0,"Sin datos",IF(tblDias[[#This Row],[Horas cargadas]]&lt;tblDias[[#This Row],[Horas esperadas]],"Parcial","Completo")))</f>
        <v>Completo</v>
      </c>
      <c r="I11">
        <f>COUNTIFS(tblRDO[Fecha],tblDias[[#This Row],[Fecha]])</f>
        <v>216</v>
      </c>
      <c r="J11" t="str">
        <f ca="1">IF(tblDias[[#This Row],[Fecha]]&gt;TODAY(),"Pendiente",IF(tblDias[[#This Row],[Filas RDO]]=0,"Sin RDO","Cargado"))</f>
        <v>Cargado</v>
      </c>
      <c r="K11" s="993">
        <f>COUNTIFS(tblControles[Fecha],tblDias[[#This Row],[Fecha]],tblControles[Turno],"&lt;&gt;Obs")</f>
        <v>83</v>
      </c>
      <c r="L11" s="994">
        <f>SUMIFS(tblParadas[Horas perdidas],tblParadas[Fecha],tblDias[[#This Row],[Fecha]])</f>
        <v>0</v>
      </c>
      <c r="M11" s="955" t="s">
        <v>9842</v>
      </c>
      <c r="N11" s="953">
        <v>46295.734178240738</v>
      </c>
      <c r="O11" s="955"/>
    </row>
    <row r="12" spans="2:15">
      <c r="B12" s="953">
        <v>46267</v>
      </c>
      <c r="C12" t="str">
        <f>CHOOSE(WEEKDAY(tblDias[[#This Row],[Fecha]],2),"lun","mar","mié","jue","vie","sáb","dom")</f>
        <v>mié</v>
      </c>
      <c r="D12" s="955" t="s">
        <v>9256</v>
      </c>
      <c r="E12">
        <f>COUNTIFS(tblConcentrado[Fecha],tblDias[[#This Row],[Fecha]])</f>
        <v>24</v>
      </c>
      <c r="F12">
        <f t="shared" si="0"/>
        <v>24</v>
      </c>
      <c r="G12" s="979">
        <f>IF(tblDias[[#This Row],[Horas esperadas]]=0,0,tblDias[[#This Row],[Horas cargadas]]/tblDias[[#This Row],[Horas esperadas]])</f>
        <v>1</v>
      </c>
      <c r="H12" t="str">
        <f ca="1">IF(tblDias[[#This Row],[Fecha]]&gt;TODAY(),"Pendiente",IF(tblDias[[#This Row],[Horas cargadas]]=0,"Sin datos",IF(tblDias[[#This Row],[Horas cargadas]]&lt;tblDias[[#This Row],[Horas esperadas]],"Parcial","Completo")))</f>
        <v>Completo</v>
      </c>
      <c r="I12">
        <f>COUNTIFS(tblRDO[Fecha],tblDias[[#This Row],[Fecha]])</f>
        <v>216</v>
      </c>
      <c r="J12" t="str">
        <f ca="1">IF(tblDias[[#This Row],[Fecha]]&gt;TODAY(),"Pendiente",IF(tblDias[[#This Row],[Filas RDO]]=0,"Sin RDO","Cargado"))</f>
        <v>Cargado</v>
      </c>
      <c r="K12" s="993">
        <f>COUNTIFS(tblControles[Fecha],tblDias[[#This Row],[Fecha]],tblControles[Turno],"&lt;&gt;Obs")</f>
        <v>72</v>
      </c>
      <c r="L12" s="994">
        <f>SUMIFS(tblParadas[Horas perdidas],tblParadas[Fecha],tblDias[[#This Row],[Fecha]])</f>
        <v>0</v>
      </c>
      <c r="M12" s="955"/>
      <c r="N12" s="953"/>
      <c r="O12" s="955"/>
    </row>
    <row r="13" spans="2:15">
      <c r="B13" s="953">
        <v>46268</v>
      </c>
      <c r="C13" t="str">
        <f>CHOOSE(WEEKDAY(tblDias[[#This Row],[Fecha]],2),"lun","mar","mié","jue","vie","sáb","dom")</f>
        <v>jue</v>
      </c>
      <c r="D13" s="955" t="s">
        <v>9256</v>
      </c>
      <c r="E13">
        <f>COUNTIFS(tblConcentrado[Fecha],tblDias[[#This Row],[Fecha]])</f>
        <v>24</v>
      </c>
      <c r="F13">
        <f t="shared" si="0"/>
        <v>24</v>
      </c>
      <c r="G13" s="979">
        <f>IF(tblDias[[#This Row],[Horas esperadas]]=0,0,tblDias[[#This Row],[Horas cargadas]]/tblDias[[#This Row],[Horas esperadas]])</f>
        <v>1</v>
      </c>
      <c r="H13" t="str">
        <f ca="1">IF(tblDias[[#This Row],[Fecha]]&gt;TODAY(),"Pendiente",IF(tblDias[[#This Row],[Horas cargadas]]=0,"Sin datos",IF(tblDias[[#This Row],[Horas cargadas]]&lt;tblDias[[#This Row],[Horas esperadas]],"Parcial","Completo")))</f>
        <v>Completo</v>
      </c>
      <c r="I13">
        <f>COUNTIFS(tblRDO[Fecha],tblDias[[#This Row],[Fecha]])</f>
        <v>216</v>
      </c>
      <c r="J13" t="str">
        <f ca="1">IF(tblDias[[#This Row],[Fecha]]&gt;TODAY(),"Pendiente",IF(tblDias[[#This Row],[Filas RDO]]=0,"Sin RDO","Cargado"))</f>
        <v>Cargado</v>
      </c>
      <c r="K13" s="993">
        <f>COUNTIFS(tblControles[Fecha],tblDias[[#This Row],[Fecha]],tblControles[Turno],"&lt;&gt;Obs")</f>
        <v>83</v>
      </c>
      <c r="L13" s="994">
        <f>SUMIFS(tblParadas[Horas perdidas],tblParadas[Fecha],tblDias[[#This Row],[Fecha]])</f>
        <v>8.8800000000000008</v>
      </c>
      <c r="M13" s="955"/>
      <c r="N13" s="953"/>
      <c r="O13" s="955"/>
    </row>
    <row r="14" spans="2:15">
      <c r="B14" s="953">
        <v>46269</v>
      </c>
      <c r="C14" t="str">
        <f>CHOOSE(WEEKDAY(tblDias[[#This Row],[Fecha]],2),"lun","mar","mié","jue","vie","sáb","dom")</f>
        <v>vie</v>
      </c>
      <c r="D14" s="955" t="s">
        <v>9256</v>
      </c>
      <c r="E14">
        <f>COUNTIFS(tblConcentrado[Fecha],tblDias[[#This Row],[Fecha]])</f>
        <v>24</v>
      </c>
      <c r="F14">
        <f t="shared" si="0"/>
        <v>24</v>
      </c>
      <c r="G14" s="979">
        <f>IF(tblDias[[#This Row],[Horas esperadas]]=0,0,tblDias[[#This Row],[Horas cargadas]]/tblDias[[#This Row],[Horas esperadas]])</f>
        <v>1</v>
      </c>
      <c r="H14" t="str">
        <f ca="1">IF(tblDias[[#This Row],[Fecha]]&gt;TODAY(),"Pendiente",IF(tblDias[[#This Row],[Horas cargadas]]=0,"Sin datos",IF(tblDias[[#This Row],[Horas cargadas]]&lt;tblDias[[#This Row],[Horas esperadas]],"Parcial","Completo")))</f>
        <v>Completo</v>
      </c>
      <c r="I14">
        <f>COUNTIFS(tblRDO[Fecha],tblDias[[#This Row],[Fecha]])</f>
        <v>216</v>
      </c>
      <c r="J14" t="str">
        <f ca="1">IF(tblDias[[#This Row],[Fecha]]&gt;TODAY(),"Pendiente",IF(tblDias[[#This Row],[Filas RDO]]=0,"Sin RDO","Cargado"))</f>
        <v>Cargado</v>
      </c>
      <c r="K14" s="993">
        <f>COUNTIFS(tblControles[Fecha],tblDias[[#This Row],[Fecha]],tblControles[Turno],"&lt;&gt;Obs")</f>
        <v>81</v>
      </c>
      <c r="L14" s="994">
        <f>SUMIFS(tblParadas[Horas perdidas],tblParadas[Fecha],tblDias[[#This Row],[Fecha]])</f>
        <v>0.95</v>
      </c>
      <c r="M14" s="955"/>
      <c r="N14" s="953"/>
      <c r="O14" s="955"/>
    </row>
    <row r="15" spans="2:15">
      <c r="B15" s="953">
        <v>46270</v>
      </c>
      <c r="C15" t="str">
        <f>CHOOSE(WEEKDAY(tblDias[[#This Row],[Fecha]],2),"lun","mar","mié","jue","vie","sáb","dom")</f>
        <v>sáb</v>
      </c>
      <c r="D15" s="955" t="s">
        <v>9256</v>
      </c>
      <c r="E15">
        <f>COUNTIFS(tblConcentrado[Fecha],tblDias[[#This Row],[Fecha]])</f>
        <v>24</v>
      </c>
      <c r="F15">
        <f t="shared" si="0"/>
        <v>24</v>
      </c>
      <c r="G15" s="979">
        <f>IF(tblDias[[#This Row],[Horas esperadas]]=0,0,tblDias[[#This Row],[Horas cargadas]]/tblDias[[#This Row],[Horas esperadas]])</f>
        <v>1</v>
      </c>
      <c r="H15" t="str">
        <f ca="1">IF(tblDias[[#This Row],[Fecha]]&gt;TODAY(),"Pendiente",IF(tblDias[[#This Row],[Horas cargadas]]=0,"Sin datos",IF(tblDias[[#This Row],[Horas cargadas]]&lt;tblDias[[#This Row],[Horas esperadas]],"Parcial","Completo")))</f>
        <v>Completo</v>
      </c>
      <c r="I15">
        <f>COUNTIFS(tblRDO[Fecha],tblDias[[#This Row],[Fecha]])</f>
        <v>216</v>
      </c>
      <c r="J15" t="str">
        <f ca="1">IF(tblDias[[#This Row],[Fecha]]&gt;TODAY(),"Pendiente",IF(tblDias[[#This Row],[Filas RDO]]=0,"Sin RDO","Cargado"))</f>
        <v>Cargado</v>
      </c>
      <c r="K15" s="993">
        <f>COUNTIFS(tblControles[Fecha],tblDias[[#This Row],[Fecha]],tblControles[Turno],"&lt;&gt;Obs")</f>
        <v>82</v>
      </c>
      <c r="L15" s="994">
        <f>SUMIFS(tblParadas[Horas perdidas],tblParadas[Fecha],tblDias[[#This Row],[Fecha]])</f>
        <v>0</v>
      </c>
      <c r="M15" s="955"/>
      <c r="N15" s="953"/>
      <c r="O15" s="955"/>
    </row>
    <row r="16" spans="2:15">
      <c r="B16" s="953">
        <v>46271</v>
      </c>
      <c r="C16" t="str">
        <f>CHOOSE(WEEKDAY(tblDias[[#This Row],[Fecha]],2),"lun","mar","mié","jue","vie","sáb","dom")</f>
        <v>dom</v>
      </c>
      <c r="D16" s="955" t="s">
        <v>2512</v>
      </c>
      <c r="E16">
        <f>COUNTIFS(tblConcentrado[Fecha],tblDias[[#This Row],[Fecha]])</f>
        <v>24</v>
      </c>
      <c r="F16">
        <f t="shared" si="0"/>
        <v>24</v>
      </c>
      <c r="G16" s="979">
        <f>IF(tblDias[[#This Row],[Horas esperadas]]=0,0,tblDias[[#This Row],[Horas cargadas]]/tblDias[[#This Row],[Horas esperadas]])</f>
        <v>1</v>
      </c>
      <c r="H16" t="str">
        <f ca="1">IF(tblDias[[#This Row],[Fecha]]&gt;TODAY(),"Pendiente",IF(tblDias[[#This Row],[Horas cargadas]]=0,"Sin datos",IF(tblDias[[#This Row],[Horas cargadas]]&lt;tblDias[[#This Row],[Horas esperadas]],"Parcial","Completo")))</f>
        <v>Completo</v>
      </c>
      <c r="I16">
        <f>COUNTIFS(tblRDO[Fecha],tblDias[[#This Row],[Fecha]])</f>
        <v>216</v>
      </c>
      <c r="J16" t="str">
        <f ca="1">IF(tblDias[[#This Row],[Fecha]]&gt;TODAY(),"Pendiente",IF(tblDias[[#This Row],[Filas RDO]]=0,"Sin RDO","Cargado"))</f>
        <v>Cargado</v>
      </c>
      <c r="K16" s="993">
        <f>COUNTIFS(tblControles[Fecha],tblDias[[#This Row],[Fecha]],tblControles[Turno],"&lt;&gt;Obs")</f>
        <v>65</v>
      </c>
      <c r="L16" s="994">
        <f>SUMIFS(tblParadas[Horas perdidas],tblParadas[Fecha],tblDias[[#This Row],[Fecha]])</f>
        <v>1.52</v>
      </c>
      <c r="M16" s="955" t="s">
        <v>9842</v>
      </c>
      <c r="N16" s="953">
        <v>46293.828275462962</v>
      </c>
      <c r="O16" s="955"/>
    </row>
    <row r="17" spans="2:15">
      <c r="B17" s="953">
        <v>46272</v>
      </c>
      <c r="C17" t="str">
        <f>CHOOSE(WEEKDAY(tblDias[[#This Row],[Fecha]],2),"lun","mar","mié","jue","vie","sáb","dom")</f>
        <v>lun</v>
      </c>
      <c r="D17" s="955" t="s">
        <v>9256</v>
      </c>
      <c r="E17">
        <f>COUNTIFS(tblConcentrado[Fecha],tblDias[[#This Row],[Fecha]])</f>
        <v>24</v>
      </c>
      <c r="F17">
        <f t="shared" si="0"/>
        <v>24</v>
      </c>
      <c r="G17" s="979">
        <f>IF(tblDias[[#This Row],[Horas esperadas]]=0,0,tblDias[[#This Row],[Horas cargadas]]/tblDias[[#This Row],[Horas esperadas]])</f>
        <v>1</v>
      </c>
      <c r="H17" t="str">
        <f ca="1">IF(tblDias[[#This Row],[Fecha]]&gt;TODAY(),"Pendiente",IF(tblDias[[#This Row],[Horas cargadas]]=0,"Sin datos",IF(tblDias[[#This Row],[Horas cargadas]]&lt;tblDias[[#This Row],[Horas esperadas]],"Parcial","Completo")))</f>
        <v>Completo</v>
      </c>
      <c r="I17">
        <f>COUNTIFS(tblRDO[Fecha],tblDias[[#This Row],[Fecha]])</f>
        <v>216</v>
      </c>
      <c r="J17" t="str">
        <f ca="1">IF(tblDias[[#This Row],[Fecha]]&gt;TODAY(),"Pendiente",IF(tblDias[[#This Row],[Filas RDO]]=0,"Sin RDO","Cargado"))</f>
        <v>Cargado</v>
      </c>
      <c r="K17" s="993">
        <f>COUNTIFS(tblControles[Fecha],tblDias[[#This Row],[Fecha]],tblControles[Turno],"&lt;&gt;Obs")</f>
        <v>70</v>
      </c>
      <c r="L17" s="994">
        <f>SUMIFS(tblParadas[Horas perdidas],tblParadas[Fecha],tblDias[[#This Row],[Fecha]])</f>
        <v>2</v>
      </c>
      <c r="M17" s="955"/>
      <c r="N17" s="953"/>
      <c r="O17" s="955"/>
    </row>
    <row r="18" spans="2:15">
      <c r="B18" s="953">
        <v>46273</v>
      </c>
      <c r="C18" t="str">
        <f>CHOOSE(WEEKDAY(tblDias[[#This Row],[Fecha]],2),"lun","mar","mié","jue","vie","sáb","dom")</f>
        <v>mar</v>
      </c>
      <c r="D18" s="955" t="s">
        <v>9256</v>
      </c>
      <c r="E18">
        <f>COUNTIFS(tblConcentrado[Fecha],tblDias[[#This Row],[Fecha]])</f>
        <v>24</v>
      </c>
      <c r="F18">
        <f t="shared" si="0"/>
        <v>24</v>
      </c>
      <c r="G18" s="979">
        <f>IF(tblDias[[#This Row],[Horas esperadas]]=0,0,tblDias[[#This Row],[Horas cargadas]]/tblDias[[#This Row],[Horas esperadas]])</f>
        <v>1</v>
      </c>
      <c r="H18" t="str">
        <f ca="1">IF(tblDias[[#This Row],[Fecha]]&gt;TODAY(),"Pendiente",IF(tblDias[[#This Row],[Horas cargadas]]=0,"Sin datos",IF(tblDias[[#This Row],[Horas cargadas]]&lt;tblDias[[#This Row],[Horas esperadas]],"Parcial","Completo")))</f>
        <v>Completo</v>
      </c>
      <c r="I18">
        <f>COUNTIFS(tblRDO[Fecha],tblDias[[#This Row],[Fecha]])</f>
        <v>216</v>
      </c>
      <c r="J18" t="str">
        <f ca="1">IF(tblDias[[#This Row],[Fecha]]&gt;TODAY(),"Pendiente",IF(tblDias[[#This Row],[Filas RDO]]=0,"Sin RDO","Cargado"))</f>
        <v>Cargado</v>
      </c>
      <c r="K18" s="993">
        <f>COUNTIFS(tblControles[Fecha],tblDias[[#This Row],[Fecha]],tblControles[Turno],"&lt;&gt;Obs")</f>
        <v>71</v>
      </c>
      <c r="L18" s="994">
        <f>SUMIFS(tblParadas[Horas perdidas],tblParadas[Fecha],tblDias[[#This Row],[Fecha]])</f>
        <v>4.91</v>
      </c>
      <c r="M18" s="955"/>
      <c r="N18" s="953"/>
      <c r="O18" s="955"/>
    </row>
    <row r="19" spans="2:15">
      <c r="B19" s="953">
        <v>46274</v>
      </c>
      <c r="C19" t="str">
        <f>CHOOSE(WEEKDAY(tblDias[[#This Row],[Fecha]],2),"lun","mar","mié","jue","vie","sáb","dom")</f>
        <v>mié</v>
      </c>
      <c r="D19" s="955" t="s">
        <v>9256</v>
      </c>
      <c r="E19">
        <f>COUNTIFS(tblConcentrado[Fecha],tblDias[[#This Row],[Fecha]])</f>
        <v>24</v>
      </c>
      <c r="F19">
        <f t="shared" si="0"/>
        <v>24</v>
      </c>
      <c r="G19" s="979">
        <f>IF(tblDias[[#This Row],[Horas esperadas]]=0,0,tblDias[[#This Row],[Horas cargadas]]/tblDias[[#This Row],[Horas esperadas]])</f>
        <v>1</v>
      </c>
      <c r="H19" t="str">
        <f ca="1">IF(tblDias[[#This Row],[Fecha]]&gt;TODAY(),"Pendiente",IF(tblDias[[#This Row],[Horas cargadas]]=0,"Sin datos",IF(tblDias[[#This Row],[Horas cargadas]]&lt;tblDias[[#This Row],[Horas esperadas]],"Parcial","Completo")))</f>
        <v>Completo</v>
      </c>
      <c r="I19">
        <f>COUNTIFS(tblRDO[Fecha],tblDias[[#This Row],[Fecha]])</f>
        <v>219</v>
      </c>
      <c r="J19" t="str">
        <f ca="1">IF(tblDias[[#This Row],[Fecha]]&gt;TODAY(),"Pendiente",IF(tblDias[[#This Row],[Filas RDO]]=0,"Sin RDO","Cargado"))</f>
        <v>Cargado</v>
      </c>
      <c r="K19" s="993">
        <f>COUNTIFS(tblControles[Fecha],tblDias[[#This Row],[Fecha]],tblControles[Turno],"&lt;&gt;Obs")</f>
        <v>84</v>
      </c>
      <c r="L19" s="994">
        <f>SUMIFS(tblParadas[Horas perdidas],tblParadas[Fecha],tblDias[[#This Row],[Fecha]])</f>
        <v>0.7</v>
      </c>
      <c r="M19" s="955"/>
      <c r="N19" s="953"/>
      <c r="O19" s="955"/>
    </row>
    <row r="20" spans="2:15">
      <c r="B20" s="953">
        <v>46275</v>
      </c>
      <c r="C20" t="str">
        <f>CHOOSE(WEEKDAY(tblDias[[#This Row],[Fecha]],2),"lun","mar","mié","jue","vie","sáb","dom")</f>
        <v>jue</v>
      </c>
      <c r="D20" s="955" t="s">
        <v>9256</v>
      </c>
      <c r="E20">
        <f>COUNTIFS(tblConcentrado[Fecha],tblDias[[#This Row],[Fecha]])</f>
        <v>24</v>
      </c>
      <c r="F20">
        <f t="shared" si="0"/>
        <v>24</v>
      </c>
      <c r="G20" s="979">
        <f>IF(tblDias[[#This Row],[Horas esperadas]]=0,0,tblDias[[#This Row],[Horas cargadas]]/tblDias[[#This Row],[Horas esperadas]])</f>
        <v>1</v>
      </c>
      <c r="H20" t="str">
        <f ca="1">IF(tblDias[[#This Row],[Fecha]]&gt;TODAY(),"Pendiente",IF(tblDias[[#This Row],[Horas cargadas]]=0,"Sin datos",IF(tblDias[[#This Row],[Horas cargadas]]&lt;tblDias[[#This Row],[Horas esperadas]],"Parcial","Completo")))</f>
        <v>Completo</v>
      </c>
      <c r="I20">
        <f>COUNTIFS(tblRDO[Fecha],tblDias[[#This Row],[Fecha]])</f>
        <v>219</v>
      </c>
      <c r="J20" t="str">
        <f ca="1">IF(tblDias[[#This Row],[Fecha]]&gt;TODAY(),"Pendiente",IF(tblDias[[#This Row],[Filas RDO]]=0,"Sin RDO","Cargado"))</f>
        <v>Cargado</v>
      </c>
      <c r="K20" s="993">
        <f>COUNTIFS(tblControles[Fecha],tblDias[[#This Row],[Fecha]],tblControles[Turno],"&lt;&gt;Obs")</f>
        <v>112</v>
      </c>
      <c r="L20" s="994">
        <f>SUMIFS(tblParadas[Horas perdidas],tblParadas[Fecha],tblDias[[#This Row],[Fecha]])</f>
        <v>0.1</v>
      </c>
      <c r="M20" s="955"/>
      <c r="N20" s="953"/>
      <c r="O20" s="955"/>
    </row>
    <row r="21" spans="2:15">
      <c r="B21" s="953">
        <v>46276</v>
      </c>
      <c r="C21" t="str">
        <f>CHOOSE(WEEKDAY(tblDias[[#This Row],[Fecha]],2),"lun","mar","mié","jue","vie","sáb","dom")</f>
        <v>vie</v>
      </c>
      <c r="D21" s="955" t="s">
        <v>9256</v>
      </c>
      <c r="E21">
        <f>COUNTIFS(tblConcentrado[Fecha],tblDias[[#This Row],[Fecha]])</f>
        <v>24</v>
      </c>
      <c r="F21">
        <f t="shared" si="0"/>
        <v>24</v>
      </c>
      <c r="G21" s="979">
        <f>IF(tblDias[[#This Row],[Horas esperadas]]=0,0,tblDias[[#This Row],[Horas cargadas]]/tblDias[[#This Row],[Horas esperadas]])</f>
        <v>1</v>
      </c>
      <c r="H21" t="str">
        <f ca="1">IF(tblDias[[#This Row],[Fecha]]&gt;TODAY(),"Pendiente",IF(tblDias[[#This Row],[Horas cargadas]]=0,"Sin datos",IF(tblDias[[#This Row],[Horas cargadas]]&lt;tblDias[[#This Row],[Horas esperadas]],"Parcial","Completo")))</f>
        <v>Completo</v>
      </c>
      <c r="I21">
        <f>COUNTIFS(tblRDO[Fecha],tblDias[[#This Row],[Fecha]])</f>
        <v>219</v>
      </c>
      <c r="J21" t="str">
        <f ca="1">IF(tblDias[[#This Row],[Fecha]]&gt;TODAY(),"Pendiente",IF(tblDias[[#This Row],[Filas RDO]]=0,"Sin RDO","Cargado"))</f>
        <v>Cargado</v>
      </c>
      <c r="K21" s="993">
        <f>COUNTIFS(tblControles[Fecha],tblDias[[#This Row],[Fecha]],tblControles[Turno],"&lt;&gt;Obs")</f>
        <v>102</v>
      </c>
      <c r="L21" s="994">
        <f>SUMIFS(tblParadas[Horas perdidas],tblParadas[Fecha],tblDias[[#This Row],[Fecha]])</f>
        <v>2.66</v>
      </c>
      <c r="M21" s="955"/>
      <c r="N21" s="953"/>
      <c r="O21" s="955"/>
    </row>
    <row r="22" spans="2:15">
      <c r="B22" s="953">
        <v>46277</v>
      </c>
      <c r="C22" t="str">
        <f>CHOOSE(WEEKDAY(tblDias[[#This Row],[Fecha]],2),"lun","mar","mié","jue","vie","sáb","dom")</f>
        <v>sáb</v>
      </c>
      <c r="D22" s="955" t="s">
        <v>9256</v>
      </c>
      <c r="E22">
        <f>COUNTIFS(tblConcentrado[Fecha],tblDias[[#This Row],[Fecha]])</f>
        <v>14</v>
      </c>
      <c r="F22">
        <f t="shared" si="0"/>
        <v>24</v>
      </c>
      <c r="G22" s="979">
        <f>IF(tblDias[[#This Row],[Horas esperadas]]=0,0,tblDias[[#This Row],[Horas cargadas]]/tblDias[[#This Row],[Horas esperadas]])</f>
        <v>0.58333333333333337</v>
      </c>
      <c r="H22" t="str">
        <f ca="1">IF(tblDias[[#This Row],[Fecha]]&gt;TODAY(),"Pendiente",IF(tblDias[[#This Row],[Horas cargadas]]=0,"Sin datos",IF(tblDias[[#This Row],[Horas cargadas]]&lt;tblDias[[#This Row],[Horas esperadas]],"Parcial","Completo")))</f>
        <v>Parcial</v>
      </c>
      <c r="I22">
        <f>COUNTIFS(tblRDO[Fecha],tblDias[[#This Row],[Fecha]])</f>
        <v>219</v>
      </c>
      <c r="J22" t="str">
        <f ca="1">IF(tblDias[[#This Row],[Fecha]]&gt;TODAY(),"Pendiente",IF(tblDias[[#This Row],[Filas RDO]]=0,"Sin RDO","Cargado"))</f>
        <v>Cargado</v>
      </c>
      <c r="K22" s="993">
        <f>COUNTIFS(tblControles[Fecha],tblDias[[#This Row],[Fecha]],tblControles[Turno],"&lt;&gt;Obs")</f>
        <v>70</v>
      </c>
      <c r="L22" s="994">
        <f>SUMIFS(tblParadas[Horas perdidas],tblParadas[Fecha],tblDias[[#This Row],[Fecha]])</f>
        <v>0</v>
      </c>
      <c r="M22" s="955"/>
      <c r="N22" s="953"/>
      <c r="O22" s="955"/>
    </row>
    <row r="23" spans="2:15">
      <c r="B23" s="953">
        <v>46278</v>
      </c>
      <c r="C23" t="str">
        <f>CHOOSE(WEEKDAY(tblDias[[#This Row],[Fecha]],2),"lun","mar","mié","jue","vie","sáb","dom")</f>
        <v>dom</v>
      </c>
      <c r="D23" s="955" t="s">
        <v>9256</v>
      </c>
      <c r="E23">
        <f>COUNTIFS(tblConcentrado[Fecha],tblDias[[#This Row],[Fecha]])</f>
        <v>24</v>
      </c>
      <c r="F23">
        <f t="shared" si="0"/>
        <v>24</v>
      </c>
      <c r="G23" s="979">
        <f>IF(tblDias[[#This Row],[Horas esperadas]]=0,0,tblDias[[#This Row],[Horas cargadas]]/tblDias[[#This Row],[Horas esperadas]])</f>
        <v>1</v>
      </c>
      <c r="H23" t="str">
        <f ca="1">IF(tblDias[[#This Row],[Fecha]]&gt;TODAY(),"Pendiente",IF(tblDias[[#This Row],[Horas cargadas]]=0,"Sin datos",IF(tblDias[[#This Row],[Horas cargadas]]&lt;tblDias[[#This Row],[Horas esperadas]],"Parcial","Completo")))</f>
        <v>Completo</v>
      </c>
      <c r="I23">
        <f>COUNTIFS(tblRDO[Fecha],tblDias[[#This Row],[Fecha]])</f>
        <v>219</v>
      </c>
      <c r="J23" t="str">
        <f ca="1">IF(tblDias[[#This Row],[Fecha]]&gt;TODAY(),"Pendiente",IF(tblDias[[#This Row],[Filas RDO]]=0,"Sin RDO","Cargado"))</f>
        <v>Cargado</v>
      </c>
      <c r="K23" s="993">
        <f>COUNTIFS(tblControles[Fecha],tblDias[[#This Row],[Fecha]],tblControles[Turno],"&lt;&gt;Obs")</f>
        <v>96</v>
      </c>
      <c r="L23" s="994">
        <f>SUMIFS(tblParadas[Horas perdidas],tblParadas[Fecha],tblDias[[#This Row],[Fecha]])</f>
        <v>16.91</v>
      </c>
      <c r="M23" s="955"/>
      <c r="N23" s="953"/>
      <c r="O23" s="955"/>
    </row>
    <row r="24" spans="2:15">
      <c r="B24" s="953">
        <v>46279</v>
      </c>
      <c r="C24" t="str">
        <f>CHOOSE(WEEKDAY(tblDias[[#This Row],[Fecha]],2),"lun","mar","mié","jue","vie","sáb","dom")</f>
        <v>lun</v>
      </c>
      <c r="D24" s="955" t="s">
        <v>9256</v>
      </c>
      <c r="E24">
        <f>COUNTIFS(tblConcentrado[Fecha],tblDias[[#This Row],[Fecha]])</f>
        <v>24</v>
      </c>
      <c r="F24">
        <f t="shared" si="0"/>
        <v>24</v>
      </c>
      <c r="G24" s="979">
        <f>IF(tblDias[[#This Row],[Horas esperadas]]=0,0,tblDias[[#This Row],[Horas cargadas]]/tblDias[[#This Row],[Horas esperadas]])</f>
        <v>1</v>
      </c>
      <c r="H24" t="str">
        <f ca="1">IF(tblDias[[#This Row],[Fecha]]&gt;TODAY(),"Pendiente",IF(tblDias[[#This Row],[Horas cargadas]]=0,"Sin datos",IF(tblDias[[#This Row],[Horas cargadas]]&lt;tblDias[[#This Row],[Horas esperadas]],"Parcial","Completo")))</f>
        <v>Completo</v>
      </c>
      <c r="I24">
        <f>COUNTIFS(tblRDO[Fecha],tblDias[[#This Row],[Fecha]])</f>
        <v>219</v>
      </c>
      <c r="J24" t="str">
        <f ca="1">IF(tblDias[[#This Row],[Fecha]]&gt;TODAY(),"Pendiente",IF(tblDias[[#This Row],[Filas RDO]]=0,"Sin RDO","Cargado"))</f>
        <v>Cargado</v>
      </c>
      <c r="K24" s="993">
        <f>COUNTIFS(tblControles[Fecha],tblDias[[#This Row],[Fecha]],tblControles[Turno],"&lt;&gt;Obs")</f>
        <v>113</v>
      </c>
      <c r="L24" s="994">
        <f>SUMIFS(tblParadas[Horas perdidas],tblParadas[Fecha],tblDias[[#This Row],[Fecha]])</f>
        <v>1.62</v>
      </c>
      <c r="M24" s="955"/>
      <c r="N24" s="953"/>
      <c r="O24" s="955"/>
    </row>
    <row r="25" spans="2:15">
      <c r="B25" s="953">
        <v>46280</v>
      </c>
      <c r="C25" t="str">
        <f>CHOOSE(WEEKDAY(tblDias[[#This Row],[Fecha]],2),"lun","mar","mié","jue","vie","sáb","dom")</f>
        <v>mar</v>
      </c>
      <c r="D25" s="955" t="s">
        <v>9256</v>
      </c>
      <c r="E25">
        <f>COUNTIFS(tblConcentrado[Fecha],tblDias[[#This Row],[Fecha]])</f>
        <v>24</v>
      </c>
      <c r="F25">
        <f t="shared" si="0"/>
        <v>24</v>
      </c>
      <c r="G25" s="979">
        <f>IF(tblDias[[#This Row],[Horas esperadas]]=0,0,tblDias[[#This Row],[Horas cargadas]]/tblDias[[#This Row],[Horas esperadas]])</f>
        <v>1</v>
      </c>
      <c r="H25" t="str">
        <f ca="1">IF(tblDias[[#This Row],[Fecha]]&gt;TODAY(),"Pendiente",IF(tblDias[[#This Row],[Horas cargadas]]=0,"Sin datos",IF(tblDias[[#This Row],[Horas cargadas]]&lt;tblDias[[#This Row],[Horas esperadas]],"Parcial","Completo")))</f>
        <v>Completo</v>
      </c>
      <c r="I25">
        <f>COUNTIFS(tblRDO[Fecha],tblDias[[#This Row],[Fecha]])</f>
        <v>219</v>
      </c>
      <c r="J25" t="str">
        <f ca="1">IF(tblDias[[#This Row],[Fecha]]&gt;TODAY(),"Pendiente",IF(tblDias[[#This Row],[Filas RDO]]=0,"Sin RDO","Cargado"))</f>
        <v>Cargado</v>
      </c>
      <c r="K25" s="993">
        <f>COUNTIFS(tblControles[Fecha],tblDias[[#This Row],[Fecha]],tblControles[Turno],"&lt;&gt;Obs")</f>
        <v>122</v>
      </c>
      <c r="L25" s="994">
        <f>SUMIFS(tblParadas[Horas perdidas],tblParadas[Fecha],tblDias[[#This Row],[Fecha]])</f>
        <v>14.4</v>
      </c>
      <c r="M25" s="955"/>
      <c r="N25" s="953"/>
      <c r="O25" s="955"/>
    </row>
    <row r="26" spans="2:15">
      <c r="B26" s="953">
        <v>46281</v>
      </c>
      <c r="C26" t="str">
        <f>CHOOSE(WEEKDAY(tblDias[[#This Row],[Fecha]],2),"lun","mar","mié","jue","vie","sáb","dom")</f>
        <v>mié</v>
      </c>
      <c r="D26" s="955" t="s">
        <v>9256</v>
      </c>
      <c r="E26">
        <f>COUNTIFS(tblConcentrado[Fecha],tblDias[[#This Row],[Fecha]])</f>
        <v>24</v>
      </c>
      <c r="F26">
        <f t="shared" si="0"/>
        <v>24</v>
      </c>
      <c r="G26" s="979">
        <f>IF(tblDias[[#This Row],[Horas esperadas]]=0,0,tblDias[[#This Row],[Horas cargadas]]/tblDias[[#This Row],[Horas esperadas]])</f>
        <v>1</v>
      </c>
      <c r="H26" t="str">
        <f ca="1">IF(tblDias[[#This Row],[Fecha]]&gt;TODAY(),"Pendiente",IF(tblDias[[#This Row],[Horas cargadas]]=0,"Sin datos",IF(tblDias[[#This Row],[Horas cargadas]]&lt;tblDias[[#This Row],[Horas esperadas]],"Parcial","Completo")))</f>
        <v>Completo</v>
      </c>
      <c r="I26">
        <f>COUNTIFS(tblRDO[Fecha],tblDias[[#This Row],[Fecha]])</f>
        <v>219</v>
      </c>
      <c r="J26" t="str">
        <f ca="1">IF(tblDias[[#This Row],[Fecha]]&gt;TODAY(),"Pendiente",IF(tblDias[[#This Row],[Filas RDO]]=0,"Sin RDO","Cargado"))</f>
        <v>Cargado</v>
      </c>
      <c r="K26" s="993">
        <f>COUNTIFS(tblControles[Fecha],tblDias[[#This Row],[Fecha]],tblControles[Turno],"&lt;&gt;Obs")</f>
        <v>85</v>
      </c>
      <c r="L26" s="994">
        <f>SUMIFS(tblParadas[Horas perdidas],tblParadas[Fecha],tblDias[[#This Row],[Fecha]])</f>
        <v>6.45</v>
      </c>
      <c r="M26" s="955"/>
      <c r="N26" s="953"/>
      <c r="O26" s="955"/>
    </row>
    <row r="27" spans="2:15">
      <c r="B27" s="953">
        <v>46282</v>
      </c>
      <c r="C27" t="str">
        <f>CHOOSE(WEEKDAY(tblDias[[#This Row],[Fecha]],2),"lun","mar","mié","jue","vie","sáb","dom")</f>
        <v>jue</v>
      </c>
      <c r="D27" s="955" t="s">
        <v>9256</v>
      </c>
      <c r="E27">
        <f>COUNTIFS(tblConcentrado[Fecha],tblDias[[#This Row],[Fecha]])</f>
        <v>24</v>
      </c>
      <c r="F27">
        <f t="shared" si="0"/>
        <v>24</v>
      </c>
      <c r="G27" s="979">
        <f>IF(tblDias[[#This Row],[Horas esperadas]]=0,0,tblDias[[#This Row],[Horas cargadas]]/tblDias[[#This Row],[Horas esperadas]])</f>
        <v>1</v>
      </c>
      <c r="H27" t="str">
        <f ca="1">IF(tblDias[[#This Row],[Fecha]]&gt;TODAY(),"Pendiente",IF(tblDias[[#This Row],[Horas cargadas]]=0,"Sin datos",IF(tblDias[[#This Row],[Horas cargadas]]&lt;tblDias[[#This Row],[Horas esperadas]],"Parcial","Completo")))</f>
        <v>Completo</v>
      </c>
      <c r="I27">
        <f>COUNTIFS(tblRDO[Fecha],tblDias[[#This Row],[Fecha]])</f>
        <v>219</v>
      </c>
      <c r="J27" t="str">
        <f ca="1">IF(tblDias[[#This Row],[Fecha]]&gt;TODAY(),"Pendiente",IF(tblDias[[#This Row],[Filas RDO]]=0,"Sin RDO","Cargado"))</f>
        <v>Cargado</v>
      </c>
      <c r="K27" s="993">
        <f>COUNTIFS(tblControles[Fecha],tblDias[[#This Row],[Fecha]],tblControles[Turno],"&lt;&gt;Obs")</f>
        <v>84</v>
      </c>
      <c r="L27" s="994">
        <f>SUMIFS(tblParadas[Horas perdidas],tblParadas[Fecha],tblDias[[#This Row],[Fecha]])</f>
        <v>0</v>
      </c>
      <c r="M27" s="955"/>
      <c r="N27" s="953"/>
      <c r="O27" s="955"/>
    </row>
    <row r="28" spans="2:15">
      <c r="B28" s="953">
        <v>46283</v>
      </c>
      <c r="C28" t="str">
        <f>CHOOSE(WEEKDAY(tblDias[[#This Row],[Fecha]],2),"lun","mar","mié","jue","vie","sáb","dom")</f>
        <v>vie</v>
      </c>
      <c r="D28" s="955" t="s">
        <v>9256</v>
      </c>
      <c r="E28">
        <f>COUNTIFS(tblConcentrado[Fecha],tblDias[[#This Row],[Fecha]])</f>
        <v>24</v>
      </c>
      <c r="F28">
        <f t="shared" si="0"/>
        <v>24</v>
      </c>
      <c r="G28" s="979">
        <f>IF(tblDias[[#This Row],[Horas esperadas]]=0,0,tblDias[[#This Row],[Horas cargadas]]/tblDias[[#This Row],[Horas esperadas]])</f>
        <v>1</v>
      </c>
      <c r="H28" t="str">
        <f ca="1">IF(tblDias[[#This Row],[Fecha]]&gt;TODAY(),"Pendiente",IF(tblDias[[#This Row],[Horas cargadas]]=0,"Sin datos",IF(tblDias[[#This Row],[Horas cargadas]]&lt;tblDias[[#This Row],[Horas esperadas]],"Parcial","Completo")))</f>
        <v>Completo</v>
      </c>
      <c r="I28">
        <f>COUNTIFS(tblRDO[Fecha],tblDias[[#This Row],[Fecha]])</f>
        <v>219</v>
      </c>
      <c r="J28" t="str">
        <f ca="1">IF(tblDias[[#This Row],[Fecha]]&gt;TODAY(),"Pendiente",IF(tblDias[[#This Row],[Filas RDO]]=0,"Sin RDO","Cargado"))</f>
        <v>Cargado</v>
      </c>
      <c r="K28" s="993">
        <f>COUNTIFS(tblControles[Fecha],tblDias[[#This Row],[Fecha]],tblControles[Turno],"&lt;&gt;Obs")</f>
        <v>112</v>
      </c>
      <c r="L28" s="994">
        <f>SUMIFS(tblParadas[Horas perdidas],tblParadas[Fecha],tblDias[[#This Row],[Fecha]])</f>
        <v>0</v>
      </c>
      <c r="M28" s="955"/>
      <c r="N28" s="953"/>
      <c r="O28" s="955"/>
    </row>
    <row r="29" spans="2:15">
      <c r="B29" s="953">
        <v>46284</v>
      </c>
      <c r="C29" t="str">
        <f>CHOOSE(WEEKDAY(tblDias[[#This Row],[Fecha]],2),"lun","mar","mié","jue","vie","sáb","dom")</f>
        <v>sáb</v>
      </c>
      <c r="D29" s="955" t="s">
        <v>9256</v>
      </c>
      <c r="E29">
        <f>COUNTIFS(tblConcentrado[Fecha],tblDias[[#This Row],[Fecha]])</f>
        <v>24</v>
      </c>
      <c r="F29">
        <f t="shared" si="0"/>
        <v>24</v>
      </c>
      <c r="G29" s="979">
        <f>IF(tblDias[[#This Row],[Horas esperadas]]=0,0,tblDias[[#This Row],[Horas cargadas]]/tblDias[[#This Row],[Horas esperadas]])</f>
        <v>1</v>
      </c>
      <c r="H29" t="str">
        <f ca="1">IF(tblDias[[#This Row],[Fecha]]&gt;TODAY(),"Pendiente",IF(tblDias[[#This Row],[Horas cargadas]]=0,"Sin datos",IF(tblDias[[#This Row],[Horas cargadas]]&lt;tblDias[[#This Row],[Horas esperadas]],"Parcial","Completo")))</f>
        <v>Completo</v>
      </c>
      <c r="I29">
        <f>COUNTIFS(tblRDO[Fecha],tblDias[[#This Row],[Fecha]])</f>
        <v>219</v>
      </c>
      <c r="J29" t="str">
        <f ca="1">IF(tblDias[[#This Row],[Fecha]]&gt;TODAY(),"Pendiente",IF(tblDias[[#This Row],[Filas RDO]]=0,"Sin RDO","Cargado"))</f>
        <v>Cargado</v>
      </c>
      <c r="K29" s="993">
        <f>COUNTIFS(tblControles[Fecha],tblDias[[#This Row],[Fecha]],tblControles[Turno],"&lt;&gt;Obs")</f>
        <v>98</v>
      </c>
      <c r="L29" s="994">
        <f>SUMIFS(tblParadas[Horas perdidas],tblParadas[Fecha],tblDias[[#This Row],[Fecha]])</f>
        <v>2.87</v>
      </c>
      <c r="M29" s="955"/>
      <c r="N29" s="953"/>
      <c r="O29" s="955"/>
    </row>
    <row r="30" spans="2:15">
      <c r="B30" s="953">
        <v>46285</v>
      </c>
      <c r="C30" t="str">
        <f>CHOOSE(WEEKDAY(tblDias[[#This Row],[Fecha]],2),"lun","mar","mié","jue","vie","sáb","dom")</f>
        <v>dom</v>
      </c>
      <c r="D30" s="955" t="s">
        <v>9256</v>
      </c>
      <c r="E30">
        <f>COUNTIFS(tblConcentrado[Fecha],tblDias[[#This Row],[Fecha]])</f>
        <v>24</v>
      </c>
      <c r="F30">
        <f t="shared" si="0"/>
        <v>24</v>
      </c>
      <c r="G30" s="979">
        <f>IF(tblDias[[#This Row],[Horas esperadas]]=0,0,tblDias[[#This Row],[Horas cargadas]]/tblDias[[#This Row],[Horas esperadas]])</f>
        <v>1</v>
      </c>
      <c r="H30" t="str">
        <f ca="1">IF(tblDias[[#This Row],[Fecha]]&gt;TODAY(),"Pendiente",IF(tblDias[[#This Row],[Horas cargadas]]=0,"Sin datos",IF(tblDias[[#This Row],[Horas cargadas]]&lt;tblDias[[#This Row],[Horas esperadas]],"Parcial","Completo")))</f>
        <v>Completo</v>
      </c>
      <c r="I30">
        <f>COUNTIFS(tblRDO[Fecha],tblDias[[#This Row],[Fecha]])</f>
        <v>219</v>
      </c>
      <c r="J30" t="str">
        <f ca="1">IF(tblDias[[#This Row],[Fecha]]&gt;TODAY(),"Pendiente",IF(tblDias[[#This Row],[Filas RDO]]=0,"Sin RDO","Cargado"))</f>
        <v>Cargado</v>
      </c>
      <c r="K30" s="993">
        <f>COUNTIFS(tblControles[Fecha],tblDias[[#This Row],[Fecha]],tblControles[Turno],"&lt;&gt;Obs")</f>
        <v>69</v>
      </c>
      <c r="L30" s="994">
        <f>SUMIFS(tblParadas[Horas perdidas],tblParadas[Fecha],tblDias[[#This Row],[Fecha]])</f>
        <v>15.049999999999999</v>
      </c>
      <c r="M30" s="955"/>
      <c r="N30" s="953"/>
      <c r="O30" s="955"/>
    </row>
    <row r="31" spans="2:15">
      <c r="B31" s="953">
        <v>46286</v>
      </c>
      <c r="C31" t="str">
        <f>CHOOSE(WEEKDAY(tblDias[[#This Row],[Fecha]],2),"lun","mar","mié","jue","vie","sáb","dom")</f>
        <v>lun</v>
      </c>
      <c r="D31" s="955" t="s">
        <v>9256</v>
      </c>
      <c r="E31">
        <f>COUNTIFS(tblConcentrado[Fecha],tblDias[[#This Row],[Fecha]])</f>
        <v>24</v>
      </c>
      <c r="F31">
        <f t="shared" si="0"/>
        <v>24</v>
      </c>
      <c r="G31" s="979">
        <f>IF(tblDias[[#This Row],[Horas esperadas]]=0,0,tblDias[[#This Row],[Horas cargadas]]/tblDias[[#This Row],[Horas esperadas]])</f>
        <v>1</v>
      </c>
      <c r="H31" t="str">
        <f ca="1">IF(tblDias[[#This Row],[Fecha]]&gt;TODAY(),"Pendiente",IF(tblDias[[#This Row],[Horas cargadas]]=0,"Sin datos",IF(tblDias[[#This Row],[Horas cargadas]]&lt;tblDias[[#This Row],[Horas esperadas]],"Parcial","Completo")))</f>
        <v>Completo</v>
      </c>
      <c r="I31">
        <f>COUNTIFS(tblRDO[Fecha],tblDias[[#This Row],[Fecha]])</f>
        <v>219</v>
      </c>
      <c r="J31" t="str">
        <f ca="1">IF(tblDias[[#This Row],[Fecha]]&gt;TODAY(),"Pendiente",IF(tblDias[[#This Row],[Filas RDO]]=0,"Sin RDO","Cargado"))</f>
        <v>Cargado</v>
      </c>
      <c r="K31" s="993">
        <f>COUNTIFS(tblControles[Fecha],tblDias[[#This Row],[Fecha]],tblControles[Turno],"&lt;&gt;Obs")</f>
        <v>97</v>
      </c>
      <c r="L31" s="994">
        <f>SUMIFS(tblParadas[Horas perdidas],tblParadas[Fecha],tblDias[[#This Row],[Fecha]])</f>
        <v>13.049999999999999</v>
      </c>
      <c r="M31" s="955"/>
      <c r="N31" s="953"/>
      <c r="O31" s="955"/>
    </row>
    <row r="32" spans="2:15">
      <c r="B32" s="953">
        <v>46287</v>
      </c>
      <c r="C32" t="str">
        <f>CHOOSE(WEEKDAY(tblDias[[#This Row],[Fecha]],2),"lun","mar","mié","jue","vie","sáb","dom")</f>
        <v>mar</v>
      </c>
      <c r="D32" s="955" t="s">
        <v>9256</v>
      </c>
      <c r="E32">
        <f>COUNTIFS(tblConcentrado[Fecha],tblDias[[#This Row],[Fecha]])</f>
        <v>24</v>
      </c>
      <c r="F32">
        <f t="shared" si="0"/>
        <v>24</v>
      </c>
      <c r="G32" s="979">
        <f>IF(tblDias[[#This Row],[Horas esperadas]]=0,0,tblDias[[#This Row],[Horas cargadas]]/tblDias[[#This Row],[Horas esperadas]])</f>
        <v>1</v>
      </c>
      <c r="H32" t="str">
        <f ca="1">IF(tblDias[[#This Row],[Fecha]]&gt;TODAY(),"Pendiente",IF(tblDias[[#This Row],[Horas cargadas]]=0,"Sin datos",IF(tblDias[[#This Row],[Horas cargadas]]&lt;tblDias[[#This Row],[Horas esperadas]],"Parcial","Completo")))</f>
        <v>Completo</v>
      </c>
      <c r="I32">
        <f>COUNTIFS(tblRDO[Fecha],tblDias[[#This Row],[Fecha]])</f>
        <v>219</v>
      </c>
      <c r="J32" t="str">
        <f ca="1">IF(tblDias[[#This Row],[Fecha]]&gt;TODAY(),"Pendiente",IF(tblDias[[#This Row],[Filas RDO]]=0,"Sin RDO","Cargado"))</f>
        <v>Cargado</v>
      </c>
      <c r="K32" s="993">
        <f>COUNTIFS(tblControles[Fecha],tblDias[[#This Row],[Fecha]],tblControles[Turno],"&lt;&gt;Obs")</f>
        <v>109</v>
      </c>
      <c r="L32" s="994">
        <f>SUMIFS(tblParadas[Horas perdidas],tblParadas[Fecha],tblDias[[#This Row],[Fecha]])</f>
        <v>18.89</v>
      </c>
      <c r="M32" s="955"/>
      <c r="N32" s="953"/>
      <c r="O32" s="955"/>
    </row>
    <row r="33" spans="2:15">
      <c r="B33" s="953">
        <v>46288</v>
      </c>
      <c r="C33" t="str">
        <f>CHOOSE(WEEKDAY(tblDias[[#This Row],[Fecha]],2),"lun","mar","mié","jue","vie","sáb","dom")</f>
        <v>mié</v>
      </c>
      <c r="D33" s="955" t="s">
        <v>9256</v>
      </c>
      <c r="E33">
        <f>COUNTIFS(tblConcentrado[Fecha],tblDias[[#This Row],[Fecha]])</f>
        <v>24</v>
      </c>
      <c r="F33">
        <f t="shared" si="0"/>
        <v>24</v>
      </c>
      <c r="G33" s="979">
        <f>IF(tblDias[[#This Row],[Horas esperadas]]=0,0,tblDias[[#This Row],[Horas cargadas]]/tblDias[[#This Row],[Horas esperadas]])</f>
        <v>1</v>
      </c>
      <c r="H33" t="str">
        <f ca="1">IF(tblDias[[#This Row],[Fecha]]&gt;TODAY(),"Pendiente",IF(tblDias[[#This Row],[Horas cargadas]]=0,"Sin datos",IF(tblDias[[#This Row],[Horas cargadas]]&lt;tblDias[[#This Row],[Horas esperadas]],"Parcial","Completo")))</f>
        <v>Completo</v>
      </c>
      <c r="I33">
        <f>COUNTIFS(tblRDO[Fecha],tblDias[[#This Row],[Fecha]])</f>
        <v>219</v>
      </c>
      <c r="J33" t="str">
        <f ca="1">IF(tblDias[[#This Row],[Fecha]]&gt;TODAY(),"Pendiente",IF(tblDias[[#This Row],[Filas RDO]]=0,"Sin RDO","Cargado"))</f>
        <v>Cargado</v>
      </c>
      <c r="K33" s="993">
        <f>COUNTIFS(tblControles[Fecha],tblDias[[#This Row],[Fecha]],tblControles[Turno],"&lt;&gt;Obs")</f>
        <v>99</v>
      </c>
      <c r="L33" s="994">
        <f>SUMIFS(tblParadas[Horas perdidas],tblParadas[Fecha],tblDias[[#This Row],[Fecha]])</f>
        <v>0</v>
      </c>
      <c r="M33" s="955"/>
      <c r="N33" s="953"/>
      <c r="O33" s="955"/>
    </row>
    <row r="34" spans="2:15">
      <c r="B34" s="953">
        <v>46289</v>
      </c>
      <c r="C34" t="str">
        <f>CHOOSE(WEEKDAY(tblDias[[#This Row],[Fecha]],2),"lun","mar","mié","jue","vie","sáb","dom")</f>
        <v>jue</v>
      </c>
      <c r="D34" s="955" t="s">
        <v>9256</v>
      </c>
      <c r="E34">
        <f>COUNTIFS(tblConcentrado[Fecha],tblDias[[#This Row],[Fecha]])</f>
        <v>24</v>
      </c>
      <c r="F34">
        <f t="shared" si="0"/>
        <v>24</v>
      </c>
      <c r="G34" s="979">
        <f>IF(tblDias[[#This Row],[Horas esperadas]]=0,0,tblDias[[#This Row],[Horas cargadas]]/tblDias[[#This Row],[Horas esperadas]])</f>
        <v>1</v>
      </c>
      <c r="H34" t="str">
        <f ca="1">IF(tblDias[[#This Row],[Fecha]]&gt;TODAY(),"Pendiente",IF(tblDias[[#This Row],[Horas cargadas]]=0,"Sin datos",IF(tblDias[[#This Row],[Horas cargadas]]&lt;tblDias[[#This Row],[Horas esperadas]],"Parcial","Completo")))</f>
        <v>Completo</v>
      </c>
      <c r="I34">
        <f>COUNTIFS(tblRDO[Fecha],tblDias[[#This Row],[Fecha]])</f>
        <v>219</v>
      </c>
      <c r="J34" t="str">
        <f ca="1">IF(tblDias[[#This Row],[Fecha]]&gt;TODAY(),"Pendiente",IF(tblDias[[#This Row],[Filas RDO]]=0,"Sin RDO","Cargado"))</f>
        <v>Cargado</v>
      </c>
      <c r="K34" s="993">
        <f>COUNTIFS(tblControles[Fecha],tblDias[[#This Row],[Fecha]],tblControles[Turno],"&lt;&gt;Obs")</f>
        <v>97</v>
      </c>
      <c r="L34" s="994">
        <f>SUMIFS(tblParadas[Horas perdidas],tblParadas[Fecha],tblDias[[#This Row],[Fecha]])</f>
        <v>0</v>
      </c>
      <c r="M34" s="955"/>
      <c r="N34" s="953"/>
      <c r="O34" s="955"/>
    </row>
    <row r="35" spans="2:15">
      <c r="B35" s="953">
        <v>46290</v>
      </c>
      <c r="C35" t="str">
        <f>CHOOSE(WEEKDAY(tblDias[[#This Row],[Fecha]],2),"lun","mar","mié","jue","vie","sáb","dom")</f>
        <v>vie</v>
      </c>
      <c r="D35" s="955" t="s">
        <v>9256</v>
      </c>
      <c r="E35">
        <f>COUNTIFS(tblConcentrado[Fecha],tblDias[[#This Row],[Fecha]])</f>
        <v>24</v>
      </c>
      <c r="F35">
        <f t="shared" si="0"/>
        <v>24</v>
      </c>
      <c r="G35" s="979">
        <f>IF(tblDias[[#This Row],[Horas esperadas]]=0,0,tblDias[[#This Row],[Horas cargadas]]/tblDias[[#This Row],[Horas esperadas]])</f>
        <v>1</v>
      </c>
      <c r="H35" t="str">
        <f ca="1">IF(tblDias[[#This Row],[Fecha]]&gt;TODAY(),"Pendiente",IF(tblDias[[#This Row],[Horas cargadas]]=0,"Sin datos",IF(tblDias[[#This Row],[Horas cargadas]]&lt;tblDias[[#This Row],[Horas esperadas]],"Parcial","Completo")))</f>
        <v>Completo</v>
      </c>
      <c r="I35">
        <f>COUNTIFS(tblRDO[Fecha],tblDias[[#This Row],[Fecha]])</f>
        <v>219</v>
      </c>
      <c r="J35" t="str">
        <f ca="1">IF(tblDias[[#This Row],[Fecha]]&gt;TODAY(),"Pendiente",IF(tblDias[[#This Row],[Filas RDO]]=0,"Sin RDO","Cargado"))</f>
        <v>Cargado</v>
      </c>
      <c r="K35" s="993">
        <f>COUNTIFS(tblControles[Fecha],tblDias[[#This Row],[Fecha]],tblControles[Turno],"&lt;&gt;Obs")</f>
        <v>124</v>
      </c>
      <c r="L35" s="994">
        <f>SUMIFS(tblParadas[Horas perdidas],tblParadas[Fecha],tblDias[[#This Row],[Fecha]])</f>
        <v>0</v>
      </c>
      <c r="M35" s="955"/>
      <c r="N35" s="953"/>
      <c r="O35" s="955"/>
    </row>
    <row r="36" spans="2:15">
      <c r="B36" s="953">
        <v>46291</v>
      </c>
      <c r="C36" t="str">
        <f>CHOOSE(WEEKDAY(tblDias[[#This Row],[Fecha]],2),"lun","mar","mié","jue","vie","sáb","dom")</f>
        <v>sáb</v>
      </c>
      <c r="D36" s="955" t="s">
        <v>9256</v>
      </c>
      <c r="E36">
        <f>COUNTIFS(tblConcentrado[Fecha],tblDias[[#This Row],[Fecha]])</f>
        <v>24</v>
      </c>
      <c r="F36">
        <f t="shared" si="0"/>
        <v>24</v>
      </c>
      <c r="G36" s="979">
        <f>IF(tblDias[[#This Row],[Horas esperadas]]=0,0,tblDias[[#This Row],[Horas cargadas]]/tblDias[[#This Row],[Horas esperadas]])</f>
        <v>1</v>
      </c>
      <c r="H36" t="str">
        <f ca="1">IF(tblDias[[#This Row],[Fecha]]&gt;TODAY(),"Pendiente",IF(tblDias[[#This Row],[Horas cargadas]]=0,"Sin datos",IF(tblDias[[#This Row],[Horas cargadas]]&lt;tblDias[[#This Row],[Horas esperadas]],"Parcial","Completo")))</f>
        <v>Completo</v>
      </c>
      <c r="I36">
        <f>COUNTIFS(tblRDO[Fecha],tblDias[[#This Row],[Fecha]])</f>
        <v>219</v>
      </c>
      <c r="J36" t="str">
        <f ca="1">IF(tblDias[[#This Row],[Fecha]]&gt;TODAY(),"Pendiente",IF(tblDias[[#This Row],[Filas RDO]]=0,"Sin RDO","Cargado"))</f>
        <v>Cargado</v>
      </c>
      <c r="K36" s="993">
        <f>COUNTIFS(tblControles[Fecha],tblDias[[#This Row],[Fecha]],tblControles[Turno],"&lt;&gt;Obs")</f>
        <v>112</v>
      </c>
      <c r="L36" s="994">
        <f>SUMIFS(tblParadas[Horas perdidas],tblParadas[Fecha],tblDias[[#This Row],[Fecha]])</f>
        <v>1.4100000000000001</v>
      </c>
      <c r="M36" s="955"/>
      <c r="N36" s="953"/>
      <c r="O36" s="955"/>
    </row>
    <row r="37" spans="2:15">
      <c r="B37" s="953">
        <v>46292</v>
      </c>
      <c r="C37" t="str">
        <f>CHOOSE(WEEKDAY(tblDias[[#This Row],[Fecha]],2),"lun","mar","mié","jue","vie","sáb","dom")</f>
        <v>dom</v>
      </c>
      <c r="D37" s="955" t="s">
        <v>9256</v>
      </c>
      <c r="E37">
        <f>COUNTIFS(tblConcentrado[Fecha],tblDias[[#This Row],[Fecha]])</f>
        <v>24</v>
      </c>
      <c r="F37">
        <f t="shared" si="0"/>
        <v>24</v>
      </c>
      <c r="G37" s="979">
        <f>IF(tblDias[[#This Row],[Horas esperadas]]=0,0,tblDias[[#This Row],[Horas cargadas]]/tblDias[[#This Row],[Horas esperadas]])</f>
        <v>1</v>
      </c>
      <c r="H37" t="str">
        <f ca="1">IF(tblDias[[#This Row],[Fecha]]&gt;TODAY(),"Pendiente",IF(tblDias[[#This Row],[Horas cargadas]]=0,"Sin datos",IF(tblDias[[#This Row],[Horas cargadas]]&lt;tblDias[[#This Row],[Horas esperadas]],"Parcial","Completo")))</f>
        <v>Completo</v>
      </c>
      <c r="I37">
        <f>COUNTIFS(tblRDO[Fecha],tblDias[[#This Row],[Fecha]])</f>
        <v>219</v>
      </c>
      <c r="J37" t="str">
        <f ca="1">IF(tblDias[[#This Row],[Fecha]]&gt;TODAY(),"Pendiente",IF(tblDias[[#This Row],[Filas RDO]]=0,"Sin RDO","Cargado"))</f>
        <v>Cargado</v>
      </c>
      <c r="K37" s="993">
        <f>COUNTIFS(tblControles[Fecha],tblDias[[#This Row],[Fecha]],tblControles[Turno],"&lt;&gt;Obs")</f>
        <v>107</v>
      </c>
      <c r="L37" s="994">
        <f>SUMIFS(tblParadas[Horas perdidas],tblParadas[Fecha],tblDias[[#This Row],[Fecha]])</f>
        <v>0</v>
      </c>
      <c r="M37" s="955"/>
      <c r="N37" s="953"/>
      <c r="O37" s="955"/>
    </row>
    <row r="38" spans="2:15">
      <c r="B38" s="953">
        <v>46293</v>
      </c>
      <c r="C38" t="str">
        <f>CHOOSE(WEEKDAY(tblDias[[#This Row],[Fecha]],2),"lun","mar","mié","jue","vie","sáb","dom")</f>
        <v>lun</v>
      </c>
      <c r="D38" s="955" t="s">
        <v>9256</v>
      </c>
      <c r="E38">
        <f>COUNTIFS(tblConcentrado[Fecha],tblDias[[#This Row],[Fecha]])</f>
        <v>24</v>
      </c>
      <c r="F38">
        <f t="shared" si="0"/>
        <v>24</v>
      </c>
      <c r="G38" s="979">
        <f>IF(tblDias[[#This Row],[Horas esperadas]]=0,0,tblDias[[#This Row],[Horas cargadas]]/tblDias[[#This Row],[Horas esperadas]])</f>
        <v>1</v>
      </c>
      <c r="H38" t="str">
        <f ca="1">IF(tblDias[[#This Row],[Fecha]]&gt;TODAY(),"Pendiente",IF(tblDias[[#This Row],[Horas cargadas]]=0,"Sin datos",IF(tblDias[[#This Row],[Horas cargadas]]&lt;tblDias[[#This Row],[Horas esperadas]],"Parcial","Completo")))</f>
        <v>Completo</v>
      </c>
      <c r="I38">
        <f>COUNTIFS(tblRDO[Fecha],tblDias[[#This Row],[Fecha]])</f>
        <v>219</v>
      </c>
      <c r="J38" t="str">
        <f ca="1">IF(tblDias[[#This Row],[Fecha]]&gt;TODAY(),"Pendiente",IF(tblDias[[#This Row],[Filas RDO]]=0,"Sin RDO","Cargado"))</f>
        <v>Cargado</v>
      </c>
      <c r="K38" s="993">
        <f>COUNTIFS(tblControles[Fecha],tblDias[[#This Row],[Fecha]],tblControles[Turno],"&lt;&gt;Obs")</f>
        <v>96</v>
      </c>
      <c r="L38" s="994">
        <f>SUMIFS(tblParadas[Horas perdidas],tblParadas[Fecha],tblDias[[#This Row],[Fecha]])</f>
        <v>1.28</v>
      </c>
      <c r="M38" s="955"/>
      <c r="N38" s="953"/>
      <c r="O38" s="955"/>
    </row>
    <row r="39" spans="2:15">
      <c r="B39" s="953">
        <v>46294</v>
      </c>
      <c r="C39" t="str">
        <f>CHOOSE(WEEKDAY(tblDias[[#This Row],[Fecha]],2),"lun","mar","mié","jue","vie","sáb","dom")</f>
        <v>mar</v>
      </c>
      <c r="D39" s="955" t="s">
        <v>9256</v>
      </c>
      <c r="E39">
        <f>COUNTIFS(tblConcentrado[Fecha],tblDias[[#This Row],[Fecha]])</f>
        <v>24</v>
      </c>
      <c r="F39">
        <f t="shared" si="0"/>
        <v>24</v>
      </c>
      <c r="G39" s="979">
        <f>IF(tblDias[[#This Row],[Horas esperadas]]=0,0,tblDias[[#This Row],[Horas cargadas]]/tblDias[[#This Row],[Horas esperadas]])</f>
        <v>1</v>
      </c>
      <c r="H39" t="str">
        <f ca="1">IF(tblDias[[#This Row],[Fecha]]&gt;TODAY(),"Pendiente",IF(tblDias[[#This Row],[Horas cargadas]]=0,"Sin datos",IF(tblDias[[#This Row],[Horas cargadas]]&lt;tblDias[[#This Row],[Horas esperadas]],"Parcial","Completo")))</f>
        <v>Completo</v>
      </c>
      <c r="I39">
        <f>COUNTIFS(tblRDO[Fecha],tblDias[[#This Row],[Fecha]])</f>
        <v>219</v>
      </c>
      <c r="J39" t="str">
        <f ca="1">IF(tblDias[[#This Row],[Fecha]]&gt;TODAY(),"Pendiente",IF(tblDias[[#This Row],[Filas RDO]]=0,"Sin RDO","Cargado"))</f>
        <v>Cargado</v>
      </c>
      <c r="K39" s="993">
        <f>COUNTIFS(tblControles[Fecha],tblDias[[#This Row],[Fecha]],tblControles[Turno],"&lt;&gt;Obs")</f>
        <v>80</v>
      </c>
      <c r="L39" s="994">
        <f>SUMIFS(tblParadas[Horas perdidas],tblParadas[Fecha],tblDias[[#This Row],[Fecha]])</f>
        <v>0</v>
      </c>
      <c r="M39" s="955"/>
      <c r="N39" s="953"/>
      <c r="O39" s="955"/>
    </row>
    <row r="40" spans="2:15">
      <c r="B40" s="953">
        <v>46295</v>
      </c>
      <c r="C40" t="str">
        <f>CHOOSE(WEEKDAY(tblDias[[#This Row],[Fecha]],2),"lun","mar","mié","jue","vie","sáb","dom")</f>
        <v>mié</v>
      </c>
      <c r="D40" s="955" t="s">
        <v>9256</v>
      </c>
      <c r="E40">
        <f>COUNTIFS(tblConcentrado[Fecha],tblDias[[#This Row],[Fecha]])</f>
        <v>7</v>
      </c>
      <c r="F40">
        <f t="shared" si="0"/>
        <v>24</v>
      </c>
      <c r="G40" s="979">
        <f>IF(tblDias[[#This Row],[Horas esperadas]]=0,0,tblDias[[#This Row],[Horas cargadas]]/tblDias[[#This Row],[Horas esperadas]])</f>
        <v>0.29166666666666669</v>
      </c>
      <c r="H40" t="str">
        <f ca="1">IF(tblDias[[#This Row],[Fecha]]&gt;TODAY(),"Pendiente",IF(tblDias[[#This Row],[Horas cargadas]]=0,"Sin datos",IF(tblDias[[#This Row],[Horas cargadas]]&lt;tblDias[[#This Row],[Horas esperadas]],"Parcial","Completo")))</f>
        <v>Parcial</v>
      </c>
      <c r="I40">
        <f>COUNTIFS(tblRDO[Fecha],tblDias[[#This Row],[Fecha]])</f>
        <v>0</v>
      </c>
      <c r="J40" t="str">
        <f ca="1">IF(tblDias[[#This Row],[Fecha]]&gt;TODAY(),"Pendiente",IF(tblDias[[#This Row],[Filas RDO]]=0,"Sin RDO","Cargado"))</f>
        <v>Sin RDO</v>
      </c>
      <c r="K40" s="993">
        <f>COUNTIFS(tblControles[Fecha],tblDias[[#This Row],[Fecha]],tblControles[Turno],"&lt;&gt;Obs")</f>
        <v>0</v>
      </c>
      <c r="L40" s="994">
        <f>SUMIFS(tblParadas[Horas perdidas],tblParadas[Fecha],tblDias[[#This Row],[Fecha]])</f>
        <v>0</v>
      </c>
      <c r="M40" s="955"/>
      <c r="N40" s="953"/>
      <c r="O40" s="955"/>
    </row>
    <row r="41" spans="2:15">
      <c r="B41" s="953">
        <v>46296</v>
      </c>
      <c r="C41" t="str">
        <f>CHOOSE(WEEKDAY(tblDias[[#This Row],[Fecha]],2),"lun","mar","mié","jue","vie","sáb","dom")</f>
        <v>jue</v>
      </c>
      <c r="D41" s="955" t="s">
        <v>9256</v>
      </c>
      <c r="E41">
        <f>COUNTIFS(tblConcentrado[Fecha],tblDias[[#This Row],[Fecha]])</f>
        <v>0</v>
      </c>
      <c r="F41">
        <f t="shared" si="0"/>
        <v>24</v>
      </c>
      <c r="G41" s="979">
        <f>IF(tblDias[[#This Row],[Horas esperadas]]=0,0,tblDias[[#This Row],[Horas cargadas]]/tblDias[[#This Row],[Horas esperadas]])</f>
        <v>0</v>
      </c>
      <c r="H41" t="str">
        <f ca="1">IF(tblDias[[#This Row],[Fecha]]&gt;TODAY(),"Pendiente",IF(tblDias[[#This Row],[Horas cargadas]]=0,"Sin datos",IF(tblDias[[#This Row],[Horas cargadas]]&lt;tblDias[[#This Row],[Horas esperadas]],"Parcial","Completo")))</f>
        <v>Pendiente</v>
      </c>
      <c r="I41">
        <f>COUNTIFS(tblRDO[Fecha],tblDias[[#This Row],[Fecha]])</f>
        <v>0</v>
      </c>
      <c r="J41" t="str">
        <f ca="1">IF(tblDias[[#This Row],[Fecha]]&gt;TODAY(),"Pendiente",IF(tblDias[[#This Row],[Filas RDO]]=0,"Sin RDO","Cargado"))</f>
        <v>Pendiente</v>
      </c>
      <c r="K41" s="993">
        <f>COUNTIFS(tblControles[Fecha],tblDias[[#This Row],[Fecha]],tblControles[Turno],"&lt;&gt;Obs")</f>
        <v>0</v>
      </c>
      <c r="L41" s="994">
        <f>SUMIFS(tblParadas[Horas perdidas],tblParadas[Fecha],tblDias[[#This Row],[Fecha]])</f>
        <v>0</v>
      </c>
      <c r="M41" s="955"/>
      <c r="N41" s="953"/>
      <c r="O41" s="955"/>
    </row>
    <row r="42" spans="2:15">
      <c r="B42" s="953">
        <v>46297</v>
      </c>
      <c r="C42" t="str">
        <f>CHOOSE(WEEKDAY(tblDias[[#This Row],[Fecha]],2),"lun","mar","mié","jue","vie","sáb","dom")</f>
        <v>vie</v>
      </c>
      <c r="D42" s="955" t="s">
        <v>9256</v>
      </c>
      <c r="E42">
        <f>COUNTIFS(tblConcentrado[Fecha],tblDias[[#This Row],[Fecha]])</f>
        <v>0</v>
      </c>
      <c r="F42">
        <f t="shared" si="0"/>
        <v>24</v>
      </c>
      <c r="G42" s="979">
        <f>IF(tblDias[[#This Row],[Horas esperadas]]=0,0,tblDias[[#This Row],[Horas cargadas]]/tblDias[[#This Row],[Horas esperadas]])</f>
        <v>0</v>
      </c>
      <c r="H42" t="str">
        <f ca="1">IF(tblDias[[#This Row],[Fecha]]&gt;TODAY(),"Pendiente",IF(tblDias[[#This Row],[Horas cargadas]]=0,"Sin datos",IF(tblDias[[#This Row],[Horas cargadas]]&lt;tblDias[[#This Row],[Horas esperadas]],"Parcial","Completo")))</f>
        <v>Pendiente</v>
      </c>
      <c r="I42">
        <f>COUNTIFS(tblRDO[Fecha],tblDias[[#This Row],[Fecha]])</f>
        <v>0</v>
      </c>
      <c r="J42" t="str">
        <f ca="1">IF(tblDias[[#This Row],[Fecha]]&gt;TODAY(),"Pendiente",IF(tblDias[[#This Row],[Filas RDO]]=0,"Sin RDO","Cargado"))</f>
        <v>Pendiente</v>
      </c>
      <c r="K42" s="993">
        <f>COUNTIFS(tblControles[Fecha],tblDias[[#This Row],[Fecha]],tblControles[Turno],"&lt;&gt;Obs")</f>
        <v>0</v>
      </c>
      <c r="L42" s="994">
        <f>SUMIFS(tblParadas[Horas perdidas],tblParadas[Fecha],tblDias[[#This Row],[Fecha]])</f>
        <v>0</v>
      </c>
      <c r="M42" s="955"/>
      <c r="N42" s="953"/>
      <c r="O42" s="955"/>
    </row>
    <row r="43" spans="2:15">
      <c r="B43" s="953">
        <v>46298</v>
      </c>
      <c r="C43" t="str">
        <f>CHOOSE(WEEKDAY(tblDias[[#This Row],[Fecha]],2),"lun","mar","mié","jue","vie","sáb","dom")</f>
        <v>sáb</v>
      </c>
      <c r="D43" s="955" t="s">
        <v>9256</v>
      </c>
      <c r="E43">
        <f>COUNTIFS(tblConcentrado[Fecha],tblDias[[#This Row],[Fecha]])</f>
        <v>0</v>
      </c>
      <c r="F43">
        <f t="shared" si="0"/>
        <v>24</v>
      </c>
      <c r="G43" s="979">
        <f>IF(tblDias[[#This Row],[Horas esperadas]]=0,0,tblDias[[#This Row],[Horas cargadas]]/tblDias[[#This Row],[Horas esperadas]])</f>
        <v>0</v>
      </c>
      <c r="H43" t="str">
        <f ca="1">IF(tblDias[[#This Row],[Fecha]]&gt;TODAY(),"Pendiente",IF(tblDias[[#This Row],[Horas cargadas]]=0,"Sin datos",IF(tblDias[[#This Row],[Horas cargadas]]&lt;tblDias[[#This Row],[Horas esperadas]],"Parcial","Completo")))</f>
        <v>Pendiente</v>
      </c>
      <c r="I43">
        <f>COUNTIFS(tblRDO[Fecha],tblDias[[#This Row],[Fecha]])</f>
        <v>0</v>
      </c>
      <c r="J43" t="str">
        <f ca="1">IF(tblDias[[#This Row],[Fecha]]&gt;TODAY(),"Pendiente",IF(tblDias[[#This Row],[Filas RDO]]=0,"Sin RDO","Cargado"))</f>
        <v>Pendiente</v>
      </c>
      <c r="K43" s="993">
        <f>COUNTIFS(tblControles[Fecha],tblDias[[#This Row],[Fecha]],tblControles[Turno],"&lt;&gt;Obs")</f>
        <v>0</v>
      </c>
      <c r="L43" s="994">
        <f>SUMIFS(tblParadas[Horas perdidas],tblParadas[Fecha],tblDias[[#This Row],[Fecha]])</f>
        <v>0</v>
      </c>
      <c r="M43" s="955"/>
      <c r="N43" s="953"/>
      <c r="O43" s="955"/>
    </row>
    <row r="44" spans="2:15">
      <c r="B44" s="953">
        <v>46299</v>
      </c>
      <c r="C44" t="str">
        <f>CHOOSE(WEEKDAY(tblDias[[#This Row],[Fecha]],2),"lun","mar","mié","jue","vie","sáb","dom")</f>
        <v>dom</v>
      </c>
      <c r="D44" s="955" t="s">
        <v>9256</v>
      </c>
      <c r="E44">
        <f>COUNTIFS(tblConcentrado[Fecha],tblDias[[#This Row],[Fecha]])</f>
        <v>0</v>
      </c>
      <c r="F44">
        <f t="shared" si="0"/>
        <v>24</v>
      </c>
      <c r="G44" s="979">
        <f>IF(tblDias[[#This Row],[Horas esperadas]]=0,0,tblDias[[#This Row],[Horas cargadas]]/tblDias[[#This Row],[Horas esperadas]])</f>
        <v>0</v>
      </c>
      <c r="H44" t="str">
        <f ca="1">IF(tblDias[[#This Row],[Fecha]]&gt;TODAY(),"Pendiente",IF(tblDias[[#This Row],[Horas cargadas]]=0,"Sin datos",IF(tblDias[[#This Row],[Horas cargadas]]&lt;tblDias[[#This Row],[Horas esperadas]],"Parcial","Completo")))</f>
        <v>Pendiente</v>
      </c>
      <c r="I44">
        <f>COUNTIFS(tblRDO[Fecha],tblDias[[#This Row],[Fecha]])</f>
        <v>0</v>
      </c>
      <c r="J44" t="str">
        <f ca="1">IF(tblDias[[#This Row],[Fecha]]&gt;TODAY(),"Pendiente",IF(tblDias[[#This Row],[Filas RDO]]=0,"Sin RDO","Cargado"))</f>
        <v>Pendiente</v>
      </c>
      <c r="K44" s="993">
        <f>COUNTIFS(tblControles[Fecha],tblDias[[#This Row],[Fecha]],tblControles[Turno],"&lt;&gt;Obs")</f>
        <v>0</v>
      </c>
      <c r="L44" s="994">
        <f>SUMIFS(tblParadas[Horas perdidas],tblParadas[Fecha],tblDias[[#This Row],[Fecha]])</f>
        <v>0</v>
      </c>
      <c r="M44" s="955"/>
      <c r="N44" s="953"/>
      <c r="O44" s="955"/>
    </row>
    <row r="45" spans="2:15">
      <c r="B45" s="953">
        <v>46300</v>
      </c>
      <c r="C45" t="str">
        <f>CHOOSE(WEEKDAY(tblDias[[#This Row],[Fecha]],2),"lun","mar","mié","jue","vie","sáb","dom")</f>
        <v>lun</v>
      </c>
      <c r="D45" s="955" t="s">
        <v>9256</v>
      </c>
      <c r="E45">
        <f>COUNTIFS(tblConcentrado[Fecha],tblDias[[#This Row],[Fecha]])</f>
        <v>0</v>
      </c>
      <c r="F45">
        <f t="shared" si="0"/>
        <v>24</v>
      </c>
      <c r="G45" s="979">
        <f>IF(tblDias[[#This Row],[Horas esperadas]]=0,0,tblDias[[#This Row],[Horas cargadas]]/tblDias[[#This Row],[Horas esperadas]])</f>
        <v>0</v>
      </c>
      <c r="H45" t="str">
        <f ca="1">IF(tblDias[[#This Row],[Fecha]]&gt;TODAY(),"Pendiente",IF(tblDias[[#This Row],[Horas cargadas]]=0,"Sin datos",IF(tblDias[[#This Row],[Horas cargadas]]&lt;tblDias[[#This Row],[Horas esperadas]],"Parcial","Completo")))</f>
        <v>Pendiente</v>
      </c>
      <c r="I45">
        <f>COUNTIFS(tblRDO[Fecha],tblDias[[#This Row],[Fecha]])</f>
        <v>0</v>
      </c>
      <c r="J45" t="str">
        <f ca="1">IF(tblDias[[#This Row],[Fecha]]&gt;TODAY(),"Pendiente",IF(tblDias[[#This Row],[Filas RDO]]=0,"Sin RDO","Cargado"))</f>
        <v>Pendiente</v>
      </c>
      <c r="K45" s="993">
        <f>COUNTIFS(tblControles[Fecha],tblDias[[#This Row],[Fecha]],tblControles[Turno],"&lt;&gt;Obs")</f>
        <v>0</v>
      </c>
      <c r="L45" s="994">
        <f>SUMIFS(tblParadas[Horas perdidas],tblParadas[Fecha],tblDias[[#This Row],[Fecha]])</f>
        <v>0</v>
      </c>
      <c r="M45" s="955"/>
      <c r="N45" s="953"/>
      <c r="O45" s="955"/>
    </row>
    <row r="46" spans="2:15">
      <c r="B46" s="953">
        <v>46301</v>
      </c>
      <c r="C46" t="str">
        <f>CHOOSE(WEEKDAY(tblDias[[#This Row],[Fecha]],2),"lun","mar","mié","jue","vie","sáb","dom")</f>
        <v>mar</v>
      </c>
      <c r="D46" s="955" t="s">
        <v>9256</v>
      </c>
      <c r="E46">
        <f>COUNTIFS(tblConcentrado[Fecha],tblDias[[#This Row],[Fecha]])</f>
        <v>0</v>
      </c>
      <c r="F46">
        <f t="shared" si="0"/>
        <v>24</v>
      </c>
      <c r="G46" s="979">
        <f>IF(tblDias[[#This Row],[Horas esperadas]]=0,0,tblDias[[#This Row],[Horas cargadas]]/tblDias[[#This Row],[Horas esperadas]])</f>
        <v>0</v>
      </c>
      <c r="H46" t="str">
        <f ca="1">IF(tblDias[[#This Row],[Fecha]]&gt;TODAY(),"Pendiente",IF(tblDias[[#This Row],[Horas cargadas]]=0,"Sin datos",IF(tblDias[[#This Row],[Horas cargadas]]&lt;tblDias[[#This Row],[Horas esperadas]],"Parcial","Completo")))</f>
        <v>Pendiente</v>
      </c>
      <c r="I46">
        <f>COUNTIFS(tblRDO[Fecha],tblDias[[#This Row],[Fecha]])</f>
        <v>0</v>
      </c>
      <c r="J46" t="str">
        <f ca="1">IF(tblDias[[#This Row],[Fecha]]&gt;TODAY(),"Pendiente",IF(tblDias[[#This Row],[Filas RDO]]=0,"Sin RDO","Cargado"))</f>
        <v>Pendiente</v>
      </c>
      <c r="K46" s="993">
        <f>COUNTIFS(tblControles[Fecha],tblDias[[#This Row],[Fecha]],tblControles[Turno],"&lt;&gt;Obs")</f>
        <v>0</v>
      </c>
      <c r="L46" s="994">
        <f>SUMIFS(tblParadas[Horas perdidas],tblParadas[Fecha],tblDias[[#This Row],[Fecha]])</f>
        <v>0</v>
      </c>
      <c r="M46" s="955"/>
      <c r="N46" s="953"/>
      <c r="O46" s="955"/>
    </row>
    <row r="47" spans="2:15">
      <c r="B47" s="953">
        <v>46302</v>
      </c>
      <c r="C47" t="str">
        <f>CHOOSE(WEEKDAY(tblDias[[#This Row],[Fecha]],2),"lun","mar","mié","jue","vie","sáb","dom")</f>
        <v>mié</v>
      </c>
      <c r="D47" s="955" t="s">
        <v>9256</v>
      </c>
      <c r="E47">
        <f>COUNTIFS(tblConcentrado[Fecha],tblDias[[#This Row],[Fecha]])</f>
        <v>0</v>
      </c>
      <c r="F47">
        <f t="shared" si="0"/>
        <v>24</v>
      </c>
      <c r="G47" s="979">
        <f>IF(tblDias[[#This Row],[Horas esperadas]]=0,0,tblDias[[#This Row],[Horas cargadas]]/tblDias[[#This Row],[Horas esperadas]])</f>
        <v>0</v>
      </c>
      <c r="H47" t="str">
        <f ca="1">IF(tblDias[[#This Row],[Fecha]]&gt;TODAY(),"Pendiente",IF(tblDias[[#This Row],[Horas cargadas]]=0,"Sin datos",IF(tblDias[[#This Row],[Horas cargadas]]&lt;tblDias[[#This Row],[Horas esperadas]],"Parcial","Completo")))</f>
        <v>Pendiente</v>
      </c>
      <c r="I47">
        <f>COUNTIFS(tblRDO[Fecha],tblDias[[#This Row],[Fecha]])</f>
        <v>0</v>
      </c>
      <c r="J47" t="str">
        <f ca="1">IF(tblDias[[#This Row],[Fecha]]&gt;TODAY(),"Pendiente",IF(tblDias[[#This Row],[Filas RDO]]=0,"Sin RDO","Cargado"))</f>
        <v>Pendiente</v>
      </c>
      <c r="K47" s="993">
        <f>COUNTIFS(tblControles[Fecha],tblDias[[#This Row],[Fecha]],tblControles[Turno],"&lt;&gt;Obs")</f>
        <v>0</v>
      </c>
      <c r="L47" s="994">
        <f>SUMIFS(tblParadas[Horas perdidas],tblParadas[Fecha],tblDias[[#This Row],[Fecha]])</f>
        <v>0</v>
      </c>
      <c r="M47" s="955"/>
      <c r="N47" s="953"/>
      <c r="O47" s="955"/>
    </row>
    <row r="48" spans="2:15">
      <c r="B48" s="953">
        <v>46303</v>
      </c>
      <c r="C48" t="str">
        <f>CHOOSE(WEEKDAY(tblDias[[#This Row],[Fecha]],2),"lun","mar","mié","jue","vie","sáb","dom")</f>
        <v>jue</v>
      </c>
      <c r="D48" s="955" t="s">
        <v>9256</v>
      </c>
      <c r="E48">
        <f>COUNTIFS(tblConcentrado[Fecha],tblDias[[#This Row],[Fecha]])</f>
        <v>0</v>
      </c>
      <c r="F48">
        <f t="shared" si="0"/>
        <v>24</v>
      </c>
      <c r="G48" s="979">
        <f>IF(tblDias[[#This Row],[Horas esperadas]]=0,0,tblDias[[#This Row],[Horas cargadas]]/tblDias[[#This Row],[Horas esperadas]])</f>
        <v>0</v>
      </c>
      <c r="H48" t="str">
        <f ca="1">IF(tblDias[[#This Row],[Fecha]]&gt;TODAY(),"Pendiente",IF(tblDias[[#This Row],[Horas cargadas]]=0,"Sin datos",IF(tblDias[[#This Row],[Horas cargadas]]&lt;tblDias[[#This Row],[Horas esperadas]],"Parcial","Completo")))</f>
        <v>Pendiente</v>
      </c>
      <c r="I48">
        <f>COUNTIFS(tblRDO[Fecha],tblDias[[#This Row],[Fecha]])</f>
        <v>0</v>
      </c>
      <c r="J48" t="str">
        <f ca="1">IF(tblDias[[#This Row],[Fecha]]&gt;TODAY(),"Pendiente",IF(tblDias[[#This Row],[Filas RDO]]=0,"Sin RDO","Cargado"))</f>
        <v>Pendiente</v>
      </c>
      <c r="K48" s="993">
        <f>COUNTIFS(tblControles[Fecha],tblDias[[#This Row],[Fecha]],tblControles[Turno],"&lt;&gt;Obs")</f>
        <v>0</v>
      </c>
      <c r="L48" s="994">
        <f>SUMIFS(tblParadas[Horas perdidas],tblParadas[Fecha],tblDias[[#This Row],[Fecha]])</f>
        <v>0</v>
      </c>
      <c r="M48" s="955"/>
      <c r="N48" s="953"/>
      <c r="O48" s="955"/>
    </row>
    <row r="49" spans="2:15">
      <c r="B49" s="953">
        <v>46304</v>
      </c>
      <c r="C49" t="str">
        <f>CHOOSE(WEEKDAY(tblDias[[#This Row],[Fecha]],2),"lun","mar","mié","jue","vie","sáb","dom")</f>
        <v>vie</v>
      </c>
      <c r="D49" s="955" t="s">
        <v>9256</v>
      </c>
      <c r="E49">
        <f>COUNTIFS(tblConcentrado[Fecha],tblDias[[#This Row],[Fecha]])</f>
        <v>0</v>
      </c>
      <c r="F49">
        <f t="shared" si="0"/>
        <v>24</v>
      </c>
      <c r="G49" s="979">
        <f>IF(tblDias[[#This Row],[Horas esperadas]]=0,0,tblDias[[#This Row],[Horas cargadas]]/tblDias[[#This Row],[Horas esperadas]])</f>
        <v>0</v>
      </c>
      <c r="H49" t="str">
        <f ca="1">IF(tblDias[[#This Row],[Fecha]]&gt;TODAY(),"Pendiente",IF(tblDias[[#This Row],[Horas cargadas]]=0,"Sin datos",IF(tblDias[[#This Row],[Horas cargadas]]&lt;tblDias[[#This Row],[Horas esperadas]],"Parcial","Completo")))</f>
        <v>Pendiente</v>
      </c>
      <c r="I49">
        <f>COUNTIFS(tblRDO[Fecha],tblDias[[#This Row],[Fecha]])</f>
        <v>0</v>
      </c>
      <c r="J49" t="str">
        <f ca="1">IF(tblDias[[#This Row],[Fecha]]&gt;TODAY(),"Pendiente",IF(tblDias[[#This Row],[Filas RDO]]=0,"Sin RDO","Cargado"))</f>
        <v>Pendiente</v>
      </c>
      <c r="K49" s="993">
        <f>COUNTIFS(tblControles[Fecha],tblDias[[#This Row],[Fecha]],tblControles[Turno],"&lt;&gt;Obs")</f>
        <v>0</v>
      </c>
      <c r="L49" s="994">
        <f>SUMIFS(tblParadas[Horas perdidas],tblParadas[Fecha],tblDias[[#This Row],[Fecha]])</f>
        <v>0</v>
      </c>
      <c r="M49" s="955"/>
      <c r="N49" s="953"/>
      <c r="O49" s="955"/>
    </row>
    <row r="50" spans="2:15">
      <c r="B50" s="953">
        <v>46305</v>
      </c>
      <c r="C50" t="str">
        <f>CHOOSE(WEEKDAY(tblDias[[#This Row],[Fecha]],2),"lun","mar","mié","jue","vie","sáb","dom")</f>
        <v>sáb</v>
      </c>
      <c r="D50" s="955" t="s">
        <v>9256</v>
      </c>
      <c r="E50">
        <f>COUNTIFS(tblConcentrado[Fecha],tblDias[[#This Row],[Fecha]])</f>
        <v>0</v>
      </c>
      <c r="F50">
        <f t="shared" si="0"/>
        <v>24</v>
      </c>
      <c r="G50" s="979">
        <f>IF(tblDias[[#This Row],[Horas esperadas]]=0,0,tblDias[[#This Row],[Horas cargadas]]/tblDias[[#This Row],[Horas esperadas]])</f>
        <v>0</v>
      </c>
      <c r="H50" t="str">
        <f ca="1">IF(tblDias[[#This Row],[Fecha]]&gt;TODAY(),"Pendiente",IF(tblDias[[#This Row],[Horas cargadas]]=0,"Sin datos",IF(tblDias[[#This Row],[Horas cargadas]]&lt;tblDias[[#This Row],[Horas esperadas]],"Parcial","Completo")))</f>
        <v>Pendiente</v>
      </c>
      <c r="I50">
        <f>COUNTIFS(tblRDO[Fecha],tblDias[[#This Row],[Fecha]])</f>
        <v>0</v>
      </c>
      <c r="J50" t="str">
        <f ca="1">IF(tblDias[[#This Row],[Fecha]]&gt;TODAY(),"Pendiente",IF(tblDias[[#This Row],[Filas RDO]]=0,"Sin RDO","Cargado"))</f>
        <v>Pendiente</v>
      </c>
      <c r="K50" s="993">
        <f>COUNTIFS(tblControles[Fecha],tblDias[[#This Row],[Fecha]],tblControles[Turno],"&lt;&gt;Obs")</f>
        <v>0</v>
      </c>
      <c r="L50" s="994">
        <f>SUMIFS(tblParadas[Horas perdidas],tblParadas[Fecha],tblDias[[#This Row],[Fecha]])</f>
        <v>0</v>
      </c>
      <c r="M50" s="955"/>
      <c r="N50" s="953"/>
      <c r="O50" s="955"/>
    </row>
    <row r="51" spans="2:15">
      <c r="B51" s="953">
        <v>46306</v>
      </c>
      <c r="C51" t="str">
        <f>CHOOSE(WEEKDAY(tblDias[[#This Row],[Fecha]],2),"lun","mar","mié","jue","vie","sáb","dom")</f>
        <v>dom</v>
      </c>
      <c r="D51" s="955" t="s">
        <v>9256</v>
      </c>
      <c r="E51">
        <f>COUNTIFS(tblConcentrado[Fecha],tblDias[[#This Row],[Fecha]])</f>
        <v>0</v>
      </c>
      <c r="F51">
        <f t="shared" si="0"/>
        <v>24</v>
      </c>
      <c r="G51" s="979">
        <f>IF(tblDias[[#This Row],[Horas esperadas]]=0,0,tblDias[[#This Row],[Horas cargadas]]/tblDias[[#This Row],[Horas esperadas]])</f>
        <v>0</v>
      </c>
      <c r="H51" t="str">
        <f ca="1">IF(tblDias[[#This Row],[Fecha]]&gt;TODAY(),"Pendiente",IF(tblDias[[#This Row],[Horas cargadas]]=0,"Sin datos",IF(tblDias[[#This Row],[Horas cargadas]]&lt;tblDias[[#This Row],[Horas esperadas]],"Parcial","Completo")))</f>
        <v>Pendiente</v>
      </c>
      <c r="I51">
        <f>COUNTIFS(tblRDO[Fecha],tblDias[[#This Row],[Fecha]])</f>
        <v>0</v>
      </c>
      <c r="J51" t="str">
        <f ca="1">IF(tblDias[[#This Row],[Fecha]]&gt;TODAY(),"Pendiente",IF(tblDias[[#This Row],[Filas RDO]]=0,"Sin RDO","Cargado"))</f>
        <v>Pendiente</v>
      </c>
      <c r="K51" s="993">
        <f>COUNTIFS(tblControles[Fecha],tblDias[[#This Row],[Fecha]],tblControles[Turno],"&lt;&gt;Obs")</f>
        <v>0</v>
      </c>
      <c r="L51" s="994">
        <f>SUMIFS(tblParadas[Horas perdidas],tblParadas[Fecha],tblDias[[#This Row],[Fecha]])</f>
        <v>0</v>
      </c>
      <c r="M51" s="955"/>
      <c r="N51" s="953"/>
      <c r="O51" s="955"/>
    </row>
    <row r="52" spans="2:15">
      <c r="B52" s="953">
        <v>46307</v>
      </c>
      <c r="C52" t="str">
        <f>CHOOSE(WEEKDAY(tblDias[[#This Row],[Fecha]],2),"lun","mar","mié","jue","vie","sáb","dom")</f>
        <v>lun</v>
      </c>
      <c r="D52" s="955" t="s">
        <v>9256</v>
      </c>
      <c r="E52">
        <f>COUNTIFS(tblConcentrado[Fecha],tblDias[[#This Row],[Fecha]])</f>
        <v>0</v>
      </c>
      <c r="F52">
        <f t="shared" si="0"/>
        <v>24</v>
      </c>
      <c r="G52" s="979">
        <f>IF(tblDias[[#This Row],[Horas esperadas]]=0,0,tblDias[[#This Row],[Horas cargadas]]/tblDias[[#This Row],[Horas esperadas]])</f>
        <v>0</v>
      </c>
      <c r="H52" t="str">
        <f ca="1">IF(tblDias[[#This Row],[Fecha]]&gt;TODAY(),"Pendiente",IF(tblDias[[#This Row],[Horas cargadas]]=0,"Sin datos",IF(tblDias[[#This Row],[Horas cargadas]]&lt;tblDias[[#This Row],[Horas esperadas]],"Parcial","Completo")))</f>
        <v>Pendiente</v>
      </c>
      <c r="I52">
        <f>COUNTIFS(tblRDO[Fecha],tblDias[[#This Row],[Fecha]])</f>
        <v>0</v>
      </c>
      <c r="J52" t="str">
        <f ca="1">IF(tblDias[[#This Row],[Fecha]]&gt;TODAY(),"Pendiente",IF(tblDias[[#This Row],[Filas RDO]]=0,"Sin RDO","Cargado"))</f>
        <v>Pendiente</v>
      </c>
      <c r="K52" s="993">
        <f>COUNTIFS(tblControles[Fecha],tblDias[[#This Row],[Fecha]],tblControles[Turno],"&lt;&gt;Obs")</f>
        <v>0</v>
      </c>
      <c r="L52" s="994">
        <f>SUMIFS(tblParadas[Horas perdidas],tblParadas[Fecha],tblDias[[#This Row],[Fecha]])</f>
        <v>0</v>
      </c>
      <c r="M52" s="955"/>
      <c r="N52" s="953"/>
      <c r="O52" s="955"/>
    </row>
    <row r="53" spans="2:15">
      <c r="B53" s="953">
        <v>46308</v>
      </c>
      <c r="C53" t="str">
        <f>CHOOSE(WEEKDAY(tblDias[[#This Row],[Fecha]],2),"lun","mar","mié","jue","vie","sáb","dom")</f>
        <v>mar</v>
      </c>
      <c r="D53" s="955" t="s">
        <v>9256</v>
      </c>
      <c r="E53">
        <f>COUNTIFS(tblConcentrado[Fecha],tblDias[[#This Row],[Fecha]])</f>
        <v>0</v>
      </c>
      <c r="F53">
        <f t="shared" si="0"/>
        <v>24</v>
      </c>
      <c r="G53" s="979">
        <f>IF(tblDias[[#This Row],[Horas esperadas]]=0,0,tblDias[[#This Row],[Horas cargadas]]/tblDias[[#This Row],[Horas esperadas]])</f>
        <v>0</v>
      </c>
      <c r="H53" t="str">
        <f ca="1">IF(tblDias[[#This Row],[Fecha]]&gt;TODAY(),"Pendiente",IF(tblDias[[#This Row],[Horas cargadas]]=0,"Sin datos",IF(tblDias[[#This Row],[Horas cargadas]]&lt;tblDias[[#This Row],[Horas esperadas]],"Parcial","Completo")))</f>
        <v>Pendiente</v>
      </c>
      <c r="I53">
        <f>COUNTIFS(tblRDO[Fecha],tblDias[[#This Row],[Fecha]])</f>
        <v>0</v>
      </c>
      <c r="J53" t="str">
        <f ca="1">IF(tblDias[[#This Row],[Fecha]]&gt;TODAY(),"Pendiente",IF(tblDias[[#This Row],[Filas RDO]]=0,"Sin RDO","Cargado"))</f>
        <v>Pendiente</v>
      </c>
      <c r="K53" s="993">
        <f>COUNTIFS(tblControles[Fecha],tblDias[[#This Row],[Fecha]],tblControles[Turno],"&lt;&gt;Obs")</f>
        <v>0</v>
      </c>
      <c r="L53" s="994">
        <f>SUMIFS(tblParadas[Horas perdidas],tblParadas[Fecha],tblDias[[#This Row],[Fecha]])</f>
        <v>0</v>
      </c>
      <c r="M53" s="955"/>
      <c r="N53" s="953"/>
      <c r="O53" s="955"/>
    </row>
    <row r="54" spans="2:15">
      <c r="B54" s="953">
        <v>46309</v>
      </c>
      <c r="C54" t="str">
        <f>CHOOSE(WEEKDAY(tblDias[[#This Row],[Fecha]],2),"lun","mar","mié","jue","vie","sáb","dom")</f>
        <v>mié</v>
      </c>
      <c r="D54" s="955" t="s">
        <v>9256</v>
      </c>
      <c r="E54">
        <f>COUNTIFS(tblConcentrado[Fecha],tblDias[[#This Row],[Fecha]])</f>
        <v>0</v>
      </c>
      <c r="F54">
        <f t="shared" si="0"/>
        <v>24</v>
      </c>
      <c r="G54" s="979">
        <f>IF(tblDias[[#This Row],[Horas esperadas]]=0,0,tblDias[[#This Row],[Horas cargadas]]/tblDias[[#This Row],[Horas esperadas]])</f>
        <v>0</v>
      </c>
      <c r="H54" t="str">
        <f ca="1">IF(tblDias[[#This Row],[Fecha]]&gt;TODAY(),"Pendiente",IF(tblDias[[#This Row],[Horas cargadas]]=0,"Sin datos",IF(tblDias[[#This Row],[Horas cargadas]]&lt;tblDias[[#This Row],[Horas esperadas]],"Parcial","Completo")))</f>
        <v>Pendiente</v>
      </c>
      <c r="I54">
        <f>COUNTIFS(tblRDO[Fecha],tblDias[[#This Row],[Fecha]])</f>
        <v>0</v>
      </c>
      <c r="J54" t="str">
        <f ca="1">IF(tblDias[[#This Row],[Fecha]]&gt;TODAY(),"Pendiente",IF(tblDias[[#This Row],[Filas RDO]]=0,"Sin RDO","Cargado"))</f>
        <v>Pendiente</v>
      </c>
      <c r="K54" s="993">
        <f>COUNTIFS(tblControles[Fecha],tblDias[[#This Row],[Fecha]],tblControles[Turno],"&lt;&gt;Obs")</f>
        <v>0</v>
      </c>
      <c r="L54" s="994">
        <f>SUMIFS(tblParadas[Horas perdidas],tblParadas[Fecha],tblDias[[#This Row],[Fecha]])</f>
        <v>0</v>
      </c>
      <c r="M54" s="955"/>
      <c r="N54" s="953"/>
      <c r="O54" s="955"/>
    </row>
    <row r="55" spans="2:15">
      <c r="B55" s="953">
        <v>46310</v>
      </c>
      <c r="C55" t="str">
        <f>CHOOSE(WEEKDAY(tblDias[[#This Row],[Fecha]],2),"lun","mar","mié","jue","vie","sáb","dom")</f>
        <v>jue</v>
      </c>
      <c r="D55" s="955" t="s">
        <v>9256</v>
      </c>
      <c r="E55">
        <f>COUNTIFS(tblConcentrado[Fecha],tblDias[[#This Row],[Fecha]])</f>
        <v>0</v>
      </c>
      <c r="F55">
        <f t="shared" si="0"/>
        <v>24</v>
      </c>
      <c r="G55" s="979">
        <f>IF(tblDias[[#This Row],[Horas esperadas]]=0,0,tblDias[[#This Row],[Horas cargadas]]/tblDias[[#This Row],[Horas esperadas]])</f>
        <v>0</v>
      </c>
      <c r="H55" t="str">
        <f ca="1">IF(tblDias[[#This Row],[Fecha]]&gt;TODAY(),"Pendiente",IF(tblDias[[#This Row],[Horas cargadas]]=0,"Sin datos",IF(tblDias[[#This Row],[Horas cargadas]]&lt;tblDias[[#This Row],[Horas esperadas]],"Parcial","Completo")))</f>
        <v>Pendiente</v>
      </c>
      <c r="I55">
        <f>COUNTIFS(tblRDO[Fecha],tblDias[[#This Row],[Fecha]])</f>
        <v>0</v>
      </c>
      <c r="J55" t="str">
        <f ca="1">IF(tblDias[[#This Row],[Fecha]]&gt;TODAY(),"Pendiente",IF(tblDias[[#This Row],[Filas RDO]]=0,"Sin RDO","Cargado"))</f>
        <v>Pendiente</v>
      </c>
      <c r="K55" s="993">
        <f>COUNTIFS(tblControles[Fecha],tblDias[[#This Row],[Fecha]],tblControles[Turno],"&lt;&gt;Obs")</f>
        <v>0</v>
      </c>
      <c r="L55" s="994">
        <f>SUMIFS(tblParadas[Horas perdidas],tblParadas[Fecha],tblDias[[#This Row],[Fecha]])</f>
        <v>0</v>
      </c>
      <c r="M55" s="955"/>
      <c r="N55" s="953"/>
      <c r="O55" s="955"/>
    </row>
    <row r="56" spans="2:15">
      <c r="B56" s="953">
        <v>46311</v>
      </c>
      <c r="C56" t="str">
        <f>CHOOSE(WEEKDAY(tblDias[[#This Row],[Fecha]],2),"lun","mar","mié","jue","vie","sáb","dom")</f>
        <v>vie</v>
      </c>
      <c r="D56" s="955" t="s">
        <v>9256</v>
      </c>
      <c r="E56">
        <f>COUNTIFS(tblConcentrado[Fecha],tblDias[[#This Row],[Fecha]])</f>
        <v>0</v>
      </c>
      <c r="F56">
        <f t="shared" si="0"/>
        <v>24</v>
      </c>
      <c r="G56" s="979">
        <f>IF(tblDias[[#This Row],[Horas esperadas]]=0,0,tblDias[[#This Row],[Horas cargadas]]/tblDias[[#This Row],[Horas esperadas]])</f>
        <v>0</v>
      </c>
      <c r="H56" t="str">
        <f ca="1">IF(tblDias[[#This Row],[Fecha]]&gt;TODAY(),"Pendiente",IF(tblDias[[#This Row],[Horas cargadas]]=0,"Sin datos",IF(tblDias[[#This Row],[Horas cargadas]]&lt;tblDias[[#This Row],[Horas esperadas]],"Parcial","Completo")))</f>
        <v>Pendiente</v>
      </c>
      <c r="I56">
        <f>COUNTIFS(tblRDO[Fecha],tblDias[[#This Row],[Fecha]])</f>
        <v>0</v>
      </c>
      <c r="J56" t="str">
        <f ca="1">IF(tblDias[[#This Row],[Fecha]]&gt;TODAY(),"Pendiente",IF(tblDias[[#This Row],[Filas RDO]]=0,"Sin RDO","Cargado"))</f>
        <v>Pendiente</v>
      </c>
      <c r="K56" s="993">
        <f>COUNTIFS(tblControles[Fecha],tblDias[[#This Row],[Fecha]],tblControles[Turno],"&lt;&gt;Obs")</f>
        <v>0</v>
      </c>
      <c r="L56" s="994">
        <f>SUMIFS(tblParadas[Horas perdidas],tblParadas[Fecha],tblDias[[#This Row],[Fecha]])</f>
        <v>0</v>
      </c>
      <c r="M56" s="955"/>
      <c r="N56" s="953"/>
      <c r="O56" s="955"/>
    </row>
    <row r="57" spans="2:15">
      <c r="B57" s="953">
        <v>46312</v>
      </c>
      <c r="C57" t="str">
        <f>CHOOSE(WEEKDAY(tblDias[[#This Row],[Fecha]],2),"lun","mar","mié","jue","vie","sáb","dom")</f>
        <v>sáb</v>
      </c>
      <c r="D57" s="955" t="s">
        <v>9256</v>
      </c>
      <c r="E57">
        <f>COUNTIFS(tblConcentrado[Fecha],tblDias[[#This Row],[Fecha]])</f>
        <v>0</v>
      </c>
      <c r="F57">
        <f t="shared" si="0"/>
        <v>24</v>
      </c>
      <c r="G57" s="979">
        <f>IF(tblDias[[#This Row],[Horas esperadas]]=0,0,tblDias[[#This Row],[Horas cargadas]]/tblDias[[#This Row],[Horas esperadas]])</f>
        <v>0</v>
      </c>
      <c r="H57" t="str">
        <f ca="1">IF(tblDias[[#This Row],[Fecha]]&gt;TODAY(),"Pendiente",IF(tblDias[[#This Row],[Horas cargadas]]=0,"Sin datos",IF(tblDias[[#This Row],[Horas cargadas]]&lt;tblDias[[#This Row],[Horas esperadas]],"Parcial","Completo")))</f>
        <v>Pendiente</v>
      </c>
      <c r="I57">
        <f>COUNTIFS(tblRDO[Fecha],tblDias[[#This Row],[Fecha]])</f>
        <v>0</v>
      </c>
      <c r="J57" t="str">
        <f ca="1">IF(tblDias[[#This Row],[Fecha]]&gt;TODAY(),"Pendiente",IF(tblDias[[#This Row],[Filas RDO]]=0,"Sin RDO","Cargado"))</f>
        <v>Pendiente</v>
      </c>
      <c r="K57" s="993">
        <f>COUNTIFS(tblControles[Fecha],tblDias[[#This Row],[Fecha]],tblControles[Turno],"&lt;&gt;Obs")</f>
        <v>0</v>
      </c>
      <c r="L57" s="994">
        <f>SUMIFS(tblParadas[Horas perdidas],tblParadas[Fecha],tblDias[[#This Row],[Fecha]])</f>
        <v>0</v>
      </c>
      <c r="M57" s="955"/>
      <c r="N57" s="953"/>
      <c r="O57" s="955"/>
    </row>
    <row r="58" spans="2:15">
      <c r="B58" s="953">
        <v>46313</v>
      </c>
      <c r="C58" t="str">
        <f>CHOOSE(WEEKDAY(tblDias[[#This Row],[Fecha]],2),"lun","mar","mié","jue","vie","sáb","dom")</f>
        <v>dom</v>
      </c>
      <c r="D58" s="955" t="s">
        <v>9256</v>
      </c>
      <c r="E58">
        <f>COUNTIFS(tblConcentrado[Fecha],tblDias[[#This Row],[Fecha]])</f>
        <v>0</v>
      </c>
      <c r="F58">
        <f t="shared" si="0"/>
        <v>24</v>
      </c>
      <c r="G58" s="979">
        <f>IF(tblDias[[#This Row],[Horas esperadas]]=0,0,tblDias[[#This Row],[Horas cargadas]]/tblDias[[#This Row],[Horas esperadas]])</f>
        <v>0</v>
      </c>
      <c r="H58" t="str">
        <f ca="1">IF(tblDias[[#This Row],[Fecha]]&gt;TODAY(),"Pendiente",IF(tblDias[[#This Row],[Horas cargadas]]=0,"Sin datos",IF(tblDias[[#This Row],[Horas cargadas]]&lt;tblDias[[#This Row],[Horas esperadas]],"Parcial","Completo")))</f>
        <v>Pendiente</v>
      </c>
      <c r="I58">
        <f>COUNTIFS(tblRDO[Fecha],tblDias[[#This Row],[Fecha]])</f>
        <v>0</v>
      </c>
      <c r="J58" t="str">
        <f ca="1">IF(tblDias[[#This Row],[Fecha]]&gt;TODAY(),"Pendiente",IF(tblDias[[#This Row],[Filas RDO]]=0,"Sin RDO","Cargado"))</f>
        <v>Pendiente</v>
      </c>
      <c r="K58" s="993">
        <f>COUNTIFS(tblControles[Fecha],tblDias[[#This Row],[Fecha]],tblControles[Turno],"&lt;&gt;Obs")</f>
        <v>0</v>
      </c>
      <c r="L58" s="994">
        <f>SUMIFS(tblParadas[Horas perdidas],tblParadas[Fecha],tblDias[[#This Row],[Fecha]])</f>
        <v>0</v>
      </c>
      <c r="M58" s="955"/>
      <c r="N58" s="953"/>
      <c r="O58" s="955"/>
    </row>
    <row r="59" spans="2:15">
      <c r="B59" s="953">
        <v>46314</v>
      </c>
      <c r="C59" t="str">
        <f>CHOOSE(WEEKDAY(tblDias[[#This Row],[Fecha]],2),"lun","mar","mié","jue","vie","sáb","dom")</f>
        <v>lun</v>
      </c>
      <c r="D59" s="955" t="s">
        <v>9256</v>
      </c>
      <c r="E59">
        <f>COUNTIFS(tblConcentrado[Fecha],tblDias[[#This Row],[Fecha]])</f>
        <v>0</v>
      </c>
      <c r="F59">
        <f t="shared" si="0"/>
        <v>24</v>
      </c>
      <c r="G59" s="979">
        <f>IF(tblDias[[#This Row],[Horas esperadas]]=0,0,tblDias[[#This Row],[Horas cargadas]]/tblDias[[#This Row],[Horas esperadas]])</f>
        <v>0</v>
      </c>
      <c r="H59" t="str">
        <f ca="1">IF(tblDias[[#This Row],[Fecha]]&gt;TODAY(),"Pendiente",IF(tblDias[[#This Row],[Horas cargadas]]=0,"Sin datos",IF(tblDias[[#This Row],[Horas cargadas]]&lt;tblDias[[#This Row],[Horas esperadas]],"Parcial","Completo")))</f>
        <v>Pendiente</v>
      </c>
      <c r="I59">
        <f>COUNTIFS(tblRDO[Fecha],tblDias[[#This Row],[Fecha]])</f>
        <v>0</v>
      </c>
      <c r="J59" t="str">
        <f ca="1">IF(tblDias[[#This Row],[Fecha]]&gt;TODAY(),"Pendiente",IF(tblDias[[#This Row],[Filas RDO]]=0,"Sin RDO","Cargado"))</f>
        <v>Pendiente</v>
      </c>
      <c r="K59" s="993">
        <f>COUNTIFS(tblControles[Fecha],tblDias[[#This Row],[Fecha]],tblControles[Turno],"&lt;&gt;Obs")</f>
        <v>0</v>
      </c>
      <c r="L59" s="994">
        <f>SUMIFS(tblParadas[Horas perdidas],tblParadas[Fecha],tblDias[[#This Row],[Fecha]])</f>
        <v>0</v>
      </c>
      <c r="M59" s="955"/>
      <c r="N59" s="953"/>
      <c r="O59" s="955"/>
    </row>
    <row r="60" spans="2:15">
      <c r="B60" s="953">
        <v>46315</v>
      </c>
      <c r="C60" t="str">
        <f>CHOOSE(WEEKDAY(tblDias[[#This Row],[Fecha]],2),"lun","mar","mié","jue","vie","sáb","dom")</f>
        <v>mar</v>
      </c>
      <c r="D60" s="955" t="s">
        <v>9256</v>
      </c>
      <c r="E60">
        <f>COUNTIFS(tblConcentrado[Fecha],tblDias[[#This Row],[Fecha]])</f>
        <v>0</v>
      </c>
      <c r="F60">
        <f t="shared" si="0"/>
        <v>24</v>
      </c>
      <c r="G60" s="979">
        <f>IF(tblDias[[#This Row],[Horas esperadas]]=0,0,tblDias[[#This Row],[Horas cargadas]]/tblDias[[#This Row],[Horas esperadas]])</f>
        <v>0</v>
      </c>
      <c r="H60" t="str">
        <f ca="1">IF(tblDias[[#This Row],[Fecha]]&gt;TODAY(),"Pendiente",IF(tblDias[[#This Row],[Horas cargadas]]=0,"Sin datos",IF(tblDias[[#This Row],[Horas cargadas]]&lt;tblDias[[#This Row],[Horas esperadas]],"Parcial","Completo")))</f>
        <v>Pendiente</v>
      </c>
      <c r="I60">
        <f>COUNTIFS(tblRDO[Fecha],tblDias[[#This Row],[Fecha]])</f>
        <v>0</v>
      </c>
      <c r="J60" t="str">
        <f ca="1">IF(tblDias[[#This Row],[Fecha]]&gt;TODAY(),"Pendiente",IF(tblDias[[#This Row],[Filas RDO]]=0,"Sin RDO","Cargado"))</f>
        <v>Pendiente</v>
      </c>
      <c r="K60" s="993">
        <f>COUNTIFS(tblControles[Fecha],tblDias[[#This Row],[Fecha]],tblControles[Turno],"&lt;&gt;Obs")</f>
        <v>0</v>
      </c>
      <c r="L60" s="994">
        <f>SUMIFS(tblParadas[Horas perdidas],tblParadas[Fecha],tblDias[[#This Row],[Fecha]])</f>
        <v>0</v>
      </c>
      <c r="M60" s="955"/>
      <c r="N60" s="953"/>
      <c r="O60" s="955"/>
    </row>
    <row r="61" spans="2:15">
      <c r="B61" s="953">
        <v>46316</v>
      </c>
      <c r="C61" t="str">
        <f>CHOOSE(WEEKDAY(tblDias[[#This Row],[Fecha]],2),"lun","mar","mié","jue","vie","sáb","dom")</f>
        <v>mié</v>
      </c>
      <c r="D61" s="955" t="s">
        <v>9256</v>
      </c>
      <c r="E61">
        <f>COUNTIFS(tblConcentrado[Fecha],tblDias[[#This Row],[Fecha]])</f>
        <v>0</v>
      </c>
      <c r="F61">
        <f t="shared" si="0"/>
        <v>24</v>
      </c>
      <c r="G61" s="979">
        <f>IF(tblDias[[#This Row],[Horas esperadas]]=0,0,tblDias[[#This Row],[Horas cargadas]]/tblDias[[#This Row],[Horas esperadas]])</f>
        <v>0</v>
      </c>
      <c r="H61" t="str">
        <f ca="1">IF(tblDias[[#This Row],[Fecha]]&gt;TODAY(),"Pendiente",IF(tblDias[[#This Row],[Horas cargadas]]=0,"Sin datos",IF(tblDias[[#This Row],[Horas cargadas]]&lt;tblDias[[#This Row],[Horas esperadas]],"Parcial","Completo")))</f>
        <v>Pendiente</v>
      </c>
      <c r="I61">
        <f>COUNTIFS(tblRDO[Fecha],tblDias[[#This Row],[Fecha]])</f>
        <v>0</v>
      </c>
      <c r="J61" t="str">
        <f ca="1">IF(tblDias[[#This Row],[Fecha]]&gt;TODAY(),"Pendiente",IF(tblDias[[#This Row],[Filas RDO]]=0,"Sin RDO","Cargado"))</f>
        <v>Pendiente</v>
      </c>
      <c r="K61" s="993">
        <f>COUNTIFS(tblControles[Fecha],tblDias[[#This Row],[Fecha]],tblControles[Turno],"&lt;&gt;Obs")</f>
        <v>0</v>
      </c>
      <c r="L61" s="994">
        <f>SUMIFS(tblParadas[Horas perdidas],tblParadas[Fecha],tblDias[[#This Row],[Fecha]])</f>
        <v>0</v>
      </c>
      <c r="M61" s="955"/>
      <c r="N61" s="953"/>
      <c r="O61" s="955"/>
    </row>
    <row r="62" spans="2:15">
      <c r="B62" s="953">
        <v>46317</v>
      </c>
      <c r="C62" t="str">
        <f>CHOOSE(WEEKDAY(tblDias[[#This Row],[Fecha]],2),"lun","mar","mié","jue","vie","sáb","dom")</f>
        <v>jue</v>
      </c>
      <c r="D62" s="955" t="s">
        <v>9256</v>
      </c>
      <c r="E62">
        <f>COUNTIFS(tblConcentrado[Fecha],tblDias[[#This Row],[Fecha]])</f>
        <v>0</v>
      </c>
      <c r="F62">
        <f t="shared" si="0"/>
        <v>24</v>
      </c>
      <c r="G62" s="979">
        <f>IF(tblDias[[#This Row],[Horas esperadas]]=0,0,tblDias[[#This Row],[Horas cargadas]]/tblDias[[#This Row],[Horas esperadas]])</f>
        <v>0</v>
      </c>
      <c r="H62" t="str">
        <f ca="1">IF(tblDias[[#This Row],[Fecha]]&gt;TODAY(),"Pendiente",IF(tblDias[[#This Row],[Horas cargadas]]=0,"Sin datos",IF(tblDias[[#This Row],[Horas cargadas]]&lt;tblDias[[#This Row],[Horas esperadas]],"Parcial","Completo")))</f>
        <v>Pendiente</v>
      </c>
      <c r="I62">
        <f>COUNTIFS(tblRDO[Fecha],tblDias[[#This Row],[Fecha]])</f>
        <v>0</v>
      </c>
      <c r="J62" t="str">
        <f ca="1">IF(tblDias[[#This Row],[Fecha]]&gt;TODAY(),"Pendiente",IF(tblDias[[#This Row],[Filas RDO]]=0,"Sin RDO","Cargado"))</f>
        <v>Pendiente</v>
      </c>
      <c r="K62" s="993">
        <f>COUNTIFS(tblControles[Fecha],tblDias[[#This Row],[Fecha]],tblControles[Turno],"&lt;&gt;Obs")</f>
        <v>0</v>
      </c>
      <c r="L62" s="994">
        <f>SUMIFS(tblParadas[Horas perdidas],tblParadas[Fecha],tblDias[[#This Row],[Fecha]])</f>
        <v>0</v>
      </c>
      <c r="M62" s="955"/>
      <c r="N62" s="953"/>
      <c r="O62" s="955"/>
    </row>
    <row r="63" spans="2:15">
      <c r="B63" s="953">
        <v>46318</v>
      </c>
      <c r="C63" t="str">
        <f>CHOOSE(WEEKDAY(tblDias[[#This Row],[Fecha]],2),"lun","mar","mié","jue","vie","sáb","dom")</f>
        <v>vie</v>
      </c>
      <c r="D63" s="955" t="s">
        <v>9256</v>
      </c>
      <c r="E63">
        <f>COUNTIFS(tblConcentrado[Fecha],tblDias[[#This Row],[Fecha]])</f>
        <v>0</v>
      </c>
      <c r="F63">
        <f t="shared" si="0"/>
        <v>24</v>
      </c>
      <c r="G63" s="979">
        <f>IF(tblDias[[#This Row],[Horas esperadas]]=0,0,tblDias[[#This Row],[Horas cargadas]]/tblDias[[#This Row],[Horas esperadas]])</f>
        <v>0</v>
      </c>
      <c r="H63" t="str">
        <f ca="1">IF(tblDias[[#This Row],[Fecha]]&gt;TODAY(),"Pendiente",IF(tblDias[[#This Row],[Horas cargadas]]=0,"Sin datos",IF(tblDias[[#This Row],[Horas cargadas]]&lt;tblDias[[#This Row],[Horas esperadas]],"Parcial","Completo")))</f>
        <v>Pendiente</v>
      </c>
      <c r="I63">
        <f>COUNTIFS(tblRDO[Fecha],tblDias[[#This Row],[Fecha]])</f>
        <v>0</v>
      </c>
      <c r="J63" t="str">
        <f ca="1">IF(tblDias[[#This Row],[Fecha]]&gt;TODAY(),"Pendiente",IF(tblDias[[#This Row],[Filas RDO]]=0,"Sin RDO","Cargado"))</f>
        <v>Pendiente</v>
      </c>
      <c r="K63" s="993">
        <f>COUNTIFS(tblControles[Fecha],tblDias[[#This Row],[Fecha]],tblControles[Turno],"&lt;&gt;Obs")</f>
        <v>0</v>
      </c>
      <c r="L63" s="994">
        <f>SUMIFS(tblParadas[Horas perdidas],tblParadas[Fecha],tblDias[[#This Row],[Fecha]])</f>
        <v>0</v>
      </c>
      <c r="M63" s="955"/>
      <c r="N63" s="953"/>
      <c r="O63" s="955"/>
    </row>
    <row r="64" spans="2:15">
      <c r="B64" s="953">
        <v>46319</v>
      </c>
      <c r="C64" t="str">
        <f>CHOOSE(WEEKDAY(tblDias[[#This Row],[Fecha]],2),"lun","mar","mié","jue","vie","sáb","dom")</f>
        <v>sáb</v>
      </c>
      <c r="D64" s="955" t="s">
        <v>9256</v>
      </c>
      <c r="E64">
        <f>COUNTIFS(tblConcentrado[Fecha],tblDias[[#This Row],[Fecha]])</f>
        <v>0</v>
      </c>
      <c r="F64">
        <f t="shared" si="0"/>
        <v>24</v>
      </c>
      <c r="G64" s="979">
        <f>IF(tblDias[[#This Row],[Horas esperadas]]=0,0,tblDias[[#This Row],[Horas cargadas]]/tblDias[[#This Row],[Horas esperadas]])</f>
        <v>0</v>
      </c>
      <c r="H64" t="str">
        <f ca="1">IF(tblDias[[#This Row],[Fecha]]&gt;TODAY(),"Pendiente",IF(tblDias[[#This Row],[Horas cargadas]]=0,"Sin datos",IF(tblDias[[#This Row],[Horas cargadas]]&lt;tblDias[[#This Row],[Horas esperadas]],"Parcial","Completo")))</f>
        <v>Pendiente</v>
      </c>
      <c r="I64">
        <f>COUNTIFS(tblRDO[Fecha],tblDias[[#This Row],[Fecha]])</f>
        <v>0</v>
      </c>
      <c r="J64" t="str">
        <f ca="1">IF(tblDias[[#This Row],[Fecha]]&gt;TODAY(),"Pendiente",IF(tblDias[[#This Row],[Filas RDO]]=0,"Sin RDO","Cargado"))</f>
        <v>Pendiente</v>
      </c>
      <c r="K64" s="993">
        <f>COUNTIFS(tblControles[Fecha],tblDias[[#This Row],[Fecha]],tblControles[Turno],"&lt;&gt;Obs")</f>
        <v>0</v>
      </c>
      <c r="L64" s="994">
        <f>SUMIFS(tblParadas[Horas perdidas],tblParadas[Fecha],tblDias[[#This Row],[Fecha]])</f>
        <v>0</v>
      </c>
      <c r="M64" s="955"/>
      <c r="N64" s="953"/>
      <c r="O64" s="955"/>
    </row>
    <row r="65" spans="2:15">
      <c r="B65" s="953">
        <v>46320</v>
      </c>
      <c r="C65" t="str">
        <f>CHOOSE(WEEKDAY(tblDias[[#This Row],[Fecha]],2),"lun","mar","mié","jue","vie","sáb","dom")</f>
        <v>dom</v>
      </c>
      <c r="D65" s="955" t="s">
        <v>9256</v>
      </c>
      <c r="E65">
        <f>COUNTIFS(tblConcentrado[Fecha],tblDias[[#This Row],[Fecha]])</f>
        <v>0</v>
      </c>
      <c r="F65">
        <f t="shared" si="0"/>
        <v>24</v>
      </c>
      <c r="G65" s="979">
        <f>IF(tblDias[[#This Row],[Horas esperadas]]=0,0,tblDias[[#This Row],[Horas cargadas]]/tblDias[[#This Row],[Horas esperadas]])</f>
        <v>0</v>
      </c>
      <c r="H65" t="str">
        <f ca="1">IF(tblDias[[#This Row],[Fecha]]&gt;TODAY(),"Pendiente",IF(tblDias[[#This Row],[Horas cargadas]]=0,"Sin datos",IF(tblDias[[#This Row],[Horas cargadas]]&lt;tblDias[[#This Row],[Horas esperadas]],"Parcial","Completo")))</f>
        <v>Pendiente</v>
      </c>
      <c r="I65">
        <f>COUNTIFS(tblRDO[Fecha],tblDias[[#This Row],[Fecha]])</f>
        <v>0</v>
      </c>
      <c r="J65" t="str">
        <f ca="1">IF(tblDias[[#This Row],[Fecha]]&gt;TODAY(),"Pendiente",IF(tblDias[[#This Row],[Filas RDO]]=0,"Sin RDO","Cargado"))</f>
        <v>Pendiente</v>
      </c>
      <c r="K65" s="993">
        <f>COUNTIFS(tblControles[Fecha],tblDias[[#This Row],[Fecha]],tblControles[Turno],"&lt;&gt;Obs")</f>
        <v>0</v>
      </c>
      <c r="L65" s="994">
        <f>SUMIFS(tblParadas[Horas perdidas],tblParadas[Fecha],tblDias[[#This Row],[Fecha]])</f>
        <v>0</v>
      </c>
      <c r="M65" s="955"/>
      <c r="N65" s="953"/>
      <c r="O65" s="955"/>
    </row>
    <row r="66" spans="2:15">
      <c r="B66" s="953">
        <v>46321</v>
      </c>
      <c r="C66" t="str">
        <f>CHOOSE(WEEKDAY(tblDias[[#This Row],[Fecha]],2),"lun","mar","mié","jue","vie","sáb","dom")</f>
        <v>lun</v>
      </c>
      <c r="D66" s="955" t="s">
        <v>9256</v>
      </c>
      <c r="E66">
        <f>COUNTIFS(tblConcentrado[Fecha],tblDias[[#This Row],[Fecha]])</f>
        <v>0</v>
      </c>
      <c r="F66">
        <f t="shared" si="0"/>
        <v>24</v>
      </c>
      <c r="G66" s="979">
        <f>IF(tblDias[[#This Row],[Horas esperadas]]=0,0,tblDias[[#This Row],[Horas cargadas]]/tblDias[[#This Row],[Horas esperadas]])</f>
        <v>0</v>
      </c>
      <c r="H66" t="str">
        <f ca="1">IF(tblDias[[#This Row],[Fecha]]&gt;TODAY(),"Pendiente",IF(tblDias[[#This Row],[Horas cargadas]]=0,"Sin datos",IF(tblDias[[#This Row],[Horas cargadas]]&lt;tblDias[[#This Row],[Horas esperadas]],"Parcial","Completo")))</f>
        <v>Pendiente</v>
      </c>
      <c r="I66">
        <f>COUNTIFS(tblRDO[Fecha],tblDias[[#This Row],[Fecha]])</f>
        <v>0</v>
      </c>
      <c r="J66" t="str">
        <f ca="1">IF(tblDias[[#This Row],[Fecha]]&gt;TODAY(),"Pendiente",IF(tblDias[[#This Row],[Filas RDO]]=0,"Sin RDO","Cargado"))</f>
        <v>Pendiente</v>
      </c>
      <c r="K66" s="993">
        <f>COUNTIFS(tblControles[Fecha],tblDias[[#This Row],[Fecha]],tblControles[Turno],"&lt;&gt;Obs")</f>
        <v>0</v>
      </c>
      <c r="L66" s="994">
        <f>SUMIFS(tblParadas[Horas perdidas],tblParadas[Fecha],tblDias[[#This Row],[Fecha]])</f>
        <v>0</v>
      </c>
      <c r="M66" s="955"/>
      <c r="N66" s="953"/>
      <c r="O66" s="955"/>
    </row>
    <row r="67" spans="2:15">
      <c r="B67" s="953">
        <v>46322</v>
      </c>
      <c r="C67" t="str">
        <f>CHOOSE(WEEKDAY(tblDias[[#This Row],[Fecha]],2),"lun","mar","mié","jue","vie","sáb","dom")</f>
        <v>mar</v>
      </c>
      <c r="D67" s="955" t="s">
        <v>9256</v>
      </c>
      <c r="E67">
        <f>COUNTIFS(tblConcentrado[Fecha],tblDias[[#This Row],[Fecha]])</f>
        <v>0</v>
      </c>
      <c r="F67">
        <f t="shared" si="0"/>
        <v>24</v>
      </c>
      <c r="G67" s="979">
        <f>IF(tblDias[[#This Row],[Horas esperadas]]=0,0,tblDias[[#This Row],[Horas cargadas]]/tblDias[[#This Row],[Horas esperadas]])</f>
        <v>0</v>
      </c>
      <c r="H67" t="str">
        <f ca="1">IF(tblDias[[#This Row],[Fecha]]&gt;TODAY(),"Pendiente",IF(tblDias[[#This Row],[Horas cargadas]]=0,"Sin datos",IF(tblDias[[#This Row],[Horas cargadas]]&lt;tblDias[[#This Row],[Horas esperadas]],"Parcial","Completo")))</f>
        <v>Pendiente</v>
      </c>
      <c r="I67">
        <f>COUNTIFS(tblRDO[Fecha],tblDias[[#This Row],[Fecha]])</f>
        <v>0</v>
      </c>
      <c r="J67" t="str">
        <f ca="1">IF(tblDias[[#This Row],[Fecha]]&gt;TODAY(),"Pendiente",IF(tblDias[[#This Row],[Filas RDO]]=0,"Sin RDO","Cargado"))</f>
        <v>Pendiente</v>
      </c>
      <c r="K67" s="993">
        <f>COUNTIFS(tblControles[Fecha],tblDias[[#This Row],[Fecha]],tblControles[Turno],"&lt;&gt;Obs")</f>
        <v>0</v>
      </c>
      <c r="L67" s="994">
        <f>SUMIFS(tblParadas[Horas perdidas],tblParadas[Fecha],tblDias[[#This Row],[Fecha]])</f>
        <v>0</v>
      </c>
      <c r="M67" s="955"/>
      <c r="N67" s="953"/>
      <c r="O67" s="955"/>
    </row>
    <row r="68" spans="2:15">
      <c r="B68" s="953">
        <v>46323</v>
      </c>
      <c r="C68" t="str">
        <f>CHOOSE(WEEKDAY(tblDias[[#This Row],[Fecha]],2),"lun","mar","mié","jue","vie","sáb","dom")</f>
        <v>mié</v>
      </c>
      <c r="D68" s="955" t="s">
        <v>9256</v>
      </c>
      <c r="E68">
        <f>COUNTIFS(tblConcentrado[Fecha],tblDias[[#This Row],[Fecha]])</f>
        <v>0</v>
      </c>
      <c r="F68">
        <f t="shared" si="0"/>
        <v>24</v>
      </c>
      <c r="G68" s="979">
        <f>IF(tblDias[[#This Row],[Horas esperadas]]=0,0,tblDias[[#This Row],[Horas cargadas]]/tblDias[[#This Row],[Horas esperadas]])</f>
        <v>0</v>
      </c>
      <c r="H68" t="str">
        <f ca="1">IF(tblDias[[#This Row],[Fecha]]&gt;TODAY(),"Pendiente",IF(tblDias[[#This Row],[Horas cargadas]]=0,"Sin datos",IF(tblDias[[#This Row],[Horas cargadas]]&lt;tblDias[[#This Row],[Horas esperadas]],"Parcial","Completo")))</f>
        <v>Pendiente</v>
      </c>
      <c r="I68">
        <f>COUNTIFS(tblRDO[Fecha],tblDias[[#This Row],[Fecha]])</f>
        <v>0</v>
      </c>
      <c r="J68" t="str">
        <f ca="1">IF(tblDias[[#This Row],[Fecha]]&gt;TODAY(),"Pendiente",IF(tblDias[[#This Row],[Filas RDO]]=0,"Sin RDO","Cargado"))</f>
        <v>Pendiente</v>
      </c>
      <c r="K68" s="993">
        <f>COUNTIFS(tblControles[Fecha],tblDias[[#This Row],[Fecha]],tblControles[Turno],"&lt;&gt;Obs")</f>
        <v>0</v>
      </c>
      <c r="L68" s="994">
        <f>SUMIFS(tblParadas[Horas perdidas],tblParadas[Fecha],tblDias[[#This Row],[Fecha]])</f>
        <v>0</v>
      </c>
      <c r="M68" s="955"/>
      <c r="N68" s="953"/>
      <c r="O68" s="955"/>
    </row>
    <row r="69" spans="2:15">
      <c r="B69" s="953">
        <v>46324</v>
      </c>
      <c r="C69" t="str">
        <f>CHOOSE(WEEKDAY(tblDias[[#This Row],[Fecha]],2),"lun","mar","mié","jue","vie","sáb","dom")</f>
        <v>jue</v>
      </c>
      <c r="D69" s="955" t="s">
        <v>9256</v>
      </c>
      <c r="E69">
        <f>COUNTIFS(tblConcentrado[Fecha],tblDias[[#This Row],[Fecha]])</f>
        <v>0</v>
      </c>
      <c r="F69">
        <f t="shared" si="0"/>
        <v>24</v>
      </c>
      <c r="G69" s="979">
        <f>IF(tblDias[[#This Row],[Horas esperadas]]=0,0,tblDias[[#This Row],[Horas cargadas]]/tblDias[[#This Row],[Horas esperadas]])</f>
        <v>0</v>
      </c>
      <c r="H69" t="str">
        <f ca="1">IF(tblDias[[#This Row],[Fecha]]&gt;TODAY(),"Pendiente",IF(tblDias[[#This Row],[Horas cargadas]]=0,"Sin datos",IF(tblDias[[#This Row],[Horas cargadas]]&lt;tblDias[[#This Row],[Horas esperadas]],"Parcial","Completo")))</f>
        <v>Pendiente</v>
      </c>
      <c r="I69">
        <f>COUNTIFS(tblRDO[Fecha],tblDias[[#This Row],[Fecha]])</f>
        <v>0</v>
      </c>
      <c r="J69" t="str">
        <f ca="1">IF(tblDias[[#This Row],[Fecha]]&gt;TODAY(),"Pendiente",IF(tblDias[[#This Row],[Filas RDO]]=0,"Sin RDO","Cargado"))</f>
        <v>Pendiente</v>
      </c>
      <c r="K69" s="993">
        <f>COUNTIFS(tblControles[Fecha],tblDias[[#This Row],[Fecha]],tblControles[Turno],"&lt;&gt;Obs")</f>
        <v>0</v>
      </c>
      <c r="L69" s="994">
        <f>SUMIFS(tblParadas[Horas perdidas],tblParadas[Fecha],tblDias[[#This Row],[Fecha]])</f>
        <v>0</v>
      </c>
      <c r="M69" s="955"/>
      <c r="N69" s="953"/>
      <c r="O69" s="955"/>
    </row>
    <row r="70" spans="2:15">
      <c r="B70" s="953">
        <v>46325</v>
      </c>
      <c r="C70" t="str">
        <f>CHOOSE(WEEKDAY(tblDias[[#This Row],[Fecha]],2),"lun","mar","mié","jue","vie","sáb","dom")</f>
        <v>vie</v>
      </c>
      <c r="D70" s="955" t="s">
        <v>9256</v>
      </c>
      <c r="E70">
        <f>COUNTIFS(tblConcentrado[Fecha],tblDias[[#This Row],[Fecha]])</f>
        <v>0</v>
      </c>
      <c r="F70">
        <f t="shared" si="0"/>
        <v>24</v>
      </c>
      <c r="G70" s="979">
        <f>IF(tblDias[[#This Row],[Horas esperadas]]=0,0,tblDias[[#This Row],[Horas cargadas]]/tblDias[[#This Row],[Horas esperadas]])</f>
        <v>0</v>
      </c>
      <c r="H70" t="str">
        <f ca="1">IF(tblDias[[#This Row],[Fecha]]&gt;TODAY(),"Pendiente",IF(tblDias[[#This Row],[Horas cargadas]]=0,"Sin datos",IF(tblDias[[#This Row],[Horas cargadas]]&lt;tblDias[[#This Row],[Horas esperadas]],"Parcial","Completo")))</f>
        <v>Pendiente</v>
      </c>
      <c r="I70">
        <f>COUNTIFS(tblRDO[Fecha],tblDias[[#This Row],[Fecha]])</f>
        <v>0</v>
      </c>
      <c r="J70" t="str">
        <f ca="1">IF(tblDias[[#This Row],[Fecha]]&gt;TODAY(),"Pendiente",IF(tblDias[[#This Row],[Filas RDO]]=0,"Sin RDO","Cargado"))</f>
        <v>Pendiente</v>
      </c>
      <c r="K70" s="993">
        <f>COUNTIFS(tblControles[Fecha],tblDias[[#This Row],[Fecha]],tblControles[Turno],"&lt;&gt;Obs")</f>
        <v>0</v>
      </c>
      <c r="L70" s="994">
        <f>SUMIFS(tblParadas[Horas perdidas],tblParadas[Fecha],tblDias[[#This Row],[Fecha]])</f>
        <v>0</v>
      </c>
      <c r="M70" s="955"/>
      <c r="N70" s="953"/>
      <c r="O70" s="955"/>
    </row>
    <row r="71" spans="2:15">
      <c r="B71" s="953">
        <v>46326</v>
      </c>
      <c r="C71" t="str">
        <f>CHOOSE(WEEKDAY(tblDias[[#This Row],[Fecha]],2),"lun","mar","mié","jue","vie","sáb","dom")</f>
        <v>sáb</v>
      </c>
      <c r="D71" s="955" t="s">
        <v>9256</v>
      </c>
      <c r="E71">
        <f>COUNTIFS(tblConcentrado[Fecha],tblDias[[#This Row],[Fecha]])</f>
        <v>0</v>
      </c>
      <c r="F71">
        <f t="shared" si="0"/>
        <v>24</v>
      </c>
      <c r="G71" s="979">
        <f>IF(tblDias[[#This Row],[Horas esperadas]]=0,0,tblDias[[#This Row],[Horas cargadas]]/tblDias[[#This Row],[Horas esperadas]])</f>
        <v>0</v>
      </c>
      <c r="H71" t="str">
        <f ca="1">IF(tblDias[[#This Row],[Fecha]]&gt;TODAY(),"Pendiente",IF(tblDias[[#This Row],[Horas cargadas]]=0,"Sin datos",IF(tblDias[[#This Row],[Horas cargadas]]&lt;tblDias[[#This Row],[Horas esperadas]],"Parcial","Completo")))</f>
        <v>Pendiente</v>
      </c>
      <c r="I71">
        <f>COUNTIFS(tblRDO[Fecha],tblDias[[#This Row],[Fecha]])</f>
        <v>0</v>
      </c>
      <c r="J71" t="str">
        <f ca="1">IF(tblDias[[#This Row],[Fecha]]&gt;TODAY(),"Pendiente",IF(tblDias[[#This Row],[Filas RDO]]=0,"Sin RDO","Cargado"))</f>
        <v>Pendiente</v>
      </c>
      <c r="K71" s="993">
        <f>COUNTIFS(tblControles[Fecha],tblDias[[#This Row],[Fecha]],tblControles[Turno],"&lt;&gt;Obs")</f>
        <v>0</v>
      </c>
      <c r="L71" s="994">
        <f>SUMIFS(tblParadas[Horas perdidas],tblParadas[Fecha],tblDias[[#This Row],[Fecha]])</f>
        <v>0</v>
      </c>
      <c r="M71" s="955"/>
      <c r="N71" s="953"/>
      <c r="O71" s="955"/>
    </row>
    <row r="72" spans="2:15">
      <c r="B72" s="953">
        <v>46327</v>
      </c>
      <c r="C72" t="str">
        <f>CHOOSE(WEEKDAY(tblDias[[#This Row],[Fecha]],2),"lun","mar","mié","jue","vie","sáb","dom")</f>
        <v>dom</v>
      </c>
      <c r="D72" s="955" t="s">
        <v>9256</v>
      </c>
      <c r="E72">
        <f>COUNTIFS(tblConcentrado[Fecha],tblDias[[#This Row],[Fecha]])</f>
        <v>0</v>
      </c>
      <c r="F72">
        <f t="shared" si="0"/>
        <v>24</v>
      </c>
      <c r="G72" s="979">
        <f>IF(tblDias[[#This Row],[Horas esperadas]]=0,0,tblDias[[#This Row],[Horas cargadas]]/tblDias[[#This Row],[Horas esperadas]])</f>
        <v>0</v>
      </c>
      <c r="H72" t="str">
        <f ca="1">IF(tblDias[[#This Row],[Fecha]]&gt;TODAY(),"Pendiente",IF(tblDias[[#This Row],[Horas cargadas]]=0,"Sin datos",IF(tblDias[[#This Row],[Horas cargadas]]&lt;tblDias[[#This Row],[Horas esperadas]],"Parcial","Completo")))</f>
        <v>Pendiente</v>
      </c>
      <c r="I72">
        <f>COUNTIFS(tblRDO[Fecha],tblDias[[#This Row],[Fecha]])</f>
        <v>0</v>
      </c>
      <c r="J72" t="str">
        <f ca="1">IF(tblDias[[#This Row],[Fecha]]&gt;TODAY(),"Pendiente",IF(tblDias[[#This Row],[Filas RDO]]=0,"Sin RDO","Cargado"))</f>
        <v>Pendiente</v>
      </c>
      <c r="K72" s="993">
        <f>COUNTIFS(tblControles[Fecha],tblDias[[#This Row],[Fecha]],tblControles[Turno],"&lt;&gt;Obs")</f>
        <v>0</v>
      </c>
      <c r="L72" s="994">
        <f>SUMIFS(tblParadas[Horas perdidas],tblParadas[Fecha],tblDias[[#This Row],[Fecha]])</f>
        <v>0</v>
      </c>
      <c r="M72" s="955"/>
      <c r="N72" s="953"/>
      <c r="O72" s="955"/>
    </row>
    <row r="73" spans="2:15">
      <c r="B73" s="953">
        <v>46328</v>
      </c>
      <c r="C73" t="str">
        <f>CHOOSE(WEEKDAY(tblDias[[#This Row],[Fecha]],2),"lun","mar","mié","jue","vie","sáb","dom")</f>
        <v>lun</v>
      </c>
      <c r="D73" s="955" t="s">
        <v>9256</v>
      </c>
      <c r="E73">
        <f>COUNTIFS(tblConcentrado[Fecha],tblDias[[#This Row],[Fecha]])</f>
        <v>0</v>
      </c>
      <c r="F73">
        <f t="shared" si="0"/>
        <v>24</v>
      </c>
      <c r="G73" s="979">
        <f>IF(tblDias[[#This Row],[Horas esperadas]]=0,0,tblDias[[#This Row],[Horas cargadas]]/tblDias[[#This Row],[Horas esperadas]])</f>
        <v>0</v>
      </c>
      <c r="H73" t="str">
        <f ca="1">IF(tblDias[[#This Row],[Fecha]]&gt;TODAY(),"Pendiente",IF(tblDias[[#This Row],[Horas cargadas]]=0,"Sin datos",IF(tblDias[[#This Row],[Horas cargadas]]&lt;tblDias[[#This Row],[Horas esperadas]],"Parcial","Completo")))</f>
        <v>Pendiente</v>
      </c>
      <c r="I73">
        <f>COUNTIFS(tblRDO[Fecha],tblDias[[#This Row],[Fecha]])</f>
        <v>0</v>
      </c>
      <c r="J73" t="str">
        <f ca="1">IF(tblDias[[#This Row],[Fecha]]&gt;TODAY(),"Pendiente",IF(tblDias[[#This Row],[Filas RDO]]=0,"Sin RDO","Cargado"))</f>
        <v>Pendiente</v>
      </c>
      <c r="K73" s="993">
        <f>COUNTIFS(tblControles[Fecha],tblDias[[#This Row],[Fecha]],tblControles[Turno],"&lt;&gt;Obs")</f>
        <v>0</v>
      </c>
      <c r="L73" s="994">
        <f>SUMIFS(tblParadas[Horas perdidas],tblParadas[Fecha],tblDias[[#This Row],[Fecha]])</f>
        <v>0</v>
      </c>
      <c r="M73" s="955"/>
      <c r="N73" s="953"/>
      <c r="O73" s="955"/>
    </row>
    <row r="74" spans="2:15">
      <c r="B74" s="953">
        <v>46329</v>
      </c>
      <c r="C74" t="str">
        <f>CHOOSE(WEEKDAY(tblDias[[#This Row],[Fecha]],2),"lun","mar","mié","jue","vie","sáb","dom")</f>
        <v>mar</v>
      </c>
      <c r="D74" s="955" t="s">
        <v>9256</v>
      </c>
      <c r="E74">
        <f>COUNTIFS(tblConcentrado[Fecha],tblDias[[#This Row],[Fecha]])</f>
        <v>0</v>
      </c>
      <c r="F74">
        <f t="shared" si="0"/>
        <v>24</v>
      </c>
      <c r="G74" s="979">
        <f>IF(tblDias[[#This Row],[Horas esperadas]]=0,0,tblDias[[#This Row],[Horas cargadas]]/tblDias[[#This Row],[Horas esperadas]])</f>
        <v>0</v>
      </c>
      <c r="H74" t="str">
        <f ca="1">IF(tblDias[[#This Row],[Fecha]]&gt;TODAY(),"Pendiente",IF(tblDias[[#This Row],[Horas cargadas]]=0,"Sin datos",IF(tblDias[[#This Row],[Horas cargadas]]&lt;tblDias[[#This Row],[Horas esperadas]],"Parcial","Completo")))</f>
        <v>Pendiente</v>
      </c>
      <c r="I74">
        <f>COUNTIFS(tblRDO[Fecha],tblDias[[#This Row],[Fecha]])</f>
        <v>0</v>
      </c>
      <c r="J74" t="str">
        <f ca="1">IF(tblDias[[#This Row],[Fecha]]&gt;TODAY(),"Pendiente",IF(tblDias[[#This Row],[Filas RDO]]=0,"Sin RDO","Cargado"))</f>
        <v>Pendiente</v>
      </c>
      <c r="K74" s="993">
        <f>COUNTIFS(tblControles[Fecha],tblDias[[#This Row],[Fecha]],tblControles[Turno],"&lt;&gt;Obs")</f>
        <v>0</v>
      </c>
      <c r="L74" s="994">
        <f>SUMIFS(tblParadas[Horas perdidas],tblParadas[Fecha],tblDias[[#This Row],[Fecha]])</f>
        <v>0</v>
      </c>
      <c r="M74" s="955"/>
      <c r="N74" s="953"/>
      <c r="O74" s="955"/>
    </row>
    <row r="75" spans="2:15">
      <c r="B75" s="953">
        <v>46330</v>
      </c>
      <c r="C75" t="str">
        <f>CHOOSE(WEEKDAY(tblDias[[#This Row],[Fecha]],2),"lun","mar","mié","jue","vie","sáb","dom")</f>
        <v>mié</v>
      </c>
      <c r="D75" s="955" t="s">
        <v>9256</v>
      </c>
      <c r="E75">
        <f>COUNTIFS(tblConcentrado[Fecha],tblDias[[#This Row],[Fecha]])</f>
        <v>0</v>
      </c>
      <c r="F75">
        <f t="shared" ref="F75:F138" si="1">CFG_HORAS</f>
        <v>24</v>
      </c>
      <c r="G75" s="979">
        <f>IF(tblDias[[#This Row],[Horas esperadas]]=0,0,tblDias[[#This Row],[Horas cargadas]]/tblDias[[#This Row],[Horas esperadas]])</f>
        <v>0</v>
      </c>
      <c r="H75" t="str">
        <f ca="1">IF(tblDias[[#This Row],[Fecha]]&gt;TODAY(),"Pendiente",IF(tblDias[[#This Row],[Horas cargadas]]=0,"Sin datos",IF(tblDias[[#This Row],[Horas cargadas]]&lt;tblDias[[#This Row],[Horas esperadas]],"Parcial","Completo")))</f>
        <v>Pendiente</v>
      </c>
      <c r="I75">
        <f>COUNTIFS(tblRDO[Fecha],tblDias[[#This Row],[Fecha]])</f>
        <v>0</v>
      </c>
      <c r="J75" t="str">
        <f ca="1">IF(tblDias[[#This Row],[Fecha]]&gt;TODAY(),"Pendiente",IF(tblDias[[#This Row],[Filas RDO]]=0,"Sin RDO","Cargado"))</f>
        <v>Pendiente</v>
      </c>
      <c r="K75" s="993">
        <f>COUNTIFS(tblControles[Fecha],tblDias[[#This Row],[Fecha]],tblControles[Turno],"&lt;&gt;Obs")</f>
        <v>0</v>
      </c>
      <c r="L75" s="994">
        <f>SUMIFS(tblParadas[Horas perdidas],tblParadas[Fecha],tblDias[[#This Row],[Fecha]])</f>
        <v>0</v>
      </c>
      <c r="M75" s="955"/>
      <c r="N75" s="953"/>
      <c r="O75" s="955"/>
    </row>
    <row r="76" spans="2:15">
      <c r="B76" s="953">
        <v>46331</v>
      </c>
      <c r="C76" t="str">
        <f>CHOOSE(WEEKDAY(tblDias[[#This Row],[Fecha]],2),"lun","mar","mié","jue","vie","sáb","dom")</f>
        <v>jue</v>
      </c>
      <c r="D76" s="955" t="s">
        <v>9256</v>
      </c>
      <c r="E76">
        <f>COUNTIFS(tblConcentrado[Fecha],tblDias[[#This Row],[Fecha]])</f>
        <v>0</v>
      </c>
      <c r="F76">
        <f t="shared" si="1"/>
        <v>24</v>
      </c>
      <c r="G76" s="979">
        <f>IF(tblDias[[#This Row],[Horas esperadas]]=0,0,tblDias[[#This Row],[Horas cargadas]]/tblDias[[#This Row],[Horas esperadas]])</f>
        <v>0</v>
      </c>
      <c r="H76" t="str">
        <f ca="1">IF(tblDias[[#This Row],[Fecha]]&gt;TODAY(),"Pendiente",IF(tblDias[[#This Row],[Horas cargadas]]=0,"Sin datos",IF(tblDias[[#This Row],[Horas cargadas]]&lt;tblDias[[#This Row],[Horas esperadas]],"Parcial","Completo")))</f>
        <v>Pendiente</v>
      </c>
      <c r="I76">
        <f>COUNTIFS(tblRDO[Fecha],tblDias[[#This Row],[Fecha]])</f>
        <v>0</v>
      </c>
      <c r="J76" t="str">
        <f ca="1">IF(tblDias[[#This Row],[Fecha]]&gt;TODAY(),"Pendiente",IF(tblDias[[#This Row],[Filas RDO]]=0,"Sin RDO","Cargado"))</f>
        <v>Pendiente</v>
      </c>
      <c r="K76" s="993">
        <f>COUNTIFS(tblControles[Fecha],tblDias[[#This Row],[Fecha]],tblControles[Turno],"&lt;&gt;Obs")</f>
        <v>0</v>
      </c>
      <c r="L76" s="994">
        <f>SUMIFS(tblParadas[Horas perdidas],tblParadas[Fecha],tblDias[[#This Row],[Fecha]])</f>
        <v>0</v>
      </c>
      <c r="M76" s="955"/>
      <c r="N76" s="953"/>
      <c r="O76" s="955"/>
    </row>
    <row r="77" spans="2:15">
      <c r="B77" s="953">
        <v>46332</v>
      </c>
      <c r="C77" t="str">
        <f>CHOOSE(WEEKDAY(tblDias[[#This Row],[Fecha]],2),"lun","mar","mié","jue","vie","sáb","dom")</f>
        <v>vie</v>
      </c>
      <c r="D77" s="955" t="s">
        <v>9256</v>
      </c>
      <c r="E77">
        <f>COUNTIFS(tblConcentrado[Fecha],tblDias[[#This Row],[Fecha]])</f>
        <v>0</v>
      </c>
      <c r="F77">
        <f t="shared" si="1"/>
        <v>24</v>
      </c>
      <c r="G77" s="979">
        <f>IF(tblDias[[#This Row],[Horas esperadas]]=0,0,tblDias[[#This Row],[Horas cargadas]]/tblDias[[#This Row],[Horas esperadas]])</f>
        <v>0</v>
      </c>
      <c r="H77" t="str">
        <f ca="1">IF(tblDias[[#This Row],[Fecha]]&gt;TODAY(),"Pendiente",IF(tblDias[[#This Row],[Horas cargadas]]=0,"Sin datos",IF(tblDias[[#This Row],[Horas cargadas]]&lt;tblDias[[#This Row],[Horas esperadas]],"Parcial","Completo")))</f>
        <v>Pendiente</v>
      </c>
      <c r="I77">
        <f>COUNTIFS(tblRDO[Fecha],tblDias[[#This Row],[Fecha]])</f>
        <v>0</v>
      </c>
      <c r="J77" t="str">
        <f ca="1">IF(tblDias[[#This Row],[Fecha]]&gt;TODAY(),"Pendiente",IF(tblDias[[#This Row],[Filas RDO]]=0,"Sin RDO","Cargado"))</f>
        <v>Pendiente</v>
      </c>
      <c r="K77" s="993">
        <f>COUNTIFS(tblControles[Fecha],tblDias[[#This Row],[Fecha]],tblControles[Turno],"&lt;&gt;Obs")</f>
        <v>0</v>
      </c>
      <c r="L77" s="994">
        <f>SUMIFS(tblParadas[Horas perdidas],tblParadas[Fecha],tblDias[[#This Row],[Fecha]])</f>
        <v>0</v>
      </c>
      <c r="M77" s="955"/>
      <c r="N77" s="953"/>
      <c r="O77" s="955"/>
    </row>
    <row r="78" spans="2:15">
      <c r="B78" s="953">
        <v>46333</v>
      </c>
      <c r="C78" t="str">
        <f>CHOOSE(WEEKDAY(tblDias[[#This Row],[Fecha]],2),"lun","mar","mié","jue","vie","sáb","dom")</f>
        <v>sáb</v>
      </c>
      <c r="D78" s="955" t="s">
        <v>9256</v>
      </c>
      <c r="E78">
        <f>COUNTIFS(tblConcentrado[Fecha],tblDias[[#This Row],[Fecha]])</f>
        <v>0</v>
      </c>
      <c r="F78">
        <f t="shared" si="1"/>
        <v>24</v>
      </c>
      <c r="G78" s="979">
        <f>IF(tblDias[[#This Row],[Horas esperadas]]=0,0,tblDias[[#This Row],[Horas cargadas]]/tblDias[[#This Row],[Horas esperadas]])</f>
        <v>0</v>
      </c>
      <c r="H78" t="str">
        <f ca="1">IF(tblDias[[#This Row],[Fecha]]&gt;TODAY(),"Pendiente",IF(tblDias[[#This Row],[Horas cargadas]]=0,"Sin datos",IF(tblDias[[#This Row],[Horas cargadas]]&lt;tblDias[[#This Row],[Horas esperadas]],"Parcial","Completo")))</f>
        <v>Pendiente</v>
      </c>
      <c r="I78">
        <f>COUNTIFS(tblRDO[Fecha],tblDias[[#This Row],[Fecha]])</f>
        <v>0</v>
      </c>
      <c r="J78" t="str">
        <f ca="1">IF(tblDias[[#This Row],[Fecha]]&gt;TODAY(),"Pendiente",IF(tblDias[[#This Row],[Filas RDO]]=0,"Sin RDO","Cargado"))</f>
        <v>Pendiente</v>
      </c>
      <c r="K78" s="993">
        <f>COUNTIFS(tblControles[Fecha],tblDias[[#This Row],[Fecha]],tblControles[Turno],"&lt;&gt;Obs")</f>
        <v>0</v>
      </c>
      <c r="L78" s="994">
        <f>SUMIFS(tblParadas[Horas perdidas],tblParadas[Fecha],tblDias[[#This Row],[Fecha]])</f>
        <v>0</v>
      </c>
      <c r="M78" s="955"/>
      <c r="N78" s="953"/>
      <c r="O78" s="955"/>
    </row>
    <row r="79" spans="2:15">
      <c r="B79" s="953">
        <v>46334</v>
      </c>
      <c r="C79" t="str">
        <f>CHOOSE(WEEKDAY(tblDias[[#This Row],[Fecha]],2),"lun","mar","mié","jue","vie","sáb","dom")</f>
        <v>dom</v>
      </c>
      <c r="D79" s="955" t="s">
        <v>9256</v>
      </c>
      <c r="E79">
        <f>COUNTIFS(tblConcentrado[Fecha],tblDias[[#This Row],[Fecha]])</f>
        <v>0</v>
      </c>
      <c r="F79">
        <f t="shared" si="1"/>
        <v>24</v>
      </c>
      <c r="G79" s="979">
        <f>IF(tblDias[[#This Row],[Horas esperadas]]=0,0,tblDias[[#This Row],[Horas cargadas]]/tblDias[[#This Row],[Horas esperadas]])</f>
        <v>0</v>
      </c>
      <c r="H79" t="str">
        <f ca="1">IF(tblDias[[#This Row],[Fecha]]&gt;TODAY(),"Pendiente",IF(tblDias[[#This Row],[Horas cargadas]]=0,"Sin datos",IF(tblDias[[#This Row],[Horas cargadas]]&lt;tblDias[[#This Row],[Horas esperadas]],"Parcial","Completo")))</f>
        <v>Pendiente</v>
      </c>
      <c r="I79">
        <f>COUNTIFS(tblRDO[Fecha],tblDias[[#This Row],[Fecha]])</f>
        <v>0</v>
      </c>
      <c r="J79" t="str">
        <f ca="1">IF(tblDias[[#This Row],[Fecha]]&gt;TODAY(),"Pendiente",IF(tblDias[[#This Row],[Filas RDO]]=0,"Sin RDO","Cargado"))</f>
        <v>Pendiente</v>
      </c>
      <c r="K79" s="993">
        <f>COUNTIFS(tblControles[Fecha],tblDias[[#This Row],[Fecha]],tblControles[Turno],"&lt;&gt;Obs")</f>
        <v>0</v>
      </c>
      <c r="L79" s="994">
        <f>SUMIFS(tblParadas[Horas perdidas],tblParadas[Fecha],tblDias[[#This Row],[Fecha]])</f>
        <v>0</v>
      </c>
      <c r="M79" s="955"/>
      <c r="N79" s="953"/>
      <c r="O79" s="955"/>
    </row>
    <row r="80" spans="2:15">
      <c r="B80" s="953">
        <v>46335</v>
      </c>
      <c r="C80" t="str">
        <f>CHOOSE(WEEKDAY(tblDias[[#This Row],[Fecha]],2),"lun","mar","mié","jue","vie","sáb","dom")</f>
        <v>lun</v>
      </c>
      <c r="D80" s="955" t="s">
        <v>9256</v>
      </c>
      <c r="E80">
        <f>COUNTIFS(tblConcentrado[Fecha],tblDias[[#This Row],[Fecha]])</f>
        <v>0</v>
      </c>
      <c r="F80">
        <f t="shared" si="1"/>
        <v>24</v>
      </c>
      <c r="G80" s="979">
        <f>IF(tblDias[[#This Row],[Horas esperadas]]=0,0,tblDias[[#This Row],[Horas cargadas]]/tblDias[[#This Row],[Horas esperadas]])</f>
        <v>0</v>
      </c>
      <c r="H80" t="str">
        <f ca="1">IF(tblDias[[#This Row],[Fecha]]&gt;TODAY(),"Pendiente",IF(tblDias[[#This Row],[Horas cargadas]]=0,"Sin datos",IF(tblDias[[#This Row],[Horas cargadas]]&lt;tblDias[[#This Row],[Horas esperadas]],"Parcial","Completo")))</f>
        <v>Pendiente</v>
      </c>
      <c r="I80">
        <f>COUNTIFS(tblRDO[Fecha],tblDias[[#This Row],[Fecha]])</f>
        <v>0</v>
      </c>
      <c r="J80" t="str">
        <f ca="1">IF(tblDias[[#This Row],[Fecha]]&gt;TODAY(),"Pendiente",IF(tblDias[[#This Row],[Filas RDO]]=0,"Sin RDO","Cargado"))</f>
        <v>Pendiente</v>
      </c>
      <c r="K80" s="993">
        <f>COUNTIFS(tblControles[Fecha],tblDias[[#This Row],[Fecha]],tblControles[Turno],"&lt;&gt;Obs")</f>
        <v>0</v>
      </c>
      <c r="L80" s="994">
        <f>SUMIFS(tblParadas[Horas perdidas],tblParadas[Fecha],tblDias[[#This Row],[Fecha]])</f>
        <v>0</v>
      </c>
      <c r="M80" s="955"/>
      <c r="N80" s="953"/>
      <c r="O80" s="955"/>
    </row>
    <row r="81" spans="2:15">
      <c r="B81" s="953">
        <v>46336</v>
      </c>
      <c r="C81" t="str">
        <f>CHOOSE(WEEKDAY(tblDias[[#This Row],[Fecha]],2),"lun","mar","mié","jue","vie","sáb","dom")</f>
        <v>mar</v>
      </c>
      <c r="D81" s="955" t="s">
        <v>9256</v>
      </c>
      <c r="E81">
        <f>COUNTIFS(tblConcentrado[Fecha],tblDias[[#This Row],[Fecha]])</f>
        <v>0</v>
      </c>
      <c r="F81">
        <f t="shared" si="1"/>
        <v>24</v>
      </c>
      <c r="G81" s="979">
        <f>IF(tblDias[[#This Row],[Horas esperadas]]=0,0,tblDias[[#This Row],[Horas cargadas]]/tblDias[[#This Row],[Horas esperadas]])</f>
        <v>0</v>
      </c>
      <c r="H81" t="str">
        <f ca="1">IF(tblDias[[#This Row],[Fecha]]&gt;TODAY(),"Pendiente",IF(tblDias[[#This Row],[Horas cargadas]]=0,"Sin datos",IF(tblDias[[#This Row],[Horas cargadas]]&lt;tblDias[[#This Row],[Horas esperadas]],"Parcial","Completo")))</f>
        <v>Pendiente</v>
      </c>
      <c r="I81">
        <f>COUNTIFS(tblRDO[Fecha],tblDias[[#This Row],[Fecha]])</f>
        <v>0</v>
      </c>
      <c r="J81" t="str">
        <f ca="1">IF(tblDias[[#This Row],[Fecha]]&gt;TODAY(),"Pendiente",IF(tblDias[[#This Row],[Filas RDO]]=0,"Sin RDO","Cargado"))</f>
        <v>Pendiente</v>
      </c>
      <c r="K81" s="993">
        <f>COUNTIFS(tblControles[Fecha],tblDias[[#This Row],[Fecha]],tblControles[Turno],"&lt;&gt;Obs")</f>
        <v>0</v>
      </c>
      <c r="L81" s="994">
        <f>SUMIFS(tblParadas[Horas perdidas],tblParadas[Fecha],tblDias[[#This Row],[Fecha]])</f>
        <v>0</v>
      </c>
      <c r="M81" s="955"/>
      <c r="N81" s="953"/>
      <c r="O81" s="955"/>
    </row>
    <row r="82" spans="2:15">
      <c r="B82" s="953">
        <v>46337</v>
      </c>
      <c r="C82" t="str">
        <f>CHOOSE(WEEKDAY(tblDias[[#This Row],[Fecha]],2),"lun","mar","mié","jue","vie","sáb","dom")</f>
        <v>mié</v>
      </c>
      <c r="D82" s="955" t="s">
        <v>9256</v>
      </c>
      <c r="E82">
        <f>COUNTIFS(tblConcentrado[Fecha],tblDias[[#This Row],[Fecha]])</f>
        <v>0</v>
      </c>
      <c r="F82">
        <f t="shared" si="1"/>
        <v>24</v>
      </c>
      <c r="G82" s="979">
        <f>IF(tblDias[[#This Row],[Horas esperadas]]=0,0,tblDias[[#This Row],[Horas cargadas]]/tblDias[[#This Row],[Horas esperadas]])</f>
        <v>0</v>
      </c>
      <c r="H82" t="str">
        <f ca="1">IF(tblDias[[#This Row],[Fecha]]&gt;TODAY(),"Pendiente",IF(tblDias[[#This Row],[Horas cargadas]]=0,"Sin datos",IF(tblDias[[#This Row],[Horas cargadas]]&lt;tblDias[[#This Row],[Horas esperadas]],"Parcial","Completo")))</f>
        <v>Pendiente</v>
      </c>
      <c r="I82">
        <f>COUNTIFS(tblRDO[Fecha],tblDias[[#This Row],[Fecha]])</f>
        <v>0</v>
      </c>
      <c r="J82" t="str">
        <f ca="1">IF(tblDias[[#This Row],[Fecha]]&gt;TODAY(),"Pendiente",IF(tblDias[[#This Row],[Filas RDO]]=0,"Sin RDO","Cargado"))</f>
        <v>Pendiente</v>
      </c>
      <c r="K82" s="993">
        <f>COUNTIFS(tblControles[Fecha],tblDias[[#This Row],[Fecha]],tblControles[Turno],"&lt;&gt;Obs")</f>
        <v>0</v>
      </c>
      <c r="L82" s="994">
        <f>SUMIFS(tblParadas[Horas perdidas],tblParadas[Fecha],tblDias[[#This Row],[Fecha]])</f>
        <v>0</v>
      </c>
      <c r="M82" s="955"/>
      <c r="N82" s="953"/>
      <c r="O82" s="955"/>
    </row>
    <row r="83" spans="2:15">
      <c r="B83" s="953">
        <v>46338</v>
      </c>
      <c r="C83" t="str">
        <f>CHOOSE(WEEKDAY(tblDias[[#This Row],[Fecha]],2),"lun","mar","mié","jue","vie","sáb","dom")</f>
        <v>jue</v>
      </c>
      <c r="D83" s="955" t="s">
        <v>9256</v>
      </c>
      <c r="E83">
        <f>COUNTIFS(tblConcentrado[Fecha],tblDias[[#This Row],[Fecha]])</f>
        <v>0</v>
      </c>
      <c r="F83">
        <f t="shared" si="1"/>
        <v>24</v>
      </c>
      <c r="G83" s="979">
        <f>IF(tblDias[[#This Row],[Horas esperadas]]=0,0,tblDias[[#This Row],[Horas cargadas]]/tblDias[[#This Row],[Horas esperadas]])</f>
        <v>0</v>
      </c>
      <c r="H83" t="str">
        <f ca="1">IF(tblDias[[#This Row],[Fecha]]&gt;TODAY(),"Pendiente",IF(tblDias[[#This Row],[Horas cargadas]]=0,"Sin datos",IF(tblDias[[#This Row],[Horas cargadas]]&lt;tblDias[[#This Row],[Horas esperadas]],"Parcial","Completo")))</f>
        <v>Pendiente</v>
      </c>
      <c r="I83">
        <f>COUNTIFS(tblRDO[Fecha],tblDias[[#This Row],[Fecha]])</f>
        <v>0</v>
      </c>
      <c r="J83" t="str">
        <f ca="1">IF(tblDias[[#This Row],[Fecha]]&gt;TODAY(),"Pendiente",IF(tblDias[[#This Row],[Filas RDO]]=0,"Sin RDO","Cargado"))</f>
        <v>Pendiente</v>
      </c>
      <c r="K83" s="993">
        <f>COUNTIFS(tblControles[Fecha],tblDias[[#This Row],[Fecha]],tblControles[Turno],"&lt;&gt;Obs")</f>
        <v>0</v>
      </c>
      <c r="L83" s="994">
        <f>SUMIFS(tblParadas[Horas perdidas],tblParadas[Fecha],tblDias[[#This Row],[Fecha]])</f>
        <v>0</v>
      </c>
      <c r="M83" s="955"/>
      <c r="N83" s="953"/>
      <c r="O83" s="955"/>
    </row>
    <row r="84" spans="2:15">
      <c r="B84" s="953">
        <v>46339</v>
      </c>
      <c r="C84" t="str">
        <f>CHOOSE(WEEKDAY(tblDias[[#This Row],[Fecha]],2),"lun","mar","mié","jue","vie","sáb","dom")</f>
        <v>vie</v>
      </c>
      <c r="D84" s="955" t="s">
        <v>9256</v>
      </c>
      <c r="E84">
        <f>COUNTIFS(tblConcentrado[Fecha],tblDias[[#This Row],[Fecha]])</f>
        <v>0</v>
      </c>
      <c r="F84">
        <f t="shared" si="1"/>
        <v>24</v>
      </c>
      <c r="G84" s="979">
        <f>IF(tblDias[[#This Row],[Horas esperadas]]=0,0,tblDias[[#This Row],[Horas cargadas]]/tblDias[[#This Row],[Horas esperadas]])</f>
        <v>0</v>
      </c>
      <c r="H84" t="str">
        <f ca="1">IF(tblDias[[#This Row],[Fecha]]&gt;TODAY(),"Pendiente",IF(tblDias[[#This Row],[Horas cargadas]]=0,"Sin datos",IF(tblDias[[#This Row],[Horas cargadas]]&lt;tblDias[[#This Row],[Horas esperadas]],"Parcial","Completo")))</f>
        <v>Pendiente</v>
      </c>
      <c r="I84">
        <f>COUNTIFS(tblRDO[Fecha],tblDias[[#This Row],[Fecha]])</f>
        <v>0</v>
      </c>
      <c r="J84" t="str">
        <f ca="1">IF(tblDias[[#This Row],[Fecha]]&gt;TODAY(),"Pendiente",IF(tblDias[[#This Row],[Filas RDO]]=0,"Sin RDO","Cargado"))</f>
        <v>Pendiente</v>
      </c>
      <c r="K84" s="993">
        <f>COUNTIFS(tblControles[Fecha],tblDias[[#This Row],[Fecha]],tblControles[Turno],"&lt;&gt;Obs")</f>
        <v>0</v>
      </c>
      <c r="L84" s="994">
        <f>SUMIFS(tblParadas[Horas perdidas],tblParadas[Fecha],tblDias[[#This Row],[Fecha]])</f>
        <v>0</v>
      </c>
      <c r="M84" s="955"/>
      <c r="N84" s="953"/>
      <c r="O84" s="955"/>
    </row>
    <row r="85" spans="2:15">
      <c r="B85" s="953">
        <v>46340</v>
      </c>
      <c r="C85" t="str">
        <f>CHOOSE(WEEKDAY(tblDias[[#This Row],[Fecha]],2),"lun","mar","mié","jue","vie","sáb","dom")</f>
        <v>sáb</v>
      </c>
      <c r="D85" s="955" t="s">
        <v>9256</v>
      </c>
      <c r="E85">
        <f>COUNTIFS(tblConcentrado[Fecha],tblDias[[#This Row],[Fecha]])</f>
        <v>0</v>
      </c>
      <c r="F85">
        <f t="shared" si="1"/>
        <v>24</v>
      </c>
      <c r="G85" s="979">
        <f>IF(tblDias[[#This Row],[Horas esperadas]]=0,0,tblDias[[#This Row],[Horas cargadas]]/tblDias[[#This Row],[Horas esperadas]])</f>
        <v>0</v>
      </c>
      <c r="H85" t="str">
        <f ca="1">IF(tblDias[[#This Row],[Fecha]]&gt;TODAY(),"Pendiente",IF(tblDias[[#This Row],[Horas cargadas]]=0,"Sin datos",IF(tblDias[[#This Row],[Horas cargadas]]&lt;tblDias[[#This Row],[Horas esperadas]],"Parcial","Completo")))</f>
        <v>Pendiente</v>
      </c>
      <c r="I85">
        <f>COUNTIFS(tblRDO[Fecha],tblDias[[#This Row],[Fecha]])</f>
        <v>0</v>
      </c>
      <c r="J85" t="str">
        <f ca="1">IF(tblDias[[#This Row],[Fecha]]&gt;TODAY(),"Pendiente",IF(tblDias[[#This Row],[Filas RDO]]=0,"Sin RDO","Cargado"))</f>
        <v>Pendiente</v>
      </c>
      <c r="K85" s="993">
        <f>COUNTIFS(tblControles[Fecha],tblDias[[#This Row],[Fecha]],tblControles[Turno],"&lt;&gt;Obs")</f>
        <v>0</v>
      </c>
      <c r="L85" s="994">
        <f>SUMIFS(tblParadas[Horas perdidas],tblParadas[Fecha],tblDias[[#This Row],[Fecha]])</f>
        <v>0</v>
      </c>
      <c r="M85" s="955"/>
      <c r="N85" s="953"/>
      <c r="O85" s="955"/>
    </row>
    <row r="86" spans="2:15">
      <c r="B86" s="953">
        <v>46341</v>
      </c>
      <c r="C86" t="str">
        <f>CHOOSE(WEEKDAY(tblDias[[#This Row],[Fecha]],2),"lun","mar","mié","jue","vie","sáb","dom")</f>
        <v>dom</v>
      </c>
      <c r="D86" s="955" t="s">
        <v>9256</v>
      </c>
      <c r="E86">
        <f>COUNTIFS(tblConcentrado[Fecha],tblDias[[#This Row],[Fecha]])</f>
        <v>0</v>
      </c>
      <c r="F86">
        <f t="shared" si="1"/>
        <v>24</v>
      </c>
      <c r="G86" s="979">
        <f>IF(tblDias[[#This Row],[Horas esperadas]]=0,0,tblDias[[#This Row],[Horas cargadas]]/tblDias[[#This Row],[Horas esperadas]])</f>
        <v>0</v>
      </c>
      <c r="H86" t="str">
        <f ca="1">IF(tblDias[[#This Row],[Fecha]]&gt;TODAY(),"Pendiente",IF(tblDias[[#This Row],[Horas cargadas]]=0,"Sin datos",IF(tblDias[[#This Row],[Horas cargadas]]&lt;tblDias[[#This Row],[Horas esperadas]],"Parcial","Completo")))</f>
        <v>Pendiente</v>
      </c>
      <c r="I86">
        <f>COUNTIFS(tblRDO[Fecha],tblDias[[#This Row],[Fecha]])</f>
        <v>0</v>
      </c>
      <c r="J86" t="str">
        <f ca="1">IF(tblDias[[#This Row],[Fecha]]&gt;TODAY(),"Pendiente",IF(tblDias[[#This Row],[Filas RDO]]=0,"Sin RDO","Cargado"))</f>
        <v>Pendiente</v>
      </c>
      <c r="K86" s="993">
        <f>COUNTIFS(tblControles[Fecha],tblDias[[#This Row],[Fecha]],tblControles[Turno],"&lt;&gt;Obs")</f>
        <v>0</v>
      </c>
      <c r="L86" s="994">
        <f>SUMIFS(tblParadas[Horas perdidas],tblParadas[Fecha],tblDias[[#This Row],[Fecha]])</f>
        <v>0</v>
      </c>
      <c r="M86" s="955"/>
      <c r="N86" s="953"/>
      <c r="O86" s="955"/>
    </row>
    <row r="87" spans="2:15">
      <c r="B87" s="953">
        <v>46342</v>
      </c>
      <c r="C87" t="str">
        <f>CHOOSE(WEEKDAY(tblDias[[#This Row],[Fecha]],2),"lun","mar","mié","jue","vie","sáb","dom")</f>
        <v>lun</v>
      </c>
      <c r="D87" s="955" t="s">
        <v>9256</v>
      </c>
      <c r="E87">
        <f>COUNTIFS(tblConcentrado[Fecha],tblDias[[#This Row],[Fecha]])</f>
        <v>0</v>
      </c>
      <c r="F87">
        <f t="shared" si="1"/>
        <v>24</v>
      </c>
      <c r="G87" s="979">
        <f>IF(tblDias[[#This Row],[Horas esperadas]]=0,0,tblDias[[#This Row],[Horas cargadas]]/tblDias[[#This Row],[Horas esperadas]])</f>
        <v>0</v>
      </c>
      <c r="H87" t="str">
        <f ca="1">IF(tblDias[[#This Row],[Fecha]]&gt;TODAY(),"Pendiente",IF(tblDias[[#This Row],[Horas cargadas]]=0,"Sin datos",IF(tblDias[[#This Row],[Horas cargadas]]&lt;tblDias[[#This Row],[Horas esperadas]],"Parcial","Completo")))</f>
        <v>Pendiente</v>
      </c>
      <c r="I87">
        <f>COUNTIFS(tblRDO[Fecha],tblDias[[#This Row],[Fecha]])</f>
        <v>0</v>
      </c>
      <c r="J87" t="str">
        <f ca="1">IF(tblDias[[#This Row],[Fecha]]&gt;TODAY(),"Pendiente",IF(tblDias[[#This Row],[Filas RDO]]=0,"Sin RDO","Cargado"))</f>
        <v>Pendiente</v>
      </c>
      <c r="K87" s="993">
        <f>COUNTIFS(tblControles[Fecha],tblDias[[#This Row],[Fecha]],tblControles[Turno],"&lt;&gt;Obs")</f>
        <v>0</v>
      </c>
      <c r="L87" s="994">
        <f>SUMIFS(tblParadas[Horas perdidas],tblParadas[Fecha],tblDias[[#This Row],[Fecha]])</f>
        <v>0</v>
      </c>
      <c r="M87" s="955"/>
      <c r="N87" s="953"/>
      <c r="O87" s="955"/>
    </row>
    <row r="88" spans="2:15">
      <c r="B88" s="953">
        <v>46343</v>
      </c>
      <c r="C88" t="str">
        <f>CHOOSE(WEEKDAY(tblDias[[#This Row],[Fecha]],2),"lun","mar","mié","jue","vie","sáb","dom")</f>
        <v>mar</v>
      </c>
      <c r="D88" s="955" t="s">
        <v>9256</v>
      </c>
      <c r="E88">
        <f>COUNTIFS(tblConcentrado[Fecha],tblDias[[#This Row],[Fecha]])</f>
        <v>0</v>
      </c>
      <c r="F88">
        <f t="shared" si="1"/>
        <v>24</v>
      </c>
      <c r="G88" s="979">
        <f>IF(tblDias[[#This Row],[Horas esperadas]]=0,0,tblDias[[#This Row],[Horas cargadas]]/tblDias[[#This Row],[Horas esperadas]])</f>
        <v>0</v>
      </c>
      <c r="H88" t="str">
        <f ca="1">IF(tblDias[[#This Row],[Fecha]]&gt;TODAY(),"Pendiente",IF(tblDias[[#This Row],[Horas cargadas]]=0,"Sin datos",IF(tblDias[[#This Row],[Horas cargadas]]&lt;tblDias[[#This Row],[Horas esperadas]],"Parcial","Completo")))</f>
        <v>Pendiente</v>
      </c>
      <c r="I88">
        <f>COUNTIFS(tblRDO[Fecha],tblDias[[#This Row],[Fecha]])</f>
        <v>0</v>
      </c>
      <c r="J88" t="str">
        <f ca="1">IF(tblDias[[#This Row],[Fecha]]&gt;TODAY(),"Pendiente",IF(tblDias[[#This Row],[Filas RDO]]=0,"Sin RDO","Cargado"))</f>
        <v>Pendiente</v>
      </c>
      <c r="K88" s="993">
        <f>COUNTIFS(tblControles[Fecha],tblDias[[#This Row],[Fecha]],tblControles[Turno],"&lt;&gt;Obs")</f>
        <v>0</v>
      </c>
      <c r="L88" s="994">
        <f>SUMIFS(tblParadas[Horas perdidas],tblParadas[Fecha],tblDias[[#This Row],[Fecha]])</f>
        <v>0</v>
      </c>
      <c r="M88" s="955"/>
      <c r="N88" s="953"/>
      <c r="O88" s="955"/>
    </row>
    <row r="89" spans="2:15">
      <c r="B89" s="953">
        <v>46344</v>
      </c>
      <c r="C89" t="str">
        <f>CHOOSE(WEEKDAY(tblDias[[#This Row],[Fecha]],2),"lun","mar","mié","jue","vie","sáb","dom")</f>
        <v>mié</v>
      </c>
      <c r="D89" s="955" t="s">
        <v>9256</v>
      </c>
      <c r="E89">
        <f>COUNTIFS(tblConcentrado[Fecha],tblDias[[#This Row],[Fecha]])</f>
        <v>0</v>
      </c>
      <c r="F89">
        <f t="shared" si="1"/>
        <v>24</v>
      </c>
      <c r="G89" s="979">
        <f>IF(tblDias[[#This Row],[Horas esperadas]]=0,0,tblDias[[#This Row],[Horas cargadas]]/tblDias[[#This Row],[Horas esperadas]])</f>
        <v>0</v>
      </c>
      <c r="H89" t="str">
        <f ca="1">IF(tblDias[[#This Row],[Fecha]]&gt;TODAY(),"Pendiente",IF(tblDias[[#This Row],[Horas cargadas]]=0,"Sin datos",IF(tblDias[[#This Row],[Horas cargadas]]&lt;tblDias[[#This Row],[Horas esperadas]],"Parcial","Completo")))</f>
        <v>Pendiente</v>
      </c>
      <c r="I89">
        <f>COUNTIFS(tblRDO[Fecha],tblDias[[#This Row],[Fecha]])</f>
        <v>0</v>
      </c>
      <c r="J89" t="str">
        <f ca="1">IF(tblDias[[#This Row],[Fecha]]&gt;TODAY(),"Pendiente",IF(tblDias[[#This Row],[Filas RDO]]=0,"Sin RDO","Cargado"))</f>
        <v>Pendiente</v>
      </c>
      <c r="K89" s="993">
        <f>COUNTIFS(tblControles[Fecha],tblDias[[#This Row],[Fecha]],tblControles[Turno],"&lt;&gt;Obs")</f>
        <v>0</v>
      </c>
      <c r="L89" s="994">
        <f>SUMIFS(tblParadas[Horas perdidas],tblParadas[Fecha],tblDias[[#This Row],[Fecha]])</f>
        <v>0</v>
      </c>
      <c r="M89" s="955"/>
      <c r="N89" s="953"/>
      <c r="O89" s="955"/>
    </row>
    <row r="90" spans="2:15">
      <c r="B90" s="953">
        <v>46345</v>
      </c>
      <c r="C90" t="str">
        <f>CHOOSE(WEEKDAY(tblDias[[#This Row],[Fecha]],2),"lun","mar","mié","jue","vie","sáb","dom")</f>
        <v>jue</v>
      </c>
      <c r="D90" s="955" t="s">
        <v>9256</v>
      </c>
      <c r="E90">
        <f>COUNTIFS(tblConcentrado[Fecha],tblDias[[#This Row],[Fecha]])</f>
        <v>0</v>
      </c>
      <c r="F90">
        <f t="shared" si="1"/>
        <v>24</v>
      </c>
      <c r="G90" s="979">
        <f>IF(tblDias[[#This Row],[Horas esperadas]]=0,0,tblDias[[#This Row],[Horas cargadas]]/tblDias[[#This Row],[Horas esperadas]])</f>
        <v>0</v>
      </c>
      <c r="H90" t="str">
        <f ca="1">IF(tblDias[[#This Row],[Fecha]]&gt;TODAY(),"Pendiente",IF(tblDias[[#This Row],[Horas cargadas]]=0,"Sin datos",IF(tblDias[[#This Row],[Horas cargadas]]&lt;tblDias[[#This Row],[Horas esperadas]],"Parcial","Completo")))</f>
        <v>Pendiente</v>
      </c>
      <c r="I90">
        <f>COUNTIFS(tblRDO[Fecha],tblDias[[#This Row],[Fecha]])</f>
        <v>0</v>
      </c>
      <c r="J90" t="str">
        <f ca="1">IF(tblDias[[#This Row],[Fecha]]&gt;TODAY(),"Pendiente",IF(tblDias[[#This Row],[Filas RDO]]=0,"Sin RDO","Cargado"))</f>
        <v>Pendiente</v>
      </c>
      <c r="K90" s="993">
        <f>COUNTIFS(tblControles[Fecha],tblDias[[#This Row],[Fecha]],tblControles[Turno],"&lt;&gt;Obs")</f>
        <v>0</v>
      </c>
      <c r="L90" s="994">
        <f>SUMIFS(tblParadas[Horas perdidas],tblParadas[Fecha],tblDias[[#This Row],[Fecha]])</f>
        <v>0</v>
      </c>
      <c r="M90" s="955"/>
      <c r="N90" s="953"/>
      <c r="O90" s="955"/>
    </row>
    <row r="91" spans="2:15">
      <c r="B91" s="953">
        <v>46346</v>
      </c>
      <c r="C91" t="str">
        <f>CHOOSE(WEEKDAY(tblDias[[#This Row],[Fecha]],2),"lun","mar","mié","jue","vie","sáb","dom")</f>
        <v>vie</v>
      </c>
      <c r="D91" s="955" t="s">
        <v>9256</v>
      </c>
      <c r="E91">
        <f>COUNTIFS(tblConcentrado[Fecha],tblDias[[#This Row],[Fecha]])</f>
        <v>0</v>
      </c>
      <c r="F91">
        <f t="shared" si="1"/>
        <v>24</v>
      </c>
      <c r="G91" s="979">
        <f>IF(tblDias[[#This Row],[Horas esperadas]]=0,0,tblDias[[#This Row],[Horas cargadas]]/tblDias[[#This Row],[Horas esperadas]])</f>
        <v>0</v>
      </c>
      <c r="H91" t="str">
        <f ca="1">IF(tblDias[[#This Row],[Fecha]]&gt;TODAY(),"Pendiente",IF(tblDias[[#This Row],[Horas cargadas]]=0,"Sin datos",IF(tblDias[[#This Row],[Horas cargadas]]&lt;tblDias[[#This Row],[Horas esperadas]],"Parcial","Completo")))</f>
        <v>Pendiente</v>
      </c>
      <c r="I91">
        <f>COUNTIFS(tblRDO[Fecha],tblDias[[#This Row],[Fecha]])</f>
        <v>0</v>
      </c>
      <c r="J91" t="str">
        <f ca="1">IF(tblDias[[#This Row],[Fecha]]&gt;TODAY(),"Pendiente",IF(tblDias[[#This Row],[Filas RDO]]=0,"Sin RDO","Cargado"))</f>
        <v>Pendiente</v>
      </c>
      <c r="K91" s="993">
        <f>COUNTIFS(tblControles[Fecha],tblDias[[#This Row],[Fecha]],tblControles[Turno],"&lt;&gt;Obs")</f>
        <v>0</v>
      </c>
      <c r="L91" s="994">
        <f>SUMIFS(tblParadas[Horas perdidas],tblParadas[Fecha],tblDias[[#This Row],[Fecha]])</f>
        <v>0</v>
      </c>
      <c r="M91" s="955"/>
      <c r="N91" s="953"/>
      <c r="O91" s="955"/>
    </row>
    <row r="92" spans="2:15">
      <c r="B92" s="953">
        <v>46347</v>
      </c>
      <c r="C92" t="str">
        <f>CHOOSE(WEEKDAY(tblDias[[#This Row],[Fecha]],2),"lun","mar","mié","jue","vie","sáb","dom")</f>
        <v>sáb</v>
      </c>
      <c r="D92" s="955" t="s">
        <v>9256</v>
      </c>
      <c r="E92">
        <f>COUNTIFS(tblConcentrado[Fecha],tblDias[[#This Row],[Fecha]])</f>
        <v>0</v>
      </c>
      <c r="F92">
        <f t="shared" si="1"/>
        <v>24</v>
      </c>
      <c r="G92" s="979">
        <f>IF(tblDias[[#This Row],[Horas esperadas]]=0,0,tblDias[[#This Row],[Horas cargadas]]/tblDias[[#This Row],[Horas esperadas]])</f>
        <v>0</v>
      </c>
      <c r="H92" t="str">
        <f ca="1">IF(tblDias[[#This Row],[Fecha]]&gt;TODAY(),"Pendiente",IF(tblDias[[#This Row],[Horas cargadas]]=0,"Sin datos",IF(tblDias[[#This Row],[Horas cargadas]]&lt;tblDias[[#This Row],[Horas esperadas]],"Parcial","Completo")))</f>
        <v>Pendiente</v>
      </c>
      <c r="I92">
        <f>COUNTIFS(tblRDO[Fecha],tblDias[[#This Row],[Fecha]])</f>
        <v>0</v>
      </c>
      <c r="J92" t="str">
        <f ca="1">IF(tblDias[[#This Row],[Fecha]]&gt;TODAY(),"Pendiente",IF(tblDias[[#This Row],[Filas RDO]]=0,"Sin RDO","Cargado"))</f>
        <v>Pendiente</v>
      </c>
      <c r="K92" s="993">
        <f>COUNTIFS(tblControles[Fecha],tblDias[[#This Row],[Fecha]],tblControles[Turno],"&lt;&gt;Obs")</f>
        <v>0</v>
      </c>
      <c r="L92" s="994">
        <f>SUMIFS(tblParadas[Horas perdidas],tblParadas[Fecha],tblDias[[#This Row],[Fecha]])</f>
        <v>0</v>
      </c>
      <c r="M92" s="955"/>
      <c r="N92" s="953"/>
      <c r="O92" s="955"/>
    </row>
    <row r="93" spans="2:15">
      <c r="B93" s="953">
        <v>46348</v>
      </c>
      <c r="C93" t="str">
        <f>CHOOSE(WEEKDAY(tblDias[[#This Row],[Fecha]],2),"lun","mar","mié","jue","vie","sáb","dom")</f>
        <v>dom</v>
      </c>
      <c r="D93" s="955" t="s">
        <v>9256</v>
      </c>
      <c r="E93">
        <f>COUNTIFS(tblConcentrado[Fecha],tblDias[[#This Row],[Fecha]])</f>
        <v>0</v>
      </c>
      <c r="F93">
        <f t="shared" si="1"/>
        <v>24</v>
      </c>
      <c r="G93" s="979">
        <f>IF(tblDias[[#This Row],[Horas esperadas]]=0,0,tblDias[[#This Row],[Horas cargadas]]/tblDias[[#This Row],[Horas esperadas]])</f>
        <v>0</v>
      </c>
      <c r="H93" t="str">
        <f ca="1">IF(tblDias[[#This Row],[Fecha]]&gt;TODAY(),"Pendiente",IF(tblDias[[#This Row],[Horas cargadas]]=0,"Sin datos",IF(tblDias[[#This Row],[Horas cargadas]]&lt;tblDias[[#This Row],[Horas esperadas]],"Parcial","Completo")))</f>
        <v>Pendiente</v>
      </c>
      <c r="I93">
        <f>COUNTIFS(tblRDO[Fecha],tblDias[[#This Row],[Fecha]])</f>
        <v>0</v>
      </c>
      <c r="J93" t="str">
        <f ca="1">IF(tblDias[[#This Row],[Fecha]]&gt;TODAY(),"Pendiente",IF(tblDias[[#This Row],[Filas RDO]]=0,"Sin RDO","Cargado"))</f>
        <v>Pendiente</v>
      </c>
      <c r="K93" s="993">
        <f>COUNTIFS(tblControles[Fecha],tblDias[[#This Row],[Fecha]],tblControles[Turno],"&lt;&gt;Obs")</f>
        <v>0</v>
      </c>
      <c r="L93" s="994">
        <f>SUMIFS(tblParadas[Horas perdidas],tblParadas[Fecha],tblDias[[#This Row],[Fecha]])</f>
        <v>0</v>
      </c>
      <c r="M93" s="955"/>
      <c r="N93" s="953"/>
      <c r="O93" s="955"/>
    </row>
    <row r="94" spans="2:15">
      <c r="B94" s="953">
        <v>46349</v>
      </c>
      <c r="C94" t="str">
        <f>CHOOSE(WEEKDAY(tblDias[[#This Row],[Fecha]],2),"lun","mar","mié","jue","vie","sáb","dom")</f>
        <v>lun</v>
      </c>
      <c r="D94" s="955" t="s">
        <v>9256</v>
      </c>
      <c r="E94">
        <f>COUNTIFS(tblConcentrado[Fecha],tblDias[[#This Row],[Fecha]])</f>
        <v>0</v>
      </c>
      <c r="F94">
        <f t="shared" si="1"/>
        <v>24</v>
      </c>
      <c r="G94" s="979">
        <f>IF(tblDias[[#This Row],[Horas esperadas]]=0,0,tblDias[[#This Row],[Horas cargadas]]/tblDias[[#This Row],[Horas esperadas]])</f>
        <v>0</v>
      </c>
      <c r="H94" t="str">
        <f ca="1">IF(tblDias[[#This Row],[Fecha]]&gt;TODAY(),"Pendiente",IF(tblDias[[#This Row],[Horas cargadas]]=0,"Sin datos",IF(tblDias[[#This Row],[Horas cargadas]]&lt;tblDias[[#This Row],[Horas esperadas]],"Parcial","Completo")))</f>
        <v>Pendiente</v>
      </c>
      <c r="I94">
        <f>COUNTIFS(tblRDO[Fecha],tblDias[[#This Row],[Fecha]])</f>
        <v>0</v>
      </c>
      <c r="J94" t="str">
        <f ca="1">IF(tblDias[[#This Row],[Fecha]]&gt;TODAY(),"Pendiente",IF(tblDias[[#This Row],[Filas RDO]]=0,"Sin RDO","Cargado"))</f>
        <v>Pendiente</v>
      </c>
      <c r="K94" s="993">
        <f>COUNTIFS(tblControles[Fecha],tblDias[[#This Row],[Fecha]],tblControles[Turno],"&lt;&gt;Obs")</f>
        <v>0</v>
      </c>
      <c r="L94" s="994">
        <f>SUMIFS(tblParadas[Horas perdidas],tblParadas[Fecha],tblDias[[#This Row],[Fecha]])</f>
        <v>0</v>
      </c>
      <c r="M94" s="955"/>
      <c r="N94" s="953"/>
      <c r="O94" s="955"/>
    </row>
    <row r="95" spans="2:15">
      <c r="B95" s="953">
        <v>46350</v>
      </c>
      <c r="C95" t="str">
        <f>CHOOSE(WEEKDAY(tblDias[[#This Row],[Fecha]],2),"lun","mar","mié","jue","vie","sáb","dom")</f>
        <v>mar</v>
      </c>
      <c r="D95" s="955" t="s">
        <v>9256</v>
      </c>
      <c r="E95">
        <f>COUNTIFS(tblConcentrado[Fecha],tblDias[[#This Row],[Fecha]])</f>
        <v>0</v>
      </c>
      <c r="F95">
        <f t="shared" si="1"/>
        <v>24</v>
      </c>
      <c r="G95" s="979">
        <f>IF(tblDias[[#This Row],[Horas esperadas]]=0,0,tblDias[[#This Row],[Horas cargadas]]/tblDias[[#This Row],[Horas esperadas]])</f>
        <v>0</v>
      </c>
      <c r="H95" t="str">
        <f ca="1">IF(tblDias[[#This Row],[Fecha]]&gt;TODAY(),"Pendiente",IF(tblDias[[#This Row],[Horas cargadas]]=0,"Sin datos",IF(tblDias[[#This Row],[Horas cargadas]]&lt;tblDias[[#This Row],[Horas esperadas]],"Parcial","Completo")))</f>
        <v>Pendiente</v>
      </c>
      <c r="I95">
        <f>COUNTIFS(tblRDO[Fecha],tblDias[[#This Row],[Fecha]])</f>
        <v>0</v>
      </c>
      <c r="J95" t="str">
        <f ca="1">IF(tblDias[[#This Row],[Fecha]]&gt;TODAY(),"Pendiente",IF(tblDias[[#This Row],[Filas RDO]]=0,"Sin RDO","Cargado"))</f>
        <v>Pendiente</v>
      </c>
      <c r="K95" s="993">
        <f>COUNTIFS(tblControles[Fecha],tblDias[[#This Row],[Fecha]],tblControles[Turno],"&lt;&gt;Obs")</f>
        <v>0</v>
      </c>
      <c r="L95" s="994">
        <f>SUMIFS(tblParadas[Horas perdidas],tblParadas[Fecha],tblDias[[#This Row],[Fecha]])</f>
        <v>0</v>
      </c>
      <c r="M95" s="955"/>
      <c r="N95" s="953"/>
      <c r="O95" s="955"/>
    </row>
    <row r="96" spans="2:15">
      <c r="B96" s="953">
        <v>46351</v>
      </c>
      <c r="C96" t="str">
        <f>CHOOSE(WEEKDAY(tblDias[[#This Row],[Fecha]],2),"lun","mar","mié","jue","vie","sáb","dom")</f>
        <v>mié</v>
      </c>
      <c r="D96" s="955" t="s">
        <v>9256</v>
      </c>
      <c r="E96">
        <f>COUNTIFS(tblConcentrado[Fecha],tblDias[[#This Row],[Fecha]])</f>
        <v>0</v>
      </c>
      <c r="F96">
        <f t="shared" si="1"/>
        <v>24</v>
      </c>
      <c r="G96" s="979">
        <f>IF(tblDias[[#This Row],[Horas esperadas]]=0,0,tblDias[[#This Row],[Horas cargadas]]/tblDias[[#This Row],[Horas esperadas]])</f>
        <v>0</v>
      </c>
      <c r="H96" t="str">
        <f ca="1">IF(tblDias[[#This Row],[Fecha]]&gt;TODAY(),"Pendiente",IF(tblDias[[#This Row],[Horas cargadas]]=0,"Sin datos",IF(tblDias[[#This Row],[Horas cargadas]]&lt;tblDias[[#This Row],[Horas esperadas]],"Parcial","Completo")))</f>
        <v>Pendiente</v>
      </c>
      <c r="I96">
        <f>COUNTIFS(tblRDO[Fecha],tblDias[[#This Row],[Fecha]])</f>
        <v>0</v>
      </c>
      <c r="J96" t="str">
        <f ca="1">IF(tblDias[[#This Row],[Fecha]]&gt;TODAY(),"Pendiente",IF(tblDias[[#This Row],[Filas RDO]]=0,"Sin RDO","Cargado"))</f>
        <v>Pendiente</v>
      </c>
      <c r="K96" s="993">
        <f>COUNTIFS(tblControles[Fecha],tblDias[[#This Row],[Fecha]],tblControles[Turno],"&lt;&gt;Obs")</f>
        <v>0</v>
      </c>
      <c r="L96" s="994">
        <f>SUMIFS(tblParadas[Horas perdidas],tblParadas[Fecha],tblDias[[#This Row],[Fecha]])</f>
        <v>0</v>
      </c>
      <c r="M96" s="955"/>
      <c r="N96" s="953"/>
      <c r="O96" s="955"/>
    </row>
    <row r="97" spans="2:15">
      <c r="B97" s="953">
        <v>46352</v>
      </c>
      <c r="C97" t="str">
        <f>CHOOSE(WEEKDAY(tblDias[[#This Row],[Fecha]],2),"lun","mar","mié","jue","vie","sáb","dom")</f>
        <v>jue</v>
      </c>
      <c r="D97" s="955" t="s">
        <v>9256</v>
      </c>
      <c r="E97">
        <f>COUNTIFS(tblConcentrado[Fecha],tblDias[[#This Row],[Fecha]])</f>
        <v>0</v>
      </c>
      <c r="F97">
        <f t="shared" si="1"/>
        <v>24</v>
      </c>
      <c r="G97" s="979">
        <f>IF(tblDias[[#This Row],[Horas esperadas]]=0,0,tblDias[[#This Row],[Horas cargadas]]/tblDias[[#This Row],[Horas esperadas]])</f>
        <v>0</v>
      </c>
      <c r="H97" t="str">
        <f ca="1">IF(tblDias[[#This Row],[Fecha]]&gt;TODAY(),"Pendiente",IF(tblDias[[#This Row],[Horas cargadas]]=0,"Sin datos",IF(tblDias[[#This Row],[Horas cargadas]]&lt;tblDias[[#This Row],[Horas esperadas]],"Parcial","Completo")))</f>
        <v>Pendiente</v>
      </c>
      <c r="I97">
        <f>COUNTIFS(tblRDO[Fecha],tblDias[[#This Row],[Fecha]])</f>
        <v>0</v>
      </c>
      <c r="J97" t="str">
        <f ca="1">IF(tblDias[[#This Row],[Fecha]]&gt;TODAY(),"Pendiente",IF(tblDias[[#This Row],[Filas RDO]]=0,"Sin RDO","Cargado"))</f>
        <v>Pendiente</v>
      </c>
      <c r="K97" s="993">
        <f>COUNTIFS(tblControles[Fecha],tblDias[[#This Row],[Fecha]],tblControles[Turno],"&lt;&gt;Obs")</f>
        <v>0</v>
      </c>
      <c r="L97" s="994">
        <f>SUMIFS(tblParadas[Horas perdidas],tblParadas[Fecha],tblDias[[#This Row],[Fecha]])</f>
        <v>0</v>
      </c>
      <c r="M97" s="955"/>
      <c r="N97" s="953"/>
      <c r="O97" s="955"/>
    </row>
    <row r="98" spans="2:15">
      <c r="B98" s="953">
        <v>46353</v>
      </c>
      <c r="C98" t="str">
        <f>CHOOSE(WEEKDAY(tblDias[[#This Row],[Fecha]],2),"lun","mar","mié","jue","vie","sáb","dom")</f>
        <v>vie</v>
      </c>
      <c r="D98" s="955" t="s">
        <v>9256</v>
      </c>
      <c r="E98">
        <f>COUNTIFS(tblConcentrado[Fecha],tblDias[[#This Row],[Fecha]])</f>
        <v>0</v>
      </c>
      <c r="F98">
        <f t="shared" si="1"/>
        <v>24</v>
      </c>
      <c r="G98" s="979">
        <f>IF(tblDias[[#This Row],[Horas esperadas]]=0,0,tblDias[[#This Row],[Horas cargadas]]/tblDias[[#This Row],[Horas esperadas]])</f>
        <v>0</v>
      </c>
      <c r="H98" t="str">
        <f ca="1">IF(tblDias[[#This Row],[Fecha]]&gt;TODAY(),"Pendiente",IF(tblDias[[#This Row],[Horas cargadas]]=0,"Sin datos",IF(tblDias[[#This Row],[Horas cargadas]]&lt;tblDias[[#This Row],[Horas esperadas]],"Parcial","Completo")))</f>
        <v>Pendiente</v>
      </c>
      <c r="I98">
        <f>COUNTIFS(tblRDO[Fecha],tblDias[[#This Row],[Fecha]])</f>
        <v>0</v>
      </c>
      <c r="J98" t="str">
        <f ca="1">IF(tblDias[[#This Row],[Fecha]]&gt;TODAY(),"Pendiente",IF(tblDias[[#This Row],[Filas RDO]]=0,"Sin RDO","Cargado"))</f>
        <v>Pendiente</v>
      </c>
      <c r="K98" s="993">
        <f>COUNTIFS(tblControles[Fecha],tblDias[[#This Row],[Fecha]],tblControles[Turno],"&lt;&gt;Obs")</f>
        <v>0</v>
      </c>
      <c r="L98" s="994">
        <f>SUMIFS(tblParadas[Horas perdidas],tblParadas[Fecha],tblDias[[#This Row],[Fecha]])</f>
        <v>0</v>
      </c>
      <c r="M98" s="955"/>
      <c r="N98" s="953"/>
      <c r="O98" s="955"/>
    </row>
    <row r="99" spans="2:15">
      <c r="B99" s="953">
        <v>46354</v>
      </c>
      <c r="C99" t="str">
        <f>CHOOSE(WEEKDAY(tblDias[[#This Row],[Fecha]],2),"lun","mar","mié","jue","vie","sáb","dom")</f>
        <v>sáb</v>
      </c>
      <c r="D99" s="955" t="s">
        <v>9256</v>
      </c>
      <c r="E99">
        <f>COUNTIFS(tblConcentrado[Fecha],tblDias[[#This Row],[Fecha]])</f>
        <v>0</v>
      </c>
      <c r="F99">
        <f t="shared" si="1"/>
        <v>24</v>
      </c>
      <c r="G99" s="979">
        <f>IF(tblDias[[#This Row],[Horas esperadas]]=0,0,tblDias[[#This Row],[Horas cargadas]]/tblDias[[#This Row],[Horas esperadas]])</f>
        <v>0</v>
      </c>
      <c r="H99" t="str">
        <f ca="1">IF(tblDias[[#This Row],[Fecha]]&gt;TODAY(),"Pendiente",IF(tblDias[[#This Row],[Horas cargadas]]=0,"Sin datos",IF(tblDias[[#This Row],[Horas cargadas]]&lt;tblDias[[#This Row],[Horas esperadas]],"Parcial","Completo")))</f>
        <v>Pendiente</v>
      </c>
      <c r="I99">
        <f>COUNTIFS(tblRDO[Fecha],tblDias[[#This Row],[Fecha]])</f>
        <v>0</v>
      </c>
      <c r="J99" t="str">
        <f ca="1">IF(tblDias[[#This Row],[Fecha]]&gt;TODAY(),"Pendiente",IF(tblDias[[#This Row],[Filas RDO]]=0,"Sin RDO","Cargado"))</f>
        <v>Pendiente</v>
      </c>
      <c r="K99" s="993">
        <f>COUNTIFS(tblControles[Fecha],tblDias[[#This Row],[Fecha]],tblControles[Turno],"&lt;&gt;Obs")</f>
        <v>0</v>
      </c>
      <c r="L99" s="994">
        <f>SUMIFS(tblParadas[Horas perdidas],tblParadas[Fecha],tblDias[[#This Row],[Fecha]])</f>
        <v>0</v>
      </c>
      <c r="M99" s="955"/>
      <c r="N99" s="953"/>
      <c r="O99" s="955"/>
    </row>
    <row r="100" spans="2:15">
      <c r="B100" s="953">
        <v>46355</v>
      </c>
      <c r="C100" t="str">
        <f>CHOOSE(WEEKDAY(tblDias[[#This Row],[Fecha]],2),"lun","mar","mié","jue","vie","sáb","dom")</f>
        <v>dom</v>
      </c>
      <c r="D100" s="955" t="s">
        <v>9256</v>
      </c>
      <c r="E100">
        <f>COUNTIFS(tblConcentrado[Fecha],tblDias[[#This Row],[Fecha]])</f>
        <v>0</v>
      </c>
      <c r="F100">
        <f t="shared" si="1"/>
        <v>24</v>
      </c>
      <c r="G100" s="979">
        <f>IF(tblDias[[#This Row],[Horas esperadas]]=0,0,tblDias[[#This Row],[Horas cargadas]]/tblDias[[#This Row],[Horas esperadas]])</f>
        <v>0</v>
      </c>
      <c r="H100" t="str">
        <f ca="1">IF(tblDias[[#This Row],[Fecha]]&gt;TODAY(),"Pendiente",IF(tblDias[[#This Row],[Horas cargadas]]=0,"Sin datos",IF(tblDias[[#This Row],[Horas cargadas]]&lt;tblDias[[#This Row],[Horas esperadas]],"Parcial","Completo")))</f>
        <v>Pendiente</v>
      </c>
      <c r="I100">
        <f>COUNTIFS(tblRDO[Fecha],tblDias[[#This Row],[Fecha]])</f>
        <v>0</v>
      </c>
      <c r="J100" t="str">
        <f ca="1">IF(tblDias[[#This Row],[Fecha]]&gt;TODAY(),"Pendiente",IF(tblDias[[#This Row],[Filas RDO]]=0,"Sin RDO","Cargado"))</f>
        <v>Pendiente</v>
      </c>
      <c r="K100" s="993">
        <f>COUNTIFS(tblControles[Fecha],tblDias[[#This Row],[Fecha]],tblControles[Turno],"&lt;&gt;Obs")</f>
        <v>0</v>
      </c>
      <c r="L100" s="994">
        <f>SUMIFS(tblParadas[Horas perdidas],tblParadas[Fecha],tblDias[[#This Row],[Fecha]])</f>
        <v>0</v>
      </c>
      <c r="M100" s="955"/>
      <c r="N100" s="953"/>
      <c r="O100" s="955"/>
    </row>
    <row r="101" spans="2:15">
      <c r="B101" s="953">
        <v>46356</v>
      </c>
      <c r="C101" t="str">
        <f>CHOOSE(WEEKDAY(tblDias[[#This Row],[Fecha]],2),"lun","mar","mié","jue","vie","sáb","dom")</f>
        <v>lun</v>
      </c>
      <c r="D101" s="955" t="s">
        <v>9256</v>
      </c>
      <c r="E101">
        <f>COUNTIFS(tblConcentrado[Fecha],tblDias[[#This Row],[Fecha]])</f>
        <v>0</v>
      </c>
      <c r="F101">
        <f t="shared" si="1"/>
        <v>24</v>
      </c>
      <c r="G101" s="979">
        <f>IF(tblDias[[#This Row],[Horas esperadas]]=0,0,tblDias[[#This Row],[Horas cargadas]]/tblDias[[#This Row],[Horas esperadas]])</f>
        <v>0</v>
      </c>
      <c r="H101" t="str">
        <f ca="1">IF(tblDias[[#This Row],[Fecha]]&gt;TODAY(),"Pendiente",IF(tblDias[[#This Row],[Horas cargadas]]=0,"Sin datos",IF(tblDias[[#This Row],[Horas cargadas]]&lt;tblDias[[#This Row],[Horas esperadas]],"Parcial","Completo")))</f>
        <v>Pendiente</v>
      </c>
      <c r="I101">
        <f>COUNTIFS(tblRDO[Fecha],tblDias[[#This Row],[Fecha]])</f>
        <v>0</v>
      </c>
      <c r="J101" t="str">
        <f ca="1">IF(tblDias[[#This Row],[Fecha]]&gt;TODAY(),"Pendiente",IF(tblDias[[#This Row],[Filas RDO]]=0,"Sin RDO","Cargado"))</f>
        <v>Pendiente</v>
      </c>
      <c r="K101" s="993">
        <f>COUNTIFS(tblControles[Fecha],tblDias[[#This Row],[Fecha]],tblControles[Turno],"&lt;&gt;Obs")</f>
        <v>0</v>
      </c>
      <c r="L101" s="994">
        <f>SUMIFS(tblParadas[Horas perdidas],tblParadas[Fecha],tblDias[[#This Row],[Fecha]])</f>
        <v>0</v>
      </c>
      <c r="M101" s="955"/>
      <c r="N101" s="953"/>
      <c r="O101" s="955"/>
    </row>
    <row r="102" spans="2:15">
      <c r="B102" s="953">
        <v>46357</v>
      </c>
      <c r="C102" t="str">
        <f>CHOOSE(WEEKDAY(tblDias[[#This Row],[Fecha]],2),"lun","mar","mié","jue","vie","sáb","dom")</f>
        <v>mar</v>
      </c>
      <c r="D102" s="955" t="s">
        <v>9256</v>
      </c>
      <c r="E102">
        <f>COUNTIFS(tblConcentrado[Fecha],tblDias[[#This Row],[Fecha]])</f>
        <v>0</v>
      </c>
      <c r="F102">
        <f t="shared" si="1"/>
        <v>24</v>
      </c>
      <c r="G102" s="979">
        <f>IF(tblDias[[#This Row],[Horas esperadas]]=0,0,tblDias[[#This Row],[Horas cargadas]]/tblDias[[#This Row],[Horas esperadas]])</f>
        <v>0</v>
      </c>
      <c r="H102" t="str">
        <f ca="1">IF(tblDias[[#This Row],[Fecha]]&gt;TODAY(),"Pendiente",IF(tblDias[[#This Row],[Horas cargadas]]=0,"Sin datos",IF(tblDias[[#This Row],[Horas cargadas]]&lt;tblDias[[#This Row],[Horas esperadas]],"Parcial","Completo")))</f>
        <v>Pendiente</v>
      </c>
      <c r="I102">
        <f>COUNTIFS(tblRDO[Fecha],tblDias[[#This Row],[Fecha]])</f>
        <v>0</v>
      </c>
      <c r="J102" t="str">
        <f ca="1">IF(tblDias[[#This Row],[Fecha]]&gt;TODAY(),"Pendiente",IF(tblDias[[#This Row],[Filas RDO]]=0,"Sin RDO","Cargado"))</f>
        <v>Pendiente</v>
      </c>
      <c r="K102" s="993">
        <f>COUNTIFS(tblControles[Fecha],tblDias[[#This Row],[Fecha]],tblControles[Turno],"&lt;&gt;Obs")</f>
        <v>0</v>
      </c>
      <c r="L102" s="994">
        <f>SUMIFS(tblParadas[Horas perdidas],tblParadas[Fecha],tblDias[[#This Row],[Fecha]])</f>
        <v>0</v>
      </c>
      <c r="M102" s="955"/>
      <c r="N102" s="953"/>
      <c r="O102" s="955"/>
    </row>
    <row r="103" spans="2:15">
      <c r="B103" s="953">
        <v>46358</v>
      </c>
      <c r="C103" t="str">
        <f>CHOOSE(WEEKDAY(tblDias[[#This Row],[Fecha]],2),"lun","mar","mié","jue","vie","sáb","dom")</f>
        <v>mié</v>
      </c>
      <c r="D103" s="955" t="s">
        <v>9256</v>
      </c>
      <c r="E103">
        <f>COUNTIFS(tblConcentrado[Fecha],tblDias[[#This Row],[Fecha]])</f>
        <v>0</v>
      </c>
      <c r="F103">
        <f t="shared" si="1"/>
        <v>24</v>
      </c>
      <c r="G103" s="979">
        <f>IF(tblDias[[#This Row],[Horas esperadas]]=0,0,tblDias[[#This Row],[Horas cargadas]]/tblDias[[#This Row],[Horas esperadas]])</f>
        <v>0</v>
      </c>
      <c r="H103" t="str">
        <f ca="1">IF(tblDias[[#This Row],[Fecha]]&gt;TODAY(),"Pendiente",IF(tblDias[[#This Row],[Horas cargadas]]=0,"Sin datos",IF(tblDias[[#This Row],[Horas cargadas]]&lt;tblDias[[#This Row],[Horas esperadas]],"Parcial","Completo")))</f>
        <v>Pendiente</v>
      </c>
      <c r="I103">
        <f>COUNTIFS(tblRDO[Fecha],tblDias[[#This Row],[Fecha]])</f>
        <v>0</v>
      </c>
      <c r="J103" t="str">
        <f ca="1">IF(tblDias[[#This Row],[Fecha]]&gt;TODAY(),"Pendiente",IF(tblDias[[#This Row],[Filas RDO]]=0,"Sin RDO","Cargado"))</f>
        <v>Pendiente</v>
      </c>
      <c r="K103" s="993">
        <f>COUNTIFS(tblControles[Fecha],tblDias[[#This Row],[Fecha]],tblControles[Turno],"&lt;&gt;Obs")</f>
        <v>0</v>
      </c>
      <c r="L103" s="994">
        <f>SUMIFS(tblParadas[Horas perdidas],tblParadas[Fecha],tblDias[[#This Row],[Fecha]])</f>
        <v>0</v>
      </c>
      <c r="M103" s="955"/>
      <c r="N103" s="953"/>
      <c r="O103" s="955"/>
    </row>
    <row r="104" spans="2:15">
      <c r="B104" s="953">
        <v>46359</v>
      </c>
      <c r="C104" t="str">
        <f>CHOOSE(WEEKDAY(tblDias[[#This Row],[Fecha]],2),"lun","mar","mié","jue","vie","sáb","dom")</f>
        <v>jue</v>
      </c>
      <c r="D104" s="955" t="s">
        <v>9256</v>
      </c>
      <c r="E104">
        <f>COUNTIFS(tblConcentrado[Fecha],tblDias[[#This Row],[Fecha]])</f>
        <v>0</v>
      </c>
      <c r="F104">
        <f t="shared" si="1"/>
        <v>24</v>
      </c>
      <c r="G104" s="979">
        <f>IF(tblDias[[#This Row],[Horas esperadas]]=0,0,tblDias[[#This Row],[Horas cargadas]]/tblDias[[#This Row],[Horas esperadas]])</f>
        <v>0</v>
      </c>
      <c r="H104" t="str">
        <f ca="1">IF(tblDias[[#This Row],[Fecha]]&gt;TODAY(),"Pendiente",IF(tblDias[[#This Row],[Horas cargadas]]=0,"Sin datos",IF(tblDias[[#This Row],[Horas cargadas]]&lt;tblDias[[#This Row],[Horas esperadas]],"Parcial","Completo")))</f>
        <v>Pendiente</v>
      </c>
      <c r="I104">
        <f>COUNTIFS(tblRDO[Fecha],tblDias[[#This Row],[Fecha]])</f>
        <v>0</v>
      </c>
      <c r="J104" t="str">
        <f ca="1">IF(tblDias[[#This Row],[Fecha]]&gt;TODAY(),"Pendiente",IF(tblDias[[#This Row],[Filas RDO]]=0,"Sin RDO","Cargado"))</f>
        <v>Pendiente</v>
      </c>
      <c r="K104" s="993">
        <f>COUNTIFS(tblControles[Fecha],tblDias[[#This Row],[Fecha]],tblControles[Turno],"&lt;&gt;Obs")</f>
        <v>0</v>
      </c>
      <c r="L104" s="994">
        <f>SUMIFS(tblParadas[Horas perdidas],tblParadas[Fecha],tblDias[[#This Row],[Fecha]])</f>
        <v>0</v>
      </c>
      <c r="M104" s="955"/>
      <c r="N104" s="953"/>
      <c r="O104" s="955"/>
    </row>
    <row r="105" spans="2:15">
      <c r="B105" s="953">
        <v>46360</v>
      </c>
      <c r="C105" t="str">
        <f>CHOOSE(WEEKDAY(tblDias[[#This Row],[Fecha]],2),"lun","mar","mié","jue","vie","sáb","dom")</f>
        <v>vie</v>
      </c>
      <c r="D105" s="955" t="s">
        <v>9256</v>
      </c>
      <c r="E105">
        <f>COUNTIFS(tblConcentrado[Fecha],tblDias[[#This Row],[Fecha]])</f>
        <v>0</v>
      </c>
      <c r="F105">
        <f t="shared" si="1"/>
        <v>24</v>
      </c>
      <c r="G105" s="979">
        <f>IF(tblDias[[#This Row],[Horas esperadas]]=0,0,tblDias[[#This Row],[Horas cargadas]]/tblDias[[#This Row],[Horas esperadas]])</f>
        <v>0</v>
      </c>
      <c r="H105" t="str">
        <f ca="1">IF(tblDias[[#This Row],[Fecha]]&gt;TODAY(),"Pendiente",IF(tblDias[[#This Row],[Horas cargadas]]=0,"Sin datos",IF(tblDias[[#This Row],[Horas cargadas]]&lt;tblDias[[#This Row],[Horas esperadas]],"Parcial","Completo")))</f>
        <v>Pendiente</v>
      </c>
      <c r="I105">
        <f>COUNTIFS(tblRDO[Fecha],tblDias[[#This Row],[Fecha]])</f>
        <v>0</v>
      </c>
      <c r="J105" t="str">
        <f ca="1">IF(tblDias[[#This Row],[Fecha]]&gt;TODAY(),"Pendiente",IF(tblDias[[#This Row],[Filas RDO]]=0,"Sin RDO","Cargado"))</f>
        <v>Pendiente</v>
      </c>
      <c r="K105" s="993">
        <f>COUNTIFS(tblControles[Fecha],tblDias[[#This Row],[Fecha]],tblControles[Turno],"&lt;&gt;Obs")</f>
        <v>0</v>
      </c>
      <c r="L105" s="994">
        <f>SUMIFS(tblParadas[Horas perdidas],tblParadas[Fecha],tblDias[[#This Row],[Fecha]])</f>
        <v>0</v>
      </c>
      <c r="M105" s="955"/>
      <c r="N105" s="953"/>
      <c r="O105" s="955"/>
    </row>
    <row r="106" spans="2:15">
      <c r="B106" s="953">
        <v>46361</v>
      </c>
      <c r="C106" t="str">
        <f>CHOOSE(WEEKDAY(tblDias[[#This Row],[Fecha]],2),"lun","mar","mié","jue","vie","sáb","dom")</f>
        <v>sáb</v>
      </c>
      <c r="D106" s="955" t="s">
        <v>9256</v>
      </c>
      <c r="E106">
        <f>COUNTIFS(tblConcentrado[Fecha],tblDias[[#This Row],[Fecha]])</f>
        <v>0</v>
      </c>
      <c r="F106">
        <f t="shared" si="1"/>
        <v>24</v>
      </c>
      <c r="G106" s="979">
        <f>IF(tblDias[[#This Row],[Horas esperadas]]=0,0,tblDias[[#This Row],[Horas cargadas]]/tblDias[[#This Row],[Horas esperadas]])</f>
        <v>0</v>
      </c>
      <c r="H106" t="str">
        <f ca="1">IF(tblDias[[#This Row],[Fecha]]&gt;TODAY(),"Pendiente",IF(tblDias[[#This Row],[Horas cargadas]]=0,"Sin datos",IF(tblDias[[#This Row],[Horas cargadas]]&lt;tblDias[[#This Row],[Horas esperadas]],"Parcial","Completo")))</f>
        <v>Pendiente</v>
      </c>
      <c r="I106">
        <f>COUNTIFS(tblRDO[Fecha],tblDias[[#This Row],[Fecha]])</f>
        <v>0</v>
      </c>
      <c r="J106" t="str">
        <f ca="1">IF(tblDias[[#This Row],[Fecha]]&gt;TODAY(),"Pendiente",IF(tblDias[[#This Row],[Filas RDO]]=0,"Sin RDO","Cargado"))</f>
        <v>Pendiente</v>
      </c>
      <c r="K106" s="993">
        <f>COUNTIFS(tblControles[Fecha],tblDias[[#This Row],[Fecha]],tblControles[Turno],"&lt;&gt;Obs")</f>
        <v>0</v>
      </c>
      <c r="L106" s="994">
        <f>SUMIFS(tblParadas[Horas perdidas],tblParadas[Fecha],tblDias[[#This Row],[Fecha]])</f>
        <v>0</v>
      </c>
      <c r="M106" s="955"/>
      <c r="N106" s="953"/>
      <c r="O106" s="955"/>
    </row>
    <row r="107" spans="2:15">
      <c r="B107" s="953">
        <v>46362</v>
      </c>
      <c r="C107" t="str">
        <f>CHOOSE(WEEKDAY(tblDias[[#This Row],[Fecha]],2),"lun","mar","mié","jue","vie","sáb","dom")</f>
        <v>dom</v>
      </c>
      <c r="D107" s="955" t="s">
        <v>9256</v>
      </c>
      <c r="E107">
        <f>COUNTIFS(tblConcentrado[Fecha],tblDias[[#This Row],[Fecha]])</f>
        <v>0</v>
      </c>
      <c r="F107">
        <f t="shared" si="1"/>
        <v>24</v>
      </c>
      <c r="G107" s="979">
        <f>IF(tblDias[[#This Row],[Horas esperadas]]=0,0,tblDias[[#This Row],[Horas cargadas]]/tblDias[[#This Row],[Horas esperadas]])</f>
        <v>0</v>
      </c>
      <c r="H107" t="str">
        <f ca="1">IF(tblDias[[#This Row],[Fecha]]&gt;TODAY(),"Pendiente",IF(tblDias[[#This Row],[Horas cargadas]]=0,"Sin datos",IF(tblDias[[#This Row],[Horas cargadas]]&lt;tblDias[[#This Row],[Horas esperadas]],"Parcial","Completo")))</f>
        <v>Pendiente</v>
      </c>
      <c r="I107">
        <f>COUNTIFS(tblRDO[Fecha],tblDias[[#This Row],[Fecha]])</f>
        <v>0</v>
      </c>
      <c r="J107" t="str">
        <f ca="1">IF(tblDias[[#This Row],[Fecha]]&gt;TODAY(),"Pendiente",IF(tblDias[[#This Row],[Filas RDO]]=0,"Sin RDO","Cargado"))</f>
        <v>Pendiente</v>
      </c>
      <c r="K107" s="993">
        <f>COUNTIFS(tblControles[Fecha],tblDias[[#This Row],[Fecha]],tblControles[Turno],"&lt;&gt;Obs")</f>
        <v>0</v>
      </c>
      <c r="L107" s="994">
        <f>SUMIFS(tblParadas[Horas perdidas],tblParadas[Fecha],tblDias[[#This Row],[Fecha]])</f>
        <v>0</v>
      </c>
      <c r="M107" s="955"/>
      <c r="N107" s="953"/>
      <c r="O107" s="955"/>
    </row>
    <row r="108" spans="2:15">
      <c r="B108" s="953">
        <v>46363</v>
      </c>
      <c r="C108" t="str">
        <f>CHOOSE(WEEKDAY(tblDias[[#This Row],[Fecha]],2),"lun","mar","mié","jue","vie","sáb","dom")</f>
        <v>lun</v>
      </c>
      <c r="D108" s="955" t="s">
        <v>9256</v>
      </c>
      <c r="E108">
        <f>COUNTIFS(tblConcentrado[Fecha],tblDias[[#This Row],[Fecha]])</f>
        <v>0</v>
      </c>
      <c r="F108">
        <f t="shared" si="1"/>
        <v>24</v>
      </c>
      <c r="G108" s="979">
        <f>IF(tblDias[[#This Row],[Horas esperadas]]=0,0,tblDias[[#This Row],[Horas cargadas]]/tblDias[[#This Row],[Horas esperadas]])</f>
        <v>0</v>
      </c>
      <c r="H108" t="str">
        <f ca="1">IF(tblDias[[#This Row],[Fecha]]&gt;TODAY(),"Pendiente",IF(tblDias[[#This Row],[Horas cargadas]]=0,"Sin datos",IF(tblDias[[#This Row],[Horas cargadas]]&lt;tblDias[[#This Row],[Horas esperadas]],"Parcial","Completo")))</f>
        <v>Pendiente</v>
      </c>
      <c r="I108">
        <f>COUNTIFS(tblRDO[Fecha],tblDias[[#This Row],[Fecha]])</f>
        <v>0</v>
      </c>
      <c r="J108" t="str">
        <f ca="1">IF(tblDias[[#This Row],[Fecha]]&gt;TODAY(),"Pendiente",IF(tblDias[[#This Row],[Filas RDO]]=0,"Sin RDO","Cargado"))</f>
        <v>Pendiente</v>
      </c>
      <c r="K108" s="993">
        <f>COUNTIFS(tblControles[Fecha],tblDias[[#This Row],[Fecha]],tblControles[Turno],"&lt;&gt;Obs")</f>
        <v>0</v>
      </c>
      <c r="L108" s="994">
        <f>SUMIFS(tblParadas[Horas perdidas],tblParadas[Fecha],tblDias[[#This Row],[Fecha]])</f>
        <v>0</v>
      </c>
      <c r="M108" s="955"/>
      <c r="N108" s="953"/>
      <c r="O108" s="955"/>
    </row>
    <row r="109" spans="2:15">
      <c r="B109" s="953">
        <v>46364</v>
      </c>
      <c r="C109" t="str">
        <f>CHOOSE(WEEKDAY(tblDias[[#This Row],[Fecha]],2),"lun","mar","mié","jue","vie","sáb","dom")</f>
        <v>mar</v>
      </c>
      <c r="D109" s="955" t="s">
        <v>9256</v>
      </c>
      <c r="E109">
        <f>COUNTIFS(tblConcentrado[Fecha],tblDias[[#This Row],[Fecha]])</f>
        <v>0</v>
      </c>
      <c r="F109">
        <f t="shared" si="1"/>
        <v>24</v>
      </c>
      <c r="G109" s="979">
        <f>IF(tblDias[[#This Row],[Horas esperadas]]=0,0,tblDias[[#This Row],[Horas cargadas]]/tblDias[[#This Row],[Horas esperadas]])</f>
        <v>0</v>
      </c>
      <c r="H109" t="str">
        <f ca="1">IF(tblDias[[#This Row],[Fecha]]&gt;TODAY(),"Pendiente",IF(tblDias[[#This Row],[Horas cargadas]]=0,"Sin datos",IF(tblDias[[#This Row],[Horas cargadas]]&lt;tblDias[[#This Row],[Horas esperadas]],"Parcial","Completo")))</f>
        <v>Pendiente</v>
      </c>
      <c r="I109">
        <f>COUNTIFS(tblRDO[Fecha],tblDias[[#This Row],[Fecha]])</f>
        <v>0</v>
      </c>
      <c r="J109" t="str">
        <f ca="1">IF(tblDias[[#This Row],[Fecha]]&gt;TODAY(),"Pendiente",IF(tblDias[[#This Row],[Filas RDO]]=0,"Sin RDO","Cargado"))</f>
        <v>Pendiente</v>
      </c>
      <c r="K109" s="993">
        <f>COUNTIFS(tblControles[Fecha],tblDias[[#This Row],[Fecha]],tblControles[Turno],"&lt;&gt;Obs")</f>
        <v>0</v>
      </c>
      <c r="L109" s="994">
        <f>SUMIFS(tblParadas[Horas perdidas],tblParadas[Fecha],tblDias[[#This Row],[Fecha]])</f>
        <v>0</v>
      </c>
      <c r="M109" s="955"/>
      <c r="N109" s="953"/>
      <c r="O109" s="955"/>
    </row>
    <row r="110" spans="2:15">
      <c r="B110" s="953">
        <v>46365</v>
      </c>
      <c r="C110" t="str">
        <f>CHOOSE(WEEKDAY(tblDias[[#This Row],[Fecha]],2),"lun","mar","mié","jue","vie","sáb","dom")</f>
        <v>mié</v>
      </c>
      <c r="D110" s="955" t="s">
        <v>9256</v>
      </c>
      <c r="E110">
        <f>COUNTIFS(tblConcentrado[Fecha],tblDias[[#This Row],[Fecha]])</f>
        <v>0</v>
      </c>
      <c r="F110">
        <f t="shared" si="1"/>
        <v>24</v>
      </c>
      <c r="G110" s="979">
        <f>IF(tblDias[[#This Row],[Horas esperadas]]=0,0,tblDias[[#This Row],[Horas cargadas]]/tblDias[[#This Row],[Horas esperadas]])</f>
        <v>0</v>
      </c>
      <c r="H110" t="str">
        <f ca="1">IF(tblDias[[#This Row],[Fecha]]&gt;TODAY(),"Pendiente",IF(tblDias[[#This Row],[Horas cargadas]]=0,"Sin datos",IF(tblDias[[#This Row],[Horas cargadas]]&lt;tblDias[[#This Row],[Horas esperadas]],"Parcial","Completo")))</f>
        <v>Pendiente</v>
      </c>
      <c r="I110">
        <f>COUNTIFS(tblRDO[Fecha],tblDias[[#This Row],[Fecha]])</f>
        <v>0</v>
      </c>
      <c r="J110" t="str">
        <f ca="1">IF(tblDias[[#This Row],[Fecha]]&gt;TODAY(),"Pendiente",IF(tblDias[[#This Row],[Filas RDO]]=0,"Sin RDO","Cargado"))</f>
        <v>Pendiente</v>
      </c>
      <c r="K110" s="993">
        <f>COUNTIFS(tblControles[Fecha],tblDias[[#This Row],[Fecha]],tblControles[Turno],"&lt;&gt;Obs")</f>
        <v>0</v>
      </c>
      <c r="L110" s="994">
        <f>SUMIFS(tblParadas[Horas perdidas],tblParadas[Fecha],tblDias[[#This Row],[Fecha]])</f>
        <v>0</v>
      </c>
      <c r="M110" s="955"/>
      <c r="N110" s="953"/>
      <c r="O110" s="955"/>
    </row>
    <row r="111" spans="2:15">
      <c r="B111" s="953">
        <v>46366</v>
      </c>
      <c r="C111" t="str">
        <f>CHOOSE(WEEKDAY(tblDias[[#This Row],[Fecha]],2),"lun","mar","mié","jue","vie","sáb","dom")</f>
        <v>jue</v>
      </c>
      <c r="D111" s="955" t="s">
        <v>9256</v>
      </c>
      <c r="E111">
        <f>COUNTIFS(tblConcentrado[Fecha],tblDias[[#This Row],[Fecha]])</f>
        <v>0</v>
      </c>
      <c r="F111">
        <f t="shared" si="1"/>
        <v>24</v>
      </c>
      <c r="G111" s="979">
        <f>IF(tblDias[[#This Row],[Horas esperadas]]=0,0,tblDias[[#This Row],[Horas cargadas]]/tblDias[[#This Row],[Horas esperadas]])</f>
        <v>0</v>
      </c>
      <c r="H111" t="str">
        <f ca="1">IF(tblDias[[#This Row],[Fecha]]&gt;TODAY(),"Pendiente",IF(tblDias[[#This Row],[Horas cargadas]]=0,"Sin datos",IF(tblDias[[#This Row],[Horas cargadas]]&lt;tblDias[[#This Row],[Horas esperadas]],"Parcial","Completo")))</f>
        <v>Pendiente</v>
      </c>
      <c r="I111">
        <f>COUNTIFS(tblRDO[Fecha],tblDias[[#This Row],[Fecha]])</f>
        <v>0</v>
      </c>
      <c r="J111" t="str">
        <f ca="1">IF(tblDias[[#This Row],[Fecha]]&gt;TODAY(),"Pendiente",IF(tblDias[[#This Row],[Filas RDO]]=0,"Sin RDO","Cargado"))</f>
        <v>Pendiente</v>
      </c>
      <c r="K111" s="993">
        <f>COUNTIFS(tblControles[Fecha],tblDias[[#This Row],[Fecha]],tblControles[Turno],"&lt;&gt;Obs")</f>
        <v>0</v>
      </c>
      <c r="L111" s="994">
        <f>SUMIFS(tblParadas[Horas perdidas],tblParadas[Fecha],tblDias[[#This Row],[Fecha]])</f>
        <v>0</v>
      </c>
      <c r="M111" s="955"/>
      <c r="N111" s="953"/>
      <c r="O111" s="955"/>
    </row>
    <row r="112" spans="2:15">
      <c r="B112" s="953">
        <v>46367</v>
      </c>
      <c r="C112" t="str">
        <f>CHOOSE(WEEKDAY(tblDias[[#This Row],[Fecha]],2),"lun","mar","mié","jue","vie","sáb","dom")</f>
        <v>vie</v>
      </c>
      <c r="D112" s="955" t="s">
        <v>9256</v>
      </c>
      <c r="E112">
        <f>COUNTIFS(tblConcentrado[Fecha],tblDias[[#This Row],[Fecha]])</f>
        <v>0</v>
      </c>
      <c r="F112">
        <f t="shared" si="1"/>
        <v>24</v>
      </c>
      <c r="G112" s="979">
        <f>IF(tblDias[[#This Row],[Horas esperadas]]=0,0,tblDias[[#This Row],[Horas cargadas]]/tblDias[[#This Row],[Horas esperadas]])</f>
        <v>0</v>
      </c>
      <c r="H112" t="str">
        <f ca="1">IF(tblDias[[#This Row],[Fecha]]&gt;TODAY(),"Pendiente",IF(tblDias[[#This Row],[Horas cargadas]]=0,"Sin datos",IF(tblDias[[#This Row],[Horas cargadas]]&lt;tblDias[[#This Row],[Horas esperadas]],"Parcial","Completo")))</f>
        <v>Pendiente</v>
      </c>
      <c r="I112">
        <f>COUNTIFS(tblRDO[Fecha],tblDias[[#This Row],[Fecha]])</f>
        <v>0</v>
      </c>
      <c r="J112" t="str">
        <f ca="1">IF(tblDias[[#This Row],[Fecha]]&gt;TODAY(),"Pendiente",IF(tblDias[[#This Row],[Filas RDO]]=0,"Sin RDO","Cargado"))</f>
        <v>Pendiente</v>
      </c>
      <c r="K112" s="993">
        <f>COUNTIFS(tblControles[Fecha],tblDias[[#This Row],[Fecha]],tblControles[Turno],"&lt;&gt;Obs")</f>
        <v>0</v>
      </c>
      <c r="L112" s="994">
        <f>SUMIFS(tblParadas[Horas perdidas],tblParadas[Fecha],tblDias[[#This Row],[Fecha]])</f>
        <v>0</v>
      </c>
      <c r="M112" s="955"/>
      <c r="N112" s="953"/>
      <c r="O112" s="955"/>
    </row>
    <row r="113" spans="2:15">
      <c r="B113" s="953">
        <v>46368</v>
      </c>
      <c r="C113" t="str">
        <f>CHOOSE(WEEKDAY(tblDias[[#This Row],[Fecha]],2),"lun","mar","mié","jue","vie","sáb","dom")</f>
        <v>sáb</v>
      </c>
      <c r="D113" s="955" t="s">
        <v>9256</v>
      </c>
      <c r="E113">
        <f>COUNTIFS(tblConcentrado[Fecha],tblDias[[#This Row],[Fecha]])</f>
        <v>0</v>
      </c>
      <c r="F113">
        <f t="shared" si="1"/>
        <v>24</v>
      </c>
      <c r="G113" s="979">
        <f>IF(tblDias[[#This Row],[Horas esperadas]]=0,0,tblDias[[#This Row],[Horas cargadas]]/tblDias[[#This Row],[Horas esperadas]])</f>
        <v>0</v>
      </c>
      <c r="H113" t="str">
        <f ca="1">IF(tblDias[[#This Row],[Fecha]]&gt;TODAY(),"Pendiente",IF(tblDias[[#This Row],[Horas cargadas]]=0,"Sin datos",IF(tblDias[[#This Row],[Horas cargadas]]&lt;tblDias[[#This Row],[Horas esperadas]],"Parcial","Completo")))</f>
        <v>Pendiente</v>
      </c>
      <c r="I113">
        <f>COUNTIFS(tblRDO[Fecha],tblDias[[#This Row],[Fecha]])</f>
        <v>0</v>
      </c>
      <c r="J113" t="str">
        <f ca="1">IF(tblDias[[#This Row],[Fecha]]&gt;TODAY(),"Pendiente",IF(tblDias[[#This Row],[Filas RDO]]=0,"Sin RDO","Cargado"))</f>
        <v>Pendiente</v>
      </c>
      <c r="K113" s="993">
        <f>COUNTIFS(tblControles[Fecha],tblDias[[#This Row],[Fecha]],tblControles[Turno],"&lt;&gt;Obs")</f>
        <v>0</v>
      </c>
      <c r="L113" s="994">
        <f>SUMIFS(tblParadas[Horas perdidas],tblParadas[Fecha],tblDias[[#This Row],[Fecha]])</f>
        <v>0</v>
      </c>
      <c r="M113" s="955"/>
      <c r="N113" s="953"/>
      <c r="O113" s="955"/>
    </row>
    <row r="114" spans="2:15">
      <c r="B114" s="953">
        <v>46369</v>
      </c>
      <c r="C114" t="str">
        <f>CHOOSE(WEEKDAY(tblDias[[#This Row],[Fecha]],2),"lun","mar","mié","jue","vie","sáb","dom")</f>
        <v>dom</v>
      </c>
      <c r="D114" s="955" t="s">
        <v>9256</v>
      </c>
      <c r="E114">
        <f>COUNTIFS(tblConcentrado[Fecha],tblDias[[#This Row],[Fecha]])</f>
        <v>0</v>
      </c>
      <c r="F114">
        <f t="shared" si="1"/>
        <v>24</v>
      </c>
      <c r="G114" s="979">
        <f>IF(tblDias[[#This Row],[Horas esperadas]]=0,0,tblDias[[#This Row],[Horas cargadas]]/tblDias[[#This Row],[Horas esperadas]])</f>
        <v>0</v>
      </c>
      <c r="H114" t="str">
        <f ca="1">IF(tblDias[[#This Row],[Fecha]]&gt;TODAY(),"Pendiente",IF(tblDias[[#This Row],[Horas cargadas]]=0,"Sin datos",IF(tblDias[[#This Row],[Horas cargadas]]&lt;tblDias[[#This Row],[Horas esperadas]],"Parcial","Completo")))</f>
        <v>Pendiente</v>
      </c>
      <c r="I114">
        <f>COUNTIFS(tblRDO[Fecha],tblDias[[#This Row],[Fecha]])</f>
        <v>0</v>
      </c>
      <c r="J114" t="str">
        <f ca="1">IF(tblDias[[#This Row],[Fecha]]&gt;TODAY(),"Pendiente",IF(tblDias[[#This Row],[Filas RDO]]=0,"Sin RDO","Cargado"))</f>
        <v>Pendiente</v>
      </c>
      <c r="K114" s="993">
        <f>COUNTIFS(tblControles[Fecha],tblDias[[#This Row],[Fecha]],tblControles[Turno],"&lt;&gt;Obs")</f>
        <v>0</v>
      </c>
      <c r="L114" s="994">
        <f>SUMIFS(tblParadas[Horas perdidas],tblParadas[Fecha],tblDias[[#This Row],[Fecha]])</f>
        <v>0</v>
      </c>
      <c r="M114" s="955"/>
      <c r="N114" s="953"/>
      <c r="O114" s="955"/>
    </row>
    <row r="115" spans="2:15">
      <c r="B115" s="953">
        <v>46370</v>
      </c>
      <c r="C115" t="str">
        <f>CHOOSE(WEEKDAY(tblDias[[#This Row],[Fecha]],2),"lun","mar","mié","jue","vie","sáb","dom")</f>
        <v>lun</v>
      </c>
      <c r="D115" s="955" t="s">
        <v>9256</v>
      </c>
      <c r="E115">
        <f>COUNTIFS(tblConcentrado[Fecha],tblDias[[#This Row],[Fecha]])</f>
        <v>0</v>
      </c>
      <c r="F115">
        <f t="shared" si="1"/>
        <v>24</v>
      </c>
      <c r="G115" s="979">
        <f>IF(tblDias[[#This Row],[Horas esperadas]]=0,0,tblDias[[#This Row],[Horas cargadas]]/tblDias[[#This Row],[Horas esperadas]])</f>
        <v>0</v>
      </c>
      <c r="H115" t="str">
        <f ca="1">IF(tblDias[[#This Row],[Fecha]]&gt;TODAY(),"Pendiente",IF(tblDias[[#This Row],[Horas cargadas]]=0,"Sin datos",IF(tblDias[[#This Row],[Horas cargadas]]&lt;tblDias[[#This Row],[Horas esperadas]],"Parcial","Completo")))</f>
        <v>Pendiente</v>
      </c>
      <c r="I115">
        <f>COUNTIFS(tblRDO[Fecha],tblDias[[#This Row],[Fecha]])</f>
        <v>0</v>
      </c>
      <c r="J115" t="str">
        <f ca="1">IF(tblDias[[#This Row],[Fecha]]&gt;TODAY(),"Pendiente",IF(tblDias[[#This Row],[Filas RDO]]=0,"Sin RDO","Cargado"))</f>
        <v>Pendiente</v>
      </c>
      <c r="K115" s="993">
        <f>COUNTIFS(tblControles[Fecha],tblDias[[#This Row],[Fecha]],tblControles[Turno],"&lt;&gt;Obs")</f>
        <v>0</v>
      </c>
      <c r="L115" s="994">
        <f>SUMIFS(tblParadas[Horas perdidas],tblParadas[Fecha],tblDias[[#This Row],[Fecha]])</f>
        <v>0</v>
      </c>
      <c r="M115" s="955"/>
      <c r="N115" s="953"/>
      <c r="O115" s="955"/>
    </row>
    <row r="116" spans="2:15">
      <c r="B116" s="953">
        <v>46371</v>
      </c>
      <c r="C116" t="str">
        <f>CHOOSE(WEEKDAY(tblDias[[#This Row],[Fecha]],2),"lun","mar","mié","jue","vie","sáb","dom")</f>
        <v>mar</v>
      </c>
      <c r="D116" s="955" t="s">
        <v>9256</v>
      </c>
      <c r="E116">
        <f>COUNTIFS(tblConcentrado[Fecha],tblDias[[#This Row],[Fecha]])</f>
        <v>0</v>
      </c>
      <c r="F116">
        <f t="shared" si="1"/>
        <v>24</v>
      </c>
      <c r="G116" s="979">
        <f>IF(tblDias[[#This Row],[Horas esperadas]]=0,0,tblDias[[#This Row],[Horas cargadas]]/tblDias[[#This Row],[Horas esperadas]])</f>
        <v>0</v>
      </c>
      <c r="H116" t="str">
        <f ca="1">IF(tblDias[[#This Row],[Fecha]]&gt;TODAY(),"Pendiente",IF(tblDias[[#This Row],[Horas cargadas]]=0,"Sin datos",IF(tblDias[[#This Row],[Horas cargadas]]&lt;tblDias[[#This Row],[Horas esperadas]],"Parcial","Completo")))</f>
        <v>Pendiente</v>
      </c>
      <c r="I116">
        <f>COUNTIFS(tblRDO[Fecha],tblDias[[#This Row],[Fecha]])</f>
        <v>0</v>
      </c>
      <c r="J116" t="str">
        <f ca="1">IF(tblDias[[#This Row],[Fecha]]&gt;TODAY(),"Pendiente",IF(tblDias[[#This Row],[Filas RDO]]=0,"Sin RDO","Cargado"))</f>
        <v>Pendiente</v>
      </c>
      <c r="K116" s="993">
        <f>COUNTIFS(tblControles[Fecha],tblDias[[#This Row],[Fecha]],tblControles[Turno],"&lt;&gt;Obs")</f>
        <v>0</v>
      </c>
      <c r="L116" s="994">
        <f>SUMIFS(tblParadas[Horas perdidas],tblParadas[Fecha],tblDias[[#This Row],[Fecha]])</f>
        <v>0</v>
      </c>
      <c r="M116" s="955"/>
      <c r="N116" s="953"/>
      <c r="O116" s="955"/>
    </row>
    <row r="117" spans="2:15">
      <c r="B117" s="953">
        <v>46372</v>
      </c>
      <c r="C117" t="str">
        <f>CHOOSE(WEEKDAY(tblDias[[#This Row],[Fecha]],2),"lun","mar","mié","jue","vie","sáb","dom")</f>
        <v>mié</v>
      </c>
      <c r="D117" s="955" t="s">
        <v>9256</v>
      </c>
      <c r="E117">
        <f>COUNTIFS(tblConcentrado[Fecha],tblDias[[#This Row],[Fecha]])</f>
        <v>0</v>
      </c>
      <c r="F117">
        <f t="shared" si="1"/>
        <v>24</v>
      </c>
      <c r="G117" s="979">
        <f>IF(tblDias[[#This Row],[Horas esperadas]]=0,0,tblDias[[#This Row],[Horas cargadas]]/tblDias[[#This Row],[Horas esperadas]])</f>
        <v>0</v>
      </c>
      <c r="H117" t="str">
        <f ca="1">IF(tblDias[[#This Row],[Fecha]]&gt;TODAY(),"Pendiente",IF(tblDias[[#This Row],[Horas cargadas]]=0,"Sin datos",IF(tblDias[[#This Row],[Horas cargadas]]&lt;tblDias[[#This Row],[Horas esperadas]],"Parcial","Completo")))</f>
        <v>Pendiente</v>
      </c>
      <c r="I117">
        <f>COUNTIFS(tblRDO[Fecha],tblDias[[#This Row],[Fecha]])</f>
        <v>0</v>
      </c>
      <c r="J117" t="str">
        <f ca="1">IF(tblDias[[#This Row],[Fecha]]&gt;TODAY(),"Pendiente",IF(tblDias[[#This Row],[Filas RDO]]=0,"Sin RDO","Cargado"))</f>
        <v>Pendiente</v>
      </c>
      <c r="K117" s="993">
        <f>COUNTIFS(tblControles[Fecha],tblDias[[#This Row],[Fecha]],tblControles[Turno],"&lt;&gt;Obs")</f>
        <v>0</v>
      </c>
      <c r="L117" s="994">
        <f>SUMIFS(tblParadas[Horas perdidas],tblParadas[Fecha],tblDias[[#This Row],[Fecha]])</f>
        <v>0</v>
      </c>
      <c r="M117" s="955"/>
      <c r="N117" s="953"/>
      <c r="O117" s="955"/>
    </row>
    <row r="118" spans="2:15">
      <c r="B118" s="953">
        <v>46373</v>
      </c>
      <c r="C118" t="str">
        <f>CHOOSE(WEEKDAY(tblDias[[#This Row],[Fecha]],2),"lun","mar","mié","jue","vie","sáb","dom")</f>
        <v>jue</v>
      </c>
      <c r="D118" s="955" t="s">
        <v>9256</v>
      </c>
      <c r="E118">
        <f>COUNTIFS(tblConcentrado[Fecha],tblDias[[#This Row],[Fecha]])</f>
        <v>0</v>
      </c>
      <c r="F118">
        <f t="shared" si="1"/>
        <v>24</v>
      </c>
      <c r="G118" s="979">
        <f>IF(tblDias[[#This Row],[Horas esperadas]]=0,0,tblDias[[#This Row],[Horas cargadas]]/tblDias[[#This Row],[Horas esperadas]])</f>
        <v>0</v>
      </c>
      <c r="H118" t="str">
        <f ca="1">IF(tblDias[[#This Row],[Fecha]]&gt;TODAY(),"Pendiente",IF(tblDias[[#This Row],[Horas cargadas]]=0,"Sin datos",IF(tblDias[[#This Row],[Horas cargadas]]&lt;tblDias[[#This Row],[Horas esperadas]],"Parcial","Completo")))</f>
        <v>Pendiente</v>
      </c>
      <c r="I118">
        <f>COUNTIFS(tblRDO[Fecha],tblDias[[#This Row],[Fecha]])</f>
        <v>0</v>
      </c>
      <c r="J118" t="str">
        <f ca="1">IF(tblDias[[#This Row],[Fecha]]&gt;TODAY(),"Pendiente",IF(tblDias[[#This Row],[Filas RDO]]=0,"Sin RDO","Cargado"))</f>
        <v>Pendiente</v>
      </c>
      <c r="K118" s="993">
        <f>COUNTIFS(tblControles[Fecha],tblDias[[#This Row],[Fecha]],tblControles[Turno],"&lt;&gt;Obs")</f>
        <v>0</v>
      </c>
      <c r="L118" s="994">
        <f>SUMIFS(tblParadas[Horas perdidas],tblParadas[Fecha],tblDias[[#This Row],[Fecha]])</f>
        <v>0</v>
      </c>
      <c r="M118" s="955"/>
      <c r="N118" s="953"/>
      <c r="O118" s="955"/>
    </row>
    <row r="119" spans="2:15">
      <c r="B119" s="953">
        <v>46374</v>
      </c>
      <c r="C119" t="str">
        <f>CHOOSE(WEEKDAY(tblDias[[#This Row],[Fecha]],2),"lun","mar","mié","jue","vie","sáb","dom")</f>
        <v>vie</v>
      </c>
      <c r="D119" s="955" t="s">
        <v>9256</v>
      </c>
      <c r="E119">
        <f>COUNTIFS(tblConcentrado[Fecha],tblDias[[#This Row],[Fecha]])</f>
        <v>0</v>
      </c>
      <c r="F119">
        <f t="shared" si="1"/>
        <v>24</v>
      </c>
      <c r="G119" s="979">
        <f>IF(tblDias[[#This Row],[Horas esperadas]]=0,0,tblDias[[#This Row],[Horas cargadas]]/tblDias[[#This Row],[Horas esperadas]])</f>
        <v>0</v>
      </c>
      <c r="H119" t="str">
        <f ca="1">IF(tblDias[[#This Row],[Fecha]]&gt;TODAY(),"Pendiente",IF(tblDias[[#This Row],[Horas cargadas]]=0,"Sin datos",IF(tblDias[[#This Row],[Horas cargadas]]&lt;tblDias[[#This Row],[Horas esperadas]],"Parcial","Completo")))</f>
        <v>Pendiente</v>
      </c>
      <c r="I119">
        <f>COUNTIFS(tblRDO[Fecha],tblDias[[#This Row],[Fecha]])</f>
        <v>0</v>
      </c>
      <c r="J119" t="str">
        <f ca="1">IF(tblDias[[#This Row],[Fecha]]&gt;TODAY(),"Pendiente",IF(tblDias[[#This Row],[Filas RDO]]=0,"Sin RDO","Cargado"))</f>
        <v>Pendiente</v>
      </c>
      <c r="K119" s="993">
        <f>COUNTIFS(tblControles[Fecha],tblDias[[#This Row],[Fecha]],tblControles[Turno],"&lt;&gt;Obs")</f>
        <v>0</v>
      </c>
      <c r="L119" s="994">
        <f>SUMIFS(tblParadas[Horas perdidas],tblParadas[Fecha],tblDias[[#This Row],[Fecha]])</f>
        <v>0</v>
      </c>
      <c r="M119" s="955"/>
      <c r="N119" s="953"/>
      <c r="O119" s="955"/>
    </row>
    <row r="120" spans="2:15">
      <c r="B120" s="953">
        <v>46375</v>
      </c>
      <c r="C120" t="str">
        <f>CHOOSE(WEEKDAY(tblDias[[#This Row],[Fecha]],2),"lun","mar","mié","jue","vie","sáb","dom")</f>
        <v>sáb</v>
      </c>
      <c r="D120" s="955" t="s">
        <v>9256</v>
      </c>
      <c r="E120">
        <f>COUNTIFS(tblConcentrado[Fecha],tblDias[[#This Row],[Fecha]])</f>
        <v>0</v>
      </c>
      <c r="F120">
        <f t="shared" si="1"/>
        <v>24</v>
      </c>
      <c r="G120" s="979">
        <f>IF(tblDias[[#This Row],[Horas esperadas]]=0,0,tblDias[[#This Row],[Horas cargadas]]/tblDias[[#This Row],[Horas esperadas]])</f>
        <v>0</v>
      </c>
      <c r="H120" t="str">
        <f ca="1">IF(tblDias[[#This Row],[Fecha]]&gt;TODAY(),"Pendiente",IF(tblDias[[#This Row],[Horas cargadas]]=0,"Sin datos",IF(tblDias[[#This Row],[Horas cargadas]]&lt;tblDias[[#This Row],[Horas esperadas]],"Parcial","Completo")))</f>
        <v>Pendiente</v>
      </c>
      <c r="I120">
        <f>COUNTIFS(tblRDO[Fecha],tblDias[[#This Row],[Fecha]])</f>
        <v>0</v>
      </c>
      <c r="J120" t="str">
        <f ca="1">IF(tblDias[[#This Row],[Fecha]]&gt;TODAY(),"Pendiente",IF(tblDias[[#This Row],[Filas RDO]]=0,"Sin RDO","Cargado"))</f>
        <v>Pendiente</v>
      </c>
      <c r="K120" s="993">
        <f>COUNTIFS(tblControles[Fecha],tblDias[[#This Row],[Fecha]],tblControles[Turno],"&lt;&gt;Obs")</f>
        <v>0</v>
      </c>
      <c r="L120" s="994">
        <f>SUMIFS(tblParadas[Horas perdidas],tblParadas[Fecha],tblDias[[#This Row],[Fecha]])</f>
        <v>0</v>
      </c>
      <c r="M120" s="955"/>
      <c r="N120" s="953"/>
      <c r="O120" s="955"/>
    </row>
    <row r="121" spans="2:15">
      <c r="B121" s="953">
        <v>46376</v>
      </c>
      <c r="C121" t="str">
        <f>CHOOSE(WEEKDAY(tblDias[[#This Row],[Fecha]],2),"lun","mar","mié","jue","vie","sáb","dom")</f>
        <v>dom</v>
      </c>
      <c r="D121" s="955" t="s">
        <v>9256</v>
      </c>
      <c r="E121">
        <f>COUNTIFS(tblConcentrado[Fecha],tblDias[[#This Row],[Fecha]])</f>
        <v>0</v>
      </c>
      <c r="F121">
        <f t="shared" si="1"/>
        <v>24</v>
      </c>
      <c r="G121" s="979">
        <f>IF(tblDias[[#This Row],[Horas esperadas]]=0,0,tblDias[[#This Row],[Horas cargadas]]/tblDias[[#This Row],[Horas esperadas]])</f>
        <v>0</v>
      </c>
      <c r="H121" t="str">
        <f ca="1">IF(tblDias[[#This Row],[Fecha]]&gt;TODAY(),"Pendiente",IF(tblDias[[#This Row],[Horas cargadas]]=0,"Sin datos",IF(tblDias[[#This Row],[Horas cargadas]]&lt;tblDias[[#This Row],[Horas esperadas]],"Parcial","Completo")))</f>
        <v>Pendiente</v>
      </c>
      <c r="I121">
        <f>COUNTIFS(tblRDO[Fecha],tblDias[[#This Row],[Fecha]])</f>
        <v>0</v>
      </c>
      <c r="J121" t="str">
        <f ca="1">IF(tblDias[[#This Row],[Fecha]]&gt;TODAY(),"Pendiente",IF(tblDias[[#This Row],[Filas RDO]]=0,"Sin RDO","Cargado"))</f>
        <v>Pendiente</v>
      </c>
      <c r="K121" s="993">
        <f>COUNTIFS(tblControles[Fecha],tblDias[[#This Row],[Fecha]],tblControles[Turno],"&lt;&gt;Obs")</f>
        <v>0</v>
      </c>
      <c r="L121" s="994">
        <f>SUMIFS(tblParadas[Horas perdidas],tblParadas[Fecha],tblDias[[#This Row],[Fecha]])</f>
        <v>0</v>
      </c>
      <c r="M121" s="955"/>
      <c r="N121" s="953"/>
      <c r="O121" s="955"/>
    </row>
    <row r="122" spans="2:15">
      <c r="B122" s="953">
        <v>46377</v>
      </c>
      <c r="C122" t="str">
        <f>CHOOSE(WEEKDAY(tblDias[[#This Row],[Fecha]],2),"lun","mar","mié","jue","vie","sáb","dom")</f>
        <v>lun</v>
      </c>
      <c r="D122" s="955" t="s">
        <v>9256</v>
      </c>
      <c r="E122">
        <f>COUNTIFS(tblConcentrado[Fecha],tblDias[[#This Row],[Fecha]])</f>
        <v>0</v>
      </c>
      <c r="F122">
        <f t="shared" si="1"/>
        <v>24</v>
      </c>
      <c r="G122" s="979">
        <f>IF(tblDias[[#This Row],[Horas esperadas]]=0,0,tblDias[[#This Row],[Horas cargadas]]/tblDias[[#This Row],[Horas esperadas]])</f>
        <v>0</v>
      </c>
      <c r="H122" t="str">
        <f ca="1">IF(tblDias[[#This Row],[Fecha]]&gt;TODAY(),"Pendiente",IF(tblDias[[#This Row],[Horas cargadas]]=0,"Sin datos",IF(tblDias[[#This Row],[Horas cargadas]]&lt;tblDias[[#This Row],[Horas esperadas]],"Parcial","Completo")))</f>
        <v>Pendiente</v>
      </c>
      <c r="I122">
        <f>COUNTIFS(tblRDO[Fecha],tblDias[[#This Row],[Fecha]])</f>
        <v>0</v>
      </c>
      <c r="J122" t="str">
        <f ca="1">IF(tblDias[[#This Row],[Fecha]]&gt;TODAY(),"Pendiente",IF(tblDias[[#This Row],[Filas RDO]]=0,"Sin RDO","Cargado"))</f>
        <v>Pendiente</v>
      </c>
      <c r="K122" s="993">
        <f>COUNTIFS(tblControles[Fecha],tblDias[[#This Row],[Fecha]],tblControles[Turno],"&lt;&gt;Obs")</f>
        <v>0</v>
      </c>
      <c r="L122" s="994">
        <f>SUMIFS(tblParadas[Horas perdidas],tblParadas[Fecha],tblDias[[#This Row],[Fecha]])</f>
        <v>0</v>
      </c>
      <c r="M122" s="955"/>
      <c r="N122" s="953"/>
      <c r="O122" s="955"/>
    </row>
    <row r="123" spans="2:15">
      <c r="B123" s="953">
        <v>46378</v>
      </c>
      <c r="C123" t="str">
        <f>CHOOSE(WEEKDAY(tblDias[[#This Row],[Fecha]],2),"lun","mar","mié","jue","vie","sáb","dom")</f>
        <v>mar</v>
      </c>
      <c r="D123" s="955" t="s">
        <v>9256</v>
      </c>
      <c r="E123">
        <f>COUNTIFS(tblConcentrado[Fecha],tblDias[[#This Row],[Fecha]])</f>
        <v>0</v>
      </c>
      <c r="F123">
        <f t="shared" si="1"/>
        <v>24</v>
      </c>
      <c r="G123" s="979">
        <f>IF(tblDias[[#This Row],[Horas esperadas]]=0,0,tblDias[[#This Row],[Horas cargadas]]/tblDias[[#This Row],[Horas esperadas]])</f>
        <v>0</v>
      </c>
      <c r="H123" t="str">
        <f ca="1">IF(tblDias[[#This Row],[Fecha]]&gt;TODAY(),"Pendiente",IF(tblDias[[#This Row],[Horas cargadas]]=0,"Sin datos",IF(tblDias[[#This Row],[Horas cargadas]]&lt;tblDias[[#This Row],[Horas esperadas]],"Parcial","Completo")))</f>
        <v>Pendiente</v>
      </c>
      <c r="I123">
        <f>COUNTIFS(tblRDO[Fecha],tblDias[[#This Row],[Fecha]])</f>
        <v>0</v>
      </c>
      <c r="J123" t="str">
        <f ca="1">IF(tblDias[[#This Row],[Fecha]]&gt;TODAY(),"Pendiente",IF(tblDias[[#This Row],[Filas RDO]]=0,"Sin RDO","Cargado"))</f>
        <v>Pendiente</v>
      </c>
      <c r="K123" s="993">
        <f>COUNTIFS(tblControles[Fecha],tblDias[[#This Row],[Fecha]],tblControles[Turno],"&lt;&gt;Obs")</f>
        <v>0</v>
      </c>
      <c r="L123" s="994">
        <f>SUMIFS(tblParadas[Horas perdidas],tblParadas[Fecha],tblDias[[#This Row],[Fecha]])</f>
        <v>0</v>
      </c>
      <c r="M123" s="955"/>
      <c r="N123" s="953"/>
      <c r="O123" s="955"/>
    </row>
    <row r="124" spans="2:15">
      <c r="B124" s="953">
        <v>46379</v>
      </c>
      <c r="C124" t="str">
        <f>CHOOSE(WEEKDAY(tblDias[[#This Row],[Fecha]],2),"lun","mar","mié","jue","vie","sáb","dom")</f>
        <v>mié</v>
      </c>
      <c r="D124" s="955" t="s">
        <v>9256</v>
      </c>
      <c r="E124">
        <f>COUNTIFS(tblConcentrado[Fecha],tblDias[[#This Row],[Fecha]])</f>
        <v>0</v>
      </c>
      <c r="F124">
        <f t="shared" si="1"/>
        <v>24</v>
      </c>
      <c r="G124" s="979">
        <f>IF(tblDias[[#This Row],[Horas esperadas]]=0,0,tblDias[[#This Row],[Horas cargadas]]/tblDias[[#This Row],[Horas esperadas]])</f>
        <v>0</v>
      </c>
      <c r="H124" t="str">
        <f ca="1">IF(tblDias[[#This Row],[Fecha]]&gt;TODAY(),"Pendiente",IF(tblDias[[#This Row],[Horas cargadas]]=0,"Sin datos",IF(tblDias[[#This Row],[Horas cargadas]]&lt;tblDias[[#This Row],[Horas esperadas]],"Parcial","Completo")))</f>
        <v>Pendiente</v>
      </c>
      <c r="I124">
        <f>COUNTIFS(tblRDO[Fecha],tblDias[[#This Row],[Fecha]])</f>
        <v>0</v>
      </c>
      <c r="J124" t="str">
        <f ca="1">IF(tblDias[[#This Row],[Fecha]]&gt;TODAY(),"Pendiente",IF(tblDias[[#This Row],[Filas RDO]]=0,"Sin RDO","Cargado"))</f>
        <v>Pendiente</v>
      </c>
      <c r="K124" s="993">
        <f>COUNTIFS(tblControles[Fecha],tblDias[[#This Row],[Fecha]],tblControles[Turno],"&lt;&gt;Obs")</f>
        <v>0</v>
      </c>
      <c r="L124" s="994">
        <f>SUMIFS(tblParadas[Horas perdidas],tblParadas[Fecha],tblDias[[#This Row],[Fecha]])</f>
        <v>0</v>
      </c>
      <c r="M124" s="955"/>
      <c r="N124" s="953"/>
      <c r="O124" s="955"/>
    </row>
    <row r="125" spans="2:15">
      <c r="B125" s="953">
        <v>46380</v>
      </c>
      <c r="C125" t="str">
        <f>CHOOSE(WEEKDAY(tblDias[[#This Row],[Fecha]],2),"lun","mar","mié","jue","vie","sáb","dom")</f>
        <v>jue</v>
      </c>
      <c r="D125" s="955" t="s">
        <v>9256</v>
      </c>
      <c r="E125">
        <f>COUNTIFS(tblConcentrado[Fecha],tblDias[[#This Row],[Fecha]])</f>
        <v>0</v>
      </c>
      <c r="F125">
        <f t="shared" si="1"/>
        <v>24</v>
      </c>
      <c r="G125" s="979">
        <f>IF(tblDias[[#This Row],[Horas esperadas]]=0,0,tblDias[[#This Row],[Horas cargadas]]/tblDias[[#This Row],[Horas esperadas]])</f>
        <v>0</v>
      </c>
      <c r="H125" t="str">
        <f ca="1">IF(tblDias[[#This Row],[Fecha]]&gt;TODAY(),"Pendiente",IF(tblDias[[#This Row],[Horas cargadas]]=0,"Sin datos",IF(tblDias[[#This Row],[Horas cargadas]]&lt;tblDias[[#This Row],[Horas esperadas]],"Parcial","Completo")))</f>
        <v>Pendiente</v>
      </c>
      <c r="I125">
        <f>COUNTIFS(tblRDO[Fecha],tblDias[[#This Row],[Fecha]])</f>
        <v>0</v>
      </c>
      <c r="J125" t="str">
        <f ca="1">IF(tblDias[[#This Row],[Fecha]]&gt;TODAY(),"Pendiente",IF(tblDias[[#This Row],[Filas RDO]]=0,"Sin RDO","Cargado"))</f>
        <v>Pendiente</v>
      </c>
      <c r="K125" s="993">
        <f>COUNTIFS(tblControles[Fecha],tblDias[[#This Row],[Fecha]],tblControles[Turno],"&lt;&gt;Obs")</f>
        <v>0</v>
      </c>
      <c r="L125" s="994">
        <f>SUMIFS(tblParadas[Horas perdidas],tblParadas[Fecha],tblDias[[#This Row],[Fecha]])</f>
        <v>0</v>
      </c>
      <c r="M125" s="955"/>
      <c r="N125" s="953"/>
      <c r="O125" s="955"/>
    </row>
    <row r="126" spans="2:15">
      <c r="B126" s="953">
        <v>46381</v>
      </c>
      <c r="C126" t="str">
        <f>CHOOSE(WEEKDAY(tblDias[[#This Row],[Fecha]],2),"lun","mar","mié","jue","vie","sáb","dom")</f>
        <v>vie</v>
      </c>
      <c r="D126" s="955" t="s">
        <v>9256</v>
      </c>
      <c r="E126">
        <f>COUNTIFS(tblConcentrado[Fecha],tblDias[[#This Row],[Fecha]])</f>
        <v>0</v>
      </c>
      <c r="F126">
        <f t="shared" si="1"/>
        <v>24</v>
      </c>
      <c r="G126" s="979">
        <f>IF(tblDias[[#This Row],[Horas esperadas]]=0,0,tblDias[[#This Row],[Horas cargadas]]/tblDias[[#This Row],[Horas esperadas]])</f>
        <v>0</v>
      </c>
      <c r="H126" t="str">
        <f ca="1">IF(tblDias[[#This Row],[Fecha]]&gt;TODAY(),"Pendiente",IF(tblDias[[#This Row],[Horas cargadas]]=0,"Sin datos",IF(tblDias[[#This Row],[Horas cargadas]]&lt;tblDias[[#This Row],[Horas esperadas]],"Parcial","Completo")))</f>
        <v>Pendiente</v>
      </c>
      <c r="I126">
        <f>COUNTIFS(tblRDO[Fecha],tblDias[[#This Row],[Fecha]])</f>
        <v>0</v>
      </c>
      <c r="J126" t="str">
        <f ca="1">IF(tblDias[[#This Row],[Fecha]]&gt;TODAY(),"Pendiente",IF(tblDias[[#This Row],[Filas RDO]]=0,"Sin RDO","Cargado"))</f>
        <v>Pendiente</v>
      </c>
      <c r="K126" s="993">
        <f>COUNTIFS(tblControles[Fecha],tblDias[[#This Row],[Fecha]],tblControles[Turno],"&lt;&gt;Obs")</f>
        <v>0</v>
      </c>
      <c r="L126" s="994">
        <f>SUMIFS(tblParadas[Horas perdidas],tblParadas[Fecha],tblDias[[#This Row],[Fecha]])</f>
        <v>0</v>
      </c>
      <c r="M126" s="955"/>
      <c r="N126" s="953"/>
      <c r="O126" s="955"/>
    </row>
    <row r="127" spans="2:15">
      <c r="B127" s="953">
        <v>46382</v>
      </c>
      <c r="C127" t="str">
        <f>CHOOSE(WEEKDAY(tblDias[[#This Row],[Fecha]],2),"lun","mar","mié","jue","vie","sáb","dom")</f>
        <v>sáb</v>
      </c>
      <c r="D127" s="955" t="s">
        <v>9256</v>
      </c>
      <c r="E127">
        <f>COUNTIFS(tblConcentrado[Fecha],tblDias[[#This Row],[Fecha]])</f>
        <v>0</v>
      </c>
      <c r="F127">
        <f t="shared" si="1"/>
        <v>24</v>
      </c>
      <c r="G127" s="979">
        <f>IF(tblDias[[#This Row],[Horas esperadas]]=0,0,tblDias[[#This Row],[Horas cargadas]]/tblDias[[#This Row],[Horas esperadas]])</f>
        <v>0</v>
      </c>
      <c r="H127" t="str">
        <f ca="1">IF(tblDias[[#This Row],[Fecha]]&gt;TODAY(),"Pendiente",IF(tblDias[[#This Row],[Horas cargadas]]=0,"Sin datos",IF(tblDias[[#This Row],[Horas cargadas]]&lt;tblDias[[#This Row],[Horas esperadas]],"Parcial","Completo")))</f>
        <v>Pendiente</v>
      </c>
      <c r="I127">
        <f>COUNTIFS(tblRDO[Fecha],tblDias[[#This Row],[Fecha]])</f>
        <v>0</v>
      </c>
      <c r="J127" t="str">
        <f ca="1">IF(tblDias[[#This Row],[Fecha]]&gt;TODAY(),"Pendiente",IF(tblDias[[#This Row],[Filas RDO]]=0,"Sin RDO","Cargado"))</f>
        <v>Pendiente</v>
      </c>
      <c r="K127" s="993">
        <f>COUNTIFS(tblControles[Fecha],tblDias[[#This Row],[Fecha]],tblControles[Turno],"&lt;&gt;Obs")</f>
        <v>0</v>
      </c>
      <c r="L127" s="994">
        <f>SUMIFS(tblParadas[Horas perdidas],tblParadas[Fecha],tblDias[[#This Row],[Fecha]])</f>
        <v>0</v>
      </c>
      <c r="M127" s="955"/>
      <c r="N127" s="953"/>
      <c r="O127" s="955"/>
    </row>
    <row r="128" spans="2:15">
      <c r="B128" s="953">
        <v>46383</v>
      </c>
      <c r="C128" t="str">
        <f>CHOOSE(WEEKDAY(tblDias[[#This Row],[Fecha]],2),"lun","mar","mié","jue","vie","sáb","dom")</f>
        <v>dom</v>
      </c>
      <c r="D128" s="955" t="s">
        <v>9256</v>
      </c>
      <c r="E128">
        <f>COUNTIFS(tblConcentrado[Fecha],tblDias[[#This Row],[Fecha]])</f>
        <v>0</v>
      </c>
      <c r="F128">
        <f t="shared" si="1"/>
        <v>24</v>
      </c>
      <c r="G128" s="979">
        <f>IF(tblDias[[#This Row],[Horas esperadas]]=0,0,tblDias[[#This Row],[Horas cargadas]]/tblDias[[#This Row],[Horas esperadas]])</f>
        <v>0</v>
      </c>
      <c r="H128" t="str">
        <f ca="1">IF(tblDias[[#This Row],[Fecha]]&gt;TODAY(),"Pendiente",IF(tblDias[[#This Row],[Horas cargadas]]=0,"Sin datos",IF(tblDias[[#This Row],[Horas cargadas]]&lt;tblDias[[#This Row],[Horas esperadas]],"Parcial","Completo")))</f>
        <v>Pendiente</v>
      </c>
      <c r="I128">
        <f>COUNTIFS(tblRDO[Fecha],tblDias[[#This Row],[Fecha]])</f>
        <v>0</v>
      </c>
      <c r="J128" t="str">
        <f ca="1">IF(tblDias[[#This Row],[Fecha]]&gt;TODAY(),"Pendiente",IF(tblDias[[#This Row],[Filas RDO]]=0,"Sin RDO","Cargado"))</f>
        <v>Pendiente</v>
      </c>
      <c r="K128" s="993">
        <f>COUNTIFS(tblControles[Fecha],tblDias[[#This Row],[Fecha]],tblControles[Turno],"&lt;&gt;Obs")</f>
        <v>0</v>
      </c>
      <c r="L128" s="994">
        <f>SUMIFS(tblParadas[Horas perdidas],tblParadas[Fecha],tblDias[[#This Row],[Fecha]])</f>
        <v>0</v>
      </c>
      <c r="M128" s="955"/>
      <c r="N128" s="953"/>
      <c r="O128" s="955"/>
    </row>
    <row r="129" spans="2:15">
      <c r="B129" s="953">
        <v>46384</v>
      </c>
      <c r="C129" t="str">
        <f>CHOOSE(WEEKDAY(tblDias[[#This Row],[Fecha]],2),"lun","mar","mié","jue","vie","sáb","dom")</f>
        <v>lun</v>
      </c>
      <c r="D129" s="955" t="s">
        <v>9256</v>
      </c>
      <c r="E129">
        <f>COUNTIFS(tblConcentrado[Fecha],tblDias[[#This Row],[Fecha]])</f>
        <v>0</v>
      </c>
      <c r="F129">
        <f t="shared" si="1"/>
        <v>24</v>
      </c>
      <c r="G129" s="979">
        <f>IF(tblDias[[#This Row],[Horas esperadas]]=0,0,tblDias[[#This Row],[Horas cargadas]]/tblDias[[#This Row],[Horas esperadas]])</f>
        <v>0</v>
      </c>
      <c r="H129" t="str">
        <f ca="1">IF(tblDias[[#This Row],[Fecha]]&gt;TODAY(),"Pendiente",IF(tblDias[[#This Row],[Horas cargadas]]=0,"Sin datos",IF(tblDias[[#This Row],[Horas cargadas]]&lt;tblDias[[#This Row],[Horas esperadas]],"Parcial","Completo")))</f>
        <v>Pendiente</v>
      </c>
      <c r="I129">
        <f>COUNTIFS(tblRDO[Fecha],tblDias[[#This Row],[Fecha]])</f>
        <v>0</v>
      </c>
      <c r="J129" t="str">
        <f ca="1">IF(tblDias[[#This Row],[Fecha]]&gt;TODAY(),"Pendiente",IF(tblDias[[#This Row],[Filas RDO]]=0,"Sin RDO","Cargado"))</f>
        <v>Pendiente</v>
      </c>
      <c r="K129" s="993">
        <f>COUNTIFS(tblControles[Fecha],tblDias[[#This Row],[Fecha]],tblControles[Turno],"&lt;&gt;Obs")</f>
        <v>0</v>
      </c>
      <c r="L129" s="994">
        <f>SUMIFS(tblParadas[Horas perdidas],tblParadas[Fecha],tblDias[[#This Row],[Fecha]])</f>
        <v>0</v>
      </c>
      <c r="M129" s="955"/>
      <c r="N129" s="953"/>
      <c r="O129" s="955"/>
    </row>
    <row r="130" spans="2:15">
      <c r="B130" s="953">
        <v>46385</v>
      </c>
      <c r="C130" t="str">
        <f>CHOOSE(WEEKDAY(tblDias[[#This Row],[Fecha]],2),"lun","mar","mié","jue","vie","sáb","dom")</f>
        <v>mar</v>
      </c>
      <c r="D130" s="955" t="s">
        <v>9256</v>
      </c>
      <c r="E130">
        <f>COUNTIFS(tblConcentrado[Fecha],tblDias[[#This Row],[Fecha]])</f>
        <v>0</v>
      </c>
      <c r="F130">
        <f t="shared" si="1"/>
        <v>24</v>
      </c>
      <c r="G130" s="979">
        <f>IF(tblDias[[#This Row],[Horas esperadas]]=0,0,tblDias[[#This Row],[Horas cargadas]]/tblDias[[#This Row],[Horas esperadas]])</f>
        <v>0</v>
      </c>
      <c r="H130" t="str">
        <f ca="1">IF(tblDias[[#This Row],[Fecha]]&gt;TODAY(),"Pendiente",IF(tblDias[[#This Row],[Horas cargadas]]=0,"Sin datos",IF(tblDias[[#This Row],[Horas cargadas]]&lt;tblDias[[#This Row],[Horas esperadas]],"Parcial","Completo")))</f>
        <v>Pendiente</v>
      </c>
      <c r="I130">
        <f>COUNTIFS(tblRDO[Fecha],tblDias[[#This Row],[Fecha]])</f>
        <v>0</v>
      </c>
      <c r="J130" t="str">
        <f ca="1">IF(tblDias[[#This Row],[Fecha]]&gt;TODAY(),"Pendiente",IF(tblDias[[#This Row],[Filas RDO]]=0,"Sin RDO","Cargado"))</f>
        <v>Pendiente</v>
      </c>
      <c r="K130" s="993">
        <f>COUNTIFS(tblControles[Fecha],tblDias[[#This Row],[Fecha]],tblControles[Turno],"&lt;&gt;Obs")</f>
        <v>0</v>
      </c>
      <c r="L130" s="994">
        <f>SUMIFS(tblParadas[Horas perdidas],tblParadas[Fecha],tblDias[[#This Row],[Fecha]])</f>
        <v>0</v>
      </c>
      <c r="M130" s="955"/>
      <c r="N130" s="953"/>
      <c r="O130" s="955"/>
    </row>
    <row r="131" spans="2:15">
      <c r="B131" s="953">
        <v>46386</v>
      </c>
      <c r="C131" t="str">
        <f>CHOOSE(WEEKDAY(tblDias[[#This Row],[Fecha]],2),"lun","mar","mié","jue","vie","sáb","dom")</f>
        <v>mié</v>
      </c>
      <c r="D131" s="955" t="s">
        <v>9256</v>
      </c>
      <c r="E131">
        <f>COUNTIFS(tblConcentrado[Fecha],tblDias[[#This Row],[Fecha]])</f>
        <v>0</v>
      </c>
      <c r="F131">
        <f t="shared" si="1"/>
        <v>24</v>
      </c>
      <c r="G131" s="979">
        <f>IF(tblDias[[#This Row],[Horas esperadas]]=0,0,tblDias[[#This Row],[Horas cargadas]]/tblDias[[#This Row],[Horas esperadas]])</f>
        <v>0</v>
      </c>
      <c r="H131" t="str">
        <f ca="1">IF(tblDias[[#This Row],[Fecha]]&gt;TODAY(),"Pendiente",IF(tblDias[[#This Row],[Horas cargadas]]=0,"Sin datos",IF(tblDias[[#This Row],[Horas cargadas]]&lt;tblDias[[#This Row],[Horas esperadas]],"Parcial","Completo")))</f>
        <v>Pendiente</v>
      </c>
      <c r="I131">
        <f>COUNTIFS(tblRDO[Fecha],tblDias[[#This Row],[Fecha]])</f>
        <v>0</v>
      </c>
      <c r="J131" t="str">
        <f ca="1">IF(tblDias[[#This Row],[Fecha]]&gt;TODAY(),"Pendiente",IF(tblDias[[#This Row],[Filas RDO]]=0,"Sin RDO","Cargado"))</f>
        <v>Pendiente</v>
      </c>
      <c r="K131" s="993">
        <f>COUNTIFS(tblControles[Fecha],tblDias[[#This Row],[Fecha]],tblControles[Turno],"&lt;&gt;Obs")</f>
        <v>0</v>
      </c>
      <c r="L131" s="994">
        <f>SUMIFS(tblParadas[Horas perdidas],tblParadas[Fecha],tblDias[[#This Row],[Fecha]])</f>
        <v>0</v>
      </c>
      <c r="M131" s="955"/>
      <c r="N131" s="953"/>
      <c r="O131" s="955"/>
    </row>
    <row r="132" spans="2:15">
      <c r="B132" s="953">
        <v>46387</v>
      </c>
      <c r="C132" t="str">
        <f>CHOOSE(WEEKDAY(tblDias[[#This Row],[Fecha]],2),"lun","mar","mié","jue","vie","sáb","dom")</f>
        <v>jue</v>
      </c>
      <c r="D132" s="955" t="s">
        <v>9256</v>
      </c>
      <c r="E132">
        <f>COUNTIFS(tblConcentrado[Fecha],tblDias[[#This Row],[Fecha]])</f>
        <v>0</v>
      </c>
      <c r="F132">
        <f t="shared" si="1"/>
        <v>24</v>
      </c>
      <c r="G132" s="979">
        <f>IF(tblDias[[#This Row],[Horas esperadas]]=0,0,tblDias[[#This Row],[Horas cargadas]]/tblDias[[#This Row],[Horas esperadas]])</f>
        <v>0</v>
      </c>
      <c r="H132" t="str">
        <f ca="1">IF(tblDias[[#This Row],[Fecha]]&gt;TODAY(),"Pendiente",IF(tblDias[[#This Row],[Horas cargadas]]=0,"Sin datos",IF(tblDias[[#This Row],[Horas cargadas]]&lt;tblDias[[#This Row],[Horas esperadas]],"Parcial","Completo")))</f>
        <v>Pendiente</v>
      </c>
      <c r="I132">
        <f>COUNTIFS(tblRDO[Fecha],tblDias[[#This Row],[Fecha]])</f>
        <v>0</v>
      </c>
      <c r="J132" t="str">
        <f ca="1">IF(tblDias[[#This Row],[Fecha]]&gt;TODAY(),"Pendiente",IF(tblDias[[#This Row],[Filas RDO]]=0,"Sin RDO","Cargado"))</f>
        <v>Pendiente</v>
      </c>
      <c r="K132" s="993">
        <f>COUNTIFS(tblControles[Fecha],tblDias[[#This Row],[Fecha]],tblControles[Turno],"&lt;&gt;Obs")</f>
        <v>0</v>
      </c>
      <c r="L132" s="994">
        <f>SUMIFS(tblParadas[Horas perdidas],tblParadas[Fecha],tblDias[[#This Row],[Fecha]])</f>
        <v>0</v>
      </c>
      <c r="M132" s="955"/>
      <c r="N132" s="953"/>
      <c r="O132" s="955"/>
    </row>
    <row r="133" spans="2:15">
      <c r="B133" s="1041">
        <v>46388</v>
      </c>
      <c r="C133" s="1034" t="str">
        <f>CHOOSE(WEEKDAY(tblDias[[#This Row],[Fecha]],2),"lun","mar","mié","jue","vie","sáb","dom")</f>
        <v>vie</v>
      </c>
      <c r="D133" s="1039" t="s">
        <v>9256</v>
      </c>
      <c r="E133" s="1035">
        <f>COUNTIFS(tblConcentrado[Fecha],tblDias[[#This Row],[Fecha]])</f>
        <v>0</v>
      </c>
      <c r="F133" s="1035">
        <f t="shared" si="1"/>
        <v>24</v>
      </c>
      <c r="G133" s="1036">
        <f>IF(tblDias[[#This Row],[Horas esperadas]]=0,0,tblDias[[#This Row],[Horas cargadas]]/tblDias[[#This Row],[Horas esperadas]])</f>
        <v>0</v>
      </c>
      <c r="H133" s="1035" t="str">
        <f ca="1">IF(tblDias[[#This Row],[Fecha]]&gt;TODAY(),"Pendiente",IF(tblDias[[#This Row],[Horas cargadas]]=0,"Sin datos",IF(tblDias[[#This Row],[Horas cargadas]]&lt;tblDias[[#This Row],[Horas esperadas]],"Parcial","Completo")))</f>
        <v>Pendiente</v>
      </c>
      <c r="I133" s="1037">
        <f>COUNTIFS(tblRDO[Fecha],tblDias[[#This Row],[Fecha]])</f>
        <v>0</v>
      </c>
      <c r="J133" s="1038" t="str">
        <f ca="1">IF(tblDias[[#This Row],[Fecha]]&gt;TODAY(),"Pendiente",IF(tblDias[[#This Row],[Filas RDO]]=0,"Sin RDO","Cargado"))</f>
        <v>Pendiente</v>
      </c>
      <c r="K133" s="972">
        <f>COUNTIFS(tblControles[Fecha],tblDias[[#This Row],[Fecha]],tblControles[Turno],"&lt;&gt;Obs")</f>
        <v>0</v>
      </c>
      <c r="L133" s="971">
        <f>SUMIFS(tblParadas[Horas perdidas],tblParadas[Fecha],tblDias[[#This Row],[Fecha]])</f>
        <v>0</v>
      </c>
      <c r="M133" s="1040"/>
      <c r="N133" s="953"/>
      <c r="O133" s="1040"/>
    </row>
    <row r="134" spans="2:15">
      <c r="B134" s="1041">
        <v>46389</v>
      </c>
      <c r="C134" s="1034" t="str">
        <f>CHOOSE(WEEKDAY(tblDias[[#This Row],[Fecha]],2),"lun","mar","mié","jue","vie","sáb","dom")</f>
        <v>sáb</v>
      </c>
      <c r="D134" s="1039" t="s">
        <v>9256</v>
      </c>
      <c r="E134" s="1035">
        <f>COUNTIFS(tblConcentrado[Fecha],tblDias[[#This Row],[Fecha]])</f>
        <v>0</v>
      </c>
      <c r="F134" s="1035">
        <f t="shared" si="1"/>
        <v>24</v>
      </c>
      <c r="G134" s="1036">
        <f>IF(tblDias[[#This Row],[Horas esperadas]]=0,0,tblDias[[#This Row],[Horas cargadas]]/tblDias[[#This Row],[Horas esperadas]])</f>
        <v>0</v>
      </c>
      <c r="H134" s="1035" t="str">
        <f ca="1">IF(tblDias[[#This Row],[Fecha]]&gt;TODAY(),"Pendiente",IF(tblDias[[#This Row],[Horas cargadas]]=0,"Sin datos",IF(tblDias[[#This Row],[Horas cargadas]]&lt;tblDias[[#This Row],[Horas esperadas]],"Parcial","Completo")))</f>
        <v>Pendiente</v>
      </c>
      <c r="I134" s="1037">
        <f>COUNTIFS(tblRDO[Fecha],tblDias[[#This Row],[Fecha]])</f>
        <v>0</v>
      </c>
      <c r="J134" s="1038" t="str">
        <f ca="1">IF(tblDias[[#This Row],[Fecha]]&gt;TODAY(),"Pendiente",IF(tblDias[[#This Row],[Filas RDO]]=0,"Sin RDO","Cargado"))</f>
        <v>Pendiente</v>
      </c>
      <c r="K134" s="972">
        <f>COUNTIFS(tblControles[Fecha],tblDias[[#This Row],[Fecha]],tblControles[Turno],"&lt;&gt;Obs")</f>
        <v>0</v>
      </c>
      <c r="L134" s="971">
        <f>SUMIFS(tblParadas[Horas perdidas],tblParadas[Fecha],tblDias[[#This Row],[Fecha]])</f>
        <v>0</v>
      </c>
      <c r="M134" s="1040"/>
      <c r="N134" s="953"/>
      <c r="O134" s="1040"/>
    </row>
    <row r="135" spans="2:15">
      <c r="B135" s="1041">
        <v>46390</v>
      </c>
      <c r="C135" s="1034" t="str">
        <f>CHOOSE(WEEKDAY(tblDias[[#This Row],[Fecha]],2),"lun","mar","mié","jue","vie","sáb","dom")</f>
        <v>dom</v>
      </c>
      <c r="D135" s="1039" t="s">
        <v>9256</v>
      </c>
      <c r="E135" s="1035">
        <f>COUNTIFS(tblConcentrado[Fecha],tblDias[[#This Row],[Fecha]])</f>
        <v>0</v>
      </c>
      <c r="F135" s="1035">
        <f t="shared" si="1"/>
        <v>24</v>
      </c>
      <c r="G135" s="1036">
        <f>IF(tblDias[[#This Row],[Horas esperadas]]=0,0,tblDias[[#This Row],[Horas cargadas]]/tblDias[[#This Row],[Horas esperadas]])</f>
        <v>0</v>
      </c>
      <c r="H135" s="1035" t="str">
        <f ca="1">IF(tblDias[[#This Row],[Fecha]]&gt;TODAY(),"Pendiente",IF(tblDias[[#This Row],[Horas cargadas]]=0,"Sin datos",IF(tblDias[[#This Row],[Horas cargadas]]&lt;tblDias[[#This Row],[Horas esperadas]],"Parcial","Completo")))</f>
        <v>Pendiente</v>
      </c>
      <c r="I135" s="1037">
        <f>COUNTIFS(tblRDO[Fecha],tblDias[[#This Row],[Fecha]])</f>
        <v>0</v>
      </c>
      <c r="J135" s="1038" t="str">
        <f ca="1">IF(tblDias[[#This Row],[Fecha]]&gt;TODAY(),"Pendiente",IF(tblDias[[#This Row],[Filas RDO]]=0,"Sin RDO","Cargado"))</f>
        <v>Pendiente</v>
      </c>
      <c r="K135" s="972">
        <f>COUNTIFS(tblControles[Fecha],tblDias[[#This Row],[Fecha]],tblControles[Turno],"&lt;&gt;Obs")</f>
        <v>0</v>
      </c>
      <c r="L135" s="971">
        <f>SUMIFS(tblParadas[Horas perdidas],tblParadas[Fecha],tblDias[[#This Row],[Fecha]])</f>
        <v>0</v>
      </c>
      <c r="M135" s="1040"/>
      <c r="N135" s="953"/>
      <c r="O135" s="1040"/>
    </row>
    <row r="136" spans="2:15">
      <c r="B136" s="1041">
        <v>46391</v>
      </c>
      <c r="C136" s="1034" t="str">
        <f>CHOOSE(WEEKDAY(tblDias[[#This Row],[Fecha]],2),"lun","mar","mié","jue","vie","sáb","dom")</f>
        <v>lun</v>
      </c>
      <c r="D136" s="1039" t="s">
        <v>9256</v>
      </c>
      <c r="E136" s="1035">
        <f>COUNTIFS(tblConcentrado[Fecha],tblDias[[#This Row],[Fecha]])</f>
        <v>0</v>
      </c>
      <c r="F136" s="1035">
        <f t="shared" si="1"/>
        <v>24</v>
      </c>
      <c r="G136" s="1036">
        <f>IF(tblDias[[#This Row],[Horas esperadas]]=0,0,tblDias[[#This Row],[Horas cargadas]]/tblDias[[#This Row],[Horas esperadas]])</f>
        <v>0</v>
      </c>
      <c r="H136" s="1035" t="str">
        <f ca="1">IF(tblDias[[#This Row],[Fecha]]&gt;TODAY(),"Pendiente",IF(tblDias[[#This Row],[Horas cargadas]]=0,"Sin datos",IF(tblDias[[#This Row],[Horas cargadas]]&lt;tblDias[[#This Row],[Horas esperadas]],"Parcial","Completo")))</f>
        <v>Pendiente</v>
      </c>
      <c r="I136" s="1037">
        <f>COUNTIFS(tblRDO[Fecha],tblDias[[#This Row],[Fecha]])</f>
        <v>0</v>
      </c>
      <c r="J136" s="1038" t="str">
        <f ca="1">IF(tblDias[[#This Row],[Fecha]]&gt;TODAY(),"Pendiente",IF(tblDias[[#This Row],[Filas RDO]]=0,"Sin RDO","Cargado"))</f>
        <v>Pendiente</v>
      </c>
      <c r="K136" s="972">
        <f>COUNTIFS(tblControles[Fecha],tblDias[[#This Row],[Fecha]],tblControles[Turno],"&lt;&gt;Obs")</f>
        <v>0</v>
      </c>
      <c r="L136" s="971">
        <f>SUMIFS(tblParadas[Horas perdidas],tblParadas[Fecha],tblDias[[#This Row],[Fecha]])</f>
        <v>0</v>
      </c>
      <c r="M136" s="1040"/>
      <c r="N136" s="953"/>
      <c r="O136" s="1040"/>
    </row>
    <row r="137" spans="2:15">
      <c r="B137" s="1041">
        <v>46392</v>
      </c>
      <c r="C137" s="1034" t="str">
        <f>CHOOSE(WEEKDAY(tblDias[[#This Row],[Fecha]],2),"lun","mar","mié","jue","vie","sáb","dom")</f>
        <v>mar</v>
      </c>
      <c r="D137" s="1039" t="s">
        <v>9256</v>
      </c>
      <c r="E137" s="1035">
        <f>COUNTIFS(tblConcentrado[Fecha],tblDias[[#This Row],[Fecha]])</f>
        <v>0</v>
      </c>
      <c r="F137" s="1035">
        <f t="shared" si="1"/>
        <v>24</v>
      </c>
      <c r="G137" s="1036">
        <f>IF(tblDias[[#This Row],[Horas esperadas]]=0,0,tblDias[[#This Row],[Horas cargadas]]/tblDias[[#This Row],[Horas esperadas]])</f>
        <v>0</v>
      </c>
      <c r="H137" s="1035" t="str">
        <f ca="1">IF(tblDias[[#This Row],[Fecha]]&gt;TODAY(),"Pendiente",IF(tblDias[[#This Row],[Horas cargadas]]=0,"Sin datos",IF(tblDias[[#This Row],[Horas cargadas]]&lt;tblDias[[#This Row],[Horas esperadas]],"Parcial","Completo")))</f>
        <v>Pendiente</v>
      </c>
      <c r="I137" s="1037">
        <f>COUNTIFS(tblRDO[Fecha],tblDias[[#This Row],[Fecha]])</f>
        <v>0</v>
      </c>
      <c r="J137" s="1038" t="str">
        <f ca="1">IF(tblDias[[#This Row],[Fecha]]&gt;TODAY(),"Pendiente",IF(tblDias[[#This Row],[Filas RDO]]=0,"Sin RDO","Cargado"))</f>
        <v>Pendiente</v>
      </c>
      <c r="K137" s="972">
        <f>COUNTIFS(tblControles[Fecha],tblDias[[#This Row],[Fecha]],tblControles[Turno],"&lt;&gt;Obs")</f>
        <v>0</v>
      </c>
      <c r="L137" s="971">
        <f>SUMIFS(tblParadas[Horas perdidas],tblParadas[Fecha],tblDias[[#This Row],[Fecha]])</f>
        <v>0</v>
      </c>
      <c r="M137" s="1040"/>
      <c r="N137" s="953"/>
      <c r="O137" s="1040"/>
    </row>
    <row r="138" spans="2:15">
      <c r="B138" s="1041">
        <v>46393</v>
      </c>
      <c r="C138" s="1034" t="str">
        <f>CHOOSE(WEEKDAY(tblDias[[#This Row],[Fecha]],2),"lun","mar","mié","jue","vie","sáb","dom")</f>
        <v>mié</v>
      </c>
      <c r="D138" s="1039" t="s">
        <v>9256</v>
      </c>
      <c r="E138" s="1035">
        <f>COUNTIFS(tblConcentrado[Fecha],tblDias[[#This Row],[Fecha]])</f>
        <v>0</v>
      </c>
      <c r="F138" s="1035">
        <f t="shared" si="1"/>
        <v>24</v>
      </c>
      <c r="G138" s="1036">
        <f>IF(tblDias[[#This Row],[Horas esperadas]]=0,0,tblDias[[#This Row],[Horas cargadas]]/tblDias[[#This Row],[Horas esperadas]])</f>
        <v>0</v>
      </c>
      <c r="H138" s="1035" t="str">
        <f ca="1">IF(tblDias[[#This Row],[Fecha]]&gt;TODAY(),"Pendiente",IF(tblDias[[#This Row],[Horas cargadas]]=0,"Sin datos",IF(tblDias[[#This Row],[Horas cargadas]]&lt;tblDias[[#This Row],[Horas esperadas]],"Parcial","Completo")))</f>
        <v>Pendiente</v>
      </c>
      <c r="I138" s="1037">
        <f>COUNTIFS(tblRDO[Fecha],tblDias[[#This Row],[Fecha]])</f>
        <v>0</v>
      </c>
      <c r="J138" s="1038" t="str">
        <f ca="1">IF(tblDias[[#This Row],[Fecha]]&gt;TODAY(),"Pendiente",IF(tblDias[[#This Row],[Filas RDO]]=0,"Sin RDO","Cargado"))</f>
        <v>Pendiente</v>
      </c>
      <c r="K138" s="972">
        <f>COUNTIFS(tblControles[Fecha],tblDias[[#This Row],[Fecha]],tblControles[Turno],"&lt;&gt;Obs")</f>
        <v>0</v>
      </c>
      <c r="L138" s="971">
        <f>SUMIFS(tblParadas[Horas perdidas],tblParadas[Fecha],tblDias[[#This Row],[Fecha]])</f>
        <v>0</v>
      </c>
      <c r="M138" s="1040"/>
      <c r="N138" s="953"/>
      <c r="O138" s="1040"/>
    </row>
    <row r="139" spans="2:15">
      <c r="B139" s="1041">
        <v>46394</v>
      </c>
      <c r="C139" s="1034" t="str">
        <f>CHOOSE(WEEKDAY(tblDias[[#This Row],[Fecha]],2),"lun","mar","mié","jue","vie","sáb","dom")</f>
        <v>jue</v>
      </c>
      <c r="D139" s="1039" t="s">
        <v>9256</v>
      </c>
      <c r="E139" s="1035">
        <f>COUNTIFS(tblConcentrado[Fecha],tblDias[[#This Row],[Fecha]])</f>
        <v>0</v>
      </c>
      <c r="F139" s="1035">
        <f t="shared" ref="F139:F202" si="2">CFG_HORAS</f>
        <v>24</v>
      </c>
      <c r="G139" s="1036">
        <f>IF(tblDias[[#This Row],[Horas esperadas]]=0,0,tblDias[[#This Row],[Horas cargadas]]/tblDias[[#This Row],[Horas esperadas]])</f>
        <v>0</v>
      </c>
      <c r="H139" s="1035" t="str">
        <f ca="1">IF(tblDias[[#This Row],[Fecha]]&gt;TODAY(),"Pendiente",IF(tblDias[[#This Row],[Horas cargadas]]=0,"Sin datos",IF(tblDias[[#This Row],[Horas cargadas]]&lt;tblDias[[#This Row],[Horas esperadas]],"Parcial","Completo")))</f>
        <v>Pendiente</v>
      </c>
      <c r="I139" s="1037">
        <f>COUNTIFS(tblRDO[Fecha],tblDias[[#This Row],[Fecha]])</f>
        <v>0</v>
      </c>
      <c r="J139" s="1038" t="str">
        <f ca="1">IF(tblDias[[#This Row],[Fecha]]&gt;TODAY(),"Pendiente",IF(tblDias[[#This Row],[Filas RDO]]=0,"Sin RDO","Cargado"))</f>
        <v>Pendiente</v>
      </c>
      <c r="K139" s="972">
        <f>COUNTIFS(tblControles[Fecha],tblDias[[#This Row],[Fecha]],tblControles[Turno],"&lt;&gt;Obs")</f>
        <v>0</v>
      </c>
      <c r="L139" s="971">
        <f>SUMIFS(tblParadas[Horas perdidas],tblParadas[Fecha],tblDias[[#This Row],[Fecha]])</f>
        <v>0</v>
      </c>
      <c r="M139" s="1040"/>
      <c r="N139" s="953"/>
      <c r="O139" s="1040"/>
    </row>
    <row r="140" spans="2:15">
      <c r="B140" s="1041">
        <v>46395</v>
      </c>
      <c r="C140" s="1034" t="str">
        <f>CHOOSE(WEEKDAY(tblDias[[#This Row],[Fecha]],2),"lun","mar","mié","jue","vie","sáb","dom")</f>
        <v>vie</v>
      </c>
      <c r="D140" s="1039" t="s">
        <v>9256</v>
      </c>
      <c r="E140" s="1035">
        <f>COUNTIFS(tblConcentrado[Fecha],tblDias[[#This Row],[Fecha]])</f>
        <v>0</v>
      </c>
      <c r="F140" s="1035">
        <f t="shared" si="2"/>
        <v>24</v>
      </c>
      <c r="G140" s="1036">
        <f>IF(tblDias[[#This Row],[Horas esperadas]]=0,0,tblDias[[#This Row],[Horas cargadas]]/tblDias[[#This Row],[Horas esperadas]])</f>
        <v>0</v>
      </c>
      <c r="H140" s="1035" t="str">
        <f ca="1">IF(tblDias[[#This Row],[Fecha]]&gt;TODAY(),"Pendiente",IF(tblDias[[#This Row],[Horas cargadas]]=0,"Sin datos",IF(tblDias[[#This Row],[Horas cargadas]]&lt;tblDias[[#This Row],[Horas esperadas]],"Parcial","Completo")))</f>
        <v>Pendiente</v>
      </c>
      <c r="I140" s="1037">
        <f>COUNTIFS(tblRDO[Fecha],tblDias[[#This Row],[Fecha]])</f>
        <v>0</v>
      </c>
      <c r="J140" s="1038" t="str">
        <f ca="1">IF(tblDias[[#This Row],[Fecha]]&gt;TODAY(),"Pendiente",IF(tblDias[[#This Row],[Filas RDO]]=0,"Sin RDO","Cargado"))</f>
        <v>Pendiente</v>
      </c>
      <c r="K140" s="972">
        <f>COUNTIFS(tblControles[Fecha],tblDias[[#This Row],[Fecha]],tblControles[Turno],"&lt;&gt;Obs")</f>
        <v>0</v>
      </c>
      <c r="L140" s="971">
        <f>SUMIFS(tblParadas[Horas perdidas],tblParadas[Fecha],tblDias[[#This Row],[Fecha]])</f>
        <v>0</v>
      </c>
      <c r="M140" s="1040"/>
      <c r="N140" s="953"/>
      <c r="O140" s="1040"/>
    </row>
    <row r="141" spans="2:15">
      <c r="B141" s="1041">
        <v>46396</v>
      </c>
      <c r="C141" s="1034" t="str">
        <f>CHOOSE(WEEKDAY(tblDias[[#This Row],[Fecha]],2),"lun","mar","mié","jue","vie","sáb","dom")</f>
        <v>sáb</v>
      </c>
      <c r="D141" s="1039" t="s">
        <v>9256</v>
      </c>
      <c r="E141" s="1035">
        <f>COUNTIFS(tblConcentrado[Fecha],tblDias[[#This Row],[Fecha]])</f>
        <v>0</v>
      </c>
      <c r="F141" s="1035">
        <f t="shared" si="2"/>
        <v>24</v>
      </c>
      <c r="G141" s="1036">
        <f>IF(tblDias[[#This Row],[Horas esperadas]]=0,0,tblDias[[#This Row],[Horas cargadas]]/tblDias[[#This Row],[Horas esperadas]])</f>
        <v>0</v>
      </c>
      <c r="H141" s="1035" t="str">
        <f ca="1">IF(tblDias[[#This Row],[Fecha]]&gt;TODAY(),"Pendiente",IF(tblDias[[#This Row],[Horas cargadas]]=0,"Sin datos",IF(tblDias[[#This Row],[Horas cargadas]]&lt;tblDias[[#This Row],[Horas esperadas]],"Parcial","Completo")))</f>
        <v>Pendiente</v>
      </c>
      <c r="I141" s="1037">
        <f>COUNTIFS(tblRDO[Fecha],tblDias[[#This Row],[Fecha]])</f>
        <v>0</v>
      </c>
      <c r="J141" s="1038" t="str">
        <f ca="1">IF(tblDias[[#This Row],[Fecha]]&gt;TODAY(),"Pendiente",IF(tblDias[[#This Row],[Filas RDO]]=0,"Sin RDO","Cargado"))</f>
        <v>Pendiente</v>
      </c>
      <c r="K141" s="972">
        <f>COUNTIFS(tblControles[Fecha],tblDias[[#This Row],[Fecha]],tblControles[Turno],"&lt;&gt;Obs")</f>
        <v>0</v>
      </c>
      <c r="L141" s="971">
        <f>SUMIFS(tblParadas[Horas perdidas],tblParadas[Fecha],tblDias[[#This Row],[Fecha]])</f>
        <v>0</v>
      </c>
      <c r="M141" s="1040"/>
      <c r="N141" s="953"/>
      <c r="O141" s="1040"/>
    </row>
    <row r="142" spans="2:15">
      <c r="B142" s="1041">
        <v>46397</v>
      </c>
      <c r="C142" s="1034" t="str">
        <f>CHOOSE(WEEKDAY(tblDias[[#This Row],[Fecha]],2),"lun","mar","mié","jue","vie","sáb","dom")</f>
        <v>dom</v>
      </c>
      <c r="D142" s="1039" t="s">
        <v>9256</v>
      </c>
      <c r="E142" s="1035">
        <f>COUNTIFS(tblConcentrado[Fecha],tblDias[[#This Row],[Fecha]])</f>
        <v>0</v>
      </c>
      <c r="F142" s="1035">
        <f t="shared" si="2"/>
        <v>24</v>
      </c>
      <c r="G142" s="1036">
        <f>IF(tblDias[[#This Row],[Horas esperadas]]=0,0,tblDias[[#This Row],[Horas cargadas]]/tblDias[[#This Row],[Horas esperadas]])</f>
        <v>0</v>
      </c>
      <c r="H142" s="1035" t="str">
        <f ca="1">IF(tblDias[[#This Row],[Fecha]]&gt;TODAY(),"Pendiente",IF(tblDias[[#This Row],[Horas cargadas]]=0,"Sin datos",IF(tblDias[[#This Row],[Horas cargadas]]&lt;tblDias[[#This Row],[Horas esperadas]],"Parcial","Completo")))</f>
        <v>Pendiente</v>
      </c>
      <c r="I142" s="1037">
        <f>COUNTIFS(tblRDO[Fecha],tblDias[[#This Row],[Fecha]])</f>
        <v>0</v>
      </c>
      <c r="J142" s="1038" t="str">
        <f ca="1">IF(tblDias[[#This Row],[Fecha]]&gt;TODAY(),"Pendiente",IF(tblDias[[#This Row],[Filas RDO]]=0,"Sin RDO","Cargado"))</f>
        <v>Pendiente</v>
      </c>
      <c r="K142" s="972">
        <f>COUNTIFS(tblControles[Fecha],tblDias[[#This Row],[Fecha]],tblControles[Turno],"&lt;&gt;Obs")</f>
        <v>0</v>
      </c>
      <c r="L142" s="971">
        <f>SUMIFS(tblParadas[Horas perdidas],tblParadas[Fecha],tblDias[[#This Row],[Fecha]])</f>
        <v>0</v>
      </c>
      <c r="M142" s="1040"/>
      <c r="N142" s="953"/>
      <c r="O142" s="1040"/>
    </row>
    <row r="143" spans="2:15">
      <c r="B143" s="1041">
        <v>46398</v>
      </c>
      <c r="C143" s="1034" t="str">
        <f>CHOOSE(WEEKDAY(tblDias[[#This Row],[Fecha]],2),"lun","mar","mié","jue","vie","sáb","dom")</f>
        <v>lun</v>
      </c>
      <c r="D143" s="1039" t="s">
        <v>9256</v>
      </c>
      <c r="E143" s="1035">
        <f>COUNTIFS(tblConcentrado[Fecha],tblDias[[#This Row],[Fecha]])</f>
        <v>0</v>
      </c>
      <c r="F143" s="1035">
        <f t="shared" si="2"/>
        <v>24</v>
      </c>
      <c r="G143" s="1036">
        <f>IF(tblDias[[#This Row],[Horas esperadas]]=0,0,tblDias[[#This Row],[Horas cargadas]]/tblDias[[#This Row],[Horas esperadas]])</f>
        <v>0</v>
      </c>
      <c r="H143" s="1035" t="str">
        <f ca="1">IF(tblDias[[#This Row],[Fecha]]&gt;TODAY(),"Pendiente",IF(tblDias[[#This Row],[Horas cargadas]]=0,"Sin datos",IF(tblDias[[#This Row],[Horas cargadas]]&lt;tblDias[[#This Row],[Horas esperadas]],"Parcial","Completo")))</f>
        <v>Pendiente</v>
      </c>
      <c r="I143" s="1037">
        <f>COUNTIFS(tblRDO[Fecha],tblDias[[#This Row],[Fecha]])</f>
        <v>0</v>
      </c>
      <c r="J143" s="1038" t="str">
        <f ca="1">IF(tblDias[[#This Row],[Fecha]]&gt;TODAY(),"Pendiente",IF(tblDias[[#This Row],[Filas RDO]]=0,"Sin RDO","Cargado"))</f>
        <v>Pendiente</v>
      </c>
      <c r="K143" s="972">
        <f>COUNTIFS(tblControles[Fecha],tblDias[[#This Row],[Fecha]],tblControles[Turno],"&lt;&gt;Obs")</f>
        <v>0</v>
      </c>
      <c r="L143" s="971">
        <f>SUMIFS(tblParadas[Horas perdidas],tblParadas[Fecha],tblDias[[#This Row],[Fecha]])</f>
        <v>0</v>
      </c>
      <c r="M143" s="1040"/>
      <c r="N143" s="953"/>
      <c r="O143" s="1040"/>
    </row>
    <row r="144" spans="2:15">
      <c r="B144" s="1041">
        <v>46399</v>
      </c>
      <c r="C144" s="1034" t="str">
        <f>CHOOSE(WEEKDAY(tblDias[[#This Row],[Fecha]],2),"lun","mar","mié","jue","vie","sáb","dom")</f>
        <v>mar</v>
      </c>
      <c r="D144" s="1039" t="s">
        <v>9256</v>
      </c>
      <c r="E144" s="1035">
        <f>COUNTIFS(tblConcentrado[Fecha],tblDias[[#This Row],[Fecha]])</f>
        <v>0</v>
      </c>
      <c r="F144" s="1035">
        <f t="shared" si="2"/>
        <v>24</v>
      </c>
      <c r="G144" s="1036">
        <f>IF(tblDias[[#This Row],[Horas esperadas]]=0,0,tblDias[[#This Row],[Horas cargadas]]/tblDias[[#This Row],[Horas esperadas]])</f>
        <v>0</v>
      </c>
      <c r="H144" s="1035" t="str">
        <f ca="1">IF(tblDias[[#This Row],[Fecha]]&gt;TODAY(),"Pendiente",IF(tblDias[[#This Row],[Horas cargadas]]=0,"Sin datos",IF(tblDias[[#This Row],[Horas cargadas]]&lt;tblDias[[#This Row],[Horas esperadas]],"Parcial","Completo")))</f>
        <v>Pendiente</v>
      </c>
      <c r="I144" s="1037">
        <f>COUNTIFS(tblRDO[Fecha],tblDias[[#This Row],[Fecha]])</f>
        <v>0</v>
      </c>
      <c r="J144" s="1038" t="str">
        <f ca="1">IF(tblDias[[#This Row],[Fecha]]&gt;TODAY(),"Pendiente",IF(tblDias[[#This Row],[Filas RDO]]=0,"Sin RDO","Cargado"))</f>
        <v>Pendiente</v>
      </c>
      <c r="K144" s="972">
        <f>COUNTIFS(tblControles[Fecha],tblDias[[#This Row],[Fecha]],tblControles[Turno],"&lt;&gt;Obs")</f>
        <v>0</v>
      </c>
      <c r="L144" s="971">
        <f>SUMIFS(tblParadas[Horas perdidas],tblParadas[Fecha],tblDias[[#This Row],[Fecha]])</f>
        <v>0</v>
      </c>
      <c r="M144" s="1040"/>
      <c r="N144" s="953"/>
      <c r="O144" s="1040"/>
    </row>
    <row r="145" spans="2:15">
      <c r="B145" s="1041">
        <v>46400</v>
      </c>
      <c r="C145" s="1034" t="str">
        <f>CHOOSE(WEEKDAY(tblDias[[#This Row],[Fecha]],2),"lun","mar","mié","jue","vie","sáb","dom")</f>
        <v>mié</v>
      </c>
      <c r="D145" s="1039" t="s">
        <v>9256</v>
      </c>
      <c r="E145" s="1035">
        <f>COUNTIFS(tblConcentrado[Fecha],tblDias[[#This Row],[Fecha]])</f>
        <v>0</v>
      </c>
      <c r="F145" s="1035">
        <f t="shared" si="2"/>
        <v>24</v>
      </c>
      <c r="G145" s="1036">
        <f>IF(tblDias[[#This Row],[Horas esperadas]]=0,0,tblDias[[#This Row],[Horas cargadas]]/tblDias[[#This Row],[Horas esperadas]])</f>
        <v>0</v>
      </c>
      <c r="H145" s="1035" t="str">
        <f ca="1">IF(tblDias[[#This Row],[Fecha]]&gt;TODAY(),"Pendiente",IF(tblDias[[#This Row],[Horas cargadas]]=0,"Sin datos",IF(tblDias[[#This Row],[Horas cargadas]]&lt;tblDias[[#This Row],[Horas esperadas]],"Parcial","Completo")))</f>
        <v>Pendiente</v>
      </c>
      <c r="I145" s="1037">
        <f>COUNTIFS(tblRDO[Fecha],tblDias[[#This Row],[Fecha]])</f>
        <v>0</v>
      </c>
      <c r="J145" s="1038" t="str">
        <f ca="1">IF(tblDias[[#This Row],[Fecha]]&gt;TODAY(),"Pendiente",IF(tblDias[[#This Row],[Filas RDO]]=0,"Sin RDO","Cargado"))</f>
        <v>Pendiente</v>
      </c>
      <c r="K145" s="972">
        <f>COUNTIFS(tblControles[Fecha],tblDias[[#This Row],[Fecha]],tblControles[Turno],"&lt;&gt;Obs")</f>
        <v>0</v>
      </c>
      <c r="L145" s="971">
        <f>SUMIFS(tblParadas[Horas perdidas],tblParadas[Fecha],tblDias[[#This Row],[Fecha]])</f>
        <v>0</v>
      </c>
      <c r="M145" s="1040"/>
      <c r="N145" s="953"/>
      <c r="O145" s="1040"/>
    </row>
    <row r="146" spans="2:15">
      <c r="B146" s="1041">
        <v>46401</v>
      </c>
      <c r="C146" s="1034" t="str">
        <f>CHOOSE(WEEKDAY(tblDias[[#This Row],[Fecha]],2),"lun","mar","mié","jue","vie","sáb","dom")</f>
        <v>jue</v>
      </c>
      <c r="D146" s="1039" t="s">
        <v>9256</v>
      </c>
      <c r="E146" s="1035">
        <f>COUNTIFS(tblConcentrado[Fecha],tblDias[[#This Row],[Fecha]])</f>
        <v>0</v>
      </c>
      <c r="F146" s="1035">
        <f t="shared" si="2"/>
        <v>24</v>
      </c>
      <c r="G146" s="1036">
        <f>IF(tblDias[[#This Row],[Horas esperadas]]=0,0,tblDias[[#This Row],[Horas cargadas]]/tblDias[[#This Row],[Horas esperadas]])</f>
        <v>0</v>
      </c>
      <c r="H146" s="1035" t="str">
        <f ca="1">IF(tblDias[[#This Row],[Fecha]]&gt;TODAY(),"Pendiente",IF(tblDias[[#This Row],[Horas cargadas]]=0,"Sin datos",IF(tblDias[[#This Row],[Horas cargadas]]&lt;tblDias[[#This Row],[Horas esperadas]],"Parcial","Completo")))</f>
        <v>Pendiente</v>
      </c>
      <c r="I146" s="1037">
        <f>COUNTIFS(tblRDO[Fecha],tblDias[[#This Row],[Fecha]])</f>
        <v>0</v>
      </c>
      <c r="J146" s="1038" t="str">
        <f ca="1">IF(tblDias[[#This Row],[Fecha]]&gt;TODAY(),"Pendiente",IF(tblDias[[#This Row],[Filas RDO]]=0,"Sin RDO","Cargado"))</f>
        <v>Pendiente</v>
      </c>
      <c r="K146" s="972">
        <f>COUNTIFS(tblControles[Fecha],tblDias[[#This Row],[Fecha]],tblControles[Turno],"&lt;&gt;Obs")</f>
        <v>0</v>
      </c>
      <c r="L146" s="971">
        <f>SUMIFS(tblParadas[Horas perdidas],tblParadas[Fecha],tblDias[[#This Row],[Fecha]])</f>
        <v>0</v>
      </c>
      <c r="M146" s="1040"/>
      <c r="N146" s="953"/>
      <c r="O146" s="1040"/>
    </row>
    <row r="147" spans="2:15">
      <c r="B147" s="1041">
        <v>46402</v>
      </c>
      <c r="C147" s="1034" t="str">
        <f>CHOOSE(WEEKDAY(tblDias[[#This Row],[Fecha]],2),"lun","mar","mié","jue","vie","sáb","dom")</f>
        <v>vie</v>
      </c>
      <c r="D147" s="1039" t="s">
        <v>9256</v>
      </c>
      <c r="E147" s="1035">
        <f>COUNTIFS(tblConcentrado[Fecha],tblDias[[#This Row],[Fecha]])</f>
        <v>0</v>
      </c>
      <c r="F147" s="1035">
        <f t="shared" si="2"/>
        <v>24</v>
      </c>
      <c r="G147" s="1036">
        <f>IF(tblDias[[#This Row],[Horas esperadas]]=0,0,tblDias[[#This Row],[Horas cargadas]]/tblDias[[#This Row],[Horas esperadas]])</f>
        <v>0</v>
      </c>
      <c r="H147" s="1035" t="str">
        <f ca="1">IF(tblDias[[#This Row],[Fecha]]&gt;TODAY(),"Pendiente",IF(tblDias[[#This Row],[Horas cargadas]]=0,"Sin datos",IF(tblDias[[#This Row],[Horas cargadas]]&lt;tblDias[[#This Row],[Horas esperadas]],"Parcial","Completo")))</f>
        <v>Pendiente</v>
      </c>
      <c r="I147" s="1037">
        <f>COUNTIFS(tblRDO[Fecha],tblDias[[#This Row],[Fecha]])</f>
        <v>0</v>
      </c>
      <c r="J147" s="1038" t="str">
        <f ca="1">IF(tblDias[[#This Row],[Fecha]]&gt;TODAY(),"Pendiente",IF(tblDias[[#This Row],[Filas RDO]]=0,"Sin RDO","Cargado"))</f>
        <v>Pendiente</v>
      </c>
      <c r="K147" s="972">
        <f>COUNTIFS(tblControles[Fecha],tblDias[[#This Row],[Fecha]],tblControles[Turno],"&lt;&gt;Obs")</f>
        <v>0</v>
      </c>
      <c r="L147" s="971">
        <f>SUMIFS(tblParadas[Horas perdidas],tblParadas[Fecha],tblDias[[#This Row],[Fecha]])</f>
        <v>0</v>
      </c>
      <c r="M147" s="1040"/>
      <c r="N147" s="953"/>
      <c r="O147" s="1040"/>
    </row>
    <row r="148" spans="2:15">
      <c r="B148" s="1041">
        <v>46403</v>
      </c>
      <c r="C148" s="1034" t="str">
        <f>CHOOSE(WEEKDAY(tblDias[[#This Row],[Fecha]],2),"lun","mar","mié","jue","vie","sáb","dom")</f>
        <v>sáb</v>
      </c>
      <c r="D148" s="1039" t="s">
        <v>9256</v>
      </c>
      <c r="E148" s="1035">
        <f>COUNTIFS(tblConcentrado[Fecha],tblDias[[#This Row],[Fecha]])</f>
        <v>0</v>
      </c>
      <c r="F148" s="1035">
        <f t="shared" si="2"/>
        <v>24</v>
      </c>
      <c r="G148" s="1036">
        <f>IF(tblDias[[#This Row],[Horas esperadas]]=0,0,tblDias[[#This Row],[Horas cargadas]]/tblDias[[#This Row],[Horas esperadas]])</f>
        <v>0</v>
      </c>
      <c r="H148" s="1035" t="str">
        <f ca="1">IF(tblDias[[#This Row],[Fecha]]&gt;TODAY(),"Pendiente",IF(tblDias[[#This Row],[Horas cargadas]]=0,"Sin datos",IF(tblDias[[#This Row],[Horas cargadas]]&lt;tblDias[[#This Row],[Horas esperadas]],"Parcial","Completo")))</f>
        <v>Pendiente</v>
      </c>
      <c r="I148" s="1037">
        <f>COUNTIFS(tblRDO[Fecha],tblDias[[#This Row],[Fecha]])</f>
        <v>0</v>
      </c>
      <c r="J148" s="1038" t="str">
        <f ca="1">IF(tblDias[[#This Row],[Fecha]]&gt;TODAY(),"Pendiente",IF(tblDias[[#This Row],[Filas RDO]]=0,"Sin RDO","Cargado"))</f>
        <v>Pendiente</v>
      </c>
      <c r="K148" s="972">
        <f>COUNTIFS(tblControles[Fecha],tblDias[[#This Row],[Fecha]],tblControles[Turno],"&lt;&gt;Obs")</f>
        <v>0</v>
      </c>
      <c r="L148" s="971">
        <f>SUMIFS(tblParadas[Horas perdidas],tblParadas[Fecha],tblDias[[#This Row],[Fecha]])</f>
        <v>0</v>
      </c>
      <c r="M148" s="1040"/>
      <c r="N148" s="953"/>
      <c r="O148" s="1040"/>
    </row>
    <row r="149" spans="2:15">
      <c r="B149" s="1041">
        <v>46404</v>
      </c>
      <c r="C149" s="1034" t="str">
        <f>CHOOSE(WEEKDAY(tblDias[[#This Row],[Fecha]],2),"lun","mar","mié","jue","vie","sáb","dom")</f>
        <v>dom</v>
      </c>
      <c r="D149" s="1039" t="s">
        <v>9256</v>
      </c>
      <c r="E149" s="1035">
        <f>COUNTIFS(tblConcentrado[Fecha],tblDias[[#This Row],[Fecha]])</f>
        <v>0</v>
      </c>
      <c r="F149" s="1035">
        <f t="shared" si="2"/>
        <v>24</v>
      </c>
      <c r="G149" s="1036">
        <f>IF(tblDias[[#This Row],[Horas esperadas]]=0,0,tblDias[[#This Row],[Horas cargadas]]/tblDias[[#This Row],[Horas esperadas]])</f>
        <v>0</v>
      </c>
      <c r="H149" s="1035" t="str">
        <f ca="1">IF(tblDias[[#This Row],[Fecha]]&gt;TODAY(),"Pendiente",IF(tblDias[[#This Row],[Horas cargadas]]=0,"Sin datos",IF(tblDias[[#This Row],[Horas cargadas]]&lt;tblDias[[#This Row],[Horas esperadas]],"Parcial","Completo")))</f>
        <v>Pendiente</v>
      </c>
      <c r="I149" s="1037">
        <f>COUNTIFS(tblRDO[Fecha],tblDias[[#This Row],[Fecha]])</f>
        <v>0</v>
      </c>
      <c r="J149" s="1038" t="str">
        <f ca="1">IF(tblDias[[#This Row],[Fecha]]&gt;TODAY(),"Pendiente",IF(tblDias[[#This Row],[Filas RDO]]=0,"Sin RDO","Cargado"))</f>
        <v>Pendiente</v>
      </c>
      <c r="K149" s="972">
        <f>COUNTIFS(tblControles[Fecha],tblDias[[#This Row],[Fecha]],tblControles[Turno],"&lt;&gt;Obs")</f>
        <v>0</v>
      </c>
      <c r="L149" s="971">
        <f>SUMIFS(tblParadas[Horas perdidas],tblParadas[Fecha],tblDias[[#This Row],[Fecha]])</f>
        <v>0</v>
      </c>
      <c r="M149" s="1040"/>
      <c r="N149" s="953"/>
      <c r="O149" s="1040"/>
    </row>
    <row r="150" spans="2:15">
      <c r="B150" s="1041">
        <v>46405</v>
      </c>
      <c r="C150" s="1034" t="str">
        <f>CHOOSE(WEEKDAY(tblDias[[#This Row],[Fecha]],2),"lun","mar","mié","jue","vie","sáb","dom")</f>
        <v>lun</v>
      </c>
      <c r="D150" s="1039" t="s">
        <v>9256</v>
      </c>
      <c r="E150" s="1035">
        <f>COUNTIFS(tblConcentrado[Fecha],tblDias[[#This Row],[Fecha]])</f>
        <v>0</v>
      </c>
      <c r="F150" s="1035">
        <f t="shared" si="2"/>
        <v>24</v>
      </c>
      <c r="G150" s="1036">
        <f>IF(tblDias[[#This Row],[Horas esperadas]]=0,0,tblDias[[#This Row],[Horas cargadas]]/tblDias[[#This Row],[Horas esperadas]])</f>
        <v>0</v>
      </c>
      <c r="H150" s="1035" t="str">
        <f ca="1">IF(tblDias[[#This Row],[Fecha]]&gt;TODAY(),"Pendiente",IF(tblDias[[#This Row],[Horas cargadas]]=0,"Sin datos",IF(tblDias[[#This Row],[Horas cargadas]]&lt;tblDias[[#This Row],[Horas esperadas]],"Parcial","Completo")))</f>
        <v>Pendiente</v>
      </c>
      <c r="I150" s="1037">
        <f>COUNTIFS(tblRDO[Fecha],tblDias[[#This Row],[Fecha]])</f>
        <v>0</v>
      </c>
      <c r="J150" s="1038" t="str">
        <f ca="1">IF(tblDias[[#This Row],[Fecha]]&gt;TODAY(),"Pendiente",IF(tblDias[[#This Row],[Filas RDO]]=0,"Sin RDO","Cargado"))</f>
        <v>Pendiente</v>
      </c>
      <c r="K150" s="972">
        <f>COUNTIFS(tblControles[Fecha],tblDias[[#This Row],[Fecha]],tblControles[Turno],"&lt;&gt;Obs")</f>
        <v>0</v>
      </c>
      <c r="L150" s="971">
        <f>SUMIFS(tblParadas[Horas perdidas],tblParadas[Fecha],tblDias[[#This Row],[Fecha]])</f>
        <v>0</v>
      </c>
      <c r="M150" s="1040"/>
      <c r="N150" s="953"/>
      <c r="O150" s="1040"/>
    </row>
    <row r="151" spans="2:15">
      <c r="B151" s="1041">
        <v>46406</v>
      </c>
      <c r="C151" s="1034" t="str">
        <f>CHOOSE(WEEKDAY(tblDias[[#This Row],[Fecha]],2),"lun","mar","mié","jue","vie","sáb","dom")</f>
        <v>mar</v>
      </c>
      <c r="D151" s="1039" t="s">
        <v>9256</v>
      </c>
      <c r="E151" s="1035">
        <f>COUNTIFS(tblConcentrado[Fecha],tblDias[[#This Row],[Fecha]])</f>
        <v>0</v>
      </c>
      <c r="F151" s="1035">
        <f t="shared" si="2"/>
        <v>24</v>
      </c>
      <c r="G151" s="1036">
        <f>IF(tblDias[[#This Row],[Horas esperadas]]=0,0,tblDias[[#This Row],[Horas cargadas]]/tblDias[[#This Row],[Horas esperadas]])</f>
        <v>0</v>
      </c>
      <c r="H151" s="1035" t="str">
        <f ca="1">IF(tblDias[[#This Row],[Fecha]]&gt;TODAY(),"Pendiente",IF(tblDias[[#This Row],[Horas cargadas]]=0,"Sin datos",IF(tblDias[[#This Row],[Horas cargadas]]&lt;tblDias[[#This Row],[Horas esperadas]],"Parcial","Completo")))</f>
        <v>Pendiente</v>
      </c>
      <c r="I151" s="1037">
        <f>COUNTIFS(tblRDO[Fecha],tblDias[[#This Row],[Fecha]])</f>
        <v>0</v>
      </c>
      <c r="J151" s="1038" t="str">
        <f ca="1">IF(tblDias[[#This Row],[Fecha]]&gt;TODAY(),"Pendiente",IF(tblDias[[#This Row],[Filas RDO]]=0,"Sin RDO","Cargado"))</f>
        <v>Pendiente</v>
      </c>
      <c r="K151" s="972">
        <f>COUNTIFS(tblControles[Fecha],tblDias[[#This Row],[Fecha]],tblControles[Turno],"&lt;&gt;Obs")</f>
        <v>0</v>
      </c>
      <c r="L151" s="971">
        <f>SUMIFS(tblParadas[Horas perdidas],tblParadas[Fecha],tblDias[[#This Row],[Fecha]])</f>
        <v>0</v>
      </c>
      <c r="M151" s="1040"/>
      <c r="N151" s="953"/>
      <c r="O151" s="1040"/>
    </row>
    <row r="152" spans="2:15">
      <c r="B152" s="1041">
        <v>46407</v>
      </c>
      <c r="C152" s="1034" t="str">
        <f>CHOOSE(WEEKDAY(tblDias[[#This Row],[Fecha]],2),"lun","mar","mié","jue","vie","sáb","dom")</f>
        <v>mié</v>
      </c>
      <c r="D152" s="1039" t="s">
        <v>9256</v>
      </c>
      <c r="E152" s="1035">
        <f>COUNTIFS(tblConcentrado[Fecha],tblDias[[#This Row],[Fecha]])</f>
        <v>0</v>
      </c>
      <c r="F152" s="1035">
        <f t="shared" si="2"/>
        <v>24</v>
      </c>
      <c r="G152" s="1036">
        <f>IF(tblDias[[#This Row],[Horas esperadas]]=0,0,tblDias[[#This Row],[Horas cargadas]]/tblDias[[#This Row],[Horas esperadas]])</f>
        <v>0</v>
      </c>
      <c r="H152" s="1035" t="str">
        <f ca="1">IF(tblDias[[#This Row],[Fecha]]&gt;TODAY(),"Pendiente",IF(tblDias[[#This Row],[Horas cargadas]]=0,"Sin datos",IF(tblDias[[#This Row],[Horas cargadas]]&lt;tblDias[[#This Row],[Horas esperadas]],"Parcial","Completo")))</f>
        <v>Pendiente</v>
      </c>
      <c r="I152" s="1037">
        <f>COUNTIFS(tblRDO[Fecha],tblDias[[#This Row],[Fecha]])</f>
        <v>0</v>
      </c>
      <c r="J152" s="1038" t="str">
        <f ca="1">IF(tblDias[[#This Row],[Fecha]]&gt;TODAY(),"Pendiente",IF(tblDias[[#This Row],[Filas RDO]]=0,"Sin RDO","Cargado"))</f>
        <v>Pendiente</v>
      </c>
      <c r="K152" s="972">
        <f>COUNTIFS(tblControles[Fecha],tblDias[[#This Row],[Fecha]],tblControles[Turno],"&lt;&gt;Obs")</f>
        <v>0</v>
      </c>
      <c r="L152" s="971">
        <f>SUMIFS(tblParadas[Horas perdidas],tblParadas[Fecha],tblDias[[#This Row],[Fecha]])</f>
        <v>0</v>
      </c>
      <c r="M152" s="1040"/>
      <c r="N152" s="953"/>
      <c r="O152" s="1040"/>
    </row>
    <row r="153" spans="2:15">
      <c r="B153" s="1041">
        <v>46408</v>
      </c>
      <c r="C153" s="1034" t="str">
        <f>CHOOSE(WEEKDAY(tblDias[[#This Row],[Fecha]],2),"lun","mar","mié","jue","vie","sáb","dom")</f>
        <v>jue</v>
      </c>
      <c r="D153" s="1039" t="s">
        <v>9256</v>
      </c>
      <c r="E153" s="1035">
        <f>COUNTIFS(tblConcentrado[Fecha],tblDias[[#This Row],[Fecha]])</f>
        <v>0</v>
      </c>
      <c r="F153" s="1035">
        <f t="shared" si="2"/>
        <v>24</v>
      </c>
      <c r="G153" s="1036">
        <f>IF(tblDias[[#This Row],[Horas esperadas]]=0,0,tblDias[[#This Row],[Horas cargadas]]/tblDias[[#This Row],[Horas esperadas]])</f>
        <v>0</v>
      </c>
      <c r="H153" s="1035" t="str">
        <f ca="1">IF(tblDias[[#This Row],[Fecha]]&gt;TODAY(),"Pendiente",IF(tblDias[[#This Row],[Horas cargadas]]=0,"Sin datos",IF(tblDias[[#This Row],[Horas cargadas]]&lt;tblDias[[#This Row],[Horas esperadas]],"Parcial","Completo")))</f>
        <v>Pendiente</v>
      </c>
      <c r="I153" s="1037">
        <f>COUNTIFS(tblRDO[Fecha],tblDias[[#This Row],[Fecha]])</f>
        <v>0</v>
      </c>
      <c r="J153" s="1038" t="str">
        <f ca="1">IF(tblDias[[#This Row],[Fecha]]&gt;TODAY(),"Pendiente",IF(tblDias[[#This Row],[Filas RDO]]=0,"Sin RDO","Cargado"))</f>
        <v>Pendiente</v>
      </c>
      <c r="K153" s="972">
        <f>COUNTIFS(tblControles[Fecha],tblDias[[#This Row],[Fecha]],tblControles[Turno],"&lt;&gt;Obs")</f>
        <v>0</v>
      </c>
      <c r="L153" s="971">
        <f>SUMIFS(tblParadas[Horas perdidas],tblParadas[Fecha],tblDias[[#This Row],[Fecha]])</f>
        <v>0</v>
      </c>
      <c r="M153" s="1040"/>
      <c r="N153" s="953"/>
      <c r="O153" s="1040"/>
    </row>
    <row r="154" spans="2:15">
      <c r="B154" s="1041">
        <v>46409</v>
      </c>
      <c r="C154" s="1034" t="str">
        <f>CHOOSE(WEEKDAY(tblDias[[#This Row],[Fecha]],2),"lun","mar","mié","jue","vie","sáb","dom")</f>
        <v>vie</v>
      </c>
      <c r="D154" s="1039" t="s">
        <v>9256</v>
      </c>
      <c r="E154" s="1035">
        <f>COUNTIFS(tblConcentrado[Fecha],tblDias[[#This Row],[Fecha]])</f>
        <v>0</v>
      </c>
      <c r="F154" s="1035">
        <f t="shared" si="2"/>
        <v>24</v>
      </c>
      <c r="G154" s="1036">
        <f>IF(tblDias[[#This Row],[Horas esperadas]]=0,0,tblDias[[#This Row],[Horas cargadas]]/tblDias[[#This Row],[Horas esperadas]])</f>
        <v>0</v>
      </c>
      <c r="H154" s="1035" t="str">
        <f ca="1">IF(tblDias[[#This Row],[Fecha]]&gt;TODAY(),"Pendiente",IF(tblDias[[#This Row],[Horas cargadas]]=0,"Sin datos",IF(tblDias[[#This Row],[Horas cargadas]]&lt;tblDias[[#This Row],[Horas esperadas]],"Parcial","Completo")))</f>
        <v>Pendiente</v>
      </c>
      <c r="I154" s="1037">
        <f>COUNTIFS(tblRDO[Fecha],tblDias[[#This Row],[Fecha]])</f>
        <v>0</v>
      </c>
      <c r="J154" s="1038" t="str">
        <f ca="1">IF(tblDias[[#This Row],[Fecha]]&gt;TODAY(),"Pendiente",IF(tblDias[[#This Row],[Filas RDO]]=0,"Sin RDO","Cargado"))</f>
        <v>Pendiente</v>
      </c>
      <c r="K154" s="972">
        <f>COUNTIFS(tblControles[Fecha],tblDias[[#This Row],[Fecha]],tblControles[Turno],"&lt;&gt;Obs")</f>
        <v>0</v>
      </c>
      <c r="L154" s="971">
        <f>SUMIFS(tblParadas[Horas perdidas],tblParadas[Fecha],tblDias[[#This Row],[Fecha]])</f>
        <v>0</v>
      </c>
      <c r="M154" s="1040"/>
      <c r="N154" s="953"/>
      <c r="O154" s="1040"/>
    </row>
    <row r="155" spans="2:15">
      <c r="B155" s="1041">
        <v>46410</v>
      </c>
      <c r="C155" s="1034" t="str">
        <f>CHOOSE(WEEKDAY(tblDias[[#This Row],[Fecha]],2),"lun","mar","mié","jue","vie","sáb","dom")</f>
        <v>sáb</v>
      </c>
      <c r="D155" s="1039" t="s">
        <v>9256</v>
      </c>
      <c r="E155" s="1035">
        <f>COUNTIFS(tblConcentrado[Fecha],tblDias[[#This Row],[Fecha]])</f>
        <v>0</v>
      </c>
      <c r="F155" s="1035">
        <f t="shared" si="2"/>
        <v>24</v>
      </c>
      <c r="G155" s="1036">
        <f>IF(tblDias[[#This Row],[Horas esperadas]]=0,0,tblDias[[#This Row],[Horas cargadas]]/tblDias[[#This Row],[Horas esperadas]])</f>
        <v>0</v>
      </c>
      <c r="H155" s="1035" t="str">
        <f ca="1">IF(tblDias[[#This Row],[Fecha]]&gt;TODAY(),"Pendiente",IF(tblDias[[#This Row],[Horas cargadas]]=0,"Sin datos",IF(tblDias[[#This Row],[Horas cargadas]]&lt;tblDias[[#This Row],[Horas esperadas]],"Parcial","Completo")))</f>
        <v>Pendiente</v>
      </c>
      <c r="I155" s="1037">
        <f>COUNTIFS(tblRDO[Fecha],tblDias[[#This Row],[Fecha]])</f>
        <v>0</v>
      </c>
      <c r="J155" s="1038" t="str">
        <f ca="1">IF(tblDias[[#This Row],[Fecha]]&gt;TODAY(),"Pendiente",IF(tblDias[[#This Row],[Filas RDO]]=0,"Sin RDO","Cargado"))</f>
        <v>Pendiente</v>
      </c>
      <c r="K155" s="972">
        <f>COUNTIFS(tblControles[Fecha],tblDias[[#This Row],[Fecha]],tblControles[Turno],"&lt;&gt;Obs")</f>
        <v>0</v>
      </c>
      <c r="L155" s="971">
        <f>SUMIFS(tblParadas[Horas perdidas],tblParadas[Fecha],tblDias[[#This Row],[Fecha]])</f>
        <v>0</v>
      </c>
      <c r="M155" s="1040"/>
      <c r="N155" s="953"/>
      <c r="O155" s="1040"/>
    </row>
    <row r="156" spans="2:15">
      <c r="B156" s="1041">
        <v>46411</v>
      </c>
      <c r="C156" s="1034" t="str">
        <f>CHOOSE(WEEKDAY(tblDias[[#This Row],[Fecha]],2),"lun","mar","mié","jue","vie","sáb","dom")</f>
        <v>dom</v>
      </c>
      <c r="D156" s="1039" t="s">
        <v>9256</v>
      </c>
      <c r="E156" s="1035">
        <f>COUNTIFS(tblConcentrado[Fecha],tblDias[[#This Row],[Fecha]])</f>
        <v>0</v>
      </c>
      <c r="F156" s="1035">
        <f t="shared" si="2"/>
        <v>24</v>
      </c>
      <c r="G156" s="1036">
        <f>IF(tblDias[[#This Row],[Horas esperadas]]=0,0,tblDias[[#This Row],[Horas cargadas]]/tblDias[[#This Row],[Horas esperadas]])</f>
        <v>0</v>
      </c>
      <c r="H156" s="1035" t="str">
        <f ca="1">IF(tblDias[[#This Row],[Fecha]]&gt;TODAY(),"Pendiente",IF(tblDias[[#This Row],[Horas cargadas]]=0,"Sin datos",IF(tblDias[[#This Row],[Horas cargadas]]&lt;tblDias[[#This Row],[Horas esperadas]],"Parcial","Completo")))</f>
        <v>Pendiente</v>
      </c>
      <c r="I156" s="1037">
        <f>COUNTIFS(tblRDO[Fecha],tblDias[[#This Row],[Fecha]])</f>
        <v>0</v>
      </c>
      <c r="J156" s="1038" t="str">
        <f ca="1">IF(tblDias[[#This Row],[Fecha]]&gt;TODAY(),"Pendiente",IF(tblDias[[#This Row],[Filas RDO]]=0,"Sin RDO","Cargado"))</f>
        <v>Pendiente</v>
      </c>
      <c r="K156" s="972">
        <f>COUNTIFS(tblControles[Fecha],tblDias[[#This Row],[Fecha]],tblControles[Turno],"&lt;&gt;Obs")</f>
        <v>0</v>
      </c>
      <c r="L156" s="971">
        <f>SUMIFS(tblParadas[Horas perdidas],tblParadas[Fecha],tblDias[[#This Row],[Fecha]])</f>
        <v>0</v>
      </c>
      <c r="M156" s="1040"/>
      <c r="N156" s="953"/>
      <c r="O156" s="1040"/>
    </row>
    <row r="157" spans="2:15">
      <c r="B157" s="1041">
        <v>46412</v>
      </c>
      <c r="C157" s="1034" t="str">
        <f>CHOOSE(WEEKDAY(tblDias[[#This Row],[Fecha]],2),"lun","mar","mié","jue","vie","sáb","dom")</f>
        <v>lun</v>
      </c>
      <c r="D157" s="1039" t="s">
        <v>9256</v>
      </c>
      <c r="E157" s="1035">
        <f>COUNTIFS(tblConcentrado[Fecha],tblDias[[#This Row],[Fecha]])</f>
        <v>0</v>
      </c>
      <c r="F157" s="1035">
        <f t="shared" si="2"/>
        <v>24</v>
      </c>
      <c r="G157" s="1036">
        <f>IF(tblDias[[#This Row],[Horas esperadas]]=0,0,tblDias[[#This Row],[Horas cargadas]]/tblDias[[#This Row],[Horas esperadas]])</f>
        <v>0</v>
      </c>
      <c r="H157" s="1035" t="str">
        <f ca="1">IF(tblDias[[#This Row],[Fecha]]&gt;TODAY(),"Pendiente",IF(tblDias[[#This Row],[Horas cargadas]]=0,"Sin datos",IF(tblDias[[#This Row],[Horas cargadas]]&lt;tblDias[[#This Row],[Horas esperadas]],"Parcial","Completo")))</f>
        <v>Pendiente</v>
      </c>
      <c r="I157" s="1037">
        <f>COUNTIFS(tblRDO[Fecha],tblDias[[#This Row],[Fecha]])</f>
        <v>0</v>
      </c>
      <c r="J157" s="1038" t="str">
        <f ca="1">IF(tblDias[[#This Row],[Fecha]]&gt;TODAY(),"Pendiente",IF(tblDias[[#This Row],[Filas RDO]]=0,"Sin RDO","Cargado"))</f>
        <v>Pendiente</v>
      </c>
      <c r="K157" s="972">
        <f>COUNTIFS(tblControles[Fecha],tblDias[[#This Row],[Fecha]],tblControles[Turno],"&lt;&gt;Obs")</f>
        <v>0</v>
      </c>
      <c r="L157" s="971">
        <f>SUMIFS(tblParadas[Horas perdidas],tblParadas[Fecha],tblDias[[#This Row],[Fecha]])</f>
        <v>0</v>
      </c>
      <c r="M157" s="1040"/>
      <c r="N157" s="953"/>
      <c r="O157" s="1040"/>
    </row>
    <row r="158" spans="2:15">
      <c r="B158" s="1041">
        <v>46413</v>
      </c>
      <c r="C158" s="1034" t="str">
        <f>CHOOSE(WEEKDAY(tblDias[[#This Row],[Fecha]],2),"lun","mar","mié","jue","vie","sáb","dom")</f>
        <v>mar</v>
      </c>
      <c r="D158" s="1039" t="s">
        <v>9256</v>
      </c>
      <c r="E158" s="1035">
        <f>COUNTIFS(tblConcentrado[Fecha],tblDias[[#This Row],[Fecha]])</f>
        <v>0</v>
      </c>
      <c r="F158" s="1035">
        <f t="shared" si="2"/>
        <v>24</v>
      </c>
      <c r="G158" s="1036">
        <f>IF(tblDias[[#This Row],[Horas esperadas]]=0,0,tblDias[[#This Row],[Horas cargadas]]/tblDias[[#This Row],[Horas esperadas]])</f>
        <v>0</v>
      </c>
      <c r="H158" s="1035" t="str">
        <f ca="1">IF(tblDias[[#This Row],[Fecha]]&gt;TODAY(),"Pendiente",IF(tblDias[[#This Row],[Horas cargadas]]=0,"Sin datos",IF(tblDias[[#This Row],[Horas cargadas]]&lt;tblDias[[#This Row],[Horas esperadas]],"Parcial","Completo")))</f>
        <v>Pendiente</v>
      </c>
      <c r="I158" s="1037">
        <f>COUNTIFS(tblRDO[Fecha],tblDias[[#This Row],[Fecha]])</f>
        <v>0</v>
      </c>
      <c r="J158" s="1038" t="str">
        <f ca="1">IF(tblDias[[#This Row],[Fecha]]&gt;TODAY(),"Pendiente",IF(tblDias[[#This Row],[Filas RDO]]=0,"Sin RDO","Cargado"))</f>
        <v>Pendiente</v>
      </c>
      <c r="K158" s="972">
        <f>COUNTIFS(tblControles[Fecha],tblDias[[#This Row],[Fecha]],tblControles[Turno],"&lt;&gt;Obs")</f>
        <v>0</v>
      </c>
      <c r="L158" s="971">
        <f>SUMIFS(tblParadas[Horas perdidas],tblParadas[Fecha],tblDias[[#This Row],[Fecha]])</f>
        <v>0</v>
      </c>
      <c r="M158" s="1040"/>
      <c r="N158" s="953"/>
      <c r="O158" s="1040"/>
    </row>
    <row r="159" spans="2:15">
      <c r="B159" s="1041">
        <v>46414</v>
      </c>
      <c r="C159" s="1034" t="str">
        <f>CHOOSE(WEEKDAY(tblDias[[#This Row],[Fecha]],2),"lun","mar","mié","jue","vie","sáb","dom")</f>
        <v>mié</v>
      </c>
      <c r="D159" s="1039" t="s">
        <v>9256</v>
      </c>
      <c r="E159" s="1035">
        <f>COUNTIFS(tblConcentrado[Fecha],tblDias[[#This Row],[Fecha]])</f>
        <v>0</v>
      </c>
      <c r="F159" s="1035">
        <f t="shared" si="2"/>
        <v>24</v>
      </c>
      <c r="G159" s="1036">
        <f>IF(tblDias[[#This Row],[Horas esperadas]]=0,0,tblDias[[#This Row],[Horas cargadas]]/tblDias[[#This Row],[Horas esperadas]])</f>
        <v>0</v>
      </c>
      <c r="H159" s="1035" t="str">
        <f ca="1">IF(tblDias[[#This Row],[Fecha]]&gt;TODAY(),"Pendiente",IF(tblDias[[#This Row],[Horas cargadas]]=0,"Sin datos",IF(tblDias[[#This Row],[Horas cargadas]]&lt;tblDias[[#This Row],[Horas esperadas]],"Parcial","Completo")))</f>
        <v>Pendiente</v>
      </c>
      <c r="I159" s="1037">
        <f>COUNTIFS(tblRDO[Fecha],tblDias[[#This Row],[Fecha]])</f>
        <v>0</v>
      </c>
      <c r="J159" s="1038" t="str">
        <f ca="1">IF(tblDias[[#This Row],[Fecha]]&gt;TODAY(),"Pendiente",IF(tblDias[[#This Row],[Filas RDO]]=0,"Sin RDO","Cargado"))</f>
        <v>Pendiente</v>
      </c>
      <c r="K159" s="972">
        <f>COUNTIFS(tblControles[Fecha],tblDias[[#This Row],[Fecha]],tblControles[Turno],"&lt;&gt;Obs")</f>
        <v>0</v>
      </c>
      <c r="L159" s="971">
        <f>SUMIFS(tblParadas[Horas perdidas],tblParadas[Fecha],tblDias[[#This Row],[Fecha]])</f>
        <v>0</v>
      </c>
      <c r="M159" s="1040"/>
      <c r="N159" s="953"/>
      <c r="O159" s="1040"/>
    </row>
    <row r="160" spans="2:15">
      <c r="B160" s="1041">
        <v>46415</v>
      </c>
      <c r="C160" s="1034" t="str">
        <f>CHOOSE(WEEKDAY(tblDias[[#This Row],[Fecha]],2),"lun","mar","mié","jue","vie","sáb","dom")</f>
        <v>jue</v>
      </c>
      <c r="D160" s="1039" t="s">
        <v>9256</v>
      </c>
      <c r="E160" s="1035">
        <f>COUNTIFS(tblConcentrado[Fecha],tblDias[[#This Row],[Fecha]])</f>
        <v>0</v>
      </c>
      <c r="F160" s="1035">
        <f t="shared" si="2"/>
        <v>24</v>
      </c>
      <c r="G160" s="1036">
        <f>IF(tblDias[[#This Row],[Horas esperadas]]=0,0,tblDias[[#This Row],[Horas cargadas]]/tblDias[[#This Row],[Horas esperadas]])</f>
        <v>0</v>
      </c>
      <c r="H160" s="1035" t="str">
        <f ca="1">IF(tblDias[[#This Row],[Fecha]]&gt;TODAY(),"Pendiente",IF(tblDias[[#This Row],[Horas cargadas]]=0,"Sin datos",IF(tblDias[[#This Row],[Horas cargadas]]&lt;tblDias[[#This Row],[Horas esperadas]],"Parcial","Completo")))</f>
        <v>Pendiente</v>
      </c>
      <c r="I160" s="1037">
        <f>COUNTIFS(tblRDO[Fecha],tblDias[[#This Row],[Fecha]])</f>
        <v>0</v>
      </c>
      <c r="J160" s="1038" t="str">
        <f ca="1">IF(tblDias[[#This Row],[Fecha]]&gt;TODAY(),"Pendiente",IF(tblDias[[#This Row],[Filas RDO]]=0,"Sin RDO","Cargado"))</f>
        <v>Pendiente</v>
      </c>
      <c r="K160" s="972">
        <f>COUNTIFS(tblControles[Fecha],tblDias[[#This Row],[Fecha]],tblControles[Turno],"&lt;&gt;Obs")</f>
        <v>0</v>
      </c>
      <c r="L160" s="971">
        <f>SUMIFS(tblParadas[Horas perdidas],tblParadas[Fecha],tblDias[[#This Row],[Fecha]])</f>
        <v>0</v>
      </c>
      <c r="M160" s="1040"/>
      <c r="N160" s="953"/>
      <c r="O160" s="1040"/>
    </row>
    <row r="161" spans="2:15">
      <c r="B161" s="1041">
        <v>46416</v>
      </c>
      <c r="C161" s="1034" t="str">
        <f>CHOOSE(WEEKDAY(tblDias[[#This Row],[Fecha]],2),"lun","mar","mié","jue","vie","sáb","dom")</f>
        <v>vie</v>
      </c>
      <c r="D161" s="1039" t="s">
        <v>9256</v>
      </c>
      <c r="E161" s="1035">
        <f>COUNTIFS(tblConcentrado[Fecha],tblDias[[#This Row],[Fecha]])</f>
        <v>0</v>
      </c>
      <c r="F161" s="1035">
        <f t="shared" si="2"/>
        <v>24</v>
      </c>
      <c r="G161" s="1036">
        <f>IF(tblDias[[#This Row],[Horas esperadas]]=0,0,tblDias[[#This Row],[Horas cargadas]]/tblDias[[#This Row],[Horas esperadas]])</f>
        <v>0</v>
      </c>
      <c r="H161" s="1035" t="str">
        <f ca="1">IF(tblDias[[#This Row],[Fecha]]&gt;TODAY(),"Pendiente",IF(tblDias[[#This Row],[Horas cargadas]]=0,"Sin datos",IF(tblDias[[#This Row],[Horas cargadas]]&lt;tblDias[[#This Row],[Horas esperadas]],"Parcial","Completo")))</f>
        <v>Pendiente</v>
      </c>
      <c r="I161" s="1037">
        <f>COUNTIFS(tblRDO[Fecha],tblDias[[#This Row],[Fecha]])</f>
        <v>0</v>
      </c>
      <c r="J161" s="1038" t="str">
        <f ca="1">IF(tblDias[[#This Row],[Fecha]]&gt;TODAY(),"Pendiente",IF(tblDias[[#This Row],[Filas RDO]]=0,"Sin RDO","Cargado"))</f>
        <v>Pendiente</v>
      </c>
      <c r="K161" s="972">
        <f>COUNTIFS(tblControles[Fecha],tblDias[[#This Row],[Fecha]],tblControles[Turno],"&lt;&gt;Obs")</f>
        <v>0</v>
      </c>
      <c r="L161" s="971">
        <f>SUMIFS(tblParadas[Horas perdidas],tblParadas[Fecha],tblDias[[#This Row],[Fecha]])</f>
        <v>0</v>
      </c>
      <c r="M161" s="1040"/>
      <c r="N161" s="953"/>
      <c r="O161" s="1040"/>
    </row>
    <row r="162" spans="2:15">
      <c r="B162" s="1041">
        <v>46417</v>
      </c>
      <c r="C162" s="1034" t="str">
        <f>CHOOSE(WEEKDAY(tblDias[[#This Row],[Fecha]],2),"lun","mar","mié","jue","vie","sáb","dom")</f>
        <v>sáb</v>
      </c>
      <c r="D162" s="1039" t="s">
        <v>9256</v>
      </c>
      <c r="E162" s="1035">
        <f>COUNTIFS(tblConcentrado[Fecha],tblDias[[#This Row],[Fecha]])</f>
        <v>0</v>
      </c>
      <c r="F162" s="1035">
        <f t="shared" si="2"/>
        <v>24</v>
      </c>
      <c r="G162" s="1036">
        <f>IF(tblDias[[#This Row],[Horas esperadas]]=0,0,tblDias[[#This Row],[Horas cargadas]]/tblDias[[#This Row],[Horas esperadas]])</f>
        <v>0</v>
      </c>
      <c r="H162" s="1035" t="str">
        <f ca="1">IF(tblDias[[#This Row],[Fecha]]&gt;TODAY(),"Pendiente",IF(tblDias[[#This Row],[Horas cargadas]]=0,"Sin datos",IF(tblDias[[#This Row],[Horas cargadas]]&lt;tblDias[[#This Row],[Horas esperadas]],"Parcial","Completo")))</f>
        <v>Pendiente</v>
      </c>
      <c r="I162" s="1037">
        <f>COUNTIFS(tblRDO[Fecha],tblDias[[#This Row],[Fecha]])</f>
        <v>0</v>
      </c>
      <c r="J162" s="1038" t="str">
        <f ca="1">IF(tblDias[[#This Row],[Fecha]]&gt;TODAY(),"Pendiente",IF(tblDias[[#This Row],[Filas RDO]]=0,"Sin RDO","Cargado"))</f>
        <v>Pendiente</v>
      </c>
      <c r="K162" s="972">
        <f>COUNTIFS(tblControles[Fecha],tblDias[[#This Row],[Fecha]],tblControles[Turno],"&lt;&gt;Obs")</f>
        <v>0</v>
      </c>
      <c r="L162" s="971">
        <f>SUMIFS(tblParadas[Horas perdidas],tblParadas[Fecha],tblDias[[#This Row],[Fecha]])</f>
        <v>0</v>
      </c>
      <c r="M162" s="1040"/>
      <c r="N162" s="953"/>
      <c r="O162" s="1040"/>
    </row>
    <row r="163" spans="2:15">
      <c r="B163" s="1041">
        <v>46418</v>
      </c>
      <c r="C163" s="1034" t="str">
        <f>CHOOSE(WEEKDAY(tblDias[[#This Row],[Fecha]],2),"lun","mar","mié","jue","vie","sáb","dom")</f>
        <v>dom</v>
      </c>
      <c r="D163" s="1039" t="s">
        <v>9256</v>
      </c>
      <c r="E163" s="1035">
        <f>COUNTIFS(tblConcentrado[Fecha],tblDias[[#This Row],[Fecha]])</f>
        <v>0</v>
      </c>
      <c r="F163" s="1035">
        <f t="shared" si="2"/>
        <v>24</v>
      </c>
      <c r="G163" s="1036">
        <f>IF(tblDias[[#This Row],[Horas esperadas]]=0,0,tblDias[[#This Row],[Horas cargadas]]/tblDias[[#This Row],[Horas esperadas]])</f>
        <v>0</v>
      </c>
      <c r="H163" s="1035" t="str">
        <f ca="1">IF(tblDias[[#This Row],[Fecha]]&gt;TODAY(),"Pendiente",IF(tblDias[[#This Row],[Horas cargadas]]=0,"Sin datos",IF(tblDias[[#This Row],[Horas cargadas]]&lt;tblDias[[#This Row],[Horas esperadas]],"Parcial","Completo")))</f>
        <v>Pendiente</v>
      </c>
      <c r="I163" s="1037">
        <f>COUNTIFS(tblRDO[Fecha],tblDias[[#This Row],[Fecha]])</f>
        <v>0</v>
      </c>
      <c r="J163" s="1038" t="str">
        <f ca="1">IF(tblDias[[#This Row],[Fecha]]&gt;TODAY(),"Pendiente",IF(tblDias[[#This Row],[Filas RDO]]=0,"Sin RDO","Cargado"))</f>
        <v>Pendiente</v>
      </c>
      <c r="K163" s="972">
        <f>COUNTIFS(tblControles[Fecha],tblDias[[#This Row],[Fecha]],tblControles[Turno],"&lt;&gt;Obs")</f>
        <v>0</v>
      </c>
      <c r="L163" s="971">
        <f>SUMIFS(tblParadas[Horas perdidas],tblParadas[Fecha],tblDias[[#This Row],[Fecha]])</f>
        <v>0</v>
      </c>
      <c r="M163" s="1040"/>
      <c r="N163" s="953"/>
      <c r="O163" s="1040"/>
    </row>
    <row r="164" spans="2:15">
      <c r="B164" s="1041">
        <v>46419</v>
      </c>
      <c r="C164" s="1034" t="str">
        <f>CHOOSE(WEEKDAY(tblDias[[#This Row],[Fecha]],2),"lun","mar","mié","jue","vie","sáb","dom")</f>
        <v>lun</v>
      </c>
      <c r="D164" s="1039" t="s">
        <v>9256</v>
      </c>
      <c r="E164" s="1035">
        <f>COUNTIFS(tblConcentrado[Fecha],tblDias[[#This Row],[Fecha]])</f>
        <v>0</v>
      </c>
      <c r="F164" s="1035">
        <f t="shared" si="2"/>
        <v>24</v>
      </c>
      <c r="G164" s="1036">
        <f>IF(tblDias[[#This Row],[Horas esperadas]]=0,0,tblDias[[#This Row],[Horas cargadas]]/tblDias[[#This Row],[Horas esperadas]])</f>
        <v>0</v>
      </c>
      <c r="H164" s="1035" t="str">
        <f ca="1">IF(tblDias[[#This Row],[Fecha]]&gt;TODAY(),"Pendiente",IF(tblDias[[#This Row],[Horas cargadas]]=0,"Sin datos",IF(tblDias[[#This Row],[Horas cargadas]]&lt;tblDias[[#This Row],[Horas esperadas]],"Parcial","Completo")))</f>
        <v>Pendiente</v>
      </c>
      <c r="I164" s="1037">
        <f>COUNTIFS(tblRDO[Fecha],tblDias[[#This Row],[Fecha]])</f>
        <v>0</v>
      </c>
      <c r="J164" s="1038" t="str">
        <f ca="1">IF(tblDias[[#This Row],[Fecha]]&gt;TODAY(),"Pendiente",IF(tblDias[[#This Row],[Filas RDO]]=0,"Sin RDO","Cargado"))</f>
        <v>Pendiente</v>
      </c>
      <c r="K164" s="972">
        <f>COUNTIFS(tblControles[Fecha],tblDias[[#This Row],[Fecha]],tblControles[Turno],"&lt;&gt;Obs")</f>
        <v>0</v>
      </c>
      <c r="L164" s="971">
        <f>SUMIFS(tblParadas[Horas perdidas],tblParadas[Fecha],tblDias[[#This Row],[Fecha]])</f>
        <v>0</v>
      </c>
      <c r="M164" s="1040"/>
      <c r="N164" s="953"/>
      <c r="O164" s="1040"/>
    </row>
    <row r="165" spans="2:15">
      <c r="B165" s="1041">
        <v>46420</v>
      </c>
      <c r="C165" s="1034" t="str">
        <f>CHOOSE(WEEKDAY(tblDias[[#This Row],[Fecha]],2),"lun","mar","mié","jue","vie","sáb","dom")</f>
        <v>mar</v>
      </c>
      <c r="D165" s="1039" t="s">
        <v>9256</v>
      </c>
      <c r="E165" s="1035">
        <f>COUNTIFS(tblConcentrado[Fecha],tblDias[[#This Row],[Fecha]])</f>
        <v>0</v>
      </c>
      <c r="F165" s="1035">
        <f t="shared" si="2"/>
        <v>24</v>
      </c>
      <c r="G165" s="1036">
        <f>IF(tblDias[[#This Row],[Horas esperadas]]=0,0,tblDias[[#This Row],[Horas cargadas]]/tblDias[[#This Row],[Horas esperadas]])</f>
        <v>0</v>
      </c>
      <c r="H165" s="1035" t="str">
        <f ca="1">IF(tblDias[[#This Row],[Fecha]]&gt;TODAY(),"Pendiente",IF(tblDias[[#This Row],[Horas cargadas]]=0,"Sin datos",IF(tblDias[[#This Row],[Horas cargadas]]&lt;tblDias[[#This Row],[Horas esperadas]],"Parcial","Completo")))</f>
        <v>Pendiente</v>
      </c>
      <c r="I165" s="1037">
        <f>COUNTIFS(tblRDO[Fecha],tblDias[[#This Row],[Fecha]])</f>
        <v>0</v>
      </c>
      <c r="J165" s="1038" t="str">
        <f ca="1">IF(tblDias[[#This Row],[Fecha]]&gt;TODAY(),"Pendiente",IF(tblDias[[#This Row],[Filas RDO]]=0,"Sin RDO","Cargado"))</f>
        <v>Pendiente</v>
      </c>
      <c r="K165" s="972">
        <f>COUNTIFS(tblControles[Fecha],tblDias[[#This Row],[Fecha]],tblControles[Turno],"&lt;&gt;Obs")</f>
        <v>0</v>
      </c>
      <c r="L165" s="971">
        <f>SUMIFS(tblParadas[Horas perdidas],tblParadas[Fecha],tblDias[[#This Row],[Fecha]])</f>
        <v>0</v>
      </c>
      <c r="M165" s="1040"/>
      <c r="N165" s="953"/>
      <c r="O165" s="1040"/>
    </row>
    <row r="166" spans="2:15">
      <c r="B166" s="1041">
        <v>46421</v>
      </c>
      <c r="C166" s="1034" t="str">
        <f>CHOOSE(WEEKDAY(tblDias[[#This Row],[Fecha]],2),"lun","mar","mié","jue","vie","sáb","dom")</f>
        <v>mié</v>
      </c>
      <c r="D166" s="1039" t="s">
        <v>9256</v>
      </c>
      <c r="E166" s="1035">
        <f>COUNTIFS(tblConcentrado[Fecha],tblDias[[#This Row],[Fecha]])</f>
        <v>0</v>
      </c>
      <c r="F166" s="1035">
        <f t="shared" si="2"/>
        <v>24</v>
      </c>
      <c r="G166" s="1036">
        <f>IF(tblDias[[#This Row],[Horas esperadas]]=0,0,tblDias[[#This Row],[Horas cargadas]]/tblDias[[#This Row],[Horas esperadas]])</f>
        <v>0</v>
      </c>
      <c r="H166" s="1035" t="str">
        <f ca="1">IF(tblDias[[#This Row],[Fecha]]&gt;TODAY(),"Pendiente",IF(tblDias[[#This Row],[Horas cargadas]]=0,"Sin datos",IF(tblDias[[#This Row],[Horas cargadas]]&lt;tblDias[[#This Row],[Horas esperadas]],"Parcial","Completo")))</f>
        <v>Pendiente</v>
      </c>
      <c r="I166" s="1037">
        <f>COUNTIFS(tblRDO[Fecha],tblDias[[#This Row],[Fecha]])</f>
        <v>0</v>
      </c>
      <c r="J166" s="1038" t="str">
        <f ca="1">IF(tblDias[[#This Row],[Fecha]]&gt;TODAY(),"Pendiente",IF(tblDias[[#This Row],[Filas RDO]]=0,"Sin RDO","Cargado"))</f>
        <v>Pendiente</v>
      </c>
      <c r="K166" s="972">
        <f>COUNTIFS(tblControles[Fecha],tblDias[[#This Row],[Fecha]],tblControles[Turno],"&lt;&gt;Obs")</f>
        <v>0</v>
      </c>
      <c r="L166" s="971">
        <f>SUMIFS(tblParadas[Horas perdidas],tblParadas[Fecha],tblDias[[#This Row],[Fecha]])</f>
        <v>0</v>
      </c>
      <c r="M166" s="1040"/>
      <c r="N166" s="953"/>
      <c r="O166" s="1040"/>
    </row>
    <row r="167" spans="2:15">
      <c r="B167" s="1041">
        <v>46422</v>
      </c>
      <c r="C167" s="1034" t="str">
        <f>CHOOSE(WEEKDAY(tblDias[[#This Row],[Fecha]],2),"lun","mar","mié","jue","vie","sáb","dom")</f>
        <v>jue</v>
      </c>
      <c r="D167" s="1039" t="s">
        <v>9256</v>
      </c>
      <c r="E167" s="1035">
        <f>COUNTIFS(tblConcentrado[Fecha],tblDias[[#This Row],[Fecha]])</f>
        <v>0</v>
      </c>
      <c r="F167" s="1035">
        <f t="shared" si="2"/>
        <v>24</v>
      </c>
      <c r="G167" s="1036">
        <f>IF(tblDias[[#This Row],[Horas esperadas]]=0,0,tblDias[[#This Row],[Horas cargadas]]/tblDias[[#This Row],[Horas esperadas]])</f>
        <v>0</v>
      </c>
      <c r="H167" s="1035" t="str">
        <f ca="1">IF(tblDias[[#This Row],[Fecha]]&gt;TODAY(),"Pendiente",IF(tblDias[[#This Row],[Horas cargadas]]=0,"Sin datos",IF(tblDias[[#This Row],[Horas cargadas]]&lt;tblDias[[#This Row],[Horas esperadas]],"Parcial","Completo")))</f>
        <v>Pendiente</v>
      </c>
      <c r="I167" s="1037">
        <f>COUNTIFS(tblRDO[Fecha],tblDias[[#This Row],[Fecha]])</f>
        <v>0</v>
      </c>
      <c r="J167" s="1038" t="str">
        <f ca="1">IF(tblDias[[#This Row],[Fecha]]&gt;TODAY(),"Pendiente",IF(tblDias[[#This Row],[Filas RDO]]=0,"Sin RDO","Cargado"))</f>
        <v>Pendiente</v>
      </c>
      <c r="K167" s="972">
        <f>COUNTIFS(tblControles[Fecha],tblDias[[#This Row],[Fecha]],tblControles[Turno],"&lt;&gt;Obs")</f>
        <v>0</v>
      </c>
      <c r="L167" s="971">
        <f>SUMIFS(tblParadas[Horas perdidas],tblParadas[Fecha],tblDias[[#This Row],[Fecha]])</f>
        <v>0</v>
      </c>
      <c r="M167" s="1040"/>
      <c r="N167" s="953"/>
      <c r="O167" s="1040"/>
    </row>
    <row r="168" spans="2:15">
      <c r="B168" s="1041">
        <v>46423</v>
      </c>
      <c r="C168" s="1034" t="str">
        <f>CHOOSE(WEEKDAY(tblDias[[#This Row],[Fecha]],2),"lun","mar","mié","jue","vie","sáb","dom")</f>
        <v>vie</v>
      </c>
      <c r="D168" s="1039" t="s">
        <v>9256</v>
      </c>
      <c r="E168" s="1035">
        <f>COUNTIFS(tblConcentrado[Fecha],tblDias[[#This Row],[Fecha]])</f>
        <v>0</v>
      </c>
      <c r="F168" s="1035">
        <f t="shared" si="2"/>
        <v>24</v>
      </c>
      <c r="G168" s="1036">
        <f>IF(tblDias[[#This Row],[Horas esperadas]]=0,0,tblDias[[#This Row],[Horas cargadas]]/tblDias[[#This Row],[Horas esperadas]])</f>
        <v>0</v>
      </c>
      <c r="H168" s="1035" t="str">
        <f ca="1">IF(tblDias[[#This Row],[Fecha]]&gt;TODAY(),"Pendiente",IF(tblDias[[#This Row],[Horas cargadas]]=0,"Sin datos",IF(tblDias[[#This Row],[Horas cargadas]]&lt;tblDias[[#This Row],[Horas esperadas]],"Parcial","Completo")))</f>
        <v>Pendiente</v>
      </c>
      <c r="I168" s="1037">
        <f>COUNTIFS(tblRDO[Fecha],tblDias[[#This Row],[Fecha]])</f>
        <v>0</v>
      </c>
      <c r="J168" s="1038" t="str">
        <f ca="1">IF(tblDias[[#This Row],[Fecha]]&gt;TODAY(),"Pendiente",IF(tblDias[[#This Row],[Filas RDO]]=0,"Sin RDO","Cargado"))</f>
        <v>Pendiente</v>
      </c>
      <c r="K168" s="972">
        <f>COUNTIFS(tblControles[Fecha],tblDias[[#This Row],[Fecha]],tblControles[Turno],"&lt;&gt;Obs")</f>
        <v>0</v>
      </c>
      <c r="L168" s="971">
        <f>SUMIFS(tblParadas[Horas perdidas],tblParadas[Fecha],tblDias[[#This Row],[Fecha]])</f>
        <v>0</v>
      </c>
      <c r="M168" s="1040"/>
      <c r="N168" s="953"/>
      <c r="O168" s="1040"/>
    </row>
    <row r="169" spans="2:15">
      <c r="B169" s="1041">
        <v>46424</v>
      </c>
      <c r="C169" s="1034" t="str">
        <f>CHOOSE(WEEKDAY(tblDias[[#This Row],[Fecha]],2),"lun","mar","mié","jue","vie","sáb","dom")</f>
        <v>sáb</v>
      </c>
      <c r="D169" s="1039" t="s">
        <v>9256</v>
      </c>
      <c r="E169" s="1035">
        <f>COUNTIFS(tblConcentrado[Fecha],tblDias[[#This Row],[Fecha]])</f>
        <v>0</v>
      </c>
      <c r="F169" s="1035">
        <f t="shared" si="2"/>
        <v>24</v>
      </c>
      <c r="G169" s="1036">
        <f>IF(tblDias[[#This Row],[Horas esperadas]]=0,0,tblDias[[#This Row],[Horas cargadas]]/tblDias[[#This Row],[Horas esperadas]])</f>
        <v>0</v>
      </c>
      <c r="H169" s="1035" t="str">
        <f ca="1">IF(tblDias[[#This Row],[Fecha]]&gt;TODAY(),"Pendiente",IF(tblDias[[#This Row],[Horas cargadas]]=0,"Sin datos",IF(tblDias[[#This Row],[Horas cargadas]]&lt;tblDias[[#This Row],[Horas esperadas]],"Parcial","Completo")))</f>
        <v>Pendiente</v>
      </c>
      <c r="I169" s="1037">
        <f>COUNTIFS(tblRDO[Fecha],tblDias[[#This Row],[Fecha]])</f>
        <v>0</v>
      </c>
      <c r="J169" s="1038" t="str">
        <f ca="1">IF(tblDias[[#This Row],[Fecha]]&gt;TODAY(),"Pendiente",IF(tblDias[[#This Row],[Filas RDO]]=0,"Sin RDO","Cargado"))</f>
        <v>Pendiente</v>
      </c>
      <c r="K169" s="972">
        <f>COUNTIFS(tblControles[Fecha],tblDias[[#This Row],[Fecha]],tblControles[Turno],"&lt;&gt;Obs")</f>
        <v>0</v>
      </c>
      <c r="L169" s="971">
        <f>SUMIFS(tblParadas[Horas perdidas],tblParadas[Fecha],tblDias[[#This Row],[Fecha]])</f>
        <v>0</v>
      </c>
      <c r="M169" s="1040"/>
      <c r="N169" s="953"/>
      <c r="O169" s="1040"/>
    </row>
    <row r="170" spans="2:15">
      <c r="B170" s="1041">
        <v>46425</v>
      </c>
      <c r="C170" s="1034" t="str">
        <f>CHOOSE(WEEKDAY(tblDias[[#This Row],[Fecha]],2),"lun","mar","mié","jue","vie","sáb","dom")</f>
        <v>dom</v>
      </c>
      <c r="D170" s="1039" t="s">
        <v>9256</v>
      </c>
      <c r="E170" s="1035">
        <f>COUNTIFS(tblConcentrado[Fecha],tblDias[[#This Row],[Fecha]])</f>
        <v>0</v>
      </c>
      <c r="F170" s="1035">
        <f t="shared" si="2"/>
        <v>24</v>
      </c>
      <c r="G170" s="1036">
        <f>IF(tblDias[[#This Row],[Horas esperadas]]=0,0,tblDias[[#This Row],[Horas cargadas]]/tblDias[[#This Row],[Horas esperadas]])</f>
        <v>0</v>
      </c>
      <c r="H170" s="1035" t="str">
        <f ca="1">IF(tblDias[[#This Row],[Fecha]]&gt;TODAY(),"Pendiente",IF(tblDias[[#This Row],[Horas cargadas]]=0,"Sin datos",IF(tblDias[[#This Row],[Horas cargadas]]&lt;tblDias[[#This Row],[Horas esperadas]],"Parcial","Completo")))</f>
        <v>Pendiente</v>
      </c>
      <c r="I170" s="1037">
        <f>COUNTIFS(tblRDO[Fecha],tblDias[[#This Row],[Fecha]])</f>
        <v>0</v>
      </c>
      <c r="J170" s="1038" t="str">
        <f ca="1">IF(tblDias[[#This Row],[Fecha]]&gt;TODAY(),"Pendiente",IF(tblDias[[#This Row],[Filas RDO]]=0,"Sin RDO","Cargado"))</f>
        <v>Pendiente</v>
      </c>
      <c r="K170" s="972">
        <f>COUNTIFS(tblControles[Fecha],tblDias[[#This Row],[Fecha]],tblControles[Turno],"&lt;&gt;Obs")</f>
        <v>0</v>
      </c>
      <c r="L170" s="971">
        <f>SUMIFS(tblParadas[Horas perdidas],tblParadas[Fecha],tblDias[[#This Row],[Fecha]])</f>
        <v>0</v>
      </c>
      <c r="M170" s="1040"/>
      <c r="N170" s="953"/>
      <c r="O170" s="1040"/>
    </row>
    <row r="171" spans="2:15">
      <c r="B171" s="1041">
        <v>46426</v>
      </c>
      <c r="C171" s="1034" t="str">
        <f>CHOOSE(WEEKDAY(tblDias[[#This Row],[Fecha]],2),"lun","mar","mié","jue","vie","sáb","dom")</f>
        <v>lun</v>
      </c>
      <c r="D171" s="1039" t="s">
        <v>9256</v>
      </c>
      <c r="E171" s="1035">
        <f>COUNTIFS(tblConcentrado[Fecha],tblDias[[#This Row],[Fecha]])</f>
        <v>0</v>
      </c>
      <c r="F171" s="1035">
        <f t="shared" si="2"/>
        <v>24</v>
      </c>
      <c r="G171" s="1036">
        <f>IF(tblDias[[#This Row],[Horas esperadas]]=0,0,tblDias[[#This Row],[Horas cargadas]]/tblDias[[#This Row],[Horas esperadas]])</f>
        <v>0</v>
      </c>
      <c r="H171" s="1035" t="str">
        <f ca="1">IF(tblDias[[#This Row],[Fecha]]&gt;TODAY(),"Pendiente",IF(tblDias[[#This Row],[Horas cargadas]]=0,"Sin datos",IF(tblDias[[#This Row],[Horas cargadas]]&lt;tblDias[[#This Row],[Horas esperadas]],"Parcial","Completo")))</f>
        <v>Pendiente</v>
      </c>
      <c r="I171" s="1037">
        <f>COUNTIFS(tblRDO[Fecha],tblDias[[#This Row],[Fecha]])</f>
        <v>0</v>
      </c>
      <c r="J171" s="1038" t="str">
        <f ca="1">IF(tblDias[[#This Row],[Fecha]]&gt;TODAY(),"Pendiente",IF(tblDias[[#This Row],[Filas RDO]]=0,"Sin RDO","Cargado"))</f>
        <v>Pendiente</v>
      </c>
      <c r="K171" s="972">
        <f>COUNTIFS(tblControles[Fecha],tblDias[[#This Row],[Fecha]],tblControles[Turno],"&lt;&gt;Obs")</f>
        <v>0</v>
      </c>
      <c r="L171" s="971">
        <f>SUMIFS(tblParadas[Horas perdidas],tblParadas[Fecha],tblDias[[#This Row],[Fecha]])</f>
        <v>0</v>
      </c>
      <c r="M171" s="1040"/>
      <c r="N171" s="953"/>
      <c r="O171" s="1040"/>
    </row>
    <row r="172" spans="2:15">
      <c r="B172" s="1041">
        <v>46427</v>
      </c>
      <c r="C172" s="1034" t="str">
        <f>CHOOSE(WEEKDAY(tblDias[[#This Row],[Fecha]],2),"lun","mar","mié","jue","vie","sáb","dom")</f>
        <v>mar</v>
      </c>
      <c r="D172" s="1039" t="s">
        <v>9256</v>
      </c>
      <c r="E172" s="1035">
        <f>COUNTIFS(tblConcentrado[Fecha],tblDias[[#This Row],[Fecha]])</f>
        <v>0</v>
      </c>
      <c r="F172" s="1035">
        <f t="shared" si="2"/>
        <v>24</v>
      </c>
      <c r="G172" s="1036">
        <f>IF(tblDias[[#This Row],[Horas esperadas]]=0,0,tblDias[[#This Row],[Horas cargadas]]/tblDias[[#This Row],[Horas esperadas]])</f>
        <v>0</v>
      </c>
      <c r="H172" s="1035" t="str">
        <f ca="1">IF(tblDias[[#This Row],[Fecha]]&gt;TODAY(),"Pendiente",IF(tblDias[[#This Row],[Horas cargadas]]=0,"Sin datos",IF(tblDias[[#This Row],[Horas cargadas]]&lt;tblDias[[#This Row],[Horas esperadas]],"Parcial","Completo")))</f>
        <v>Pendiente</v>
      </c>
      <c r="I172" s="1037">
        <f>COUNTIFS(tblRDO[Fecha],tblDias[[#This Row],[Fecha]])</f>
        <v>0</v>
      </c>
      <c r="J172" s="1038" t="str">
        <f ca="1">IF(tblDias[[#This Row],[Fecha]]&gt;TODAY(),"Pendiente",IF(tblDias[[#This Row],[Filas RDO]]=0,"Sin RDO","Cargado"))</f>
        <v>Pendiente</v>
      </c>
      <c r="K172" s="972">
        <f>COUNTIFS(tblControles[Fecha],tblDias[[#This Row],[Fecha]],tblControles[Turno],"&lt;&gt;Obs")</f>
        <v>0</v>
      </c>
      <c r="L172" s="971">
        <f>SUMIFS(tblParadas[Horas perdidas],tblParadas[Fecha],tblDias[[#This Row],[Fecha]])</f>
        <v>0</v>
      </c>
      <c r="M172" s="1040"/>
      <c r="N172" s="953"/>
      <c r="O172" s="1040"/>
    </row>
    <row r="173" spans="2:15">
      <c r="B173" s="1041">
        <v>46428</v>
      </c>
      <c r="C173" s="1034" t="str">
        <f>CHOOSE(WEEKDAY(tblDias[[#This Row],[Fecha]],2),"lun","mar","mié","jue","vie","sáb","dom")</f>
        <v>mié</v>
      </c>
      <c r="D173" s="1039" t="s">
        <v>9256</v>
      </c>
      <c r="E173" s="1035">
        <f>COUNTIFS(tblConcentrado[Fecha],tblDias[[#This Row],[Fecha]])</f>
        <v>0</v>
      </c>
      <c r="F173" s="1035">
        <f t="shared" si="2"/>
        <v>24</v>
      </c>
      <c r="G173" s="1036">
        <f>IF(tblDias[[#This Row],[Horas esperadas]]=0,0,tblDias[[#This Row],[Horas cargadas]]/tblDias[[#This Row],[Horas esperadas]])</f>
        <v>0</v>
      </c>
      <c r="H173" s="1035" t="str">
        <f ca="1">IF(tblDias[[#This Row],[Fecha]]&gt;TODAY(),"Pendiente",IF(tblDias[[#This Row],[Horas cargadas]]=0,"Sin datos",IF(tblDias[[#This Row],[Horas cargadas]]&lt;tblDias[[#This Row],[Horas esperadas]],"Parcial","Completo")))</f>
        <v>Pendiente</v>
      </c>
      <c r="I173" s="1037">
        <f>COUNTIFS(tblRDO[Fecha],tblDias[[#This Row],[Fecha]])</f>
        <v>0</v>
      </c>
      <c r="J173" s="1038" t="str">
        <f ca="1">IF(tblDias[[#This Row],[Fecha]]&gt;TODAY(),"Pendiente",IF(tblDias[[#This Row],[Filas RDO]]=0,"Sin RDO","Cargado"))</f>
        <v>Pendiente</v>
      </c>
      <c r="K173" s="972">
        <f>COUNTIFS(tblControles[Fecha],tblDias[[#This Row],[Fecha]],tblControles[Turno],"&lt;&gt;Obs")</f>
        <v>0</v>
      </c>
      <c r="L173" s="971">
        <f>SUMIFS(tblParadas[Horas perdidas],tblParadas[Fecha],tblDias[[#This Row],[Fecha]])</f>
        <v>0</v>
      </c>
      <c r="M173" s="1040"/>
      <c r="N173" s="953"/>
      <c r="O173" s="1040"/>
    </row>
    <row r="174" spans="2:15">
      <c r="B174" s="1041">
        <v>46429</v>
      </c>
      <c r="C174" s="1034" t="str">
        <f>CHOOSE(WEEKDAY(tblDias[[#This Row],[Fecha]],2),"lun","mar","mié","jue","vie","sáb","dom")</f>
        <v>jue</v>
      </c>
      <c r="D174" s="1039" t="s">
        <v>9256</v>
      </c>
      <c r="E174" s="1035">
        <f>COUNTIFS(tblConcentrado[Fecha],tblDias[[#This Row],[Fecha]])</f>
        <v>0</v>
      </c>
      <c r="F174" s="1035">
        <f t="shared" si="2"/>
        <v>24</v>
      </c>
      <c r="G174" s="1036">
        <f>IF(tblDias[[#This Row],[Horas esperadas]]=0,0,tblDias[[#This Row],[Horas cargadas]]/tblDias[[#This Row],[Horas esperadas]])</f>
        <v>0</v>
      </c>
      <c r="H174" s="1035" t="str">
        <f ca="1">IF(tblDias[[#This Row],[Fecha]]&gt;TODAY(),"Pendiente",IF(tblDias[[#This Row],[Horas cargadas]]=0,"Sin datos",IF(tblDias[[#This Row],[Horas cargadas]]&lt;tblDias[[#This Row],[Horas esperadas]],"Parcial","Completo")))</f>
        <v>Pendiente</v>
      </c>
      <c r="I174" s="1037">
        <f>COUNTIFS(tblRDO[Fecha],tblDias[[#This Row],[Fecha]])</f>
        <v>0</v>
      </c>
      <c r="J174" s="1038" t="str">
        <f ca="1">IF(tblDias[[#This Row],[Fecha]]&gt;TODAY(),"Pendiente",IF(tblDias[[#This Row],[Filas RDO]]=0,"Sin RDO","Cargado"))</f>
        <v>Pendiente</v>
      </c>
      <c r="K174" s="972">
        <f>COUNTIFS(tblControles[Fecha],tblDias[[#This Row],[Fecha]],tblControles[Turno],"&lt;&gt;Obs")</f>
        <v>0</v>
      </c>
      <c r="L174" s="971">
        <f>SUMIFS(tblParadas[Horas perdidas],tblParadas[Fecha],tblDias[[#This Row],[Fecha]])</f>
        <v>0</v>
      </c>
      <c r="M174" s="1040"/>
      <c r="N174" s="953"/>
      <c r="O174" s="1040"/>
    </row>
    <row r="175" spans="2:15">
      <c r="B175" s="1041">
        <v>46430</v>
      </c>
      <c r="C175" s="1034" t="str">
        <f>CHOOSE(WEEKDAY(tblDias[[#This Row],[Fecha]],2),"lun","mar","mié","jue","vie","sáb","dom")</f>
        <v>vie</v>
      </c>
      <c r="D175" s="1039" t="s">
        <v>9256</v>
      </c>
      <c r="E175" s="1035">
        <f>COUNTIFS(tblConcentrado[Fecha],tblDias[[#This Row],[Fecha]])</f>
        <v>0</v>
      </c>
      <c r="F175" s="1035">
        <f t="shared" si="2"/>
        <v>24</v>
      </c>
      <c r="G175" s="1036">
        <f>IF(tblDias[[#This Row],[Horas esperadas]]=0,0,tblDias[[#This Row],[Horas cargadas]]/tblDias[[#This Row],[Horas esperadas]])</f>
        <v>0</v>
      </c>
      <c r="H175" s="1035" t="str">
        <f ca="1">IF(tblDias[[#This Row],[Fecha]]&gt;TODAY(),"Pendiente",IF(tblDias[[#This Row],[Horas cargadas]]=0,"Sin datos",IF(tblDias[[#This Row],[Horas cargadas]]&lt;tblDias[[#This Row],[Horas esperadas]],"Parcial","Completo")))</f>
        <v>Pendiente</v>
      </c>
      <c r="I175" s="1037">
        <f>COUNTIFS(tblRDO[Fecha],tblDias[[#This Row],[Fecha]])</f>
        <v>0</v>
      </c>
      <c r="J175" s="1038" t="str">
        <f ca="1">IF(tblDias[[#This Row],[Fecha]]&gt;TODAY(),"Pendiente",IF(tblDias[[#This Row],[Filas RDO]]=0,"Sin RDO","Cargado"))</f>
        <v>Pendiente</v>
      </c>
      <c r="K175" s="972">
        <f>COUNTIFS(tblControles[Fecha],tblDias[[#This Row],[Fecha]],tblControles[Turno],"&lt;&gt;Obs")</f>
        <v>0</v>
      </c>
      <c r="L175" s="971">
        <f>SUMIFS(tblParadas[Horas perdidas],tblParadas[Fecha],tblDias[[#This Row],[Fecha]])</f>
        <v>0</v>
      </c>
      <c r="M175" s="1040"/>
      <c r="N175" s="953"/>
      <c r="O175" s="1040"/>
    </row>
    <row r="176" spans="2:15">
      <c r="B176" s="1041">
        <v>46431</v>
      </c>
      <c r="C176" s="1034" t="str">
        <f>CHOOSE(WEEKDAY(tblDias[[#This Row],[Fecha]],2),"lun","mar","mié","jue","vie","sáb","dom")</f>
        <v>sáb</v>
      </c>
      <c r="D176" s="1039" t="s">
        <v>9256</v>
      </c>
      <c r="E176" s="1035">
        <f>COUNTIFS(tblConcentrado[Fecha],tblDias[[#This Row],[Fecha]])</f>
        <v>0</v>
      </c>
      <c r="F176" s="1035">
        <f t="shared" si="2"/>
        <v>24</v>
      </c>
      <c r="G176" s="1036">
        <f>IF(tblDias[[#This Row],[Horas esperadas]]=0,0,tblDias[[#This Row],[Horas cargadas]]/tblDias[[#This Row],[Horas esperadas]])</f>
        <v>0</v>
      </c>
      <c r="H176" s="1035" t="str">
        <f ca="1">IF(tblDias[[#This Row],[Fecha]]&gt;TODAY(),"Pendiente",IF(tblDias[[#This Row],[Horas cargadas]]=0,"Sin datos",IF(tblDias[[#This Row],[Horas cargadas]]&lt;tblDias[[#This Row],[Horas esperadas]],"Parcial","Completo")))</f>
        <v>Pendiente</v>
      </c>
      <c r="I176" s="1037">
        <f>COUNTIFS(tblRDO[Fecha],tblDias[[#This Row],[Fecha]])</f>
        <v>0</v>
      </c>
      <c r="J176" s="1038" t="str">
        <f ca="1">IF(tblDias[[#This Row],[Fecha]]&gt;TODAY(),"Pendiente",IF(tblDias[[#This Row],[Filas RDO]]=0,"Sin RDO","Cargado"))</f>
        <v>Pendiente</v>
      </c>
      <c r="K176" s="972">
        <f>COUNTIFS(tblControles[Fecha],tblDias[[#This Row],[Fecha]],tblControles[Turno],"&lt;&gt;Obs")</f>
        <v>0</v>
      </c>
      <c r="L176" s="971">
        <f>SUMIFS(tblParadas[Horas perdidas],tblParadas[Fecha],tblDias[[#This Row],[Fecha]])</f>
        <v>0</v>
      </c>
      <c r="M176" s="1040"/>
      <c r="N176" s="953"/>
      <c r="O176" s="1040"/>
    </row>
    <row r="177" spans="2:15">
      <c r="B177" s="1041">
        <v>46432</v>
      </c>
      <c r="C177" s="1034" t="str">
        <f>CHOOSE(WEEKDAY(tblDias[[#This Row],[Fecha]],2),"lun","mar","mié","jue","vie","sáb","dom")</f>
        <v>dom</v>
      </c>
      <c r="D177" s="1039" t="s">
        <v>9256</v>
      </c>
      <c r="E177" s="1035">
        <f>COUNTIFS(tblConcentrado[Fecha],tblDias[[#This Row],[Fecha]])</f>
        <v>0</v>
      </c>
      <c r="F177" s="1035">
        <f t="shared" si="2"/>
        <v>24</v>
      </c>
      <c r="G177" s="1036">
        <f>IF(tblDias[[#This Row],[Horas esperadas]]=0,0,tblDias[[#This Row],[Horas cargadas]]/tblDias[[#This Row],[Horas esperadas]])</f>
        <v>0</v>
      </c>
      <c r="H177" s="1035" t="str">
        <f ca="1">IF(tblDias[[#This Row],[Fecha]]&gt;TODAY(),"Pendiente",IF(tblDias[[#This Row],[Horas cargadas]]=0,"Sin datos",IF(tblDias[[#This Row],[Horas cargadas]]&lt;tblDias[[#This Row],[Horas esperadas]],"Parcial","Completo")))</f>
        <v>Pendiente</v>
      </c>
      <c r="I177" s="1037">
        <f>COUNTIFS(tblRDO[Fecha],tblDias[[#This Row],[Fecha]])</f>
        <v>0</v>
      </c>
      <c r="J177" s="1038" t="str">
        <f ca="1">IF(tblDias[[#This Row],[Fecha]]&gt;TODAY(),"Pendiente",IF(tblDias[[#This Row],[Filas RDO]]=0,"Sin RDO","Cargado"))</f>
        <v>Pendiente</v>
      </c>
      <c r="K177" s="972">
        <f>COUNTIFS(tblControles[Fecha],tblDias[[#This Row],[Fecha]],tblControles[Turno],"&lt;&gt;Obs")</f>
        <v>0</v>
      </c>
      <c r="L177" s="971">
        <f>SUMIFS(tblParadas[Horas perdidas],tblParadas[Fecha],tblDias[[#This Row],[Fecha]])</f>
        <v>0</v>
      </c>
      <c r="M177" s="1040"/>
      <c r="N177" s="953"/>
      <c r="O177" s="1040"/>
    </row>
    <row r="178" spans="2:15">
      <c r="B178" s="1041">
        <v>46433</v>
      </c>
      <c r="C178" s="1034" t="str">
        <f>CHOOSE(WEEKDAY(tblDias[[#This Row],[Fecha]],2),"lun","mar","mié","jue","vie","sáb","dom")</f>
        <v>lun</v>
      </c>
      <c r="D178" s="1039" t="s">
        <v>9256</v>
      </c>
      <c r="E178" s="1035">
        <f>COUNTIFS(tblConcentrado[Fecha],tblDias[[#This Row],[Fecha]])</f>
        <v>0</v>
      </c>
      <c r="F178" s="1035">
        <f t="shared" si="2"/>
        <v>24</v>
      </c>
      <c r="G178" s="1036">
        <f>IF(tblDias[[#This Row],[Horas esperadas]]=0,0,tblDias[[#This Row],[Horas cargadas]]/tblDias[[#This Row],[Horas esperadas]])</f>
        <v>0</v>
      </c>
      <c r="H178" s="1035" t="str">
        <f ca="1">IF(tblDias[[#This Row],[Fecha]]&gt;TODAY(),"Pendiente",IF(tblDias[[#This Row],[Horas cargadas]]=0,"Sin datos",IF(tblDias[[#This Row],[Horas cargadas]]&lt;tblDias[[#This Row],[Horas esperadas]],"Parcial","Completo")))</f>
        <v>Pendiente</v>
      </c>
      <c r="I178" s="1037">
        <f>COUNTIFS(tblRDO[Fecha],tblDias[[#This Row],[Fecha]])</f>
        <v>0</v>
      </c>
      <c r="J178" s="1038" t="str">
        <f ca="1">IF(tblDias[[#This Row],[Fecha]]&gt;TODAY(),"Pendiente",IF(tblDias[[#This Row],[Filas RDO]]=0,"Sin RDO","Cargado"))</f>
        <v>Pendiente</v>
      </c>
      <c r="K178" s="972">
        <f>COUNTIFS(tblControles[Fecha],tblDias[[#This Row],[Fecha]],tblControles[Turno],"&lt;&gt;Obs")</f>
        <v>0</v>
      </c>
      <c r="L178" s="971">
        <f>SUMIFS(tblParadas[Horas perdidas],tblParadas[Fecha],tblDias[[#This Row],[Fecha]])</f>
        <v>0</v>
      </c>
      <c r="M178" s="1040"/>
      <c r="N178" s="953"/>
      <c r="O178" s="1040"/>
    </row>
    <row r="179" spans="2:15">
      <c r="B179" s="1041">
        <v>46434</v>
      </c>
      <c r="C179" s="1034" t="str">
        <f>CHOOSE(WEEKDAY(tblDias[[#This Row],[Fecha]],2),"lun","mar","mié","jue","vie","sáb","dom")</f>
        <v>mar</v>
      </c>
      <c r="D179" s="1039" t="s">
        <v>9256</v>
      </c>
      <c r="E179" s="1035">
        <f>COUNTIFS(tblConcentrado[Fecha],tblDias[[#This Row],[Fecha]])</f>
        <v>0</v>
      </c>
      <c r="F179" s="1035">
        <f t="shared" si="2"/>
        <v>24</v>
      </c>
      <c r="G179" s="1036">
        <f>IF(tblDias[[#This Row],[Horas esperadas]]=0,0,tblDias[[#This Row],[Horas cargadas]]/tblDias[[#This Row],[Horas esperadas]])</f>
        <v>0</v>
      </c>
      <c r="H179" s="1035" t="str">
        <f ca="1">IF(tblDias[[#This Row],[Fecha]]&gt;TODAY(),"Pendiente",IF(tblDias[[#This Row],[Horas cargadas]]=0,"Sin datos",IF(tblDias[[#This Row],[Horas cargadas]]&lt;tblDias[[#This Row],[Horas esperadas]],"Parcial","Completo")))</f>
        <v>Pendiente</v>
      </c>
      <c r="I179" s="1037">
        <f>COUNTIFS(tblRDO[Fecha],tblDias[[#This Row],[Fecha]])</f>
        <v>0</v>
      </c>
      <c r="J179" s="1038" t="str">
        <f ca="1">IF(tblDias[[#This Row],[Fecha]]&gt;TODAY(),"Pendiente",IF(tblDias[[#This Row],[Filas RDO]]=0,"Sin RDO","Cargado"))</f>
        <v>Pendiente</v>
      </c>
      <c r="K179" s="972">
        <f>COUNTIFS(tblControles[Fecha],tblDias[[#This Row],[Fecha]],tblControles[Turno],"&lt;&gt;Obs")</f>
        <v>0</v>
      </c>
      <c r="L179" s="971">
        <f>SUMIFS(tblParadas[Horas perdidas],tblParadas[Fecha],tblDias[[#This Row],[Fecha]])</f>
        <v>0</v>
      </c>
      <c r="M179" s="1040"/>
      <c r="N179" s="953"/>
      <c r="O179" s="1040"/>
    </row>
    <row r="180" spans="2:15">
      <c r="B180" s="1041">
        <v>46435</v>
      </c>
      <c r="C180" s="1034" t="str">
        <f>CHOOSE(WEEKDAY(tblDias[[#This Row],[Fecha]],2),"lun","mar","mié","jue","vie","sáb","dom")</f>
        <v>mié</v>
      </c>
      <c r="D180" s="1039" t="s">
        <v>9256</v>
      </c>
      <c r="E180" s="1035">
        <f>COUNTIFS(tblConcentrado[Fecha],tblDias[[#This Row],[Fecha]])</f>
        <v>0</v>
      </c>
      <c r="F180" s="1035">
        <f t="shared" si="2"/>
        <v>24</v>
      </c>
      <c r="G180" s="1036">
        <f>IF(tblDias[[#This Row],[Horas esperadas]]=0,0,tblDias[[#This Row],[Horas cargadas]]/tblDias[[#This Row],[Horas esperadas]])</f>
        <v>0</v>
      </c>
      <c r="H180" s="1035" t="str">
        <f ca="1">IF(tblDias[[#This Row],[Fecha]]&gt;TODAY(),"Pendiente",IF(tblDias[[#This Row],[Horas cargadas]]=0,"Sin datos",IF(tblDias[[#This Row],[Horas cargadas]]&lt;tblDias[[#This Row],[Horas esperadas]],"Parcial","Completo")))</f>
        <v>Pendiente</v>
      </c>
      <c r="I180" s="1037">
        <f>COUNTIFS(tblRDO[Fecha],tblDias[[#This Row],[Fecha]])</f>
        <v>0</v>
      </c>
      <c r="J180" s="1038" t="str">
        <f ca="1">IF(tblDias[[#This Row],[Fecha]]&gt;TODAY(),"Pendiente",IF(tblDias[[#This Row],[Filas RDO]]=0,"Sin RDO","Cargado"))</f>
        <v>Pendiente</v>
      </c>
      <c r="K180" s="972">
        <f>COUNTIFS(tblControles[Fecha],tblDias[[#This Row],[Fecha]],tblControles[Turno],"&lt;&gt;Obs")</f>
        <v>0</v>
      </c>
      <c r="L180" s="971">
        <f>SUMIFS(tblParadas[Horas perdidas],tblParadas[Fecha],tblDias[[#This Row],[Fecha]])</f>
        <v>0</v>
      </c>
      <c r="M180" s="1040"/>
      <c r="N180" s="953"/>
      <c r="O180" s="1040"/>
    </row>
    <row r="181" spans="2:15">
      <c r="B181" s="1041">
        <v>46436</v>
      </c>
      <c r="C181" s="1034" t="str">
        <f>CHOOSE(WEEKDAY(tblDias[[#This Row],[Fecha]],2),"lun","mar","mié","jue","vie","sáb","dom")</f>
        <v>jue</v>
      </c>
      <c r="D181" s="1039" t="s">
        <v>9256</v>
      </c>
      <c r="E181" s="1035">
        <f>COUNTIFS(tblConcentrado[Fecha],tblDias[[#This Row],[Fecha]])</f>
        <v>0</v>
      </c>
      <c r="F181" s="1035">
        <f t="shared" si="2"/>
        <v>24</v>
      </c>
      <c r="G181" s="1036">
        <f>IF(tblDias[[#This Row],[Horas esperadas]]=0,0,tblDias[[#This Row],[Horas cargadas]]/tblDias[[#This Row],[Horas esperadas]])</f>
        <v>0</v>
      </c>
      <c r="H181" s="1035" t="str">
        <f ca="1">IF(tblDias[[#This Row],[Fecha]]&gt;TODAY(),"Pendiente",IF(tblDias[[#This Row],[Horas cargadas]]=0,"Sin datos",IF(tblDias[[#This Row],[Horas cargadas]]&lt;tblDias[[#This Row],[Horas esperadas]],"Parcial","Completo")))</f>
        <v>Pendiente</v>
      </c>
      <c r="I181" s="1037">
        <f>COUNTIFS(tblRDO[Fecha],tblDias[[#This Row],[Fecha]])</f>
        <v>0</v>
      </c>
      <c r="J181" s="1038" t="str">
        <f ca="1">IF(tblDias[[#This Row],[Fecha]]&gt;TODAY(),"Pendiente",IF(tblDias[[#This Row],[Filas RDO]]=0,"Sin RDO","Cargado"))</f>
        <v>Pendiente</v>
      </c>
      <c r="K181" s="972">
        <f>COUNTIFS(tblControles[Fecha],tblDias[[#This Row],[Fecha]],tblControles[Turno],"&lt;&gt;Obs")</f>
        <v>0</v>
      </c>
      <c r="L181" s="971">
        <f>SUMIFS(tblParadas[Horas perdidas],tblParadas[Fecha],tblDias[[#This Row],[Fecha]])</f>
        <v>0</v>
      </c>
      <c r="M181" s="1040"/>
      <c r="N181" s="953"/>
      <c r="O181" s="1040"/>
    </row>
    <row r="182" spans="2:15">
      <c r="B182" s="1041">
        <v>46437</v>
      </c>
      <c r="C182" s="1034" t="str">
        <f>CHOOSE(WEEKDAY(tblDias[[#This Row],[Fecha]],2),"lun","mar","mié","jue","vie","sáb","dom")</f>
        <v>vie</v>
      </c>
      <c r="D182" s="1039" t="s">
        <v>9256</v>
      </c>
      <c r="E182" s="1035">
        <f>COUNTIFS(tblConcentrado[Fecha],tblDias[[#This Row],[Fecha]])</f>
        <v>0</v>
      </c>
      <c r="F182" s="1035">
        <f t="shared" si="2"/>
        <v>24</v>
      </c>
      <c r="G182" s="1036">
        <f>IF(tblDias[[#This Row],[Horas esperadas]]=0,0,tblDias[[#This Row],[Horas cargadas]]/tblDias[[#This Row],[Horas esperadas]])</f>
        <v>0</v>
      </c>
      <c r="H182" s="1035" t="str">
        <f ca="1">IF(tblDias[[#This Row],[Fecha]]&gt;TODAY(),"Pendiente",IF(tblDias[[#This Row],[Horas cargadas]]=0,"Sin datos",IF(tblDias[[#This Row],[Horas cargadas]]&lt;tblDias[[#This Row],[Horas esperadas]],"Parcial","Completo")))</f>
        <v>Pendiente</v>
      </c>
      <c r="I182" s="1037">
        <f>COUNTIFS(tblRDO[Fecha],tblDias[[#This Row],[Fecha]])</f>
        <v>0</v>
      </c>
      <c r="J182" s="1038" t="str">
        <f ca="1">IF(tblDias[[#This Row],[Fecha]]&gt;TODAY(),"Pendiente",IF(tblDias[[#This Row],[Filas RDO]]=0,"Sin RDO","Cargado"))</f>
        <v>Pendiente</v>
      </c>
      <c r="K182" s="972">
        <f>COUNTIFS(tblControles[Fecha],tblDias[[#This Row],[Fecha]],tblControles[Turno],"&lt;&gt;Obs")</f>
        <v>0</v>
      </c>
      <c r="L182" s="971">
        <f>SUMIFS(tblParadas[Horas perdidas],tblParadas[Fecha],tblDias[[#This Row],[Fecha]])</f>
        <v>0</v>
      </c>
      <c r="M182" s="1040"/>
      <c r="N182" s="953"/>
      <c r="O182" s="1040"/>
    </row>
    <row r="183" spans="2:15">
      <c r="B183" s="1041">
        <v>46438</v>
      </c>
      <c r="C183" s="1034" t="str">
        <f>CHOOSE(WEEKDAY(tblDias[[#This Row],[Fecha]],2),"lun","mar","mié","jue","vie","sáb","dom")</f>
        <v>sáb</v>
      </c>
      <c r="D183" s="1039" t="s">
        <v>9256</v>
      </c>
      <c r="E183" s="1035">
        <f>COUNTIFS(tblConcentrado[Fecha],tblDias[[#This Row],[Fecha]])</f>
        <v>0</v>
      </c>
      <c r="F183" s="1035">
        <f t="shared" si="2"/>
        <v>24</v>
      </c>
      <c r="G183" s="1036">
        <f>IF(tblDias[[#This Row],[Horas esperadas]]=0,0,tblDias[[#This Row],[Horas cargadas]]/tblDias[[#This Row],[Horas esperadas]])</f>
        <v>0</v>
      </c>
      <c r="H183" s="1035" t="str">
        <f ca="1">IF(tblDias[[#This Row],[Fecha]]&gt;TODAY(),"Pendiente",IF(tblDias[[#This Row],[Horas cargadas]]=0,"Sin datos",IF(tblDias[[#This Row],[Horas cargadas]]&lt;tblDias[[#This Row],[Horas esperadas]],"Parcial","Completo")))</f>
        <v>Pendiente</v>
      </c>
      <c r="I183" s="1037">
        <f>COUNTIFS(tblRDO[Fecha],tblDias[[#This Row],[Fecha]])</f>
        <v>0</v>
      </c>
      <c r="J183" s="1038" t="str">
        <f ca="1">IF(tblDias[[#This Row],[Fecha]]&gt;TODAY(),"Pendiente",IF(tblDias[[#This Row],[Filas RDO]]=0,"Sin RDO","Cargado"))</f>
        <v>Pendiente</v>
      </c>
      <c r="K183" s="972">
        <f>COUNTIFS(tblControles[Fecha],tblDias[[#This Row],[Fecha]],tblControles[Turno],"&lt;&gt;Obs")</f>
        <v>0</v>
      </c>
      <c r="L183" s="971">
        <f>SUMIFS(tblParadas[Horas perdidas],tblParadas[Fecha],tblDias[[#This Row],[Fecha]])</f>
        <v>0</v>
      </c>
      <c r="M183" s="1040"/>
      <c r="N183" s="953"/>
      <c r="O183" s="1040"/>
    </row>
    <row r="184" spans="2:15">
      <c r="B184" s="1041">
        <v>46439</v>
      </c>
      <c r="C184" s="1034" t="str">
        <f>CHOOSE(WEEKDAY(tblDias[[#This Row],[Fecha]],2),"lun","mar","mié","jue","vie","sáb","dom")</f>
        <v>dom</v>
      </c>
      <c r="D184" s="1039" t="s">
        <v>9256</v>
      </c>
      <c r="E184" s="1035">
        <f>COUNTIFS(tblConcentrado[Fecha],tblDias[[#This Row],[Fecha]])</f>
        <v>0</v>
      </c>
      <c r="F184" s="1035">
        <f t="shared" si="2"/>
        <v>24</v>
      </c>
      <c r="G184" s="1036">
        <f>IF(tblDias[[#This Row],[Horas esperadas]]=0,0,tblDias[[#This Row],[Horas cargadas]]/tblDias[[#This Row],[Horas esperadas]])</f>
        <v>0</v>
      </c>
      <c r="H184" s="1035" t="str">
        <f ca="1">IF(tblDias[[#This Row],[Fecha]]&gt;TODAY(),"Pendiente",IF(tblDias[[#This Row],[Horas cargadas]]=0,"Sin datos",IF(tblDias[[#This Row],[Horas cargadas]]&lt;tblDias[[#This Row],[Horas esperadas]],"Parcial","Completo")))</f>
        <v>Pendiente</v>
      </c>
      <c r="I184" s="1037">
        <f>COUNTIFS(tblRDO[Fecha],tblDias[[#This Row],[Fecha]])</f>
        <v>0</v>
      </c>
      <c r="J184" s="1038" t="str">
        <f ca="1">IF(tblDias[[#This Row],[Fecha]]&gt;TODAY(),"Pendiente",IF(tblDias[[#This Row],[Filas RDO]]=0,"Sin RDO","Cargado"))</f>
        <v>Pendiente</v>
      </c>
      <c r="K184" s="972">
        <f>COUNTIFS(tblControles[Fecha],tblDias[[#This Row],[Fecha]],tblControles[Turno],"&lt;&gt;Obs")</f>
        <v>0</v>
      </c>
      <c r="L184" s="971">
        <f>SUMIFS(tblParadas[Horas perdidas],tblParadas[Fecha],tblDias[[#This Row],[Fecha]])</f>
        <v>0</v>
      </c>
      <c r="M184" s="1040"/>
      <c r="N184" s="953"/>
      <c r="O184" s="1040"/>
    </row>
    <row r="185" spans="2:15">
      <c r="B185" s="1041">
        <v>46440</v>
      </c>
      <c r="C185" s="1034" t="str">
        <f>CHOOSE(WEEKDAY(tblDias[[#This Row],[Fecha]],2),"lun","mar","mié","jue","vie","sáb","dom")</f>
        <v>lun</v>
      </c>
      <c r="D185" s="1039" t="s">
        <v>9256</v>
      </c>
      <c r="E185" s="1035">
        <f>COUNTIFS(tblConcentrado[Fecha],tblDias[[#This Row],[Fecha]])</f>
        <v>0</v>
      </c>
      <c r="F185" s="1035">
        <f t="shared" si="2"/>
        <v>24</v>
      </c>
      <c r="G185" s="1036">
        <f>IF(tblDias[[#This Row],[Horas esperadas]]=0,0,tblDias[[#This Row],[Horas cargadas]]/tblDias[[#This Row],[Horas esperadas]])</f>
        <v>0</v>
      </c>
      <c r="H185" s="1035" t="str">
        <f ca="1">IF(tblDias[[#This Row],[Fecha]]&gt;TODAY(),"Pendiente",IF(tblDias[[#This Row],[Horas cargadas]]=0,"Sin datos",IF(tblDias[[#This Row],[Horas cargadas]]&lt;tblDias[[#This Row],[Horas esperadas]],"Parcial","Completo")))</f>
        <v>Pendiente</v>
      </c>
      <c r="I185" s="1037">
        <f>COUNTIFS(tblRDO[Fecha],tblDias[[#This Row],[Fecha]])</f>
        <v>0</v>
      </c>
      <c r="J185" s="1038" t="str">
        <f ca="1">IF(tblDias[[#This Row],[Fecha]]&gt;TODAY(),"Pendiente",IF(tblDias[[#This Row],[Filas RDO]]=0,"Sin RDO","Cargado"))</f>
        <v>Pendiente</v>
      </c>
      <c r="K185" s="972">
        <f>COUNTIFS(tblControles[Fecha],tblDias[[#This Row],[Fecha]],tblControles[Turno],"&lt;&gt;Obs")</f>
        <v>0</v>
      </c>
      <c r="L185" s="971">
        <f>SUMIFS(tblParadas[Horas perdidas],tblParadas[Fecha],tblDias[[#This Row],[Fecha]])</f>
        <v>0</v>
      </c>
      <c r="M185" s="1040"/>
      <c r="N185" s="953"/>
      <c r="O185" s="1040"/>
    </row>
    <row r="186" spans="2:15">
      <c r="B186" s="1041">
        <v>46441</v>
      </c>
      <c r="C186" s="1034" t="str">
        <f>CHOOSE(WEEKDAY(tblDias[[#This Row],[Fecha]],2),"lun","mar","mié","jue","vie","sáb","dom")</f>
        <v>mar</v>
      </c>
      <c r="D186" s="1039" t="s">
        <v>9256</v>
      </c>
      <c r="E186" s="1035">
        <f>COUNTIFS(tblConcentrado[Fecha],tblDias[[#This Row],[Fecha]])</f>
        <v>0</v>
      </c>
      <c r="F186" s="1035">
        <f t="shared" si="2"/>
        <v>24</v>
      </c>
      <c r="G186" s="1036">
        <f>IF(tblDias[[#This Row],[Horas esperadas]]=0,0,tblDias[[#This Row],[Horas cargadas]]/tblDias[[#This Row],[Horas esperadas]])</f>
        <v>0</v>
      </c>
      <c r="H186" s="1035" t="str">
        <f ca="1">IF(tblDias[[#This Row],[Fecha]]&gt;TODAY(),"Pendiente",IF(tblDias[[#This Row],[Horas cargadas]]=0,"Sin datos",IF(tblDias[[#This Row],[Horas cargadas]]&lt;tblDias[[#This Row],[Horas esperadas]],"Parcial","Completo")))</f>
        <v>Pendiente</v>
      </c>
      <c r="I186" s="1037">
        <f>COUNTIFS(tblRDO[Fecha],tblDias[[#This Row],[Fecha]])</f>
        <v>0</v>
      </c>
      <c r="J186" s="1038" t="str">
        <f ca="1">IF(tblDias[[#This Row],[Fecha]]&gt;TODAY(),"Pendiente",IF(tblDias[[#This Row],[Filas RDO]]=0,"Sin RDO","Cargado"))</f>
        <v>Pendiente</v>
      </c>
      <c r="K186" s="972">
        <f>COUNTIFS(tblControles[Fecha],tblDias[[#This Row],[Fecha]],tblControles[Turno],"&lt;&gt;Obs")</f>
        <v>0</v>
      </c>
      <c r="L186" s="971">
        <f>SUMIFS(tblParadas[Horas perdidas],tblParadas[Fecha],tblDias[[#This Row],[Fecha]])</f>
        <v>0</v>
      </c>
      <c r="M186" s="1040"/>
      <c r="N186" s="953"/>
      <c r="O186" s="1040"/>
    </row>
    <row r="187" spans="2:15">
      <c r="B187" s="1041">
        <v>46442</v>
      </c>
      <c r="C187" s="1034" t="str">
        <f>CHOOSE(WEEKDAY(tblDias[[#This Row],[Fecha]],2),"lun","mar","mié","jue","vie","sáb","dom")</f>
        <v>mié</v>
      </c>
      <c r="D187" s="1039" t="s">
        <v>9256</v>
      </c>
      <c r="E187" s="1035">
        <f>COUNTIFS(tblConcentrado[Fecha],tblDias[[#This Row],[Fecha]])</f>
        <v>0</v>
      </c>
      <c r="F187" s="1035">
        <f t="shared" si="2"/>
        <v>24</v>
      </c>
      <c r="G187" s="1036">
        <f>IF(tblDias[[#This Row],[Horas esperadas]]=0,0,tblDias[[#This Row],[Horas cargadas]]/tblDias[[#This Row],[Horas esperadas]])</f>
        <v>0</v>
      </c>
      <c r="H187" s="1035" t="str">
        <f ca="1">IF(tblDias[[#This Row],[Fecha]]&gt;TODAY(),"Pendiente",IF(tblDias[[#This Row],[Horas cargadas]]=0,"Sin datos",IF(tblDias[[#This Row],[Horas cargadas]]&lt;tblDias[[#This Row],[Horas esperadas]],"Parcial","Completo")))</f>
        <v>Pendiente</v>
      </c>
      <c r="I187" s="1037">
        <f>COUNTIFS(tblRDO[Fecha],tblDias[[#This Row],[Fecha]])</f>
        <v>0</v>
      </c>
      <c r="J187" s="1038" t="str">
        <f ca="1">IF(tblDias[[#This Row],[Fecha]]&gt;TODAY(),"Pendiente",IF(tblDias[[#This Row],[Filas RDO]]=0,"Sin RDO","Cargado"))</f>
        <v>Pendiente</v>
      </c>
      <c r="K187" s="972">
        <f>COUNTIFS(tblControles[Fecha],tblDias[[#This Row],[Fecha]],tblControles[Turno],"&lt;&gt;Obs")</f>
        <v>0</v>
      </c>
      <c r="L187" s="971">
        <f>SUMIFS(tblParadas[Horas perdidas],tblParadas[Fecha],tblDias[[#This Row],[Fecha]])</f>
        <v>0</v>
      </c>
      <c r="M187" s="1040"/>
      <c r="N187" s="953"/>
      <c r="O187" s="1040"/>
    </row>
    <row r="188" spans="2:15">
      <c r="B188" s="1041">
        <v>46443</v>
      </c>
      <c r="C188" s="1034" t="str">
        <f>CHOOSE(WEEKDAY(tblDias[[#This Row],[Fecha]],2),"lun","mar","mié","jue","vie","sáb","dom")</f>
        <v>jue</v>
      </c>
      <c r="D188" s="1039" t="s">
        <v>9256</v>
      </c>
      <c r="E188" s="1035">
        <f>COUNTIFS(tblConcentrado[Fecha],tblDias[[#This Row],[Fecha]])</f>
        <v>0</v>
      </c>
      <c r="F188" s="1035">
        <f t="shared" si="2"/>
        <v>24</v>
      </c>
      <c r="G188" s="1036">
        <f>IF(tblDias[[#This Row],[Horas esperadas]]=0,0,tblDias[[#This Row],[Horas cargadas]]/tblDias[[#This Row],[Horas esperadas]])</f>
        <v>0</v>
      </c>
      <c r="H188" s="1035" t="str">
        <f ca="1">IF(tblDias[[#This Row],[Fecha]]&gt;TODAY(),"Pendiente",IF(tblDias[[#This Row],[Horas cargadas]]=0,"Sin datos",IF(tblDias[[#This Row],[Horas cargadas]]&lt;tblDias[[#This Row],[Horas esperadas]],"Parcial","Completo")))</f>
        <v>Pendiente</v>
      </c>
      <c r="I188" s="1037">
        <f>COUNTIFS(tblRDO[Fecha],tblDias[[#This Row],[Fecha]])</f>
        <v>0</v>
      </c>
      <c r="J188" s="1038" t="str">
        <f ca="1">IF(tblDias[[#This Row],[Fecha]]&gt;TODAY(),"Pendiente",IF(tblDias[[#This Row],[Filas RDO]]=0,"Sin RDO","Cargado"))</f>
        <v>Pendiente</v>
      </c>
      <c r="K188" s="972">
        <f>COUNTIFS(tblControles[Fecha],tblDias[[#This Row],[Fecha]],tblControles[Turno],"&lt;&gt;Obs")</f>
        <v>0</v>
      </c>
      <c r="L188" s="971">
        <f>SUMIFS(tblParadas[Horas perdidas],tblParadas[Fecha],tblDias[[#This Row],[Fecha]])</f>
        <v>0</v>
      </c>
      <c r="M188" s="1040"/>
      <c r="N188" s="953"/>
      <c r="O188" s="1040"/>
    </row>
    <row r="189" spans="2:15">
      <c r="B189" s="1041">
        <v>46444</v>
      </c>
      <c r="C189" s="1034" t="str">
        <f>CHOOSE(WEEKDAY(tblDias[[#This Row],[Fecha]],2),"lun","mar","mié","jue","vie","sáb","dom")</f>
        <v>vie</v>
      </c>
      <c r="D189" s="1039" t="s">
        <v>9256</v>
      </c>
      <c r="E189" s="1035">
        <f>COUNTIFS(tblConcentrado[Fecha],tblDias[[#This Row],[Fecha]])</f>
        <v>0</v>
      </c>
      <c r="F189" s="1035">
        <f t="shared" si="2"/>
        <v>24</v>
      </c>
      <c r="G189" s="1036">
        <f>IF(tblDias[[#This Row],[Horas esperadas]]=0,0,tblDias[[#This Row],[Horas cargadas]]/tblDias[[#This Row],[Horas esperadas]])</f>
        <v>0</v>
      </c>
      <c r="H189" s="1035" t="str">
        <f ca="1">IF(tblDias[[#This Row],[Fecha]]&gt;TODAY(),"Pendiente",IF(tblDias[[#This Row],[Horas cargadas]]=0,"Sin datos",IF(tblDias[[#This Row],[Horas cargadas]]&lt;tblDias[[#This Row],[Horas esperadas]],"Parcial","Completo")))</f>
        <v>Pendiente</v>
      </c>
      <c r="I189" s="1037">
        <f>COUNTIFS(tblRDO[Fecha],tblDias[[#This Row],[Fecha]])</f>
        <v>0</v>
      </c>
      <c r="J189" s="1038" t="str">
        <f ca="1">IF(tblDias[[#This Row],[Fecha]]&gt;TODAY(),"Pendiente",IF(tblDias[[#This Row],[Filas RDO]]=0,"Sin RDO","Cargado"))</f>
        <v>Pendiente</v>
      </c>
      <c r="K189" s="972">
        <f>COUNTIFS(tblControles[Fecha],tblDias[[#This Row],[Fecha]],tblControles[Turno],"&lt;&gt;Obs")</f>
        <v>0</v>
      </c>
      <c r="L189" s="971">
        <f>SUMIFS(tblParadas[Horas perdidas],tblParadas[Fecha],tblDias[[#This Row],[Fecha]])</f>
        <v>0</v>
      </c>
      <c r="M189" s="1040"/>
      <c r="N189" s="953"/>
      <c r="O189" s="1040"/>
    </row>
    <row r="190" spans="2:15">
      <c r="B190" s="1041">
        <v>46445</v>
      </c>
      <c r="C190" s="1034" t="str">
        <f>CHOOSE(WEEKDAY(tblDias[[#This Row],[Fecha]],2),"lun","mar","mié","jue","vie","sáb","dom")</f>
        <v>sáb</v>
      </c>
      <c r="D190" s="1039" t="s">
        <v>9256</v>
      </c>
      <c r="E190" s="1035">
        <f>COUNTIFS(tblConcentrado[Fecha],tblDias[[#This Row],[Fecha]])</f>
        <v>0</v>
      </c>
      <c r="F190" s="1035">
        <f t="shared" si="2"/>
        <v>24</v>
      </c>
      <c r="G190" s="1036">
        <f>IF(tblDias[[#This Row],[Horas esperadas]]=0,0,tblDias[[#This Row],[Horas cargadas]]/tblDias[[#This Row],[Horas esperadas]])</f>
        <v>0</v>
      </c>
      <c r="H190" s="1035" t="str">
        <f ca="1">IF(tblDias[[#This Row],[Fecha]]&gt;TODAY(),"Pendiente",IF(tblDias[[#This Row],[Horas cargadas]]=0,"Sin datos",IF(tblDias[[#This Row],[Horas cargadas]]&lt;tblDias[[#This Row],[Horas esperadas]],"Parcial","Completo")))</f>
        <v>Pendiente</v>
      </c>
      <c r="I190" s="1037">
        <f>COUNTIFS(tblRDO[Fecha],tblDias[[#This Row],[Fecha]])</f>
        <v>0</v>
      </c>
      <c r="J190" s="1038" t="str">
        <f ca="1">IF(tblDias[[#This Row],[Fecha]]&gt;TODAY(),"Pendiente",IF(tblDias[[#This Row],[Filas RDO]]=0,"Sin RDO","Cargado"))</f>
        <v>Pendiente</v>
      </c>
      <c r="K190" s="972">
        <f>COUNTIFS(tblControles[Fecha],tblDias[[#This Row],[Fecha]],tblControles[Turno],"&lt;&gt;Obs")</f>
        <v>0</v>
      </c>
      <c r="L190" s="971">
        <f>SUMIFS(tblParadas[Horas perdidas],tblParadas[Fecha],tblDias[[#This Row],[Fecha]])</f>
        <v>0</v>
      </c>
      <c r="M190" s="1040"/>
      <c r="N190" s="953"/>
      <c r="O190" s="1040"/>
    </row>
    <row r="191" spans="2:15">
      <c r="B191" s="1041">
        <v>46446</v>
      </c>
      <c r="C191" s="1034" t="str">
        <f>CHOOSE(WEEKDAY(tblDias[[#This Row],[Fecha]],2),"lun","mar","mié","jue","vie","sáb","dom")</f>
        <v>dom</v>
      </c>
      <c r="D191" s="1039" t="s">
        <v>9256</v>
      </c>
      <c r="E191" s="1035">
        <f>COUNTIFS(tblConcentrado[Fecha],tblDias[[#This Row],[Fecha]])</f>
        <v>0</v>
      </c>
      <c r="F191" s="1035">
        <f t="shared" si="2"/>
        <v>24</v>
      </c>
      <c r="G191" s="1036">
        <f>IF(tblDias[[#This Row],[Horas esperadas]]=0,0,tblDias[[#This Row],[Horas cargadas]]/tblDias[[#This Row],[Horas esperadas]])</f>
        <v>0</v>
      </c>
      <c r="H191" s="1035" t="str">
        <f ca="1">IF(tblDias[[#This Row],[Fecha]]&gt;TODAY(),"Pendiente",IF(tblDias[[#This Row],[Horas cargadas]]=0,"Sin datos",IF(tblDias[[#This Row],[Horas cargadas]]&lt;tblDias[[#This Row],[Horas esperadas]],"Parcial","Completo")))</f>
        <v>Pendiente</v>
      </c>
      <c r="I191" s="1037">
        <f>COUNTIFS(tblRDO[Fecha],tblDias[[#This Row],[Fecha]])</f>
        <v>0</v>
      </c>
      <c r="J191" s="1038" t="str">
        <f ca="1">IF(tblDias[[#This Row],[Fecha]]&gt;TODAY(),"Pendiente",IF(tblDias[[#This Row],[Filas RDO]]=0,"Sin RDO","Cargado"))</f>
        <v>Pendiente</v>
      </c>
      <c r="K191" s="972">
        <f>COUNTIFS(tblControles[Fecha],tblDias[[#This Row],[Fecha]],tblControles[Turno],"&lt;&gt;Obs")</f>
        <v>0</v>
      </c>
      <c r="L191" s="971">
        <f>SUMIFS(tblParadas[Horas perdidas],tblParadas[Fecha],tblDias[[#This Row],[Fecha]])</f>
        <v>0</v>
      </c>
      <c r="M191" s="1040"/>
      <c r="N191" s="953"/>
      <c r="O191" s="1040"/>
    </row>
    <row r="192" spans="2:15">
      <c r="B192" s="1041">
        <v>46447</v>
      </c>
      <c r="C192" s="1034" t="str">
        <f>CHOOSE(WEEKDAY(tblDias[[#This Row],[Fecha]],2),"lun","mar","mié","jue","vie","sáb","dom")</f>
        <v>lun</v>
      </c>
      <c r="D192" s="1039" t="s">
        <v>9256</v>
      </c>
      <c r="E192" s="1035">
        <f>COUNTIFS(tblConcentrado[Fecha],tblDias[[#This Row],[Fecha]])</f>
        <v>0</v>
      </c>
      <c r="F192" s="1035">
        <f t="shared" si="2"/>
        <v>24</v>
      </c>
      <c r="G192" s="1036">
        <f>IF(tblDias[[#This Row],[Horas esperadas]]=0,0,tblDias[[#This Row],[Horas cargadas]]/tblDias[[#This Row],[Horas esperadas]])</f>
        <v>0</v>
      </c>
      <c r="H192" s="1035" t="str">
        <f ca="1">IF(tblDias[[#This Row],[Fecha]]&gt;TODAY(),"Pendiente",IF(tblDias[[#This Row],[Horas cargadas]]=0,"Sin datos",IF(tblDias[[#This Row],[Horas cargadas]]&lt;tblDias[[#This Row],[Horas esperadas]],"Parcial","Completo")))</f>
        <v>Pendiente</v>
      </c>
      <c r="I192" s="1037">
        <f>COUNTIFS(tblRDO[Fecha],tblDias[[#This Row],[Fecha]])</f>
        <v>0</v>
      </c>
      <c r="J192" s="1038" t="str">
        <f ca="1">IF(tblDias[[#This Row],[Fecha]]&gt;TODAY(),"Pendiente",IF(tblDias[[#This Row],[Filas RDO]]=0,"Sin RDO","Cargado"))</f>
        <v>Pendiente</v>
      </c>
      <c r="K192" s="972">
        <f>COUNTIFS(tblControles[Fecha],tblDias[[#This Row],[Fecha]],tblControles[Turno],"&lt;&gt;Obs")</f>
        <v>0</v>
      </c>
      <c r="L192" s="971">
        <f>SUMIFS(tblParadas[Horas perdidas],tblParadas[Fecha],tblDias[[#This Row],[Fecha]])</f>
        <v>0</v>
      </c>
      <c r="M192" s="1040"/>
      <c r="N192" s="953"/>
      <c r="O192" s="1040"/>
    </row>
    <row r="193" spans="2:15">
      <c r="B193" s="1041">
        <v>46448</v>
      </c>
      <c r="C193" s="1034" t="str">
        <f>CHOOSE(WEEKDAY(tblDias[[#This Row],[Fecha]],2),"lun","mar","mié","jue","vie","sáb","dom")</f>
        <v>mar</v>
      </c>
      <c r="D193" s="1039" t="s">
        <v>9256</v>
      </c>
      <c r="E193" s="1035">
        <f>COUNTIFS(tblConcentrado[Fecha],tblDias[[#This Row],[Fecha]])</f>
        <v>0</v>
      </c>
      <c r="F193" s="1035">
        <f t="shared" si="2"/>
        <v>24</v>
      </c>
      <c r="G193" s="1036">
        <f>IF(tblDias[[#This Row],[Horas esperadas]]=0,0,tblDias[[#This Row],[Horas cargadas]]/tblDias[[#This Row],[Horas esperadas]])</f>
        <v>0</v>
      </c>
      <c r="H193" s="1035" t="str">
        <f ca="1">IF(tblDias[[#This Row],[Fecha]]&gt;TODAY(),"Pendiente",IF(tblDias[[#This Row],[Horas cargadas]]=0,"Sin datos",IF(tblDias[[#This Row],[Horas cargadas]]&lt;tblDias[[#This Row],[Horas esperadas]],"Parcial","Completo")))</f>
        <v>Pendiente</v>
      </c>
      <c r="I193" s="1037">
        <f>COUNTIFS(tblRDO[Fecha],tblDias[[#This Row],[Fecha]])</f>
        <v>0</v>
      </c>
      <c r="J193" s="1038" t="str">
        <f ca="1">IF(tblDias[[#This Row],[Fecha]]&gt;TODAY(),"Pendiente",IF(tblDias[[#This Row],[Filas RDO]]=0,"Sin RDO","Cargado"))</f>
        <v>Pendiente</v>
      </c>
      <c r="K193" s="972">
        <f>COUNTIFS(tblControles[Fecha],tblDias[[#This Row],[Fecha]],tblControles[Turno],"&lt;&gt;Obs")</f>
        <v>0</v>
      </c>
      <c r="L193" s="971">
        <f>SUMIFS(tblParadas[Horas perdidas],tblParadas[Fecha],tblDias[[#This Row],[Fecha]])</f>
        <v>0</v>
      </c>
      <c r="M193" s="1040"/>
      <c r="N193" s="953"/>
      <c r="O193" s="1040"/>
    </row>
    <row r="194" spans="2:15">
      <c r="B194" s="1041">
        <v>46449</v>
      </c>
      <c r="C194" s="1034" t="str">
        <f>CHOOSE(WEEKDAY(tblDias[[#This Row],[Fecha]],2),"lun","mar","mié","jue","vie","sáb","dom")</f>
        <v>mié</v>
      </c>
      <c r="D194" s="1039" t="s">
        <v>9256</v>
      </c>
      <c r="E194" s="1035">
        <f>COUNTIFS(tblConcentrado[Fecha],tblDias[[#This Row],[Fecha]])</f>
        <v>0</v>
      </c>
      <c r="F194" s="1035">
        <f t="shared" si="2"/>
        <v>24</v>
      </c>
      <c r="G194" s="1036">
        <f>IF(tblDias[[#This Row],[Horas esperadas]]=0,0,tblDias[[#This Row],[Horas cargadas]]/tblDias[[#This Row],[Horas esperadas]])</f>
        <v>0</v>
      </c>
      <c r="H194" s="1035" t="str">
        <f ca="1">IF(tblDias[[#This Row],[Fecha]]&gt;TODAY(),"Pendiente",IF(tblDias[[#This Row],[Horas cargadas]]=0,"Sin datos",IF(tblDias[[#This Row],[Horas cargadas]]&lt;tblDias[[#This Row],[Horas esperadas]],"Parcial","Completo")))</f>
        <v>Pendiente</v>
      </c>
      <c r="I194" s="1037">
        <f>COUNTIFS(tblRDO[Fecha],tblDias[[#This Row],[Fecha]])</f>
        <v>0</v>
      </c>
      <c r="J194" s="1038" t="str">
        <f ca="1">IF(tblDias[[#This Row],[Fecha]]&gt;TODAY(),"Pendiente",IF(tblDias[[#This Row],[Filas RDO]]=0,"Sin RDO","Cargado"))</f>
        <v>Pendiente</v>
      </c>
      <c r="K194" s="972">
        <f>COUNTIFS(tblControles[Fecha],tblDias[[#This Row],[Fecha]],tblControles[Turno],"&lt;&gt;Obs")</f>
        <v>0</v>
      </c>
      <c r="L194" s="971">
        <f>SUMIFS(tblParadas[Horas perdidas],tblParadas[Fecha],tblDias[[#This Row],[Fecha]])</f>
        <v>0</v>
      </c>
      <c r="M194" s="1040"/>
      <c r="N194" s="953"/>
      <c r="O194" s="1040"/>
    </row>
    <row r="195" spans="2:15">
      <c r="B195" s="1041">
        <v>46450</v>
      </c>
      <c r="C195" s="1034" t="str">
        <f>CHOOSE(WEEKDAY(tblDias[[#This Row],[Fecha]],2),"lun","mar","mié","jue","vie","sáb","dom")</f>
        <v>jue</v>
      </c>
      <c r="D195" s="1039" t="s">
        <v>9256</v>
      </c>
      <c r="E195" s="1035">
        <f>COUNTIFS(tblConcentrado[Fecha],tblDias[[#This Row],[Fecha]])</f>
        <v>0</v>
      </c>
      <c r="F195" s="1035">
        <f t="shared" si="2"/>
        <v>24</v>
      </c>
      <c r="G195" s="1036">
        <f>IF(tblDias[[#This Row],[Horas esperadas]]=0,0,tblDias[[#This Row],[Horas cargadas]]/tblDias[[#This Row],[Horas esperadas]])</f>
        <v>0</v>
      </c>
      <c r="H195" s="1035" t="str">
        <f ca="1">IF(tblDias[[#This Row],[Fecha]]&gt;TODAY(),"Pendiente",IF(tblDias[[#This Row],[Horas cargadas]]=0,"Sin datos",IF(tblDias[[#This Row],[Horas cargadas]]&lt;tblDias[[#This Row],[Horas esperadas]],"Parcial","Completo")))</f>
        <v>Pendiente</v>
      </c>
      <c r="I195" s="1037">
        <f>COUNTIFS(tblRDO[Fecha],tblDias[[#This Row],[Fecha]])</f>
        <v>0</v>
      </c>
      <c r="J195" s="1038" t="str">
        <f ca="1">IF(tblDias[[#This Row],[Fecha]]&gt;TODAY(),"Pendiente",IF(tblDias[[#This Row],[Filas RDO]]=0,"Sin RDO","Cargado"))</f>
        <v>Pendiente</v>
      </c>
      <c r="K195" s="972">
        <f>COUNTIFS(tblControles[Fecha],tblDias[[#This Row],[Fecha]],tblControles[Turno],"&lt;&gt;Obs")</f>
        <v>0</v>
      </c>
      <c r="L195" s="971">
        <f>SUMIFS(tblParadas[Horas perdidas],tblParadas[Fecha],tblDias[[#This Row],[Fecha]])</f>
        <v>0</v>
      </c>
      <c r="M195" s="1040"/>
      <c r="N195" s="953"/>
      <c r="O195" s="1040"/>
    </row>
    <row r="196" spans="2:15">
      <c r="B196" s="1041">
        <v>46451</v>
      </c>
      <c r="C196" s="1034" t="str">
        <f>CHOOSE(WEEKDAY(tblDias[[#This Row],[Fecha]],2),"lun","mar","mié","jue","vie","sáb","dom")</f>
        <v>vie</v>
      </c>
      <c r="D196" s="1039" t="s">
        <v>9256</v>
      </c>
      <c r="E196" s="1035">
        <f>COUNTIFS(tblConcentrado[Fecha],tblDias[[#This Row],[Fecha]])</f>
        <v>0</v>
      </c>
      <c r="F196" s="1035">
        <f t="shared" si="2"/>
        <v>24</v>
      </c>
      <c r="G196" s="1036">
        <f>IF(tblDias[[#This Row],[Horas esperadas]]=0,0,tblDias[[#This Row],[Horas cargadas]]/tblDias[[#This Row],[Horas esperadas]])</f>
        <v>0</v>
      </c>
      <c r="H196" s="1035" t="str">
        <f ca="1">IF(tblDias[[#This Row],[Fecha]]&gt;TODAY(),"Pendiente",IF(tblDias[[#This Row],[Horas cargadas]]=0,"Sin datos",IF(tblDias[[#This Row],[Horas cargadas]]&lt;tblDias[[#This Row],[Horas esperadas]],"Parcial","Completo")))</f>
        <v>Pendiente</v>
      </c>
      <c r="I196" s="1037">
        <f>COUNTIFS(tblRDO[Fecha],tblDias[[#This Row],[Fecha]])</f>
        <v>0</v>
      </c>
      <c r="J196" s="1038" t="str">
        <f ca="1">IF(tblDias[[#This Row],[Fecha]]&gt;TODAY(),"Pendiente",IF(tblDias[[#This Row],[Filas RDO]]=0,"Sin RDO","Cargado"))</f>
        <v>Pendiente</v>
      </c>
      <c r="K196" s="972">
        <f>COUNTIFS(tblControles[Fecha],tblDias[[#This Row],[Fecha]],tblControles[Turno],"&lt;&gt;Obs")</f>
        <v>0</v>
      </c>
      <c r="L196" s="971">
        <f>SUMIFS(tblParadas[Horas perdidas],tblParadas[Fecha],tblDias[[#This Row],[Fecha]])</f>
        <v>0</v>
      </c>
      <c r="M196" s="1040"/>
      <c r="N196" s="953"/>
      <c r="O196" s="1040"/>
    </row>
    <row r="197" spans="2:15">
      <c r="B197" s="1041">
        <v>46452</v>
      </c>
      <c r="C197" s="1034" t="str">
        <f>CHOOSE(WEEKDAY(tblDias[[#This Row],[Fecha]],2),"lun","mar","mié","jue","vie","sáb","dom")</f>
        <v>sáb</v>
      </c>
      <c r="D197" s="1039" t="s">
        <v>9256</v>
      </c>
      <c r="E197" s="1035">
        <f>COUNTIFS(tblConcentrado[Fecha],tblDias[[#This Row],[Fecha]])</f>
        <v>0</v>
      </c>
      <c r="F197" s="1035">
        <f t="shared" si="2"/>
        <v>24</v>
      </c>
      <c r="G197" s="1036">
        <f>IF(tblDias[[#This Row],[Horas esperadas]]=0,0,tblDias[[#This Row],[Horas cargadas]]/tblDias[[#This Row],[Horas esperadas]])</f>
        <v>0</v>
      </c>
      <c r="H197" s="1035" t="str">
        <f ca="1">IF(tblDias[[#This Row],[Fecha]]&gt;TODAY(),"Pendiente",IF(tblDias[[#This Row],[Horas cargadas]]=0,"Sin datos",IF(tblDias[[#This Row],[Horas cargadas]]&lt;tblDias[[#This Row],[Horas esperadas]],"Parcial","Completo")))</f>
        <v>Pendiente</v>
      </c>
      <c r="I197" s="1037">
        <f>COUNTIFS(tblRDO[Fecha],tblDias[[#This Row],[Fecha]])</f>
        <v>0</v>
      </c>
      <c r="J197" s="1038" t="str">
        <f ca="1">IF(tblDias[[#This Row],[Fecha]]&gt;TODAY(),"Pendiente",IF(tblDias[[#This Row],[Filas RDO]]=0,"Sin RDO","Cargado"))</f>
        <v>Pendiente</v>
      </c>
      <c r="K197" s="972">
        <f>COUNTIFS(tblControles[Fecha],tblDias[[#This Row],[Fecha]],tblControles[Turno],"&lt;&gt;Obs")</f>
        <v>0</v>
      </c>
      <c r="L197" s="971">
        <f>SUMIFS(tblParadas[Horas perdidas],tblParadas[Fecha],tblDias[[#This Row],[Fecha]])</f>
        <v>0</v>
      </c>
      <c r="M197" s="1040"/>
      <c r="N197" s="953"/>
      <c r="O197" s="1040"/>
    </row>
    <row r="198" spans="2:15">
      <c r="B198" s="1041">
        <v>46453</v>
      </c>
      <c r="C198" s="1034" t="str">
        <f>CHOOSE(WEEKDAY(tblDias[[#This Row],[Fecha]],2),"lun","mar","mié","jue","vie","sáb","dom")</f>
        <v>dom</v>
      </c>
      <c r="D198" s="1039" t="s">
        <v>9256</v>
      </c>
      <c r="E198" s="1035">
        <f>COUNTIFS(tblConcentrado[Fecha],tblDias[[#This Row],[Fecha]])</f>
        <v>0</v>
      </c>
      <c r="F198" s="1035">
        <f t="shared" si="2"/>
        <v>24</v>
      </c>
      <c r="G198" s="1036">
        <f>IF(tblDias[[#This Row],[Horas esperadas]]=0,0,tblDias[[#This Row],[Horas cargadas]]/tblDias[[#This Row],[Horas esperadas]])</f>
        <v>0</v>
      </c>
      <c r="H198" s="1035" t="str">
        <f ca="1">IF(tblDias[[#This Row],[Fecha]]&gt;TODAY(),"Pendiente",IF(tblDias[[#This Row],[Horas cargadas]]=0,"Sin datos",IF(tblDias[[#This Row],[Horas cargadas]]&lt;tblDias[[#This Row],[Horas esperadas]],"Parcial","Completo")))</f>
        <v>Pendiente</v>
      </c>
      <c r="I198" s="1037">
        <f>COUNTIFS(tblRDO[Fecha],tblDias[[#This Row],[Fecha]])</f>
        <v>0</v>
      </c>
      <c r="J198" s="1038" t="str">
        <f ca="1">IF(tblDias[[#This Row],[Fecha]]&gt;TODAY(),"Pendiente",IF(tblDias[[#This Row],[Filas RDO]]=0,"Sin RDO","Cargado"))</f>
        <v>Pendiente</v>
      </c>
      <c r="K198" s="972">
        <f>COUNTIFS(tblControles[Fecha],tblDias[[#This Row],[Fecha]],tblControles[Turno],"&lt;&gt;Obs")</f>
        <v>0</v>
      </c>
      <c r="L198" s="971">
        <f>SUMIFS(tblParadas[Horas perdidas],tblParadas[Fecha],tblDias[[#This Row],[Fecha]])</f>
        <v>0</v>
      </c>
      <c r="M198" s="1040"/>
      <c r="N198" s="953"/>
      <c r="O198" s="1040"/>
    </row>
    <row r="199" spans="2:15">
      <c r="B199" s="1041">
        <v>46454</v>
      </c>
      <c r="C199" s="1034" t="str">
        <f>CHOOSE(WEEKDAY(tblDias[[#This Row],[Fecha]],2),"lun","mar","mié","jue","vie","sáb","dom")</f>
        <v>lun</v>
      </c>
      <c r="D199" s="1039" t="s">
        <v>9256</v>
      </c>
      <c r="E199" s="1035">
        <f>COUNTIFS(tblConcentrado[Fecha],tblDias[[#This Row],[Fecha]])</f>
        <v>0</v>
      </c>
      <c r="F199" s="1035">
        <f t="shared" si="2"/>
        <v>24</v>
      </c>
      <c r="G199" s="1036">
        <f>IF(tblDias[[#This Row],[Horas esperadas]]=0,0,tblDias[[#This Row],[Horas cargadas]]/tblDias[[#This Row],[Horas esperadas]])</f>
        <v>0</v>
      </c>
      <c r="H199" s="1035" t="str">
        <f ca="1">IF(tblDias[[#This Row],[Fecha]]&gt;TODAY(),"Pendiente",IF(tblDias[[#This Row],[Horas cargadas]]=0,"Sin datos",IF(tblDias[[#This Row],[Horas cargadas]]&lt;tblDias[[#This Row],[Horas esperadas]],"Parcial","Completo")))</f>
        <v>Pendiente</v>
      </c>
      <c r="I199" s="1037">
        <f>COUNTIFS(tblRDO[Fecha],tblDias[[#This Row],[Fecha]])</f>
        <v>0</v>
      </c>
      <c r="J199" s="1038" t="str">
        <f ca="1">IF(tblDias[[#This Row],[Fecha]]&gt;TODAY(),"Pendiente",IF(tblDias[[#This Row],[Filas RDO]]=0,"Sin RDO","Cargado"))</f>
        <v>Pendiente</v>
      </c>
      <c r="K199" s="972">
        <f>COUNTIFS(tblControles[Fecha],tblDias[[#This Row],[Fecha]],tblControles[Turno],"&lt;&gt;Obs")</f>
        <v>0</v>
      </c>
      <c r="L199" s="971">
        <f>SUMIFS(tblParadas[Horas perdidas],tblParadas[Fecha],tblDias[[#This Row],[Fecha]])</f>
        <v>0</v>
      </c>
      <c r="M199" s="1040"/>
      <c r="N199" s="953"/>
      <c r="O199" s="1040"/>
    </row>
    <row r="200" spans="2:15">
      <c r="B200" s="1041">
        <v>46455</v>
      </c>
      <c r="C200" s="1034" t="str">
        <f>CHOOSE(WEEKDAY(tblDias[[#This Row],[Fecha]],2),"lun","mar","mié","jue","vie","sáb","dom")</f>
        <v>mar</v>
      </c>
      <c r="D200" s="1039" t="s">
        <v>9256</v>
      </c>
      <c r="E200" s="1035">
        <f>COUNTIFS(tblConcentrado[Fecha],tblDias[[#This Row],[Fecha]])</f>
        <v>0</v>
      </c>
      <c r="F200" s="1035">
        <f t="shared" si="2"/>
        <v>24</v>
      </c>
      <c r="G200" s="1036">
        <f>IF(tblDias[[#This Row],[Horas esperadas]]=0,0,tblDias[[#This Row],[Horas cargadas]]/tblDias[[#This Row],[Horas esperadas]])</f>
        <v>0</v>
      </c>
      <c r="H200" s="1035" t="str">
        <f ca="1">IF(tblDias[[#This Row],[Fecha]]&gt;TODAY(),"Pendiente",IF(tblDias[[#This Row],[Horas cargadas]]=0,"Sin datos",IF(tblDias[[#This Row],[Horas cargadas]]&lt;tblDias[[#This Row],[Horas esperadas]],"Parcial","Completo")))</f>
        <v>Pendiente</v>
      </c>
      <c r="I200" s="1037">
        <f>COUNTIFS(tblRDO[Fecha],tblDias[[#This Row],[Fecha]])</f>
        <v>0</v>
      </c>
      <c r="J200" s="1038" t="str">
        <f ca="1">IF(tblDias[[#This Row],[Fecha]]&gt;TODAY(),"Pendiente",IF(tblDias[[#This Row],[Filas RDO]]=0,"Sin RDO","Cargado"))</f>
        <v>Pendiente</v>
      </c>
      <c r="K200" s="972">
        <f>COUNTIFS(tblControles[Fecha],tblDias[[#This Row],[Fecha]],tblControles[Turno],"&lt;&gt;Obs")</f>
        <v>0</v>
      </c>
      <c r="L200" s="971">
        <f>SUMIFS(tblParadas[Horas perdidas],tblParadas[Fecha],tblDias[[#This Row],[Fecha]])</f>
        <v>0</v>
      </c>
      <c r="M200" s="1040"/>
      <c r="N200" s="953"/>
      <c r="O200" s="1040"/>
    </row>
    <row r="201" spans="2:15">
      <c r="B201" s="1041">
        <v>46456</v>
      </c>
      <c r="C201" s="1034" t="str">
        <f>CHOOSE(WEEKDAY(tblDias[[#This Row],[Fecha]],2),"lun","mar","mié","jue","vie","sáb","dom")</f>
        <v>mié</v>
      </c>
      <c r="D201" s="1039" t="s">
        <v>9256</v>
      </c>
      <c r="E201" s="1035">
        <f>COUNTIFS(tblConcentrado[Fecha],tblDias[[#This Row],[Fecha]])</f>
        <v>0</v>
      </c>
      <c r="F201" s="1035">
        <f t="shared" si="2"/>
        <v>24</v>
      </c>
      <c r="G201" s="1036">
        <f>IF(tblDias[[#This Row],[Horas esperadas]]=0,0,tblDias[[#This Row],[Horas cargadas]]/tblDias[[#This Row],[Horas esperadas]])</f>
        <v>0</v>
      </c>
      <c r="H201" s="1035" t="str">
        <f ca="1">IF(tblDias[[#This Row],[Fecha]]&gt;TODAY(),"Pendiente",IF(tblDias[[#This Row],[Horas cargadas]]=0,"Sin datos",IF(tblDias[[#This Row],[Horas cargadas]]&lt;tblDias[[#This Row],[Horas esperadas]],"Parcial","Completo")))</f>
        <v>Pendiente</v>
      </c>
      <c r="I201" s="1037">
        <f>COUNTIFS(tblRDO[Fecha],tblDias[[#This Row],[Fecha]])</f>
        <v>0</v>
      </c>
      <c r="J201" s="1038" t="str">
        <f ca="1">IF(tblDias[[#This Row],[Fecha]]&gt;TODAY(),"Pendiente",IF(tblDias[[#This Row],[Filas RDO]]=0,"Sin RDO","Cargado"))</f>
        <v>Pendiente</v>
      </c>
      <c r="K201" s="972">
        <f>COUNTIFS(tblControles[Fecha],tblDias[[#This Row],[Fecha]],tblControles[Turno],"&lt;&gt;Obs")</f>
        <v>0</v>
      </c>
      <c r="L201" s="971">
        <f>SUMIFS(tblParadas[Horas perdidas],tblParadas[Fecha],tblDias[[#This Row],[Fecha]])</f>
        <v>0</v>
      </c>
      <c r="M201" s="1040"/>
      <c r="N201" s="953"/>
      <c r="O201" s="1040"/>
    </row>
    <row r="202" spans="2:15">
      <c r="B202" s="1041">
        <v>46457</v>
      </c>
      <c r="C202" s="1034" t="str">
        <f>CHOOSE(WEEKDAY(tblDias[[#This Row],[Fecha]],2),"lun","mar","mié","jue","vie","sáb","dom")</f>
        <v>jue</v>
      </c>
      <c r="D202" s="1039" t="s">
        <v>9256</v>
      </c>
      <c r="E202" s="1035">
        <f>COUNTIFS(tblConcentrado[Fecha],tblDias[[#This Row],[Fecha]])</f>
        <v>0</v>
      </c>
      <c r="F202" s="1035">
        <f t="shared" si="2"/>
        <v>24</v>
      </c>
      <c r="G202" s="1036">
        <f>IF(tblDias[[#This Row],[Horas esperadas]]=0,0,tblDias[[#This Row],[Horas cargadas]]/tblDias[[#This Row],[Horas esperadas]])</f>
        <v>0</v>
      </c>
      <c r="H202" s="1035" t="str">
        <f ca="1">IF(tblDias[[#This Row],[Fecha]]&gt;TODAY(),"Pendiente",IF(tblDias[[#This Row],[Horas cargadas]]=0,"Sin datos",IF(tblDias[[#This Row],[Horas cargadas]]&lt;tblDias[[#This Row],[Horas esperadas]],"Parcial","Completo")))</f>
        <v>Pendiente</v>
      </c>
      <c r="I202" s="1037">
        <f>COUNTIFS(tblRDO[Fecha],tblDias[[#This Row],[Fecha]])</f>
        <v>0</v>
      </c>
      <c r="J202" s="1038" t="str">
        <f ca="1">IF(tblDias[[#This Row],[Fecha]]&gt;TODAY(),"Pendiente",IF(tblDias[[#This Row],[Filas RDO]]=0,"Sin RDO","Cargado"))</f>
        <v>Pendiente</v>
      </c>
      <c r="K202" s="972">
        <f>COUNTIFS(tblControles[Fecha],tblDias[[#This Row],[Fecha]],tblControles[Turno],"&lt;&gt;Obs")</f>
        <v>0</v>
      </c>
      <c r="L202" s="971">
        <f>SUMIFS(tblParadas[Horas perdidas],tblParadas[Fecha],tblDias[[#This Row],[Fecha]])</f>
        <v>0</v>
      </c>
      <c r="M202" s="1040"/>
      <c r="N202" s="953"/>
      <c r="O202" s="1040"/>
    </row>
    <row r="203" spans="2:15">
      <c r="B203" s="1041">
        <v>46458</v>
      </c>
      <c r="C203" s="1034" t="str">
        <f>CHOOSE(WEEKDAY(tblDias[[#This Row],[Fecha]],2),"lun","mar","mié","jue","vie","sáb","dom")</f>
        <v>vie</v>
      </c>
      <c r="D203" s="1039" t="s">
        <v>9256</v>
      </c>
      <c r="E203" s="1035">
        <f>COUNTIFS(tblConcentrado[Fecha],tblDias[[#This Row],[Fecha]])</f>
        <v>0</v>
      </c>
      <c r="F203" s="1035">
        <f t="shared" ref="F203:F266" si="3">CFG_HORAS</f>
        <v>24</v>
      </c>
      <c r="G203" s="1036">
        <f>IF(tblDias[[#This Row],[Horas esperadas]]=0,0,tblDias[[#This Row],[Horas cargadas]]/tblDias[[#This Row],[Horas esperadas]])</f>
        <v>0</v>
      </c>
      <c r="H203" s="1035" t="str">
        <f ca="1">IF(tblDias[[#This Row],[Fecha]]&gt;TODAY(),"Pendiente",IF(tblDias[[#This Row],[Horas cargadas]]=0,"Sin datos",IF(tblDias[[#This Row],[Horas cargadas]]&lt;tblDias[[#This Row],[Horas esperadas]],"Parcial","Completo")))</f>
        <v>Pendiente</v>
      </c>
      <c r="I203" s="1037">
        <f>COUNTIFS(tblRDO[Fecha],tblDias[[#This Row],[Fecha]])</f>
        <v>0</v>
      </c>
      <c r="J203" s="1038" t="str">
        <f ca="1">IF(tblDias[[#This Row],[Fecha]]&gt;TODAY(),"Pendiente",IF(tblDias[[#This Row],[Filas RDO]]=0,"Sin RDO","Cargado"))</f>
        <v>Pendiente</v>
      </c>
      <c r="K203" s="972">
        <f>COUNTIFS(tblControles[Fecha],tblDias[[#This Row],[Fecha]],tblControles[Turno],"&lt;&gt;Obs")</f>
        <v>0</v>
      </c>
      <c r="L203" s="971">
        <f>SUMIFS(tblParadas[Horas perdidas],tblParadas[Fecha],tblDias[[#This Row],[Fecha]])</f>
        <v>0</v>
      </c>
      <c r="M203" s="1040"/>
      <c r="N203" s="953"/>
      <c r="O203" s="1040"/>
    </row>
    <row r="204" spans="2:15">
      <c r="B204" s="1041">
        <v>46459</v>
      </c>
      <c r="C204" s="1034" t="str">
        <f>CHOOSE(WEEKDAY(tblDias[[#This Row],[Fecha]],2),"lun","mar","mié","jue","vie","sáb","dom")</f>
        <v>sáb</v>
      </c>
      <c r="D204" s="1039" t="s">
        <v>9256</v>
      </c>
      <c r="E204" s="1035">
        <f>COUNTIFS(tblConcentrado[Fecha],tblDias[[#This Row],[Fecha]])</f>
        <v>0</v>
      </c>
      <c r="F204" s="1035">
        <f t="shared" si="3"/>
        <v>24</v>
      </c>
      <c r="G204" s="1036">
        <f>IF(tblDias[[#This Row],[Horas esperadas]]=0,0,tblDias[[#This Row],[Horas cargadas]]/tblDias[[#This Row],[Horas esperadas]])</f>
        <v>0</v>
      </c>
      <c r="H204" s="1035" t="str">
        <f ca="1">IF(tblDias[[#This Row],[Fecha]]&gt;TODAY(),"Pendiente",IF(tblDias[[#This Row],[Horas cargadas]]=0,"Sin datos",IF(tblDias[[#This Row],[Horas cargadas]]&lt;tblDias[[#This Row],[Horas esperadas]],"Parcial","Completo")))</f>
        <v>Pendiente</v>
      </c>
      <c r="I204" s="1037">
        <f>COUNTIFS(tblRDO[Fecha],tblDias[[#This Row],[Fecha]])</f>
        <v>0</v>
      </c>
      <c r="J204" s="1038" t="str">
        <f ca="1">IF(tblDias[[#This Row],[Fecha]]&gt;TODAY(),"Pendiente",IF(tblDias[[#This Row],[Filas RDO]]=0,"Sin RDO","Cargado"))</f>
        <v>Pendiente</v>
      </c>
      <c r="K204" s="972">
        <f>COUNTIFS(tblControles[Fecha],tblDias[[#This Row],[Fecha]],tblControles[Turno],"&lt;&gt;Obs")</f>
        <v>0</v>
      </c>
      <c r="L204" s="971">
        <f>SUMIFS(tblParadas[Horas perdidas],tblParadas[Fecha],tblDias[[#This Row],[Fecha]])</f>
        <v>0</v>
      </c>
      <c r="M204" s="1040"/>
      <c r="N204" s="953"/>
      <c r="O204" s="1040"/>
    </row>
    <row r="205" spans="2:15">
      <c r="B205" s="1041">
        <v>46460</v>
      </c>
      <c r="C205" s="1034" t="str">
        <f>CHOOSE(WEEKDAY(tblDias[[#This Row],[Fecha]],2),"lun","mar","mié","jue","vie","sáb","dom")</f>
        <v>dom</v>
      </c>
      <c r="D205" s="1039" t="s">
        <v>9256</v>
      </c>
      <c r="E205" s="1035">
        <f>COUNTIFS(tblConcentrado[Fecha],tblDias[[#This Row],[Fecha]])</f>
        <v>0</v>
      </c>
      <c r="F205" s="1035">
        <f t="shared" si="3"/>
        <v>24</v>
      </c>
      <c r="G205" s="1036">
        <f>IF(tblDias[[#This Row],[Horas esperadas]]=0,0,tblDias[[#This Row],[Horas cargadas]]/tblDias[[#This Row],[Horas esperadas]])</f>
        <v>0</v>
      </c>
      <c r="H205" s="1035" t="str">
        <f ca="1">IF(tblDias[[#This Row],[Fecha]]&gt;TODAY(),"Pendiente",IF(tblDias[[#This Row],[Horas cargadas]]=0,"Sin datos",IF(tblDias[[#This Row],[Horas cargadas]]&lt;tblDias[[#This Row],[Horas esperadas]],"Parcial","Completo")))</f>
        <v>Pendiente</v>
      </c>
      <c r="I205" s="1037">
        <f>COUNTIFS(tblRDO[Fecha],tblDias[[#This Row],[Fecha]])</f>
        <v>0</v>
      </c>
      <c r="J205" s="1038" t="str">
        <f ca="1">IF(tblDias[[#This Row],[Fecha]]&gt;TODAY(),"Pendiente",IF(tblDias[[#This Row],[Filas RDO]]=0,"Sin RDO","Cargado"))</f>
        <v>Pendiente</v>
      </c>
      <c r="K205" s="972">
        <f>COUNTIFS(tblControles[Fecha],tblDias[[#This Row],[Fecha]],tblControles[Turno],"&lt;&gt;Obs")</f>
        <v>0</v>
      </c>
      <c r="L205" s="971">
        <f>SUMIFS(tblParadas[Horas perdidas],tblParadas[Fecha],tblDias[[#This Row],[Fecha]])</f>
        <v>0</v>
      </c>
      <c r="M205" s="1040"/>
      <c r="N205" s="953"/>
      <c r="O205" s="1040"/>
    </row>
    <row r="206" spans="2:15">
      <c r="B206" s="1041">
        <v>46461</v>
      </c>
      <c r="C206" s="1034" t="str">
        <f>CHOOSE(WEEKDAY(tblDias[[#This Row],[Fecha]],2),"lun","mar","mié","jue","vie","sáb","dom")</f>
        <v>lun</v>
      </c>
      <c r="D206" s="1039" t="s">
        <v>9256</v>
      </c>
      <c r="E206" s="1035">
        <f>COUNTIFS(tblConcentrado[Fecha],tblDias[[#This Row],[Fecha]])</f>
        <v>0</v>
      </c>
      <c r="F206" s="1035">
        <f t="shared" si="3"/>
        <v>24</v>
      </c>
      <c r="G206" s="1036">
        <f>IF(tblDias[[#This Row],[Horas esperadas]]=0,0,tblDias[[#This Row],[Horas cargadas]]/tblDias[[#This Row],[Horas esperadas]])</f>
        <v>0</v>
      </c>
      <c r="H206" s="1035" t="str">
        <f ca="1">IF(tblDias[[#This Row],[Fecha]]&gt;TODAY(),"Pendiente",IF(tblDias[[#This Row],[Horas cargadas]]=0,"Sin datos",IF(tblDias[[#This Row],[Horas cargadas]]&lt;tblDias[[#This Row],[Horas esperadas]],"Parcial","Completo")))</f>
        <v>Pendiente</v>
      </c>
      <c r="I206" s="1037">
        <f>COUNTIFS(tblRDO[Fecha],tblDias[[#This Row],[Fecha]])</f>
        <v>0</v>
      </c>
      <c r="J206" s="1038" t="str">
        <f ca="1">IF(tblDias[[#This Row],[Fecha]]&gt;TODAY(),"Pendiente",IF(tblDias[[#This Row],[Filas RDO]]=0,"Sin RDO","Cargado"))</f>
        <v>Pendiente</v>
      </c>
      <c r="K206" s="972">
        <f>COUNTIFS(tblControles[Fecha],tblDias[[#This Row],[Fecha]],tblControles[Turno],"&lt;&gt;Obs")</f>
        <v>0</v>
      </c>
      <c r="L206" s="971">
        <f>SUMIFS(tblParadas[Horas perdidas],tblParadas[Fecha],tblDias[[#This Row],[Fecha]])</f>
        <v>0</v>
      </c>
      <c r="M206" s="1040"/>
      <c r="N206" s="953"/>
      <c r="O206" s="1040"/>
    </row>
    <row r="207" spans="2:15">
      <c r="B207" s="1041">
        <v>46462</v>
      </c>
      <c r="C207" s="1034" t="str">
        <f>CHOOSE(WEEKDAY(tblDias[[#This Row],[Fecha]],2),"lun","mar","mié","jue","vie","sáb","dom")</f>
        <v>mar</v>
      </c>
      <c r="D207" s="1039" t="s">
        <v>9256</v>
      </c>
      <c r="E207" s="1035">
        <f>COUNTIFS(tblConcentrado[Fecha],tblDias[[#This Row],[Fecha]])</f>
        <v>0</v>
      </c>
      <c r="F207" s="1035">
        <f t="shared" si="3"/>
        <v>24</v>
      </c>
      <c r="G207" s="1036">
        <f>IF(tblDias[[#This Row],[Horas esperadas]]=0,0,tblDias[[#This Row],[Horas cargadas]]/tblDias[[#This Row],[Horas esperadas]])</f>
        <v>0</v>
      </c>
      <c r="H207" s="1035" t="str">
        <f ca="1">IF(tblDias[[#This Row],[Fecha]]&gt;TODAY(),"Pendiente",IF(tblDias[[#This Row],[Horas cargadas]]=0,"Sin datos",IF(tblDias[[#This Row],[Horas cargadas]]&lt;tblDias[[#This Row],[Horas esperadas]],"Parcial","Completo")))</f>
        <v>Pendiente</v>
      </c>
      <c r="I207" s="1037">
        <f>COUNTIFS(tblRDO[Fecha],tblDias[[#This Row],[Fecha]])</f>
        <v>0</v>
      </c>
      <c r="J207" s="1038" t="str">
        <f ca="1">IF(tblDias[[#This Row],[Fecha]]&gt;TODAY(),"Pendiente",IF(tblDias[[#This Row],[Filas RDO]]=0,"Sin RDO","Cargado"))</f>
        <v>Pendiente</v>
      </c>
      <c r="K207" s="972">
        <f>COUNTIFS(tblControles[Fecha],tblDias[[#This Row],[Fecha]],tblControles[Turno],"&lt;&gt;Obs")</f>
        <v>0</v>
      </c>
      <c r="L207" s="971">
        <f>SUMIFS(tblParadas[Horas perdidas],tblParadas[Fecha],tblDias[[#This Row],[Fecha]])</f>
        <v>0</v>
      </c>
      <c r="M207" s="1040"/>
      <c r="N207" s="953"/>
      <c r="O207" s="1040"/>
    </row>
    <row r="208" spans="2:15">
      <c r="B208" s="1041">
        <v>46463</v>
      </c>
      <c r="C208" s="1034" t="str">
        <f>CHOOSE(WEEKDAY(tblDias[[#This Row],[Fecha]],2),"lun","mar","mié","jue","vie","sáb","dom")</f>
        <v>mié</v>
      </c>
      <c r="D208" s="1039" t="s">
        <v>9256</v>
      </c>
      <c r="E208" s="1035">
        <f>COUNTIFS(tblConcentrado[Fecha],tblDias[[#This Row],[Fecha]])</f>
        <v>0</v>
      </c>
      <c r="F208" s="1035">
        <f t="shared" si="3"/>
        <v>24</v>
      </c>
      <c r="G208" s="1036">
        <f>IF(tblDias[[#This Row],[Horas esperadas]]=0,0,tblDias[[#This Row],[Horas cargadas]]/tblDias[[#This Row],[Horas esperadas]])</f>
        <v>0</v>
      </c>
      <c r="H208" s="1035" t="str">
        <f ca="1">IF(tblDias[[#This Row],[Fecha]]&gt;TODAY(),"Pendiente",IF(tblDias[[#This Row],[Horas cargadas]]=0,"Sin datos",IF(tblDias[[#This Row],[Horas cargadas]]&lt;tblDias[[#This Row],[Horas esperadas]],"Parcial","Completo")))</f>
        <v>Pendiente</v>
      </c>
      <c r="I208" s="1037">
        <f>COUNTIFS(tblRDO[Fecha],tblDias[[#This Row],[Fecha]])</f>
        <v>0</v>
      </c>
      <c r="J208" s="1038" t="str">
        <f ca="1">IF(tblDias[[#This Row],[Fecha]]&gt;TODAY(),"Pendiente",IF(tblDias[[#This Row],[Filas RDO]]=0,"Sin RDO","Cargado"))</f>
        <v>Pendiente</v>
      </c>
      <c r="K208" s="972">
        <f>COUNTIFS(tblControles[Fecha],tblDias[[#This Row],[Fecha]],tblControles[Turno],"&lt;&gt;Obs")</f>
        <v>0</v>
      </c>
      <c r="L208" s="971">
        <f>SUMIFS(tblParadas[Horas perdidas],tblParadas[Fecha],tblDias[[#This Row],[Fecha]])</f>
        <v>0</v>
      </c>
      <c r="M208" s="1040"/>
      <c r="N208" s="953"/>
      <c r="O208" s="1040"/>
    </row>
    <row r="209" spans="2:15">
      <c r="B209" s="1041">
        <v>46464</v>
      </c>
      <c r="C209" s="1034" t="str">
        <f>CHOOSE(WEEKDAY(tblDias[[#This Row],[Fecha]],2),"lun","mar","mié","jue","vie","sáb","dom")</f>
        <v>jue</v>
      </c>
      <c r="D209" s="1039" t="s">
        <v>9256</v>
      </c>
      <c r="E209" s="1035">
        <f>COUNTIFS(tblConcentrado[Fecha],tblDias[[#This Row],[Fecha]])</f>
        <v>0</v>
      </c>
      <c r="F209" s="1035">
        <f t="shared" si="3"/>
        <v>24</v>
      </c>
      <c r="G209" s="1036">
        <f>IF(tblDias[[#This Row],[Horas esperadas]]=0,0,tblDias[[#This Row],[Horas cargadas]]/tblDias[[#This Row],[Horas esperadas]])</f>
        <v>0</v>
      </c>
      <c r="H209" s="1035" t="str">
        <f ca="1">IF(tblDias[[#This Row],[Fecha]]&gt;TODAY(),"Pendiente",IF(tblDias[[#This Row],[Horas cargadas]]=0,"Sin datos",IF(tblDias[[#This Row],[Horas cargadas]]&lt;tblDias[[#This Row],[Horas esperadas]],"Parcial","Completo")))</f>
        <v>Pendiente</v>
      </c>
      <c r="I209" s="1037">
        <f>COUNTIFS(tblRDO[Fecha],tblDias[[#This Row],[Fecha]])</f>
        <v>0</v>
      </c>
      <c r="J209" s="1038" t="str">
        <f ca="1">IF(tblDias[[#This Row],[Fecha]]&gt;TODAY(),"Pendiente",IF(tblDias[[#This Row],[Filas RDO]]=0,"Sin RDO","Cargado"))</f>
        <v>Pendiente</v>
      </c>
      <c r="K209" s="972">
        <f>COUNTIFS(tblControles[Fecha],tblDias[[#This Row],[Fecha]],tblControles[Turno],"&lt;&gt;Obs")</f>
        <v>0</v>
      </c>
      <c r="L209" s="971">
        <f>SUMIFS(tblParadas[Horas perdidas],tblParadas[Fecha],tblDias[[#This Row],[Fecha]])</f>
        <v>0</v>
      </c>
      <c r="M209" s="1040"/>
      <c r="N209" s="953"/>
      <c r="O209" s="1040"/>
    </row>
    <row r="210" spans="2:15">
      <c r="B210" s="1041">
        <v>46465</v>
      </c>
      <c r="C210" s="1034" t="str">
        <f>CHOOSE(WEEKDAY(tblDias[[#This Row],[Fecha]],2),"lun","mar","mié","jue","vie","sáb","dom")</f>
        <v>vie</v>
      </c>
      <c r="D210" s="1039" t="s">
        <v>9256</v>
      </c>
      <c r="E210" s="1035">
        <f>COUNTIFS(tblConcentrado[Fecha],tblDias[[#This Row],[Fecha]])</f>
        <v>0</v>
      </c>
      <c r="F210" s="1035">
        <f t="shared" si="3"/>
        <v>24</v>
      </c>
      <c r="G210" s="1036">
        <f>IF(tblDias[[#This Row],[Horas esperadas]]=0,0,tblDias[[#This Row],[Horas cargadas]]/tblDias[[#This Row],[Horas esperadas]])</f>
        <v>0</v>
      </c>
      <c r="H210" s="1035" t="str">
        <f ca="1">IF(tblDias[[#This Row],[Fecha]]&gt;TODAY(),"Pendiente",IF(tblDias[[#This Row],[Horas cargadas]]=0,"Sin datos",IF(tblDias[[#This Row],[Horas cargadas]]&lt;tblDias[[#This Row],[Horas esperadas]],"Parcial","Completo")))</f>
        <v>Pendiente</v>
      </c>
      <c r="I210" s="1037">
        <f>COUNTIFS(tblRDO[Fecha],tblDias[[#This Row],[Fecha]])</f>
        <v>0</v>
      </c>
      <c r="J210" s="1038" t="str">
        <f ca="1">IF(tblDias[[#This Row],[Fecha]]&gt;TODAY(),"Pendiente",IF(tblDias[[#This Row],[Filas RDO]]=0,"Sin RDO","Cargado"))</f>
        <v>Pendiente</v>
      </c>
      <c r="K210" s="972">
        <f>COUNTIFS(tblControles[Fecha],tblDias[[#This Row],[Fecha]],tblControles[Turno],"&lt;&gt;Obs")</f>
        <v>0</v>
      </c>
      <c r="L210" s="971">
        <f>SUMIFS(tblParadas[Horas perdidas],tblParadas[Fecha],tblDias[[#This Row],[Fecha]])</f>
        <v>0</v>
      </c>
      <c r="M210" s="1040"/>
      <c r="N210" s="953"/>
      <c r="O210" s="1040"/>
    </row>
    <row r="211" spans="2:15">
      <c r="B211" s="1041">
        <v>46466</v>
      </c>
      <c r="C211" s="1034" t="str">
        <f>CHOOSE(WEEKDAY(tblDias[[#This Row],[Fecha]],2),"lun","mar","mié","jue","vie","sáb","dom")</f>
        <v>sáb</v>
      </c>
      <c r="D211" s="1039" t="s">
        <v>9256</v>
      </c>
      <c r="E211" s="1035">
        <f>COUNTIFS(tblConcentrado[Fecha],tblDias[[#This Row],[Fecha]])</f>
        <v>0</v>
      </c>
      <c r="F211" s="1035">
        <f t="shared" si="3"/>
        <v>24</v>
      </c>
      <c r="G211" s="1036">
        <f>IF(tblDias[[#This Row],[Horas esperadas]]=0,0,tblDias[[#This Row],[Horas cargadas]]/tblDias[[#This Row],[Horas esperadas]])</f>
        <v>0</v>
      </c>
      <c r="H211" s="1035" t="str">
        <f ca="1">IF(tblDias[[#This Row],[Fecha]]&gt;TODAY(),"Pendiente",IF(tblDias[[#This Row],[Horas cargadas]]=0,"Sin datos",IF(tblDias[[#This Row],[Horas cargadas]]&lt;tblDias[[#This Row],[Horas esperadas]],"Parcial","Completo")))</f>
        <v>Pendiente</v>
      </c>
      <c r="I211" s="1037">
        <f>COUNTIFS(tblRDO[Fecha],tblDias[[#This Row],[Fecha]])</f>
        <v>0</v>
      </c>
      <c r="J211" s="1038" t="str">
        <f ca="1">IF(tblDias[[#This Row],[Fecha]]&gt;TODAY(),"Pendiente",IF(tblDias[[#This Row],[Filas RDO]]=0,"Sin RDO","Cargado"))</f>
        <v>Pendiente</v>
      </c>
      <c r="K211" s="972">
        <f>COUNTIFS(tblControles[Fecha],tblDias[[#This Row],[Fecha]],tblControles[Turno],"&lt;&gt;Obs")</f>
        <v>0</v>
      </c>
      <c r="L211" s="971">
        <f>SUMIFS(tblParadas[Horas perdidas],tblParadas[Fecha],tblDias[[#This Row],[Fecha]])</f>
        <v>0</v>
      </c>
      <c r="M211" s="1040"/>
      <c r="N211" s="953"/>
      <c r="O211" s="1040"/>
    </row>
    <row r="212" spans="2:15">
      <c r="B212" s="1041">
        <v>46467</v>
      </c>
      <c r="C212" s="1034" t="str">
        <f>CHOOSE(WEEKDAY(tblDias[[#This Row],[Fecha]],2),"lun","mar","mié","jue","vie","sáb","dom")</f>
        <v>dom</v>
      </c>
      <c r="D212" s="1039" t="s">
        <v>9256</v>
      </c>
      <c r="E212" s="1035">
        <f>COUNTIFS(tblConcentrado[Fecha],tblDias[[#This Row],[Fecha]])</f>
        <v>0</v>
      </c>
      <c r="F212" s="1035">
        <f t="shared" si="3"/>
        <v>24</v>
      </c>
      <c r="G212" s="1036">
        <f>IF(tblDias[[#This Row],[Horas esperadas]]=0,0,tblDias[[#This Row],[Horas cargadas]]/tblDias[[#This Row],[Horas esperadas]])</f>
        <v>0</v>
      </c>
      <c r="H212" s="1035" t="str">
        <f ca="1">IF(tblDias[[#This Row],[Fecha]]&gt;TODAY(),"Pendiente",IF(tblDias[[#This Row],[Horas cargadas]]=0,"Sin datos",IF(tblDias[[#This Row],[Horas cargadas]]&lt;tblDias[[#This Row],[Horas esperadas]],"Parcial","Completo")))</f>
        <v>Pendiente</v>
      </c>
      <c r="I212" s="1037">
        <f>COUNTIFS(tblRDO[Fecha],tblDias[[#This Row],[Fecha]])</f>
        <v>0</v>
      </c>
      <c r="J212" s="1038" t="str">
        <f ca="1">IF(tblDias[[#This Row],[Fecha]]&gt;TODAY(),"Pendiente",IF(tblDias[[#This Row],[Filas RDO]]=0,"Sin RDO","Cargado"))</f>
        <v>Pendiente</v>
      </c>
      <c r="K212" s="972">
        <f>COUNTIFS(tblControles[Fecha],tblDias[[#This Row],[Fecha]],tblControles[Turno],"&lt;&gt;Obs")</f>
        <v>0</v>
      </c>
      <c r="L212" s="971">
        <f>SUMIFS(tblParadas[Horas perdidas],tblParadas[Fecha],tblDias[[#This Row],[Fecha]])</f>
        <v>0</v>
      </c>
      <c r="M212" s="1040"/>
      <c r="N212" s="953"/>
      <c r="O212" s="1040"/>
    </row>
    <row r="213" spans="2:15">
      <c r="B213" s="1041">
        <v>46468</v>
      </c>
      <c r="C213" s="1034" t="str">
        <f>CHOOSE(WEEKDAY(tblDias[[#This Row],[Fecha]],2),"lun","mar","mié","jue","vie","sáb","dom")</f>
        <v>lun</v>
      </c>
      <c r="D213" s="1039" t="s">
        <v>9256</v>
      </c>
      <c r="E213" s="1035">
        <f>COUNTIFS(tblConcentrado[Fecha],tblDias[[#This Row],[Fecha]])</f>
        <v>0</v>
      </c>
      <c r="F213" s="1035">
        <f t="shared" si="3"/>
        <v>24</v>
      </c>
      <c r="G213" s="1036">
        <f>IF(tblDias[[#This Row],[Horas esperadas]]=0,0,tblDias[[#This Row],[Horas cargadas]]/tblDias[[#This Row],[Horas esperadas]])</f>
        <v>0</v>
      </c>
      <c r="H213" s="1035" t="str">
        <f ca="1">IF(tblDias[[#This Row],[Fecha]]&gt;TODAY(),"Pendiente",IF(tblDias[[#This Row],[Horas cargadas]]=0,"Sin datos",IF(tblDias[[#This Row],[Horas cargadas]]&lt;tblDias[[#This Row],[Horas esperadas]],"Parcial","Completo")))</f>
        <v>Pendiente</v>
      </c>
      <c r="I213" s="1037">
        <f>COUNTIFS(tblRDO[Fecha],tblDias[[#This Row],[Fecha]])</f>
        <v>0</v>
      </c>
      <c r="J213" s="1038" t="str">
        <f ca="1">IF(tblDias[[#This Row],[Fecha]]&gt;TODAY(),"Pendiente",IF(tblDias[[#This Row],[Filas RDO]]=0,"Sin RDO","Cargado"))</f>
        <v>Pendiente</v>
      </c>
      <c r="K213" s="972">
        <f>COUNTIFS(tblControles[Fecha],tblDias[[#This Row],[Fecha]],tblControles[Turno],"&lt;&gt;Obs")</f>
        <v>0</v>
      </c>
      <c r="L213" s="971">
        <f>SUMIFS(tblParadas[Horas perdidas],tblParadas[Fecha],tblDias[[#This Row],[Fecha]])</f>
        <v>0</v>
      </c>
      <c r="M213" s="1040"/>
      <c r="N213" s="953"/>
      <c r="O213" s="1040"/>
    </row>
    <row r="214" spans="2:15">
      <c r="B214" s="1041">
        <v>46469</v>
      </c>
      <c r="C214" s="1034" t="str">
        <f>CHOOSE(WEEKDAY(tblDias[[#This Row],[Fecha]],2),"lun","mar","mié","jue","vie","sáb","dom")</f>
        <v>mar</v>
      </c>
      <c r="D214" s="1039" t="s">
        <v>9256</v>
      </c>
      <c r="E214" s="1035">
        <f>COUNTIFS(tblConcentrado[Fecha],tblDias[[#This Row],[Fecha]])</f>
        <v>0</v>
      </c>
      <c r="F214" s="1035">
        <f t="shared" si="3"/>
        <v>24</v>
      </c>
      <c r="G214" s="1036">
        <f>IF(tblDias[[#This Row],[Horas esperadas]]=0,0,tblDias[[#This Row],[Horas cargadas]]/tblDias[[#This Row],[Horas esperadas]])</f>
        <v>0</v>
      </c>
      <c r="H214" s="1035" t="str">
        <f ca="1">IF(tblDias[[#This Row],[Fecha]]&gt;TODAY(),"Pendiente",IF(tblDias[[#This Row],[Horas cargadas]]=0,"Sin datos",IF(tblDias[[#This Row],[Horas cargadas]]&lt;tblDias[[#This Row],[Horas esperadas]],"Parcial","Completo")))</f>
        <v>Pendiente</v>
      </c>
      <c r="I214" s="1037">
        <f>COUNTIFS(tblRDO[Fecha],tblDias[[#This Row],[Fecha]])</f>
        <v>0</v>
      </c>
      <c r="J214" s="1038" t="str">
        <f ca="1">IF(tblDias[[#This Row],[Fecha]]&gt;TODAY(),"Pendiente",IF(tblDias[[#This Row],[Filas RDO]]=0,"Sin RDO","Cargado"))</f>
        <v>Pendiente</v>
      </c>
      <c r="K214" s="972">
        <f>COUNTIFS(tblControles[Fecha],tblDias[[#This Row],[Fecha]],tblControles[Turno],"&lt;&gt;Obs")</f>
        <v>0</v>
      </c>
      <c r="L214" s="971">
        <f>SUMIFS(tblParadas[Horas perdidas],tblParadas[Fecha],tblDias[[#This Row],[Fecha]])</f>
        <v>0</v>
      </c>
      <c r="M214" s="1040"/>
      <c r="N214" s="953"/>
      <c r="O214" s="1040"/>
    </row>
    <row r="215" spans="2:15">
      <c r="B215" s="1041">
        <v>46470</v>
      </c>
      <c r="C215" s="1034" t="str">
        <f>CHOOSE(WEEKDAY(tblDias[[#This Row],[Fecha]],2),"lun","mar","mié","jue","vie","sáb","dom")</f>
        <v>mié</v>
      </c>
      <c r="D215" s="1039" t="s">
        <v>9256</v>
      </c>
      <c r="E215" s="1035">
        <f>COUNTIFS(tblConcentrado[Fecha],tblDias[[#This Row],[Fecha]])</f>
        <v>0</v>
      </c>
      <c r="F215" s="1035">
        <f t="shared" si="3"/>
        <v>24</v>
      </c>
      <c r="G215" s="1036">
        <f>IF(tblDias[[#This Row],[Horas esperadas]]=0,0,tblDias[[#This Row],[Horas cargadas]]/tblDias[[#This Row],[Horas esperadas]])</f>
        <v>0</v>
      </c>
      <c r="H215" s="1035" t="str">
        <f ca="1">IF(tblDias[[#This Row],[Fecha]]&gt;TODAY(),"Pendiente",IF(tblDias[[#This Row],[Horas cargadas]]=0,"Sin datos",IF(tblDias[[#This Row],[Horas cargadas]]&lt;tblDias[[#This Row],[Horas esperadas]],"Parcial","Completo")))</f>
        <v>Pendiente</v>
      </c>
      <c r="I215" s="1037">
        <f>COUNTIFS(tblRDO[Fecha],tblDias[[#This Row],[Fecha]])</f>
        <v>0</v>
      </c>
      <c r="J215" s="1038" t="str">
        <f ca="1">IF(tblDias[[#This Row],[Fecha]]&gt;TODAY(),"Pendiente",IF(tblDias[[#This Row],[Filas RDO]]=0,"Sin RDO","Cargado"))</f>
        <v>Pendiente</v>
      </c>
      <c r="K215" s="972">
        <f>COUNTIFS(tblControles[Fecha],tblDias[[#This Row],[Fecha]],tblControles[Turno],"&lt;&gt;Obs")</f>
        <v>0</v>
      </c>
      <c r="L215" s="971">
        <f>SUMIFS(tblParadas[Horas perdidas],tblParadas[Fecha],tblDias[[#This Row],[Fecha]])</f>
        <v>0</v>
      </c>
      <c r="M215" s="1040"/>
      <c r="N215" s="953"/>
      <c r="O215" s="1040"/>
    </row>
    <row r="216" spans="2:15">
      <c r="B216" s="1041">
        <v>46471</v>
      </c>
      <c r="C216" s="1034" t="str">
        <f>CHOOSE(WEEKDAY(tblDias[[#This Row],[Fecha]],2),"lun","mar","mié","jue","vie","sáb","dom")</f>
        <v>jue</v>
      </c>
      <c r="D216" s="1039" t="s">
        <v>9256</v>
      </c>
      <c r="E216" s="1035">
        <f>COUNTIFS(tblConcentrado[Fecha],tblDias[[#This Row],[Fecha]])</f>
        <v>0</v>
      </c>
      <c r="F216" s="1035">
        <f t="shared" si="3"/>
        <v>24</v>
      </c>
      <c r="G216" s="1036">
        <f>IF(tblDias[[#This Row],[Horas esperadas]]=0,0,tblDias[[#This Row],[Horas cargadas]]/tblDias[[#This Row],[Horas esperadas]])</f>
        <v>0</v>
      </c>
      <c r="H216" s="1035" t="str">
        <f ca="1">IF(tblDias[[#This Row],[Fecha]]&gt;TODAY(),"Pendiente",IF(tblDias[[#This Row],[Horas cargadas]]=0,"Sin datos",IF(tblDias[[#This Row],[Horas cargadas]]&lt;tblDias[[#This Row],[Horas esperadas]],"Parcial","Completo")))</f>
        <v>Pendiente</v>
      </c>
      <c r="I216" s="1037">
        <f>COUNTIFS(tblRDO[Fecha],tblDias[[#This Row],[Fecha]])</f>
        <v>0</v>
      </c>
      <c r="J216" s="1038" t="str">
        <f ca="1">IF(tblDias[[#This Row],[Fecha]]&gt;TODAY(),"Pendiente",IF(tblDias[[#This Row],[Filas RDO]]=0,"Sin RDO","Cargado"))</f>
        <v>Pendiente</v>
      </c>
      <c r="K216" s="972">
        <f>COUNTIFS(tblControles[Fecha],tblDias[[#This Row],[Fecha]],tblControles[Turno],"&lt;&gt;Obs")</f>
        <v>0</v>
      </c>
      <c r="L216" s="971">
        <f>SUMIFS(tblParadas[Horas perdidas],tblParadas[Fecha],tblDias[[#This Row],[Fecha]])</f>
        <v>0</v>
      </c>
      <c r="M216" s="1040"/>
      <c r="N216" s="953"/>
      <c r="O216" s="1040"/>
    </row>
    <row r="217" spans="2:15">
      <c r="B217" s="1041">
        <v>46472</v>
      </c>
      <c r="C217" s="1034" t="str">
        <f>CHOOSE(WEEKDAY(tblDias[[#This Row],[Fecha]],2),"lun","mar","mié","jue","vie","sáb","dom")</f>
        <v>vie</v>
      </c>
      <c r="D217" s="1039" t="s">
        <v>9256</v>
      </c>
      <c r="E217" s="1035">
        <f>COUNTIFS(tblConcentrado[Fecha],tblDias[[#This Row],[Fecha]])</f>
        <v>0</v>
      </c>
      <c r="F217" s="1035">
        <f t="shared" si="3"/>
        <v>24</v>
      </c>
      <c r="G217" s="1036">
        <f>IF(tblDias[[#This Row],[Horas esperadas]]=0,0,tblDias[[#This Row],[Horas cargadas]]/tblDias[[#This Row],[Horas esperadas]])</f>
        <v>0</v>
      </c>
      <c r="H217" s="1035" t="str">
        <f ca="1">IF(tblDias[[#This Row],[Fecha]]&gt;TODAY(),"Pendiente",IF(tblDias[[#This Row],[Horas cargadas]]=0,"Sin datos",IF(tblDias[[#This Row],[Horas cargadas]]&lt;tblDias[[#This Row],[Horas esperadas]],"Parcial","Completo")))</f>
        <v>Pendiente</v>
      </c>
      <c r="I217" s="1037">
        <f>COUNTIFS(tblRDO[Fecha],tblDias[[#This Row],[Fecha]])</f>
        <v>0</v>
      </c>
      <c r="J217" s="1038" t="str">
        <f ca="1">IF(tblDias[[#This Row],[Fecha]]&gt;TODAY(),"Pendiente",IF(tblDias[[#This Row],[Filas RDO]]=0,"Sin RDO","Cargado"))</f>
        <v>Pendiente</v>
      </c>
      <c r="K217" s="972">
        <f>COUNTIFS(tblControles[Fecha],tblDias[[#This Row],[Fecha]],tblControles[Turno],"&lt;&gt;Obs")</f>
        <v>0</v>
      </c>
      <c r="L217" s="971">
        <f>SUMIFS(tblParadas[Horas perdidas],tblParadas[Fecha],tblDias[[#This Row],[Fecha]])</f>
        <v>0</v>
      </c>
      <c r="M217" s="1040"/>
      <c r="N217" s="953"/>
      <c r="O217" s="1040"/>
    </row>
    <row r="218" spans="2:15">
      <c r="B218" s="1041">
        <v>46473</v>
      </c>
      <c r="C218" s="1034" t="str">
        <f>CHOOSE(WEEKDAY(tblDias[[#This Row],[Fecha]],2),"lun","mar","mié","jue","vie","sáb","dom")</f>
        <v>sáb</v>
      </c>
      <c r="D218" s="1039" t="s">
        <v>9256</v>
      </c>
      <c r="E218" s="1035">
        <f>COUNTIFS(tblConcentrado[Fecha],tblDias[[#This Row],[Fecha]])</f>
        <v>0</v>
      </c>
      <c r="F218" s="1035">
        <f t="shared" si="3"/>
        <v>24</v>
      </c>
      <c r="G218" s="1036">
        <f>IF(tblDias[[#This Row],[Horas esperadas]]=0,0,tblDias[[#This Row],[Horas cargadas]]/tblDias[[#This Row],[Horas esperadas]])</f>
        <v>0</v>
      </c>
      <c r="H218" s="1035" t="str">
        <f ca="1">IF(tblDias[[#This Row],[Fecha]]&gt;TODAY(),"Pendiente",IF(tblDias[[#This Row],[Horas cargadas]]=0,"Sin datos",IF(tblDias[[#This Row],[Horas cargadas]]&lt;tblDias[[#This Row],[Horas esperadas]],"Parcial","Completo")))</f>
        <v>Pendiente</v>
      </c>
      <c r="I218" s="1037">
        <f>COUNTIFS(tblRDO[Fecha],tblDias[[#This Row],[Fecha]])</f>
        <v>0</v>
      </c>
      <c r="J218" s="1038" t="str">
        <f ca="1">IF(tblDias[[#This Row],[Fecha]]&gt;TODAY(),"Pendiente",IF(tblDias[[#This Row],[Filas RDO]]=0,"Sin RDO","Cargado"))</f>
        <v>Pendiente</v>
      </c>
      <c r="K218" s="972">
        <f>COUNTIFS(tblControles[Fecha],tblDias[[#This Row],[Fecha]],tblControles[Turno],"&lt;&gt;Obs")</f>
        <v>0</v>
      </c>
      <c r="L218" s="971">
        <f>SUMIFS(tblParadas[Horas perdidas],tblParadas[Fecha],tblDias[[#This Row],[Fecha]])</f>
        <v>0</v>
      </c>
      <c r="M218" s="1040"/>
      <c r="N218" s="953"/>
      <c r="O218" s="1040"/>
    </row>
    <row r="219" spans="2:15">
      <c r="B219" s="1041">
        <v>46474</v>
      </c>
      <c r="C219" s="1034" t="str">
        <f>CHOOSE(WEEKDAY(tblDias[[#This Row],[Fecha]],2),"lun","mar","mié","jue","vie","sáb","dom")</f>
        <v>dom</v>
      </c>
      <c r="D219" s="1039" t="s">
        <v>9256</v>
      </c>
      <c r="E219" s="1035">
        <f>COUNTIFS(tblConcentrado[Fecha],tblDias[[#This Row],[Fecha]])</f>
        <v>0</v>
      </c>
      <c r="F219" s="1035">
        <f t="shared" si="3"/>
        <v>24</v>
      </c>
      <c r="G219" s="1036">
        <f>IF(tblDias[[#This Row],[Horas esperadas]]=0,0,tblDias[[#This Row],[Horas cargadas]]/tblDias[[#This Row],[Horas esperadas]])</f>
        <v>0</v>
      </c>
      <c r="H219" s="1035" t="str">
        <f ca="1">IF(tblDias[[#This Row],[Fecha]]&gt;TODAY(),"Pendiente",IF(tblDias[[#This Row],[Horas cargadas]]=0,"Sin datos",IF(tblDias[[#This Row],[Horas cargadas]]&lt;tblDias[[#This Row],[Horas esperadas]],"Parcial","Completo")))</f>
        <v>Pendiente</v>
      </c>
      <c r="I219" s="1037">
        <f>COUNTIFS(tblRDO[Fecha],tblDias[[#This Row],[Fecha]])</f>
        <v>0</v>
      </c>
      <c r="J219" s="1038" t="str">
        <f ca="1">IF(tblDias[[#This Row],[Fecha]]&gt;TODAY(),"Pendiente",IF(tblDias[[#This Row],[Filas RDO]]=0,"Sin RDO","Cargado"))</f>
        <v>Pendiente</v>
      </c>
      <c r="K219" s="972">
        <f>COUNTIFS(tblControles[Fecha],tblDias[[#This Row],[Fecha]],tblControles[Turno],"&lt;&gt;Obs")</f>
        <v>0</v>
      </c>
      <c r="L219" s="971">
        <f>SUMIFS(tblParadas[Horas perdidas],tblParadas[Fecha],tblDias[[#This Row],[Fecha]])</f>
        <v>0</v>
      </c>
      <c r="M219" s="1040"/>
      <c r="N219" s="953"/>
      <c r="O219" s="1040"/>
    </row>
    <row r="220" spans="2:15">
      <c r="B220" s="1041">
        <v>46475</v>
      </c>
      <c r="C220" s="1034" t="str">
        <f>CHOOSE(WEEKDAY(tblDias[[#This Row],[Fecha]],2),"lun","mar","mié","jue","vie","sáb","dom")</f>
        <v>lun</v>
      </c>
      <c r="D220" s="1039" t="s">
        <v>9256</v>
      </c>
      <c r="E220" s="1035">
        <f>COUNTIFS(tblConcentrado[Fecha],tblDias[[#This Row],[Fecha]])</f>
        <v>0</v>
      </c>
      <c r="F220" s="1035">
        <f t="shared" si="3"/>
        <v>24</v>
      </c>
      <c r="G220" s="1036">
        <f>IF(tblDias[[#This Row],[Horas esperadas]]=0,0,tblDias[[#This Row],[Horas cargadas]]/tblDias[[#This Row],[Horas esperadas]])</f>
        <v>0</v>
      </c>
      <c r="H220" s="1035" t="str">
        <f ca="1">IF(tblDias[[#This Row],[Fecha]]&gt;TODAY(),"Pendiente",IF(tblDias[[#This Row],[Horas cargadas]]=0,"Sin datos",IF(tblDias[[#This Row],[Horas cargadas]]&lt;tblDias[[#This Row],[Horas esperadas]],"Parcial","Completo")))</f>
        <v>Pendiente</v>
      </c>
      <c r="I220" s="1037">
        <f>COUNTIFS(tblRDO[Fecha],tblDias[[#This Row],[Fecha]])</f>
        <v>0</v>
      </c>
      <c r="J220" s="1038" t="str">
        <f ca="1">IF(tblDias[[#This Row],[Fecha]]&gt;TODAY(),"Pendiente",IF(tblDias[[#This Row],[Filas RDO]]=0,"Sin RDO","Cargado"))</f>
        <v>Pendiente</v>
      </c>
      <c r="K220" s="972">
        <f>COUNTIFS(tblControles[Fecha],tblDias[[#This Row],[Fecha]],tblControles[Turno],"&lt;&gt;Obs")</f>
        <v>0</v>
      </c>
      <c r="L220" s="971">
        <f>SUMIFS(tblParadas[Horas perdidas],tblParadas[Fecha],tblDias[[#This Row],[Fecha]])</f>
        <v>0</v>
      </c>
      <c r="M220" s="1040"/>
      <c r="N220" s="953"/>
      <c r="O220" s="1040"/>
    </row>
    <row r="221" spans="2:15">
      <c r="B221" s="1041">
        <v>46476</v>
      </c>
      <c r="C221" s="1034" t="str">
        <f>CHOOSE(WEEKDAY(tblDias[[#This Row],[Fecha]],2),"lun","mar","mié","jue","vie","sáb","dom")</f>
        <v>mar</v>
      </c>
      <c r="D221" s="1039" t="s">
        <v>9256</v>
      </c>
      <c r="E221" s="1035">
        <f>COUNTIFS(tblConcentrado[Fecha],tblDias[[#This Row],[Fecha]])</f>
        <v>0</v>
      </c>
      <c r="F221" s="1035">
        <f t="shared" si="3"/>
        <v>24</v>
      </c>
      <c r="G221" s="1036">
        <f>IF(tblDias[[#This Row],[Horas esperadas]]=0,0,tblDias[[#This Row],[Horas cargadas]]/tblDias[[#This Row],[Horas esperadas]])</f>
        <v>0</v>
      </c>
      <c r="H221" s="1035" t="str">
        <f ca="1">IF(tblDias[[#This Row],[Fecha]]&gt;TODAY(),"Pendiente",IF(tblDias[[#This Row],[Horas cargadas]]=0,"Sin datos",IF(tblDias[[#This Row],[Horas cargadas]]&lt;tblDias[[#This Row],[Horas esperadas]],"Parcial","Completo")))</f>
        <v>Pendiente</v>
      </c>
      <c r="I221" s="1037">
        <f>COUNTIFS(tblRDO[Fecha],tblDias[[#This Row],[Fecha]])</f>
        <v>0</v>
      </c>
      <c r="J221" s="1038" t="str">
        <f ca="1">IF(tblDias[[#This Row],[Fecha]]&gt;TODAY(),"Pendiente",IF(tblDias[[#This Row],[Filas RDO]]=0,"Sin RDO","Cargado"))</f>
        <v>Pendiente</v>
      </c>
      <c r="K221" s="972">
        <f>COUNTIFS(tblControles[Fecha],tblDias[[#This Row],[Fecha]],tblControles[Turno],"&lt;&gt;Obs")</f>
        <v>0</v>
      </c>
      <c r="L221" s="971">
        <f>SUMIFS(tblParadas[Horas perdidas],tblParadas[Fecha],tblDias[[#This Row],[Fecha]])</f>
        <v>0</v>
      </c>
      <c r="M221" s="1040"/>
      <c r="N221" s="953"/>
      <c r="O221" s="1040"/>
    </row>
    <row r="222" spans="2:15">
      <c r="B222" s="1041">
        <v>46477</v>
      </c>
      <c r="C222" s="1034" t="str">
        <f>CHOOSE(WEEKDAY(tblDias[[#This Row],[Fecha]],2),"lun","mar","mié","jue","vie","sáb","dom")</f>
        <v>mié</v>
      </c>
      <c r="D222" s="1039" t="s">
        <v>9256</v>
      </c>
      <c r="E222" s="1035">
        <f>COUNTIFS(tblConcentrado[Fecha],tblDias[[#This Row],[Fecha]])</f>
        <v>0</v>
      </c>
      <c r="F222" s="1035">
        <f t="shared" si="3"/>
        <v>24</v>
      </c>
      <c r="G222" s="1036">
        <f>IF(tblDias[[#This Row],[Horas esperadas]]=0,0,tblDias[[#This Row],[Horas cargadas]]/tblDias[[#This Row],[Horas esperadas]])</f>
        <v>0</v>
      </c>
      <c r="H222" s="1035" t="str">
        <f ca="1">IF(tblDias[[#This Row],[Fecha]]&gt;TODAY(),"Pendiente",IF(tblDias[[#This Row],[Horas cargadas]]=0,"Sin datos",IF(tblDias[[#This Row],[Horas cargadas]]&lt;tblDias[[#This Row],[Horas esperadas]],"Parcial","Completo")))</f>
        <v>Pendiente</v>
      </c>
      <c r="I222" s="1037">
        <f>COUNTIFS(tblRDO[Fecha],tblDias[[#This Row],[Fecha]])</f>
        <v>0</v>
      </c>
      <c r="J222" s="1038" t="str">
        <f ca="1">IF(tblDias[[#This Row],[Fecha]]&gt;TODAY(),"Pendiente",IF(tblDias[[#This Row],[Filas RDO]]=0,"Sin RDO","Cargado"))</f>
        <v>Pendiente</v>
      </c>
      <c r="K222" s="972">
        <f>COUNTIFS(tblControles[Fecha],tblDias[[#This Row],[Fecha]],tblControles[Turno],"&lt;&gt;Obs")</f>
        <v>0</v>
      </c>
      <c r="L222" s="971">
        <f>SUMIFS(tblParadas[Horas perdidas],tblParadas[Fecha],tblDias[[#This Row],[Fecha]])</f>
        <v>0</v>
      </c>
      <c r="M222" s="1040"/>
      <c r="N222" s="953"/>
      <c r="O222" s="1040"/>
    </row>
    <row r="223" spans="2:15">
      <c r="B223" s="1041">
        <v>46478</v>
      </c>
      <c r="C223" s="1034" t="str">
        <f>CHOOSE(WEEKDAY(tblDias[[#This Row],[Fecha]],2),"lun","mar","mié","jue","vie","sáb","dom")</f>
        <v>jue</v>
      </c>
      <c r="D223" s="1039" t="s">
        <v>9256</v>
      </c>
      <c r="E223" s="1035">
        <f>COUNTIFS(tblConcentrado[Fecha],tblDias[[#This Row],[Fecha]])</f>
        <v>0</v>
      </c>
      <c r="F223" s="1035">
        <f t="shared" si="3"/>
        <v>24</v>
      </c>
      <c r="G223" s="1036">
        <f>IF(tblDias[[#This Row],[Horas esperadas]]=0,0,tblDias[[#This Row],[Horas cargadas]]/tblDias[[#This Row],[Horas esperadas]])</f>
        <v>0</v>
      </c>
      <c r="H223" s="1035" t="str">
        <f ca="1">IF(tblDias[[#This Row],[Fecha]]&gt;TODAY(),"Pendiente",IF(tblDias[[#This Row],[Horas cargadas]]=0,"Sin datos",IF(tblDias[[#This Row],[Horas cargadas]]&lt;tblDias[[#This Row],[Horas esperadas]],"Parcial","Completo")))</f>
        <v>Pendiente</v>
      </c>
      <c r="I223" s="1037">
        <f>COUNTIFS(tblRDO[Fecha],tblDias[[#This Row],[Fecha]])</f>
        <v>0</v>
      </c>
      <c r="J223" s="1038" t="str">
        <f ca="1">IF(tblDias[[#This Row],[Fecha]]&gt;TODAY(),"Pendiente",IF(tblDias[[#This Row],[Filas RDO]]=0,"Sin RDO","Cargado"))</f>
        <v>Pendiente</v>
      </c>
      <c r="K223" s="972">
        <f>COUNTIFS(tblControles[Fecha],tblDias[[#This Row],[Fecha]],tblControles[Turno],"&lt;&gt;Obs")</f>
        <v>0</v>
      </c>
      <c r="L223" s="971">
        <f>SUMIFS(tblParadas[Horas perdidas],tblParadas[Fecha],tblDias[[#This Row],[Fecha]])</f>
        <v>0</v>
      </c>
      <c r="M223" s="1040"/>
      <c r="N223" s="953"/>
      <c r="O223" s="1040"/>
    </row>
    <row r="224" spans="2:15">
      <c r="B224" s="1041">
        <v>46479</v>
      </c>
      <c r="C224" s="1034" t="str">
        <f>CHOOSE(WEEKDAY(tblDias[[#This Row],[Fecha]],2),"lun","mar","mié","jue","vie","sáb","dom")</f>
        <v>vie</v>
      </c>
      <c r="D224" s="1039" t="s">
        <v>9256</v>
      </c>
      <c r="E224" s="1035">
        <f>COUNTIFS(tblConcentrado[Fecha],tblDias[[#This Row],[Fecha]])</f>
        <v>0</v>
      </c>
      <c r="F224" s="1035">
        <f t="shared" si="3"/>
        <v>24</v>
      </c>
      <c r="G224" s="1036">
        <f>IF(tblDias[[#This Row],[Horas esperadas]]=0,0,tblDias[[#This Row],[Horas cargadas]]/tblDias[[#This Row],[Horas esperadas]])</f>
        <v>0</v>
      </c>
      <c r="H224" s="1035" t="str">
        <f ca="1">IF(tblDias[[#This Row],[Fecha]]&gt;TODAY(),"Pendiente",IF(tblDias[[#This Row],[Horas cargadas]]=0,"Sin datos",IF(tblDias[[#This Row],[Horas cargadas]]&lt;tblDias[[#This Row],[Horas esperadas]],"Parcial","Completo")))</f>
        <v>Pendiente</v>
      </c>
      <c r="I224" s="1037">
        <f>COUNTIFS(tblRDO[Fecha],tblDias[[#This Row],[Fecha]])</f>
        <v>0</v>
      </c>
      <c r="J224" s="1038" t="str">
        <f ca="1">IF(tblDias[[#This Row],[Fecha]]&gt;TODAY(),"Pendiente",IF(tblDias[[#This Row],[Filas RDO]]=0,"Sin RDO","Cargado"))</f>
        <v>Pendiente</v>
      </c>
      <c r="K224" s="972">
        <f>COUNTIFS(tblControles[Fecha],tblDias[[#This Row],[Fecha]],tblControles[Turno],"&lt;&gt;Obs")</f>
        <v>0</v>
      </c>
      <c r="L224" s="971">
        <f>SUMIFS(tblParadas[Horas perdidas],tblParadas[Fecha],tblDias[[#This Row],[Fecha]])</f>
        <v>0</v>
      </c>
      <c r="M224" s="1040"/>
      <c r="N224" s="953"/>
      <c r="O224" s="1040"/>
    </row>
    <row r="225" spans="2:15">
      <c r="B225" s="1041">
        <v>46480</v>
      </c>
      <c r="C225" s="1034" t="str">
        <f>CHOOSE(WEEKDAY(tblDias[[#This Row],[Fecha]],2),"lun","mar","mié","jue","vie","sáb","dom")</f>
        <v>sáb</v>
      </c>
      <c r="D225" s="1039" t="s">
        <v>9256</v>
      </c>
      <c r="E225" s="1035">
        <f>COUNTIFS(tblConcentrado[Fecha],tblDias[[#This Row],[Fecha]])</f>
        <v>0</v>
      </c>
      <c r="F225" s="1035">
        <f t="shared" si="3"/>
        <v>24</v>
      </c>
      <c r="G225" s="1036">
        <f>IF(tblDias[[#This Row],[Horas esperadas]]=0,0,tblDias[[#This Row],[Horas cargadas]]/tblDias[[#This Row],[Horas esperadas]])</f>
        <v>0</v>
      </c>
      <c r="H225" s="1035" t="str">
        <f ca="1">IF(tblDias[[#This Row],[Fecha]]&gt;TODAY(),"Pendiente",IF(tblDias[[#This Row],[Horas cargadas]]=0,"Sin datos",IF(tblDias[[#This Row],[Horas cargadas]]&lt;tblDias[[#This Row],[Horas esperadas]],"Parcial","Completo")))</f>
        <v>Pendiente</v>
      </c>
      <c r="I225" s="1037">
        <f>COUNTIFS(tblRDO[Fecha],tblDias[[#This Row],[Fecha]])</f>
        <v>0</v>
      </c>
      <c r="J225" s="1038" t="str">
        <f ca="1">IF(tblDias[[#This Row],[Fecha]]&gt;TODAY(),"Pendiente",IF(tblDias[[#This Row],[Filas RDO]]=0,"Sin RDO","Cargado"))</f>
        <v>Pendiente</v>
      </c>
      <c r="K225" s="972">
        <f>COUNTIFS(tblControles[Fecha],tblDias[[#This Row],[Fecha]],tblControles[Turno],"&lt;&gt;Obs")</f>
        <v>0</v>
      </c>
      <c r="L225" s="971">
        <f>SUMIFS(tblParadas[Horas perdidas],tblParadas[Fecha],tblDias[[#This Row],[Fecha]])</f>
        <v>0</v>
      </c>
      <c r="M225" s="1040"/>
      <c r="N225" s="953"/>
      <c r="O225" s="1040"/>
    </row>
    <row r="226" spans="2:15">
      <c r="B226" s="1041">
        <v>46481</v>
      </c>
      <c r="C226" s="1034" t="str">
        <f>CHOOSE(WEEKDAY(tblDias[[#This Row],[Fecha]],2),"lun","mar","mié","jue","vie","sáb","dom")</f>
        <v>dom</v>
      </c>
      <c r="D226" s="1039" t="s">
        <v>9256</v>
      </c>
      <c r="E226" s="1035">
        <f>COUNTIFS(tblConcentrado[Fecha],tblDias[[#This Row],[Fecha]])</f>
        <v>0</v>
      </c>
      <c r="F226" s="1035">
        <f t="shared" si="3"/>
        <v>24</v>
      </c>
      <c r="G226" s="1036">
        <f>IF(tblDias[[#This Row],[Horas esperadas]]=0,0,tblDias[[#This Row],[Horas cargadas]]/tblDias[[#This Row],[Horas esperadas]])</f>
        <v>0</v>
      </c>
      <c r="H226" s="1035" t="str">
        <f ca="1">IF(tblDias[[#This Row],[Fecha]]&gt;TODAY(),"Pendiente",IF(tblDias[[#This Row],[Horas cargadas]]=0,"Sin datos",IF(tblDias[[#This Row],[Horas cargadas]]&lt;tblDias[[#This Row],[Horas esperadas]],"Parcial","Completo")))</f>
        <v>Pendiente</v>
      </c>
      <c r="I226" s="1037">
        <f>COUNTIFS(tblRDO[Fecha],tblDias[[#This Row],[Fecha]])</f>
        <v>0</v>
      </c>
      <c r="J226" s="1038" t="str">
        <f ca="1">IF(tblDias[[#This Row],[Fecha]]&gt;TODAY(),"Pendiente",IF(tblDias[[#This Row],[Filas RDO]]=0,"Sin RDO","Cargado"))</f>
        <v>Pendiente</v>
      </c>
      <c r="K226" s="972">
        <f>COUNTIFS(tblControles[Fecha],tblDias[[#This Row],[Fecha]],tblControles[Turno],"&lt;&gt;Obs")</f>
        <v>0</v>
      </c>
      <c r="L226" s="971">
        <f>SUMIFS(tblParadas[Horas perdidas],tblParadas[Fecha],tblDias[[#This Row],[Fecha]])</f>
        <v>0</v>
      </c>
      <c r="M226" s="1040"/>
      <c r="N226" s="953"/>
      <c r="O226" s="1040"/>
    </row>
    <row r="227" spans="2:15">
      <c r="B227" s="1041">
        <v>46482</v>
      </c>
      <c r="C227" s="1034" t="str">
        <f>CHOOSE(WEEKDAY(tblDias[[#This Row],[Fecha]],2),"lun","mar","mié","jue","vie","sáb","dom")</f>
        <v>lun</v>
      </c>
      <c r="D227" s="1039" t="s">
        <v>9256</v>
      </c>
      <c r="E227" s="1035">
        <f>COUNTIFS(tblConcentrado[Fecha],tblDias[[#This Row],[Fecha]])</f>
        <v>0</v>
      </c>
      <c r="F227" s="1035">
        <f t="shared" si="3"/>
        <v>24</v>
      </c>
      <c r="G227" s="1036">
        <f>IF(tblDias[[#This Row],[Horas esperadas]]=0,0,tblDias[[#This Row],[Horas cargadas]]/tblDias[[#This Row],[Horas esperadas]])</f>
        <v>0</v>
      </c>
      <c r="H227" s="1035" t="str">
        <f ca="1">IF(tblDias[[#This Row],[Fecha]]&gt;TODAY(),"Pendiente",IF(tblDias[[#This Row],[Horas cargadas]]=0,"Sin datos",IF(tblDias[[#This Row],[Horas cargadas]]&lt;tblDias[[#This Row],[Horas esperadas]],"Parcial","Completo")))</f>
        <v>Pendiente</v>
      </c>
      <c r="I227" s="1037">
        <f>COUNTIFS(tblRDO[Fecha],tblDias[[#This Row],[Fecha]])</f>
        <v>0</v>
      </c>
      <c r="J227" s="1038" t="str">
        <f ca="1">IF(tblDias[[#This Row],[Fecha]]&gt;TODAY(),"Pendiente",IF(tblDias[[#This Row],[Filas RDO]]=0,"Sin RDO","Cargado"))</f>
        <v>Pendiente</v>
      </c>
      <c r="K227" s="972">
        <f>COUNTIFS(tblControles[Fecha],tblDias[[#This Row],[Fecha]],tblControles[Turno],"&lt;&gt;Obs")</f>
        <v>0</v>
      </c>
      <c r="L227" s="971">
        <f>SUMIFS(tblParadas[Horas perdidas],tblParadas[Fecha],tblDias[[#This Row],[Fecha]])</f>
        <v>0</v>
      </c>
      <c r="M227" s="1040"/>
      <c r="N227" s="953"/>
      <c r="O227" s="1040"/>
    </row>
    <row r="228" spans="2:15">
      <c r="B228" s="1041">
        <v>46483</v>
      </c>
      <c r="C228" s="1034" t="str">
        <f>CHOOSE(WEEKDAY(tblDias[[#This Row],[Fecha]],2),"lun","mar","mié","jue","vie","sáb","dom")</f>
        <v>mar</v>
      </c>
      <c r="D228" s="1039" t="s">
        <v>9256</v>
      </c>
      <c r="E228" s="1035">
        <f>COUNTIFS(tblConcentrado[Fecha],tblDias[[#This Row],[Fecha]])</f>
        <v>0</v>
      </c>
      <c r="F228" s="1035">
        <f t="shared" si="3"/>
        <v>24</v>
      </c>
      <c r="G228" s="1036">
        <f>IF(tblDias[[#This Row],[Horas esperadas]]=0,0,tblDias[[#This Row],[Horas cargadas]]/tblDias[[#This Row],[Horas esperadas]])</f>
        <v>0</v>
      </c>
      <c r="H228" s="1035" t="str">
        <f ca="1">IF(tblDias[[#This Row],[Fecha]]&gt;TODAY(),"Pendiente",IF(tblDias[[#This Row],[Horas cargadas]]=0,"Sin datos",IF(tblDias[[#This Row],[Horas cargadas]]&lt;tblDias[[#This Row],[Horas esperadas]],"Parcial","Completo")))</f>
        <v>Pendiente</v>
      </c>
      <c r="I228" s="1037">
        <f>COUNTIFS(tblRDO[Fecha],tblDias[[#This Row],[Fecha]])</f>
        <v>0</v>
      </c>
      <c r="J228" s="1038" t="str">
        <f ca="1">IF(tblDias[[#This Row],[Fecha]]&gt;TODAY(),"Pendiente",IF(tblDias[[#This Row],[Filas RDO]]=0,"Sin RDO","Cargado"))</f>
        <v>Pendiente</v>
      </c>
      <c r="K228" s="972">
        <f>COUNTIFS(tblControles[Fecha],tblDias[[#This Row],[Fecha]],tblControles[Turno],"&lt;&gt;Obs")</f>
        <v>0</v>
      </c>
      <c r="L228" s="971">
        <f>SUMIFS(tblParadas[Horas perdidas],tblParadas[Fecha],tblDias[[#This Row],[Fecha]])</f>
        <v>0</v>
      </c>
      <c r="M228" s="1040"/>
      <c r="N228" s="953"/>
      <c r="O228" s="1040"/>
    </row>
    <row r="229" spans="2:15">
      <c r="B229" s="1041">
        <v>46484</v>
      </c>
      <c r="C229" s="1034" t="str">
        <f>CHOOSE(WEEKDAY(tblDias[[#This Row],[Fecha]],2),"lun","mar","mié","jue","vie","sáb","dom")</f>
        <v>mié</v>
      </c>
      <c r="D229" s="1039" t="s">
        <v>9256</v>
      </c>
      <c r="E229" s="1035">
        <f>COUNTIFS(tblConcentrado[Fecha],tblDias[[#This Row],[Fecha]])</f>
        <v>0</v>
      </c>
      <c r="F229" s="1035">
        <f t="shared" si="3"/>
        <v>24</v>
      </c>
      <c r="G229" s="1036">
        <f>IF(tblDias[[#This Row],[Horas esperadas]]=0,0,tblDias[[#This Row],[Horas cargadas]]/tblDias[[#This Row],[Horas esperadas]])</f>
        <v>0</v>
      </c>
      <c r="H229" s="1035" t="str">
        <f ca="1">IF(tblDias[[#This Row],[Fecha]]&gt;TODAY(),"Pendiente",IF(tblDias[[#This Row],[Horas cargadas]]=0,"Sin datos",IF(tblDias[[#This Row],[Horas cargadas]]&lt;tblDias[[#This Row],[Horas esperadas]],"Parcial","Completo")))</f>
        <v>Pendiente</v>
      </c>
      <c r="I229" s="1037">
        <f>COUNTIFS(tblRDO[Fecha],tblDias[[#This Row],[Fecha]])</f>
        <v>0</v>
      </c>
      <c r="J229" s="1038" t="str">
        <f ca="1">IF(tblDias[[#This Row],[Fecha]]&gt;TODAY(),"Pendiente",IF(tblDias[[#This Row],[Filas RDO]]=0,"Sin RDO","Cargado"))</f>
        <v>Pendiente</v>
      </c>
      <c r="K229" s="972">
        <f>COUNTIFS(tblControles[Fecha],tblDias[[#This Row],[Fecha]],tblControles[Turno],"&lt;&gt;Obs")</f>
        <v>0</v>
      </c>
      <c r="L229" s="971">
        <f>SUMIFS(tblParadas[Horas perdidas],tblParadas[Fecha],tblDias[[#This Row],[Fecha]])</f>
        <v>0</v>
      </c>
      <c r="M229" s="1040"/>
      <c r="N229" s="953"/>
      <c r="O229" s="1040"/>
    </row>
    <row r="230" spans="2:15">
      <c r="B230" s="1041">
        <v>46485</v>
      </c>
      <c r="C230" s="1034" t="str">
        <f>CHOOSE(WEEKDAY(tblDias[[#This Row],[Fecha]],2),"lun","mar","mié","jue","vie","sáb","dom")</f>
        <v>jue</v>
      </c>
      <c r="D230" s="1039" t="s">
        <v>9256</v>
      </c>
      <c r="E230" s="1035">
        <f>COUNTIFS(tblConcentrado[Fecha],tblDias[[#This Row],[Fecha]])</f>
        <v>0</v>
      </c>
      <c r="F230" s="1035">
        <f t="shared" si="3"/>
        <v>24</v>
      </c>
      <c r="G230" s="1036">
        <f>IF(tblDias[[#This Row],[Horas esperadas]]=0,0,tblDias[[#This Row],[Horas cargadas]]/tblDias[[#This Row],[Horas esperadas]])</f>
        <v>0</v>
      </c>
      <c r="H230" s="1035" t="str">
        <f ca="1">IF(tblDias[[#This Row],[Fecha]]&gt;TODAY(),"Pendiente",IF(tblDias[[#This Row],[Horas cargadas]]=0,"Sin datos",IF(tblDias[[#This Row],[Horas cargadas]]&lt;tblDias[[#This Row],[Horas esperadas]],"Parcial","Completo")))</f>
        <v>Pendiente</v>
      </c>
      <c r="I230" s="1037">
        <f>COUNTIFS(tblRDO[Fecha],tblDias[[#This Row],[Fecha]])</f>
        <v>0</v>
      </c>
      <c r="J230" s="1038" t="str">
        <f ca="1">IF(tblDias[[#This Row],[Fecha]]&gt;TODAY(),"Pendiente",IF(tblDias[[#This Row],[Filas RDO]]=0,"Sin RDO","Cargado"))</f>
        <v>Pendiente</v>
      </c>
      <c r="K230" s="972">
        <f>COUNTIFS(tblControles[Fecha],tblDias[[#This Row],[Fecha]],tblControles[Turno],"&lt;&gt;Obs")</f>
        <v>0</v>
      </c>
      <c r="L230" s="971">
        <f>SUMIFS(tblParadas[Horas perdidas],tblParadas[Fecha],tblDias[[#This Row],[Fecha]])</f>
        <v>0</v>
      </c>
      <c r="M230" s="1040"/>
      <c r="N230" s="953"/>
      <c r="O230" s="1040"/>
    </row>
    <row r="231" spans="2:15">
      <c r="B231" s="1041">
        <v>46486</v>
      </c>
      <c r="C231" s="1034" t="str">
        <f>CHOOSE(WEEKDAY(tblDias[[#This Row],[Fecha]],2),"lun","mar","mié","jue","vie","sáb","dom")</f>
        <v>vie</v>
      </c>
      <c r="D231" s="1039" t="s">
        <v>9256</v>
      </c>
      <c r="E231" s="1035">
        <f>COUNTIFS(tblConcentrado[Fecha],tblDias[[#This Row],[Fecha]])</f>
        <v>0</v>
      </c>
      <c r="F231" s="1035">
        <f t="shared" si="3"/>
        <v>24</v>
      </c>
      <c r="G231" s="1036">
        <f>IF(tblDias[[#This Row],[Horas esperadas]]=0,0,tblDias[[#This Row],[Horas cargadas]]/tblDias[[#This Row],[Horas esperadas]])</f>
        <v>0</v>
      </c>
      <c r="H231" s="1035" t="str">
        <f ca="1">IF(tblDias[[#This Row],[Fecha]]&gt;TODAY(),"Pendiente",IF(tblDias[[#This Row],[Horas cargadas]]=0,"Sin datos",IF(tblDias[[#This Row],[Horas cargadas]]&lt;tblDias[[#This Row],[Horas esperadas]],"Parcial","Completo")))</f>
        <v>Pendiente</v>
      </c>
      <c r="I231" s="1037">
        <f>COUNTIFS(tblRDO[Fecha],tblDias[[#This Row],[Fecha]])</f>
        <v>0</v>
      </c>
      <c r="J231" s="1038" t="str">
        <f ca="1">IF(tblDias[[#This Row],[Fecha]]&gt;TODAY(),"Pendiente",IF(tblDias[[#This Row],[Filas RDO]]=0,"Sin RDO","Cargado"))</f>
        <v>Pendiente</v>
      </c>
      <c r="K231" s="972">
        <f>COUNTIFS(tblControles[Fecha],tblDias[[#This Row],[Fecha]],tblControles[Turno],"&lt;&gt;Obs")</f>
        <v>0</v>
      </c>
      <c r="L231" s="971">
        <f>SUMIFS(tblParadas[Horas perdidas],tblParadas[Fecha],tblDias[[#This Row],[Fecha]])</f>
        <v>0</v>
      </c>
      <c r="M231" s="1040"/>
      <c r="N231" s="953"/>
      <c r="O231" s="1040"/>
    </row>
    <row r="232" spans="2:15">
      <c r="B232" s="1041">
        <v>46487</v>
      </c>
      <c r="C232" s="1034" t="str">
        <f>CHOOSE(WEEKDAY(tblDias[[#This Row],[Fecha]],2),"lun","mar","mié","jue","vie","sáb","dom")</f>
        <v>sáb</v>
      </c>
      <c r="D232" s="1039" t="s">
        <v>9256</v>
      </c>
      <c r="E232" s="1035">
        <f>COUNTIFS(tblConcentrado[Fecha],tblDias[[#This Row],[Fecha]])</f>
        <v>0</v>
      </c>
      <c r="F232" s="1035">
        <f t="shared" si="3"/>
        <v>24</v>
      </c>
      <c r="G232" s="1036">
        <f>IF(tblDias[[#This Row],[Horas esperadas]]=0,0,tblDias[[#This Row],[Horas cargadas]]/tblDias[[#This Row],[Horas esperadas]])</f>
        <v>0</v>
      </c>
      <c r="H232" s="1035" t="str">
        <f ca="1">IF(tblDias[[#This Row],[Fecha]]&gt;TODAY(),"Pendiente",IF(tblDias[[#This Row],[Horas cargadas]]=0,"Sin datos",IF(tblDias[[#This Row],[Horas cargadas]]&lt;tblDias[[#This Row],[Horas esperadas]],"Parcial","Completo")))</f>
        <v>Pendiente</v>
      </c>
      <c r="I232" s="1037">
        <f>COUNTIFS(tblRDO[Fecha],tblDias[[#This Row],[Fecha]])</f>
        <v>0</v>
      </c>
      <c r="J232" s="1038" t="str">
        <f ca="1">IF(tblDias[[#This Row],[Fecha]]&gt;TODAY(),"Pendiente",IF(tblDias[[#This Row],[Filas RDO]]=0,"Sin RDO","Cargado"))</f>
        <v>Pendiente</v>
      </c>
      <c r="K232" s="972">
        <f>COUNTIFS(tblControles[Fecha],tblDias[[#This Row],[Fecha]],tblControles[Turno],"&lt;&gt;Obs")</f>
        <v>0</v>
      </c>
      <c r="L232" s="971">
        <f>SUMIFS(tblParadas[Horas perdidas],tblParadas[Fecha],tblDias[[#This Row],[Fecha]])</f>
        <v>0</v>
      </c>
      <c r="M232" s="1040"/>
      <c r="N232" s="953"/>
      <c r="O232" s="1040"/>
    </row>
    <row r="233" spans="2:15">
      <c r="B233" s="1041">
        <v>46488</v>
      </c>
      <c r="C233" s="1034" t="str">
        <f>CHOOSE(WEEKDAY(tblDias[[#This Row],[Fecha]],2),"lun","mar","mié","jue","vie","sáb","dom")</f>
        <v>dom</v>
      </c>
      <c r="D233" s="1039" t="s">
        <v>9256</v>
      </c>
      <c r="E233" s="1035">
        <f>COUNTIFS(tblConcentrado[Fecha],tblDias[[#This Row],[Fecha]])</f>
        <v>0</v>
      </c>
      <c r="F233" s="1035">
        <f t="shared" si="3"/>
        <v>24</v>
      </c>
      <c r="G233" s="1036">
        <f>IF(tblDias[[#This Row],[Horas esperadas]]=0,0,tblDias[[#This Row],[Horas cargadas]]/tblDias[[#This Row],[Horas esperadas]])</f>
        <v>0</v>
      </c>
      <c r="H233" s="1035" t="str">
        <f ca="1">IF(tblDias[[#This Row],[Fecha]]&gt;TODAY(),"Pendiente",IF(tblDias[[#This Row],[Horas cargadas]]=0,"Sin datos",IF(tblDias[[#This Row],[Horas cargadas]]&lt;tblDias[[#This Row],[Horas esperadas]],"Parcial","Completo")))</f>
        <v>Pendiente</v>
      </c>
      <c r="I233" s="1037">
        <f>COUNTIFS(tblRDO[Fecha],tblDias[[#This Row],[Fecha]])</f>
        <v>0</v>
      </c>
      <c r="J233" s="1038" t="str">
        <f ca="1">IF(tblDias[[#This Row],[Fecha]]&gt;TODAY(),"Pendiente",IF(tblDias[[#This Row],[Filas RDO]]=0,"Sin RDO","Cargado"))</f>
        <v>Pendiente</v>
      </c>
      <c r="K233" s="972">
        <f>COUNTIFS(tblControles[Fecha],tblDias[[#This Row],[Fecha]],tblControles[Turno],"&lt;&gt;Obs")</f>
        <v>0</v>
      </c>
      <c r="L233" s="971">
        <f>SUMIFS(tblParadas[Horas perdidas],tblParadas[Fecha],tblDias[[#This Row],[Fecha]])</f>
        <v>0</v>
      </c>
      <c r="M233" s="1040"/>
      <c r="N233" s="953"/>
      <c r="O233" s="1040"/>
    </row>
    <row r="234" spans="2:15">
      <c r="B234" s="1041">
        <v>46489</v>
      </c>
      <c r="C234" s="1034" t="str">
        <f>CHOOSE(WEEKDAY(tblDias[[#This Row],[Fecha]],2),"lun","mar","mié","jue","vie","sáb","dom")</f>
        <v>lun</v>
      </c>
      <c r="D234" s="1039" t="s">
        <v>9256</v>
      </c>
      <c r="E234" s="1035">
        <f>COUNTIFS(tblConcentrado[Fecha],tblDias[[#This Row],[Fecha]])</f>
        <v>0</v>
      </c>
      <c r="F234" s="1035">
        <f t="shared" si="3"/>
        <v>24</v>
      </c>
      <c r="G234" s="1036">
        <f>IF(tblDias[[#This Row],[Horas esperadas]]=0,0,tblDias[[#This Row],[Horas cargadas]]/tblDias[[#This Row],[Horas esperadas]])</f>
        <v>0</v>
      </c>
      <c r="H234" s="1035" t="str">
        <f ca="1">IF(tblDias[[#This Row],[Fecha]]&gt;TODAY(),"Pendiente",IF(tblDias[[#This Row],[Horas cargadas]]=0,"Sin datos",IF(tblDias[[#This Row],[Horas cargadas]]&lt;tblDias[[#This Row],[Horas esperadas]],"Parcial","Completo")))</f>
        <v>Pendiente</v>
      </c>
      <c r="I234" s="1037">
        <f>COUNTIFS(tblRDO[Fecha],tblDias[[#This Row],[Fecha]])</f>
        <v>0</v>
      </c>
      <c r="J234" s="1038" t="str">
        <f ca="1">IF(tblDias[[#This Row],[Fecha]]&gt;TODAY(),"Pendiente",IF(tblDias[[#This Row],[Filas RDO]]=0,"Sin RDO","Cargado"))</f>
        <v>Pendiente</v>
      </c>
      <c r="K234" s="972">
        <f>COUNTIFS(tblControles[Fecha],tblDias[[#This Row],[Fecha]],tblControles[Turno],"&lt;&gt;Obs")</f>
        <v>0</v>
      </c>
      <c r="L234" s="971">
        <f>SUMIFS(tblParadas[Horas perdidas],tblParadas[Fecha],tblDias[[#This Row],[Fecha]])</f>
        <v>0</v>
      </c>
      <c r="M234" s="1040"/>
      <c r="N234" s="953"/>
      <c r="O234" s="1040"/>
    </row>
    <row r="235" spans="2:15">
      <c r="B235" s="1041">
        <v>46490</v>
      </c>
      <c r="C235" s="1034" t="str">
        <f>CHOOSE(WEEKDAY(tblDias[[#This Row],[Fecha]],2),"lun","mar","mié","jue","vie","sáb","dom")</f>
        <v>mar</v>
      </c>
      <c r="D235" s="1039" t="s">
        <v>9256</v>
      </c>
      <c r="E235" s="1035">
        <f>COUNTIFS(tblConcentrado[Fecha],tblDias[[#This Row],[Fecha]])</f>
        <v>0</v>
      </c>
      <c r="F235" s="1035">
        <f t="shared" si="3"/>
        <v>24</v>
      </c>
      <c r="G235" s="1036">
        <f>IF(tblDias[[#This Row],[Horas esperadas]]=0,0,tblDias[[#This Row],[Horas cargadas]]/tblDias[[#This Row],[Horas esperadas]])</f>
        <v>0</v>
      </c>
      <c r="H235" s="1035" t="str">
        <f ca="1">IF(tblDias[[#This Row],[Fecha]]&gt;TODAY(),"Pendiente",IF(tblDias[[#This Row],[Horas cargadas]]=0,"Sin datos",IF(tblDias[[#This Row],[Horas cargadas]]&lt;tblDias[[#This Row],[Horas esperadas]],"Parcial","Completo")))</f>
        <v>Pendiente</v>
      </c>
      <c r="I235" s="1037">
        <f>COUNTIFS(tblRDO[Fecha],tblDias[[#This Row],[Fecha]])</f>
        <v>0</v>
      </c>
      <c r="J235" s="1038" t="str">
        <f ca="1">IF(tblDias[[#This Row],[Fecha]]&gt;TODAY(),"Pendiente",IF(tblDias[[#This Row],[Filas RDO]]=0,"Sin RDO","Cargado"))</f>
        <v>Pendiente</v>
      </c>
      <c r="K235" s="972">
        <f>COUNTIFS(tblControles[Fecha],tblDias[[#This Row],[Fecha]],tblControles[Turno],"&lt;&gt;Obs")</f>
        <v>0</v>
      </c>
      <c r="L235" s="971">
        <f>SUMIFS(tblParadas[Horas perdidas],tblParadas[Fecha],tblDias[[#This Row],[Fecha]])</f>
        <v>0</v>
      </c>
      <c r="M235" s="1040"/>
      <c r="N235" s="953"/>
      <c r="O235" s="1040"/>
    </row>
    <row r="236" spans="2:15">
      <c r="B236" s="1041">
        <v>46491</v>
      </c>
      <c r="C236" s="1034" t="str">
        <f>CHOOSE(WEEKDAY(tblDias[[#This Row],[Fecha]],2),"lun","mar","mié","jue","vie","sáb","dom")</f>
        <v>mié</v>
      </c>
      <c r="D236" s="1039" t="s">
        <v>9256</v>
      </c>
      <c r="E236" s="1035">
        <f>COUNTIFS(tblConcentrado[Fecha],tblDias[[#This Row],[Fecha]])</f>
        <v>0</v>
      </c>
      <c r="F236" s="1035">
        <f t="shared" si="3"/>
        <v>24</v>
      </c>
      <c r="G236" s="1036">
        <f>IF(tblDias[[#This Row],[Horas esperadas]]=0,0,tblDias[[#This Row],[Horas cargadas]]/tblDias[[#This Row],[Horas esperadas]])</f>
        <v>0</v>
      </c>
      <c r="H236" s="1035" t="str">
        <f ca="1">IF(tblDias[[#This Row],[Fecha]]&gt;TODAY(),"Pendiente",IF(tblDias[[#This Row],[Horas cargadas]]=0,"Sin datos",IF(tblDias[[#This Row],[Horas cargadas]]&lt;tblDias[[#This Row],[Horas esperadas]],"Parcial","Completo")))</f>
        <v>Pendiente</v>
      </c>
      <c r="I236" s="1037">
        <f>COUNTIFS(tblRDO[Fecha],tblDias[[#This Row],[Fecha]])</f>
        <v>0</v>
      </c>
      <c r="J236" s="1038" t="str">
        <f ca="1">IF(tblDias[[#This Row],[Fecha]]&gt;TODAY(),"Pendiente",IF(tblDias[[#This Row],[Filas RDO]]=0,"Sin RDO","Cargado"))</f>
        <v>Pendiente</v>
      </c>
      <c r="K236" s="972">
        <f>COUNTIFS(tblControles[Fecha],tblDias[[#This Row],[Fecha]],tblControles[Turno],"&lt;&gt;Obs")</f>
        <v>0</v>
      </c>
      <c r="L236" s="971">
        <f>SUMIFS(tblParadas[Horas perdidas],tblParadas[Fecha],tblDias[[#This Row],[Fecha]])</f>
        <v>0</v>
      </c>
      <c r="M236" s="1040"/>
      <c r="N236" s="953"/>
      <c r="O236" s="1040"/>
    </row>
    <row r="237" spans="2:15">
      <c r="B237" s="1041">
        <v>46492</v>
      </c>
      <c r="C237" s="1034" t="str">
        <f>CHOOSE(WEEKDAY(tblDias[[#This Row],[Fecha]],2),"lun","mar","mié","jue","vie","sáb","dom")</f>
        <v>jue</v>
      </c>
      <c r="D237" s="1039" t="s">
        <v>9256</v>
      </c>
      <c r="E237" s="1035">
        <f>COUNTIFS(tblConcentrado[Fecha],tblDias[[#This Row],[Fecha]])</f>
        <v>0</v>
      </c>
      <c r="F237" s="1035">
        <f t="shared" si="3"/>
        <v>24</v>
      </c>
      <c r="G237" s="1036">
        <f>IF(tblDias[[#This Row],[Horas esperadas]]=0,0,tblDias[[#This Row],[Horas cargadas]]/tblDias[[#This Row],[Horas esperadas]])</f>
        <v>0</v>
      </c>
      <c r="H237" s="1035" t="str">
        <f ca="1">IF(tblDias[[#This Row],[Fecha]]&gt;TODAY(),"Pendiente",IF(tblDias[[#This Row],[Horas cargadas]]=0,"Sin datos",IF(tblDias[[#This Row],[Horas cargadas]]&lt;tblDias[[#This Row],[Horas esperadas]],"Parcial","Completo")))</f>
        <v>Pendiente</v>
      </c>
      <c r="I237" s="1037">
        <f>COUNTIFS(tblRDO[Fecha],tblDias[[#This Row],[Fecha]])</f>
        <v>0</v>
      </c>
      <c r="J237" s="1038" t="str">
        <f ca="1">IF(tblDias[[#This Row],[Fecha]]&gt;TODAY(),"Pendiente",IF(tblDias[[#This Row],[Filas RDO]]=0,"Sin RDO","Cargado"))</f>
        <v>Pendiente</v>
      </c>
      <c r="K237" s="972">
        <f>COUNTIFS(tblControles[Fecha],tblDias[[#This Row],[Fecha]],tblControles[Turno],"&lt;&gt;Obs")</f>
        <v>0</v>
      </c>
      <c r="L237" s="971">
        <f>SUMIFS(tblParadas[Horas perdidas],tblParadas[Fecha],tblDias[[#This Row],[Fecha]])</f>
        <v>0</v>
      </c>
      <c r="M237" s="1040"/>
      <c r="N237" s="953"/>
      <c r="O237" s="1040"/>
    </row>
    <row r="238" spans="2:15">
      <c r="B238" s="1041">
        <v>46493</v>
      </c>
      <c r="C238" s="1034" t="str">
        <f>CHOOSE(WEEKDAY(tblDias[[#This Row],[Fecha]],2),"lun","mar","mié","jue","vie","sáb","dom")</f>
        <v>vie</v>
      </c>
      <c r="D238" s="1039" t="s">
        <v>9256</v>
      </c>
      <c r="E238" s="1035">
        <f>COUNTIFS(tblConcentrado[Fecha],tblDias[[#This Row],[Fecha]])</f>
        <v>0</v>
      </c>
      <c r="F238" s="1035">
        <f t="shared" si="3"/>
        <v>24</v>
      </c>
      <c r="G238" s="1036">
        <f>IF(tblDias[[#This Row],[Horas esperadas]]=0,0,tblDias[[#This Row],[Horas cargadas]]/tblDias[[#This Row],[Horas esperadas]])</f>
        <v>0</v>
      </c>
      <c r="H238" s="1035" t="str">
        <f ca="1">IF(tblDias[[#This Row],[Fecha]]&gt;TODAY(),"Pendiente",IF(tblDias[[#This Row],[Horas cargadas]]=0,"Sin datos",IF(tblDias[[#This Row],[Horas cargadas]]&lt;tblDias[[#This Row],[Horas esperadas]],"Parcial","Completo")))</f>
        <v>Pendiente</v>
      </c>
      <c r="I238" s="1037">
        <f>COUNTIFS(tblRDO[Fecha],tblDias[[#This Row],[Fecha]])</f>
        <v>0</v>
      </c>
      <c r="J238" s="1038" t="str">
        <f ca="1">IF(tblDias[[#This Row],[Fecha]]&gt;TODAY(),"Pendiente",IF(tblDias[[#This Row],[Filas RDO]]=0,"Sin RDO","Cargado"))</f>
        <v>Pendiente</v>
      </c>
      <c r="K238" s="972">
        <f>COUNTIFS(tblControles[Fecha],tblDias[[#This Row],[Fecha]],tblControles[Turno],"&lt;&gt;Obs")</f>
        <v>0</v>
      </c>
      <c r="L238" s="971">
        <f>SUMIFS(tblParadas[Horas perdidas],tblParadas[Fecha],tblDias[[#This Row],[Fecha]])</f>
        <v>0</v>
      </c>
      <c r="M238" s="1040"/>
      <c r="N238" s="953"/>
      <c r="O238" s="1040"/>
    </row>
    <row r="239" spans="2:15">
      <c r="B239" s="1041">
        <v>46494</v>
      </c>
      <c r="C239" s="1034" t="str">
        <f>CHOOSE(WEEKDAY(tblDias[[#This Row],[Fecha]],2),"lun","mar","mié","jue","vie","sáb","dom")</f>
        <v>sáb</v>
      </c>
      <c r="D239" s="1039" t="s">
        <v>9256</v>
      </c>
      <c r="E239" s="1035">
        <f>COUNTIFS(tblConcentrado[Fecha],tblDias[[#This Row],[Fecha]])</f>
        <v>0</v>
      </c>
      <c r="F239" s="1035">
        <f t="shared" si="3"/>
        <v>24</v>
      </c>
      <c r="G239" s="1036">
        <f>IF(tblDias[[#This Row],[Horas esperadas]]=0,0,tblDias[[#This Row],[Horas cargadas]]/tblDias[[#This Row],[Horas esperadas]])</f>
        <v>0</v>
      </c>
      <c r="H239" s="1035" t="str">
        <f ca="1">IF(tblDias[[#This Row],[Fecha]]&gt;TODAY(),"Pendiente",IF(tblDias[[#This Row],[Horas cargadas]]=0,"Sin datos",IF(tblDias[[#This Row],[Horas cargadas]]&lt;tblDias[[#This Row],[Horas esperadas]],"Parcial","Completo")))</f>
        <v>Pendiente</v>
      </c>
      <c r="I239" s="1037">
        <f>COUNTIFS(tblRDO[Fecha],tblDias[[#This Row],[Fecha]])</f>
        <v>0</v>
      </c>
      <c r="J239" s="1038" t="str">
        <f ca="1">IF(tblDias[[#This Row],[Fecha]]&gt;TODAY(),"Pendiente",IF(tblDias[[#This Row],[Filas RDO]]=0,"Sin RDO","Cargado"))</f>
        <v>Pendiente</v>
      </c>
      <c r="K239" s="972">
        <f>COUNTIFS(tblControles[Fecha],tblDias[[#This Row],[Fecha]],tblControles[Turno],"&lt;&gt;Obs")</f>
        <v>0</v>
      </c>
      <c r="L239" s="971">
        <f>SUMIFS(tblParadas[Horas perdidas],tblParadas[Fecha],tblDias[[#This Row],[Fecha]])</f>
        <v>0</v>
      </c>
      <c r="M239" s="1040"/>
      <c r="N239" s="953"/>
      <c r="O239" s="1040"/>
    </row>
    <row r="240" spans="2:15">
      <c r="B240" s="1041">
        <v>46495</v>
      </c>
      <c r="C240" s="1034" t="str">
        <f>CHOOSE(WEEKDAY(tblDias[[#This Row],[Fecha]],2),"lun","mar","mié","jue","vie","sáb","dom")</f>
        <v>dom</v>
      </c>
      <c r="D240" s="1039" t="s">
        <v>9256</v>
      </c>
      <c r="E240" s="1035">
        <f>COUNTIFS(tblConcentrado[Fecha],tblDias[[#This Row],[Fecha]])</f>
        <v>0</v>
      </c>
      <c r="F240" s="1035">
        <f t="shared" si="3"/>
        <v>24</v>
      </c>
      <c r="G240" s="1036">
        <f>IF(tblDias[[#This Row],[Horas esperadas]]=0,0,tblDias[[#This Row],[Horas cargadas]]/tblDias[[#This Row],[Horas esperadas]])</f>
        <v>0</v>
      </c>
      <c r="H240" s="1035" t="str">
        <f ca="1">IF(tblDias[[#This Row],[Fecha]]&gt;TODAY(),"Pendiente",IF(tblDias[[#This Row],[Horas cargadas]]=0,"Sin datos",IF(tblDias[[#This Row],[Horas cargadas]]&lt;tblDias[[#This Row],[Horas esperadas]],"Parcial","Completo")))</f>
        <v>Pendiente</v>
      </c>
      <c r="I240" s="1037">
        <f>COUNTIFS(tblRDO[Fecha],tblDias[[#This Row],[Fecha]])</f>
        <v>0</v>
      </c>
      <c r="J240" s="1038" t="str">
        <f ca="1">IF(tblDias[[#This Row],[Fecha]]&gt;TODAY(),"Pendiente",IF(tblDias[[#This Row],[Filas RDO]]=0,"Sin RDO","Cargado"))</f>
        <v>Pendiente</v>
      </c>
      <c r="K240" s="972">
        <f>COUNTIFS(tblControles[Fecha],tblDias[[#This Row],[Fecha]],tblControles[Turno],"&lt;&gt;Obs")</f>
        <v>0</v>
      </c>
      <c r="L240" s="971">
        <f>SUMIFS(tblParadas[Horas perdidas],tblParadas[Fecha],tblDias[[#This Row],[Fecha]])</f>
        <v>0</v>
      </c>
      <c r="M240" s="1040"/>
      <c r="N240" s="953"/>
      <c r="O240" s="1040"/>
    </row>
    <row r="241" spans="2:15">
      <c r="B241" s="1041">
        <v>46496</v>
      </c>
      <c r="C241" s="1034" t="str">
        <f>CHOOSE(WEEKDAY(tblDias[[#This Row],[Fecha]],2),"lun","mar","mié","jue","vie","sáb","dom")</f>
        <v>lun</v>
      </c>
      <c r="D241" s="1039" t="s">
        <v>9256</v>
      </c>
      <c r="E241" s="1035">
        <f>COUNTIFS(tblConcentrado[Fecha],tblDias[[#This Row],[Fecha]])</f>
        <v>0</v>
      </c>
      <c r="F241" s="1035">
        <f t="shared" si="3"/>
        <v>24</v>
      </c>
      <c r="G241" s="1036">
        <f>IF(tblDias[[#This Row],[Horas esperadas]]=0,0,tblDias[[#This Row],[Horas cargadas]]/tblDias[[#This Row],[Horas esperadas]])</f>
        <v>0</v>
      </c>
      <c r="H241" s="1035" t="str">
        <f ca="1">IF(tblDias[[#This Row],[Fecha]]&gt;TODAY(),"Pendiente",IF(tblDias[[#This Row],[Horas cargadas]]=0,"Sin datos",IF(tblDias[[#This Row],[Horas cargadas]]&lt;tblDias[[#This Row],[Horas esperadas]],"Parcial","Completo")))</f>
        <v>Pendiente</v>
      </c>
      <c r="I241" s="1037">
        <f>COUNTIFS(tblRDO[Fecha],tblDias[[#This Row],[Fecha]])</f>
        <v>0</v>
      </c>
      <c r="J241" s="1038" t="str">
        <f ca="1">IF(tblDias[[#This Row],[Fecha]]&gt;TODAY(),"Pendiente",IF(tblDias[[#This Row],[Filas RDO]]=0,"Sin RDO","Cargado"))</f>
        <v>Pendiente</v>
      </c>
      <c r="K241" s="972">
        <f>COUNTIFS(tblControles[Fecha],tblDias[[#This Row],[Fecha]],tblControles[Turno],"&lt;&gt;Obs")</f>
        <v>0</v>
      </c>
      <c r="L241" s="971">
        <f>SUMIFS(tblParadas[Horas perdidas],tblParadas[Fecha],tblDias[[#This Row],[Fecha]])</f>
        <v>0</v>
      </c>
      <c r="M241" s="1040"/>
      <c r="N241" s="953"/>
      <c r="O241" s="1040"/>
    </row>
    <row r="242" spans="2:15">
      <c r="B242" s="1041">
        <v>46497</v>
      </c>
      <c r="C242" s="1034" t="str">
        <f>CHOOSE(WEEKDAY(tblDias[[#This Row],[Fecha]],2),"lun","mar","mié","jue","vie","sáb","dom")</f>
        <v>mar</v>
      </c>
      <c r="D242" s="1039" t="s">
        <v>9256</v>
      </c>
      <c r="E242" s="1035">
        <f>COUNTIFS(tblConcentrado[Fecha],tblDias[[#This Row],[Fecha]])</f>
        <v>0</v>
      </c>
      <c r="F242" s="1035">
        <f t="shared" si="3"/>
        <v>24</v>
      </c>
      <c r="G242" s="1036">
        <f>IF(tblDias[[#This Row],[Horas esperadas]]=0,0,tblDias[[#This Row],[Horas cargadas]]/tblDias[[#This Row],[Horas esperadas]])</f>
        <v>0</v>
      </c>
      <c r="H242" s="1035" t="str">
        <f ca="1">IF(tblDias[[#This Row],[Fecha]]&gt;TODAY(),"Pendiente",IF(tblDias[[#This Row],[Horas cargadas]]=0,"Sin datos",IF(tblDias[[#This Row],[Horas cargadas]]&lt;tblDias[[#This Row],[Horas esperadas]],"Parcial","Completo")))</f>
        <v>Pendiente</v>
      </c>
      <c r="I242" s="1037">
        <f>COUNTIFS(tblRDO[Fecha],tblDias[[#This Row],[Fecha]])</f>
        <v>0</v>
      </c>
      <c r="J242" s="1038" t="str">
        <f ca="1">IF(tblDias[[#This Row],[Fecha]]&gt;TODAY(),"Pendiente",IF(tblDias[[#This Row],[Filas RDO]]=0,"Sin RDO","Cargado"))</f>
        <v>Pendiente</v>
      </c>
      <c r="K242" s="972">
        <f>COUNTIFS(tblControles[Fecha],tblDias[[#This Row],[Fecha]],tblControles[Turno],"&lt;&gt;Obs")</f>
        <v>0</v>
      </c>
      <c r="L242" s="971">
        <f>SUMIFS(tblParadas[Horas perdidas],tblParadas[Fecha],tblDias[[#This Row],[Fecha]])</f>
        <v>0</v>
      </c>
      <c r="M242" s="1040"/>
      <c r="N242" s="953"/>
      <c r="O242" s="1040"/>
    </row>
    <row r="243" spans="2:15">
      <c r="B243" s="1041">
        <v>46498</v>
      </c>
      <c r="C243" s="1034" t="str">
        <f>CHOOSE(WEEKDAY(tblDias[[#This Row],[Fecha]],2),"lun","mar","mié","jue","vie","sáb","dom")</f>
        <v>mié</v>
      </c>
      <c r="D243" s="1039" t="s">
        <v>9256</v>
      </c>
      <c r="E243" s="1035">
        <f>COUNTIFS(tblConcentrado[Fecha],tblDias[[#This Row],[Fecha]])</f>
        <v>0</v>
      </c>
      <c r="F243" s="1035">
        <f t="shared" si="3"/>
        <v>24</v>
      </c>
      <c r="G243" s="1036">
        <f>IF(tblDias[[#This Row],[Horas esperadas]]=0,0,tblDias[[#This Row],[Horas cargadas]]/tblDias[[#This Row],[Horas esperadas]])</f>
        <v>0</v>
      </c>
      <c r="H243" s="1035" t="str">
        <f ca="1">IF(tblDias[[#This Row],[Fecha]]&gt;TODAY(),"Pendiente",IF(tblDias[[#This Row],[Horas cargadas]]=0,"Sin datos",IF(tblDias[[#This Row],[Horas cargadas]]&lt;tblDias[[#This Row],[Horas esperadas]],"Parcial","Completo")))</f>
        <v>Pendiente</v>
      </c>
      <c r="I243" s="1037">
        <f>COUNTIFS(tblRDO[Fecha],tblDias[[#This Row],[Fecha]])</f>
        <v>0</v>
      </c>
      <c r="J243" s="1038" t="str">
        <f ca="1">IF(tblDias[[#This Row],[Fecha]]&gt;TODAY(),"Pendiente",IF(tblDias[[#This Row],[Filas RDO]]=0,"Sin RDO","Cargado"))</f>
        <v>Pendiente</v>
      </c>
      <c r="K243" s="972">
        <f>COUNTIFS(tblControles[Fecha],tblDias[[#This Row],[Fecha]],tblControles[Turno],"&lt;&gt;Obs")</f>
        <v>0</v>
      </c>
      <c r="L243" s="971">
        <f>SUMIFS(tblParadas[Horas perdidas],tblParadas[Fecha],tblDias[[#This Row],[Fecha]])</f>
        <v>0</v>
      </c>
      <c r="M243" s="1040"/>
      <c r="N243" s="953"/>
      <c r="O243" s="1040"/>
    </row>
    <row r="244" spans="2:15">
      <c r="B244" s="1041">
        <v>46499</v>
      </c>
      <c r="C244" s="1034" t="str">
        <f>CHOOSE(WEEKDAY(tblDias[[#This Row],[Fecha]],2),"lun","mar","mié","jue","vie","sáb","dom")</f>
        <v>jue</v>
      </c>
      <c r="D244" s="1039" t="s">
        <v>9256</v>
      </c>
      <c r="E244" s="1035">
        <f>COUNTIFS(tblConcentrado[Fecha],tblDias[[#This Row],[Fecha]])</f>
        <v>0</v>
      </c>
      <c r="F244" s="1035">
        <f t="shared" si="3"/>
        <v>24</v>
      </c>
      <c r="G244" s="1036">
        <f>IF(tblDias[[#This Row],[Horas esperadas]]=0,0,tblDias[[#This Row],[Horas cargadas]]/tblDias[[#This Row],[Horas esperadas]])</f>
        <v>0</v>
      </c>
      <c r="H244" s="1035" t="str">
        <f ca="1">IF(tblDias[[#This Row],[Fecha]]&gt;TODAY(),"Pendiente",IF(tblDias[[#This Row],[Horas cargadas]]=0,"Sin datos",IF(tblDias[[#This Row],[Horas cargadas]]&lt;tblDias[[#This Row],[Horas esperadas]],"Parcial","Completo")))</f>
        <v>Pendiente</v>
      </c>
      <c r="I244" s="1037">
        <f>COUNTIFS(tblRDO[Fecha],tblDias[[#This Row],[Fecha]])</f>
        <v>0</v>
      </c>
      <c r="J244" s="1038" t="str">
        <f ca="1">IF(tblDias[[#This Row],[Fecha]]&gt;TODAY(),"Pendiente",IF(tblDias[[#This Row],[Filas RDO]]=0,"Sin RDO","Cargado"))</f>
        <v>Pendiente</v>
      </c>
      <c r="K244" s="972">
        <f>COUNTIFS(tblControles[Fecha],tblDias[[#This Row],[Fecha]],tblControles[Turno],"&lt;&gt;Obs")</f>
        <v>0</v>
      </c>
      <c r="L244" s="971">
        <f>SUMIFS(tblParadas[Horas perdidas],tblParadas[Fecha],tblDias[[#This Row],[Fecha]])</f>
        <v>0</v>
      </c>
      <c r="M244" s="1040"/>
      <c r="N244" s="953"/>
      <c r="O244" s="1040"/>
    </row>
    <row r="245" spans="2:15">
      <c r="B245" s="1041">
        <v>46500</v>
      </c>
      <c r="C245" s="1034" t="str">
        <f>CHOOSE(WEEKDAY(tblDias[[#This Row],[Fecha]],2),"lun","mar","mié","jue","vie","sáb","dom")</f>
        <v>vie</v>
      </c>
      <c r="D245" s="1039" t="s">
        <v>9256</v>
      </c>
      <c r="E245" s="1035">
        <f>COUNTIFS(tblConcentrado[Fecha],tblDias[[#This Row],[Fecha]])</f>
        <v>0</v>
      </c>
      <c r="F245" s="1035">
        <f t="shared" si="3"/>
        <v>24</v>
      </c>
      <c r="G245" s="1036">
        <f>IF(tblDias[[#This Row],[Horas esperadas]]=0,0,tblDias[[#This Row],[Horas cargadas]]/tblDias[[#This Row],[Horas esperadas]])</f>
        <v>0</v>
      </c>
      <c r="H245" s="1035" t="str">
        <f ca="1">IF(tblDias[[#This Row],[Fecha]]&gt;TODAY(),"Pendiente",IF(tblDias[[#This Row],[Horas cargadas]]=0,"Sin datos",IF(tblDias[[#This Row],[Horas cargadas]]&lt;tblDias[[#This Row],[Horas esperadas]],"Parcial","Completo")))</f>
        <v>Pendiente</v>
      </c>
      <c r="I245" s="1037">
        <f>COUNTIFS(tblRDO[Fecha],tblDias[[#This Row],[Fecha]])</f>
        <v>0</v>
      </c>
      <c r="J245" s="1038" t="str">
        <f ca="1">IF(tblDias[[#This Row],[Fecha]]&gt;TODAY(),"Pendiente",IF(tblDias[[#This Row],[Filas RDO]]=0,"Sin RDO","Cargado"))</f>
        <v>Pendiente</v>
      </c>
      <c r="K245" s="972">
        <f>COUNTIFS(tblControles[Fecha],tblDias[[#This Row],[Fecha]],tblControles[Turno],"&lt;&gt;Obs")</f>
        <v>0</v>
      </c>
      <c r="L245" s="971">
        <f>SUMIFS(tblParadas[Horas perdidas],tblParadas[Fecha],tblDias[[#This Row],[Fecha]])</f>
        <v>0</v>
      </c>
      <c r="M245" s="1040"/>
      <c r="N245" s="953"/>
      <c r="O245" s="1040"/>
    </row>
    <row r="246" spans="2:15">
      <c r="B246" s="1041">
        <v>46501</v>
      </c>
      <c r="C246" s="1034" t="str">
        <f>CHOOSE(WEEKDAY(tblDias[[#This Row],[Fecha]],2),"lun","mar","mié","jue","vie","sáb","dom")</f>
        <v>sáb</v>
      </c>
      <c r="D246" s="1039" t="s">
        <v>9256</v>
      </c>
      <c r="E246" s="1035">
        <f>COUNTIFS(tblConcentrado[Fecha],tblDias[[#This Row],[Fecha]])</f>
        <v>0</v>
      </c>
      <c r="F246" s="1035">
        <f t="shared" si="3"/>
        <v>24</v>
      </c>
      <c r="G246" s="1036">
        <f>IF(tblDias[[#This Row],[Horas esperadas]]=0,0,tblDias[[#This Row],[Horas cargadas]]/tblDias[[#This Row],[Horas esperadas]])</f>
        <v>0</v>
      </c>
      <c r="H246" s="1035" t="str">
        <f ca="1">IF(tblDias[[#This Row],[Fecha]]&gt;TODAY(),"Pendiente",IF(tblDias[[#This Row],[Horas cargadas]]=0,"Sin datos",IF(tblDias[[#This Row],[Horas cargadas]]&lt;tblDias[[#This Row],[Horas esperadas]],"Parcial","Completo")))</f>
        <v>Pendiente</v>
      </c>
      <c r="I246" s="1037">
        <f>COUNTIFS(tblRDO[Fecha],tblDias[[#This Row],[Fecha]])</f>
        <v>0</v>
      </c>
      <c r="J246" s="1038" t="str">
        <f ca="1">IF(tblDias[[#This Row],[Fecha]]&gt;TODAY(),"Pendiente",IF(tblDias[[#This Row],[Filas RDO]]=0,"Sin RDO","Cargado"))</f>
        <v>Pendiente</v>
      </c>
      <c r="K246" s="972">
        <f>COUNTIFS(tblControles[Fecha],tblDias[[#This Row],[Fecha]],tblControles[Turno],"&lt;&gt;Obs")</f>
        <v>0</v>
      </c>
      <c r="L246" s="971">
        <f>SUMIFS(tblParadas[Horas perdidas],tblParadas[Fecha],tblDias[[#This Row],[Fecha]])</f>
        <v>0</v>
      </c>
      <c r="M246" s="1040"/>
      <c r="N246" s="953"/>
      <c r="O246" s="1040"/>
    </row>
    <row r="247" spans="2:15">
      <c r="B247" s="1041">
        <v>46502</v>
      </c>
      <c r="C247" s="1034" t="str">
        <f>CHOOSE(WEEKDAY(tblDias[[#This Row],[Fecha]],2),"lun","mar","mié","jue","vie","sáb","dom")</f>
        <v>dom</v>
      </c>
      <c r="D247" s="1039" t="s">
        <v>9256</v>
      </c>
      <c r="E247" s="1035">
        <f>COUNTIFS(tblConcentrado[Fecha],tblDias[[#This Row],[Fecha]])</f>
        <v>0</v>
      </c>
      <c r="F247" s="1035">
        <f t="shared" si="3"/>
        <v>24</v>
      </c>
      <c r="G247" s="1036">
        <f>IF(tblDias[[#This Row],[Horas esperadas]]=0,0,tblDias[[#This Row],[Horas cargadas]]/tblDias[[#This Row],[Horas esperadas]])</f>
        <v>0</v>
      </c>
      <c r="H247" s="1035" t="str">
        <f ca="1">IF(tblDias[[#This Row],[Fecha]]&gt;TODAY(),"Pendiente",IF(tblDias[[#This Row],[Horas cargadas]]=0,"Sin datos",IF(tblDias[[#This Row],[Horas cargadas]]&lt;tblDias[[#This Row],[Horas esperadas]],"Parcial","Completo")))</f>
        <v>Pendiente</v>
      </c>
      <c r="I247" s="1037">
        <f>COUNTIFS(tblRDO[Fecha],tblDias[[#This Row],[Fecha]])</f>
        <v>0</v>
      </c>
      <c r="J247" s="1038" t="str">
        <f ca="1">IF(tblDias[[#This Row],[Fecha]]&gt;TODAY(),"Pendiente",IF(tblDias[[#This Row],[Filas RDO]]=0,"Sin RDO","Cargado"))</f>
        <v>Pendiente</v>
      </c>
      <c r="K247" s="972">
        <f>COUNTIFS(tblControles[Fecha],tblDias[[#This Row],[Fecha]],tblControles[Turno],"&lt;&gt;Obs")</f>
        <v>0</v>
      </c>
      <c r="L247" s="971">
        <f>SUMIFS(tblParadas[Horas perdidas],tblParadas[Fecha],tblDias[[#This Row],[Fecha]])</f>
        <v>0</v>
      </c>
      <c r="M247" s="1040"/>
      <c r="N247" s="953"/>
      <c r="O247" s="1040"/>
    </row>
    <row r="248" spans="2:15">
      <c r="B248" s="1041">
        <v>46503</v>
      </c>
      <c r="C248" s="1034" t="str">
        <f>CHOOSE(WEEKDAY(tblDias[[#This Row],[Fecha]],2),"lun","mar","mié","jue","vie","sáb","dom")</f>
        <v>lun</v>
      </c>
      <c r="D248" s="1039" t="s">
        <v>9256</v>
      </c>
      <c r="E248" s="1035">
        <f>COUNTIFS(tblConcentrado[Fecha],tblDias[[#This Row],[Fecha]])</f>
        <v>0</v>
      </c>
      <c r="F248" s="1035">
        <f t="shared" si="3"/>
        <v>24</v>
      </c>
      <c r="G248" s="1036">
        <f>IF(tblDias[[#This Row],[Horas esperadas]]=0,0,tblDias[[#This Row],[Horas cargadas]]/tblDias[[#This Row],[Horas esperadas]])</f>
        <v>0</v>
      </c>
      <c r="H248" s="1035" t="str">
        <f ca="1">IF(tblDias[[#This Row],[Fecha]]&gt;TODAY(),"Pendiente",IF(tblDias[[#This Row],[Horas cargadas]]=0,"Sin datos",IF(tblDias[[#This Row],[Horas cargadas]]&lt;tblDias[[#This Row],[Horas esperadas]],"Parcial","Completo")))</f>
        <v>Pendiente</v>
      </c>
      <c r="I248" s="1037">
        <f>COUNTIFS(tblRDO[Fecha],tblDias[[#This Row],[Fecha]])</f>
        <v>0</v>
      </c>
      <c r="J248" s="1038" t="str">
        <f ca="1">IF(tblDias[[#This Row],[Fecha]]&gt;TODAY(),"Pendiente",IF(tblDias[[#This Row],[Filas RDO]]=0,"Sin RDO","Cargado"))</f>
        <v>Pendiente</v>
      </c>
      <c r="K248" s="972">
        <f>COUNTIFS(tblControles[Fecha],tblDias[[#This Row],[Fecha]],tblControles[Turno],"&lt;&gt;Obs")</f>
        <v>0</v>
      </c>
      <c r="L248" s="971">
        <f>SUMIFS(tblParadas[Horas perdidas],tblParadas[Fecha],tblDias[[#This Row],[Fecha]])</f>
        <v>0</v>
      </c>
      <c r="M248" s="1040"/>
      <c r="N248" s="953"/>
      <c r="O248" s="1040"/>
    </row>
    <row r="249" spans="2:15">
      <c r="B249" s="1041">
        <v>46504</v>
      </c>
      <c r="C249" s="1034" t="str">
        <f>CHOOSE(WEEKDAY(tblDias[[#This Row],[Fecha]],2),"lun","mar","mié","jue","vie","sáb","dom")</f>
        <v>mar</v>
      </c>
      <c r="D249" s="1039" t="s">
        <v>9256</v>
      </c>
      <c r="E249" s="1035">
        <f>COUNTIFS(tblConcentrado[Fecha],tblDias[[#This Row],[Fecha]])</f>
        <v>0</v>
      </c>
      <c r="F249" s="1035">
        <f t="shared" si="3"/>
        <v>24</v>
      </c>
      <c r="G249" s="1036">
        <f>IF(tblDias[[#This Row],[Horas esperadas]]=0,0,tblDias[[#This Row],[Horas cargadas]]/tblDias[[#This Row],[Horas esperadas]])</f>
        <v>0</v>
      </c>
      <c r="H249" s="1035" t="str">
        <f ca="1">IF(tblDias[[#This Row],[Fecha]]&gt;TODAY(),"Pendiente",IF(tblDias[[#This Row],[Horas cargadas]]=0,"Sin datos",IF(tblDias[[#This Row],[Horas cargadas]]&lt;tblDias[[#This Row],[Horas esperadas]],"Parcial","Completo")))</f>
        <v>Pendiente</v>
      </c>
      <c r="I249" s="1037">
        <f>COUNTIFS(tblRDO[Fecha],tblDias[[#This Row],[Fecha]])</f>
        <v>0</v>
      </c>
      <c r="J249" s="1038" t="str">
        <f ca="1">IF(tblDias[[#This Row],[Fecha]]&gt;TODAY(),"Pendiente",IF(tblDias[[#This Row],[Filas RDO]]=0,"Sin RDO","Cargado"))</f>
        <v>Pendiente</v>
      </c>
      <c r="K249" s="972">
        <f>COUNTIFS(tblControles[Fecha],tblDias[[#This Row],[Fecha]],tblControles[Turno],"&lt;&gt;Obs")</f>
        <v>0</v>
      </c>
      <c r="L249" s="971">
        <f>SUMIFS(tblParadas[Horas perdidas],tblParadas[Fecha],tblDias[[#This Row],[Fecha]])</f>
        <v>0</v>
      </c>
      <c r="M249" s="1040"/>
      <c r="N249" s="953"/>
      <c r="O249" s="1040"/>
    </row>
    <row r="250" spans="2:15">
      <c r="B250" s="1041">
        <v>46505</v>
      </c>
      <c r="C250" s="1034" t="str">
        <f>CHOOSE(WEEKDAY(tblDias[[#This Row],[Fecha]],2),"lun","mar","mié","jue","vie","sáb","dom")</f>
        <v>mié</v>
      </c>
      <c r="D250" s="1039" t="s">
        <v>9256</v>
      </c>
      <c r="E250" s="1035">
        <f>COUNTIFS(tblConcentrado[Fecha],tblDias[[#This Row],[Fecha]])</f>
        <v>0</v>
      </c>
      <c r="F250" s="1035">
        <f t="shared" si="3"/>
        <v>24</v>
      </c>
      <c r="G250" s="1036">
        <f>IF(tblDias[[#This Row],[Horas esperadas]]=0,0,tblDias[[#This Row],[Horas cargadas]]/tblDias[[#This Row],[Horas esperadas]])</f>
        <v>0</v>
      </c>
      <c r="H250" s="1035" t="str">
        <f ca="1">IF(tblDias[[#This Row],[Fecha]]&gt;TODAY(),"Pendiente",IF(tblDias[[#This Row],[Horas cargadas]]=0,"Sin datos",IF(tblDias[[#This Row],[Horas cargadas]]&lt;tblDias[[#This Row],[Horas esperadas]],"Parcial","Completo")))</f>
        <v>Pendiente</v>
      </c>
      <c r="I250" s="1037">
        <f>COUNTIFS(tblRDO[Fecha],tblDias[[#This Row],[Fecha]])</f>
        <v>0</v>
      </c>
      <c r="J250" s="1038" t="str">
        <f ca="1">IF(tblDias[[#This Row],[Fecha]]&gt;TODAY(),"Pendiente",IF(tblDias[[#This Row],[Filas RDO]]=0,"Sin RDO","Cargado"))</f>
        <v>Pendiente</v>
      </c>
      <c r="K250" s="972">
        <f>COUNTIFS(tblControles[Fecha],tblDias[[#This Row],[Fecha]],tblControles[Turno],"&lt;&gt;Obs")</f>
        <v>0</v>
      </c>
      <c r="L250" s="971">
        <f>SUMIFS(tblParadas[Horas perdidas],tblParadas[Fecha],tblDias[[#This Row],[Fecha]])</f>
        <v>0</v>
      </c>
      <c r="M250" s="1040"/>
      <c r="N250" s="953"/>
      <c r="O250" s="1040"/>
    </row>
    <row r="251" spans="2:15">
      <c r="B251" s="1041">
        <v>46506</v>
      </c>
      <c r="C251" s="1034" t="str">
        <f>CHOOSE(WEEKDAY(tblDias[[#This Row],[Fecha]],2),"lun","mar","mié","jue","vie","sáb","dom")</f>
        <v>jue</v>
      </c>
      <c r="D251" s="1039" t="s">
        <v>9256</v>
      </c>
      <c r="E251" s="1035">
        <f>COUNTIFS(tblConcentrado[Fecha],tblDias[[#This Row],[Fecha]])</f>
        <v>0</v>
      </c>
      <c r="F251" s="1035">
        <f t="shared" si="3"/>
        <v>24</v>
      </c>
      <c r="G251" s="1036">
        <f>IF(tblDias[[#This Row],[Horas esperadas]]=0,0,tblDias[[#This Row],[Horas cargadas]]/tblDias[[#This Row],[Horas esperadas]])</f>
        <v>0</v>
      </c>
      <c r="H251" s="1035" t="str">
        <f ca="1">IF(tblDias[[#This Row],[Fecha]]&gt;TODAY(),"Pendiente",IF(tblDias[[#This Row],[Horas cargadas]]=0,"Sin datos",IF(tblDias[[#This Row],[Horas cargadas]]&lt;tblDias[[#This Row],[Horas esperadas]],"Parcial","Completo")))</f>
        <v>Pendiente</v>
      </c>
      <c r="I251" s="1037">
        <f>COUNTIFS(tblRDO[Fecha],tblDias[[#This Row],[Fecha]])</f>
        <v>0</v>
      </c>
      <c r="J251" s="1038" t="str">
        <f ca="1">IF(tblDias[[#This Row],[Fecha]]&gt;TODAY(),"Pendiente",IF(tblDias[[#This Row],[Filas RDO]]=0,"Sin RDO","Cargado"))</f>
        <v>Pendiente</v>
      </c>
      <c r="K251" s="972">
        <f>COUNTIFS(tblControles[Fecha],tblDias[[#This Row],[Fecha]],tblControles[Turno],"&lt;&gt;Obs")</f>
        <v>0</v>
      </c>
      <c r="L251" s="971">
        <f>SUMIFS(tblParadas[Horas perdidas],tblParadas[Fecha],tblDias[[#This Row],[Fecha]])</f>
        <v>0</v>
      </c>
      <c r="M251" s="1040"/>
      <c r="N251" s="953"/>
      <c r="O251" s="1040"/>
    </row>
    <row r="252" spans="2:15">
      <c r="B252" s="1041">
        <v>46507</v>
      </c>
      <c r="C252" s="1034" t="str">
        <f>CHOOSE(WEEKDAY(tblDias[[#This Row],[Fecha]],2),"lun","mar","mié","jue","vie","sáb","dom")</f>
        <v>vie</v>
      </c>
      <c r="D252" s="1039" t="s">
        <v>9256</v>
      </c>
      <c r="E252" s="1035">
        <f>COUNTIFS(tblConcentrado[Fecha],tblDias[[#This Row],[Fecha]])</f>
        <v>0</v>
      </c>
      <c r="F252" s="1035">
        <f t="shared" si="3"/>
        <v>24</v>
      </c>
      <c r="G252" s="1036">
        <f>IF(tblDias[[#This Row],[Horas esperadas]]=0,0,tblDias[[#This Row],[Horas cargadas]]/tblDias[[#This Row],[Horas esperadas]])</f>
        <v>0</v>
      </c>
      <c r="H252" s="1035" t="str">
        <f ca="1">IF(tblDias[[#This Row],[Fecha]]&gt;TODAY(),"Pendiente",IF(tblDias[[#This Row],[Horas cargadas]]=0,"Sin datos",IF(tblDias[[#This Row],[Horas cargadas]]&lt;tblDias[[#This Row],[Horas esperadas]],"Parcial","Completo")))</f>
        <v>Pendiente</v>
      </c>
      <c r="I252" s="1037">
        <f>COUNTIFS(tblRDO[Fecha],tblDias[[#This Row],[Fecha]])</f>
        <v>0</v>
      </c>
      <c r="J252" s="1038" t="str">
        <f ca="1">IF(tblDias[[#This Row],[Fecha]]&gt;TODAY(),"Pendiente",IF(tblDias[[#This Row],[Filas RDO]]=0,"Sin RDO","Cargado"))</f>
        <v>Pendiente</v>
      </c>
      <c r="K252" s="972">
        <f>COUNTIFS(tblControles[Fecha],tblDias[[#This Row],[Fecha]],tblControles[Turno],"&lt;&gt;Obs")</f>
        <v>0</v>
      </c>
      <c r="L252" s="971">
        <f>SUMIFS(tblParadas[Horas perdidas],tblParadas[Fecha],tblDias[[#This Row],[Fecha]])</f>
        <v>0</v>
      </c>
      <c r="M252" s="1040"/>
      <c r="N252" s="953"/>
      <c r="O252" s="1040"/>
    </row>
    <row r="253" spans="2:15">
      <c r="B253" s="1041">
        <v>46508</v>
      </c>
      <c r="C253" s="1034" t="str">
        <f>CHOOSE(WEEKDAY(tblDias[[#This Row],[Fecha]],2),"lun","mar","mié","jue","vie","sáb","dom")</f>
        <v>sáb</v>
      </c>
      <c r="D253" s="1039" t="s">
        <v>9256</v>
      </c>
      <c r="E253" s="1035">
        <f>COUNTIFS(tblConcentrado[Fecha],tblDias[[#This Row],[Fecha]])</f>
        <v>0</v>
      </c>
      <c r="F253" s="1035">
        <f t="shared" si="3"/>
        <v>24</v>
      </c>
      <c r="G253" s="1036">
        <f>IF(tblDias[[#This Row],[Horas esperadas]]=0,0,tblDias[[#This Row],[Horas cargadas]]/tblDias[[#This Row],[Horas esperadas]])</f>
        <v>0</v>
      </c>
      <c r="H253" s="1035" t="str">
        <f ca="1">IF(tblDias[[#This Row],[Fecha]]&gt;TODAY(),"Pendiente",IF(tblDias[[#This Row],[Horas cargadas]]=0,"Sin datos",IF(tblDias[[#This Row],[Horas cargadas]]&lt;tblDias[[#This Row],[Horas esperadas]],"Parcial","Completo")))</f>
        <v>Pendiente</v>
      </c>
      <c r="I253" s="1037">
        <f>COUNTIFS(tblRDO[Fecha],tblDias[[#This Row],[Fecha]])</f>
        <v>0</v>
      </c>
      <c r="J253" s="1038" t="str">
        <f ca="1">IF(tblDias[[#This Row],[Fecha]]&gt;TODAY(),"Pendiente",IF(tblDias[[#This Row],[Filas RDO]]=0,"Sin RDO","Cargado"))</f>
        <v>Pendiente</v>
      </c>
      <c r="K253" s="972">
        <f>COUNTIFS(tblControles[Fecha],tblDias[[#This Row],[Fecha]],tblControles[Turno],"&lt;&gt;Obs")</f>
        <v>0</v>
      </c>
      <c r="L253" s="971">
        <f>SUMIFS(tblParadas[Horas perdidas],tblParadas[Fecha],tblDias[[#This Row],[Fecha]])</f>
        <v>0</v>
      </c>
      <c r="M253" s="1040"/>
      <c r="N253" s="953"/>
      <c r="O253" s="1040"/>
    </row>
    <row r="254" spans="2:15">
      <c r="B254" s="1041">
        <v>46509</v>
      </c>
      <c r="C254" s="1034" t="str">
        <f>CHOOSE(WEEKDAY(tblDias[[#This Row],[Fecha]],2),"lun","mar","mié","jue","vie","sáb","dom")</f>
        <v>dom</v>
      </c>
      <c r="D254" s="1039" t="s">
        <v>9256</v>
      </c>
      <c r="E254" s="1035">
        <f>COUNTIFS(tblConcentrado[Fecha],tblDias[[#This Row],[Fecha]])</f>
        <v>0</v>
      </c>
      <c r="F254" s="1035">
        <f t="shared" si="3"/>
        <v>24</v>
      </c>
      <c r="G254" s="1036">
        <f>IF(tblDias[[#This Row],[Horas esperadas]]=0,0,tblDias[[#This Row],[Horas cargadas]]/tblDias[[#This Row],[Horas esperadas]])</f>
        <v>0</v>
      </c>
      <c r="H254" s="1035" t="str">
        <f ca="1">IF(tblDias[[#This Row],[Fecha]]&gt;TODAY(),"Pendiente",IF(tblDias[[#This Row],[Horas cargadas]]=0,"Sin datos",IF(tblDias[[#This Row],[Horas cargadas]]&lt;tblDias[[#This Row],[Horas esperadas]],"Parcial","Completo")))</f>
        <v>Pendiente</v>
      </c>
      <c r="I254" s="1037">
        <f>COUNTIFS(tblRDO[Fecha],tblDias[[#This Row],[Fecha]])</f>
        <v>0</v>
      </c>
      <c r="J254" s="1038" t="str">
        <f ca="1">IF(tblDias[[#This Row],[Fecha]]&gt;TODAY(),"Pendiente",IF(tblDias[[#This Row],[Filas RDO]]=0,"Sin RDO","Cargado"))</f>
        <v>Pendiente</v>
      </c>
      <c r="K254" s="972">
        <f>COUNTIFS(tblControles[Fecha],tblDias[[#This Row],[Fecha]],tblControles[Turno],"&lt;&gt;Obs")</f>
        <v>0</v>
      </c>
      <c r="L254" s="971">
        <f>SUMIFS(tblParadas[Horas perdidas],tblParadas[Fecha],tblDias[[#This Row],[Fecha]])</f>
        <v>0</v>
      </c>
      <c r="M254" s="1040"/>
      <c r="N254" s="953"/>
      <c r="O254" s="1040"/>
    </row>
    <row r="255" spans="2:15">
      <c r="B255" s="1041">
        <v>46510</v>
      </c>
      <c r="C255" s="1034" t="str">
        <f>CHOOSE(WEEKDAY(tblDias[[#This Row],[Fecha]],2),"lun","mar","mié","jue","vie","sáb","dom")</f>
        <v>lun</v>
      </c>
      <c r="D255" s="1039" t="s">
        <v>9256</v>
      </c>
      <c r="E255" s="1035">
        <f>COUNTIFS(tblConcentrado[Fecha],tblDias[[#This Row],[Fecha]])</f>
        <v>0</v>
      </c>
      <c r="F255" s="1035">
        <f t="shared" si="3"/>
        <v>24</v>
      </c>
      <c r="G255" s="1036">
        <f>IF(tblDias[[#This Row],[Horas esperadas]]=0,0,tblDias[[#This Row],[Horas cargadas]]/tblDias[[#This Row],[Horas esperadas]])</f>
        <v>0</v>
      </c>
      <c r="H255" s="1035" t="str">
        <f ca="1">IF(tblDias[[#This Row],[Fecha]]&gt;TODAY(),"Pendiente",IF(tblDias[[#This Row],[Horas cargadas]]=0,"Sin datos",IF(tblDias[[#This Row],[Horas cargadas]]&lt;tblDias[[#This Row],[Horas esperadas]],"Parcial","Completo")))</f>
        <v>Pendiente</v>
      </c>
      <c r="I255" s="1037">
        <f>COUNTIFS(tblRDO[Fecha],tblDias[[#This Row],[Fecha]])</f>
        <v>0</v>
      </c>
      <c r="J255" s="1038" t="str">
        <f ca="1">IF(tblDias[[#This Row],[Fecha]]&gt;TODAY(),"Pendiente",IF(tblDias[[#This Row],[Filas RDO]]=0,"Sin RDO","Cargado"))</f>
        <v>Pendiente</v>
      </c>
      <c r="K255" s="972">
        <f>COUNTIFS(tblControles[Fecha],tblDias[[#This Row],[Fecha]],tblControles[Turno],"&lt;&gt;Obs")</f>
        <v>0</v>
      </c>
      <c r="L255" s="971">
        <f>SUMIFS(tblParadas[Horas perdidas],tblParadas[Fecha],tblDias[[#This Row],[Fecha]])</f>
        <v>0</v>
      </c>
      <c r="M255" s="1040"/>
      <c r="N255" s="953"/>
      <c r="O255" s="1040"/>
    </row>
    <row r="256" spans="2:15">
      <c r="B256" s="1041">
        <v>46511</v>
      </c>
      <c r="C256" s="1034" t="str">
        <f>CHOOSE(WEEKDAY(tblDias[[#This Row],[Fecha]],2),"lun","mar","mié","jue","vie","sáb","dom")</f>
        <v>mar</v>
      </c>
      <c r="D256" s="1039" t="s">
        <v>9256</v>
      </c>
      <c r="E256" s="1035">
        <f>COUNTIFS(tblConcentrado[Fecha],tblDias[[#This Row],[Fecha]])</f>
        <v>0</v>
      </c>
      <c r="F256" s="1035">
        <f t="shared" si="3"/>
        <v>24</v>
      </c>
      <c r="G256" s="1036">
        <f>IF(tblDias[[#This Row],[Horas esperadas]]=0,0,tblDias[[#This Row],[Horas cargadas]]/tblDias[[#This Row],[Horas esperadas]])</f>
        <v>0</v>
      </c>
      <c r="H256" s="1035" t="str">
        <f ca="1">IF(tblDias[[#This Row],[Fecha]]&gt;TODAY(),"Pendiente",IF(tblDias[[#This Row],[Horas cargadas]]=0,"Sin datos",IF(tblDias[[#This Row],[Horas cargadas]]&lt;tblDias[[#This Row],[Horas esperadas]],"Parcial","Completo")))</f>
        <v>Pendiente</v>
      </c>
      <c r="I256" s="1037">
        <f>COUNTIFS(tblRDO[Fecha],tblDias[[#This Row],[Fecha]])</f>
        <v>0</v>
      </c>
      <c r="J256" s="1038" t="str">
        <f ca="1">IF(tblDias[[#This Row],[Fecha]]&gt;TODAY(),"Pendiente",IF(tblDias[[#This Row],[Filas RDO]]=0,"Sin RDO","Cargado"))</f>
        <v>Pendiente</v>
      </c>
      <c r="K256" s="972">
        <f>COUNTIFS(tblControles[Fecha],tblDias[[#This Row],[Fecha]],tblControles[Turno],"&lt;&gt;Obs")</f>
        <v>0</v>
      </c>
      <c r="L256" s="971">
        <f>SUMIFS(tblParadas[Horas perdidas],tblParadas[Fecha],tblDias[[#This Row],[Fecha]])</f>
        <v>0</v>
      </c>
      <c r="M256" s="1040"/>
      <c r="N256" s="953"/>
      <c r="O256" s="1040"/>
    </row>
    <row r="257" spans="2:15">
      <c r="B257" s="1041">
        <v>46512</v>
      </c>
      <c r="C257" s="1034" t="str">
        <f>CHOOSE(WEEKDAY(tblDias[[#This Row],[Fecha]],2),"lun","mar","mié","jue","vie","sáb","dom")</f>
        <v>mié</v>
      </c>
      <c r="D257" s="1039" t="s">
        <v>9256</v>
      </c>
      <c r="E257" s="1035">
        <f>COUNTIFS(tblConcentrado[Fecha],tblDias[[#This Row],[Fecha]])</f>
        <v>0</v>
      </c>
      <c r="F257" s="1035">
        <f t="shared" si="3"/>
        <v>24</v>
      </c>
      <c r="G257" s="1036">
        <f>IF(tblDias[[#This Row],[Horas esperadas]]=0,0,tblDias[[#This Row],[Horas cargadas]]/tblDias[[#This Row],[Horas esperadas]])</f>
        <v>0</v>
      </c>
      <c r="H257" s="1035" t="str">
        <f ca="1">IF(tblDias[[#This Row],[Fecha]]&gt;TODAY(),"Pendiente",IF(tblDias[[#This Row],[Horas cargadas]]=0,"Sin datos",IF(tblDias[[#This Row],[Horas cargadas]]&lt;tblDias[[#This Row],[Horas esperadas]],"Parcial","Completo")))</f>
        <v>Pendiente</v>
      </c>
      <c r="I257" s="1037">
        <f>COUNTIFS(tblRDO[Fecha],tblDias[[#This Row],[Fecha]])</f>
        <v>0</v>
      </c>
      <c r="J257" s="1038" t="str">
        <f ca="1">IF(tblDias[[#This Row],[Fecha]]&gt;TODAY(),"Pendiente",IF(tblDias[[#This Row],[Filas RDO]]=0,"Sin RDO","Cargado"))</f>
        <v>Pendiente</v>
      </c>
      <c r="K257" s="972">
        <f>COUNTIFS(tblControles[Fecha],tblDias[[#This Row],[Fecha]],tblControles[Turno],"&lt;&gt;Obs")</f>
        <v>0</v>
      </c>
      <c r="L257" s="971">
        <f>SUMIFS(tblParadas[Horas perdidas],tblParadas[Fecha],tblDias[[#This Row],[Fecha]])</f>
        <v>0</v>
      </c>
      <c r="M257" s="1040"/>
      <c r="N257" s="953"/>
      <c r="O257" s="1040"/>
    </row>
    <row r="258" spans="2:15">
      <c r="B258" s="1041">
        <v>46513</v>
      </c>
      <c r="C258" s="1034" t="str">
        <f>CHOOSE(WEEKDAY(tblDias[[#This Row],[Fecha]],2),"lun","mar","mié","jue","vie","sáb","dom")</f>
        <v>jue</v>
      </c>
      <c r="D258" s="1039" t="s">
        <v>9256</v>
      </c>
      <c r="E258" s="1035">
        <f>COUNTIFS(tblConcentrado[Fecha],tblDias[[#This Row],[Fecha]])</f>
        <v>0</v>
      </c>
      <c r="F258" s="1035">
        <f t="shared" si="3"/>
        <v>24</v>
      </c>
      <c r="G258" s="1036">
        <f>IF(tblDias[[#This Row],[Horas esperadas]]=0,0,tblDias[[#This Row],[Horas cargadas]]/tblDias[[#This Row],[Horas esperadas]])</f>
        <v>0</v>
      </c>
      <c r="H258" s="1035" t="str">
        <f ca="1">IF(tblDias[[#This Row],[Fecha]]&gt;TODAY(),"Pendiente",IF(tblDias[[#This Row],[Horas cargadas]]=0,"Sin datos",IF(tblDias[[#This Row],[Horas cargadas]]&lt;tblDias[[#This Row],[Horas esperadas]],"Parcial","Completo")))</f>
        <v>Pendiente</v>
      </c>
      <c r="I258" s="1037">
        <f>COUNTIFS(tblRDO[Fecha],tblDias[[#This Row],[Fecha]])</f>
        <v>0</v>
      </c>
      <c r="J258" s="1038" t="str">
        <f ca="1">IF(tblDias[[#This Row],[Fecha]]&gt;TODAY(),"Pendiente",IF(tblDias[[#This Row],[Filas RDO]]=0,"Sin RDO","Cargado"))</f>
        <v>Pendiente</v>
      </c>
      <c r="K258" s="972">
        <f>COUNTIFS(tblControles[Fecha],tblDias[[#This Row],[Fecha]],tblControles[Turno],"&lt;&gt;Obs")</f>
        <v>0</v>
      </c>
      <c r="L258" s="971">
        <f>SUMIFS(tblParadas[Horas perdidas],tblParadas[Fecha],tblDias[[#This Row],[Fecha]])</f>
        <v>0</v>
      </c>
      <c r="M258" s="1040"/>
      <c r="N258" s="953"/>
      <c r="O258" s="1040"/>
    </row>
    <row r="259" spans="2:15">
      <c r="B259" s="1041">
        <v>46514</v>
      </c>
      <c r="C259" s="1034" t="str">
        <f>CHOOSE(WEEKDAY(tblDias[[#This Row],[Fecha]],2),"lun","mar","mié","jue","vie","sáb","dom")</f>
        <v>vie</v>
      </c>
      <c r="D259" s="1039" t="s">
        <v>9256</v>
      </c>
      <c r="E259" s="1035">
        <f>COUNTIFS(tblConcentrado[Fecha],tblDias[[#This Row],[Fecha]])</f>
        <v>0</v>
      </c>
      <c r="F259" s="1035">
        <f t="shared" si="3"/>
        <v>24</v>
      </c>
      <c r="G259" s="1036">
        <f>IF(tblDias[[#This Row],[Horas esperadas]]=0,0,tblDias[[#This Row],[Horas cargadas]]/tblDias[[#This Row],[Horas esperadas]])</f>
        <v>0</v>
      </c>
      <c r="H259" s="1035" t="str">
        <f ca="1">IF(tblDias[[#This Row],[Fecha]]&gt;TODAY(),"Pendiente",IF(tblDias[[#This Row],[Horas cargadas]]=0,"Sin datos",IF(tblDias[[#This Row],[Horas cargadas]]&lt;tblDias[[#This Row],[Horas esperadas]],"Parcial","Completo")))</f>
        <v>Pendiente</v>
      </c>
      <c r="I259" s="1037">
        <f>COUNTIFS(tblRDO[Fecha],tblDias[[#This Row],[Fecha]])</f>
        <v>0</v>
      </c>
      <c r="J259" s="1038" t="str">
        <f ca="1">IF(tblDias[[#This Row],[Fecha]]&gt;TODAY(),"Pendiente",IF(tblDias[[#This Row],[Filas RDO]]=0,"Sin RDO","Cargado"))</f>
        <v>Pendiente</v>
      </c>
      <c r="K259" s="972">
        <f>COUNTIFS(tblControles[Fecha],tblDias[[#This Row],[Fecha]],tblControles[Turno],"&lt;&gt;Obs")</f>
        <v>0</v>
      </c>
      <c r="L259" s="971">
        <f>SUMIFS(tblParadas[Horas perdidas],tblParadas[Fecha],tblDias[[#This Row],[Fecha]])</f>
        <v>0</v>
      </c>
      <c r="M259" s="1040"/>
      <c r="N259" s="953"/>
      <c r="O259" s="1040"/>
    </row>
    <row r="260" spans="2:15">
      <c r="B260" s="1041">
        <v>46515</v>
      </c>
      <c r="C260" s="1034" t="str">
        <f>CHOOSE(WEEKDAY(tblDias[[#This Row],[Fecha]],2),"lun","mar","mié","jue","vie","sáb","dom")</f>
        <v>sáb</v>
      </c>
      <c r="D260" s="1039" t="s">
        <v>9256</v>
      </c>
      <c r="E260" s="1035">
        <f>COUNTIFS(tblConcentrado[Fecha],tblDias[[#This Row],[Fecha]])</f>
        <v>0</v>
      </c>
      <c r="F260" s="1035">
        <f t="shared" si="3"/>
        <v>24</v>
      </c>
      <c r="G260" s="1036">
        <f>IF(tblDias[[#This Row],[Horas esperadas]]=0,0,tblDias[[#This Row],[Horas cargadas]]/tblDias[[#This Row],[Horas esperadas]])</f>
        <v>0</v>
      </c>
      <c r="H260" s="1035" t="str">
        <f ca="1">IF(tblDias[[#This Row],[Fecha]]&gt;TODAY(),"Pendiente",IF(tblDias[[#This Row],[Horas cargadas]]=0,"Sin datos",IF(tblDias[[#This Row],[Horas cargadas]]&lt;tblDias[[#This Row],[Horas esperadas]],"Parcial","Completo")))</f>
        <v>Pendiente</v>
      </c>
      <c r="I260" s="1037">
        <f>COUNTIFS(tblRDO[Fecha],tblDias[[#This Row],[Fecha]])</f>
        <v>0</v>
      </c>
      <c r="J260" s="1038" t="str">
        <f ca="1">IF(tblDias[[#This Row],[Fecha]]&gt;TODAY(),"Pendiente",IF(tblDias[[#This Row],[Filas RDO]]=0,"Sin RDO","Cargado"))</f>
        <v>Pendiente</v>
      </c>
      <c r="K260" s="972">
        <f>COUNTIFS(tblControles[Fecha],tblDias[[#This Row],[Fecha]],tblControles[Turno],"&lt;&gt;Obs")</f>
        <v>0</v>
      </c>
      <c r="L260" s="971">
        <f>SUMIFS(tblParadas[Horas perdidas],tblParadas[Fecha],tblDias[[#This Row],[Fecha]])</f>
        <v>0</v>
      </c>
      <c r="M260" s="1040"/>
      <c r="N260" s="953"/>
      <c r="O260" s="1040"/>
    </row>
    <row r="261" spans="2:15">
      <c r="B261" s="1041">
        <v>46516</v>
      </c>
      <c r="C261" s="1034" t="str">
        <f>CHOOSE(WEEKDAY(tblDias[[#This Row],[Fecha]],2),"lun","mar","mié","jue","vie","sáb","dom")</f>
        <v>dom</v>
      </c>
      <c r="D261" s="1039" t="s">
        <v>9256</v>
      </c>
      <c r="E261" s="1035">
        <f>COUNTIFS(tblConcentrado[Fecha],tblDias[[#This Row],[Fecha]])</f>
        <v>0</v>
      </c>
      <c r="F261" s="1035">
        <f t="shared" si="3"/>
        <v>24</v>
      </c>
      <c r="G261" s="1036">
        <f>IF(tblDias[[#This Row],[Horas esperadas]]=0,0,tblDias[[#This Row],[Horas cargadas]]/tblDias[[#This Row],[Horas esperadas]])</f>
        <v>0</v>
      </c>
      <c r="H261" s="1035" t="str">
        <f ca="1">IF(tblDias[[#This Row],[Fecha]]&gt;TODAY(),"Pendiente",IF(tblDias[[#This Row],[Horas cargadas]]=0,"Sin datos",IF(tblDias[[#This Row],[Horas cargadas]]&lt;tblDias[[#This Row],[Horas esperadas]],"Parcial","Completo")))</f>
        <v>Pendiente</v>
      </c>
      <c r="I261" s="1037">
        <f>COUNTIFS(tblRDO[Fecha],tblDias[[#This Row],[Fecha]])</f>
        <v>0</v>
      </c>
      <c r="J261" s="1038" t="str">
        <f ca="1">IF(tblDias[[#This Row],[Fecha]]&gt;TODAY(),"Pendiente",IF(tblDias[[#This Row],[Filas RDO]]=0,"Sin RDO","Cargado"))</f>
        <v>Pendiente</v>
      </c>
      <c r="K261" s="972">
        <f>COUNTIFS(tblControles[Fecha],tblDias[[#This Row],[Fecha]],tblControles[Turno],"&lt;&gt;Obs")</f>
        <v>0</v>
      </c>
      <c r="L261" s="971">
        <f>SUMIFS(tblParadas[Horas perdidas],tblParadas[Fecha],tblDias[[#This Row],[Fecha]])</f>
        <v>0</v>
      </c>
      <c r="M261" s="1040"/>
      <c r="N261" s="953"/>
      <c r="O261" s="1040"/>
    </row>
    <row r="262" spans="2:15">
      <c r="B262" s="1041">
        <v>46517</v>
      </c>
      <c r="C262" s="1034" t="str">
        <f>CHOOSE(WEEKDAY(tblDias[[#This Row],[Fecha]],2),"lun","mar","mié","jue","vie","sáb","dom")</f>
        <v>lun</v>
      </c>
      <c r="D262" s="1039" t="s">
        <v>9256</v>
      </c>
      <c r="E262" s="1035">
        <f>COUNTIFS(tblConcentrado[Fecha],tblDias[[#This Row],[Fecha]])</f>
        <v>0</v>
      </c>
      <c r="F262" s="1035">
        <f t="shared" si="3"/>
        <v>24</v>
      </c>
      <c r="G262" s="1036">
        <f>IF(tblDias[[#This Row],[Horas esperadas]]=0,0,tblDias[[#This Row],[Horas cargadas]]/tblDias[[#This Row],[Horas esperadas]])</f>
        <v>0</v>
      </c>
      <c r="H262" s="1035" t="str">
        <f ca="1">IF(tblDias[[#This Row],[Fecha]]&gt;TODAY(),"Pendiente",IF(tblDias[[#This Row],[Horas cargadas]]=0,"Sin datos",IF(tblDias[[#This Row],[Horas cargadas]]&lt;tblDias[[#This Row],[Horas esperadas]],"Parcial","Completo")))</f>
        <v>Pendiente</v>
      </c>
      <c r="I262" s="1037">
        <f>COUNTIFS(tblRDO[Fecha],tblDias[[#This Row],[Fecha]])</f>
        <v>0</v>
      </c>
      <c r="J262" s="1038" t="str">
        <f ca="1">IF(tblDias[[#This Row],[Fecha]]&gt;TODAY(),"Pendiente",IF(tblDias[[#This Row],[Filas RDO]]=0,"Sin RDO","Cargado"))</f>
        <v>Pendiente</v>
      </c>
      <c r="K262" s="972">
        <f>COUNTIFS(tblControles[Fecha],tblDias[[#This Row],[Fecha]],tblControles[Turno],"&lt;&gt;Obs")</f>
        <v>0</v>
      </c>
      <c r="L262" s="971">
        <f>SUMIFS(tblParadas[Horas perdidas],tblParadas[Fecha],tblDias[[#This Row],[Fecha]])</f>
        <v>0</v>
      </c>
      <c r="M262" s="1040"/>
      <c r="N262" s="953"/>
      <c r="O262" s="1040"/>
    </row>
    <row r="263" spans="2:15">
      <c r="B263" s="1041">
        <v>46518</v>
      </c>
      <c r="C263" s="1034" t="str">
        <f>CHOOSE(WEEKDAY(tblDias[[#This Row],[Fecha]],2),"lun","mar","mié","jue","vie","sáb","dom")</f>
        <v>mar</v>
      </c>
      <c r="D263" s="1039" t="s">
        <v>9256</v>
      </c>
      <c r="E263" s="1035">
        <f>COUNTIFS(tblConcentrado[Fecha],tblDias[[#This Row],[Fecha]])</f>
        <v>0</v>
      </c>
      <c r="F263" s="1035">
        <f t="shared" si="3"/>
        <v>24</v>
      </c>
      <c r="G263" s="1036">
        <f>IF(tblDias[[#This Row],[Horas esperadas]]=0,0,tblDias[[#This Row],[Horas cargadas]]/tblDias[[#This Row],[Horas esperadas]])</f>
        <v>0</v>
      </c>
      <c r="H263" s="1035" t="str">
        <f ca="1">IF(tblDias[[#This Row],[Fecha]]&gt;TODAY(),"Pendiente",IF(tblDias[[#This Row],[Horas cargadas]]=0,"Sin datos",IF(tblDias[[#This Row],[Horas cargadas]]&lt;tblDias[[#This Row],[Horas esperadas]],"Parcial","Completo")))</f>
        <v>Pendiente</v>
      </c>
      <c r="I263" s="1037">
        <f>COUNTIFS(tblRDO[Fecha],tblDias[[#This Row],[Fecha]])</f>
        <v>0</v>
      </c>
      <c r="J263" s="1038" t="str">
        <f ca="1">IF(tblDias[[#This Row],[Fecha]]&gt;TODAY(),"Pendiente",IF(tblDias[[#This Row],[Filas RDO]]=0,"Sin RDO","Cargado"))</f>
        <v>Pendiente</v>
      </c>
      <c r="K263" s="972">
        <f>COUNTIFS(tblControles[Fecha],tblDias[[#This Row],[Fecha]],tblControles[Turno],"&lt;&gt;Obs")</f>
        <v>0</v>
      </c>
      <c r="L263" s="971">
        <f>SUMIFS(tblParadas[Horas perdidas],tblParadas[Fecha],tblDias[[#This Row],[Fecha]])</f>
        <v>0</v>
      </c>
      <c r="M263" s="1040"/>
      <c r="N263" s="953"/>
      <c r="O263" s="1040"/>
    </row>
    <row r="264" spans="2:15">
      <c r="B264" s="1041">
        <v>46519</v>
      </c>
      <c r="C264" s="1034" t="str">
        <f>CHOOSE(WEEKDAY(tblDias[[#This Row],[Fecha]],2),"lun","mar","mié","jue","vie","sáb","dom")</f>
        <v>mié</v>
      </c>
      <c r="D264" s="1039" t="s">
        <v>9256</v>
      </c>
      <c r="E264" s="1035">
        <f>COUNTIFS(tblConcentrado[Fecha],tblDias[[#This Row],[Fecha]])</f>
        <v>0</v>
      </c>
      <c r="F264" s="1035">
        <f t="shared" si="3"/>
        <v>24</v>
      </c>
      <c r="G264" s="1036">
        <f>IF(tblDias[[#This Row],[Horas esperadas]]=0,0,tblDias[[#This Row],[Horas cargadas]]/tblDias[[#This Row],[Horas esperadas]])</f>
        <v>0</v>
      </c>
      <c r="H264" s="1035" t="str">
        <f ca="1">IF(tblDias[[#This Row],[Fecha]]&gt;TODAY(),"Pendiente",IF(tblDias[[#This Row],[Horas cargadas]]=0,"Sin datos",IF(tblDias[[#This Row],[Horas cargadas]]&lt;tblDias[[#This Row],[Horas esperadas]],"Parcial","Completo")))</f>
        <v>Pendiente</v>
      </c>
      <c r="I264" s="1037">
        <f>COUNTIFS(tblRDO[Fecha],tblDias[[#This Row],[Fecha]])</f>
        <v>0</v>
      </c>
      <c r="J264" s="1038" t="str">
        <f ca="1">IF(tblDias[[#This Row],[Fecha]]&gt;TODAY(),"Pendiente",IF(tblDias[[#This Row],[Filas RDO]]=0,"Sin RDO","Cargado"))</f>
        <v>Pendiente</v>
      </c>
      <c r="K264" s="972">
        <f>COUNTIFS(tblControles[Fecha],tblDias[[#This Row],[Fecha]],tblControles[Turno],"&lt;&gt;Obs")</f>
        <v>0</v>
      </c>
      <c r="L264" s="971">
        <f>SUMIFS(tblParadas[Horas perdidas],tblParadas[Fecha],tblDias[[#This Row],[Fecha]])</f>
        <v>0</v>
      </c>
      <c r="M264" s="1040"/>
      <c r="N264" s="953"/>
      <c r="O264" s="1040"/>
    </row>
    <row r="265" spans="2:15">
      <c r="B265" s="1041">
        <v>46520</v>
      </c>
      <c r="C265" s="1034" t="str">
        <f>CHOOSE(WEEKDAY(tblDias[[#This Row],[Fecha]],2),"lun","mar","mié","jue","vie","sáb","dom")</f>
        <v>jue</v>
      </c>
      <c r="D265" s="1039" t="s">
        <v>9256</v>
      </c>
      <c r="E265" s="1035">
        <f>COUNTIFS(tblConcentrado[Fecha],tblDias[[#This Row],[Fecha]])</f>
        <v>0</v>
      </c>
      <c r="F265" s="1035">
        <f t="shared" si="3"/>
        <v>24</v>
      </c>
      <c r="G265" s="1036">
        <f>IF(tblDias[[#This Row],[Horas esperadas]]=0,0,tblDias[[#This Row],[Horas cargadas]]/tblDias[[#This Row],[Horas esperadas]])</f>
        <v>0</v>
      </c>
      <c r="H265" s="1035" t="str">
        <f ca="1">IF(tblDias[[#This Row],[Fecha]]&gt;TODAY(),"Pendiente",IF(tblDias[[#This Row],[Horas cargadas]]=0,"Sin datos",IF(tblDias[[#This Row],[Horas cargadas]]&lt;tblDias[[#This Row],[Horas esperadas]],"Parcial","Completo")))</f>
        <v>Pendiente</v>
      </c>
      <c r="I265" s="1037">
        <f>COUNTIFS(tblRDO[Fecha],tblDias[[#This Row],[Fecha]])</f>
        <v>0</v>
      </c>
      <c r="J265" s="1038" t="str">
        <f ca="1">IF(tblDias[[#This Row],[Fecha]]&gt;TODAY(),"Pendiente",IF(tblDias[[#This Row],[Filas RDO]]=0,"Sin RDO","Cargado"))</f>
        <v>Pendiente</v>
      </c>
      <c r="K265" s="972">
        <f>COUNTIFS(tblControles[Fecha],tblDias[[#This Row],[Fecha]],tblControles[Turno],"&lt;&gt;Obs")</f>
        <v>0</v>
      </c>
      <c r="L265" s="971">
        <f>SUMIFS(tblParadas[Horas perdidas],tblParadas[Fecha],tblDias[[#This Row],[Fecha]])</f>
        <v>0</v>
      </c>
      <c r="M265" s="1040"/>
      <c r="N265" s="953"/>
      <c r="O265" s="1040"/>
    </row>
    <row r="266" spans="2:15">
      <c r="B266" s="1041">
        <v>46521</v>
      </c>
      <c r="C266" s="1034" t="str">
        <f>CHOOSE(WEEKDAY(tblDias[[#This Row],[Fecha]],2),"lun","mar","mié","jue","vie","sáb","dom")</f>
        <v>vie</v>
      </c>
      <c r="D266" s="1039" t="s">
        <v>9256</v>
      </c>
      <c r="E266" s="1035">
        <f>COUNTIFS(tblConcentrado[Fecha],tblDias[[#This Row],[Fecha]])</f>
        <v>0</v>
      </c>
      <c r="F266" s="1035">
        <f t="shared" si="3"/>
        <v>24</v>
      </c>
      <c r="G266" s="1036">
        <f>IF(tblDias[[#This Row],[Horas esperadas]]=0,0,tblDias[[#This Row],[Horas cargadas]]/tblDias[[#This Row],[Horas esperadas]])</f>
        <v>0</v>
      </c>
      <c r="H266" s="1035" t="str">
        <f ca="1">IF(tblDias[[#This Row],[Fecha]]&gt;TODAY(),"Pendiente",IF(tblDias[[#This Row],[Horas cargadas]]=0,"Sin datos",IF(tblDias[[#This Row],[Horas cargadas]]&lt;tblDias[[#This Row],[Horas esperadas]],"Parcial","Completo")))</f>
        <v>Pendiente</v>
      </c>
      <c r="I266" s="1037">
        <f>COUNTIFS(tblRDO[Fecha],tblDias[[#This Row],[Fecha]])</f>
        <v>0</v>
      </c>
      <c r="J266" s="1038" t="str">
        <f ca="1">IF(tblDias[[#This Row],[Fecha]]&gt;TODAY(),"Pendiente",IF(tblDias[[#This Row],[Filas RDO]]=0,"Sin RDO","Cargado"))</f>
        <v>Pendiente</v>
      </c>
      <c r="K266" s="972">
        <f>COUNTIFS(tblControles[Fecha],tblDias[[#This Row],[Fecha]],tblControles[Turno],"&lt;&gt;Obs")</f>
        <v>0</v>
      </c>
      <c r="L266" s="971">
        <f>SUMIFS(tblParadas[Horas perdidas],tblParadas[Fecha],tblDias[[#This Row],[Fecha]])</f>
        <v>0</v>
      </c>
      <c r="M266" s="1040"/>
      <c r="N266" s="953"/>
      <c r="O266" s="1040"/>
    </row>
    <row r="267" spans="2:15">
      <c r="B267" s="1041">
        <v>46522</v>
      </c>
      <c r="C267" s="1034" t="str">
        <f>CHOOSE(WEEKDAY(tblDias[[#This Row],[Fecha]],2),"lun","mar","mié","jue","vie","sáb","dom")</f>
        <v>sáb</v>
      </c>
      <c r="D267" s="1039" t="s">
        <v>9256</v>
      </c>
      <c r="E267" s="1035">
        <f>COUNTIFS(tblConcentrado[Fecha],tblDias[[#This Row],[Fecha]])</f>
        <v>0</v>
      </c>
      <c r="F267" s="1035">
        <f t="shared" ref="F267:F330" si="4">CFG_HORAS</f>
        <v>24</v>
      </c>
      <c r="G267" s="1036">
        <f>IF(tblDias[[#This Row],[Horas esperadas]]=0,0,tblDias[[#This Row],[Horas cargadas]]/tblDias[[#This Row],[Horas esperadas]])</f>
        <v>0</v>
      </c>
      <c r="H267" s="1035" t="str">
        <f ca="1">IF(tblDias[[#This Row],[Fecha]]&gt;TODAY(),"Pendiente",IF(tblDias[[#This Row],[Horas cargadas]]=0,"Sin datos",IF(tblDias[[#This Row],[Horas cargadas]]&lt;tblDias[[#This Row],[Horas esperadas]],"Parcial","Completo")))</f>
        <v>Pendiente</v>
      </c>
      <c r="I267" s="1037">
        <f>COUNTIFS(tblRDO[Fecha],tblDias[[#This Row],[Fecha]])</f>
        <v>0</v>
      </c>
      <c r="J267" s="1038" t="str">
        <f ca="1">IF(tblDias[[#This Row],[Fecha]]&gt;TODAY(),"Pendiente",IF(tblDias[[#This Row],[Filas RDO]]=0,"Sin RDO","Cargado"))</f>
        <v>Pendiente</v>
      </c>
      <c r="K267" s="972">
        <f>COUNTIFS(tblControles[Fecha],tblDias[[#This Row],[Fecha]],tblControles[Turno],"&lt;&gt;Obs")</f>
        <v>0</v>
      </c>
      <c r="L267" s="971">
        <f>SUMIFS(tblParadas[Horas perdidas],tblParadas[Fecha],tblDias[[#This Row],[Fecha]])</f>
        <v>0</v>
      </c>
      <c r="M267" s="1040"/>
      <c r="N267" s="953"/>
      <c r="O267" s="1040"/>
    </row>
    <row r="268" spans="2:15">
      <c r="B268" s="1041">
        <v>46523</v>
      </c>
      <c r="C268" s="1034" t="str">
        <f>CHOOSE(WEEKDAY(tblDias[[#This Row],[Fecha]],2),"lun","mar","mié","jue","vie","sáb","dom")</f>
        <v>dom</v>
      </c>
      <c r="D268" s="1039" t="s">
        <v>9256</v>
      </c>
      <c r="E268" s="1035">
        <f>COUNTIFS(tblConcentrado[Fecha],tblDias[[#This Row],[Fecha]])</f>
        <v>0</v>
      </c>
      <c r="F268" s="1035">
        <f t="shared" si="4"/>
        <v>24</v>
      </c>
      <c r="G268" s="1036">
        <f>IF(tblDias[[#This Row],[Horas esperadas]]=0,0,tblDias[[#This Row],[Horas cargadas]]/tblDias[[#This Row],[Horas esperadas]])</f>
        <v>0</v>
      </c>
      <c r="H268" s="1035" t="str">
        <f ca="1">IF(tblDias[[#This Row],[Fecha]]&gt;TODAY(),"Pendiente",IF(tblDias[[#This Row],[Horas cargadas]]=0,"Sin datos",IF(tblDias[[#This Row],[Horas cargadas]]&lt;tblDias[[#This Row],[Horas esperadas]],"Parcial","Completo")))</f>
        <v>Pendiente</v>
      </c>
      <c r="I268" s="1037">
        <f>COUNTIFS(tblRDO[Fecha],tblDias[[#This Row],[Fecha]])</f>
        <v>0</v>
      </c>
      <c r="J268" s="1038" t="str">
        <f ca="1">IF(tblDias[[#This Row],[Fecha]]&gt;TODAY(),"Pendiente",IF(tblDias[[#This Row],[Filas RDO]]=0,"Sin RDO","Cargado"))</f>
        <v>Pendiente</v>
      </c>
      <c r="K268" s="972">
        <f>COUNTIFS(tblControles[Fecha],tblDias[[#This Row],[Fecha]],tblControles[Turno],"&lt;&gt;Obs")</f>
        <v>0</v>
      </c>
      <c r="L268" s="971">
        <f>SUMIFS(tblParadas[Horas perdidas],tblParadas[Fecha],tblDias[[#This Row],[Fecha]])</f>
        <v>0</v>
      </c>
      <c r="M268" s="1040"/>
      <c r="N268" s="953"/>
      <c r="O268" s="1040"/>
    </row>
    <row r="269" spans="2:15">
      <c r="B269" s="1041">
        <v>46524</v>
      </c>
      <c r="C269" s="1034" t="str">
        <f>CHOOSE(WEEKDAY(tblDias[[#This Row],[Fecha]],2),"lun","mar","mié","jue","vie","sáb","dom")</f>
        <v>lun</v>
      </c>
      <c r="D269" s="1039" t="s">
        <v>9256</v>
      </c>
      <c r="E269" s="1035">
        <f>COUNTIFS(tblConcentrado[Fecha],tblDias[[#This Row],[Fecha]])</f>
        <v>0</v>
      </c>
      <c r="F269" s="1035">
        <f t="shared" si="4"/>
        <v>24</v>
      </c>
      <c r="G269" s="1036">
        <f>IF(tblDias[[#This Row],[Horas esperadas]]=0,0,tblDias[[#This Row],[Horas cargadas]]/tblDias[[#This Row],[Horas esperadas]])</f>
        <v>0</v>
      </c>
      <c r="H269" s="1035" t="str">
        <f ca="1">IF(tblDias[[#This Row],[Fecha]]&gt;TODAY(),"Pendiente",IF(tblDias[[#This Row],[Horas cargadas]]=0,"Sin datos",IF(tblDias[[#This Row],[Horas cargadas]]&lt;tblDias[[#This Row],[Horas esperadas]],"Parcial","Completo")))</f>
        <v>Pendiente</v>
      </c>
      <c r="I269" s="1037">
        <f>COUNTIFS(tblRDO[Fecha],tblDias[[#This Row],[Fecha]])</f>
        <v>0</v>
      </c>
      <c r="J269" s="1038" t="str">
        <f ca="1">IF(tblDias[[#This Row],[Fecha]]&gt;TODAY(),"Pendiente",IF(tblDias[[#This Row],[Filas RDO]]=0,"Sin RDO","Cargado"))</f>
        <v>Pendiente</v>
      </c>
      <c r="K269" s="972">
        <f>COUNTIFS(tblControles[Fecha],tblDias[[#This Row],[Fecha]],tblControles[Turno],"&lt;&gt;Obs")</f>
        <v>0</v>
      </c>
      <c r="L269" s="971">
        <f>SUMIFS(tblParadas[Horas perdidas],tblParadas[Fecha],tblDias[[#This Row],[Fecha]])</f>
        <v>0</v>
      </c>
      <c r="M269" s="1040"/>
      <c r="N269" s="953"/>
      <c r="O269" s="1040"/>
    </row>
    <row r="270" spans="2:15">
      <c r="B270" s="1041">
        <v>46525</v>
      </c>
      <c r="C270" s="1034" t="str">
        <f>CHOOSE(WEEKDAY(tblDias[[#This Row],[Fecha]],2),"lun","mar","mié","jue","vie","sáb","dom")</f>
        <v>mar</v>
      </c>
      <c r="D270" s="1039" t="s">
        <v>9256</v>
      </c>
      <c r="E270" s="1035">
        <f>COUNTIFS(tblConcentrado[Fecha],tblDias[[#This Row],[Fecha]])</f>
        <v>0</v>
      </c>
      <c r="F270" s="1035">
        <f t="shared" si="4"/>
        <v>24</v>
      </c>
      <c r="G270" s="1036">
        <f>IF(tblDias[[#This Row],[Horas esperadas]]=0,0,tblDias[[#This Row],[Horas cargadas]]/tblDias[[#This Row],[Horas esperadas]])</f>
        <v>0</v>
      </c>
      <c r="H270" s="1035" t="str">
        <f ca="1">IF(tblDias[[#This Row],[Fecha]]&gt;TODAY(),"Pendiente",IF(tblDias[[#This Row],[Horas cargadas]]=0,"Sin datos",IF(tblDias[[#This Row],[Horas cargadas]]&lt;tblDias[[#This Row],[Horas esperadas]],"Parcial","Completo")))</f>
        <v>Pendiente</v>
      </c>
      <c r="I270" s="1037">
        <f>COUNTIFS(tblRDO[Fecha],tblDias[[#This Row],[Fecha]])</f>
        <v>0</v>
      </c>
      <c r="J270" s="1038" t="str">
        <f ca="1">IF(tblDias[[#This Row],[Fecha]]&gt;TODAY(),"Pendiente",IF(tblDias[[#This Row],[Filas RDO]]=0,"Sin RDO","Cargado"))</f>
        <v>Pendiente</v>
      </c>
      <c r="K270" s="972">
        <f>COUNTIFS(tblControles[Fecha],tblDias[[#This Row],[Fecha]],tblControles[Turno],"&lt;&gt;Obs")</f>
        <v>0</v>
      </c>
      <c r="L270" s="971">
        <f>SUMIFS(tblParadas[Horas perdidas],tblParadas[Fecha],tblDias[[#This Row],[Fecha]])</f>
        <v>0</v>
      </c>
      <c r="M270" s="1040"/>
      <c r="N270" s="953"/>
      <c r="O270" s="1040"/>
    </row>
    <row r="271" spans="2:15">
      <c r="B271" s="1041">
        <v>46526</v>
      </c>
      <c r="C271" s="1034" t="str">
        <f>CHOOSE(WEEKDAY(tblDias[[#This Row],[Fecha]],2),"lun","mar","mié","jue","vie","sáb","dom")</f>
        <v>mié</v>
      </c>
      <c r="D271" s="1039" t="s">
        <v>9256</v>
      </c>
      <c r="E271" s="1035">
        <f>COUNTIFS(tblConcentrado[Fecha],tblDias[[#This Row],[Fecha]])</f>
        <v>0</v>
      </c>
      <c r="F271" s="1035">
        <f t="shared" si="4"/>
        <v>24</v>
      </c>
      <c r="G271" s="1036">
        <f>IF(tblDias[[#This Row],[Horas esperadas]]=0,0,tblDias[[#This Row],[Horas cargadas]]/tblDias[[#This Row],[Horas esperadas]])</f>
        <v>0</v>
      </c>
      <c r="H271" s="1035" t="str">
        <f ca="1">IF(tblDias[[#This Row],[Fecha]]&gt;TODAY(),"Pendiente",IF(tblDias[[#This Row],[Horas cargadas]]=0,"Sin datos",IF(tblDias[[#This Row],[Horas cargadas]]&lt;tblDias[[#This Row],[Horas esperadas]],"Parcial","Completo")))</f>
        <v>Pendiente</v>
      </c>
      <c r="I271" s="1037">
        <f>COUNTIFS(tblRDO[Fecha],tblDias[[#This Row],[Fecha]])</f>
        <v>0</v>
      </c>
      <c r="J271" s="1038" t="str">
        <f ca="1">IF(tblDias[[#This Row],[Fecha]]&gt;TODAY(),"Pendiente",IF(tblDias[[#This Row],[Filas RDO]]=0,"Sin RDO","Cargado"))</f>
        <v>Pendiente</v>
      </c>
      <c r="K271" s="972">
        <f>COUNTIFS(tblControles[Fecha],tblDias[[#This Row],[Fecha]],tblControles[Turno],"&lt;&gt;Obs")</f>
        <v>0</v>
      </c>
      <c r="L271" s="971">
        <f>SUMIFS(tblParadas[Horas perdidas],tblParadas[Fecha],tblDias[[#This Row],[Fecha]])</f>
        <v>0</v>
      </c>
      <c r="M271" s="1040"/>
      <c r="N271" s="953"/>
      <c r="O271" s="1040"/>
    </row>
    <row r="272" spans="2:15">
      <c r="B272" s="1041">
        <v>46527</v>
      </c>
      <c r="C272" s="1034" t="str">
        <f>CHOOSE(WEEKDAY(tblDias[[#This Row],[Fecha]],2),"lun","mar","mié","jue","vie","sáb","dom")</f>
        <v>jue</v>
      </c>
      <c r="D272" s="1039" t="s">
        <v>9256</v>
      </c>
      <c r="E272" s="1035">
        <f>COUNTIFS(tblConcentrado[Fecha],tblDias[[#This Row],[Fecha]])</f>
        <v>0</v>
      </c>
      <c r="F272" s="1035">
        <f t="shared" si="4"/>
        <v>24</v>
      </c>
      <c r="G272" s="1036">
        <f>IF(tblDias[[#This Row],[Horas esperadas]]=0,0,tblDias[[#This Row],[Horas cargadas]]/tblDias[[#This Row],[Horas esperadas]])</f>
        <v>0</v>
      </c>
      <c r="H272" s="1035" t="str">
        <f ca="1">IF(tblDias[[#This Row],[Fecha]]&gt;TODAY(),"Pendiente",IF(tblDias[[#This Row],[Horas cargadas]]=0,"Sin datos",IF(tblDias[[#This Row],[Horas cargadas]]&lt;tblDias[[#This Row],[Horas esperadas]],"Parcial","Completo")))</f>
        <v>Pendiente</v>
      </c>
      <c r="I272" s="1037">
        <f>COUNTIFS(tblRDO[Fecha],tblDias[[#This Row],[Fecha]])</f>
        <v>0</v>
      </c>
      <c r="J272" s="1038" t="str">
        <f ca="1">IF(tblDias[[#This Row],[Fecha]]&gt;TODAY(),"Pendiente",IF(tblDias[[#This Row],[Filas RDO]]=0,"Sin RDO","Cargado"))</f>
        <v>Pendiente</v>
      </c>
      <c r="K272" s="972">
        <f>COUNTIFS(tblControles[Fecha],tblDias[[#This Row],[Fecha]],tblControles[Turno],"&lt;&gt;Obs")</f>
        <v>0</v>
      </c>
      <c r="L272" s="971">
        <f>SUMIFS(tblParadas[Horas perdidas],tblParadas[Fecha],tblDias[[#This Row],[Fecha]])</f>
        <v>0</v>
      </c>
      <c r="M272" s="1040"/>
      <c r="N272" s="953"/>
      <c r="O272" s="1040"/>
    </row>
    <row r="273" spans="2:15">
      <c r="B273" s="1041">
        <v>46528</v>
      </c>
      <c r="C273" s="1034" t="str">
        <f>CHOOSE(WEEKDAY(tblDias[[#This Row],[Fecha]],2),"lun","mar","mié","jue","vie","sáb","dom")</f>
        <v>vie</v>
      </c>
      <c r="D273" s="1039" t="s">
        <v>9256</v>
      </c>
      <c r="E273" s="1035">
        <f>COUNTIFS(tblConcentrado[Fecha],tblDias[[#This Row],[Fecha]])</f>
        <v>0</v>
      </c>
      <c r="F273" s="1035">
        <f t="shared" si="4"/>
        <v>24</v>
      </c>
      <c r="G273" s="1036">
        <f>IF(tblDias[[#This Row],[Horas esperadas]]=0,0,tblDias[[#This Row],[Horas cargadas]]/tblDias[[#This Row],[Horas esperadas]])</f>
        <v>0</v>
      </c>
      <c r="H273" s="1035" t="str">
        <f ca="1">IF(tblDias[[#This Row],[Fecha]]&gt;TODAY(),"Pendiente",IF(tblDias[[#This Row],[Horas cargadas]]=0,"Sin datos",IF(tblDias[[#This Row],[Horas cargadas]]&lt;tblDias[[#This Row],[Horas esperadas]],"Parcial","Completo")))</f>
        <v>Pendiente</v>
      </c>
      <c r="I273" s="1037">
        <f>COUNTIFS(tblRDO[Fecha],tblDias[[#This Row],[Fecha]])</f>
        <v>0</v>
      </c>
      <c r="J273" s="1038" t="str">
        <f ca="1">IF(tblDias[[#This Row],[Fecha]]&gt;TODAY(),"Pendiente",IF(tblDias[[#This Row],[Filas RDO]]=0,"Sin RDO","Cargado"))</f>
        <v>Pendiente</v>
      </c>
      <c r="K273" s="972">
        <f>COUNTIFS(tblControles[Fecha],tblDias[[#This Row],[Fecha]],tblControles[Turno],"&lt;&gt;Obs")</f>
        <v>0</v>
      </c>
      <c r="L273" s="971">
        <f>SUMIFS(tblParadas[Horas perdidas],tblParadas[Fecha],tblDias[[#This Row],[Fecha]])</f>
        <v>0</v>
      </c>
      <c r="M273" s="1040"/>
      <c r="N273" s="953"/>
      <c r="O273" s="1040"/>
    </row>
    <row r="274" spans="2:15">
      <c r="B274" s="1041">
        <v>46529</v>
      </c>
      <c r="C274" s="1034" t="str">
        <f>CHOOSE(WEEKDAY(tblDias[[#This Row],[Fecha]],2),"lun","mar","mié","jue","vie","sáb","dom")</f>
        <v>sáb</v>
      </c>
      <c r="D274" s="1039" t="s">
        <v>9256</v>
      </c>
      <c r="E274" s="1035">
        <f>COUNTIFS(tblConcentrado[Fecha],tblDias[[#This Row],[Fecha]])</f>
        <v>0</v>
      </c>
      <c r="F274" s="1035">
        <f t="shared" si="4"/>
        <v>24</v>
      </c>
      <c r="G274" s="1036">
        <f>IF(tblDias[[#This Row],[Horas esperadas]]=0,0,tblDias[[#This Row],[Horas cargadas]]/tblDias[[#This Row],[Horas esperadas]])</f>
        <v>0</v>
      </c>
      <c r="H274" s="1035" t="str">
        <f ca="1">IF(tblDias[[#This Row],[Fecha]]&gt;TODAY(),"Pendiente",IF(tblDias[[#This Row],[Horas cargadas]]=0,"Sin datos",IF(tblDias[[#This Row],[Horas cargadas]]&lt;tblDias[[#This Row],[Horas esperadas]],"Parcial","Completo")))</f>
        <v>Pendiente</v>
      </c>
      <c r="I274" s="1037">
        <f>COUNTIFS(tblRDO[Fecha],tblDias[[#This Row],[Fecha]])</f>
        <v>0</v>
      </c>
      <c r="J274" s="1038" t="str">
        <f ca="1">IF(tblDias[[#This Row],[Fecha]]&gt;TODAY(),"Pendiente",IF(tblDias[[#This Row],[Filas RDO]]=0,"Sin RDO","Cargado"))</f>
        <v>Pendiente</v>
      </c>
      <c r="K274" s="972">
        <f>COUNTIFS(tblControles[Fecha],tblDias[[#This Row],[Fecha]],tblControles[Turno],"&lt;&gt;Obs")</f>
        <v>0</v>
      </c>
      <c r="L274" s="971">
        <f>SUMIFS(tblParadas[Horas perdidas],tblParadas[Fecha],tblDias[[#This Row],[Fecha]])</f>
        <v>0</v>
      </c>
      <c r="M274" s="1040"/>
      <c r="N274" s="953"/>
      <c r="O274" s="1040"/>
    </row>
    <row r="275" spans="2:15">
      <c r="B275" s="1041">
        <v>46530</v>
      </c>
      <c r="C275" s="1034" t="str">
        <f>CHOOSE(WEEKDAY(tblDias[[#This Row],[Fecha]],2),"lun","mar","mié","jue","vie","sáb","dom")</f>
        <v>dom</v>
      </c>
      <c r="D275" s="1039" t="s">
        <v>9256</v>
      </c>
      <c r="E275" s="1035">
        <f>COUNTIFS(tblConcentrado[Fecha],tblDias[[#This Row],[Fecha]])</f>
        <v>0</v>
      </c>
      <c r="F275" s="1035">
        <f t="shared" si="4"/>
        <v>24</v>
      </c>
      <c r="G275" s="1036">
        <f>IF(tblDias[[#This Row],[Horas esperadas]]=0,0,tblDias[[#This Row],[Horas cargadas]]/tblDias[[#This Row],[Horas esperadas]])</f>
        <v>0</v>
      </c>
      <c r="H275" s="1035" t="str">
        <f ca="1">IF(tblDias[[#This Row],[Fecha]]&gt;TODAY(),"Pendiente",IF(tblDias[[#This Row],[Horas cargadas]]=0,"Sin datos",IF(tblDias[[#This Row],[Horas cargadas]]&lt;tblDias[[#This Row],[Horas esperadas]],"Parcial","Completo")))</f>
        <v>Pendiente</v>
      </c>
      <c r="I275" s="1037">
        <f>COUNTIFS(tblRDO[Fecha],tblDias[[#This Row],[Fecha]])</f>
        <v>0</v>
      </c>
      <c r="J275" s="1038" t="str">
        <f ca="1">IF(tblDias[[#This Row],[Fecha]]&gt;TODAY(),"Pendiente",IF(tblDias[[#This Row],[Filas RDO]]=0,"Sin RDO","Cargado"))</f>
        <v>Pendiente</v>
      </c>
      <c r="K275" s="972">
        <f>COUNTIFS(tblControles[Fecha],tblDias[[#This Row],[Fecha]],tblControles[Turno],"&lt;&gt;Obs")</f>
        <v>0</v>
      </c>
      <c r="L275" s="971">
        <f>SUMIFS(tblParadas[Horas perdidas],tblParadas[Fecha],tblDias[[#This Row],[Fecha]])</f>
        <v>0</v>
      </c>
      <c r="M275" s="1040"/>
      <c r="N275" s="953"/>
      <c r="O275" s="1040"/>
    </row>
    <row r="276" spans="2:15">
      <c r="B276" s="1041">
        <v>46531</v>
      </c>
      <c r="C276" s="1034" t="str">
        <f>CHOOSE(WEEKDAY(tblDias[[#This Row],[Fecha]],2),"lun","mar","mié","jue","vie","sáb","dom")</f>
        <v>lun</v>
      </c>
      <c r="D276" s="1039" t="s">
        <v>9256</v>
      </c>
      <c r="E276" s="1035">
        <f>COUNTIFS(tblConcentrado[Fecha],tblDias[[#This Row],[Fecha]])</f>
        <v>0</v>
      </c>
      <c r="F276" s="1035">
        <f t="shared" si="4"/>
        <v>24</v>
      </c>
      <c r="G276" s="1036">
        <f>IF(tblDias[[#This Row],[Horas esperadas]]=0,0,tblDias[[#This Row],[Horas cargadas]]/tblDias[[#This Row],[Horas esperadas]])</f>
        <v>0</v>
      </c>
      <c r="H276" s="1035" t="str">
        <f ca="1">IF(tblDias[[#This Row],[Fecha]]&gt;TODAY(),"Pendiente",IF(tblDias[[#This Row],[Horas cargadas]]=0,"Sin datos",IF(tblDias[[#This Row],[Horas cargadas]]&lt;tblDias[[#This Row],[Horas esperadas]],"Parcial","Completo")))</f>
        <v>Pendiente</v>
      </c>
      <c r="I276" s="1037">
        <f>COUNTIFS(tblRDO[Fecha],tblDias[[#This Row],[Fecha]])</f>
        <v>0</v>
      </c>
      <c r="J276" s="1038" t="str">
        <f ca="1">IF(tblDias[[#This Row],[Fecha]]&gt;TODAY(),"Pendiente",IF(tblDias[[#This Row],[Filas RDO]]=0,"Sin RDO","Cargado"))</f>
        <v>Pendiente</v>
      </c>
      <c r="K276" s="972">
        <f>COUNTIFS(tblControles[Fecha],tblDias[[#This Row],[Fecha]],tblControles[Turno],"&lt;&gt;Obs")</f>
        <v>0</v>
      </c>
      <c r="L276" s="971">
        <f>SUMIFS(tblParadas[Horas perdidas],tblParadas[Fecha],tblDias[[#This Row],[Fecha]])</f>
        <v>0</v>
      </c>
      <c r="M276" s="1040"/>
      <c r="N276" s="953"/>
      <c r="O276" s="1040"/>
    </row>
    <row r="277" spans="2:15">
      <c r="B277" s="1041">
        <v>46532</v>
      </c>
      <c r="C277" s="1034" t="str">
        <f>CHOOSE(WEEKDAY(tblDias[[#This Row],[Fecha]],2),"lun","mar","mié","jue","vie","sáb","dom")</f>
        <v>mar</v>
      </c>
      <c r="D277" s="1039" t="s">
        <v>9256</v>
      </c>
      <c r="E277" s="1035">
        <f>COUNTIFS(tblConcentrado[Fecha],tblDias[[#This Row],[Fecha]])</f>
        <v>0</v>
      </c>
      <c r="F277" s="1035">
        <f t="shared" si="4"/>
        <v>24</v>
      </c>
      <c r="G277" s="1036">
        <f>IF(tblDias[[#This Row],[Horas esperadas]]=0,0,tblDias[[#This Row],[Horas cargadas]]/tblDias[[#This Row],[Horas esperadas]])</f>
        <v>0</v>
      </c>
      <c r="H277" s="1035" t="str">
        <f ca="1">IF(tblDias[[#This Row],[Fecha]]&gt;TODAY(),"Pendiente",IF(tblDias[[#This Row],[Horas cargadas]]=0,"Sin datos",IF(tblDias[[#This Row],[Horas cargadas]]&lt;tblDias[[#This Row],[Horas esperadas]],"Parcial","Completo")))</f>
        <v>Pendiente</v>
      </c>
      <c r="I277" s="1037">
        <f>COUNTIFS(tblRDO[Fecha],tblDias[[#This Row],[Fecha]])</f>
        <v>0</v>
      </c>
      <c r="J277" s="1038" t="str">
        <f ca="1">IF(tblDias[[#This Row],[Fecha]]&gt;TODAY(),"Pendiente",IF(tblDias[[#This Row],[Filas RDO]]=0,"Sin RDO","Cargado"))</f>
        <v>Pendiente</v>
      </c>
      <c r="K277" s="972">
        <f>COUNTIFS(tblControles[Fecha],tblDias[[#This Row],[Fecha]],tblControles[Turno],"&lt;&gt;Obs")</f>
        <v>0</v>
      </c>
      <c r="L277" s="971">
        <f>SUMIFS(tblParadas[Horas perdidas],tblParadas[Fecha],tblDias[[#This Row],[Fecha]])</f>
        <v>0</v>
      </c>
      <c r="M277" s="1040"/>
      <c r="N277" s="953"/>
      <c r="O277" s="1040"/>
    </row>
    <row r="278" spans="2:15">
      <c r="B278" s="1041">
        <v>46533</v>
      </c>
      <c r="C278" s="1034" t="str">
        <f>CHOOSE(WEEKDAY(tblDias[[#This Row],[Fecha]],2),"lun","mar","mié","jue","vie","sáb","dom")</f>
        <v>mié</v>
      </c>
      <c r="D278" s="1039" t="s">
        <v>9256</v>
      </c>
      <c r="E278" s="1035">
        <f>COUNTIFS(tblConcentrado[Fecha],tblDias[[#This Row],[Fecha]])</f>
        <v>0</v>
      </c>
      <c r="F278" s="1035">
        <f t="shared" si="4"/>
        <v>24</v>
      </c>
      <c r="G278" s="1036">
        <f>IF(tblDias[[#This Row],[Horas esperadas]]=0,0,tblDias[[#This Row],[Horas cargadas]]/tblDias[[#This Row],[Horas esperadas]])</f>
        <v>0</v>
      </c>
      <c r="H278" s="1035" t="str">
        <f ca="1">IF(tblDias[[#This Row],[Fecha]]&gt;TODAY(),"Pendiente",IF(tblDias[[#This Row],[Horas cargadas]]=0,"Sin datos",IF(tblDias[[#This Row],[Horas cargadas]]&lt;tblDias[[#This Row],[Horas esperadas]],"Parcial","Completo")))</f>
        <v>Pendiente</v>
      </c>
      <c r="I278" s="1037">
        <f>COUNTIFS(tblRDO[Fecha],tblDias[[#This Row],[Fecha]])</f>
        <v>0</v>
      </c>
      <c r="J278" s="1038" t="str">
        <f ca="1">IF(tblDias[[#This Row],[Fecha]]&gt;TODAY(),"Pendiente",IF(tblDias[[#This Row],[Filas RDO]]=0,"Sin RDO","Cargado"))</f>
        <v>Pendiente</v>
      </c>
      <c r="K278" s="972">
        <f>COUNTIFS(tblControles[Fecha],tblDias[[#This Row],[Fecha]],tblControles[Turno],"&lt;&gt;Obs")</f>
        <v>0</v>
      </c>
      <c r="L278" s="971">
        <f>SUMIFS(tblParadas[Horas perdidas],tblParadas[Fecha],tblDias[[#This Row],[Fecha]])</f>
        <v>0</v>
      </c>
      <c r="M278" s="1040"/>
      <c r="N278" s="953"/>
      <c r="O278" s="1040"/>
    </row>
    <row r="279" spans="2:15">
      <c r="B279" s="1041">
        <v>46534</v>
      </c>
      <c r="C279" s="1034" t="str">
        <f>CHOOSE(WEEKDAY(tblDias[[#This Row],[Fecha]],2),"lun","mar","mié","jue","vie","sáb","dom")</f>
        <v>jue</v>
      </c>
      <c r="D279" s="1039" t="s">
        <v>9256</v>
      </c>
      <c r="E279" s="1035">
        <f>COUNTIFS(tblConcentrado[Fecha],tblDias[[#This Row],[Fecha]])</f>
        <v>0</v>
      </c>
      <c r="F279" s="1035">
        <f t="shared" si="4"/>
        <v>24</v>
      </c>
      <c r="G279" s="1036">
        <f>IF(tblDias[[#This Row],[Horas esperadas]]=0,0,tblDias[[#This Row],[Horas cargadas]]/tblDias[[#This Row],[Horas esperadas]])</f>
        <v>0</v>
      </c>
      <c r="H279" s="1035" t="str">
        <f ca="1">IF(tblDias[[#This Row],[Fecha]]&gt;TODAY(),"Pendiente",IF(tblDias[[#This Row],[Horas cargadas]]=0,"Sin datos",IF(tblDias[[#This Row],[Horas cargadas]]&lt;tblDias[[#This Row],[Horas esperadas]],"Parcial","Completo")))</f>
        <v>Pendiente</v>
      </c>
      <c r="I279" s="1037">
        <f>COUNTIFS(tblRDO[Fecha],tblDias[[#This Row],[Fecha]])</f>
        <v>0</v>
      </c>
      <c r="J279" s="1038" t="str">
        <f ca="1">IF(tblDias[[#This Row],[Fecha]]&gt;TODAY(),"Pendiente",IF(tblDias[[#This Row],[Filas RDO]]=0,"Sin RDO","Cargado"))</f>
        <v>Pendiente</v>
      </c>
      <c r="K279" s="972">
        <f>COUNTIFS(tblControles[Fecha],tblDias[[#This Row],[Fecha]],tblControles[Turno],"&lt;&gt;Obs")</f>
        <v>0</v>
      </c>
      <c r="L279" s="971">
        <f>SUMIFS(tblParadas[Horas perdidas],tblParadas[Fecha],tblDias[[#This Row],[Fecha]])</f>
        <v>0</v>
      </c>
      <c r="M279" s="1040"/>
      <c r="N279" s="953"/>
      <c r="O279" s="1040"/>
    </row>
    <row r="280" spans="2:15">
      <c r="B280" s="1041">
        <v>46535</v>
      </c>
      <c r="C280" s="1034" t="str">
        <f>CHOOSE(WEEKDAY(tblDias[[#This Row],[Fecha]],2),"lun","mar","mié","jue","vie","sáb","dom")</f>
        <v>vie</v>
      </c>
      <c r="D280" s="1039" t="s">
        <v>9256</v>
      </c>
      <c r="E280" s="1035">
        <f>COUNTIFS(tblConcentrado[Fecha],tblDias[[#This Row],[Fecha]])</f>
        <v>0</v>
      </c>
      <c r="F280" s="1035">
        <f t="shared" si="4"/>
        <v>24</v>
      </c>
      <c r="G280" s="1036">
        <f>IF(tblDias[[#This Row],[Horas esperadas]]=0,0,tblDias[[#This Row],[Horas cargadas]]/tblDias[[#This Row],[Horas esperadas]])</f>
        <v>0</v>
      </c>
      <c r="H280" s="1035" t="str">
        <f ca="1">IF(tblDias[[#This Row],[Fecha]]&gt;TODAY(),"Pendiente",IF(tblDias[[#This Row],[Horas cargadas]]=0,"Sin datos",IF(tblDias[[#This Row],[Horas cargadas]]&lt;tblDias[[#This Row],[Horas esperadas]],"Parcial","Completo")))</f>
        <v>Pendiente</v>
      </c>
      <c r="I280" s="1037">
        <f>COUNTIFS(tblRDO[Fecha],tblDias[[#This Row],[Fecha]])</f>
        <v>0</v>
      </c>
      <c r="J280" s="1038" t="str">
        <f ca="1">IF(tblDias[[#This Row],[Fecha]]&gt;TODAY(),"Pendiente",IF(tblDias[[#This Row],[Filas RDO]]=0,"Sin RDO","Cargado"))</f>
        <v>Pendiente</v>
      </c>
      <c r="K280" s="972">
        <f>COUNTIFS(tblControles[Fecha],tblDias[[#This Row],[Fecha]],tblControles[Turno],"&lt;&gt;Obs")</f>
        <v>0</v>
      </c>
      <c r="L280" s="971">
        <f>SUMIFS(tblParadas[Horas perdidas],tblParadas[Fecha],tblDias[[#This Row],[Fecha]])</f>
        <v>0</v>
      </c>
      <c r="M280" s="1040"/>
      <c r="N280" s="953"/>
      <c r="O280" s="1040"/>
    </row>
    <row r="281" spans="2:15">
      <c r="B281" s="1041">
        <v>46536</v>
      </c>
      <c r="C281" s="1034" t="str">
        <f>CHOOSE(WEEKDAY(tblDias[[#This Row],[Fecha]],2),"lun","mar","mié","jue","vie","sáb","dom")</f>
        <v>sáb</v>
      </c>
      <c r="D281" s="1039" t="s">
        <v>9256</v>
      </c>
      <c r="E281" s="1035">
        <f>COUNTIFS(tblConcentrado[Fecha],tblDias[[#This Row],[Fecha]])</f>
        <v>0</v>
      </c>
      <c r="F281" s="1035">
        <f t="shared" si="4"/>
        <v>24</v>
      </c>
      <c r="G281" s="1036">
        <f>IF(tblDias[[#This Row],[Horas esperadas]]=0,0,tblDias[[#This Row],[Horas cargadas]]/tblDias[[#This Row],[Horas esperadas]])</f>
        <v>0</v>
      </c>
      <c r="H281" s="1035" t="str">
        <f ca="1">IF(tblDias[[#This Row],[Fecha]]&gt;TODAY(),"Pendiente",IF(tblDias[[#This Row],[Horas cargadas]]=0,"Sin datos",IF(tblDias[[#This Row],[Horas cargadas]]&lt;tblDias[[#This Row],[Horas esperadas]],"Parcial","Completo")))</f>
        <v>Pendiente</v>
      </c>
      <c r="I281" s="1037">
        <f>COUNTIFS(tblRDO[Fecha],tblDias[[#This Row],[Fecha]])</f>
        <v>0</v>
      </c>
      <c r="J281" s="1038" t="str">
        <f ca="1">IF(tblDias[[#This Row],[Fecha]]&gt;TODAY(),"Pendiente",IF(tblDias[[#This Row],[Filas RDO]]=0,"Sin RDO","Cargado"))</f>
        <v>Pendiente</v>
      </c>
      <c r="K281" s="972">
        <f>COUNTIFS(tblControles[Fecha],tblDias[[#This Row],[Fecha]],tblControles[Turno],"&lt;&gt;Obs")</f>
        <v>0</v>
      </c>
      <c r="L281" s="971">
        <f>SUMIFS(tblParadas[Horas perdidas],tblParadas[Fecha],tblDias[[#This Row],[Fecha]])</f>
        <v>0</v>
      </c>
      <c r="M281" s="1040"/>
      <c r="N281" s="953"/>
      <c r="O281" s="1040"/>
    </row>
    <row r="282" spans="2:15">
      <c r="B282" s="1041">
        <v>46537</v>
      </c>
      <c r="C282" s="1034" t="str">
        <f>CHOOSE(WEEKDAY(tblDias[[#This Row],[Fecha]],2),"lun","mar","mié","jue","vie","sáb","dom")</f>
        <v>dom</v>
      </c>
      <c r="D282" s="1039" t="s">
        <v>9256</v>
      </c>
      <c r="E282" s="1035">
        <f>COUNTIFS(tblConcentrado[Fecha],tblDias[[#This Row],[Fecha]])</f>
        <v>0</v>
      </c>
      <c r="F282" s="1035">
        <f t="shared" si="4"/>
        <v>24</v>
      </c>
      <c r="G282" s="1036">
        <f>IF(tblDias[[#This Row],[Horas esperadas]]=0,0,tblDias[[#This Row],[Horas cargadas]]/tblDias[[#This Row],[Horas esperadas]])</f>
        <v>0</v>
      </c>
      <c r="H282" s="1035" t="str">
        <f ca="1">IF(tblDias[[#This Row],[Fecha]]&gt;TODAY(),"Pendiente",IF(tblDias[[#This Row],[Horas cargadas]]=0,"Sin datos",IF(tblDias[[#This Row],[Horas cargadas]]&lt;tblDias[[#This Row],[Horas esperadas]],"Parcial","Completo")))</f>
        <v>Pendiente</v>
      </c>
      <c r="I282" s="1037">
        <f>COUNTIFS(tblRDO[Fecha],tblDias[[#This Row],[Fecha]])</f>
        <v>0</v>
      </c>
      <c r="J282" s="1038" t="str">
        <f ca="1">IF(tblDias[[#This Row],[Fecha]]&gt;TODAY(),"Pendiente",IF(tblDias[[#This Row],[Filas RDO]]=0,"Sin RDO","Cargado"))</f>
        <v>Pendiente</v>
      </c>
      <c r="K282" s="972">
        <f>COUNTIFS(tblControles[Fecha],tblDias[[#This Row],[Fecha]],tblControles[Turno],"&lt;&gt;Obs")</f>
        <v>0</v>
      </c>
      <c r="L282" s="971">
        <f>SUMIFS(tblParadas[Horas perdidas],tblParadas[Fecha],tblDias[[#This Row],[Fecha]])</f>
        <v>0</v>
      </c>
      <c r="M282" s="1040"/>
      <c r="N282" s="953"/>
      <c r="O282" s="1040"/>
    </row>
    <row r="283" spans="2:15">
      <c r="B283" s="1041">
        <v>46538</v>
      </c>
      <c r="C283" s="1034" t="str">
        <f>CHOOSE(WEEKDAY(tblDias[[#This Row],[Fecha]],2),"lun","mar","mié","jue","vie","sáb","dom")</f>
        <v>lun</v>
      </c>
      <c r="D283" s="1039" t="s">
        <v>9256</v>
      </c>
      <c r="E283" s="1035">
        <f>COUNTIFS(tblConcentrado[Fecha],tblDias[[#This Row],[Fecha]])</f>
        <v>0</v>
      </c>
      <c r="F283" s="1035">
        <f t="shared" si="4"/>
        <v>24</v>
      </c>
      <c r="G283" s="1036">
        <f>IF(tblDias[[#This Row],[Horas esperadas]]=0,0,tblDias[[#This Row],[Horas cargadas]]/tblDias[[#This Row],[Horas esperadas]])</f>
        <v>0</v>
      </c>
      <c r="H283" s="1035" t="str">
        <f ca="1">IF(tblDias[[#This Row],[Fecha]]&gt;TODAY(),"Pendiente",IF(tblDias[[#This Row],[Horas cargadas]]=0,"Sin datos",IF(tblDias[[#This Row],[Horas cargadas]]&lt;tblDias[[#This Row],[Horas esperadas]],"Parcial","Completo")))</f>
        <v>Pendiente</v>
      </c>
      <c r="I283" s="1037">
        <f>COUNTIFS(tblRDO[Fecha],tblDias[[#This Row],[Fecha]])</f>
        <v>0</v>
      </c>
      <c r="J283" s="1038" t="str">
        <f ca="1">IF(tblDias[[#This Row],[Fecha]]&gt;TODAY(),"Pendiente",IF(tblDias[[#This Row],[Filas RDO]]=0,"Sin RDO","Cargado"))</f>
        <v>Pendiente</v>
      </c>
      <c r="K283" s="972">
        <f>COUNTIFS(tblControles[Fecha],tblDias[[#This Row],[Fecha]],tblControles[Turno],"&lt;&gt;Obs")</f>
        <v>0</v>
      </c>
      <c r="L283" s="971">
        <f>SUMIFS(tblParadas[Horas perdidas],tblParadas[Fecha],tblDias[[#This Row],[Fecha]])</f>
        <v>0</v>
      </c>
      <c r="M283" s="1040"/>
      <c r="N283" s="953"/>
      <c r="O283" s="1040"/>
    </row>
    <row r="284" spans="2:15">
      <c r="B284" s="1041">
        <v>46539</v>
      </c>
      <c r="C284" s="1034" t="str">
        <f>CHOOSE(WEEKDAY(tblDias[[#This Row],[Fecha]],2),"lun","mar","mié","jue","vie","sáb","dom")</f>
        <v>mar</v>
      </c>
      <c r="D284" s="1039" t="s">
        <v>9256</v>
      </c>
      <c r="E284" s="1035">
        <f>COUNTIFS(tblConcentrado[Fecha],tblDias[[#This Row],[Fecha]])</f>
        <v>0</v>
      </c>
      <c r="F284" s="1035">
        <f t="shared" si="4"/>
        <v>24</v>
      </c>
      <c r="G284" s="1036">
        <f>IF(tblDias[[#This Row],[Horas esperadas]]=0,0,tblDias[[#This Row],[Horas cargadas]]/tblDias[[#This Row],[Horas esperadas]])</f>
        <v>0</v>
      </c>
      <c r="H284" s="1035" t="str">
        <f ca="1">IF(tblDias[[#This Row],[Fecha]]&gt;TODAY(),"Pendiente",IF(tblDias[[#This Row],[Horas cargadas]]=0,"Sin datos",IF(tblDias[[#This Row],[Horas cargadas]]&lt;tblDias[[#This Row],[Horas esperadas]],"Parcial","Completo")))</f>
        <v>Pendiente</v>
      </c>
      <c r="I284" s="1037">
        <f>COUNTIFS(tblRDO[Fecha],tblDias[[#This Row],[Fecha]])</f>
        <v>0</v>
      </c>
      <c r="J284" s="1038" t="str">
        <f ca="1">IF(tblDias[[#This Row],[Fecha]]&gt;TODAY(),"Pendiente",IF(tblDias[[#This Row],[Filas RDO]]=0,"Sin RDO","Cargado"))</f>
        <v>Pendiente</v>
      </c>
      <c r="K284" s="972">
        <f>COUNTIFS(tblControles[Fecha],tblDias[[#This Row],[Fecha]],tblControles[Turno],"&lt;&gt;Obs")</f>
        <v>0</v>
      </c>
      <c r="L284" s="971">
        <f>SUMIFS(tblParadas[Horas perdidas],tblParadas[Fecha],tblDias[[#This Row],[Fecha]])</f>
        <v>0</v>
      </c>
      <c r="M284" s="1040"/>
      <c r="N284" s="953"/>
      <c r="O284" s="1040"/>
    </row>
    <row r="285" spans="2:15">
      <c r="B285" s="1041">
        <v>46540</v>
      </c>
      <c r="C285" s="1034" t="str">
        <f>CHOOSE(WEEKDAY(tblDias[[#This Row],[Fecha]],2),"lun","mar","mié","jue","vie","sáb","dom")</f>
        <v>mié</v>
      </c>
      <c r="D285" s="1039" t="s">
        <v>9256</v>
      </c>
      <c r="E285" s="1035">
        <f>COUNTIFS(tblConcentrado[Fecha],tblDias[[#This Row],[Fecha]])</f>
        <v>0</v>
      </c>
      <c r="F285" s="1035">
        <f t="shared" si="4"/>
        <v>24</v>
      </c>
      <c r="G285" s="1036">
        <f>IF(tblDias[[#This Row],[Horas esperadas]]=0,0,tblDias[[#This Row],[Horas cargadas]]/tblDias[[#This Row],[Horas esperadas]])</f>
        <v>0</v>
      </c>
      <c r="H285" s="1035" t="str">
        <f ca="1">IF(tblDias[[#This Row],[Fecha]]&gt;TODAY(),"Pendiente",IF(tblDias[[#This Row],[Horas cargadas]]=0,"Sin datos",IF(tblDias[[#This Row],[Horas cargadas]]&lt;tblDias[[#This Row],[Horas esperadas]],"Parcial","Completo")))</f>
        <v>Pendiente</v>
      </c>
      <c r="I285" s="1037">
        <f>COUNTIFS(tblRDO[Fecha],tblDias[[#This Row],[Fecha]])</f>
        <v>0</v>
      </c>
      <c r="J285" s="1038" t="str">
        <f ca="1">IF(tblDias[[#This Row],[Fecha]]&gt;TODAY(),"Pendiente",IF(tblDias[[#This Row],[Filas RDO]]=0,"Sin RDO","Cargado"))</f>
        <v>Pendiente</v>
      </c>
      <c r="K285" s="972">
        <f>COUNTIFS(tblControles[Fecha],tblDias[[#This Row],[Fecha]],tblControles[Turno],"&lt;&gt;Obs")</f>
        <v>0</v>
      </c>
      <c r="L285" s="971">
        <f>SUMIFS(tblParadas[Horas perdidas],tblParadas[Fecha],tblDias[[#This Row],[Fecha]])</f>
        <v>0</v>
      </c>
      <c r="M285" s="1040"/>
      <c r="N285" s="953"/>
      <c r="O285" s="1040"/>
    </row>
    <row r="286" spans="2:15">
      <c r="B286" s="1041">
        <v>46541</v>
      </c>
      <c r="C286" s="1034" t="str">
        <f>CHOOSE(WEEKDAY(tblDias[[#This Row],[Fecha]],2),"lun","mar","mié","jue","vie","sáb","dom")</f>
        <v>jue</v>
      </c>
      <c r="D286" s="1039" t="s">
        <v>9256</v>
      </c>
      <c r="E286" s="1035">
        <f>COUNTIFS(tblConcentrado[Fecha],tblDias[[#This Row],[Fecha]])</f>
        <v>0</v>
      </c>
      <c r="F286" s="1035">
        <f t="shared" si="4"/>
        <v>24</v>
      </c>
      <c r="G286" s="1036">
        <f>IF(tblDias[[#This Row],[Horas esperadas]]=0,0,tblDias[[#This Row],[Horas cargadas]]/tblDias[[#This Row],[Horas esperadas]])</f>
        <v>0</v>
      </c>
      <c r="H286" s="1035" t="str">
        <f ca="1">IF(tblDias[[#This Row],[Fecha]]&gt;TODAY(),"Pendiente",IF(tblDias[[#This Row],[Horas cargadas]]=0,"Sin datos",IF(tblDias[[#This Row],[Horas cargadas]]&lt;tblDias[[#This Row],[Horas esperadas]],"Parcial","Completo")))</f>
        <v>Pendiente</v>
      </c>
      <c r="I286" s="1037">
        <f>COUNTIFS(tblRDO[Fecha],tblDias[[#This Row],[Fecha]])</f>
        <v>0</v>
      </c>
      <c r="J286" s="1038" t="str">
        <f ca="1">IF(tblDias[[#This Row],[Fecha]]&gt;TODAY(),"Pendiente",IF(tblDias[[#This Row],[Filas RDO]]=0,"Sin RDO","Cargado"))</f>
        <v>Pendiente</v>
      </c>
      <c r="K286" s="972">
        <f>COUNTIFS(tblControles[Fecha],tblDias[[#This Row],[Fecha]],tblControles[Turno],"&lt;&gt;Obs")</f>
        <v>0</v>
      </c>
      <c r="L286" s="971">
        <f>SUMIFS(tblParadas[Horas perdidas],tblParadas[Fecha],tblDias[[#This Row],[Fecha]])</f>
        <v>0</v>
      </c>
      <c r="M286" s="1040"/>
      <c r="N286" s="953"/>
      <c r="O286" s="1040"/>
    </row>
    <row r="287" spans="2:15">
      <c r="B287" s="1041">
        <v>46542</v>
      </c>
      <c r="C287" s="1034" t="str">
        <f>CHOOSE(WEEKDAY(tblDias[[#This Row],[Fecha]],2),"lun","mar","mié","jue","vie","sáb","dom")</f>
        <v>vie</v>
      </c>
      <c r="D287" s="1039" t="s">
        <v>9256</v>
      </c>
      <c r="E287" s="1035">
        <f>COUNTIFS(tblConcentrado[Fecha],tblDias[[#This Row],[Fecha]])</f>
        <v>0</v>
      </c>
      <c r="F287" s="1035">
        <f t="shared" si="4"/>
        <v>24</v>
      </c>
      <c r="G287" s="1036">
        <f>IF(tblDias[[#This Row],[Horas esperadas]]=0,0,tblDias[[#This Row],[Horas cargadas]]/tblDias[[#This Row],[Horas esperadas]])</f>
        <v>0</v>
      </c>
      <c r="H287" s="1035" t="str">
        <f ca="1">IF(tblDias[[#This Row],[Fecha]]&gt;TODAY(),"Pendiente",IF(tblDias[[#This Row],[Horas cargadas]]=0,"Sin datos",IF(tblDias[[#This Row],[Horas cargadas]]&lt;tblDias[[#This Row],[Horas esperadas]],"Parcial","Completo")))</f>
        <v>Pendiente</v>
      </c>
      <c r="I287" s="1037">
        <f>COUNTIFS(tblRDO[Fecha],tblDias[[#This Row],[Fecha]])</f>
        <v>0</v>
      </c>
      <c r="J287" s="1038" t="str">
        <f ca="1">IF(tblDias[[#This Row],[Fecha]]&gt;TODAY(),"Pendiente",IF(tblDias[[#This Row],[Filas RDO]]=0,"Sin RDO","Cargado"))</f>
        <v>Pendiente</v>
      </c>
      <c r="K287" s="972">
        <f>COUNTIFS(tblControles[Fecha],tblDias[[#This Row],[Fecha]],tblControles[Turno],"&lt;&gt;Obs")</f>
        <v>0</v>
      </c>
      <c r="L287" s="971">
        <f>SUMIFS(tblParadas[Horas perdidas],tblParadas[Fecha],tblDias[[#This Row],[Fecha]])</f>
        <v>0</v>
      </c>
      <c r="M287" s="1040"/>
      <c r="N287" s="953"/>
      <c r="O287" s="1040"/>
    </row>
    <row r="288" spans="2:15">
      <c r="B288" s="1041">
        <v>46543</v>
      </c>
      <c r="C288" s="1034" t="str">
        <f>CHOOSE(WEEKDAY(tblDias[[#This Row],[Fecha]],2),"lun","mar","mié","jue","vie","sáb","dom")</f>
        <v>sáb</v>
      </c>
      <c r="D288" s="1039" t="s">
        <v>9256</v>
      </c>
      <c r="E288" s="1035">
        <f>COUNTIFS(tblConcentrado[Fecha],tblDias[[#This Row],[Fecha]])</f>
        <v>0</v>
      </c>
      <c r="F288" s="1035">
        <f t="shared" si="4"/>
        <v>24</v>
      </c>
      <c r="G288" s="1036">
        <f>IF(tblDias[[#This Row],[Horas esperadas]]=0,0,tblDias[[#This Row],[Horas cargadas]]/tblDias[[#This Row],[Horas esperadas]])</f>
        <v>0</v>
      </c>
      <c r="H288" s="1035" t="str">
        <f ca="1">IF(tblDias[[#This Row],[Fecha]]&gt;TODAY(),"Pendiente",IF(tblDias[[#This Row],[Horas cargadas]]=0,"Sin datos",IF(tblDias[[#This Row],[Horas cargadas]]&lt;tblDias[[#This Row],[Horas esperadas]],"Parcial","Completo")))</f>
        <v>Pendiente</v>
      </c>
      <c r="I288" s="1037">
        <f>COUNTIFS(tblRDO[Fecha],tblDias[[#This Row],[Fecha]])</f>
        <v>0</v>
      </c>
      <c r="J288" s="1038" t="str">
        <f ca="1">IF(tblDias[[#This Row],[Fecha]]&gt;TODAY(),"Pendiente",IF(tblDias[[#This Row],[Filas RDO]]=0,"Sin RDO","Cargado"))</f>
        <v>Pendiente</v>
      </c>
      <c r="K288" s="972">
        <f>COUNTIFS(tblControles[Fecha],tblDias[[#This Row],[Fecha]],tblControles[Turno],"&lt;&gt;Obs")</f>
        <v>0</v>
      </c>
      <c r="L288" s="971">
        <f>SUMIFS(tblParadas[Horas perdidas],tblParadas[Fecha],tblDias[[#This Row],[Fecha]])</f>
        <v>0</v>
      </c>
      <c r="M288" s="1040"/>
      <c r="N288" s="953"/>
      <c r="O288" s="1040"/>
    </row>
    <row r="289" spans="2:15">
      <c r="B289" s="1041">
        <v>46544</v>
      </c>
      <c r="C289" s="1034" t="str">
        <f>CHOOSE(WEEKDAY(tblDias[[#This Row],[Fecha]],2),"lun","mar","mié","jue","vie","sáb","dom")</f>
        <v>dom</v>
      </c>
      <c r="D289" s="1039" t="s">
        <v>9256</v>
      </c>
      <c r="E289" s="1035">
        <f>COUNTIFS(tblConcentrado[Fecha],tblDias[[#This Row],[Fecha]])</f>
        <v>0</v>
      </c>
      <c r="F289" s="1035">
        <f t="shared" si="4"/>
        <v>24</v>
      </c>
      <c r="G289" s="1036">
        <f>IF(tblDias[[#This Row],[Horas esperadas]]=0,0,tblDias[[#This Row],[Horas cargadas]]/tblDias[[#This Row],[Horas esperadas]])</f>
        <v>0</v>
      </c>
      <c r="H289" s="1035" t="str">
        <f ca="1">IF(tblDias[[#This Row],[Fecha]]&gt;TODAY(),"Pendiente",IF(tblDias[[#This Row],[Horas cargadas]]=0,"Sin datos",IF(tblDias[[#This Row],[Horas cargadas]]&lt;tblDias[[#This Row],[Horas esperadas]],"Parcial","Completo")))</f>
        <v>Pendiente</v>
      </c>
      <c r="I289" s="1037">
        <f>COUNTIFS(tblRDO[Fecha],tblDias[[#This Row],[Fecha]])</f>
        <v>0</v>
      </c>
      <c r="J289" s="1038" t="str">
        <f ca="1">IF(tblDias[[#This Row],[Fecha]]&gt;TODAY(),"Pendiente",IF(tblDias[[#This Row],[Filas RDO]]=0,"Sin RDO","Cargado"))</f>
        <v>Pendiente</v>
      </c>
      <c r="K289" s="972">
        <f>COUNTIFS(tblControles[Fecha],tblDias[[#This Row],[Fecha]],tblControles[Turno],"&lt;&gt;Obs")</f>
        <v>0</v>
      </c>
      <c r="L289" s="971">
        <f>SUMIFS(tblParadas[Horas perdidas],tblParadas[Fecha],tblDias[[#This Row],[Fecha]])</f>
        <v>0</v>
      </c>
      <c r="M289" s="1040"/>
      <c r="N289" s="953"/>
      <c r="O289" s="1040"/>
    </row>
    <row r="290" spans="2:15">
      <c r="B290" s="1041">
        <v>46545</v>
      </c>
      <c r="C290" s="1034" t="str">
        <f>CHOOSE(WEEKDAY(tblDias[[#This Row],[Fecha]],2),"lun","mar","mié","jue","vie","sáb","dom")</f>
        <v>lun</v>
      </c>
      <c r="D290" s="1039" t="s">
        <v>9256</v>
      </c>
      <c r="E290" s="1035">
        <f>COUNTIFS(tblConcentrado[Fecha],tblDias[[#This Row],[Fecha]])</f>
        <v>0</v>
      </c>
      <c r="F290" s="1035">
        <f t="shared" si="4"/>
        <v>24</v>
      </c>
      <c r="G290" s="1036">
        <f>IF(tblDias[[#This Row],[Horas esperadas]]=0,0,tblDias[[#This Row],[Horas cargadas]]/tblDias[[#This Row],[Horas esperadas]])</f>
        <v>0</v>
      </c>
      <c r="H290" s="1035" t="str">
        <f ca="1">IF(tblDias[[#This Row],[Fecha]]&gt;TODAY(),"Pendiente",IF(tblDias[[#This Row],[Horas cargadas]]=0,"Sin datos",IF(tblDias[[#This Row],[Horas cargadas]]&lt;tblDias[[#This Row],[Horas esperadas]],"Parcial","Completo")))</f>
        <v>Pendiente</v>
      </c>
      <c r="I290" s="1037">
        <f>COUNTIFS(tblRDO[Fecha],tblDias[[#This Row],[Fecha]])</f>
        <v>0</v>
      </c>
      <c r="J290" s="1038" t="str">
        <f ca="1">IF(tblDias[[#This Row],[Fecha]]&gt;TODAY(),"Pendiente",IF(tblDias[[#This Row],[Filas RDO]]=0,"Sin RDO","Cargado"))</f>
        <v>Pendiente</v>
      </c>
      <c r="K290" s="972">
        <f>COUNTIFS(tblControles[Fecha],tblDias[[#This Row],[Fecha]],tblControles[Turno],"&lt;&gt;Obs")</f>
        <v>0</v>
      </c>
      <c r="L290" s="971">
        <f>SUMIFS(tblParadas[Horas perdidas],tblParadas[Fecha],tblDias[[#This Row],[Fecha]])</f>
        <v>0</v>
      </c>
      <c r="M290" s="1040"/>
      <c r="N290" s="953"/>
      <c r="O290" s="1040"/>
    </row>
    <row r="291" spans="2:15">
      <c r="B291" s="1041">
        <v>46546</v>
      </c>
      <c r="C291" s="1034" t="str">
        <f>CHOOSE(WEEKDAY(tblDias[[#This Row],[Fecha]],2),"lun","mar","mié","jue","vie","sáb","dom")</f>
        <v>mar</v>
      </c>
      <c r="D291" s="1039" t="s">
        <v>9256</v>
      </c>
      <c r="E291" s="1035">
        <f>COUNTIFS(tblConcentrado[Fecha],tblDias[[#This Row],[Fecha]])</f>
        <v>0</v>
      </c>
      <c r="F291" s="1035">
        <f t="shared" si="4"/>
        <v>24</v>
      </c>
      <c r="G291" s="1036">
        <f>IF(tblDias[[#This Row],[Horas esperadas]]=0,0,tblDias[[#This Row],[Horas cargadas]]/tblDias[[#This Row],[Horas esperadas]])</f>
        <v>0</v>
      </c>
      <c r="H291" s="1035" t="str">
        <f ca="1">IF(tblDias[[#This Row],[Fecha]]&gt;TODAY(),"Pendiente",IF(tblDias[[#This Row],[Horas cargadas]]=0,"Sin datos",IF(tblDias[[#This Row],[Horas cargadas]]&lt;tblDias[[#This Row],[Horas esperadas]],"Parcial","Completo")))</f>
        <v>Pendiente</v>
      </c>
      <c r="I291" s="1037">
        <f>COUNTIFS(tblRDO[Fecha],tblDias[[#This Row],[Fecha]])</f>
        <v>0</v>
      </c>
      <c r="J291" s="1038" t="str">
        <f ca="1">IF(tblDias[[#This Row],[Fecha]]&gt;TODAY(),"Pendiente",IF(tblDias[[#This Row],[Filas RDO]]=0,"Sin RDO","Cargado"))</f>
        <v>Pendiente</v>
      </c>
      <c r="K291" s="972">
        <f>COUNTIFS(tblControles[Fecha],tblDias[[#This Row],[Fecha]],tblControles[Turno],"&lt;&gt;Obs")</f>
        <v>0</v>
      </c>
      <c r="L291" s="971">
        <f>SUMIFS(tblParadas[Horas perdidas],tblParadas[Fecha],tblDias[[#This Row],[Fecha]])</f>
        <v>0</v>
      </c>
      <c r="M291" s="1040"/>
      <c r="N291" s="953"/>
      <c r="O291" s="1040"/>
    </row>
    <row r="292" spans="2:15">
      <c r="B292" s="1041">
        <v>46547</v>
      </c>
      <c r="C292" s="1034" t="str">
        <f>CHOOSE(WEEKDAY(tblDias[[#This Row],[Fecha]],2),"lun","mar","mié","jue","vie","sáb","dom")</f>
        <v>mié</v>
      </c>
      <c r="D292" s="1039" t="s">
        <v>9256</v>
      </c>
      <c r="E292" s="1035">
        <f>COUNTIFS(tblConcentrado[Fecha],tblDias[[#This Row],[Fecha]])</f>
        <v>0</v>
      </c>
      <c r="F292" s="1035">
        <f t="shared" si="4"/>
        <v>24</v>
      </c>
      <c r="G292" s="1036">
        <f>IF(tblDias[[#This Row],[Horas esperadas]]=0,0,tblDias[[#This Row],[Horas cargadas]]/tblDias[[#This Row],[Horas esperadas]])</f>
        <v>0</v>
      </c>
      <c r="H292" s="1035" t="str">
        <f ca="1">IF(tblDias[[#This Row],[Fecha]]&gt;TODAY(),"Pendiente",IF(tblDias[[#This Row],[Horas cargadas]]=0,"Sin datos",IF(tblDias[[#This Row],[Horas cargadas]]&lt;tblDias[[#This Row],[Horas esperadas]],"Parcial","Completo")))</f>
        <v>Pendiente</v>
      </c>
      <c r="I292" s="1037">
        <f>COUNTIFS(tblRDO[Fecha],tblDias[[#This Row],[Fecha]])</f>
        <v>0</v>
      </c>
      <c r="J292" s="1038" t="str">
        <f ca="1">IF(tblDias[[#This Row],[Fecha]]&gt;TODAY(),"Pendiente",IF(tblDias[[#This Row],[Filas RDO]]=0,"Sin RDO","Cargado"))</f>
        <v>Pendiente</v>
      </c>
      <c r="K292" s="972">
        <f>COUNTIFS(tblControles[Fecha],tblDias[[#This Row],[Fecha]],tblControles[Turno],"&lt;&gt;Obs")</f>
        <v>0</v>
      </c>
      <c r="L292" s="971">
        <f>SUMIFS(tblParadas[Horas perdidas],tblParadas[Fecha],tblDias[[#This Row],[Fecha]])</f>
        <v>0</v>
      </c>
      <c r="M292" s="1040"/>
      <c r="N292" s="953"/>
      <c r="O292" s="1040"/>
    </row>
    <row r="293" spans="2:15">
      <c r="B293" s="1041">
        <v>46548</v>
      </c>
      <c r="C293" s="1034" t="str">
        <f>CHOOSE(WEEKDAY(tblDias[[#This Row],[Fecha]],2),"lun","mar","mié","jue","vie","sáb","dom")</f>
        <v>jue</v>
      </c>
      <c r="D293" s="1039" t="s">
        <v>9256</v>
      </c>
      <c r="E293" s="1035">
        <f>COUNTIFS(tblConcentrado[Fecha],tblDias[[#This Row],[Fecha]])</f>
        <v>0</v>
      </c>
      <c r="F293" s="1035">
        <f t="shared" si="4"/>
        <v>24</v>
      </c>
      <c r="G293" s="1036">
        <f>IF(tblDias[[#This Row],[Horas esperadas]]=0,0,tblDias[[#This Row],[Horas cargadas]]/tblDias[[#This Row],[Horas esperadas]])</f>
        <v>0</v>
      </c>
      <c r="H293" s="1035" t="str">
        <f ca="1">IF(tblDias[[#This Row],[Fecha]]&gt;TODAY(),"Pendiente",IF(tblDias[[#This Row],[Horas cargadas]]=0,"Sin datos",IF(tblDias[[#This Row],[Horas cargadas]]&lt;tblDias[[#This Row],[Horas esperadas]],"Parcial","Completo")))</f>
        <v>Pendiente</v>
      </c>
      <c r="I293" s="1037">
        <f>COUNTIFS(tblRDO[Fecha],tblDias[[#This Row],[Fecha]])</f>
        <v>0</v>
      </c>
      <c r="J293" s="1038" t="str">
        <f ca="1">IF(tblDias[[#This Row],[Fecha]]&gt;TODAY(),"Pendiente",IF(tblDias[[#This Row],[Filas RDO]]=0,"Sin RDO","Cargado"))</f>
        <v>Pendiente</v>
      </c>
      <c r="K293" s="972">
        <f>COUNTIFS(tblControles[Fecha],tblDias[[#This Row],[Fecha]],tblControles[Turno],"&lt;&gt;Obs")</f>
        <v>0</v>
      </c>
      <c r="L293" s="971">
        <f>SUMIFS(tblParadas[Horas perdidas],tblParadas[Fecha],tblDias[[#This Row],[Fecha]])</f>
        <v>0</v>
      </c>
      <c r="M293" s="1040"/>
      <c r="N293" s="953"/>
      <c r="O293" s="1040"/>
    </row>
    <row r="294" spans="2:15">
      <c r="B294" s="1041">
        <v>46549</v>
      </c>
      <c r="C294" s="1034" t="str">
        <f>CHOOSE(WEEKDAY(tblDias[[#This Row],[Fecha]],2),"lun","mar","mié","jue","vie","sáb","dom")</f>
        <v>vie</v>
      </c>
      <c r="D294" s="1039" t="s">
        <v>9256</v>
      </c>
      <c r="E294" s="1035">
        <f>COUNTIFS(tblConcentrado[Fecha],tblDias[[#This Row],[Fecha]])</f>
        <v>0</v>
      </c>
      <c r="F294" s="1035">
        <f t="shared" si="4"/>
        <v>24</v>
      </c>
      <c r="G294" s="1036">
        <f>IF(tblDias[[#This Row],[Horas esperadas]]=0,0,tblDias[[#This Row],[Horas cargadas]]/tblDias[[#This Row],[Horas esperadas]])</f>
        <v>0</v>
      </c>
      <c r="H294" s="1035" t="str">
        <f ca="1">IF(tblDias[[#This Row],[Fecha]]&gt;TODAY(),"Pendiente",IF(tblDias[[#This Row],[Horas cargadas]]=0,"Sin datos",IF(tblDias[[#This Row],[Horas cargadas]]&lt;tblDias[[#This Row],[Horas esperadas]],"Parcial","Completo")))</f>
        <v>Pendiente</v>
      </c>
      <c r="I294" s="1037">
        <f>COUNTIFS(tblRDO[Fecha],tblDias[[#This Row],[Fecha]])</f>
        <v>0</v>
      </c>
      <c r="J294" s="1038" t="str">
        <f ca="1">IF(tblDias[[#This Row],[Fecha]]&gt;TODAY(),"Pendiente",IF(tblDias[[#This Row],[Filas RDO]]=0,"Sin RDO","Cargado"))</f>
        <v>Pendiente</v>
      </c>
      <c r="K294" s="972">
        <f>COUNTIFS(tblControles[Fecha],tblDias[[#This Row],[Fecha]],tblControles[Turno],"&lt;&gt;Obs")</f>
        <v>0</v>
      </c>
      <c r="L294" s="971">
        <f>SUMIFS(tblParadas[Horas perdidas],tblParadas[Fecha],tblDias[[#This Row],[Fecha]])</f>
        <v>0</v>
      </c>
      <c r="M294" s="1040"/>
      <c r="N294" s="953"/>
      <c r="O294" s="1040"/>
    </row>
    <row r="295" spans="2:15">
      <c r="B295" s="1041">
        <v>46550</v>
      </c>
      <c r="C295" s="1034" t="str">
        <f>CHOOSE(WEEKDAY(tblDias[[#This Row],[Fecha]],2),"lun","mar","mié","jue","vie","sáb","dom")</f>
        <v>sáb</v>
      </c>
      <c r="D295" s="1039" t="s">
        <v>9256</v>
      </c>
      <c r="E295" s="1035">
        <f>COUNTIFS(tblConcentrado[Fecha],tblDias[[#This Row],[Fecha]])</f>
        <v>0</v>
      </c>
      <c r="F295" s="1035">
        <f t="shared" si="4"/>
        <v>24</v>
      </c>
      <c r="G295" s="1036">
        <f>IF(tblDias[[#This Row],[Horas esperadas]]=0,0,tblDias[[#This Row],[Horas cargadas]]/tblDias[[#This Row],[Horas esperadas]])</f>
        <v>0</v>
      </c>
      <c r="H295" s="1035" t="str">
        <f ca="1">IF(tblDias[[#This Row],[Fecha]]&gt;TODAY(),"Pendiente",IF(tblDias[[#This Row],[Horas cargadas]]=0,"Sin datos",IF(tblDias[[#This Row],[Horas cargadas]]&lt;tblDias[[#This Row],[Horas esperadas]],"Parcial","Completo")))</f>
        <v>Pendiente</v>
      </c>
      <c r="I295" s="1037">
        <f>COUNTIFS(tblRDO[Fecha],tblDias[[#This Row],[Fecha]])</f>
        <v>0</v>
      </c>
      <c r="J295" s="1038" t="str">
        <f ca="1">IF(tblDias[[#This Row],[Fecha]]&gt;TODAY(),"Pendiente",IF(tblDias[[#This Row],[Filas RDO]]=0,"Sin RDO","Cargado"))</f>
        <v>Pendiente</v>
      </c>
      <c r="K295" s="972">
        <f>COUNTIFS(tblControles[Fecha],tblDias[[#This Row],[Fecha]],tblControles[Turno],"&lt;&gt;Obs")</f>
        <v>0</v>
      </c>
      <c r="L295" s="971">
        <f>SUMIFS(tblParadas[Horas perdidas],tblParadas[Fecha],tblDias[[#This Row],[Fecha]])</f>
        <v>0</v>
      </c>
      <c r="M295" s="1040"/>
      <c r="N295" s="953"/>
      <c r="O295" s="1040"/>
    </row>
    <row r="296" spans="2:15">
      <c r="B296" s="1041">
        <v>46551</v>
      </c>
      <c r="C296" s="1034" t="str">
        <f>CHOOSE(WEEKDAY(tblDias[[#This Row],[Fecha]],2),"lun","mar","mié","jue","vie","sáb","dom")</f>
        <v>dom</v>
      </c>
      <c r="D296" s="1039" t="s">
        <v>9256</v>
      </c>
      <c r="E296" s="1035">
        <f>COUNTIFS(tblConcentrado[Fecha],tblDias[[#This Row],[Fecha]])</f>
        <v>0</v>
      </c>
      <c r="F296" s="1035">
        <f t="shared" si="4"/>
        <v>24</v>
      </c>
      <c r="G296" s="1036">
        <f>IF(tblDias[[#This Row],[Horas esperadas]]=0,0,tblDias[[#This Row],[Horas cargadas]]/tblDias[[#This Row],[Horas esperadas]])</f>
        <v>0</v>
      </c>
      <c r="H296" s="1035" t="str">
        <f ca="1">IF(tblDias[[#This Row],[Fecha]]&gt;TODAY(),"Pendiente",IF(tblDias[[#This Row],[Horas cargadas]]=0,"Sin datos",IF(tblDias[[#This Row],[Horas cargadas]]&lt;tblDias[[#This Row],[Horas esperadas]],"Parcial","Completo")))</f>
        <v>Pendiente</v>
      </c>
      <c r="I296" s="1037">
        <f>COUNTIFS(tblRDO[Fecha],tblDias[[#This Row],[Fecha]])</f>
        <v>0</v>
      </c>
      <c r="J296" s="1038" t="str">
        <f ca="1">IF(tblDias[[#This Row],[Fecha]]&gt;TODAY(),"Pendiente",IF(tblDias[[#This Row],[Filas RDO]]=0,"Sin RDO","Cargado"))</f>
        <v>Pendiente</v>
      </c>
      <c r="K296" s="972">
        <f>COUNTIFS(tblControles[Fecha],tblDias[[#This Row],[Fecha]],tblControles[Turno],"&lt;&gt;Obs")</f>
        <v>0</v>
      </c>
      <c r="L296" s="971">
        <f>SUMIFS(tblParadas[Horas perdidas],tblParadas[Fecha],tblDias[[#This Row],[Fecha]])</f>
        <v>0</v>
      </c>
      <c r="M296" s="1040"/>
      <c r="N296" s="953"/>
      <c r="O296" s="1040"/>
    </row>
    <row r="297" spans="2:15">
      <c r="B297" s="1041">
        <v>46552</v>
      </c>
      <c r="C297" s="1034" t="str">
        <f>CHOOSE(WEEKDAY(tblDias[[#This Row],[Fecha]],2),"lun","mar","mié","jue","vie","sáb","dom")</f>
        <v>lun</v>
      </c>
      <c r="D297" s="1039" t="s">
        <v>9256</v>
      </c>
      <c r="E297" s="1035">
        <f>COUNTIFS(tblConcentrado[Fecha],tblDias[[#This Row],[Fecha]])</f>
        <v>0</v>
      </c>
      <c r="F297" s="1035">
        <f t="shared" si="4"/>
        <v>24</v>
      </c>
      <c r="G297" s="1036">
        <f>IF(tblDias[[#This Row],[Horas esperadas]]=0,0,tblDias[[#This Row],[Horas cargadas]]/tblDias[[#This Row],[Horas esperadas]])</f>
        <v>0</v>
      </c>
      <c r="H297" s="1035" t="str">
        <f ca="1">IF(tblDias[[#This Row],[Fecha]]&gt;TODAY(),"Pendiente",IF(tblDias[[#This Row],[Horas cargadas]]=0,"Sin datos",IF(tblDias[[#This Row],[Horas cargadas]]&lt;tblDias[[#This Row],[Horas esperadas]],"Parcial","Completo")))</f>
        <v>Pendiente</v>
      </c>
      <c r="I297" s="1037">
        <f>COUNTIFS(tblRDO[Fecha],tblDias[[#This Row],[Fecha]])</f>
        <v>0</v>
      </c>
      <c r="J297" s="1038" t="str">
        <f ca="1">IF(tblDias[[#This Row],[Fecha]]&gt;TODAY(),"Pendiente",IF(tblDias[[#This Row],[Filas RDO]]=0,"Sin RDO","Cargado"))</f>
        <v>Pendiente</v>
      </c>
      <c r="K297" s="972">
        <f>COUNTIFS(tblControles[Fecha],tblDias[[#This Row],[Fecha]],tblControles[Turno],"&lt;&gt;Obs")</f>
        <v>0</v>
      </c>
      <c r="L297" s="971">
        <f>SUMIFS(tblParadas[Horas perdidas],tblParadas[Fecha],tblDias[[#This Row],[Fecha]])</f>
        <v>0</v>
      </c>
      <c r="M297" s="1040"/>
      <c r="N297" s="953"/>
      <c r="O297" s="1040"/>
    </row>
    <row r="298" spans="2:15">
      <c r="B298" s="1041">
        <v>46553</v>
      </c>
      <c r="C298" s="1034" t="str">
        <f>CHOOSE(WEEKDAY(tblDias[[#This Row],[Fecha]],2),"lun","mar","mié","jue","vie","sáb","dom")</f>
        <v>mar</v>
      </c>
      <c r="D298" s="1039" t="s">
        <v>9256</v>
      </c>
      <c r="E298" s="1035">
        <f>COUNTIFS(tblConcentrado[Fecha],tblDias[[#This Row],[Fecha]])</f>
        <v>0</v>
      </c>
      <c r="F298" s="1035">
        <f t="shared" si="4"/>
        <v>24</v>
      </c>
      <c r="G298" s="1036">
        <f>IF(tblDias[[#This Row],[Horas esperadas]]=0,0,tblDias[[#This Row],[Horas cargadas]]/tblDias[[#This Row],[Horas esperadas]])</f>
        <v>0</v>
      </c>
      <c r="H298" s="1035" t="str">
        <f ca="1">IF(tblDias[[#This Row],[Fecha]]&gt;TODAY(),"Pendiente",IF(tblDias[[#This Row],[Horas cargadas]]=0,"Sin datos",IF(tblDias[[#This Row],[Horas cargadas]]&lt;tblDias[[#This Row],[Horas esperadas]],"Parcial","Completo")))</f>
        <v>Pendiente</v>
      </c>
      <c r="I298" s="1037">
        <f>COUNTIFS(tblRDO[Fecha],tblDias[[#This Row],[Fecha]])</f>
        <v>0</v>
      </c>
      <c r="J298" s="1038" t="str">
        <f ca="1">IF(tblDias[[#This Row],[Fecha]]&gt;TODAY(),"Pendiente",IF(tblDias[[#This Row],[Filas RDO]]=0,"Sin RDO","Cargado"))</f>
        <v>Pendiente</v>
      </c>
      <c r="K298" s="972">
        <f>COUNTIFS(tblControles[Fecha],tblDias[[#This Row],[Fecha]],tblControles[Turno],"&lt;&gt;Obs")</f>
        <v>0</v>
      </c>
      <c r="L298" s="971">
        <f>SUMIFS(tblParadas[Horas perdidas],tblParadas[Fecha],tblDias[[#This Row],[Fecha]])</f>
        <v>0</v>
      </c>
      <c r="M298" s="1040"/>
      <c r="N298" s="953"/>
      <c r="O298" s="1040"/>
    </row>
    <row r="299" spans="2:15">
      <c r="B299" s="1041">
        <v>46554</v>
      </c>
      <c r="C299" s="1034" t="str">
        <f>CHOOSE(WEEKDAY(tblDias[[#This Row],[Fecha]],2),"lun","mar","mié","jue","vie","sáb","dom")</f>
        <v>mié</v>
      </c>
      <c r="D299" s="1039" t="s">
        <v>9256</v>
      </c>
      <c r="E299" s="1035">
        <f>COUNTIFS(tblConcentrado[Fecha],tblDias[[#This Row],[Fecha]])</f>
        <v>0</v>
      </c>
      <c r="F299" s="1035">
        <f t="shared" si="4"/>
        <v>24</v>
      </c>
      <c r="G299" s="1036">
        <f>IF(tblDias[[#This Row],[Horas esperadas]]=0,0,tblDias[[#This Row],[Horas cargadas]]/tblDias[[#This Row],[Horas esperadas]])</f>
        <v>0</v>
      </c>
      <c r="H299" s="1035" t="str">
        <f ca="1">IF(tblDias[[#This Row],[Fecha]]&gt;TODAY(),"Pendiente",IF(tblDias[[#This Row],[Horas cargadas]]=0,"Sin datos",IF(tblDias[[#This Row],[Horas cargadas]]&lt;tblDias[[#This Row],[Horas esperadas]],"Parcial","Completo")))</f>
        <v>Pendiente</v>
      </c>
      <c r="I299" s="1037">
        <f>COUNTIFS(tblRDO[Fecha],tblDias[[#This Row],[Fecha]])</f>
        <v>0</v>
      </c>
      <c r="J299" s="1038" t="str">
        <f ca="1">IF(tblDias[[#This Row],[Fecha]]&gt;TODAY(),"Pendiente",IF(tblDias[[#This Row],[Filas RDO]]=0,"Sin RDO","Cargado"))</f>
        <v>Pendiente</v>
      </c>
      <c r="K299" s="972">
        <f>COUNTIFS(tblControles[Fecha],tblDias[[#This Row],[Fecha]],tblControles[Turno],"&lt;&gt;Obs")</f>
        <v>0</v>
      </c>
      <c r="L299" s="971">
        <f>SUMIFS(tblParadas[Horas perdidas],tblParadas[Fecha],tblDias[[#This Row],[Fecha]])</f>
        <v>0</v>
      </c>
      <c r="M299" s="1040"/>
      <c r="N299" s="953"/>
      <c r="O299" s="1040"/>
    </row>
    <row r="300" spans="2:15">
      <c r="B300" s="1041">
        <v>46555</v>
      </c>
      <c r="C300" s="1034" t="str">
        <f>CHOOSE(WEEKDAY(tblDias[[#This Row],[Fecha]],2),"lun","mar","mié","jue","vie","sáb","dom")</f>
        <v>jue</v>
      </c>
      <c r="D300" s="1039" t="s">
        <v>9256</v>
      </c>
      <c r="E300" s="1035">
        <f>COUNTIFS(tblConcentrado[Fecha],tblDias[[#This Row],[Fecha]])</f>
        <v>0</v>
      </c>
      <c r="F300" s="1035">
        <f t="shared" si="4"/>
        <v>24</v>
      </c>
      <c r="G300" s="1036">
        <f>IF(tblDias[[#This Row],[Horas esperadas]]=0,0,tblDias[[#This Row],[Horas cargadas]]/tblDias[[#This Row],[Horas esperadas]])</f>
        <v>0</v>
      </c>
      <c r="H300" s="1035" t="str">
        <f ca="1">IF(tblDias[[#This Row],[Fecha]]&gt;TODAY(),"Pendiente",IF(tblDias[[#This Row],[Horas cargadas]]=0,"Sin datos",IF(tblDias[[#This Row],[Horas cargadas]]&lt;tblDias[[#This Row],[Horas esperadas]],"Parcial","Completo")))</f>
        <v>Pendiente</v>
      </c>
      <c r="I300" s="1037">
        <f>COUNTIFS(tblRDO[Fecha],tblDias[[#This Row],[Fecha]])</f>
        <v>0</v>
      </c>
      <c r="J300" s="1038" t="str">
        <f ca="1">IF(tblDias[[#This Row],[Fecha]]&gt;TODAY(),"Pendiente",IF(tblDias[[#This Row],[Filas RDO]]=0,"Sin RDO","Cargado"))</f>
        <v>Pendiente</v>
      </c>
      <c r="K300" s="972">
        <f>COUNTIFS(tblControles[Fecha],tblDias[[#This Row],[Fecha]],tblControles[Turno],"&lt;&gt;Obs")</f>
        <v>0</v>
      </c>
      <c r="L300" s="971">
        <f>SUMIFS(tblParadas[Horas perdidas],tblParadas[Fecha],tblDias[[#This Row],[Fecha]])</f>
        <v>0</v>
      </c>
      <c r="M300" s="1040"/>
      <c r="N300" s="953"/>
      <c r="O300" s="1040"/>
    </row>
    <row r="301" spans="2:15">
      <c r="B301" s="1041">
        <v>46556</v>
      </c>
      <c r="C301" s="1034" t="str">
        <f>CHOOSE(WEEKDAY(tblDias[[#This Row],[Fecha]],2),"lun","mar","mié","jue","vie","sáb","dom")</f>
        <v>vie</v>
      </c>
      <c r="D301" s="1039" t="s">
        <v>9256</v>
      </c>
      <c r="E301" s="1035">
        <f>COUNTIFS(tblConcentrado[Fecha],tblDias[[#This Row],[Fecha]])</f>
        <v>0</v>
      </c>
      <c r="F301" s="1035">
        <f t="shared" si="4"/>
        <v>24</v>
      </c>
      <c r="G301" s="1036">
        <f>IF(tblDias[[#This Row],[Horas esperadas]]=0,0,tblDias[[#This Row],[Horas cargadas]]/tblDias[[#This Row],[Horas esperadas]])</f>
        <v>0</v>
      </c>
      <c r="H301" s="1035" t="str">
        <f ca="1">IF(tblDias[[#This Row],[Fecha]]&gt;TODAY(),"Pendiente",IF(tblDias[[#This Row],[Horas cargadas]]=0,"Sin datos",IF(tblDias[[#This Row],[Horas cargadas]]&lt;tblDias[[#This Row],[Horas esperadas]],"Parcial","Completo")))</f>
        <v>Pendiente</v>
      </c>
      <c r="I301" s="1037">
        <f>COUNTIFS(tblRDO[Fecha],tblDias[[#This Row],[Fecha]])</f>
        <v>0</v>
      </c>
      <c r="J301" s="1038" t="str">
        <f ca="1">IF(tblDias[[#This Row],[Fecha]]&gt;TODAY(),"Pendiente",IF(tblDias[[#This Row],[Filas RDO]]=0,"Sin RDO","Cargado"))</f>
        <v>Pendiente</v>
      </c>
      <c r="K301" s="972">
        <f>COUNTIFS(tblControles[Fecha],tblDias[[#This Row],[Fecha]],tblControles[Turno],"&lt;&gt;Obs")</f>
        <v>0</v>
      </c>
      <c r="L301" s="971">
        <f>SUMIFS(tblParadas[Horas perdidas],tblParadas[Fecha],tblDias[[#This Row],[Fecha]])</f>
        <v>0</v>
      </c>
      <c r="M301" s="1040"/>
      <c r="N301" s="953"/>
      <c r="O301" s="1040"/>
    </row>
    <row r="302" spans="2:15">
      <c r="B302" s="1041">
        <v>46557</v>
      </c>
      <c r="C302" s="1034" t="str">
        <f>CHOOSE(WEEKDAY(tblDias[[#This Row],[Fecha]],2),"lun","mar","mié","jue","vie","sáb","dom")</f>
        <v>sáb</v>
      </c>
      <c r="D302" s="1039" t="s">
        <v>9256</v>
      </c>
      <c r="E302" s="1035">
        <f>COUNTIFS(tblConcentrado[Fecha],tblDias[[#This Row],[Fecha]])</f>
        <v>0</v>
      </c>
      <c r="F302" s="1035">
        <f t="shared" si="4"/>
        <v>24</v>
      </c>
      <c r="G302" s="1036">
        <f>IF(tblDias[[#This Row],[Horas esperadas]]=0,0,tblDias[[#This Row],[Horas cargadas]]/tblDias[[#This Row],[Horas esperadas]])</f>
        <v>0</v>
      </c>
      <c r="H302" s="1035" t="str">
        <f ca="1">IF(tblDias[[#This Row],[Fecha]]&gt;TODAY(),"Pendiente",IF(tblDias[[#This Row],[Horas cargadas]]=0,"Sin datos",IF(tblDias[[#This Row],[Horas cargadas]]&lt;tblDias[[#This Row],[Horas esperadas]],"Parcial","Completo")))</f>
        <v>Pendiente</v>
      </c>
      <c r="I302" s="1037">
        <f>COUNTIFS(tblRDO[Fecha],tblDias[[#This Row],[Fecha]])</f>
        <v>0</v>
      </c>
      <c r="J302" s="1038" t="str">
        <f ca="1">IF(tblDias[[#This Row],[Fecha]]&gt;TODAY(),"Pendiente",IF(tblDias[[#This Row],[Filas RDO]]=0,"Sin RDO","Cargado"))</f>
        <v>Pendiente</v>
      </c>
      <c r="K302" s="972">
        <f>COUNTIFS(tblControles[Fecha],tblDias[[#This Row],[Fecha]],tblControles[Turno],"&lt;&gt;Obs")</f>
        <v>0</v>
      </c>
      <c r="L302" s="971">
        <f>SUMIFS(tblParadas[Horas perdidas],tblParadas[Fecha],tblDias[[#This Row],[Fecha]])</f>
        <v>0</v>
      </c>
      <c r="M302" s="1040"/>
      <c r="N302" s="953"/>
      <c r="O302" s="1040"/>
    </row>
    <row r="303" spans="2:15">
      <c r="B303" s="1041">
        <v>46558</v>
      </c>
      <c r="C303" s="1034" t="str">
        <f>CHOOSE(WEEKDAY(tblDias[[#This Row],[Fecha]],2),"lun","mar","mié","jue","vie","sáb","dom")</f>
        <v>dom</v>
      </c>
      <c r="D303" s="1039" t="s">
        <v>9256</v>
      </c>
      <c r="E303" s="1035">
        <f>COUNTIFS(tblConcentrado[Fecha],tblDias[[#This Row],[Fecha]])</f>
        <v>0</v>
      </c>
      <c r="F303" s="1035">
        <f t="shared" si="4"/>
        <v>24</v>
      </c>
      <c r="G303" s="1036">
        <f>IF(tblDias[[#This Row],[Horas esperadas]]=0,0,tblDias[[#This Row],[Horas cargadas]]/tblDias[[#This Row],[Horas esperadas]])</f>
        <v>0</v>
      </c>
      <c r="H303" s="1035" t="str">
        <f ca="1">IF(tblDias[[#This Row],[Fecha]]&gt;TODAY(),"Pendiente",IF(tblDias[[#This Row],[Horas cargadas]]=0,"Sin datos",IF(tblDias[[#This Row],[Horas cargadas]]&lt;tblDias[[#This Row],[Horas esperadas]],"Parcial","Completo")))</f>
        <v>Pendiente</v>
      </c>
      <c r="I303" s="1037">
        <f>COUNTIFS(tblRDO[Fecha],tblDias[[#This Row],[Fecha]])</f>
        <v>0</v>
      </c>
      <c r="J303" s="1038" t="str">
        <f ca="1">IF(tblDias[[#This Row],[Fecha]]&gt;TODAY(),"Pendiente",IF(tblDias[[#This Row],[Filas RDO]]=0,"Sin RDO","Cargado"))</f>
        <v>Pendiente</v>
      </c>
      <c r="K303" s="972">
        <f>COUNTIFS(tblControles[Fecha],tblDias[[#This Row],[Fecha]],tblControles[Turno],"&lt;&gt;Obs")</f>
        <v>0</v>
      </c>
      <c r="L303" s="971">
        <f>SUMIFS(tblParadas[Horas perdidas],tblParadas[Fecha],tblDias[[#This Row],[Fecha]])</f>
        <v>0</v>
      </c>
      <c r="M303" s="1040"/>
      <c r="N303" s="953"/>
      <c r="O303" s="1040"/>
    </row>
    <row r="304" spans="2:15">
      <c r="B304" s="1041">
        <v>46559</v>
      </c>
      <c r="C304" s="1034" t="str">
        <f>CHOOSE(WEEKDAY(tblDias[[#This Row],[Fecha]],2),"lun","mar","mié","jue","vie","sáb","dom")</f>
        <v>lun</v>
      </c>
      <c r="D304" s="1039" t="s">
        <v>9256</v>
      </c>
      <c r="E304" s="1035">
        <f>COUNTIFS(tblConcentrado[Fecha],tblDias[[#This Row],[Fecha]])</f>
        <v>0</v>
      </c>
      <c r="F304" s="1035">
        <f t="shared" si="4"/>
        <v>24</v>
      </c>
      <c r="G304" s="1036">
        <f>IF(tblDias[[#This Row],[Horas esperadas]]=0,0,tblDias[[#This Row],[Horas cargadas]]/tblDias[[#This Row],[Horas esperadas]])</f>
        <v>0</v>
      </c>
      <c r="H304" s="1035" t="str">
        <f ca="1">IF(tblDias[[#This Row],[Fecha]]&gt;TODAY(),"Pendiente",IF(tblDias[[#This Row],[Horas cargadas]]=0,"Sin datos",IF(tblDias[[#This Row],[Horas cargadas]]&lt;tblDias[[#This Row],[Horas esperadas]],"Parcial","Completo")))</f>
        <v>Pendiente</v>
      </c>
      <c r="I304" s="1037">
        <f>COUNTIFS(tblRDO[Fecha],tblDias[[#This Row],[Fecha]])</f>
        <v>0</v>
      </c>
      <c r="J304" s="1038" t="str">
        <f ca="1">IF(tblDias[[#This Row],[Fecha]]&gt;TODAY(),"Pendiente",IF(tblDias[[#This Row],[Filas RDO]]=0,"Sin RDO","Cargado"))</f>
        <v>Pendiente</v>
      </c>
      <c r="K304" s="972">
        <f>COUNTIFS(tblControles[Fecha],tblDias[[#This Row],[Fecha]],tblControles[Turno],"&lt;&gt;Obs")</f>
        <v>0</v>
      </c>
      <c r="L304" s="971">
        <f>SUMIFS(tblParadas[Horas perdidas],tblParadas[Fecha],tblDias[[#This Row],[Fecha]])</f>
        <v>0</v>
      </c>
      <c r="M304" s="1040"/>
      <c r="N304" s="953"/>
      <c r="O304" s="1040"/>
    </row>
    <row r="305" spans="2:15">
      <c r="B305" s="1041">
        <v>46560</v>
      </c>
      <c r="C305" s="1034" t="str">
        <f>CHOOSE(WEEKDAY(tblDias[[#This Row],[Fecha]],2),"lun","mar","mié","jue","vie","sáb","dom")</f>
        <v>mar</v>
      </c>
      <c r="D305" s="1039" t="s">
        <v>9256</v>
      </c>
      <c r="E305" s="1035">
        <f>COUNTIFS(tblConcentrado[Fecha],tblDias[[#This Row],[Fecha]])</f>
        <v>0</v>
      </c>
      <c r="F305" s="1035">
        <f t="shared" si="4"/>
        <v>24</v>
      </c>
      <c r="G305" s="1036">
        <f>IF(tblDias[[#This Row],[Horas esperadas]]=0,0,tblDias[[#This Row],[Horas cargadas]]/tblDias[[#This Row],[Horas esperadas]])</f>
        <v>0</v>
      </c>
      <c r="H305" s="1035" t="str">
        <f ca="1">IF(tblDias[[#This Row],[Fecha]]&gt;TODAY(),"Pendiente",IF(tblDias[[#This Row],[Horas cargadas]]=0,"Sin datos",IF(tblDias[[#This Row],[Horas cargadas]]&lt;tblDias[[#This Row],[Horas esperadas]],"Parcial","Completo")))</f>
        <v>Pendiente</v>
      </c>
      <c r="I305" s="1037">
        <f>COUNTIFS(tblRDO[Fecha],tblDias[[#This Row],[Fecha]])</f>
        <v>0</v>
      </c>
      <c r="J305" s="1038" t="str">
        <f ca="1">IF(tblDias[[#This Row],[Fecha]]&gt;TODAY(),"Pendiente",IF(tblDias[[#This Row],[Filas RDO]]=0,"Sin RDO","Cargado"))</f>
        <v>Pendiente</v>
      </c>
      <c r="K305" s="972">
        <f>COUNTIFS(tblControles[Fecha],tblDias[[#This Row],[Fecha]],tblControles[Turno],"&lt;&gt;Obs")</f>
        <v>0</v>
      </c>
      <c r="L305" s="971">
        <f>SUMIFS(tblParadas[Horas perdidas],tblParadas[Fecha],tblDias[[#This Row],[Fecha]])</f>
        <v>0</v>
      </c>
      <c r="M305" s="1040"/>
      <c r="N305" s="953"/>
      <c r="O305" s="1040"/>
    </row>
    <row r="306" spans="2:15">
      <c r="B306" s="1041">
        <v>46561</v>
      </c>
      <c r="C306" s="1034" t="str">
        <f>CHOOSE(WEEKDAY(tblDias[[#This Row],[Fecha]],2),"lun","mar","mié","jue","vie","sáb","dom")</f>
        <v>mié</v>
      </c>
      <c r="D306" s="1039" t="s">
        <v>9256</v>
      </c>
      <c r="E306" s="1035">
        <f>COUNTIFS(tblConcentrado[Fecha],tblDias[[#This Row],[Fecha]])</f>
        <v>0</v>
      </c>
      <c r="F306" s="1035">
        <f t="shared" si="4"/>
        <v>24</v>
      </c>
      <c r="G306" s="1036">
        <f>IF(tblDias[[#This Row],[Horas esperadas]]=0,0,tblDias[[#This Row],[Horas cargadas]]/tblDias[[#This Row],[Horas esperadas]])</f>
        <v>0</v>
      </c>
      <c r="H306" s="1035" t="str">
        <f ca="1">IF(tblDias[[#This Row],[Fecha]]&gt;TODAY(),"Pendiente",IF(tblDias[[#This Row],[Horas cargadas]]=0,"Sin datos",IF(tblDias[[#This Row],[Horas cargadas]]&lt;tblDias[[#This Row],[Horas esperadas]],"Parcial","Completo")))</f>
        <v>Pendiente</v>
      </c>
      <c r="I306" s="1037">
        <f>COUNTIFS(tblRDO[Fecha],tblDias[[#This Row],[Fecha]])</f>
        <v>0</v>
      </c>
      <c r="J306" s="1038" t="str">
        <f ca="1">IF(tblDias[[#This Row],[Fecha]]&gt;TODAY(),"Pendiente",IF(tblDias[[#This Row],[Filas RDO]]=0,"Sin RDO","Cargado"))</f>
        <v>Pendiente</v>
      </c>
      <c r="K306" s="972">
        <f>COUNTIFS(tblControles[Fecha],tblDias[[#This Row],[Fecha]],tblControles[Turno],"&lt;&gt;Obs")</f>
        <v>0</v>
      </c>
      <c r="L306" s="971">
        <f>SUMIFS(tblParadas[Horas perdidas],tblParadas[Fecha],tblDias[[#This Row],[Fecha]])</f>
        <v>0</v>
      </c>
      <c r="M306" s="1040"/>
      <c r="N306" s="953"/>
      <c r="O306" s="1040"/>
    </row>
    <row r="307" spans="2:15">
      <c r="B307" s="1041">
        <v>46562</v>
      </c>
      <c r="C307" s="1034" t="str">
        <f>CHOOSE(WEEKDAY(tblDias[[#This Row],[Fecha]],2),"lun","mar","mié","jue","vie","sáb","dom")</f>
        <v>jue</v>
      </c>
      <c r="D307" s="1039" t="s">
        <v>9256</v>
      </c>
      <c r="E307" s="1035">
        <f>COUNTIFS(tblConcentrado[Fecha],tblDias[[#This Row],[Fecha]])</f>
        <v>0</v>
      </c>
      <c r="F307" s="1035">
        <f t="shared" si="4"/>
        <v>24</v>
      </c>
      <c r="G307" s="1036">
        <f>IF(tblDias[[#This Row],[Horas esperadas]]=0,0,tblDias[[#This Row],[Horas cargadas]]/tblDias[[#This Row],[Horas esperadas]])</f>
        <v>0</v>
      </c>
      <c r="H307" s="1035" t="str">
        <f ca="1">IF(tblDias[[#This Row],[Fecha]]&gt;TODAY(),"Pendiente",IF(tblDias[[#This Row],[Horas cargadas]]=0,"Sin datos",IF(tblDias[[#This Row],[Horas cargadas]]&lt;tblDias[[#This Row],[Horas esperadas]],"Parcial","Completo")))</f>
        <v>Pendiente</v>
      </c>
      <c r="I307" s="1037">
        <f>COUNTIFS(tblRDO[Fecha],tblDias[[#This Row],[Fecha]])</f>
        <v>0</v>
      </c>
      <c r="J307" s="1038" t="str">
        <f ca="1">IF(tblDias[[#This Row],[Fecha]]&gt;TODAY(),"Pendiente",IF(tblDias[[#This Row],[Filas RDO]]=0,"Sin RDO","Cargado"))</f>
        <v>Pendiente</v>
      </c>
      <c r="K307" s="972">
        <f>COUNTIFS(tblControles[Fecha],tblDias[[#This Row],[Fecha]],tblControles[Turno],"&lt;&gt;Obs")</f>
        <v>0</v>
      </c>
      <c r="L307" s="971">
        <f>SUMIFS(tblParadas[Horas perdidas],tblParadas[Fecha],tblDias[[#This Row],[Fecha]])</f>
        <v>0</v>
      </c>
      <c r="M307" s="1040"/>
      <c r="N307" s="953"/>
      <c r="O307" s="1040"/>
    </row>
    <row r="308" spans="2:15">
      <c r="B308" s="1041">
        <v>46563</v>
      </c>
      <c r="C308" s="1034" t="str">
        <f>CHOOSE(WEEKDAY(tblDias[[#This Row],[Fecha]],2),"lun","mar","mié","jue","vie","sáb","dom")</f>
        <v>vie</v>
      </c>
      <c r="D308" s="1039" t="s">
        <v>9256</v>
      </c>
      <c r="E308" s="1035">
        <f>COUNTIFS(tblConcentrado[Fecha],tblDias[[#This Row],[Fecha]])</f>
        <v>0</v>
      </c>
      <c r="F308" s="1035">
        <f t="shared" si="4"/>
        <v>24</v>
      </c>
      <c r="G308" s="1036">
        <f>IF(tblDias[[#This Row],[Horas esperadas]]=0,0,tblDias[[#This Row],[Horas cargadas]]/tblDias[[#This Row],[Horas esperadas]])</f>
        <v>0</v>
      </c>
      <c r="H308" s="1035" t="str">
        <f ca="1">IF(tblDias[[#This Row],[Fecha]]&gt;TODAY(),"Pendiente",IF(tblDias[[#This Row],[Horas cargadas]]=0,"Sin datos",IF(tblDias[[#This Row],[Horas cargadas]]&lt;tblDias[[#This Row],[Horas esperadas]],"Parcial","Completo")))</f>
        <v>Pendiente</v>
      </c>
      <c r="I308" s="1037">
        <f>COUNTIFS(tblRDO[Fecha],tblDias[[#This Row],[Fecha]])</f>
        <v>0</v>
      </c>
      <c r="J308" s="1038" t="str">
        <f ca="1">IF(tblDias[[#This Row],[Fecha]]&gt;TODAY(),"Pendiente",IF(tblDias[[#This Row],[Filas RDO]]=0,"Sin RDO","Cargado"))</f>
        <v>Pendiente</v>
      </c>
      <c r="K308" s="972">
        <f>COUNTIFS(tblControles[Fecha],tblDias[[#This Row],[Fecha]],tblControles[Turno],"&lt;&gt;Obs")</f>
        <v>0</v>
      </c>
      <c r="L308" s="971">
        <f>SUMIFS(tblParadas[Horas perdidas],tblParadas[Fecha],tblDias[[#This Row],[Fecha]])</f>
        <v>0</v>
      </c>
      <c r="M308" s="1040"/>
      <c r="N308" s="953"/>
      <c r="O308" s="1040"/>
    </row>
    <row r="309" spans="2:15">
      <c r="B309" s="1041">
        <v>46564</v>
      </c>
      <c r="C309" s="1034" t="str">
        <f>CHOOSE(WEEKDAY(tblDias[[#This Row],[Fecha]],2),"lun","mar","mié","jue","vie","sáb","dom")</f>
        <v>sáb</v>
      </c>
      <c r="D309" s="1039" t="s">
        <v>9256</v>
      </c>
      <c r="E309" s="1035">
        <f>COUNTIFS(tblConcentrado[Fecha],tblDias[[#This Row],[Fecha]])</f>
        <v>0</v>
      </c>
      <c r="F309" s="1035">
        <f t="shared" si="4"/>
        <v>24</v>
      </c>
      <c r="G309" s="1036">
        <f>IF(tblDias[[#This Row],[Horas esperadas]]=0,0,tblDias[[#This Row],[Horas cargadas]]/tblDias[[#This Row],[Horas esperadas]])</f>
        <v>0</v>
      </c>
      <c r="H309" s="1035" t="str">
        <f ca="1">IF(tblDias[[#This Row],[Fecha]]&gt;TODAY(),"Pendiente",IF(tblDias[[#This Row],[Horas cargadas]]=0,"Sin datos",IF(tblDias[[#This Row],[Horas cargadas]]&lt;tblDias[[#This Row],[Horas esperadas]],"Parcial","Completo")))</f>
        <v>Pendiente</v>
      </c>
      <c r="I309" s="1037">
        <f>COUNTIFS(tblRDO[Fecha],tblDias[[#This Row],[Fecha]])</f>
        <v>0</v>
      </c>
      <c r="J309" s="1038" t="str">
        <f ca="1">IF(tblDias[[#This Row],[Fecha]]&gt;TODAY(),"Pendiente",IF(tblDias[[#This Row],[Filas RDO]]=0,"Sin RDO","Cargado"))</f>
        <v>Pendiente</v>
      </c>
      <c r="K309" s="972">
        <f>COUNTIFS(tblControles[Fecha],tblDias[[#This Row],[Fecha]],tblControles[Turno],"&lt;&gt;Obs")</f>
        <v>0</v>
      </c>
      <c r="L309" s="971">
        <f>SUMIFS(tblParadas[Horas perdidas],tblParadas[Fecha],tblDias[[#This Row],[Fecha]])</f>
        <v>0</v>
      </c>
      <c r="M309" s="1040"/>
      <c r="N309" s="953"/>
      <c r="O309" s="1040"/>
    </row>
    <row r="310" spans="2:15">
      <c r="B310" s="1041">
        <v>46565</v>
      </c>
      <c r="C310" s="1034" t="str">
        <f>CHOOSE(WEEKDAY(tblDias[[#This Row],[Fecha]],2),"lun","mar","mié","jue","vie","sáb","dom")</f>
        <v>dom</v>
      </c>
      <c r="D310" s="1039" t="s">
        <v>9256</v>
      </c>
      <c r="E310" s="1035">
        <f>COUNTIFS(tblConcentrado[Fecha],tblDias[[#This Row],[Fecha]])</f>
        <v>0</v>
      </c>
      <c r="F310" s="1035">
        <f t="shared" si="4"/>
        <v>24</v>
      </c>
      <c r="G310" s="1036">
        <f>IF(tblDias[[#This Row],[Horas esperadas]]=0,0,tblDias[[#This Row],[Horas cargadas]]/tblDias[[#This Row],[Horas esperadas]])</f>
        <v>0</v>
      </c>
      <c r="H310" s="1035" t="str">
        <f ca="1">IF(tblDias[[#This Row],[Fecha]]&gt;TODAY(),"Pendiente",IF(tblDias[[#This Row],[Horas cargadas]]=0,"Sin datos",IF(tblDias[[#This Row],[Horas cargadas]]&lt;tblDias[[#This Row],[Horas esperadas]],"Parcial","Completo")))</f>
        <v>Pendiente</v>
      </c>
      <c r="I310" s="1037">
        <f>COUNTIFS(tblRDO[Fecha],tblDias[[#This Row],[Fecha]])</f>
        <v>0</v>
      </c>
      <c r="J310" s="1038" t="str">
        <f ca="1">IF(tblDias[[#This Row],[Fecha]]&gt;TODAY(),"Pendiente",IF(tblDias[[#This Row],[Filas RDO]]=0,"Sin RDO","Cargado"))</f>
        <v>Pendiente</v>
      </c>
      <c r="K310" s="972">
        <f>COUNTIFS(tblControles[Fecha],tblDias[[#This Row],[Fecha]],tblControles[Turno],"&lt;&gt;Obs")</f>
        <v>0</v>
      </c>
      <c r="L310" s="971">
        <f>SUMIFS(tblParadas[Horas perdidas],tblParadas[Fecha],tblDias[[#This Row],[Fecha]])</f>
        <v>0</v>
      </c>
      <c r="M310" s="1040"/>
      <c r="N310" s="953"/>
      <c r="O310" s="1040"/>
    </row>
    <row r="311" spans="2:15">
      <c r="B311" s="1041">
        <v>46566</v>
      </c>
      <c r="C311" s="1034" t="str">
        <f>CHOOSE(WEEKDAY(tblDias[[#This Row],[Fecha]],2),"lun","mar","mié","jue","vie","sáb","dom")</f>
        <v>lun</v>
      </c>
      <c r="D311" s="1039" t="s">
        <v>9256</v>
      </c>
      <c r="E311" s="1035">
        <f>COUNTIFS(tblConcentrado[Fecha],tblDias[[#This Row],[Fecha]])</f>
        <v>0</v>
      </c>
      <c r="F311" s="1035">
        <f t="shared" si="4"/>
        <v>24</v>
      </c>
      <c r="G311" s="1036">
        <f>IF(tblDias[[#This Row],[Horas esperadas]]=0,0,tblDias[[#This Row],[Horas cargadas]]/tblDias[[#This Row],[Horas esperadas]])</f>
        <v>0</v>
      </c>
      <c r="H311" s="1035" t="str">
        <f ca="1">IF(tblDias[[#This Row],[Fecha]]&gt;TODAY(),"Pendiente",IF(tblDias[[#This Row],[Horas cargadas]]=0,"Sin datos",IF(tblDias[[#This Row],[Horas cargadas]]&lt;tblDias[[#This Row],[Horas esperadas]],"Parcial","Completo")))</f>
        <v>Pendiente</v>
      </c>
      <c r="I311" s="1037">
        <f>COUNTIFS(tblRDO[Fecha],tblDias[[#This Row],[Fecha]])</f>
        <v>0</v>
      </c>
      <c r="J311" s="1038" t="str">
        <f ca="1">IF(tblDias[[#This Row],[Fecha]]&gt;TODAY(),"Pendiente",IF(tblDias[[#This Row],[Filas RDO]]=0,"Sin RDO","Cargado"))</f>
        <v>Pendiente</v>
      </c>
      <c r="K311" s="972">
        <f>COUNTIFS(tblControles[Fecha],tblDias[[#This Row],[Fecha]],tblControles[Turno],"&lt;&gt;Obs")</f>
        <v>0</v>
      </c>
      <c r="L311" s="971">
        <f>SUMIFS(tblParadas[Horas perdidas],tblParadas[Fecha],tblDias[[#This Row],[Fecha]])</f>
        <v>0</v>
      </c>
      <c r="M311" s="1040"/>
      <c r="N311" s="953"/>
      <c r="O311" s="1040"/>
    </row>
    <row r="312" spans="2:15">
      <c r="B312" s="1041">
        <v>46567</v>
      </c>
      <c r="C312" s="1034" t="str">
        <f>CHOOSE(WEEKDAY(tblDias[[#This Row],[Fecha]],2),"lun","mar","mié","jue","vie","sáb","dom")</f>
        <v>mar</v>
      </c>
      <c r="D312" s="1039" t="s">
        <v>9256</v>
      </c>
      <c r="E312" s="1035">
        <f>COUNTIFS(tblConcentrado[Fecha],tblDias[[#This Row],[Fecha]])</f>
        <v>0</v>
      </c>
      <c r="F312" s="1035">
        <f t="shared" si="4"/>
        <v>24</v>
      </c>
      <c r="G312" s="1036">
        <f>IF(tblDias[[#This Row],[Horas esperadas]]=0,0,tblDias[[#This Row],[Horas cargadas]]/tblDias[[#This Row],[Horas esperadas]])</f>
        <v>0</v>
      </c>
      <c r="H312" s="1035" t="str">
        <f ca="1">IF(tblDias[[#This Row],[Fecha]]&gt;TODAY(),"Pendiente",IF(tblDias[[#This Row],[Horas cargadas]]=0,"Sin datos",IF(tblDias[[#This Row],[Horas cargadas]]&lt;tblDias[[#This Row],[Horas esperadas]],"Parcial","Completo")))</f>
        <v>Pendiente</v>
      </c>
      <c r="I312" s="1037">
        <f>COUNTIFS(tblRDO[Fecha],tblDias[[#This Row],[Fecha]])</f>
        <v>0</v>
      </c>
      <c r="J312" s="1038" t="str">
        <f ca="1">IF(tblDias[[#This Row],[Fecha]]&gt;TODAY(),"Pendiente",IF(tblDias[[#This Row],[Filas RDO]]=0,"Sin RDO","Cargado"))</f>
        <v>Pendiente</v>
      </c>
      <c r="K312" s="972">
        <f>COUNTIFS(tblControles[Fecha],tblDias[[#This Row],[Fecha]],tblControles[Turno],"&lt;&gt;Obs")</f>
        <v>0</v>
      </c>
      <c r="L312" s="971">
        <f>SUMIFS(tblParadas[Horas perdidas],tblParadas[Fecha],tblDias[[#This Row],[Fecha]])</f>
        <v>0</v>
      </c>
      <c r="M312" s="1040"/>
      <c r="N312" s="953"/>
      <c r="O312" s="1040"/>
    </row>
    <row r="313" spans="2:15">
      <c r="B313" s="1041">
        <v>46568</v>
      </c>
      <c r="C313" s="1034" t="str">
        <f>CHOOSE(WEEKDAY(tblDias[[#This Row],[Fecha]],2),"lun","mar","mié","jue","vie","sáb","dom")</f>
        <v>mié</v>
      </c>
      <c r="D313" s="1039" t="s">
        <v>9256</v>
      </c>
      <c r="E313" s="1035">
        <f>COUNTIFS(tblConcentrado[Fecha],tblDias[[#This Row],[Fecha]])</f>
        <v>0</v>
      </c>
      <c r="F313" s="1035">
        <f t="shared" si="4"/>
        <v>24</v>
      </c>
      <c r="G313" s="1036">
        <f>IF(tblDias[[#This Row],[Horas esperadas]]=0,0,tblDias[[#This Row],[Horas cargadas]]/tblDias[[#This Row],[Horas esperadas]])</f>
        <v>0</v>
      </c>
      <c r="H313" s="1035" t="str">
        <f ca="1">IF(tblDias[[#This Row],[Fecha]]&gt;TODAY(),"Pendiente",IF(tblDias[[#This Row],[Horas cargadas]]=0,"Sin datos",IF(tblDias[[#This Row],[Horas cargadas]]&lt;tblDias[[#This Row],[Horas esperadas]],"Parcial","Completo")))</f>
        <v>Pendiente</v>
      </c>
      <c r="I313" s="1037">
        <f>COUNTIFS(tblRDO[Fecha],tblDias[[#This Row],[Fecha]])</f>
        <v>0</v>
      </c>
      <c r="J313" s="1038" t="str">
        <f ca="1">IF(tblDias[[#This Row],[Fecha]]&gt;TODAY(),"Pendiente",IF(tblDias[[#This Row],[Filas RDO]]=0,"Sin RDO","Cargado"))</f>
        <v>Pendiente</v>
      </c>
      <c r="K313" s="972">
        <f>COUNTIFS(tblControles[Fecha],tblDias[[#This Row],[Fecha]],tblControles[Turno],"&lt;&gt;Obs")</f>
        <v>0</v>
      </c>
      <c r="L313" s="971">
        <f>SUMIFS(tblParadas[Horas perdidas],tblParadas[Fecha],tblDias[[#This Row],[Fecha]])</f>
        <v>0</v>
      </c>
      <c r="M313" s="1040"/>
      <c r="N313" s="953"/>
      <c r="O313" s="1040"/>
    </row>
    <row r="314" spans="2:15">
      <c r="B314" s="1041">
        <v>46569</v>
      </c>
      <c r="C314" s="1034" t="str">
        <f>CHOOSE(WEEKDAY(tblDias[[#This Row],[Fecha]],2),"lun","mar","mié","jue","vie","sáb","dom")</f>
        <v>jue</v>
      </c>
      <c r="D314" s="1039" t="s">
        <v>9256</v>
      </c>
      <c r="E314" s="1035">
        <f>COUNTIFS(tblConcentrado[Fecha],tblDias[[#This Row],[Fecha]])</f>
        <v>0</v>
      </c>
      <c r="F314" s="1035">
        <f t="shared" si="4"/>
        <v>24</v>
      </c>
      <c r="G314" s="1036">
        <f>IF(tblDias[[#This Row],[Horas esperadas]]=0,0,tblDias[[#This Row],[Horas cargadas]]/tblDias[[#This Row],[Horas esperadas]])</f>
        <v>0</v>
      </c>
      <c r="H314" s="1035" t="str">
        <f ca="1">IF(tblDias[[#This Row],[Fecha]]&gt;TODAY(),"Pendiente",IF(tblDias[[#This Row],[Horas cargadas]]=0,"Sin datos",IF(tblDias[[#This Row],[Horas cargadas]]&lt;tblDias[[#This Row],[Horas esperadas]],"Parcial","Completo")))</f>
        <v>Pendiente</v>
      </c>
      <c r="I314" s="1037">
        <f>COUNTIFS(tblRDO[Fecha],tblDias[[#This Row],[Fecha]])</f>
        <v>0</v>
      </c>
      <c r="J314" s="1038" t="str">
        <f ca="1">IF(tblDias[[#This Row],[Fecha]]&gt;TODAY(),"Pendiente",IF(tblDias[[#This Row],[Filas RDO]]=0,"Sin RDO","Cargado"))</f>
        <v>Pendiente</v>
      </c>
      <c r="K314" s="972">
        <f>COUNTIFS(tblControles[Fecha],tblDias[[#This Row],[Fecha]],tblControles[Turno],"&lt;&gt;Obs")</f>
        <v>0</v>
      </c>
      <c r="L314" s="971">
        <f>SUMIFS(tblParadas[Horas perdidas],tblParadas[Fecha],tblDias[[#This Row],[Fecha]])</f>
        <v>0</v>
      </c>
      <c r="M314" s="1040"/>
      <c r="N314" s="953"/>
      <c r="O314" s="1040"/>
    </row>
    <row r="315" spans="2:15">
      <c r="B315" s="1041">
        <v>46570</v>
      </c>
      <c r="C315" s="1034" t="str">
        <f>CHOOSE(WEEKDAY(tblDias[[#This Row],[Fecha]],2),"lun","mar","mié","jue","vie","sáb","dom")</f>
        <v>vie</v>
      </c>
      <c r="D315" s="1039" t="s">
        <v>9256</v>
      </c>
      <c r="E315" s="1035">
        <f>COUNTIFS(tblConcentrado[Fecha],tblDias[[#This Row],[Fecha]])</f>
        <v>0</v>
      </c>
      <c r="F315" s="1035">
        <f t="shared" si="4"/>
        <v>24</v>
      </c>
      <c r="G315" s="1036">
        <f>IF(tblDias[[#This Row],[Horas esperadas]]=0,0,tblDias[[#This Row],[Horas cargadas]]/tblDias[[#This Row],[Horas esperadas]])</f>
        <v>0</v>
      </c>
      <c r="H315" s="1035" t="str">
        <f ca="1">IF(tblDias[[#This Row],[Fecha]]&gt;TODAY(),"Pendiente",IF(tblDias[[#This Row],[Horas cargadas]]=0,"Sin datos",IF(tblDias[[#This Row],[Horas cargadas]]&lt;tblDias[[#This Row],[Horas esperadas]],"Parcial","Completo")))</f>
        <v>Pendiente</v>
      </c>
      <c r="I315" s="1037">
        <f>COUNTIFS(tblRDO[Fecha],tblDias[[#This Row],[Fecha]])</f>
        <v>0</v>
      </c>
      <c r="J315" s="1038" t="str">
        <f ca="1">IF(tblDias[[#This Row],[Fecha]]&gt;TODAY(),"Pendiente",IF(tblDias[[#This Row],[Filas RDO]]=0,"Sin RDO","Cargado"))</f>
        <v>Pendiente</v>
      </c>
      <c r="K315" s="972">
        <f>COUNTIFS(tblControles[Fecha],tblDias[[#This Row],[Fecha]],tblControles[Turno],"&lt;&gt;Obs")</f>
        <v>0</v>
      </c>
      <c r="L315" s="971">
        <f>SUMIFS(tblParadas[Horas perdidas],tblParadas[Fecha],tblDias[[#This Row],[Fecha]])</f>
        <v>0</v>
      </c>
      <c r="M315" s="1040"/>
      <c r="N315" s="953"/>
      <c r="O315" s="1040"/>
    </row>
    <row r="316" spans="2:15">
      <c r="B316" s="1041">
        <v>46571</v>
      </c>
      <c r="C316" s="1034" t="str">
        <f>CHOOSE(WEEKDAY(tblDias[[#This Row],[Fecha]],2),"lun","mar","mié","jue","vie","sáb","dom")</f>
        <v>sáb</v>
      </c>
      <c r="D316" s="1039" t="s">
        <v>9256</v>
      </c>
      <c r="E316" s="1035">
        <f>COUNTIFS(tblConcentrado[Fecha],tblDias[[#This Row],[Fecha]])</f>
        <v>0</v>
      </c>
      <c r="F316" s="1035">
        <f t="shared" si="4"/>
        <v>24</v>
      </c>
      <c r="G316" s="1036">
        <f>IF(tblDias[[#This Row],[Horas esperadas]]=0,0,tblDias[[#This Row],[Horas cargadas]]/tblDias[[#This Row],[Horas esperadas]])</f>
        <v>0</v>
      </c>
      <c r="H316" s="1035" t="str">
        <f ca="1">IF(tblDias[[#This Row],[Fecha]]&gt;TODAY(),"Pendiente",IF(tblDias[[#This Row],[Horas cargadas]]=0,"Sin datos",IF(tblDias[[#This Row],[Horas cargadas]]&lt;tblDias[[#This Row],[Horas esperadas]],"Parcial","Completo")))</f>
        <v>Pendiente</v>
      </c>
      <c r="I316" s="1037">
        <f>COUNTIFS(tblRDO[Fecha],tblDias[[#This Row],[Fecha]])</f>
        <v>0</v>
      </c>
      <c r="J316" s="1038" t="str">
        <f ca="1">IF(tblDias[[#This Row],[Fecha]]&gt;TODAY(),"Pendiente",IF(tblDias[[#This Row],[Filas RDO]]=0,"Sin RDO","Cargado"))</f>
        <v>Pendiente</v>
      </c>
      <c r="K316" s="972">
        <f>COUNTIFS(tblControles[Fecha],tblDias[[#This Row],[Fecha]],tblControles[Turno],"&lt;&gt;Obs")</f>
        <v>0</v>
      </c>
      <c r="L316" s="971">
        <f>SUMIFS(tblParadas[Horas perdidas],tblParadas[Fecha],tblDias[[#This Row],[Fecha]])</f>
        <v>0</v>
      </c>
      <c r="M316" s="1040"/>
      <c r="N316" s="953"/>
      <c r="O316" s="1040"/>
    </row>
    <row r="317" spans="2:15">
      <c r="B317" s="1041">
        <v>46572</v>
      </c>
      <c r="C317" s="1034" t="str">
        <f>CHOOSE(WEEKDAY(tblDias[[#This Row],[Fecha]],2),"lun","mar","mié","jue","vie","sáb","dom")</f>
        <v>dom</v>
      </c>
      <c r="D317" s="1039" t="s">
        <v>9256</v>
      </c>
      <c r="E317" s="1035">
        <f>COUNTIFS(tblConcentrado[Fecha],tblDias[[#This Row],[Fecha]])</f>
        <v>0</v>
      </c>
      <c r="F317" s="1035">
        <f t="shared" si="4"/>
        <v>24</v>
      </c>
      <c r="G317" s="1036">
        <f>IF(tblDias[[#This Row],[Horas esperadas]]=0,0,tblDias[[#This Row],[Horas cargadas]]/tblDias[[#This Row],[Horas esperadas]])</f>
        <v>0</v>
      </c>
      <c r="H317" s="1035" t="str">
        <f ca="1">IF(tblDias[[#This Row],[Fecha]]&gt;TODAY(),"Pendiente",IF(tblDias[[#This Row],[Horas cargadas]]=0,"Sin datos",IF(tblDias[[#This Row],[Horas cargadas]]&lt;tblDias[[#This Row],[Horas esperadas]],"Parcial","Completo")))</f>
        <v>Pendiente</v>
      </c>
      <c r="I317" s="1037">
        <f>COUNTIFS(tblRDO[Fecha],tblDias[[#This Row],[Fecha]])</f>
        <v>0</v>
      </c>
      <c r="J317" s="1038" t="str">
        <f ca="1">IF(tblDias[[#This Row],[Fecha]]&gt;TODAY(),"Pendiente",IF(tblDias[[#This Row],[Filas RDO]]=0,"Sin RDO","Cargado"))</f>
        <v>Pendiente</v>
      </c>
      <c r="K317" s="972">
        <f>COUNTIFS(tblControles[Fecha],tblDias[[#This Row],[Fecha]],tblControles[Turno],"&lt;&gt;Obs")</f>
        <v>0</v>
      </c>
      <c r="L317" s="971">
        <f>SUMIFS(tblParadas[Horas perdidas],tblParadas[Fecha],tblDias[[#This Row],[Fecha]])</f>
        <v>0</v>
      </c>
      <c r="M317" s="1040"/>
      <c r="N317" s="953"/>
      <c r="O317" s="1040"/>
    </row>
    <row r="318" spans="2:15">
      <c r="B318" s="1041">
        <v>46573</v>
      </c>
      <c r="C318" s="1034" t="str">
        <f>CHOOSE(WEEKDAY(tblDias[[#This Row],[Fecha]],2),"lun","mar","mié","jue","vie","sáb","dom")</f>
        <v>lun</v>
      </c>
      <c r="D318" s="1039" t="s">
        <v>9256</v>
      </c>
      <c r="E318" s="1035">
        <f>COUNTIFS(tblConcentrado[Fecha],tblDias[[#This Row],[Fecha]])</f>
        <v>0</v>
      </c>
      <c r="F318" s="1035">
        <f t="shared" si="4"/>
        <v>24</v>
      </c>
      <c r="G318" s="1036">
        <f>IF(tblDias[[#This Row],[Horas esperadas]]=0,0,tblDias[[#This Row],[Horas cargadas]]/tblDias[[#This Row],[Horas esperadas]])</f>
        <v>0</v>
      </c>
      <c r="H318" s="1035" t="str">
        <f ca="1">IF(tblDias[[#This Row],[Fecha]]&gt;TODAY(),"Pendiente",IF(tblDias[[#This Row],[Horas cargadas]]=0,"Sin datos",IF(tblDias[[#This Row],[Horas cargadas]]&lt;tblDias[[#This Row],[Horas esperadas]],"Parcial","Completo")))</f>
        <v>Pendiente</v>
      </c>
      <c r="I318" s="1037">
        <f>COUNTIFS(tblRDO[Fecha],tblDias[[#This Row],[Fecha]])</f>
        <v>0</v>
      </c>
      <c r="J318" s="1038" t="str">
        <f ca="1">IF(tblDias[[#This Row],[Fecha]]&gt;TODAY(),"Pendiente",IF(tblDias[[#This Row],[Filas RDO]]=0,"Sin RDO","Cargado"))</f>
        <v>Pendiente</v>
      </c>
      <c r="K318" s="972">
        <f>COUNTIFS(tblControles[Fecha],tblDias[[#This Row],[Fecha]],tblControles[Turno],"&lt;&gt;Obs")</f>
        <v>0</v>
      </c>
      <c r="L318" s="971">
        <f>SUMIFS(tblParadas[Horas perdidas],tblParadas[Fecha],tblDias[[#This Row],[Fecha]])</f>
        <v>0</v>
      </c>
      <c r="M318" s="1040"/>
      <c r="N318" s="953"/>
      <c r="O318" s="1040"/>
    </row>
    <row r="319" spans="2:15">
      <c r="B319" s="1041">
        <v>46574</v>
      </c>
      <c r="C319" s="1034" t="str">
        <f>CHOOSE(WEEKDAY(tblDias[[#This Row],[Fecha]],2),"lun","mar","mié","jue","vie","sáb","dom")</f>
        <v>mar</v>
      </c>
      <c r="D319" s="1039" t="s">
        <v>9256</v>
      </c>
      <c r="E319" s="1035">
        <f>COUNTIFS(tblConcentrado[Fecha],tblDias[[#This Row],[Fecha]])</f>
        <v>0</v>
      </c>
      <c r="F319" s="1035">
        <f t="shared" si="4"/>
        <v>24</v>
      </c>
      <c r="G319" s="1036">
        <f>IF(tblDias[[#This Row],[Horas esperadas]]=0,0,tblDias[[#This Row],[Horas cargadas]]/tblDias[[#This Row],[Horas esperadas]])</f>
        <v>0</v>
      </c>
      <c r="H319" s="1035" t="str">
        <f ca="1">IF(tblDias[[#This Row],[Fecha]]&gt;TODAY(),"Pendiente",IF(tblDias[[#This Row],[Horas cargadas]]=0,"Sin datos",IF(tblDias[[#This Row],[Horas cargadas]]&lt;tblDias[[#This Row],[Horas esperadas]],"Parcial","Completo")))</f>
        <v>Pendiente</v>
      </c>
      <c r="I319" s="1037">
        <f>COUNTIFS(tblRDO[Fecha],tblDias[[#This Row],[Fecha]])</f>
        <v>0</v>
      </c>
      <c r="J319" s="1038" t="str">
        <f ca="1">IF(tblDias[[#This Row],[Fecha]]&gt;TODAY(),"Pendiente",IF(tblDias[[#This Row],[Filas RDO]]=0,"Sin RDO","Cargado"))</f>
        <v>Pendiente</v>
      </c>
      <c r="K319" s="972">
        <f>COUNTIFS(tblControles[Fecha],tblDias[[#This Row],[Fecha]],tblControles[Turno],"&lt;&gt;Obs")</f>
        <v>0</v>
      </c>
      <c r="L319" s="971">
        <f>SUMIFS(tblParadas[Horas perdidas],tblParadas[Fecha],tblDias[[#This Row],[Fecha]])</f>
        <v>0</v>
      </c>
      <c r="M319" s="1040"/>
      <c r="N319" s="953"/>
      <c r="O319" s="1040"/>
    </row>
    <row r="320" spans="2:15">
      <c r="B320" s="1041">
        <v>46575</v>
      </c>
      <c r="C320" s="1034" t="str">
        <f>CHOOSE(WEEKDAY(tblDias[[#This Row],[Fecha]],2),"lun","mar","mié","jue","vie","sáb","dom")</f>
        <v>mié</v>
      </c>
      <c r="D320" s="1039" t="s">
        <v>9256</v>
      </c>
      <c r="E320" s="1035">
        <f>COUNTIFS(tblConcentrado[Fecha],tblDias[[#This Row],[Fecha]])</f>
        <v>0</v>
      </c>
      <c r="F320" s="1035">
        <f t="shared" si="4"/>
        <v>24</v>
      </c>
      <c r="G320" s="1036">
        <f>IF(tblDias[[#This Row],[Horas esperadas]]=0,0,tblDias[[#This Row],[Horas cargadas]]/tblDias[[#This Row],[Horas esperadas]])</f>
        <v>0</v>
      </c>
      <c r="H320" s="1035" t="str">
        <f ca="1">IF(tblDias[[#This Row],[Fecha]]&gt;TODAY(),"Pendiente",IF(tblDias[[#This Row],[Horas cargadas]]=0,"Sin datos",IF(tblDias[[#This Row],[Horas cargadas]]&lt;tblDias[[#This Row],[Horas esperadas]],"Parcial","Completo")))</f>
        <v>Pendiente</v>
      </c>
      <c r="I320" s="1037">
        <f>COUNTIFS(tblRDO[Fecha],tblDias[[#This Row],[Fecha]])</f>
        <v>0</v>
      </c>
      <c r="J320" s="1038" t="str">
        <f ca="1">IF(tblDias[[#This Row],[Fecha]]&gt;TODAY(),"Pendiente",IF(tblDias[[#This Row],[Filas RDO]]=0,"Sin RDO","Cargado"))</f>
        <v>Pendiente</v>
      </c>
      <c r="K320" s="972">
        <f>COUNTIFS(tblControles[Fecha],tblDias[[#This Row],[Fecha]],tblControles[Turno],"&lt;&gt;Obs")</f>
        <v>0</v>
      </c>
      <c r="L320" s="971">
        <f>SUMIFS(tblParadas[Horas perdidas],tblParadas[Fecha],tblDias[[#This Row],[Fecha]])</f>
        <v>0</v>
      </c>
      <c r="M320" s="1040"/>
      <c r="N320" s="953"/>
      <c r="O320" s="1040"/>
    </row>
    <row r="321" spans="2:15">
      <c r="B321" s="1041">
        <v>46576</v>
      </c>
      <c r="C321" s="1034" t="str">
        <f>CHOOSE(WEEKDAY(tblDias[[#This Row],[Fecha]],2),"lun","mar","mié","jue","vie","sáb","dom")</f>
        <v>jue</v>
      </c>
      <c r="D321" s="1039" t="s">
        <v>9256</v>
      </c>
      <c r="E321" s="1035">
        <f>COUNTIFS(tblConcentrado[Fecha],tblDias[[#This Row],[Fecha]])</f>
        <v>0</v>
      </c>
      <c r="F321" s="1035">
        <f t="shared" si="4"/>
        <v>24</v>
      </c>
      <c r="G321" s="1036">
        <f>IF(tblDias[[#This Row],[Horas esperadas]]=0,0,tblDias[[#This Row],[Horas cargadas]]/tblDias[[#This Row],[Horas esperadas]])</f>
        <v>0</v>
      </c>
      <c r="H321" s="1035" t="str">
        <f ca="1">IF(tblDias[[#This Row],[Fecha]]&gt;TODAY(),"Pendiente",IF(tblDias[[#This Row],[Horas cargadas]]=0,"Sin datos",IF(tblDias[[#This Row],[Horas cargadas]]&lt;tblDias[[#This Row],[Horas esperadas]],"Parcial","Completo")))</f>
        <v>Pendiente</v>
      </c>
      <c r="I321" s="1037">
        <f>COUNTIFS(tblRDO[Fecha],tblDias[[#This Row],[Fecha]])</f>
        <v>0</v>
      </c>
      <c r="J321" s="1038" t="str">
        <f ca="1">IF(tblDias[[#This Row],[Fecha]]&gt;TODAY(),"Pendiente",IF(tblDias[[#This Row],[Filas RDO]]=0,"Sin RDO","Cargado"))</f>
        <v>Pendiente</v>
      </c>
      <c r="K321" s="972">
        <f>COUNTIFS(tblControles[Fecha],tblDias[[#This Row],[Fecha]],tblControles[Turno],"&lt;&gt;Obs")</f>
        <v>0</v>
      </c>
      <c r="L321" s="971">
        <f>SUMIFS(tblParadas[Horas perdidas],tblParadas[Fecha],tblDias[[#This Row],[Fecha]])</f>
        <v>0</v>
      </c>
      <c r="M321" s="1040"/>
      <c r="N321" s="953"/>
      <c r="O321" s="1040"/>
    </row>
    <row r="322" spans="2:15">
      <c r="B322" s="1041">
        <v>46577</v>
      </c>
      <c r="C322" s="1034" t="str">
        <f>CHOOSE(WEEKDAY(tblDias[[#This Row],[Fecha]],2),"lun","mar","mié","jue","vie","sáb","dom")</f>
        <v>vie</v>
      </c>
      <c r="D322" s="1039" t="s">
        <v>9256</v>
      </c>
      <c r="E322" s="1035">
        <f>COUNTIFS(tblConcentrado[Fecha],tblDias[[#This Row],[Fecha]])</f>
        <v>0</v>
      </c>
      <c r="F322" s="1035">
        <f t="shared" si="4"/>
        <v>24</v>
      </c>
      <c r="G322" s="1036">
        <f>IF(tblDias[[#This Row],[Horas esperadas]]=0,0,tblDias[[#This Row],[Horas cargadas]]/tblDias[[#This Row],[Horas esperadas]])</f>
        <v>0</v>
      </c>
      <c r="H322" s="1035" t="str">
        <f ca="1">IF(tblDias[[#This Row],[Fecha]]&gt;TODAY(),"Pendiente",IF(tblDias[[#This Row],[Horas cargadas]]=0,"Sin datos",IF(tblDias[[#This Row],[Horas cargadas]]&lt;tblDias[[#This Row],[Horas esperadas]],"Parcial","Completo")))</f>
        <v>Pendiente</v>
      </c>
      <c r="I322" s="1037">
        <f>COUNTIFS(tblRDO[Fecha],tblDias[[#This Row],[Fecha]])</f>
        <v>0</v>
      </c>
      <c r="J322" s="1038" t="str">
        <f ca="1">IF(tblDias[[#This Row],[Fecha]]&gt;TODAY(),"Pendiente",IF(tblDias[[#This Row],[Filas RDO]]=0,"Sin RDO","Cargado"))</f>
        <v>Pendiente</v>
      </c>
      <c r="K322" s="972">
        <f>COUNTIFS(tblControles[Fecha],tblDias[[#This Row],[Fecha]],tblControles[Turno],"&lt;&gt;Obs")</f>
        <v>0</v>
      </c>
      <c r="L322" s="971">
        <f>SUMIFS(tblParadas[Horas perdidas],tblParadas[Fecha],tblDias[[#This Row],[Fecha]])</f>
        <v>0</v>
      </c>
      <c r="M322" s="1040"/>
      <c r="N322" s="953"/>
      <c r="O322" s="1040"/>
    </row>
    <row r="323" spans="2:15">
      <c r="B323" s="1041">
        <v>46578</v>
      </c>
      <c r="C323" s="1034" t="str">
        <f>CHOOSE(WEEKDAY(tblDias[[#This Row],[Fecha]],2),"lun","mar","mié","jue","vie","sáb","dom")</f>
        <v>sáb</v>
      </c>
      <c r="D323" s="1039" t="s">
        <v>9256</v>
      </c>
      <c r="E323" s="1035">
        <f>COUNTIFS(tblConcentrado[Fecha],tblDias[[#This Row],[Fecha]])</f>
        <v>0</v>
      </c>
      <c r="F323" s="1035">
        <f t="shared" si="4"/>
        <v>24</v>
      </c>
      <c r="G323" s="1036">
        <f>IF(tblDias[[#This Row],[Horas esperadas]]=0,0,tblDias[[#This Row],[Horas cargadas]]/tblDias[[#This Row],[Horas esperadas]])</f>
        <v>0</v>
      </c>
      <c r="H323" s="1035" t="str">
        <f ca="1">IF(tblDias[[#This Row],[Fecha]]&gt;TODAY(),"Pendiente",IF(tblDias[[#This Row],[Horas cargadas]]=0,"Sin datos",IF(tblDias[[#This Row],[Horas cargadas]]&lt;tblDias[[#This Row],[Horas esperadas]],"Parcial","Completo")))</f>
        <v>Pendiente</v>
      </c>
      <c r="I323" s="1037">
        <f>COUNTIFS(tblRDO[Fecha],tblDias[[#This Row],[Fecha]])</f>
        <v>0</v>
      </c>
      <c r="J323" s="1038" t="str">
        <f ca="1">IF(tblDias[[#This Row],[Fecha]]&gt;TODAY(),"Pendiente",IF(tblDias[[#This Row],[Filas RDO]]=0,"Sin RDO","Cargado"))</f>
        <v>Pendiente</v>
      </c>
      <c r="K323" s="972">
        <f>COUNTIFS(tblControles[Fecha],tblDias[[#This Row],[Fecha]],tblControles[Turno],"&lt;&gt;Obs")</f>
        <v>0</v>
      </c>
      <c r="L323" s="971">
        <f>SUMIFS(tblParadas[Horas perdidas],tblParadas[Fecha],tblDias[[#This Row],[Fecha]])</f>
        <v>0</v>
      </c>
      <c r="M323" s="1040"/>
      <c r="N323" s="953"/>
      <c r="O323" s="1040"/>
    </row>
    <row r="324" spans="2:15">
      <c r="B324" s="1041">
        <v>46579</v>
      </c>
      <c r="C324" s="1034" t="str">
        <f>CHOOSE(WEEKDAY(tblDias[[#This Row],[Fecha]],2),"lun","mar","mié","jue","vie","sáb","dom")</f>
        <v>dom</v>
      </c>
      <c r="D324" s="1039" t="s">
        <v>9256</v>
      </c>
      <c r="E324" s="1035">
        <f>COUNTIFS(tblConcentrado[Fecha],tblDias[[#This Row],[Fecha]])</f>
        <v>0</v>
      </c>
      <c r="F324" s="1035">
        <f t="shared" si="4"/>
        <v>24</v>
      </c>
      <c r="G324" s="1036">
        <f>IF(tblDias[[#This Row],[Horas esperadas]]=0,0,tblDias[[#This Row],[Horas cargadas]]/tblDias[[#This Row],[Horas esperadas]])</f>
        <v>0</v>
      </c>
      <c r="H324" s="1035" t="str">
        <f ca="1">IF(tblDias[[#This Row],[Fecha]]&gt;TODAY(),"Pendiente",IF(tblDias[[#This Row],[Horas cargadas]]=0,"Sin datos",IF(tblDias[[#This Row],[Horas cargadas]]&lt;tblDias[[#This Row],[Horas esperadas]],"Parcial","Completo")))</f>
        <v>Pendiente</v>
      </c>
      <c r="I324" s="1037">
        <f>COUNTIFS(tblRDO[Fecha],tblDias[[#This Row],[Fecha]])</f>
        <v>0</v>
      </c>
      <c r="J324" s="1038" t="str">
        <f ca="1">IF(tblDias[[#This Row],[Fecha]]&gt;TODAY(),"Pendiente",IF(tblDias[[#This Row],[Filas RDO]]=0,"Sin RDO","Cargado"))</f>
        <v>Pendiente</v>
      </c>
      <c r="K324" s="972">
        <f>COUNTIFS(tblControles[Fecha],tblDias[[#This Row],[Fecha]],tblControles[Turno],"&lt;&gt;Obs")</f>
        <v>0</v>
      </c>
      <c r="L324" s="971">
        <f>SUMIFS(tblParadas[Horas perdidas],tblParadas[Fecha],tblDias[[#This Row],[Fecha]])</f>
        <v>0</v>
      </c>
      <c r="M324" s="1040"/>
      <c r="N324" s="953"/>
      <c r="O324" s="1040"/>
    </row>
    <row r="325" spans="2:15">
      <c r="B325" s="1041">
        <v>46580</v>
      </c>
      <c r="C325" s="1034" t="str">
        <f>CHOOSE(WEEKDAY(tblDias[[#This Row],[Fecha]],2),"lun","mar","mié","jue","vie","sáb","dom")</f>
        <v>lun</v>
      </c>
      <c r="D325" s="1039" t="s">
        <v>9256</v>
      </c>
      <c r="E325" s="1035">
        <f>COUNTIFS(tblConcentrado[Fecha],tblDias[[#This Row],[Fecha]])</f>
        <v>0</v>
      </c>
      <c r="F325" s="1035">
        <f t="shared" si="4"/>
        <v>24</v>
      </c>
      <c r="G325" s="1036">
        <f>IF(tblDias[[#This Row],[Horas esperadas]]=0,0,tblDias[[#This Row],[Horas cargadas]]/tblDias[[#This Row],[Horas esperadas]])</f>
        <v>0</v>
      </c>
      <c r="H325" s="1035" t="str">
        <f ca="1">IF(tblDias[[#This Row],[Fecha]]&gt;TODAY(),"Pendiente",IF(tblDias[[#This Row],[Horas cargadas]]=0,"Sin datos",IF(tblDias[[#This Row],[Horas cargadas]]&lt;tblDias[[#This Row],[Horas esperadas]],"Parcial","Completo")))</f>
        <v>Pendiente</v>
      </c>
      <c r="I325" s="1037">
        <f>COUNTIFS(tblRDO[Fecha],tblDias[[#This Row],[Fecha]])</f>
        <v>0</v>
      </c>
      <c r="J325" s="1038" t="str">
        <f ca="1">IF(tblDias[[#This Row],[Fecha]]&gt;TODAY(),"Pendiente",IF(tblDias[[#This Row],[Filas RDO]]=0,"Sin RDO","Cargado"))</f>
        <v>Pendiente</v>
      </c>
      <c r="K325" s="972">
        <f>COUNTIFS(tblControles[Fecha],tblDias[[#This Row],[Fecha]],tblControles[Turno],"&lt;&gt;Obs")</f>
        <v>0</v>
      </c>
      <c r="L325" s="971">
        <f>SUMIFS(tblParadas[Horas perdidas],tblParadas[Fecha],tblDias[[#This Row],[Fecha]])</f>
        <v>0</v>
      </c>
      <c r="M325" s="1040"/>
      <c r="N325" s="953"/>
      <c r="O325" s="1040"/>
    </row>
    <row r="326" spans="2:15">
      <c r="B326" s="1041">
        <v>46581</v>
      </c>
      <c r="C326" s="1034" t="str">
        <f>CHOOSE(WEEKDAY(tblDias[[#This Row],[Fecha]],2),"lun","mar","mié","jue","vie","sáb","dom")</f>
        <v>mar</v>
      </c>
      <c r="D326" s="1039" t="s">
        <v>9256</v>
      </c>
      <c r="E326" s="1035">
        <f>COUNTIFS(tblConcentrado[Fecha],tblDias[[#This Row],[Fecha]])</f>
        <v>0</v>
      </c>
      <c r="F326" s="1035">
        <f t="shared" si="4"/>
        <v>24</v>
      </c>
      <c r="G326" s="1036">
        <f>IF(tblDias[[#This Row],[Horas esperadas]]=0,0,tblDias[[#This Row],[Horas cargadas]]/tblDias[[#This Row],[Horas esperadas]])</f>
        <v>0</v>
      </c>
      <c r="H326" s="1035" t="str">
        <f ca="1">IF(tblDias[[#This Row],[Fecha]]&gt;TODAY(),"Pendiente",IF(tblDias[[#This Row],[Horas cargadas]]=0,"Sin datos",IF(tblDias[[#This Row],[Horas cargadas]]&lt;tblDias[[#This Row],[Horas esperadas]],"Parcial","Completo")))</f>
        <v>Pendiente</v>
      </c>
      <c r="I326" s="1037">
        <f>COUNTIFS(tblRDO[Fecha],tblDias[[#This Row],[Fecha]])</f>
        <v>0</v>
      </c>
      <c r="J326" s="1038" t="str">
        <f ca="1">IF(tblDias[[#This Row],[Fecha]]&gt;TODAY(),"Pendiente",IF(tblDias[[#This Row],[Filas RDO]]=0,"Sin RDO","Cargado"))</f>
        <v>Pendiente</v>
      </c>
      <c r="K326" s="972">
        <f>COUNTIFS(tblControles[Fecha],tblDias[[#This Row],[Fecha]],tblControles[Turno],"&lt;&gt;Obs")</f>
        <v>0</v>
      </c>
      <c r="L326" s="971">
        <f>SUMIFS(tblParadas[Horas perdidas],tblParadas[Fecha],tblDias[[#This Row],[Fecha]])</f>
        <v>0</v>
      </c>
      <c r="M326" s="1040"/>
      <c r="N326" s="953"/>
      <c r="O326" s="1040"/>
    </row>
    <row r="327" spans="2:15">
      <c r="B327" s="1041">
        <v>46582</v>
      </c>
      <c r="C327" s="1034" t="str">
        <f>CHOOSE(WEEKDAY(tblDias[[#This Row],[Fecha]],2),"lun","mar","mié","jue","vie","sáb","dom")</f>
        <v>mié</v>
      </c>
      <c r="D327" s="1039" t="s">
        <v>9256</v>
      </c>
      <c r="E327" s="1035">
        <f>COUNTIFS(tblConcentrado[Fecha],tblDias[[#This Row],[Fecha]])</f>
        <v>0</v>
      </c>
      <c r="F327" s="1035">
        <f t="shared" si="4"/>
        <v>24</v>
      </c>
      <c r="G327" s="1036">
        <f>IF(tblDias[[#This Row],[Horas esperadas]]=0,0,tblDias[[#This Row],[Horas cargadas]]/tblDias[[#This Row],[Horas esperadas]])</f>
        <v>0</v>
      </c>
      <c r="H327" s="1035" t="str">
        <f ca="1">IF(tblDias[[#This Row],[Fecha]]&gt;TODAY(),"Pendiente",IF(tblDias[[#This Row],[Horas cargadas]]=0,"Sin datos",IF(tblDias[[#This Row],[Horas cargadas]]&lt;tblDias[[#This Row],[Horas esperadas]],"Parcial","Completo")))</f>
        <v>Pendiente</v>
      </c>
      <c r="I327" s="1037">
        <f>COUNTIFS(tblRDO[Fecha],tblDias[[#This Row],[Fecha]])</f>
        <v>0</v>
      </c>
      <c r="J327" s="1038" t="str">
        <f ca="1">IF(tblDias[[#This Row],[Fecha]]&gt;TODAY(),"Pendiente",IF(tblDias[[#This Row],[Filas RDO]]=0,"Sin RDO","Cargado"))</f>
        <v>Pendiente</v>
      </c>
      <c r="K327" s="972">
        <f>COUNTIFS(tblControles[Fecha],tblDias[[#This Row],[Fecha]],tblControles[Turno],"&lt;&gt;Obs")</f>
        <v>0</v>
      </c>
      <c r="L327" s="971">
        <f>SUMIFS(tblParadas[Horas perdidas],tblParadas[Fecha],tblDias[[#This Row],[Fecha]])</f>
        <v>0</v>
      </c>
      <c r="M327" s="1040"/>
      <c r="N327" s="953"/>
      <c r="O327" s="1040"/>
    </row>
    <row r="328" spans="2:15">
      <c r="B328" s="1041">
        <v>46583</v>
      </c>
      <c r="C328" s="1034" t="str">
        <f>CHOOSE(WEEKDAY(tblDias[[#This Row],[Fecha]],2),"lun","mar","mié","jue","vie","sáb","dom")</f>
        <v>jue</v>
      </c>
      <c r="D328" s="1039" t="s">
        <v>9256</v>
      </c>
      <c r="E328" s="1035">
        <f>COUNTIFS(tblConcentrado[Fecha],tblDias[[#This Row],[Fecha]])</f>
        <v>0</v>
      </c>
      <c r="F328" s="1035">
        <f t="shared" si="4"/>
        <v>24</v>
      </c>
      <c r="G328" s="1036">
        <f>IF(tblDias[[#This Row],[Horas esperadas]]=0,0,tblDias[[#This Row],[Horas cargadas]]/tblDias[[#This Row],[Horas esperadas]])</f>
        <v>0</v>
      </c>
      <c r="H328" s="1035" t="str">
        <f ca="1">IF(tblDias[[#This Row],[Fecha]]&gt;TODAY(),"Pendiente",IF(tblDias[[#This Row],[Horas cargadas]]=0,"Sin datos",IF(tblDias[[#This Row],[Horas cargadas]]&lt;tblDias[[#This Row],[Horas esperadas]],"Parcial","Completo")))</f>
        <v>Pendiente</v>
      </c>
      <c r="I328" s="1037">
        <f>COUNTIFS(tblRDO[Fecha],tblDias[[#This Row],[Fecha]])</f>
        <v>0</v>
      </c>
      <c r="J328" s="1038" t="str">
        <f ca="1">IF(tblDias[[#This Row],[Fecha]]&gt;TODAY(),"Pendiente",IF(tblDias[[#This Row],[Filas RDO]]=0,"Sin RDO","Cargado"))</f>
        <v>Pendiente</v>
      </c>
      <c r="K328" s="972">
        <f>COUNTIFS(tblControles[Fecha],tblDias[[#This Row],[Fecha]],tblControles[Turno],"&lt;&gt;Obs")</f>
        <v>0</v>
      </c>
      <c r="L328" s="971">
        <f>SUMIFS(tblParadas[Horas perdidas],tblParadas[Fecha],tblDias[[#This Row],[Fecha]])</f>
        <v>0</v>
      </c>
      <c r="M328" s="1040"/>
      <c r="N328" s="953"/>
      <c r="O328" s="1040"/>
    </row>
    <row r="329" spans="2:15">
      <c r="B329" s="1041">
        <v>46584</v>
      </c>
      <c r="C329" s="1034" t="str">
        <f>CHOOSE(WEEKDAY(tblDias[[#This Row],[Fecha]],2),"lun","mar","mié","jue","vie","sáb","dom")</f>
        <v>vie</v>
      </c>
      <c r="D329" s="1039" t="s">
        <v>9256</v>
      </c>
      <c r="E329" s="1035">
        <f>COUNTIFS(tblConcentrado[Fecha],tblDias[[#This Row],[Fecha]])</f>
        <v>0</v>
      </c>
      <c r="F329" s="1035">
        <f t="shared" si="4"/>
        <v>24</v>
      </c>
      <c r="G329" s="1036">
        <f>IF(tblDias[[#This Row],[Horas esperadas]]=0,0,tblDias[[#This Row],[Horas cargadas]]/tblDias[[#This Row],[Horas esperadas]])</f>
        <v>0</v>
      </c>
      <c r="H329" s="1035" t="str">
        <f ca="1">IF(tblDias[[#This Row],[Fecha]]&gt;TODAY(),"Pendiente",IF(tblDias[[#This Row],[Horas cargadas]]=0,"Sin datos",IF(tblDias[[#This Row],[Horas cargadas]]&lt;tblDias[[#This Row],[Horas esperadas]],"Parcial","Completo")))</f>
        <v>Pendiente</v>
      </c>
      <c r="I329" s="1037">
        <f>COUNTIFS(tblRDO[Fecha],tblDias[[#This Row],[Fecha]])</f>
        <v>0</v>
      </c>
      <c r="J329" s="1038" t="str">
        <f ca="1">IF(tblDias[[#This Row],[Fecha]]&gt;TODAY(),"Pendiente",IF(tblDias[[#This Row],[Filas RDO]]=0,"Sin RDO","Cargado"))</f>
        <v>Pendiente</v>
      </c>
      <c r="K329" s="972">
        <f>COUNTIFS(tblControles[Fecha],tblDias[[#This Row],[Fecha]],tblControles[Turno],"&lt;&gt;Obs")</f>
        <v>0</v>
      </c>
      <c r="L329" s="971">
        <f>SUMIFS(tblParadas[Horas perdidas],tblParadas[Fecha],tblDias[[#This Row],[Fecha]])</f>
        <v>0</v>
      </c>
      <c r="M329" s="1040"/>
      <c r="N329" s="953"/>
      <c r="O329" s="1040"/>
    </row>
    <row r="330" spans="2:15">
      <c r="B330" s="1041">
        <v>46585</v>
      </c>
      <c r="C330" s="1034" t="str">
        <f>CHOOSE(WEEKDAY(tblDias[[#This Row],[Fecha]],2),"lun","mar","mié","jue","vie","sáb","dom")</f>
        <v>sáb</v>
      </c>
      <c r="D330" s="1039" t="s">
        <v>9256</v>
      </c>
      <c r="E330" s="1035">
        <f>COUNTIFS(tblConcentrado[Fecha],tblDias[[#This Row],[Fecha]])</f>
        <v>0</v>
      </c>
      <c r="F330" s="1035">
        <f t="shared" si="4"/>
        <v>24</v>
      </c>
      <c r="G330" s="1036">
        <f>IF(tblDias[[#This Row],[Horas esperadas]]=0,0,tblDias[[#This Row],[Horas cargadas]]/tblDias[[#This Row],[Horas esperadas]])</f>
        <v>0</v>
      </c>
      <c r="H330" s="1035" t="str">
        <f ca="1">IF(tblDias[[#This Row],[Fecha]]&gt;TODAY(),"Pendiente",IF(tblDias[[#This Row],[Horas cargadas]]=0,"Sin datos",IF(tblDias[[#This Row],[Horas cargadas]]&lt;tblDias[[#This Row],[Horas esperadas]],"Parcial","Completo")))</f>
        <v>Pendiente</v>
      </c>
      <c r="I330" s="1037">
        <f>COUNTIFS(tblRDO[Fecha],tblDias[[#This Row],[Fecha]])</f>
        <v>0</v>
      </c>
      <c r="J330" s="1038" t="str">
        <f ca="1">IF(tblDias[[#This Row],[Fecha]]&gt;TODAY(),"Pendiente",IF(tblDias[[#This Row],[Filas RDO]]=0,"Sin RDO","Cargado"))</f>
        <v>Pendiente</v>
      </c>
      <c r="K330" s="972">
        <f>COUNTIFS(tblControles[Fecha],tblDias[[#This Row],[Fecha]],tblControles[Turno],"&lt;&gt;Obs")</f>
        <v>0</v>
      </c>
      <c r="L330" s="971">
        <f>SUMIFS(tblParadas[Horas perdidas],tblParadas[Fecha],tblDias[[#This Row],[Fecha]])</f>
        <v>0</v>
      </c>
      <c r="M330" s="1040"/>
      <c r="N330" s="953"/>
      <c r="O330" s="1040"/>
    </row>
    <row r="331" spans="2:15">
      <c r="B331" s="1041">
        <v>46586</v>
      </c>
      <c r="C331" s="1034" t="str">
        <f>CHOOSE(WEEKDAY(tblDias[[#This Row],[Fecha]],2),"lun","mar","mié","jue","vie","sáb","dom")</f>
        <v>dom</v>
      </c>
      <c r="D331" s="1039" t="s">
        <v>9256</v>
      </c>
      <c r="E331" s="1035">
        <f>COUNTIFS(tblConcentrado[Fecha],tblDias[[#This Row],[Fecha]])</f>
        <v>0</v>
      </c>
      <c r="F331" s="1035">
        <f t="shared" ref="F331:F394" si="5">CFG_HORAS</f>
        <v>24</v>
      </c>
      <c r="G331" s="1036">
        <f>IF(tblDias[[#This Row],[Horas esperadas]]=0,0,tblDias[[#This Row],[Horas cargadas]]/tblDias[[#This Row],[Horas esperadas]])</f>
        <v>0</v>
      </c>
      <c r="H331" s="1035" t="str">
        <f ca="1">IF(tblDias[[#This Row],[Fecha]]&gt;TODAY(),"Pendiente",IF(tblDias[[#This Row],[Horas cargadas]]=0,"Sin datos",IF(tblDias[[#This Row],[Horas cargadas]]&lt;tblDias[[#This Row],[Horas esperadas]],"Parcial","Completo")))</f>
        <v>Pendiente</v>
      </c>
      <c r="I331" s="1037">
        <f>COUNTIFS(tblRDO[Fecha],tblDias[[#This Row],[Fecha]])</f>
        <v>0</v>
      </c>
      <c r="J331" s="1038" t="str">
        <f ca="1">IF(tblDias[[#This Row],[Fecha]]&gt;TODAY(),"Pendiente",IF(tblDias[[#This Row],[Filas RDO]]=0,"Sin RDO","Cargado"))</f>
        <v>Pendiente</v>
      </c>
      <c r="K331" s="972">
        <f>COUNTIFS(tblControles[Fecha],tblDias[[#This Row],[Fecha]],tblControles[Turno],"&lt;&gt;Obs")</f>
        <v>0</v>
      </c>
      <c r="L331" s="971">
        <f>SUMIFS(tblParadas[Horas perdidas],tblParadas[Fecha],tblDias[[#This Row],[Fecha]])</f>
        <v>0</v>
      </c>
      <c r="M331" s="1040"/>
      <c r="N331" s="953"/>
      <c r="O331" s="1040"/>
    </row>
    <row r="332" spans="2:15">
      <c r="B332" s="1041">
        <v>46587</v>
      </c>
      <c r="C332" s="1034" t="str">
        <f>CHOOSE(WEEKDAY(tblDias[[#This Row],[Fecha]],2),"lun","mar","mié","jue","vie","sáb","dom")</f>
        <v>lun</v>
      </c>
      <c r="D332" s="1039" t="s">
        <v>9256</v>
      </c>
      <c r="E332" s="1035">
        <f>COUNTIFS(tblConcentrado[Fecha],tblDias[[#This Row],[Fecha]])</f>
        <v>0</v>
      </c>
      <c r="F332" s="1035">
        <f t="shared" si="5"/>
        <v>24</v>
      </c>
      <c r="G332" s="1036">
        <f>IF(tblDias[[#This Row],[Horas esperadas]]=0,0,tblDias[[#This Row],[Horas cargadas]]/tblDias[[#This Row],[Horas esperadas]])</f>
        <v>0</v>
      </c>
      <c r="H332" s="1035" t="str">
        <f ca="1">IF(tblDias[[#This Row],[Fecha]]&gt;TODAY(),"Pendiente",IF(tblDias[[#This Row],[Horas cargadas]]=0,"Sin datos",IF(tblDias[[#This Row],[Horas cargadas]]&lt;tblDias[[#This Row],[Horas esperadas]],"Parcial","Completo")))</f>
        <v>Pendiente</v>
      </c>
      <c r="I332" s="1037">
        <f>COUNTIFS(tblRDO[Fecha],tblDias[[#This Row],[Fecha]])</f>
        <v>0</v>
      </c>
      <c r="J332" s="1038" t="str">
        <f ca="1">IF(tblDias[[#This Row],[Fecha]]&gt;TODAY(),"Pendiente",IF(tblDias[[#This Row],[Filas RDO]]=0,"Sin RDO","Cargado"))</f>
        <v>Pendiente</v>
      </c>
      <c r="K332" s="972">
        <f>COUNTIFS(tblControles[Fecha],tblDias[[#This Row],[Fecha]],tblControles[Turno],"&lt;&gt;Obs")</f>
        <v>0</v>
      </c>
      <c r="L332" s="971">
        <f>SUMIFS(tblParadas[Horas perdidas],tblParadas[Fecha],tblDias[[#This Row],[Fecha]])</f>
        <v>0</v>
      </c>
      <c r="M332" s="1040"/>
      <c r="N332" s="953"/>
      <c r="O332" s="1040"/>
    </row>
    <row r="333" spans="2:15">
      <c r="B333" s="1041">
        <v>46588</v>
      </c>
      <c r="C333" s="1034" t="str">
        <f>CHOOSE(WEEKDAY(tblDias[[#This Row],[Fecha]],2),"lun","mar","mié","jue","vie","sáb","dom")</f>
        <v>mar</v>
      </c>
      <c r="D333" s="1039" t="s">
        <v>9256</v>
      </c>
      <c r="E333" s="1035">
        <f>COUNTIFS(tblConcentrado[Fecha],tblDias[[#This Row],[Fecha]])</f>
        <v>0</v>
      </c>
      <c r="F333" s="1035">
        <f t="shared" si="5"/>
        <v>24</v>
      </c>
      <c r="G333" s="1036">
        <f>IF(tblDias[[#This Row],[Horas esperadas]]=0,0,tblDias[[#This Row],[Horas cargadas]]/tblDias[[#This Row],[Horas esperadas]])</f>
        <v>0</v>
      </c>
      <c r="H333" s="1035" t="str">
        <f ca="1">IF(tblDias[[#This Row],[Fecha]]&gt;TODAY(),"Pendiente",IF(tblDias[[#This Row],[Horas cargadas]]=0,"Sin datos",IF(tblDias[[#This Row],[Horas cargadas]]&lt;tblDias[[#This Row],[Horas esperadas]],"Parcial","Completo")))</f>
        <v>Pendiente</v>
      </c>
      <c r="I333" s="1037">
        <f>COUNTIFS(tblRDO[Fecha],tblDias[[#This Row],[Fecha]])</f>
        <v>0</v>
      </c>
      <c r="J333" s="1038" t="str">
        <f ca="1">IF(tblDias[[#This Row],[Fecha]]&gt;TODAY(),"Pendiente",IF(tblDias[[#This Row],[Filas RDO]]=0,"Sin RDO","Cargado"))</f>
        <v>Pendiente</v>
      </c>
      <c r="K333" s="972">
        <f>COUNTIFS(tblControles[Fecha],tblDias[[#This Row],[Fecha]],tblControles[Turno],"&lt;&gt;Obs")</f>
        <v>0</v>
      </c>
      <c r="L333" s="971">
        <f>SUMIFS(tblParadas[Horas perdidas],tblParadas[Fecha],tblDias[[#This Row],[Fecha]])</f>
        <v>0</v>
      </c>
      <c r="M333" s="1040"/>
      <c r="N333" s="953"/>
      <c r="O333" s="1040"/>
    </row>
    <row r="334" spans="2:15">
      <c r="B334" s="1041">
        <v>46589</v>
      </c>
      <c r="C334" s="1034" t="str">
        <f>CHOOSE(WEEKDAY(tblDias[[#This Row],[Fecha]],2),"lun","mar","mié","jue","vie","sáb","dom")</f>
        <v>mié</v>
      </c>
      <c r="D334" s="1039" t="s">
        <v>9256</v>
      </c>
      <c r="E334" s="1035">
        <f>COUNTIFS(tblConcentrado[Fecha],tblDias[[#This Row],[Fecha]])</f>
        <v>0</v>
      </c>
      <c r="F334" s="1035">
        <f t="shared" si="5"/>
        <v>24</v>
      </c>
      <c r="G334" s="1036">
        <f>IF(tblDias[[#This Row],[Horas esperadas]]=0,0,tblDias[[#This Row],[Horas cargadas]]/tblDias[[#This Row],[Horas esperadas]])</f>
        <v>0</v>
      </c>
      <c r="H334" s="1035" t="str">
        <f ca="1">IF(tblDias[[#This Row],[Fecha]]&gt;TODAY(),"Pendiente",IF(tblDias[[#This Row],[Horas cargadas]]=0,"Sin datos",IF(tblDias[[#This Row],[Horas cargadas]]&lt;tblDias[[#This Row],[Horas esperadas]],"Parcial","Completo")))</f>
        <v>Pendiente</v>
      </c>
      <c r="I334" s="1037">
        <f>COUNTIFS(tblRDO[Fecha],tblDias[[#This Row],[Fecha]])</f>
        <v>0</v>
      </c>
      <c r="J334" s="1038" t="str">
        <f ca="1">IF(tblDias[[#This Row],[Fecha]]&gt;TODAY(),"Pendiente",IF(tblDias[[#This Row],[Filas RDO]]=0,"Sin RDO","Cargado"))</f>
        <v>Pendiente</v>
      </c>
      <c r="K334" s="972">
        <f>COUNTIFS(tblControles[Fecha],tblDias[[#This Row],[Fecha]],tblControles[Turno],"&lt;&gt;Obs")</f>
        <v>0</v>
      </c>
      <c r="L334" s="971">
        <f>SUMIFS(tblParadas[Horas perdidas],tblParadas[Fecha],tblDias[[#This Row],[Fecha]])</f>
        <v>0</v>
      </c>
      <c r="M334" s="1040"/>
      <c r="N334" s="953"/>
      <c r="O334" s="1040"/>
    </row>
    <row r="335" spans="2:15">
      <c r="B335" s="1041">
        <v>46590</v>
      </c>
      <c r="C335" s="1034" t="str">
        <f>CHOOSE(WEEKDAY(tblDias[[#This Row],[Fecha]],2),"lun","mar","mié","jue","vie","sáb","dom")</f>
        <v>jue</v>
      </c>
      <c r="D335" s="1039" t="s">
        <v>9256</v>
      </c>
      <c r="E335" s="1035">
        <f>COUNTIFS(tblConcentrado[Fecha],tblDias[[#This Row],[Fecha]])</f>
        <v>0</v>
      </c>
      <c r="F335" s="1035">
        <f t="shared" si="5"/>
        <v>24</v>
      </c>
      <c r="G335" s="1036">
        <f>IF(tblDias[[#This Row],[Horas esperadas]]=0,0,tblDias[[#This Row],[Horas cargadas]]/tblDias[[#This Row],[Horas esperadas]])</f>
        <v>0</v>
      </c>
      <c r="H335" s="1035" t="str">
        <f ca="1">IF(tblDias[[#This Row],[Fecha]]&gt;TODAY(),"Pendiente",IF(tblDias[[#This Row],[Horas cargadas]]=0,"Sin datos",IF(tblDias[[#This Row],[Horas cargadas]]&lt;tblDias[[#This Row],[Horas esperadas]],"Parcial","Completo")))</f>
        <v>Pendiente</v>
      </c>
      <c r="I335" s="1037">
        <f>COUNTIFS(tblRDO[Fecha],tblDias[[#This Row],[Fecha]])</f>
        <v>0</v>
      </c>
      <c r="J335" s="1038" t="str">
        <f ca="1">IF(tblDias[[#This Row],[Fecha]]&gt;TODAY(),"Pendiente",IF(tblDias[[#This Row],[Filas RDO]]=0,"Sin RDO","Cargado"))</f>
        <v>Pendiente</v>
      </c>
      <c r="K335" s="972">
        <f>COUNTIFS(tblControles[Fecha],tblDias[[#This Row],[Fecha]],tblControles[Turno],"&lt;&gt;Obs")</f>
        <v>0</v>
      </c>
      <c r="L335" s="971">
        <f>SUMIFS(tblParadas[Horas perdidas],tblParadas[Fecha],tblDias[[#This Row],[Fecha]])</f>
        <v>0</v>
      </c>
      <c r="M335" s="1040"/>
      <c r="N335" s="953"/>
      <c r="O335" s="1040"/>
    </row>
    <row r="336" spans="2:15">
      <c r="B336" s="1041">
        <v>46591</v>
      </c>
      <c r="C336" s="1034" t="str">
        <f>CHOOSE(WEEKDAY(tblDias[[#This Row],[Fecha]],2),"lun","mar","mié","jue","vie","sáb","dom")</f>
        <v>vie</v>
      </c>
      <c r="D336" s="1039" t="s">
        <v>9256</v>
      </c>
      <c r="E336" s="1035">
        <f>COUNTIFS(tblConcentrado[Fecha],tblDias[[#This Row],[Fecha]])</f>
        <v>0</v>
      </c>
      <c r="F336" s="1035">
        <f t="shared" si="5"/>
        <v>24</v>
      </c>
      <c r="G336" s="1036">
        <f>IF(tblDias[[#This Row],[Horas esperadas]]=0,0,tblDias[[#This Row],[Horas cargadas]]/tblDias[[#This Row],[Horas esperadas]])</f>
        <v>0</v>
      </c>
      <c r="H336" s="1035" t="str">
        <f ca="1">IF(tblDias[[#This Row],[Fecha]]&gt;TODAY(),"Pendiente",IF(tblDias[[#This Row],[Horas cargadas]]=0,"Sin datos",IF(tblDias[[#This Row],[Horas cargadas]]&lt;tblDias[[#This Row],[Horas esperadas]],"Parcial","Completo")))</f>
        <v>Pendiente</v>
      </c>
      <c r="I336" s="1037">
        <f>COUNTIFS(tblRDO[Fecha],tblDias[[#This Row],[Fecha]])</f>
        <v>0</v>
      </c>
      <c r="J336" s="1038" t="str">
        <f ca="1">IF(tblDias[[#This Row],[Fecha]]&gt;TODAY(),"Pendiente",IF(tblDias[[#This Row],[Filas RDO]]=0,"Sin RDO","Cargado"))</f>
        <v>Pendiente</v>
      </c>
      <c r="K336" s="972">
        <f>COUNTIFS(tblControles[Fecha],tblDias[[#This Row],[Fecha]],tblControles[Turno],"&lt;&gt;Obs")</f>
        <v>0</v>
      </c>
      <c r="L336" s="971">
        <f>SUMIFS(tblParadas[Horas perdidas],tblParadas[Fecha],tblDias[[#This Row],[Fecha]])</f>
        <v>0</v>
      </c>
      <c r="M336" s="1040"/>
      <c r="N336" s="953"/>
      <c r="O336" s="1040"/>
    </row>
    <row r="337" spans="2:15">
      <c r="B337" s="1041">
        <v>46592</v>
      </c>
      <c r="C337" s="1034" t="str">
        <f>CHOOSE(WEEKDAY(tblDias[[#This Row],[Fecha]],2),"lun","mar","mié","jue","vie","sáb","dom")</f>
        <v>sáb</v>
      </c>
      <c r="D337" s="1039" t="s">
        <v>9256</v>
      </c>
      <c r="E337" s="1035">
        <f>COUNTIFS(tblConcentrado[Fecha],tblDias[[#This Row],[Fecha]])</f>
        <v>0</v>
      </c>
      <c r="F337" s="1035">
        <f t="shared" si="5"/>
        <v>24</v>
      </c>
      <c r="G337" s="1036">
        <f>IF(tblDias[[#This Row],[Horas esperadas]]=0,0,tblDias[[#This Row],[Horas cargadas]]/tblDias[[#This Row],[Horas esperadas]])</f>
        <v>0</v>
      </c>
      <c r="H337" s="1035" t="str">
        <f ca="1">IF(tblDias[[#This Row],[Fecha]]&gt;TODAY(),"Pendiente",IF(tblDias[[#This Row],[Horas cargadas]]=0,"Sin datos",IF(tblDias[[#This Row],[Horas cargadas]]&lt;tblDias[[#This Row],[Horas esperadas]],"Parcial","Completo")))</f>
        <v>Pendiente</v>
      </c>
      <c r="I337" s="1037">
        <f>COUNTIFS(tblRDO[Fecha],tblDias[[#This Row],[Fecha]])</f>
        <v>0</v>
      </c>
      <c r="J337" s="1038" t="str">
        <f ca="1">IF(tblDias[[#This Row],[Fecha]]&gt;TODAY(),"Pendiente",IF(tblDias[[#This Row],[Filas RDO]]=0,"Sin RDO","Cargado"))</f>
        <v>Pendiente</v>
      </c>
      <c r="K337" s="972">
        <f>COUNTIFS(tblControles[Fecha],tblDias[[#This Row],[Fecha]],tblControles[Turno],"&lt;&gt;Obs")</f>
        <v>0</v>
      </c>
      <c r="L337" s="971">
        <f>SUMIFS(tblParadas[Horas perdidas],tblParadas[Fecha],tblDias[[#This Row],[Fecha]])</f>
        <v>0</v>
      </c>
      <c r="M337" s="1040"/>
      <c r="N337" s="953"/>
      <c r="O337" s="1040"/>
    </row>
    <row r="338" spans="2:15">
      <c r="B338" s="1041">
        <v>46593</v>
      </c>
      <c r="C338" s="1034" t="str">
        <f>CHOOSE(WEEKDAY(tblDias[[#This Row],[Fecha]],2),"lun","mar","mié","jue","vie","sáb","dom")</f>
        <v>dom</v>
      </c>
      <c r="D338" s="1039" t="s">
        <v>9256</v>
      </c>
      <c r="E338" s="1035">
        <f>COUNTIFS(tblConcentrado[Fecha],tblDias[[#This Row],[Fecha]])</f>
        <v>0</v>
      </c>
      <c r="F338" s="1035">
        <f t="shared" si="5"/>
        <v>24</v>
      </c>
      <c r="G338" s="1036">
        <f>IF(tblDias[[#This Row],[Horas esperadas]]=0,0,tblDias[[#This Row],[Horas cargadas]]/tblDias[[#This Row],[Horas esperadas]])</f>
        <v>0</v>
      </c>
      <c r="H338" s="1035" t="str">
        <f ca="1">IF(tblDias[[#This Row],[Fecha]]&gt;TODAY(),"Pendiente",IF(tblDias[[#This Row],[Horas cargadas]]=0,"Sin datos",IF(tblDias[[#This Row],[Horas cargadas]]&lt;tblDias[[#This Row],[Horas esperadas]],"Parcial","Completo")))</f>
        <v>Pendiente</v>
      </c>
      <c r="I338" s="1037">
        <f>COUNTIFS(tblRDO[Fecha],tblDias[[#This Row],[Fecha]])</f>
        <v>0</v>
      </c>
      <c r="J338" s="1038" t="str">
        <f ca="1">IF(tblDias[[#This Row],[Fecha]]&gt;TODAY(),"Pendiente",IF(tblDias[[#This Row],[Filas RDO]]=0,"Sin RDO","Cargado"))</f>
        <v>Pendiente</v>
      </c>
      <c r="K338" s="972">
        <f>COUNTIFS(tblControles[Fecha],tblDias[[#This Row],[Fecha]],tblControles[Turno],"&lt;&gt;Obs")</f>
        <v>0</v>
      </c>
      <c r="L338" s="971">
        <f>SUMIFS(tblParadas[Horas perdidas],tblParadas[Fecha],tblDias[[#This Row],[Fecha]])</f>
        <v>0</v>
      </c>
      <c r="M338" s="1040"/>
      <c r="N338" s="953"/>
      <c r="O338" s="1040"/>
    </row>
    <row r="339" spans="2:15">
      <c r="B339" s="1041">
        <v>46594</v>
      </c>
      <c r="C339" s="1034" t="str">
        <f>CHOOSE(WEEKDAY(tblDias[[#This Row],[Fecha]],2),"lun","mar","mié","jue","vie","sáb","dom")</f>
        <v>lun</v>
      </c>
      <c r="D339" s="1039" t="s">
        <v>9256</v>
      </c>
      <c r="E339" s="1035">
        <f>COUNTIFS(tblConcentrado[Fecha],tblDias[[#This Row],[Fecha]])</f>
        <v>0</v>
      </c>
      <c r="F339" s="1035">
        <f t="shared" si="5"/>
        <v>24</v>
      </c>
      <c r="G339" s="1036">
        <f>IF(tblDias[[#This Row],[Horas esperadas]]=0,0,tblDias[[#This Row],[Horas cargadas]]/tblDias[[#This Row],[Horas esperadas]])</f>
        <v>0</v>
      </c>
      <c r="H339" s="1035" t="str">
        <f ca="1">IF(tblDias[[#This Row],[Fecha]]&gt;TODAY(),"Pendiente",IF(tblDias[[#This Row],[Horas cargadas]]=0,"Sin datos",IF(tblDias[[#This Row],[Horas cargadas]]&lt;tblDias[[#This Row],[Horas esperadas]],"Parcial","Completo")))</f>
        <v>Pendiente</v>
      </c>
      <c r="I339" s="1037">
        <f>COUNTIFS(tblRDO[Fecha],tblDias[[#This Row],[Fecha]])</f>
        <v>0</v>
      </c>
      <c r="J339" s="1038" t="str">
        <f ca="1">IF(tblDias[[#This Row],[Fecha]]&gt;TODAY(),"Pendiente",IF(tblDias[[#This Row],[Filas RDO]]=0,"Sin RDO","Cargado"))</f>
        <v>Pendiente</v>
      </c>
      <c r="K339" s="972">
        <f>COUNTIFS(tblControles[Fecha],tblDias[[#This Row],[Fecha]],tblControles[Turno],"&lt;&gt;Obs")</f>
        <v>0</v>
      </c>
      <c r="L339" s="971">
        <f>SUMIFS(tblParadas[Horas perdidas],tblParadas[Fecha],tblDias[[#This Row],[Fecha]])</f>
        <v>0</v>
      </c>
      <c r="M339" s="1040"/>
      <c r="N339" s="953"/>
      <c r="O339" s="1040"/>
    </row>
    <row r="340" spans="2:15">
      <c r="B340" s="1041">
        <v>46595</v>
      </c>
      <c r="C340" s="1034" t="str">
        <f>CHOOSE(WEEKDAY(tblDias[[#This Row],[Fecha]],2),"lun","mar","mié","jue","vie","sáb","dom")</f>
        <v>mar</v>
      </c>
      <c r="D340" s="1039" t="s">
        <v>9256</v>
      </c>
      <c r="E340" s="1035">
        <f>COUNTIFS(tblConcentrado[Fecha],tblDias[[#This Row],[Fecha]])</f>
        <v>0</v>
      </c>
      <c r="F340" s="1035">
        <f t="shared" si="5"/>
        <v>24</v>
      </c>
      <c r="G340" s="1036">
        <f>IF(tblDias[[#This Row],[Horas esperadas]]=0,0,tblDias[[#This Row],[Horas cargadas]]/tblDias[[#This Row],[Horas esperadas]])</f>
        <v>0</v>
      </c>
      <c r="H340" s="1035" t="str">
        <f ca="1">IF(tblDias[[#This Row],[Fecha]]&gt;TODAY(),"Pendiente",IF(tblDias[[#This Row],[Horas cargadas]]=0,"Sin datos",IF(tblDias[[#This Row],[Horas cargadas]]&lt;tblDias[[#This Row],[Horas esperadas]],"Parcial","Completo")))</f>
        <v>Pendiente</v>
      </c>
      <c r="I340" s="1037">
        <f>COUNTIFS(tblRDO[Fecha],tblDias[[#This Row],[Fecha]])</f>
        <v>0</v>
      </c>
      <c r="J340" s="1038" t="str">
        <f ca="1">IF(tblDias[[#This Row],[Fecha]]&gt;TODAY(),"Pendiente",IF(tblDias[[#This Row],[Filas RDO]]=0,"Sin RDO","Cargado"))</f>
        <v>Pendiente</v>
      </c>
      <c r="K340" s="972">
        <f>COUNTIFS(tblControles[Fecha],tblDias[[#This Row],[Fecha]],tblControles[Turno],"&lt;&gt;Obs")</f>
        <v>0</v>
      </c>
      <c r="L340" s="971">
        <f>SUMIFS(tblParadas[Horas perdidas],tblParadas[Fecha],tblDias[[#This Row],[Fecha]])</f>
        <v>0</v>
      </c>
      <c r="M340" s="1040"/>
      <c r="N340" s="953"/>
      <c r="O340" s="1040"/>
    </row>
    <row r="341" spans="2:15">
      <c r="B341" s="1041">
        <v>46596</v>
      </c>
      <c r="C341" s="1034" t="str">
        <f>CHOOSE(WEEKDAY(tblDias[[#This Row],[Fecha]],2),"lun","mar","mié","jue","vie","sáb","dom")</f>
        <v>mié</v>
      </c>
      <c r="D341" s="1039" t="s">
        <v>9256</v>
      </c>
      <c r="E341" s="1035">
        <f>COUNTIFS(tblConcentrado[Fecha],tblDias[[#This Row],[Fecha]])</f>
        <v>0</v>
      </c>
      <c r="F341" s="1035">
        <f t="shared" si="5"/>
        <v>24</v>
      </c>
      <c r="G341" s="1036">
        <f>IF(tblDias[[#This Row],[Horas esperadas]]=0,0,tblDias[[#This Row],[Horas cargadas]]/tblDias[[#This Row],[Horas esperadas]])</f>
        <v>0</v>
      </c>
      <c r="H341" s="1035" t="str">
        <f ca="1">IF(tblDias[[#This Row],[Fecha]]&gt;TODAY(),"Pendiente",IF(tblDias[[#This Row],[Horas cargadas]]=0,"Sin datos",IF(tblDias[[#This Row],[Horas cargadas]]&lt;tblDias[[#This Row],[Horas esperadas]],"Parcial","Completo")))</f>
        <v>Pendiente</v>
      </c>
      <c r="I341" s="1037">
        <f>COUNTIFS(tblRDO[Fecha],tblDias[[#This Row],[Fecha]])</f>
        <v>0</v>
      </c>
      <c r="J341" s="1038" t="str">
        <f ca="1">IF(tblDias[[#This Row],[Fecha]]&gt;TODAY(),"Pendiente",IF(tblDias[[#This Row],[Filas RDO]]=0,"Sin RDO","Cargado"))</f>
        <v>Pendiente</v>
      </c>
      <c r="K341" s="972">
        <f>COUNTIFS(tblControles[Fecha],tblDias[[#This Row],[Fecha]],tblControles[Turno],"&lt;&gt;Obs")</f>
        <v>0</v>
      </c>
      <c r="L341" s="971">
        <f>SUMIFS(tblParadas[Horas perdidas],tblParadas[Fecha],tblDias[[#This Row],[Fecha]])</f>
        <v>0</v>
      </c>
      <c r="M341" s="1040"/>
      <c r="N341" s="953"/>
      <c r="O341" s="1040"/>
    </row>
    <row r="342" spans="2:15">
      <c r="B342" s="1041">
        <v>46597</v>
      </c>
      <c r="C342" s="1034" t="str">
        <f>CHOOSE(WEEKDAY(tblDias[[#This Row],[Fecha]],2),"lun","mar","mié","jue","vie","sáb","dom")</f>
        <v>jue</v>
      </c>
      <c r="D342" s="1039" t="s">
        <v>9256</v>
      </c>
      <c r="E342" s="1035">
        <f>COUNTIFS(tblConcentrado[Fecha],tblDias[[#This Row],[Fecha]])</f>
        <v>0</v>
      </c>
      <c r="F342" s="1035">
        <f t="shared" si="5"/>
        <v>24</v>
      </c>
      <c r="G342" s="1036">
        <f>IF(tblDias[[#This Row],[Horas esperadas]]=0,0,tblDias[[#This Row],[Horas cargadas]]/tblDias[[#This Row],[Horas esperadas]])</f>
        <v>0</v>
      </c>
      <c r="H342" s="1035" t="str">
        <f ca="1">IF(tblDias[[#This Row],[Fecha]]&gt;TODAY(),"Pendiente",IF(tblDias[[#This Row],[Horas cargadas]]=0,"Sin datos",IF(tblDias[[#This Row],[Horas cargadas]]&lt;tblDias[[#This Row],[Horas esperadas]],"Parcial","Completo")))</f>
        <v>Pendiente</v>
      </c>
      <c r="I342" s="1037">
        <f>COUNTIFS(tblRDO[Fecha],tblDias[[#This Row],[Fecha]])</f>
        <v>0</v>
      </c>
      <c r="J342" s="1038" t="str">
        <f ca="1">IF(tblDias[[#This Row],[Fecha]]&gt;TODAY(),"Pendiente",IF(tblDias[[#This Row],[Filas RDO]]=0,"Sin RDO","Cargado"))</f>
        <v>Pendiente</v>
      </c>
      <c r="K342" s="972">
        <f>COUNTIFS(tblControles[Fecha],tblDias[[#This Row],[Fecha]],tblControles[Turno],"&lt;&gt;Obs")</f>
        <v>0</v>
      </c>
      <c r="L342" s="971">
        <f>SUMIFS(tblParadas[Horas perdidas],tblParadas[Fecha],tblDias[[#This Row],[Fecha]])</f>
        <v>0</v>
      </c>
      <c r="M342" s="1040"/>
      <c r="N342" s="953"/>
      <c r="O342" s="1040"/>
    </row>
    <row r="343" spans="2:15">
      <c r="B343" s="1041">
        <v>46598</v>
      </c>
      <c r="C343" s="1034" t="str">
        <f>CHOOSE(WEEKDAY(tblDias[[#This Row],[Fecha]],2),"lun","mar","mié","jue","vie","sáb","dom")</f>
        <v>vie</v>
      </c>
      <c r="D343" s="1039" t="s">
        <v>9256</v>
      </c>
      <c r="E343" s="1035">
        <f>COUNTIFS(tblConcentrado[Fecha],tblDias[[#This Row],[Fecha]])</f>
        <v>0</v>
      </c>
      <c r="F343" s="1035">
        <f t="shared" si="5"/>
        <v>24</v>
      </c>
      <c r="G343" s="1036">
        <f>IF(tblDias[[#This Row],[Horas esperadas]]=0,0,tblDias[[#This Row],[Horas cargadas]]/tblDias[[#This Row],[Horas esperadas]])</f>
        <v>0</v>
      </c>
      <c r="H343" s="1035" t="str">
        <f ca="1">IF(tblDias[[#This Row],[Fecha]]&gt;TODAY(),"Pendiente",IF(tblDias[[#This Row],[Horas cargadas]]=0,"Sin datos",IF(tblDias[[#This Row],[Horas cargadas]]&lt;tblDias[[#This Row],[Horas esperadas]],"Parcial","Completo")))</f>
        <v>Pendiente</v>
      </c>
      <c r="I343" s="1037">
        <f>COUNTIFS(tblRDO[Fecha],tblDias[[#This Row],[Fecha]])</f>
        <v>0</v>
      </c>
      <c r="J343" s="1038" t="str">
        <f ca="1">IF(tblDias[[#This Row],[Fecha]]&gt;TODAY(),"Pendiente",IF(tblDias[[#This Row],[Filas RDO]]=0,"Sin RDO","Cargado"))</f>
        <v>Pendiente</v>
      </c>
      <c r="K343" s="972">
        <f>COUNTIFS(tblControles[Fecha],tblDias[[#This Row],[Fecha]],tblControles[Turno],"&lt;&gt;Obs")</f>
        <v>0</v>
      </c>
      <c r="L343" s="971">
        <f>SUMIFS(tblParadas[Horas perdidas],tblParadas[Fecha],tblDias[[#This Row],[Fecha]])</f>
        <v>0</v>
      </c>
      <c r="M343" s="1040"/>
      <c r="N343" s="953"/>
      <c r="O343" s="1040"/>
    </row>
    <row r="344" spans="2:15">
      <c r="B344" s="1041">
        <v>46599</v>
      </c>
      <c r="C344" s="1034" t="str">
        <f>CHOOSE(WEEKDAY(tblDias[[#This Row],[Fecha]],2),"lun","mar","mié","jue","vie","sáb","dom")</f>
        <v>sáb</v>
      </c>
      <c r="D344" s="1039" t="s">
        <v>9256</v>
      </c>
      <c r="E344" s="1035">
        <f>COUNTIFS(tblConcentrado[Fecha],tblDias[[#This Row],[Fecha]])</f>
        <v>0</v>
      </c>
      <c r="F344" s="1035">
        <f t="shared" si="5"/>
        <v>24</v>
      </c>
      <c r="G344" s="1036">
        <f>IF(tblDias[[#This Row],[Horas esperadas]]=0,0,tblDias[[#This Row],[Horas cargadas]]/tblDias[[#This Row],[Horas esperadas]])</f>
        <v>0</v>
      </c>
      <c r="H344" s="1035" t="str">
        <f ca="1">IF(tblDias[[#This Row],[Fecha]]&gt;TODAY(),"Pendiente",IF(tblDias[[#This Row],[Horas cargadas]]=0,"Sin datos",IF(tblDias[[#This Row],[Horas cargadas]]&lt;tblDias[[#This Row],[Horas esperadas]],"Parcial","Completo")))</f>
        <v>Pendiente</v>
      </c>
      <c r="I344" s="1037">
        <f>COUNTIFS(tblRDO[Fecha],tblDias[[#This Row],[Fecha]])</f>
        <v>0</v>
      </c>
      <c r="J344" s="1038" t="str">
        <f ca="1">IF(tblDias[[#This Row],[Fecha]]&gt;TODAY(),"Pendiente",IF(tblDias[[#This Row],[Filas RDO]]=0,"Sin RDO","Cargado"))</f>
        <v>Pendiente</v>
      </c>
      <c r="K344" s="972">
        <f>COUNTIFS(tblControles[Fecha],tblDias[[#This Row],[Fecha]],tblControles[Turno],"&lt;&gt;Obs")</f>
        <v>0</v>
      </c>
      <c r="L344" s="971">
        <f>SUMIFS(tblParadas[Horas perdidas],tblParadas[Fecha],tblDias[[#This Row],[Fecha]])</f>
        <v>0</v>
      </c>
      <c r="M344" s="1040"/>
      <c r="N344" s="953"/>
      <c r="O344" s="1040"/>
    </row>
    <row r="345" spans="2:15">
      <c r="B345" s="1041">
        <v>46600</v>
      </c>
      <c r="C345" s="1034" t="str">
        <f>CHOOSE(WEEKDAY(tblDias[[#This Row],[Fecha]],2),"lun","mar","mié","jue","vie","sáb","dom")</f>
        <v>dom</v>
      </c>
      <c r="D345" s="1039" t="s">
        <v>9256</v>
      </c>
      <c r="E345" s="1035">
        <f>COUNTIFS(tblConcentrado[Fecha],tblDias[[#This Row],[Fecha]])</f>
        <v>0</v>
      </c>
      <c r="F345" s="1035">
        <f t="shared" si="5"/>
        <v>24</v>
      </c>
      <c r="G345" s="1036">
        <f>IF(tblDias[[#This Row],[Horas esperadas]]=0,0,tblDias[[#This Row],[Horas cargadas]]/tblDias[[#This Row],[Horas esperadas]])</f>
        <v>0</v>
      </c>
      <c r="H345" s="1035" t="str">
        <f ca="1">IF(tblDias[[#This Row],[Fecha]]&gt;TODAY(),"Pendiente",IF(tblDias[[#This Row],[Horas cargadas]]=0,"Sin datos",IF(tblDias[[#This Row],[Horas cargadas]]&lt;tblDias[[#This Row],[Horas esperadas]],"Parcial","Completo")))</f>
        <v>Pendiente</v>
      </c>
      <c r="I345" s="1037">
        <f>COUNTIFS(tblRDO[Fecha],tblDias[[#This Row],[Fecha]])</f>
        <v>0</v>
      </c>
      <c r="J345" s="1038" t="str">
        <f ca="1">IF(tblDias[[#This Row],[Fecha]]&gt;TODAY(),"Pendiente",IF(tblDias[[#This Row],[Filas RDO]]=0,"Sin RDO","Cargado"))</f>
        <v>Pendiente</v>
      </c>
      <c r="K345" s="972">
        <f>COUNTIFS(tblControles[Fecha],tblDias[[#This Row],[Fecha]],tblControles[Turno],"&lt;&gt;Obs")</f>
        <v>0</v>
      </c>
      <c r="L345" s="971">
        <f>SUMIFS(tblParadas[Horas perdidas],tblParadas[Fecha],tblDias[[#This Row],[Fecha]])</f>
        <v>0</v>
      </c>
      <c r="M345" s="1040"/>
      <c r="N345" s="953"/>
      <c r="O345" s="1040"/>
    </row>
    <row r="346" spans="2:15">
      <c r="B346" s="1041">
        <v>46601</v>
      </c>
      <c r="C346" s="1034" t="str">
        <f>CHOOSE(WEEKDAY(tblDias[[#This Row],[Fecha]],2),"lun","mar","mié","jue","vie","sáb","dom")</f>
        <v>lun</v>
      </c>
      <c r="D346" s="1039" t="s">
        <v>9256</v>
      </c>
      <c r="E346" s="1035">
        <f>COUNTIFS(tblConcentrado[Fecha],tblDias[[#This Row],[Fecha]])</f>
        <v>0</v>
      </c>
      <c r="F346" s="1035">
        <f t="shared" si="5"/>
        <v>24</v>
      </c>
      <c r="G346" s="1036">
        <f>IF(tblDias[[#This Row],[Horas esperadas]]=0,0,tblDias[[#This Row],[Horas cargadas]]/tblDias[[#This Row],[Horas esperadas]])</f>
        <v>0</v>
      </c>
      <c r="H346" s="1035" t="str">
        <f ca="1">IF(tblDias[[#This Row],[Fecha]]&gt;TODAY(),"Pendiente",IF(tblDias[[#This Row],[Horas cargadas]]=0,"Sin datos",IF(tblDias[[#This Row],[Horas cargadas]]&lt;tblDias[[#This Row],[Horas esperadas]],"Parcial","Completo")))</f>
        <v>Pendiente</v>
      </c>
      <c r="I346" s="1037">
        <f>COUNTIFS(tblRDO[Fecha],tblDias[[#This Row],[Fecha]])</f>
        <v>0</v>
      </c>
      <c r="J346" s="1038" t="str">
        <f ca="1">IF(tblDias[[#This Row],[Fecha]]&gt;TODAY(),"Pendiente",IF(tblDias[[#This Row],[Filas RDO]]=0,"Sin RDO","Cargado"))</f>
        <v>Pendiente</v>
      </c>
      <c r="K346" s="972">
        <f>COUNTIFS(tblControles[Fecha],tblDias[[#This Row],[Fecha]],tblControles[Turno],"&lt;&gt;Obs")</f>
        <v>0</v>
      </c>
      <c r="L346" s="971">
        <f>SUMIFS(tblParadas[Horas perdidas],tblParadas[Fecha],tblDias[[#This Row],[Fecha]])</f>
        <v>0</v>
      </c>
      <c r="M346" s="1040"/>
      <c r="N346" s="953"/>
      <c r="O346" s="1040"/>
    </row>
    <row r="347" spans="2:15">
      <c r="B347" s="1041">
        <v>46602</v>
      </c>
      <c r="C347" s="1034" t="str">
        <f>CHOOSE(WEEKDAY(tblDias[[#This Row],[Fecha]],2),"lun","mar","mié","jue","vie","sáb","dom")</f>
        <v>mar</v>
      </c>
      <c r="D347" s="1039" t="s">
        <v>9256</v>
      </c>
      <c r="E347" s="1035">
        <f>COUNTIFS(tblConcentrado[Fecha],tblDias[[#This Row],[Fecha]])</f>
        <v>0</v>
      </c>
      <c r="F347" s="1035">
        <f t="shared" si="5"/>
        <v>24</v>
      </c>
      <c r="G347" s="1036">
        <f>IF(tblDias[[#This Row],[Horas esperadas]]=0,0,tblDias[[#This Row],[Horas cargadas]]/tblDias[[#This Row],[Horas esperadas]])</f>
        <v>0</v>
      </c>
      <c r="H347" s="1035" t="str">
        <f ca="1">IF(tblDias[[#This Row],[Fecha]]&gt;TODAY(),"Pendiente",IF(tblDias[[#This Row],[Horas cargadas]]=0,"Sin datos",IF(tblDias[[#This Row],[Horas cargadas]]&lt;tblDias[[#This Row],[Horas esperadas]],"Parcial","Completo")))</f>
        <v>Pendiente</v>
      </c>
      <c r="I347" s="1037">
        <f>COUNTIFS(tblRDO[Fecha],tblDias[[#This Row],[Fecha]])</f>
        <v>0</v>
      </c>
      <c r="J347" s="1038" t="str">
        <f ca="1">IF(tblDias[[#This Row],[Fecha]]&gt;TODAY(),"Pendiente",IF(tblDias[[#This Row],[Filas RDO]]=0,"Sin RDO","Cargado"))</f>
        <v>Pendiente</v>
      </c>
      <c r="K347" s="972">
        <f>COUNTIFS(tblControles[Fecha],tblDias[[#This Row],[Fecha]],tblControles[Turno],"&lt;&gt;Obs")</f>
        <v>0</v>
      </c>
      <c r="L347" s="971">
        <f>SUMIFS(tblParadas[Horas perdidas],tblParadas[Fecha],tblDias[[#This Row],[Fecha]])</f>
        <v>0</v>
      </c>
      <c r="M347" s="1040"/>
      <c r="N347" s="953"/>
      <c r="O347" s="1040"/>
    </row>
    <row r="348" spans="2:15">
      <c r="B348" s="1041">
        <v>46603</v>
      </c>
      <c r="C348" s="1034" t="str">
        <f>CHOOSE(WEEKDAY(tblDias[[#This Row],[Fecha]],2),"lun","mar","mié","jue","vie","sáb","dom")</f>
        <v>mié</v>
      </c>
      <c r="D348" s="1039" t="s">
        <v>9256</v>
      </c>
      <c r="E348" s="1035">
        <f>COUNTIFS(tblConcentrado[Fecha],tblDias[[#This Row],[Fecha]])</f>
        <v>0</v>
      </c>
      <c r="F348" s="1035">
        <f t="shared" si="5"/>
        <v>24</v>
      </c>
      <c r="G348" s="1036">
        <f>IF(tblDias[[#This Row],[Horas esperadas]]=0,0,tblDias[[#This Row],[Horas cargadas]]/tblDias[[#This Row],[Horas esperadas]])</f>
        <v>0</v>
      </c>
      <c r="H348" s="1035" t="str">
        <f ca="1">IF(tblDias[[#This Row],[Fecha]]&gt;TODAY(),"Pendiente",IF(tblDias[[#This Row],[Horas cargadas]]=0,"Sin datos",IF(tblDias[[#This Row],[Horas cargadas]]&lt;tblDias[[#This Row],[Horas esperadas]],"Parcial","Completo")))</f>
        <v>Pendiente</v>
      </c>
      <c r="I348" s="1037">
        <f>COUNTIFS(tblRDO[Fecha],tblDias[[#This Row],[Fecha]])</f>
        <v>0</v>
      </c>
      <c r="J348" s="1038" t="str">
        <f ca="1">IF(tblDias[[#This Row],[Fecha]]&gt;TODAY(),"Pendiente",IF(tblDias[[#This Row],[Filas RDO]]=0,"Sin RDO","Cargado"))</f>
        <v>Pendiente</v>
      </c>
      <c r="K348" s="972">
        <f>COUNTIFS(tblControles[Fecha],tblDias[[#This Row],[Fecha]],tblControles[Turno],"&lt;&gt;Obs")</f>
        <v>0</v>
      </c>
      <c r="L348" s="971">
        <f>SUMIFS(tblParadas[Horas perdidas],tblParadas[Fecha],tblDias[[#This Row],[Fecha]])</f>
        <v>0</v>
      </c>
      <c r="M348" s="1040"/>
      <c r="N348" s="953"/>
      <c r="O348" s="1040"/>
    </row>
    <row r="349" spans="2:15">
      <c r="B349" s="1041">
        <v>46604</v>
      </c>
      <c r="C349" s="1034" t="str">
        <f>CHOOSE(WEEKDAY(tblDias[[#This Row],[Fecha]],2),"lun","mar","mié","jue","vie","sáb","dom")</f>
        <v>jue</v>
      </c>
      <c r="D349" s="1039" t="s">
        <v>9256</v>
      </c>
      <c r="E349" s="1035">
        <f>COUNTIFS(tblConcentrado[Fecha],tblDias[[#This Row],[Fecha]])</f>
        <v>0</v>
      </c>
      <c r="F349" s="1035">
        <f t="shared" si="5"/>
        <v>24</v>
      </c>
      <c r="G349" s="1036">
        <f>IF(tblDias[[#This Row],[Horas esperadas]]=0,0,tblDias[[#This Row],[Horas cargadas]]/tblDias[[#This Row],[Horas esperadas]])</f>
        <v>0</v>
      </c>
      <c r="H349" s="1035" t="str">
        <f ca="1">IF(tblDias[[#This Row],[Fecha]]&gt;TODAY(),"Pendiente",IF(tblDias[[#This Row],[Horas cargadas]]=0,"Sin datos",IF(tblDias[[#This Row],[Horas cargadas]]&lt;tblDias[[#This Row],[Horas esperadas]],"Parcial","Completo")))</f>
        <v>Pendiente</v>
      </c>
      <c r="I349" s="1037">
        <f>COUNTIFS(tblRDO[Fecha],tblDias[[#This Row],[Fecha]])</f>
        <v>0</v>
      </c>
      <c r="J349" s="1038" t="str">
        <f ca="1">IF(tblDias[[#This Row],[Fecha]]&gt;TODAY(),"Pendiente",IF(tblDias[[#This Row],[Filas RDO]]=0,"Sin RDO","Cargado"))</f>
        <v>Pendiente</v>
      </c>
      <c r="K349" s="972">
        <f>COUNTIFS(tblControles[Fecha],tblDias[[#This Row],[Fecha]],tblControles[Turno],"&lt;&gt;Obs")</f>
        <v>0</v>
      </c>
      <c r="L349" s="971">
        <f>SUMIFS(tblParadas[Horas perdidas],tblParadas[Fecha],tblDias[[#This Row],[Fecha]])</f>
        <v>0</v>
      </c>
      <c r="M349" s="1040"/>
      <c r="N349" s="953"/>
      <c r="O349" s="1040"/>
    </row>
    <row r="350" spans="2:15">
      <c r="B350" s="1041">
        <v>46605</v>
      </c>
      <c r="C350" s="1034" t="str">
        <f>CHOOSE(WEEKDAY(tblDias[[#This Row],[Fecha]],2),"lun","mar","mié","jue","vie","sáb","dom")</f>
        <v>vie</v>
      </c>
      <c r="D350" s="1039" t="s">
        <v>9256</v>
      </c>
      <c r="E350" s="1035">
        <f>COUNTIFS(tblConcentrado[Fecha],tblDias[[#This Row],[Fecha]])</f>
        <v>0</v>
      </c>
      <c r="F350" s="1035">
        <f t="shared" si="5"/>
        <v>24</v>
      </c>
      <c r="G350" s="1036">
        <f>IF(tblDias[[#This Row],[Horas esperadas]]=0,0,tblDias[[#This Row],[Horas cargadas]]/tblDias[[#This Row],[Horas esperadas]])</f>
        <v>0</v>
      </c>
      <c r="H350" s="1035" t="str">
        <f ca="1">IF(tblDias[[#This Row],[Fecha]]&gt;TODAY(),"Pendiente",IF(tblDias[[#This Row],[Horas cargadas]]=0,"Sin datos",IF(tblDias[[#This Row],[Horas cargadas]]&lt;tblDias[[#This Row],[Horas esperadas]],"Parcial","Completo")))</f>
        <v>Pendiente</v>
      </c>
      <c r="I350" s="1037">
        <f>COUNTIFS(tblRDO[Fecha],tblDias[[#This Row],[Fecha]])</f>
        <v>0</v>
      </c>
      <c r="J350" s="1038" t="str">
        <f ca="1">IF(tblDias[[#This Row],[Fecha]]&gt;TODAY(),"Pendiente",IF(tblDias[[#This Row],[Filas RDO]]=0,"Sin RDO","Cargado"))</f>
        <v>Pendiente</v>
      </c>
      <c r="K350" s="972">
        <f>COUNTIFS(tblControles[Fecha],tblDias[[#This Row],[Fecha]],tblControles[Turno],"&lt;&gt;Obs")</f>
        <v>0</v>
      </c>
      <c r="L350" s="971">
        <f>SUMIFS(tblParadas[Horas perdidas],tblParadas[Fecha],tblDias[[#This Row],[Fecha]])</f>
        <v>0</v>
      </c>
      <c r="M350" s="1040"/>
      <c r="N350" s="953"/>
      <c r="O350" s="1040"/>
    </row>
    <row r="351" spans="2:15">
      <c r="B351" s="1041">
        <v>46606</v>
      </c>
      <c r="C351" s="1034" t="str">
        <f>CHOOSE(WEEKDAY(tblDias[[#This Row],[Fecha]],2),"lun","mar","mié","jue","vie","sáb","dom")</f>
        <v>sáb</v>
      </c>
      <c r="D351" s="1039" t="s">
        <v>9256</v>
      </c>
      <c r="E351" s="1035">
        <f>COUNTIFS(tblConcentrado[Fecha],tblDias[[#This Row],[Fecha]])</f>
        <v>0</v>
      </c>
      <c r="F351" s="1035">
        <f t="shared" si="5"/>
        <v>24</v>
      </c>
      <c r="G351" s="1036">
        <f>IF(tblDias[[#This Row],[Horas esperadas]]=0,0,tblDias[[#This Row],[Horas cargadas]]/tblDias[[#This Row],[Horas esperadas]])</f>
        <v>0</v>
      </c>
      <c r="H351" s="1035" t="str">
        <f ca="1">IF(tblDias[[#This Row],[Fecha]]&gt;TODAY(),"Pendiente",IF(tblDias[[#This Row],[Horas cargadas]]=0,"Sin datos",IF(tblDias[[#This Row],[Horas cargadas]]&lt;tblDias[[#This Row],[Horas esperadas]],"Parcial","Completo")))</f>
        <v>Pendiente</v>
      </c>
      <c r="I351" s="1037">
        <f>COUNTIFS(tblRDO[Fecha],tblDias[[#This Row],[Fecha]])</f>
        <v>0</v>
      </c>
      <c r="J351" s="1038" t="str">
        <f ca="1">IF(tblDias[[#This Row],[Fecha]]&gt;TODAY(),"Pendiente",IF(tblDias[[#This Row],[Filas RDO]]=0,"Sin RDO","Cargado"))</f>
        <v>Pendiente</v>
      </c>
      <c r="K351" s="972">
        <f>COUNTIFS(tblControles[Fecha],tblDias[[#This Row],[Fecha]],tblControles[Turno],"&lt;&gt;Obs")</f>
        <v>0</v>
      </c>
      <c r="L351" s="971">
        <f>SUMIFS(tblParadas[Horas perdidas],tblParadas[Fecha],tblDias[[#This Row],[Fecha]])</f>
        <v>0</v>
      </c>
      <c r="M351" s="1040"/>
      <c r="N351" s="953"/>
      <c r="O351" s="1040"/>
    </row>
    <row r="352" spans="2:15">
      <c r="B352" s="1041">
        <v>46607</v>
      </c>
      <c r="C352" s="1034" t="str">
        <f>CHOOSE(WEEKDAY(tblDias[[#This Row],[Fecha]],2),"lun","mar","mié","jue","vie","sáb","dom")</f>
        <v>dom</v>
      </c>
      <c r="D352" s="1039" t="s">
        <v>9256</v>
      </c>
      <c r="E352" s="1035">
        <f>COUNTIFS(tblConcentrado[Fecha],tblDias[[#This Row],[Fecha]])</f>
        <v>0</v>
      </c>
      <c r="F352" s="1035">
        <f t="shared" si="5"/>
        <v>24</v>
      </c>
      <c r="G352" s="1036">
        <f>IF(tblDias[[#This Row],[Horas esperadas]]=0,0,tblDias[[#This Row],[Horas cargadas]]/tblDias[[#This Row],[Horas esperadas]])</f>
        <v>0</v>
      </c>
      <c r="H352" s="1035" t="str">
        <f ca="1">IF(tblDias[[#This Row],[Fecha]]&gt;TODAY(),"Pendiente",IF(tblDias[[#This Row],[Horas cargadas]]=0,"Sin datos",IF(tblDias[[#This Row],[Horas cargadas]]&lt;tblDias[[#This Row],[Horas esperadas]],"Parcial","Completo")))</f>
        <v>Pendiente</v>
      </c>
      <c r="I352" s="1037">
        <f>COUNTIFS(tblRDO[Fecha],tblDias[[#This Row],[Fecha]])</f>
        <v>0</v>
      </c>
      <c r="J352" s="1038" t="str">
        <f ca="1">IF(tblDias[[#This Row],[Fecha]]&gt;TODAY(),"Pendiente",IF(tblDias[[#This Row],[Filas RDO]]=0,"Sin RDO","Cargado"))</f>
        <v>Pendiente</v>
      </c>
      <c r="K352" s="972">
        <f>COUNTIFS(tblControles[Fecha],tblDias[[#This Row],[Fecha]],tblControles[Turno],"&lt;&gt;Obs")</f>
        <v>0</v>
      </c>
      <c r="L352" s="971">
        <f>SUMIFS(tblParadas[Horas perdidas],tblParadas[Fecha],tblDias[[#This Row],[Fecha]])</f>
        <v>0</v>
      </c>
      <c r="M352" s="1040"/>
      <c r="N352" s="953"/>
      <c r="O352" s="1040"/>
    </row>
    <row r="353" spans="2:15">
      <c r="B353" s="1041">
        <v>46608</v>
      </c>
      <c r="C353" s="1034" t="str">
        <f>CHOOSE(WEEKDAY(tblDias[[#This Row],[Fecha]],2),"lun","mar","mié","jue","vie","sáb","dom")</f>
        <v>lun</v>
      </c>
      <c r="D353" s="1039" t="s">
        <v>9256</v>
      </c>
      <c r="E353" s="1035">
        <f>COUNTIFS(tblConcentrado[Fecha],tblDias[[#This Row],[Fecha]])</f>
        <v>0</v>
      </c>
      <c r="F353" s="1035">
        <f t="shared" si="5"/>
        <v>24</v>
      </c>
      <c r="G353" s="1036">
        <f>IF(tblDias[[#This Row],[Horas esperadas]]=0,0,tblDias[[#This Row],[Horas cargadas]]/tblDias[[#This Row],[Horas esperadas]])</f>
        <v>0</v>
      </c>
      <c r="H353" s="1035" t="str">
        <f ca="1">IF(tblDias[[#This Row],[Fecha]]&gt;TODAY(),"Pendiente",IF(tblDias[[#This Row],[Horas cargadas]]=0,"Sin datos",IF(tblDias[[#This Row],[Horas cargadas]]&lt;tblDias[[#This Row],[Horas esperadas]],"Parcial","Completo")))</f>
        <v>Pendiente</v>
      </c>
      <c r="I353" s="1037">
        <f>COUNTIFS(tblRDO[Fecha],tblDias[[#This Row],[Fecha]])</f>
        <v>0</v>
      </c>
      <c r="J353" s="1038" t="str">
        <f ca="1">IF(tblDias[[#This Row],[Fecha]]&gt;TODAY(),"Pendiente",IF(tblDias[[#This Row],[Filas RDO]]=0,"Sin RDO","Cargado"))</f>
        <v>Pendiente</v>
      </c>
      <c r="K353" s="972">
        <f>COUNTIFS(tblControles[Fecha],tblDias[[#This Row],[Fecha]],tblControles[Turno],"&lt;&gt;Obs")</f>
        <v>0</v>
      </c>
      <c r="L353" s="971">
        <f>SUMIFS(tblParadas[Horas perdidas],tblParadas[Fecha],tblDias[[#This Row],[Fecha]])</f>
        <v>0</v>
      </c>
      <c r="M353" s="1040"/>
      <c r="N353" s="953"/>
      <c r="O353" s="1040"/>
    </row>
    <row r="354" spans="2:15">
      <c r="B354" s="1041">
        <v>46609</v>
      </c>
      <c r="C354" s="1034" t="str">
        <f>CHOOSE(WEEKDAY(tblDias[[#This Row],[Fecha]],2),"lun","mar","mié","jue","vie","sáb","dom")</f>
        <v>mar</v>
      </c>
      <c r="D354" s="1039" t="s">
        <v>9256</v>
      </c>
      <c r="E354" s="1035">
        <f>COUNTIFS(tblConcentrado[Fecha],tblDias[[#This Row],[Fecha]])</f>
        <v>0</v>
      </c>
      <c r="F354" s="1035">
        <f t="shared" si="5"/>
        <v>24</v>
      </c>
      <c r="G354" s="1036">
        <f>IF(tblDias[[#This Row],[Horas esperadas]]=0,0,tblDias[[#This Row],[Horas cargadas]]/tblDias[[#This Row],[Horas esperadas]])</f>
        <v>0</v>
      </c>
      <c r="H354" s="1035" t="str">
        <f ca="1">IF(tblDias[[#This Row],[Fecha]]&gt;TODAY(),"Pendiente",IF(tblDias[[#This Row],[Horas cargadas]]=0,"Sin datos",IF(tblDias[[#This Row],[Horas cargadas]]&lt;tblDias[[#This Row],[Horas esperadas]],"Parcial","Completo")))</f>
        <v>Pendiente</v>
      </c>
      <c r="I354" s="1037">
        <f>COUNTIFS(tblRDO[Fecha],tblDias[[#This Row],[Fecha]])</f>
        <v>0</v>
      </c>
      <c r="J354" s="1038" t="str">
        <f ca="1">IF(tblDias[[#This Row],[Fecha]]&gt;TODAY(),"Pendiente",IF(tblDias[[#This Row],[Filas RDO]]=0,"Sin RDO","Cargado"))</f>
        <v>Pendiente</v>
      </c>
      <c r="K354" s="972">
        <f>COUNTIFS(tblControles[Fecha],tblDias[[#This Row],[Fecha]],tblControles[Turno],"&lt;&gt;Obs")</f>
        <v>0</v>
      </c>
      <c r="L354" s="971">
        <f>SUMIFS(tblParadas[Horas perdidas],tblParadas[Fecha],tblDias[[#This Row],[Fecha]])</f>
        <v>0</v>
      </c>
      <c r="M354" s="1040"/>
      <c r="N354" s="953"/>
      <c r="O354" s="1040"/>
    </row>
    <row r="355" spans="2:15">
      <c r="B355" s="1041">
        <v>46610</v>
      </c>
      <c r="C355" s="1034" t="str">
        <f>CHOOSE(WEEKDAY(tblDias[[#This Row],[Fecha]],2),"lun","mar","mié","jue","vie","sáb","dom")</f>
        <v>mié</v>
      </c>
      <c r="D355" s="1039" t="s">
        <v>9256</v>
      </c>
      <c r="E355" s="1035">
        <f>COUNTIFS(tblConcentrado[Fecha],tblDias[[#This Row],[Fecha]])</f>
        <v>0</v>
      </c>
      <c r="F355" s="1035">
        <f t="shared" si="5"/>
        <v>24</v>
      </c>
      <c r="G355" s="1036">
        <f>IF(tblDias[[#This Row],[Horas esperadas]]=0,0,tblDias[[#This Row],[Horas cargadas]]/tblDias[[#This Row],[Horas esperadas]])</f>
        <v>0</v>
      </c>
      <c r="H355" s="1035" t="str">
        <f ca="1">IF(tblDias[[#This Row],[Fecha]]&gt;TODAY(),"Pendiente",IF(tblDias[[#This Row],[Horas cargadas]]=0,"Sin datos",IF(tblDias[[#This Row],[Horas cargadas]]&lt;tblDias[[#This Row],[Horas esperadas]],"Parcial","Completo")))</f>
        <v>Pendiente</v>
      </c>
      <c r="I355" s="1037">
        <f>COUNTIFS(tblRDO[Fecha],tblDias[[#This Row],[Fecha]])</f>
        <v>0</v>
      </c>
      <c r="J355" s="1038" t="str">
        <f ca="1">IF(tblDias[[#This Row],[Fecha]]&gt;TODAY(),"Pendiente",IF(tblDias[[#This Row],[Filas RDO]]=0,"Sin RDO","Cargado"))</f>
        <v>Pendiente</v>
      </c>
      <c r="K355" s="972">
        <f>COUNTIFS(tblControles[Fecha],tblDias[[#This Row],[Fecha]],tblControles[Turno],"&lt;&gt;Obs")</f>
        <v>0</v>
      </c>
      <c r="L355" s="971">
        <f>SUMIFS(tblParadas[Horas perdidas],tblParadas[Fecha],tblDias[[#This Row],[Fecha]])</f>
        <v>0</v>
      </c>
      <c r="M355" s="1040"/>
      <c r="N355" s="953"/>
      <c r="O355" s="1040"/>
    </row>
    <row r="356" spans="2:15">
      <c r="B356" s="1041">
        <v>46611</v>
      </c>
      <c r="C356" s="1034" t="str">
        <f>CHOOSE(WEEKDAY(tblDias[[#This Row],[Fecha]],2),"lun","mar","mié","jue","vie","sáb","dom")</f>
        <v>jue</v>
      </c>
      <c r="D356" s="1039" t="s">
        <v>9256</v>
      </c>
      <c r="E356" s="1035">
        <f>COUNTIFS(tblConcentrado[Fecha],tblDias[[#This Row],[Fecha]])</f>
        <v>0</v>
      </c>
      <c r="F356" s="1035">
        <f t="shared" si="5"/>
        <v>24</v>
      </c>
      <c r="G356" s="1036">
        <f>IF(tblDias[[#This Row],[Horas esperadas]]=0,0,tblDias[[#This Row],[Horas cargadas]]/tblDias[[#This Row],[Horas esperadas]])</f>
        <v>0</v>
      </c>
      <c r="H356" s="1035" t="str">
        <f ca="1">IF(tblDias[[#This Row],[Fecha]]&gt;TODAY(),"Pendiente",IF(tblDias[[#This Row],[Horas cargadas]]=0,"Sin datos",IF(tblDias[[#This Row],[Horas cargadas]]&lt;tblDias[[#This Row],[Horas esperadas]],"Parcial","Completo")))</f>
        <v>Pendiente</v>
      </c>
      <c r="I356" s="1037">
        <f>COUNTIFS(tblRDO[Fecha],tblDias[[#This Row],[Fecha]])</f>
        <v>0</v>
      </c>
      <c r="J356" s="1038" t="str">
        <f ca="1">IF(tblDias[[#This Row],[Fecha]]&gt;TODAY(),"Pendiente",IF(tblDias[[#This Row],[Filas RDO]]=0,"Sin RDO","Cargado"))</f>
        <v>Pendiente</v>
      </c>
      <c r="K356" s="972">
        <f>COUNTIFS(tblControles[Fecha],tblDias[[#This Row],[Fecha]],tblControles[Turno],"&lt;&gt;Obs")</f>
        <v>0</v>
      </c>
      <c r="L356" s="971">
        <f>SUMIFS(tblParadas[Horas perdidas],tblParadas[Fecha],tblDias[[#This Row],[Fecha]])</f>
        <v>0</v>
      </c>
      <c r="M356" s="1040"/>
      <c r="N356" s="953"/>
      <c r="O356" s="1040"/>
    </row>
    <row r="357" spans="2:15">
      <c r="B357" s="1041">
        <v>46612</v>
      </c>
      <c r="C357" s="1034" t="str">
        <f>CHOOSE(WEEKDAY(tblDias[[#This Row],[Fecha]],2),"lun","mar","mié","jue","vie","sáb","dom")</f>
        <v>vie</v>
      </c>
      <c r="D357" s="1039" t="s">
        <v>9256</v>
      </c>
      <c r="E357" s="1035">
        <f>COUNTIFS(tblConcentrado[Fecha],tblDias[[#This Row],[Fecha]])</f>
        <v>0</v>
      </c>
      <c r="F357" s="1035">
        <f t="shared" si="5"/>
        <v>24</v>
      </c>
      <c r="G357" s="1036">
        <f>IF(tblDias[[#This Row],[Horas esperadas]]=0,0,tblDias[[#This Row],[Horas cargadas]]/tblDias[[#This Row],[Horas esperadas]])</f>
        <v>0</v>
      </c>
      <c r="H357" s="1035" t="str">
        <f ca="1">IF(tblDias[[#This Row],[Fecha]]&gt;TODAY(),"Pendiente",IF(tblDias[[#This Row],[Horas cargadas]]=0,"Sin datos",IF(tblDias[[#This Row],[Horas cargadas]]&lt;tblDias[[#This Row],[Horas esperadas]],"Parcial","Completo")))</f>
        <v>Pendiente</v>
      </c>
      <c r="I357" s="1037">
        <f>COUNTIFS(tblRDO[Fecha],tblDias[[#This Row],[Fecha]])</f>
        <v>0</v>
      </c>
      <c r="J357" s="1038" t="str">
        <f ca="1">IF(tblDias[[#This Row],[Fecha]]&gt;TODAY(),"Pendiente",IF(tblDias[[#This Row],[Filas RDO]]=0,"Sin RDO","Cargado"))</f>
        <v>Pendiente</v>
      </c>
      <c r="K357" s="972">
        <f>COUNTIFS(tblControles[Fecha],tblDias[[#This Row],[Fecha]],tblControles[Turno],"&lt;&gt;Obs")</f>
        <v>0</v>
      </c>
      <c r="L357" s="971">
        <f>SUMIFS(tblParadas[Horas perdidas],tblParadas[Fecha],tblDias[[#This Row],[Fecha]])</f>
        <v>0</v>
      </c>
      <c r="M357" s="1040"/>
      <c r="N357" s="953"/>
      <c r="O357" s="1040"/>
    </row>
    <row r="358" spans="2:15">
      <c r="B358" s="1041">
        <v>46613</v>
      </c>
      <c r="C358" s="1034" t="str">
        <f>CHOOSE(WEEKDAY(tblDias[[#This Row],[Fecha]],2),"lun","mar","mié","jue","vie","sáb","dom")</f>
        <v>sáb</v>
      </c>
      <c r="D358" s="1039" t="s">
        <v>9256</v>
      </c>
      <c r="E358" s="1035">
        <f>COUNTIFS(tblConcentrado[Fecha],tblDias[[#This Row],[Fecha]])</f>
        <v>0</v>
      </c>
      <c r="F358" s="1035">
        <f t="shared" si="5"/>
        <v>24</v>
      </c>
      <c r="G358" s="1036">
        <f>IF(tblDias[[#This Row],[Horas esperadas]]=0,0,tblDias[[#This Row],[Horas cargadas]]/tblDias[[#This Row],[Horas esperadas]])</f>
        <v>0</v>
      </c>
      <c r="H358" s="1035" t="str">
        <f ca="1">IF(tblDias[[#This Row],[Fecha]]&gt;TODAY(),"Pendiente",IF(tblDias[[#This Row],[Horas cargadas]]=0,"Sin datos",IF(tblDias[[#This Row],[Horas cargadas]]&lt;tblDias[[#This Row],[Horas esperadas]],"Parcial","Completo")))</f>
        <v>Pendiente</v>
      </c>
      <c r="I358" s="1037">
        <f>COUNTIFS(tblRDO[Fecha],tblDias[[#This Row],[Fecha]])</f>
        <v>0</v>
      </c>
      <c r="J358" s="1038" t="str">
        <f ca="1">IF(tblDias[[#This Row],[Fecha]]&gt;TODAY(),"Pendiente",IF(tblDias[[#This Row],[Filas RDO]]=0,"Sin RDO","Cargado"))</f>
        <v>Pendiente</v>
      </c>
      <c r="K358" s="972">
        <f>COUNTIFS(tblControles[Fecha],tblDias[[#This Row],[Fecha]],tblControles[Turno],"&lt;&gt;Obs")</f>
        <v>0</v>
      </c>
      <c r="L358" s="971">
        <f>SUMIFS(tblParadas[Horas perdidas],tblParadas[Fecha],tblDias[[#This Row],[Fecha]])</f>
        <v>0</v>
      </c>
      <c r="M358" s="1040"/>
      <c r="N358" s="953"/>
      <c r="O358" s="1040"/>
    </row>
    <row r="359" spans="2:15">
      <c r="B359" s="1041">
        <v>46614</v>
      </c>
      <c r="C359" s="1034" t="str">
        <f>CHOOSE(WEEKDAY(tblDias[[#This Row],[Fecha]],2),"lun","mar","mié","jue","vie","sáb","dom")</f>
        <v>dom</v>
      </c>
      <c r="D359" s="1039" t="s">
        <v>9256</v>
      </c>
      <c r="E359" s="1035">
        <f>COUNTIFS(tblConcentrado[Fecha],tblDias[[#This Row],[Fecha]])</f>
        <v>0</v>
      </c>
      <c r="F359" s="1035">
        <f t="shared" si="5"/>
        <v>24</v>
      </c>
      <c r="G359" s="1036">
        <f>IF(tblDias[[#This Row],[Horas esperadas]]=0,0,tblDias[[#This Row],[Horas cargadas]]/tblDias[[#This Row],[Horas esperadas]])</f>
        <v>0</v>
      </c>
      <c r="H359" s="1035" t="str">
        <f ca="1">IF(tblDias[[#This Row],[Fecha]]&gt;TODAY(),"Pendiente",IF(tblDias[[#This Row],[Horas cargadas]]=0,"Sin datos",IF(tblDias[[#This Row],[Horas cargadas]]&lt;tblDias[[#This Row],[Horas esperadas]],"Parcial","Completo")))</f>
        <v>Pendiente</v>
      </c>
      <c r="I359" s="1037">
        <f>COUNTIFS(tblRDO[Fecha],tblDias[[#This Row],[Fecha]])</f>
        <v>0</v>
      </c>
      <c r="J359" s="1038" t="str">
        <f ca="1">IF(tblDias[[#This Row],[Fecha]]&gt;TODAY(),"Pendiente",IF(tblDias[[#This Row],[Filas RDO]]=0,"Sin RDO","Cargado"))</f>
        <v>Pendiente</v>
      </c>
      <c r="K359" s="972">
        <f>COUNTIFS(tblControles[Fecha],tblDias[[#This Row],[Fecha]],tblControles[Turno],"&lt;&gt;Obs")</f>
        <v>0</v>
      </c>
      <c r="L359" s="971">
        <f>SUMIFS(tblParadas[Horas perdidas],tblParadas[Fecha],tblDias[[#This Row],[Fecha]])</f>
        <v>0</v>
      </c>
      <c r="M359" s="1040"/>
      <c r="N359" s="953"/>
      <c r="O359" s="1040"/>
    </row>
    <row r="360" spans="2:15">
      <c r="B360" s="1041">
        <v>46615</v>
      </c>
      <c r="C360" s="1034" t="str">
        <f>CHOOSE(WEEKDAY(tblDias[[#This Row],[Fecha]],2),"lun","mar","mié","jue","vie","sáb","dom")</f>
        <v>lun</v>
      </c>
      <c r="D360" s="1039" t="s">
        <v>9256</v>
      </c>
      <c r="E360" s="1035">
        <f>COUNTIFS(tblConcentrado[Fecha],tblDias[[#This Row],[Fecha]])</f>
        <v>0</v>
      </c>
      <c r="F360" s="1035">
        <f t="shared" si="5"/>
        <v>24</v>
      </c>
      <c r="G360" s="1036">
        <f>IF(tblDias[[#This Row],[Horas esperadas]]=0,0,tblDias[[#This Row],[Horas cargadas]]/tblDias[[#This Row],[Horas esperadas]])</f>
        <v>0</v>
      </c>
      <c r="H360" s="1035" t="str">
        <f ca="1">IF(tblDias[[#This Row],[Fecha]]&gt;TODAY(),"Pendiente",IF(tblDias[[#This Row],[Horas cargadas]]=0,"Sin datos",IF(tblDias[[#This Row],[Horas cargadas]]&lt;tblDias[[#This Row],[Horas esperadas]],"Parcial","Completo")))</f>
        <v>Pendiente</v>
      </c>
      <c r="I360" s="1037">
        <f>COUNTIFS(tblRDO[Fecha],tblDias[[#This Row],[Fecha]])</f>
        <v>0</v>
      </c>
      <c r="J360" s="1038" t="str">
        <f ca="1">IF(tblDias[[#This Row],[Fecha]]&gt;TODAY(),"Pendiente",IF(tblDias[[#This Row],[Filas RDO]]=0,"Sin RDO","Cargado"))</f>
        <v>Pendiente</v>
      </c>
      <c r="K360" s="972">
        <f>COUNTIFS(tblControles[Fecha],tblDias[[#This Row],[Fecha]],tblControles[Turno],"&lt;&gt;Obs")</f>
        <v>0</v>
      </c>
      <c r="L360" s="971">
        <f>SUMIFS(tblParadas[Horas perdidas],tblParadas[Fecha],tblDias[[#This Row],[Fecha]])</f>
        <v>0</v>
      </c>
      <c r="M360" s="1040"/>
      <c r="N360" s="953"/>
      <c r="O360" s="1040"/>
    </row>
    <row r="361" spans="2:15">
      <c r="B361" s="1041">
        <v>46616</v>
      </c>
      <c r="C361" s="1034" t="str">
        <f>CHOOSE(WEEKDAY(tblDias[[#This Row],[Fecha]],2),"lun","mar","mié","jue","vie","sáb","dom")</f>
        <v>mar</v>
      </c>
      <c r="D361" s="1039" t="s">
        <v>9256</v>
      </c>
      <c r="E361" s="1035">
        <f>COUNTIFS(tblConcentrado[Fecha],tblDias[[#This Row],[Fecha]])</f>
        <v>0</v>
      </c>
      <c r="F361" s="1035">
        <f t="shared" si="5"/>
        <v>24</v>
      </c>
      <c r="G361" s="1036">
        <f>IF(tblDias[[#This Row],[Horas esperadas]]=0,0,tblDias[[#This Row],[Horas cargadas]]/tblDias[[#This Row],[Horas esperadas]])</f>
        <v>0</v>
      </c>
      <c r="H361" s="1035" t="str">
        <f ca="1">IF(tblDias[[#This Row],[Fecha]]&gt;TODAY(),"Pendiente",IF(tblDias[[#This Row],[Horas cargadas]]=0,"Sin datos",IF(tblDias[[#This Row],[Horas cargadas]]&lt;tblDias[[#This Row],[Horas esperadas]],"Parcial","Completo")))</f>
        <v>Pendiente</v>
      </c>
      <c r="I361" s="1037">
        <f>COUNTIFS(tblRDO[Fecha],tblDias[[#This Row],[Fecha]])</f>
        <v>0</v>
      </c>
      <c r="J361" s="1038" t="str">
        <f ca="1">IF(tblDias[[#This Row],[Fecha]]&gt;TODAY(),"Pendiente",IF(tblDias[[#This Row],[Filas RDO]]=0,"Sin RDO","Cargado"))</f>
        <v>Pendiente</v>
      </c>
      <c r="K361" s="972">
        <f>COUNTIFS(tblControles[Fecha],tblDias[[#This Row],[Fecha]],tblControles[Turno],"&lt;&gt;Obs")</f>
        <v>0</v>
      </c>
      <c r="L361" s="971">
        <f>SUMIFS(tblParadas[Horas perdidas],tblParadas[Fecha],tblDias[[#This Row],[Fecha]])</f>
        <v>0</v>
      </c>
      <c r="M361" s="1040"/>
      <c r="N361" s="953"/>
      <c r="O361" s="1040"/>
    </row>
    <row r="362" spans="2:15">
      <c r="B362" s="1041">
        <v>46617</v>
      </c>
      <c r="C362" s="1034" t="str">
        <f>CHOOSE(WEEKDAY(tblDias[[#This Row],[Fecha]],2),"lun","mar","mié","jue","vie","sáb","dom")</f>
        <v>mié</v>
      </c>
      <c r="D362" s="1039" t="s">
        <v>9256</v>
      </c>
      <c r="E362" s="1035">
        <f>COUNTIFS(tblConcentrado[Fecha],tblDias[[#This Row],[Fecha]])</f>
        <v>0</v>
      </c>
      <c r="F362" s="1035">
        <f t="shared" si="5"/>
        <v>24</v>
      </c>
      <c r="G362" s="1036">
        <f>IF(tblDias[[#This Row],[Horas esperadas]]=0,0,tblDias[[#This Row],[Horas cargadas]]/tblDias[[#This Row],[Horas esperadas]])</f>
        <v>0</v>
      </c>
      <c r="H362" s="1035" t="str">
        <f ca="1">IF(tblDias[[#This Row],[Fecha]]&gt;TODAY(),"Pendiente",IF(tblDias[[#This Row],[Horas cargadas]]=0,"Sin datos",IF(tblDias[[#This Row],[Horas cargadas]]&lt;tblDias[[#This Row],[Horas esperadas]],"Parcial","Completo")))</f>
        <v>Pendiente</v>
      </c>
      <c r="I362" s="1037">
        <f>COUNTIFS(tblRDO[Fecha],tblDias[[#This Row],[Fecha]])</f>
        <v>0</v>
      </c>
      <c r="J362" s="1038" t="str">
        <f ca="1">IF(tblDias[[#This Row],[Fecha]]&gt;TODAY(),"Pendiente",IF(tblDias[[#This Row],[Filas RDO]]=0,"Sin RDO","Cargado"))</f>
        <v>Pendiente</v>
      </c>
      <c r="K362" s="972">
        <f>COUNTIFS(tblControles[Fecha],tblDias[[#This Row],[Fecha]],tblControles[Turno],"&lt;&gt;Obs")</f>
        <v>0</v>
      </c>
      <c r="L362" s="971">
        <f>SUMIFS(tblParadas[Horas perdidas],tblParadas[Fecha],tblDias[[#This Row],[Fecha]])</f>
        <v>0</v>
      </c>
      <c r="M362" s="1040"/>
      <c r="N362" s="953"/>
      <c r="O362" s="1040"/>
    </row>
    <row r="363" spans="2:15">
      <c r="B363" s="1041">
        <v>46618</v>
      </c>
      <c r="C363" s="1034" t="str">
        <f>CHOOSE(WEEKDAY(tblDias[[#This Row],[Fecha]],2),"lun","mar","mié","jue","vie","sáb","dom")</f>
        <v>jue</v>
      </c>
      <c r="D363" s="1039" t="s">
        <v>9256</v>
      </c>
      <c r="E363" s="1035">
        <f>COUNTIFS(tblConcentrado[Fecha],tblDias[[#This Row],[Fecha]])</f>
        <v>0</v>
      </c>
      <c r="F363" s="1035">
        <f t="shared" si="5"/>
        <v>24</v>
      </c>
      <c r="G363" s="1036">
        <f>IF(tblDias[[#This Row],[Horas esperadas]]=0,0,tblDias[[#This Row],[Horas cargadas]]/tblDias[[#This Row],[Horas esperadas]])</f>
        <v>0</v>
      </c>
      <c r="H363" s="1035" t="str">
        <f ca="1">IF(tblDias[[#This Row],[Fecha]]&gt;TODAY(),"Pendiente",IF(tblDias[[#This Row],[Horas cargadas]]=0,"Sin datos",IF(tblDias[[#This Row],[Horas cargadas]]&lt;tblDias[[#This Row],[Horas esperadas]],"Parcial","Completo")))</f>
        <v>Pendiente</v>
      </c>
      <c r="I363" s="1037">
        <f>COUNTIFS(tblRDO[Fecha],tblDias[[#This Row],[Fecha]])</f>
        <v>0</v>
      </c>
      <c r="J363" s="1038" t="str">
        <f ca="1">IF(tblDias[[#This Row],[Fecha]]&gt;TODAY(),"Pendiente",IF(tblDias[[#This Row],[Filas RDO]]=0,"Sin RDO","Cargado"))</f>
        <v>Pendiente</v>
      </c>
      <c r="K363" s="972">
        <f>COUNTIFS(tblControles[Fecha],tblDias[[#This Row],[Fecha]],tblControles[Turno],"&lt;&gt;Obs")</f>
        <v>0</v>
      </c>
      <c r="L363" s="971">
        <f>SUMIFS(tblParadas[Horas perdidas],tblParadas[Fecha],tblDias[[#This Row],[Fecha]])</f>
        <v>0</v>
      </c>
      <c r="M363" s="1040"/>
      <c r="N363" s="953"/>
      <c r="O363" s="1040"/>
    </row>
    <row r="364" spans="2:15">
      <c r="B364" s="1041">
        <v>46619</v>
      </c>
      <c r="C364" s="1034" t="str">
        <f>CHOOSE(WEEKDAY(tblDias[[#This Row],[Fecha]],2),"lun","mar","mié","jue","vie","sáb","dom")</f>
        <v>vie</v>
      </c>
      <c r="D364" s="1039" t="s">
        <v>9256</v>
      </c>
      <c r="E364" s="1035">
        <f>COUNTIFS(tblConcentrado[Fecha],tblDias[[#This Row],[Fecha]])</f>
        <v>0</v>
      </c>
      <c r="F364" s="1035">
        <f t="shared" si="5"/>
        <v>24</v>
      </c>
      <c r="G364" s="1036">
        <f>IF(tblDias[[#This Row],[Horas esperadas]]=0,0,tblDias[[#This Row],[Horas cargadas]]/tblDias[[#This Row],[Horas esperadas]])</f>
        <v>0</v>
      </c>
      <c r="H364" s="1035" t="str">
        <f ca="1">IF(tblDias[[#This Row],[Fecha]]&gt;TODAY(),"Pendiente",IF(tblDias[[#This Row],[Horas cargadas]]=0,"Sin datos",IF(tblDias[[#This Row],[Horas cargadas]]&lt;tblDias[[#This Row],[Horas esperadas]],"Parcial","Completo")))</f>
        <v>Pendiente</v>
      </c>
      <c r="I364" s="1037">
        <f>COUNTIFS(tblRDO[Fecha],tblDias[[#This Row],[Fecha]])</f>
        <v>0</v>
      </c>
      <c r="J364" s="1038" t="str">
        <f ca="1">IF(tblDias[[#This Row],[Fecha]]&gt;TODAY(),"Pendiente",IF(tblDias[[#This Row],[Filas RDO]]=0,"Sin RDO","Cargado"))</f>
        <v>Pendiente</v>
      </c>
      <c r="K364" s="972">
        <f>COUNTIFS(tblControles[Fecha],tblDias[[#This Row],[Fecha]],tblControles[Turno],"&lt;&gt;Obs")</f>
        <v>0</v>
      </c>
      <c r="L364" s="971">
        <f>SUMIFS(tblParadas[Horas perdidas],tblParadas[Fecha],tblDias[[#This Row],[Fecha]])</f>
        <v>0</v>
      </c>
      <c r="M364" s="1040"/>
      <c r="N364" s="953"/>
      <c r="O364" s="1040"/>
    </row>
    <row r="365" spans="2:15">
      <c r="B365" s="1041">
        <v>46620</v>
      </c>
      <c r="C365" s="1034" t="str">
        <f>CHOOSE(WEEKDAY(tblDias[[#This Row],[Fecha]],2),"lun","mar","mié","jue","vie","sáb","dom")</f>
        <v>sáb</v>
      </c>
      <c r="D365" s="1039" t="s">
        <v>9256</v>
      </c>
      <c r="E365" s="1035">
        <f>COUNTIFS(tblConcentrado[Fecha],tblDias[[#This Row],[Fecha]])</f>
        <v>0</v>
      </c>
      <c r="F365" s="1035">
        <f t="shared" si="5"/>
        <v>24</v>
      </c>
      <c r="G365" s="1036">
        <f>IF(tblDias[[#This Row],[Horas esperadas]]=0,0,tblDias[[#This Row],[Horas cargadas]]/tblDias[[#This Row],[Horas esperadas]])</f>
        <v>0</v>
      </c>
      <c r="H365" s="1035" t="str">
        <f ca="1">IF(tblDias[[#This Row],[Fecha]]&gt;TODAY(),"Pendiente",IF(tblDias[[#This Row],[Horas cargadas]]=0,"Sin datos",IF(tblDias[[#This Row],[Horas cargadas]]&lt;tblDias[[#This Row],[Horas esperadas]],"Parcial","Completo")))</f>
        <v>Pendiente</v>
      </c>
      <c r="I365" s="1037">
        <f>COUNTIFS(tblRDO[Fecha],tblDias[[#This Row],[Fecha]])</f>
        <v>0</v>
      </c>
      <c r="J365" s="1038" t="str">
        <f ca="1">IF(tblDias[[#This Row],[Fecha]]&gt;TODAY(),"Pendiente",IF(tblDias[[#This Row],[Filas RDO]]=0,"Sin RDO","Cargado"))</f>
        <v>Pendiente</v>
      </c>
      <c r="K365" s="972">
        <f>COUNTIFS(tblControles[Fecha],tblDias[[#This Row],[Fecha]],tblControles[Turno],"&lt;&gt;Obs")</f>
        <v>0</v>
      </c>
      <c r="L365" s="971">
        <f>SUMIFS(tblParadas[Horas perdidas],tblParadas[Fecha],tblDias[[#This Row],[Fecha]])</f>
        <v>0</v>
      </c>
      <c r="M365" s="1040"/>
      <c r="N365" s="953"/>
      <c r="O365" s="1040"/>
    </row>
    <row r="366" spans="2:15">
      <c r="B366" s="1041">
        <v>46621</v>
      </c>
      <c r="C366" s="1034" t="str">
        <f>CHOOSE(WEEKDAY(tblDias[[#This Row],[Fecha]],2),"lun","mar","mié","jue","vie","sáb","dom")</f>
        <v>dom</v>
      </c>
      <c r="D366" s="1039" t="s">
        <v>9256</v>
      </c>
      <c r="E366" s="1035">
        <f>COUNTIFS(tblConcentrado[Fecha],tblDias[[#This Row],[Fecha]])</f>
        <v>0</v>
      </c>
      <c r="F366" s="1035">
        <f t="shared" si="5"/>
        <v>24</v>
      </c>
      <c r="G366" s="1036">
        <f>IF(tblDias[[#This Row],[Horas esperadas]]=0,0,tblDias[[#This Row],[Horas cargadas]]/tblDias[[#This Row],[Horas esperadas]])</f>
        <v>0</v>
      </c>
      <c r="H366" s="1035" t="str">
        <f ca="1">IF(tblDias[[#This Row],[Fecha]]&gt;TODAY(),"Pendiente",IF(tblDias[[#This Row],[Horas cargadas]]=0,"Sin datos",IF(tblDias[[#This Row],[Horas cargadas]]&lt;tblDias[[#This Row],[Horas esperadas]],"Parcial","Completo")))</f>
        <v>Pendiente</v>
      </c>
      <c r="I366" s="1037">
        <f>COUNTIFS(tblRDO[Fecha],tblDias[[#This Row],[Fecha]])</f>
        <v>0</v>
      </c>
      <c r="J366" s="1038" t="str">
        <f ca="1">IF(tblDias[[#This Row],[Fecha]]&gt;TODAY(),"Pendiente",IF(tblDias[[#This Row],[Filas RDO]]=0,"Sin RDO","Cargado"))</f>
        <v>Pendiente</v>
      </c>
      <c r="K366" s="972">
        <f>COUNTIFS(tblControles[Fecha],tblDias[[#This Row],[Fecha]],tblControles[Turno],"&lt;&gt;Obs")</f>
        <v>0</v>
      </c>
      <c r="L366" s="971">
        <f>SUMIFS(tblParadas[Horas perdidas],tblParadas[Fecha],tblDias[[#This Row],[Fecha]])</f>
        <v>0</v>
      </c>
      <c r="M366" s="1040"/>
      <c r="N366" s="953"/>
      <c r="O366" s="1040"/>
    </row>
    <row r="367" spans="2:15">
      <c r="B367" s="1041">
        <v>46622</v>
      </c>
      <c r="C367" s="1034" t="str">
        <f>CHOOSE(WEEKDAY(tblDias[[#This Row],[Fecha]],2),"lun","mar","mié","jue","vie","sáb","dom")</f>
        <v>lun</v>
      </c>
      <c r="D367" s="1039" t="s">
        <v>9256</v>
      </c>
      <c r="E367" s="1035">
        <f>COUNTIFS(tblConcentrado[Fecha],tblDias[[#This Row],[Fecha]])</f>
        <v>0</v>
      </c>
      <c r="F367" s="1035">
        <f t="shared" si="5"/>
        <v>24</v>
      </c>
      <c r="G367" s="1036">
        <f>IF(tblDias[[#This Row],[Horas esperadas]]=0,0,tblDias[[#This Row],[Horas cargadas]]/tblDias[[#This Row],[Horas esperadas]])</f>
        <v>0</v>
      </c>
      <c r="H367" s="1035" t="str">
        <f ca="1">IF(tblDias[[#This Row],[Fecha]]&gt;TODAY(),"Pendiente",IF(tblDias[[#This Row],[Horas cargadas]]=0,"Sin datos",IF(tblDias[[#This Row],[Horas cargadas]]&lt;tblDias[[#This Row],[Horas esperadas]],"Parcial","Completo")))</f>
        <v>Pendiente</v>
      </c>
      <c r="I367" s="1037">
        <f>COUNTIFS(tblRDO[Fecha],tblDias[[#This Row],[Fecha]])</f>
        <v>0</v>
      </c>
      <c r="J367" s="1038" t="str">
        <f ca="1">IF(tblDias[[#This Row],[Fecha]]&gt;TODAY(),"Pendiente",IF(tblDias[[#This Row],[Filas RDO]]=0,"Sin RDO","Cargado"))</f>
        <v>Pendiente</v>
      </c>
      <c r="K367" s="972">
        <f>COUNTIFS(tblControles[Fecha],tblDias[[#This Row],[Fecha]],tblControles[Turno],"&lt;&gt;Obs")</f>
        <v>0</v>
      </c>
      <c r="L367" s="971">
        <f>SUMIFS(tblParadas[Horas perdidas],tblParadas[Fecha],tblDias[[#This Row],[Fecha]])</f>
        <v>0</v>
      </c>
      <c r="M367" s="1040"/>
      <c r="N367" s="953"/>
      <c r="O367" s="1040"/>
    </row>
    <row r="368" spans="2:15">
      <c r="B368" s="1041">
        <v>46623</v>
      </c>
      <c r="C368" s="1034" t="str">
        <f>CHOOSE(WEEKDAY(tblDias[[#This Row],[Fecha]],2),"lun","mar","mié","jue","vie","sáb","dom")</f>
        <v>mar</v>
      </c>
      <c r="D368" s="1039" t="s">
        <v>9256</v>
      </c>
      <c r="E368" s="1035">
        <f>COUNTIFS(tblConcentrado[Fecha],tblDias[[#This Row],[Fecha]])</f>
        <v>0</v>
      </c>
      <c r="F368" s="1035">
        <f t="shared" si="5"/>
        <v>24</v>
      </c>
      <c r="G368" s="1036">
        <f>IF(tblDias[[#This Row],[Horas esperadas]]=0,0,tblDias[[#This Row],[Horas cargadas]]/tblDias[[#This Row],[Horas esperadas]])</f>
        <v>0</v>
      </c>
      <c r="H368" s="1035" t="str">
        <f ca="1">IF(tblDias[[#This Row],[Fecha]]&gt;TODAY(),"Pendiente",IF(tblDias[[#This Row],[Horas cargadas]]=0,"Sin datos",IF(tblDias[[#This Row],[Horas cargadas]]&lt;tblDias[[#This Row],[Horas esperadas]],"Parcial","Completo")))</f>
        <v>Pendiente</v>
      </c>
      <c r="I368" s="1037">
        <f>COUNTIFS(tblRDO[Fecha],tblDias[[#This Row],[Fecha]])</f>
        <v>0</v>
      </c>
      <c r="J368" s="1038" t="str">
        <f ca="1">IF(tblDias[[#This Row],[Fecha]]&gt;TODAY(),"Pendiente",IF(tblDias[[#This Row],[Filas RDO]]=0,"Sin RDO","Cargado"))</f>
        <v>Pendiente</v>
      </c>
      <c r="K368" s="972">
        <f>COUNTIFS(tblControles[Fecha],tblDias[[#This Row],[Fecha]],tblControles[Turno],"&lt;&gt;Obs")</f>
        <v>0</v>
      </c>
      <c r="L368" s="971">
        <f>SUMIFS(tblParadas[Horas perdidas],tblParadas[Fecha],tblDias[[#This Row],[Fecha]])</f>
        <v>0</v>
      </c>
      <c r="M368" s="1040"/>
      <c r="N368" s="953"/>
      <c r="O368" s="1040"/>
    </row>
    <row r="369" spans="2:15">
      <c r="B369" s="1041">
        <v>46624</v>
      </c>
      <c r="C369" s="1034" t="str">
        <f>CHOOSE(WEEKDAY(tblDias[[#This Row],[Fecha]],2),"lun","mar","mié","jue","vie","sáb","dom")</f>
        <v>mié</v>
      </c>
      <c r="D369" s="1039" t="s">
        <v>9256</v>
      </c>
      <c r="E369" s="1035">
        <f>COUNTIFS(tblConcentrado[Fecha],tblDias[[#This Row],[Fecha]])</f>
        <v>0</v>
      </c>
      <c r="F369" s="1035">
        <f t="shared" si="5"/>
        <v>24</v>
      </c>
      <c r="G369" s="1036">
        <f>IF(tblDias[[#This Row],[Horas esperadas]]=0,0,tblDias[[#This Row],[Horas cargadas]]/tblDias[[#This Row],[Horas esperadas]])</f>
        <v>0</v>
      </c>
      <c r="H369" s="1035" t="str">
        <f ca="1">IF(tblDias[[#This Row],[Fecha]]&gt;TODAY(),"Pendiente",IF(tblDias[[#This Row],[Horas cargadas]]=0,"Sin datos",IF(tblDias[[#This Row],[Horas cargadas]]&lt;tblDias[[#This Row],[Horas esperadas]],"Parcial","Completo")))</f>
        <v>Pendiente</v>
      </c>
      <c r="I369" s="1037">
        <f>COUNTIFS(tblRDO[Fecha],tblDias[[#This Row],[Fecha]])</f>
        <v>0</v>
      </c>
      <c r="J369" s="1038" t="str">
        <f ca="1">IF(tblDias[[#This Row],[Fecha]]&gt;TODAY(),"Pendiente",IF(tblDias[[#This Row],[Filas RDO]]=0,"Sin RDO","Cargado"))</f>
        <v>Pendiente</v>
      </c>
      <c r="K369" s="972">
        <f>COUNTIFS(tblControles[Fecha],tblDias[[#This Row],[Fecha]],tblControles[Turno],"&lt;&gt;Obs")</f>
        <v>0</v>
      </c>
      <c r="L369" s="971">
        <f>SUMIFS(tblParadas[Horas perdidas],tblParadas[Fecha],tblDias[[#This Row],[Fecha]])</f>
        <v>0</v>
      </c>
      <c r="M369" s="1040"/>
      <c r="N369" s="953"/>
      <c r="O369" s="1040"/>
    </row>
    <row r="370" spans="2:15">
      <c r="B370" s="1041">
        <v>46625</v>
      </c>
      <c r="C370" s="1034" t="str">
        <f>CHOOSE(WEEKDAY(tblDias[[#This Row],[Fecha]],2),"lun","mar","mié","jue","vie","sáb","dom")</f>
        <v>jue</v>
      </c>
      <c r="D370" s="1039" t="s">
        <v>9256</v>
      </c>
      <c r="E370" s="1035">
        <f>COUNTIFS(tblConcentrado[Fecha],tblDias[[#This Row],[Fecha]])</f>
        <v>0</v>
      </c>
      <c r="F370" s="1035">
        <f t="shared" si="5"/>
        <v>24</v>
      </c>
      <c r="G370" s="1036">
        <f>IF(tblDias[[#This Row],[Horas esperadas]]=0,0,tblDias[[#This Row],[Horas cargadas]]/tblDias[[#This Row],[Horas esperadas]])</f>
        <v>0</v>
      </c>
      <c r="H370" s="1035" t="str">
        <f ca="1">IF(tblDias[[#This Row],[Fecha]]&gt;TODAY(),"Pendiente",IF(tblDias[[#This Row],[Horas cargadas]]=0,"Sin datos",IF(tblDias[[#This Row],[Horas cargadas]]&lt;tblDias[[#This Row],[Horas esperadas]],"Parcial","Completo")))</f>
        <v>Pendiente</v>
      </c>
      <c r="I370" s="1037">
        <f>COUNTIFS(tblRDO[Fecha],tblDias[[#This Row],[Fecha]])</f>
        <v>0</v>
      </c>
      <c r="J370" s="1038" t="str">
        <f ca="1">IF(tblDias[[#This Row],[Fecha]]&gt;TODAY(),"Pendiente",IF(tblDias[[#This Row],[Filas RDO]]=0,"Sin RDO","Cargado"))</f>
        <v>Pendiente</v>
      </c>
      <c r="K370" s="972">
        <f>COUNTIFS(tblControles[Fecha],tblDias[[#This Row],[Fecha]],tblControles[Turno],"&lt;&gt;Obs")</f>
        <v>0</v>
      </c>
      <c r="L370" s="971">
        <f>SUMIFS(tblParadas[Horas perdidas],tblParadas[Fecha],tblDias[[#This Row],[Fecha]])</f>
        <v>0</v>
      </c>
      <c r="M370" s="1040"/>
      <c r="N370" s="953"/>
      <c r="O370" s="1040"/>
    </row>
    <row r="371" spans="2:15">
      <c r="B371" s="1041">
        <v>46626</v>
      </c>
      <c r="C371" s="1034" t="str">
        <f>CHOOSE(WEEKDAY(tblDias[[#This Row],[Fecha]],2),"lun","mar","mié","jue","vie","sáb","dom")</f>
        <v>vie</v>
      </c>
      <c r="D371" s="1039" t="s">
        <v>9256</v>
      </c>
      <c r="E371" s="1035">
        <f>COUNTIFS(tblConcentrado[Fecha],tblDias[[#This Row],[Fecha]])</f>
        <v>0</v>
      </c>
      <c r="F371" s="1035">
        <f t="shared" si="5"/>
        <v>24</v>
      </c>
      <c r="G371" s="1036">
        <f>IF(tblDias[[#This Row],[Horas esperadas]]=0,0,tblDias[[#This Row],[Horas cargadas]]/tblDias[[#This Row],[Horas esperadas]])</f>
        <v>0</v>
      </c>
      <c r="H371" s="1035" t="str">
        <f ca="1">IF(tblDias[[#This Row],[Fecha]]&gt;TODAY(),"Pendiente",IF(tblDias[[#This Row],[Horas cargadas]]=0,"Sin datos",IF(tblDias[[#This Row],[Horas cargadas]]&lt;tblDias[[#This Row],[Horas esperadas]],"Parcial","Completo")))</f>
        <v>Pendiente</v>
      </c>
      <c r="I371" s="1037">
        <f>COUNTIFS(tblRDO[Fecha],tblDias[[#This Row],[Fecha]])</f>
        <v>0</v>
      </c>
      <c r="J371" s="1038" t="str">
        <f ca="1">IF(tblDias[[#This Row],[Fecha]]&gt;TODAY(),"Pendiente",IF(tblDias[[#This Row],[Filas RDO]]=0,"Sin RDO","Cargado"))</f>
        <v>Pendiente</v>
      </c>
      <c r="K371" s="972">
        <f>COUNTIFS(tblControles[Fecha],tblDias[[#This Row],[Fecha]],tblControles[Turno],"&lt;&gt;Obs")</f>
        <v>0</v>
      </c>
      <c r="L371" s="971">
        <f>SUMIFS(tblParadas[Horas perdidas],tblParadas[Fecha],tblDias[[#This Row],[Fecha]])</f>
        <v>0</v>
      </c>
      <c r="M371" s="1040"/>
      <c r="N371" s="953"/>
      <c r="O371" s="1040"/>
    </row>
    <row r="372" spans="2:15">
      <c r="B372" s="1041">
        <v>46627</v>
      </c>
      <c r="C372" s="1034" t="str">
        <f>CHOOSE(WEEKDAY(tblDias[[#This Row],[Fecha]],2),"lun","mar","mié","jue","vie","sáb","dom")</f>
        <v>sáb</v>
      </c>
      <c r="D372" s="1039" t="s">
        <v>9256</v>
      </c>
      <c r="E372" s="1035">
        <f>COUNTIFS(tblConcentrado[Fecha],tblDias[[#This Row],[Fecha]])</f>
        <v>0</v>
      </c>
      <c r="F372" s="1035">
        <f t="shared" si="5"/>
        <v>24</v>
      </c>
      <c r="G372" s="1036">
        <f>IF(tblDias[[#This Row],[Horas esperadas]]=0,0,tblDias[[#This Row],[Horas cargadas]]/tblDias[[#This Row],[Horas esperadas]])</f>
        <v>0</v>
      </c>
      <c r="H372" s="1035" t="str">
        <f ca="1">IF(tblDias[[#This Row],[Fecha]]&gt;TODAY(),"Pendiente",IF(tblDias[[#This Row],[Horas cargadas]]=0,"Sin datos",IF(tblDias[[#This Row],[Horas cargadas]]&lt;tblDias[[#This Row],[Horas esperadas]],"Parcial","Completo")))</f>
        <v>Pendiente</v>
      </c>
      <c r="I372" s="1037">
        <f>COUNTIFS(tblRDO[Fecha],tblDias[[#This Row],[Fecha]])</f>
        <v>0</v>
      </c>
      <c r="J372" s="1038" t="str">
        <f ca="1">IF(tblDias[[#This Row],[Fecha]]&gt;TODAY(),"Pendiente",IF(tblDias[[#This Row],[Filas RDO]]=0,"Sin RDO","Cargado"))</f>
        <v>Pendiente</v>
      </c>
      <c r="K372" s="972">
        <f>COUNTIFS(tblControles[Fecha],tblDias[[#This Row],[Fecha]],tblControles[Turno],"&lt;&gt;Obs")</f>
        <v>0</v>
      </c>
      <c r="L372" s="971">
        <f>SUMIFS(tblParadas[Horas perdidas],tblParadas[Fecha],tblDias[[#This Row],[Fecha]])</f>
        <v>0</v>
      </c>
      <c r="M372" s="1040"/>
      <c r="N372" s="953"/>
      <c r="O372" s="1040"/>
    </row>
    <row r="373" spans="2:15">
      <c r="B373" s="1041">
        <v>46628</v>
      </c>
      <c r="C373" s="1034" t="str">
        <f>CHOOSE(WEEKDAY(tblDias[[#This Row],[Fecha]],2),"lun","mar","mié","jue","vie","sáb","dom")</f>
        <v>dom</v>
      </c>
      <c r="D373" s="1039" t="s">
        <v>9256</v>
      </c>
      <c r="E373" s="1035">
        <f>COUNTIFS(tblConcentrado[Fecha],tblDias[[#This Row],[Fecha]])</f>
        <v>0</v>
      </c>
      <c r="F373" s="1035">
        <f t="shared" si="5"/>
        <v>24</v>
      </c>
      <c r="G373" s="1036">
        <f>IF(tblDias[[#This Row],[Horas esperadas]]=0,0,tblDias[[#This Row],[Horas cargadas]]/tblDias[[#This Row],[Horas esperadas]])</f>
        <v>0</v>
      </c>
      <c r="H373" s="1035" t="str">
        <f ca="1">IF(tblDias[[#This Row],[Fecha]]&gt;TODAY(),"Pendiente",IF(tblDias[[#This Row],[Horas cargadas]]=0,"Sin datos",IF(tblDias[[#This Row],[Horas cargadas]]&lt;tblDias[[#This Row],[Horas esperadas]],"Parcial","Completo")))</f>
        <v>Pendiente</v>
      </c>
      <c r="I373" s="1037">
        <f>COUNTIFS(tblRDO[Fecha],tblDias[[#This Row],[Fecha]])</f>
        <v>0</v>
      </c>
      <c r="J373" s="1038" t="str">
        <f ca="1">IF(tblDias[[#This Row],[Fecha]]&gt;TODAY(),"Pendiente",IF(tblDias[[#This Row],[Filas RDO]]=0,"Sin RDO","Cargado"))</f>
        <v>Pendiente</v>
      </c>
      <c r="K373" s="972">
        <f>COUNTIFS(tblControles[Fecha],tblDias[[#This Row],[Fecha]],tblControles[Turno],"&lt;&gt;Obs")</f>
        <v>0</v>
      </c>
      <c r="L373" s="971">
        <f>SUMIFS(tblParadas[Horas perdidas],tblParadas[Fecha],tblDias[[#This Row],[Fecha]])</f>
        <v>0</v>
      </c>
      <c r="M373" s="1040"/>
      <c r="N373" s="953"/>
      <c r="O373" s="1040"/>
    </row>
    <row r="374" spans="2:15">
      <c r="B374" s="1041">
        <v>46629</v>
      </c>
      <c r="C374" s="1034" t="str">
        <f>CHOOSE(WEEKDAY(tblDias[[#This Row],[Fecha]],2),"lun","mar","mié","jue","vie","sáb","dom")</f>
        <v>lun</v>
      </c>
      <c r="D374" s="1039" t="s">
        <v>9256</v>
      </c>
      <c r="E374" s="1035">
        <f>COUNTIFS(tblConcentrado[Fecha],tblDias[[#This Row],[Fecha]])</f>
        <v>0</v>
      </c>
      <c r="F374" s="1035">
        <f t="shared" si="5"/>
        <v>24</v>
      </c>
      <c r="G374" s="1036">
        <f>IF(tblDias[[#This Row],[Horas esperadas]]=0,0,tblDias[[#This Row],[Horas cargadas]]/tblDias[[#This Row],[Horas esperadas]])</f>
        <v>0</v>
      </c>
      <c r="H374" s="1035" t="str">
        <f ca="1">IF(tblDias[[#This Row],[Fecha]]&gt;TODAY(),"Pendiente",IF(tblDias[[#This Row],[Horas cargadas]]=0,"Sin datos",IF(tblDias[[#This Row],[Horas cargadas]]&lt;tblDias[[#This Row],[Horas esperadas]],"Parcial","Completo")))</f>
        <v>Pendiente</v>
      </c>
      <c r="I374" s="1037">
        <f>COUNTIFS(tblRDO[Fecha],tblDias[[#This Row],[Fecha]])</f>
        <v>0</v>
      </c>
      <c r="J374" s="1038" t="str">
        <f ca="1">IF(tblDias[[#This Row],[Fecha]]&gt;TODAY(),"Pendiente",IF(tblDias[[#This Row],[Filas RDO]]=0,"Sin RDO","Cargado"))</f>
        <v>Pendiente</v>
      </c>
      <c r="K374" s="972">
        <f>COUNTIFS(tblControles[Fecha],tblDias[[#This Row],[Fecha]],tblControles[Turno],"&lt;&gt;Obs")</f>
        <v>0</v>
      </c>
      <c r="L374" s="971">
        <f>SUMIFS(tblParadas[Horas perdidas],tblParadas[Fecha],tblDias[[#This Row],[Fecha]])</f>
        <v>0</v>
      </c>
      <c r="M374" s="1040"/>
      <c r="N374" s="953"/>
      <c r="O374" s="1040"/>
    </row>
    <row r="375" spans="2:15">
      <c r="B375" s="1041">
        <v>46630</v>
      </c>
      <c r="C375" s="1034" t="str">
        <f>CHOOSE(WEEKDAY(tblDias[[#This Row],[Fecha]],2),"lun","mar","mié","jue","vie","sáb","dom")</f>
        <v>mar</v>
      </c>
      <c r="D375" s="1039" t="s">
        <v>9256</v>
      </c>
      <c r="E375" s="1035">
        <f>COUNTIFS(tblConcentrado[Fecha],tblDias[[#This Row],[Fecha]])</f>
        <v>0</v>
      </c>
      <c r="F375" s="1035">
        <f t="shared" si="5"/>
        <v>24</v>
      </c>
      <c r="G375" s="1036">
        <f>IF(tblDias[[#This Row],[Horas esperadas]]=0,0,tblDias[[#This Row],[Horas cargadas]]/tblDias[[#This Row],[Horas esperadas]])</f>
        <v>0</v>
      </c>
      <c r="H375" s="1035" t="str">
        <f ca="1">IF(tblDias[[#This Row],[Fecha]]&gt;TODAY(),"Pendiente",IF(tblDias[[#This Row],[Horas cargadas]]=0,"Sin datos",IF(tblDias[[#This Row],[Horas cargadas]]&lt;tblDias[[#This Row],[Horas esperadas]],"Parcial","Completo")))</f>
        <v>Pendiente</v>
      </c>
      <c r="I375" s="1037">
        <f>COUNTIFS(tblRDO[Fecha],tblDias[[#This Row],[Fecha]])</f>
        <v>0</v>
      </c>
      <c r="J375" s="1038" t="str">
        <f ca="1">IF(tblDias[[#This Row],[Fecha]]&gt;TODAY(),"Pendiente",IF(tblDias[[#This Row],[Filas RDO]]=0,"Sin RDO","Cargado"))</f>
        <v>Pendiente</v>
      </c>
      <c r="K375" s="972">
        <f>COUNTIFS(tblControles[Fecha],tblDias[[#This Row],[Fecha]],tblControles[Turno],"&lt;&gt;Obs")</f>
        <v>0</v>
      </c>
      <c r="L375" s="971">
        <f>SUMIFS(tblParadas[Horas perdidas],tblParadas[Fecha],tblDias[[#This Row],[Fecha]])</f>
        <v>0</v>
      </c>
      <c r="M375" s="1040"/>
      <c r="N375" s="953"/>
      <c r="O375" s="1040"/>
    </row>
    <row r="376" spans="2:15">
      <c r="B376" s="1041">
        <v>46631</v>
      </c>
      <c r="C376" s="1034" t="str">
        <f>CHOOSE(WEEKDAY(tblDias[[#This Row],[Fecha]],2),"lun","mar","mié","jue","vie","sáb","dom")</f>
        <v>mié</v>
      </c>
      <c r="D376" s="1039" t="s">
        <v>9256</v>
      </c>
      <c r="E376" s="1035">
        <f>COUNTIFS(tblConcentrado[Fecha],tblDias[[#This Row],[Fecha]])</f>
        <v>0</v>
      </c>
      <c r="F376" s="1035">
        <f t="shared" si="5"/>
        <v>24</v>
      </c>
      <c r="G376" s="1036">
        <f>IF(tblDias[[#This Row],[Horas esperadas]]=0,0,tblDias[[#This Row],[Horas cargadas]]/tblDias[[#This Row],[Horas esperadas]])</f>
        <v>0</v>
      </c>
      <c r="H376" s="1035" t="str">
        <f ca="1">IF(tblDias[[#This Row],[Fecha]]&gt;TODAY(),"Pendiente",IF(tblDias[[#This Row],[Horas cargadas]]=0,"Sin datos",IF(tblDias[[#This Row],[Horas cargadas]]&lt;tblDias[[#This Row],[Horas esperadas]],"Parcial","Completo")))</f>
        <v>Pendiente</v>
      </c>
      <c r="I376" s="1037">
        <f>COUNTIFS(tblRDO[Fecha],tblDias[[#This Row],[Fecha]])</f>
        <v>0</v>
      </c>
      <c r="J376" s="1038" t="str">
        <f ca="1">IF(tblDias[[#This Row],[Fecha]]&gt;TODAY(),"Pendiente",IF(tblDias[[#This Row],[Filas RDO]]=0,"Sin RDO","Cargado"))</f>
        <v>Pendiente</v>
      </c>
      <c r="K376" s="972">
        <f>COUNTIFS(tblControles[Fecha],tblDias[[#This Row],[Fecha]],tblControles[Turno],"&lt;&gt;Obs")</f>
        <v>0</v>
      </c>
      <c r="L376" s="971">
        <f>SUMIFS(tblParadas[Horas perdidas],tblParadas[Fecha],tblDias[[#This Row],[Fecha]])</f>
        <v>0</v>
      </c>
      <c r="M376" s="1040"/>
      <c r="N376" s="953"/>
      <c r="O376" s="1040"/>
    </row>
    <row r="377" spans="2:15">
      <c r="B377" s="1041">
        <v>46632</v>
      </c>
      <c r="C377" s="1034" t="str">
        <f>CHOOSE(WEEKDAY(tblDias[[#This Row],[Fecha]],2),"lun","mar","mié","jue","vie","sáb","dom")</f>
        <v>jue</v>
      </c>
      <c r="D377" s="1039" t="s">
        <v>9256</v>
      </c>
      <c r="E377" s="1035">
        <f>COUNTIFS(tblConcentrado[Fecha],tblDias[[#This Row],[Fecha]])</f>
        <v>0</v>
      </c>
      <c r="F377" s="1035">
        <f t="shared" si="5"/>
        <v>24</v>
      </c>
      <c r="G377" s="1036">
        <f>IF(tblDias[[#This Row],[Horas esperadas]]=0,0,tblDias[[#This Row],[Horas cargadas]]/tblDias[[#This Row],[Horas esperadas]])</f>
        <v>0</v>
      </c>
      <c r="H377" s="1035" t="str">
        <f ca="1">IF(tblDias[[#This Row],[Fecha]]&gt;TODAY(),"Pendiente",IF(tblDias[[#This Row],[Horas cargadas]]=0,"Sin datos",IF(tblDias[[#This Row],[Horas cargadas]]&lt;tblDias[[#This Row],[Horas esperadas]],"Parcial","Completo")))</f>
        <v>Pendiente</v>
      </c>
      <c r="I377" s="1037">
        <f>COUNTIFS(tblRDO[Fecha],tblDias[[#This Row],[Fecha]])</f>
        <v>0</v>
      </c>
      <c r="J377" s="1038" t="str">
        <f ca="1">IF(tblDias[[#This Row],[Fecha]]&gt;TODAY(),"Pendiente",IF(tblDias[[#This Row],[Filas RDO]]=0,"Sin RDO","Cargado"))</f>
        <v>Pendiente</v>
      </c>
      <c r="K377" s="972">
        <f>COUNTIFS(tblControles[Fecha],tblDias[[#This Row],[Fecha]],tblControles[Turno],"&lt;&gt;Obs")</f>
        <v>0</v>
      </c>
      <c r="L377" s="971">
        <f>SUMIFS(tblParadas[Horas perdidas],tblParadas[Fecha],tblDias[[#This Row],[Fecha]])</f>
        <v>0</v>
      </c>
      <c r="M377" s="1040"/>
      <c r="N377" s="953"/>
      <c r="O377" s="1040"/>
    </row>
    <row r="378" spans="2:15">
      <c r="B378" s="1041">
        <v>46633</v>
      </c>
      <c r="C378" s="1034" t="str">
        <f>CHOOSE(WEEKDAY(tblDias[[#This Row],[Fecha]],2),"lun","mar","mié","jue","vie","sáb","dom")</f>
        <v>vie</v>
      </c>
      <c r="D378" s="1039" t="s">
        <v>9256</v>
      </c>
      <c r="E378" s="1035">
        <f>COUNTIFS(tblConcentrado[Fecha],tblDias[[#This Row],[Fecha]])</f>
        <v>0</v>
      </c>
      <c r="F378" s="1035">
        <f t="shared" si="5"/>
        <v>24</v>
      </c>
      <c r="G378" s="1036">
        <f>IF(tblDias[[#This Row],[Horas esperadas]]=0,0,tblDias[[#This Row],[Horas cargadas]]/tblDias[[#This Row],[Horas esperadas]])</f>
        <v>0</v>
      </c>
      <c r="H378" s="1035" t="str">
        <f ca="1">IF(tblDias[[#This Row],[Fecha]]&gt;TODAY(),"Pendiente",IF(tblDias[[#This Row],[Horas cargadas]]=0,"Sin datos",IF(tblDias[[#This Row],[Horas cargadas]]&lt;tblDias[[#This Row],[Horas esperadas]],"Parcial","Completo")))</f>
        <v>Pendiente</v>
      </c>
      <c r="I378" s="1037">
        <f>COUNTIFS(tblRDO[Fecha],tblDias[[#This Row],[Fecha]])</f>
        <v>0</v>
      </c>
      <c r="J378" s="1038" t="str">
        <f ca="1">IF(tblDias[[#This Row],[Fecha]]&gt;TODAY(),"Pendiente",IF(tblDias[[#This Row],[Filas RDO]]=0,"Sin RDO","Cargado"))</f>
        <v>Pendiente</v>
      </c>
      <c r="K378" s="972">
        <f>COUNTIFS(tblControles[Fecha],tblDias[[#This Row],[Fecha]],tblControles[Turno],"&lt;&gt;Obs")</f>
        <v>0</v>
      </c>
      <c r="L378" s="971">
        <f>SUMIFS(tblParadas[Horas perdidas],tblParadas[Fecha],tblDias[[#This Row],[Fecha]])</f>
        <v>0</v>
      </c>
      <c r="M378" s="1040"/>
      <c r="N378" s="953"/>
      <c r="O378" s="1040"/>
    </row>
    <row r="379" spans="2:15">
      <c r="B379" s="1041">
        <v>46634</v>
      </c>
      <c r="C379" s="1034" t="str">
        <f>CHOOSE(WEEKDAY(tblDias[[#This Row],[Fecha]],2),"lun","mar","mié","jue","vie","sáb","dom")</f>
        <v>sáb</v>
      </c>
      <c r="D379" s="1039" t="s">
        <v>9256</v>
      </c>
      <c r="E379" s="1035">
        <f>COUNTIFS(tblConcentrado[Fecha],tblDias[[#This Row],[Fecha]])</f>
        <v>0</v>
      </c>
      <c r="F379" s="1035">
        <f t="shared" si="5"/>
        <v>24</v>
      </c>
      <c r="G379" s="1036">
        <f>IF(tblDias[[#This Row],[Horas esperadas]]=0,0,tblDias[[#This Row],[Horas cargadas]]/tblDias[[#This Row],[Horas esperadas]])</f>
        <v>0</v>
      </c>
      <c r="H379" s="1035" t="str">
        <f ca="1">IF(tblDias[[#This Row],[Fecha]]&gt;TODAY(),"Pendiente",IF(tblDias[[#This Row],[Horas cargadas]]=0,"Sin datos",IF(tblDias[[#This Row],[Horas cargadas]]&lt;tblDias[[#This Row],[Horas esperadas]],"Parcial","Completo")))</f>
        <v>Pendiente</v>
      </c>
      <c r="I379" s="1037">
        <f>COUNTIFS(tblRDO[Fecha],tblDias[[#This Row],[Fecha]])</f>
        <v>0</v>
      </c>
      <c r="J379" s="1038" t="str">
        <f ca="1">IF(tblDias[[#This Row],[Fecha]]&gt;TODAY(),"Pendiente",IF(tblDias[[#This Row],[Filas RDO]]=0,"Sin RDO","Cargado"))</f>
        <v>Pendiente</v>
      </c>
      <c r="K379" s="972">
        <f>COUNTIFS(tblControles[Fecha],tblDias[[#This Row],[Fecha]],tblControles[Turno],"&lt;&gt;Obs")</f>
        <v>0</v>
      </c>
      <c r="L379" s="971">
        <f>SUMIFS(tblParadas[Horas perdidas],tblParadas[Fecha],tblDias[[#This Row],[Fecha]])</f>
        <v>0</v>
      </c>
      <c r="M379" s="1040"/>
      <c r="N379" s="953"/>
      <c r="O379" s="1040"/>
    </row>
    <row r="380" spans="2:15">
      <c r="B380" s="1041">
        <v>46635</v>
      </c>
      <c r="C380" s="1034" t="str">
        <f>CHOOSE(WEEKDAY(tblDias[[#This Row],[Fecha]],2),"lun","mar","mié","jue","vie","sáb","dom")</f>
        <v>dom</v>
      </c>
      <c r="D380" s="1039" t="s">
        <v>9256</v>
      </c>
      <c r="E380" s="1035">
        <f>COUNTIFS(tblConcentrado[Fecha],tblDias[[#This Row],[Fecha]])</f>
        <v>0</v>
      </c>
      <c r="F380" s="1035">
        <f t="shared" si="5"/>
        <v>24</v>
      </c>
      <c r="G380" s="1036">
        <f>IF(tblDias[[#This Row],[Horas esperadas]]=0,0,tblDias[[#This Row],[Horas cargadas]]/tblDias[[#This Row],[Horas esperadas]])</f>
        <v>0</v>
      </c>
      <c r="H380" s="1035" t="str">
        <f ca="1">IF(tblDias[[#This Row],[Fecha]]&gt;TODAY(),"Pendiente",IF(tblDias[[#This Row],[Horas cargadas]]=0,"Sin datos",IF(tblDias[[#This Row],[Horas cargadas]]&lt;tblDias[[#This Row],[Horas esperadas]],"Parcial","Completo")))</f>
        <v>Pendiente</v>
      </c>
      <c r="I380" s="1037">
        <f>COUNTIFS(tblRDO[Fecha],tblDias[[#This Row],[Fecha]])</f>
        <v>0</v>
      </c>
      <c r="J380" s="1038" t="str">
        <f ca="1">IF(tblDias[[#This Row],[Fecha]]&gt;TODAY(),"Pendiente",IF(tblDias[[#This Row],[Filas RDO]]=0,"Sin RDO","Cargado"))</f>
        <v>Pendiente</v>
      </c>
      <c r="K380" s="972">
        <f>COUNTIFS(tblControles[Fecha],tblDias[[#This Row],[Fecha]],tblControles[Turno],"&lt;&gt;Obs")</f>
        <v>0</v>
      </c>
      <c r="L380" s="971">
        <f>SUMIFS(tblParadas[Horas perdidas],tblParadas[Fecha],tblDias[[#This Row],[Fecha]])</f>
        <v>0</v>
      </c>
      <c r="M380" s="1040"/>
      <c r="N380" s="953"/>
      <c r="O380" s="1040"/>
    </row>
    <row r="381" spans="2:15">
      <c r="B381" s="1041">
        <v>46636</v>
      </c>
      <c r="C381" s="1034" t="str">
        <f>CHOOSE(WEEKDAY(tblDias[[#This Row],[Fecha]],2),"lun","mar","mié","jue","vie","sáb","dom")</f>
        <v>lun</v>
      </c>
      <c r="D381" s="1039" t="s">
        <v>9256</v>
      </c>
      <c r="E381" s="1035">
        <f>COUNTIFS(tblConcentrado[Fecha],tblDias[[#This Row],[Fecha]])</f>
        <v>0</v>
      </c>
      <c r="F381" s="1035">
        <f t="shared" si="5"/>
        <v>24</v>
      </c>
      <c r="G381" s="1036">
        <f>IF(tblDias[[#This Row],[Horas esperadas]]=0,0,tblDias[[#This Row],[Horas cargadas]]/tblDias[[#This Row],[Horas esperadas]])</f>
        <v>0</v>
      </c>
      <c r="H381" s="1035" t="str">
        <f ca="1">IF(tblDias[[#This Row],[Fecha]]&gt;TODAY(),"Pendiente",IF(tblDias[[#This Row],[Horas cargadas]]=0,"Sin datos",IF(tblDias[[#This Row],[Horas cargadas]]&lt;tblDias[[#This Row],[Horas esperadas]],"Parcial","Completo")))</f>
        <v>Pendiente</v>
      </c>
      <c r="I381" s="1037">
        <f>COUNTIFS(tblRDO[Fecha],tblDias[[#This Row],[Fecha]])</f>
        <v>0</v>
      </c>
      <c r="J381" s="1038" t="str">
        <f ca="1">IF(tblDias[[#This Row],[Fecha]]&gt;TODAY(),"Pendiente",IF(tblDias[[#This Row],[Filas RDO]]=0,"Sin RDO","Cargado"))</f>
        <v>Pendiente</v>
      </c>
      <c r="K381" s="972">
        <f>COUNTIFS(tblControles[Fecha],tblDias[[#This Row],[Fecha]],tblControles[Turno],"&lt;&gt;Obs")</f>
        <v>0</v>
      </c>
      <c r="L381" s="971">
        <f>SUMIFS(tblParadas[Horas perdidas],tblParadas[Fecha],tblDias[[#This Row],[Fecha]])</f>
        <v>0</v>
      </c>
      <c r="M381" s="1040"/>
      <c r="N381" s="953"/>
      <c r="O381" s="1040"/>
    </row>
    <row r="382" spans="2:15">
      <c r="B382" s="1041">
        <v>46637</v>
      </c>
      <c r="C382" s="1034" t="str">
        <f>CHOOSE(WEEKDAY(tblDias[[#This Row],[Fecha]],2),"lun","mar","mié","jue","vie","sáb","dom")</f>
        <v>mar</v>
      </c>
      <c r="D382" s="1039" t="s">
        <v>9256</v>
      </c>
      <c r="E382" s="1035">
        <f>COUNTIFS(tblConcentrado[Fecha],tblDias[[#This Row],[Fecha]])</f>
        <v>0</v>
      </c>
      <c r="F382" s="1035">
        <f t="shared" si="5"/>
        <v>24</v>
      </c>
      <c r="G382" s="1036">
        <f>IF(tblDias[[#This Row],[Horas esperadas]]=0,0,tblDias[[#This Row],[Horas cargadas]]/tblDias[[#This Row],[Horas esperadas]])</f>
        <v>0</v>
      </c>
      <c r="H382" s="1035" t="str">
        <f ca="1">IF(tblDias[[#This Row],[Fecha]]&gt;TODAY(),"Pendiente",IF(tblDias[[#This Row],[Horas cargadas]]=0,"Sin datos",IF(tblDias[[#This Row],[Horas cargadas]]&lt;tblDias[[#This Row],[Horas esperadas]],"Parcial","Completo")))</f>
        <v>Pendiente</v>
      </c>
      <c r="I382" s="1037">
        <f>COUNTIFS(tblRDO[Fecha],tblDias[[#This Row],[Fecha]])</f>
        <v>0</v>
      </c>
      <c r="J382" s="1038" t="str">
        <f ca="1">IF(tblDias[[#This Row],[Fecha]]&gt;TODAY(),"Pendiente",IF(tblDias[[#This Row],[Filas RDO]]=0,"Sin RDO","Cargado"))</f>
        <v>Pendiente</v>
      </c>
      <c r="K382" s="972">
        <f>COUNTIFS(tblControles[Fecha],tblDias[[#This Row],[Fecha]],tblControles[Turno],"&lt;&gt;Obs")</f>
        <v>0</v>
      </c>
      <c r="L382" s="971">
        <f>SUMIFS(tblParadas[Horas perdidas],tblParadas[Fecha],tblDias[[#This Row],[Fecha]])</f>
        <v>0</v>
      </c>
      <c r="M382" s="1040"/>
      <c r="N382" s="953"/>
      <c r="O382" s="1040"/>
    </row>
    <row r="383" spans="2:15">
      <c r="B383" s="1041">
        <v>46638</v>
      </c>
      <c r="C383" s="1034" t="str">
        <f>CHOOSE(WEEKDAY(tblDias[[#This Row],[Fecha]],2),"lun","mar","mié","jue","vie","sáb","dom")</f>
        <v>mié</v>
      </c>
      <c r="D383" s="1039" t="s">
        <v>9256</v>
      </c>
      <c r="E383" s="1035">
        <f>COUNTIFS(tblConcentrado[Fecha],tblDias[[#This Row],[Fecha]])</f>
        <v>0</v>
      </c>
      <c r="F383" s="1035">
        <f t="shared" si="5"/>
        <v>24</v>
      </c>
      <c r="G383" s="1036">
        <f>IF(tblDias[[#This Row],[Horas esperadas]]=0,0,tblDias[[#This Row],[Horas cargadas]]/tblDias[[#This Row],[Horas esperadas]])</f>
        <v>0</v>
      </c>
      <c r="H383" s="1035" t="str">
        <f ca="1">IF(tblDias[[#This Row],[Fecha]]&gt;TODAY(),"Pendiente",IF(tblDias[[#This Row],[Horas cargadas]]=0,"Sin datos",IF(tblDias[[#This Row],[Horas cargadas]]&lt;tblDias[[#This Row],[Horas esperadas]],"Parcial","Completo")))</f>
        <v>Pendiente</v>
      </c>
      <c r="I383" s="1037">
        <f>COUNTIFS(tblRDO[Fecha],tblDias[[#This Row],[Fecha]])</f>
        <v>0</v>
      </c>
      <c r="J383" s="1038" t="str">
        <f ca="1">IF(tblDias[[#This Row],[Fecha]]&gt;TODAY(),"Pendiente",IF(tblDias[[#This Row],[Filas RDO]]=0,"Sin RDO","Cargado"))</f>
        <v>Pendiente</v>
      </c>
      <c r="K383" s="972">
        <f>COUNTIFS(tblControles[Fecha],tblDias[[#This Row],[Fecha]],tblControles[Turno],"&lt;&gt;Obs")</f>
        <v>0</v>
      </c>
      <c r="L383" s="971">
        <f>SUMIFS(tblParadas[Horas perdidas],tblParadas[Fecha],tblDias[[#This Row],[Fecha]])</f>
        <v>0</v>
      </c>
      <c r="M383" s="1040"/>
      <c r="N383" s="953"/>
      <c r="O383" s="1040"/>
    </row>
    <row r="384" spans="2:15">
      <c r="B384" s="1041">
        <v>46639</v>
      </c>
      <c r="C384" s="1034" t="str">
        <f>CHOOSE(WEEKDAY(tblDias[[#This Row],[Fecha]],2),"lun","mar","mié","jue","vie","sáb","dom")</f>
        <v>jue</v>
      </c>
      <c r="D384" s="1039" t="s">
        <v>9256</v>
      </c>
      <c r="E384" s="1035">
        <f>COUNTIFS(tblConcentrado[Fecha],tblDias[[#This Row],[Fecha]])</f>
        <v>0</v>
      </c>
      <c r="F384" s="1035">
        <f t="shared" si="5"/>
        <v>24</v>
      </c>
      <c r="G384" s="1036">
        <f>IF(tblDias[[#This Row],[Horas esperadas]]=0,0,tblDias[[#This Row],[Horas cargadas]]/tblDias[[#This Row],[Horas esperadas]])</f>
        <v>0</v>
      </c>
      <c r="H384" s="1035" t="str">
        <f ca="1">IF(tblDias[[#This Row],[Fecha]]&gt;TODAY(),"Pendiente",IF(tblDias[[#This Row],[Horas cargadas]]=0,"Sin datos",IF(tblDias[[#This Row],[Horas cargadas]]&lt;tblDias[[#This Row],[Horas esperadas]],"Parcial","Completo")))</f>
        <v>Pendiente</v>
      </c>
      <c r="I384" s="1037">
        <f>COUNTIFS(tblRDO[Fecha],tblDias[[#This Row],[Fecha]])</f>
        <v>0</v>
      </c>
      <c r="J384" s="1038" t="str">
        <f ca="1">IF(tblDias[[#This Row],[Fecha]]&gt;TODAY(),"Pendiente",IF(tblDias[[#This Row],[Filas RDO]]=0,"Sin RDO","Cargado"))</f>
        <v>Pendiente</v>
      </c>
      <c r="K384" s="972">
        <f>COUNTIFS(tblControles[Fecha],tblDias[[#This Row],[Fecha]],tblControles[Turno],"&lt;&gt;Obs")</f>
        <v>0</v>
      </c>
      <c r="L384" s="971">
        <f>SUMIFS(tblParadas[Horas perdidas],tblParadas[Fecha],tblDias[[#This Row],[Fecha]])</f>
        <v>0</v>
      </c>
      <c r="M384" s="1040"/>
      <c r="N384" s="953"/>
      <c r="O384" s="1040"/>
    </row>
    <row r="385" spans="2:15">
      <c r="B385" s="1041">
        <v>46640</v>
      </c>
      <c r="C385" s="1034" t="str">
        <f>CHOOSE(WEEKDAY(tblDias[[#This Row],[Fecha]],2),"lun","mar","mié","jue","vie","sáb","dom")</f>
        <v>vie</v>
      </c>
      <c r="D385" s="1039" t="s">
        <v>9256</v>
      </c>
      <c r="E385" s="1035">
        <f>COUNTIFS(tblConcentrado[Fecha],tblDias[[#This Row],[Fecha]])</f>
        <v>0</v>
      </c>
      <c r="F385" s="1035">
        <f t="shared" si="5"/>
        <v>24</v>
      </c>
      <c r="G385" s="1036">
        <f>IF(tblDias[[#This Row],[Horas esperadas]]=0,0,tblDias[[#This Row],[Horas cargadas]]/tblDias[[#This Row],[Horas esperadas]])</f>
        <v>0</v>
      </c>
      <c r="H385" s="1035" t="str">
        <f ca="1">IF(tblDias[[#This Row],[Fecha]]&gt;TODAY(),"Pendiente",IF(tblDias[[#This Row],[Horas cargadas]]=0,"Sin datos",IF(tblDias[[#This Row],[Horas cargadas]]&lt;tblDias[[#This Row],[Horas esperadas]],"Parcial","Completo")))</f>
        <v>Pendiente</v>
      </c>
      <c r="I385" s="1037">
        <f>COUNTIFS(tblRDO[Fecha],tblDias[[#This Row],[Fecha]])</f>
        <v>0</v>
      </c>
      <c r="J385" s="1038" t="str">
        <f ca="1">IF(tblDias[[#This Row],[Fecha]]&gt;TODAY(),"Pendiente",IF(tblDias[[#This Row],[Filas RDO]]=0,"Sin RDO","Cargado"))</f>
        <v>Pendiente</v>
      </c>
      <c r="K385" s="972">
        <f>COUNTIFS(tblControles[Fecha],tblDias[[#This Row],[Fecha]],tblControles[Turno],"&lt;&gt;Obs")</f>
        <v>0</v>
      </c>
      <c r="L385" s="971">
        <f>SUMIFS(tblParadas[Horas perdidas],tblParadas[Fecha],tblDias[[#This Row],[Fecha]])</f>
        <v>0</v>
      </c>
      <c r="M385" s="1040"/>
      <c r="N385" s="953"/>
      <c r="O385" s="1040"/>
    </row>
    <row r="386" spans="2:15">
      <c r="B386" s="1041">
        <v>46641</v>
      </c>
      <c r="C386" s="1034" t="str">
        <f>CHOOSE(WEEKDAY(tblDias[[#This Row],[Fecha]],2),"lun","mar","mié","jue","vie","sáb","dom")</f>
        <v>sáb</v>
      </c>
      <c r="D386" s="1039" t="s">
        <v>9256</v>
      </c>
      <c r="E386" s="1035">
        <f>COUNTIFS(tblConcentrado[Fecha],tblDias[[#This Row],[Fecha]])</f>
        <v>0</v>
      </c>
      <c r="F386" s="1035">
        <f t="shared" si="5"/>
        <v>24</v>
      </c>
      <c r="G386" s="1036">
        <f>IF(tblDias[[#This Row],[Horas esperadas]]=0,0,tblDias[[#This Row],[Horas cargadas]]/tblDias[[#This Row],[Horas esperadas]])</f>
        <v>0</v>
      </c>
      <c r="H386" s="1035" t="str">
        <f ca="1">IF(tblDias[[#This Row],[Fecha]]&gt;TODAY(),"Pendiente",IF(tblDias[[#This Row],[Horas cargadas]]=0,"Sin datos",IF(tblDias[[#This Row],[Horas cargadas]]&lt;tblDias[[#This Row],[Horas esperadas]],"Parcial","Completo")))</f>
        <v>Pendiente</v>
      </c>
      <c r="I386" s="1037">
        <f>COUNTIFS(tblRDO[Fecha],tblDias[[#This Row],[Fecha]])</f>
        <v>0</v>
      </c>
      <c r="J386" s="1038" t="str">
        <f ca="1">IF(tblDias[[#This Row],[Fecha]]&gt;TODAY(),"Pendiente",IF(tblDias[[#This Row],[Filas RDO]]=0,"Sin RDO","Cargado"))</f>
        <v>Pendiente</v>
      </c>
      <c r="K386" s="972">
        <f>COUNTIFS(tblControles[Fecha],tblDias[[#This Row],[Fecha]],tblControles[Turno],"&lt;&gt;Obs")</f>
        <v>0</v>
      </c>
      <c r="L386" s="971">
        <f>SUMIFS(tblParadas[Horas perdidas],tblParadas[Fecha],tblDias[[#This Row],[Fecha]])</f>
        <v>0</v>
      </c>
      <c r="M386" s="1040"/>
      <c r="N386" s="953"/>
      <c r="O386" s="1040"/>
    </row>
    <row r="387" spans="2:15">
      <c r="B387" s="1041">
        <v>46642</v>
      </c>
      <c r="C387" s="1034" t="str">
        <f>CHOOSE(WEEKDAY(tblDias[[#This Row],[Fecha]],2),"lun","mar","mié","jue","vie","sáb","dom")</f>
        <v>dom</v>
      </c>
      <c r="D387" s="1039" t="s">
        <v>9256</v>
      </c>
      <c r="E387" s="1035">
        <f>COUNTIFS(tblConcentrado[Fecha],tblDias[[#This Row],[Fecha]])</f>
        <v>0</v>
      </c>
      <c r="F387" s="1035">
        <f t="shared" si="5"/>
        <v>24</v>
      </c>
      <c r="G387" s="1036">
        <f>IF(tblDias[[#This Row],[Horas esperadas]]=0,0,tblDias[[#This Row],[Horas cargadas]]/tblDias[[#This Row],[Horas esperadas]])</f>
        <v>0</v>
      </c>
      <c r="H387" s="1035" t="str">
        <f ca="1">IF(tblDias[[#This Row],[Fecha]]&gt;TODAY(),"Pendiente",IF(tblDias[[#This Row],[Horas cargadas]]=0,"Sin datos",IF(tblDias[[#This Row],[Horas cargadas]]&lt;tblDias[[#This Row],[Horas esperadas]],"Parcial","Completo")))</f>
        <v>Pendiente</v>
      </c>
      <c r="I387" s="1037">
        <f>COUNTIFS(tblRDO[Fecha],tblDias[[#This Row],[Fecha]])</f>
        <v>0</v>
      </c>
      <c r="J387" s="1038" t="str">
        <f ca="1">IF(tblDias[[#This Row],[Fecha]]&gt;TODAY(),"Pendiente",IF(tblDias[[#This Row],[Filas RDO]]=0,"Sin RDO","Cargado"))</f>
        <v>Pendiente</v>
      </c>
      <c r="K387" s="972">
        <f>COUNTIFS(tblControles[Fecha],tblDias[[#This Row],[Fecha]],tblControles[Turno],"&lt;&gt;Obs")</f>
        <v>0</v>
      </c>
      <c r="L387" s="971">
        <f>SUMIFS(tblParadas[Horas perdidas],tblParadas[Fecha],tblDias[[#This Row],[Fecha]])</f>
        <v>0</v>
      </c>
      <c r="M387" s="1040"/>
      <c r="N387" s="953"/>
      <c r="O387" s="1040"/>
    </row>
    <row r="388" spans="2:15">
      <c r="B388" s="1041">
        <v>46643</v>
      </c>
      <c r="C388" s="1034" t="str">
        <f>CHOOSE(WEEKDAY(tblDias[[#This Row],[Fecha]],2),"lun","mar","mié","jue","vie","sáb","dom")</f>
        <v>lun</v>
      </c>
      <c r="D388" s="1039" t="s">
        <v>9256</v>
      </c>
      <c r="E388" s="1035">
        <f>COUNTIFS(tblConcentrado[Fecha],tblDias[[#This Row],[Fecha]])</f>
        <v>0</v>
      </c>
      <c r="F388" s="1035">
        <f t="shared" si="5"/>
        <v>24</v>
      </c>
      <c r="G388" s="1036">
        <f>IF(tblDias[[#This Row],[Horas esperadas]]=0,0,tblDias[[#This Row],[Horas cargadas]]/tblDias[[#This Row],[Horas esperadas]])</f>
        <v>0</v>
      </c>
      <c r="H388" s="1035" t="str">
        <f ca="1">IF(tblDias[[#This Row],[Fecha]]&gt;TODAY(),"Pendiente",IF(tblDias[[#This Row],[Horas cargadas]]=0,"Sin datos",IF(tblDias[[#This Row],[Horas cargadas]]&lt;tblDias[[#This Row],[Horas esperadas]],"Parcial","Completo")))</f>
        <v>Pendiente</v>
      </c>
      <c r="I388" s="1037">
        <f>COUNTIFS(tblRDO[Fecha],tblDias[[#This Row],[Fecha]])</f>
        <v>0</v>
      </c>
      <c r="J388" s="1038" t="str">
        <f ca="1">IF(tblDias[[#This Row],[Fecha]]&gt;TODAY(),"Pendiente",IF(tblDias[[#This Row],[Filas RDO]]=0,"Sin RDO","Cargado"))</f>
        <v>Pendiente</v>
      </c>
      <c r="K388" s="972">
        <f>COUNTIFS(tblControles[Fecha],tblDias[[#This Row],[Fecha]],tblControles[Turno],"&lt;&gt;Obs")</f>
        <v>0</v>
      </c>
      <c r="L388" s="971">
        <f>SUMIFS(tblParadas[Horas perdidas],tblParadas[Fecha],tblDias[[#This Row],[Fecha]])</f>
        <v>0</v>
      </c>
      <c r="M388" s="1040"/>
      <c r="N388" s="953"/>
      <c r="O388" s="1040"/>
    </row>
    <row r="389" spans="2:15">
      <c r="B389" s="1041">
        <v>46644</v>
      </c>
      <c r="C389" s="1034" t="str">
        <f>CHOOSE(WEEKDAY(tblDias[[#This Row],[Fecha]],2),"lun","mar","mié","jue","vie","sáb","dom")</f>
        <v>mar</v>
      </c>
      <c r="D389" s="1039" t="s">
        <v>9256</v>
      </c>
      <c r="E389" s="1035">
        <f>COUNTIFS(tblConcentrado[Fecha],tblDias[[#This Row],[Fecha]])</f>
        <v>0</v>
      </c>
      <c r="F389" s="1035">
        <f t="shared" si="5"/>
        <v>24</v>
      </c>
      <c r="G389" s="1036">
        <f>IF(tblDias[[#This Row],[Horas esperadas]]=0,0,tblDias[[#This Row],[Horas cargadas]]/tblDias[[#This Row],[Horas esperadas]])</f>
        <v>0</v>
      </c>
      <c r="H389" s="1035" t="str">
        <f ca="1">IF(tblDias[[#This Row],[Fecha]]&gt;TODAY(),"Pendiente",IF(tblDias[[#This Row],[Horas cargadas]]=0,"Sin datos",IF(tblDias[[#This Row],[Horas cargadas]]&lt;tblDias[[#This Row],[Horas esperadas]],"Parcial","Completo")))</f>
        <v>Pendiente</v>
      </c>
      <c r="I389" s="1037">
        <f>COUNTIFS(tblRDO[Fecha],tblDias[[#This Row],[Fecha]])</f>
        <v>0</v>
      </c>
      <c r="J389" s="1038" t="str">
        <f ca="1">IF(tblDias[[#This Row],[Fecha]]&gt;TODAY(),"Pendiente",IF(tblDias[[#This Row],[Filas RDO]]=0,"Sin RDO","Cargado"))</f>
        <v>Pendiente</v>
      </c>
      <c r="K389" s="972">
        <f>COUNTIFS(tblControles[Fecha],tblDias[[#This Row],[Fecha]],tblControles[Turno],"&lt;&gt;Obs")</f>
        <v>0</v>
      </c>
      <c r="L389" s="971">
        <f>SUMIFS(tblParadas[Horas perdidas],tblParadas[Fecha],tblDias[[#This Row],[Fecha]])</f>
        <v>0</v>
      </c>
      <c r="M389" s="1040"/>
      <c r="N389" s="953"/>
      <c r="O389" s="1040"/>
    </row>
    <row r="390" spans="2:15">
      <c r="B390" s="1041">
        <v>46645</v>
      </c>
      <c r="C390" s="1034" t="str">
        <f>CHOOSE(WEEKDAY(tblDias[[#This Row],[Fecha]],2),"lun","mar","mié","jue","vie","sáb","dom")</f>
        <v>mié</v>
      </c>
      <c r="D390" s="1039" t="s">
        <v>9256</v>
      </c>
      <c r="E390" s="1035">
        <f>COUNTIFS(tblConcentrado[Fecha],tblDias[[#This Row],[Fecha]])</f>
        <v>0</v>
      </c>
      <c r="F390" s="1035">
        <f t="shared" si="5"/>
        <v>24</v>
      </c>
      <c r="G390" s="1036">
        <f>IF(tblDias[[#This Row],[Horas esperadas]]=0,0,tblDias[[#This Row],[Horas cargadas]]/tblDias[[#This Row],[Horas esperadas]])</f>
        <v>0</v>
      </c>
      <c r="H390" s="1035" t="str">
        <f ca="1">IF(tblDias[[#This Row],[Fecha]]&gt;TODAY(),"Pendiente",IF(tblDias[[#This Row],[Horas cargadas]]=0,"Sin datos",IF(tblDias[[#This Row],[Horas cargadas]]&lt;tblDias[[#This Row],[Horas esperadas]],"Parcial","Completo")))</f>
        <v>Pendiente</v>
      </c>
      <c r="I390" s="1037">
        <f>COUNTIFS(tblRDO[Fecha],tblDias[[#This Row],[Fecha]])</f>
        <v>0</v>
      </c>
      <c r="J390" s="1038" t="str">
        <f ca="1">IF(tblDias[[#This Row],[Fecha]]&gt;TODAY(),"Pendiente",IF(tblDias[[#This Row],[Filas RDO]]=0,"Sin RDO","Cargado"))</f>
        <v>Pendiente</v>
      </c>
      <c r="K390" s="972">
        <f>COUNTIFS(tblControles[Fecha],tblDias[[#This Row],[Fecha]],tblControles[Turno],"&lt;&gt;Obs")</f>
        <v>0</v>
      </c>
      <c r="L390" s="971">
        <f>SUMIFS(tblParadas[Horas perdidas],tblParadas[Fecha],tblDias[[#This Row],[Fecha]])</f>
        <v>0</v>
      </c>
      <c r="M390" s="1040"/>
      <c r="N390" s="953"/>
      <c r="O390" s="1040"/>
    </row>
    <row r="391" spans="2:15">
      <c r="B391" s="1041">
        <v>46646</v>
      </c>
      <c r="C391" s="1034" t="str">
        <f>CHOOSE(WEEKDAY(tblDias[[#This Row],[Fecha]],2),"lun","mar","mié","jue","vie","sáb","dom")</f>
        <v>jue</v>
      </c>
      <c r="D391" s="1039" t="s">
        <v>9256</v>
      </c>
      <c r="E391" s="1035">
        <f>COUNTIFS(tblConcentrado[Fecha],tblDias[[#This Row],[Fecha]])</f>
        <v>0</v>
      </c>
      <c r="F391" s="1035">
        <f t="shared" si="5"/>
        <v>24</v>
      </c>
      <c r="G391" s="1036">
        <f>IF(tblDias[[#This Row],[Horas esperadas]]=0,0,tblDias[[#This Row],[Horas cargadas]]/tblDias[[#This Row],[Horas esperadas]])</f>
        <v>0</v>
      </c>
      <c r="H391" s="1035" t="str">
        <f ca="1">IF(tblDias[[#This Row],[Fecha]]&gt;TODAY(),"Pendiente",IF(tblDias[[#This Row],[Horas cargadas]]=0,"Sin datos",IF(tblDias[[#This Row],[Horas cargadas]]&lt;tblDias[[#This Row],[Horas esperadas]],"Parcial","Completo")))</f>
        <v>Pendiente</v>
      </c>
      <c r="I391" s="1037">
        <f>COUNTIFS(tblRDO[Fecha],tblDias[[#This Row],[Fecha]])</f>
        <v>0</v>
      </c>
      <c r="J391" s="1038" t="str">
        <f ca="1">IF(tblDias[[#This Row],[Fecha]]&gt;TODAY(),"Pendiente",IF(tblDias[[#This Row],[Filas RDO]]=0,"Sin RDO","Cargado"))</f>
        <v>Pendiente</v>
      </c>
      <c r="K391" s="972">
        <f>COUNTIFS(tblControles[Fecha],tblDias[[#This Row],[Fecha]],tblControles[Turno],"&lt;&gt;Obs")</f>
        <v>0</v>
      </c>
      <c r="L391" s="971">
        <f>SUMIFS(tblParadas[Horas perdidas],tblParadas[Fecha],tblDias[[#This Row],[Fecha]])</f>
        <v>0</v>
      </c>
      <c r="M391" s="1040"/>
      <c r="N391" s="953"/>
      <c r="O391" s="1040"/>
    </row>
    <row r="392" spans="2:15">
      <c r="B392" s="1041">
        <v>46647</v>
      </c>
      <c r="C392" s="1034" t="str">
        <f>CHOOSE(WEEKDAY(tblDias[[#This Row],[Fecha]],2),"lun","mar","mié","jue","vie","sáb","dom")</f>
        <v>vie</v>
      </c>
      <c r="D392" s="1039" t="s">
        <v>9256</v>
      </c>
      <c r="E392" s="1035">
        <f>COUNTIFS(tblConcentrado[Fecha],tblDias[[#This Row],[Fecha]])</f>
        <v>0</v>
      </c>
      <c r="F392" s="1035">
        <f t="shared" si="5"/>
        <v>24</v>
      </c>
      <c r="G392" s="1036">
        <f>IF(tblDias[[#This Row],[Horas esperadas]]=0,0,tblDias[[#This Row],[Horas cargadas]]/tblDias[[#This Row],[Horas esperadas]])</f>
        <v>0</v>
      </c>
      <c r="H392" s="1035" t="str">
        <f ca="1">IF(tblDias[[#This Row],[Fecha]]&gt;TODAY(),"Pendiente",IF(tblDias[[#This Row],[Horas cargadas]]=0,"Sin datos",IF(tblDias[[#This Row],[Horas cargadas]]&lt;tblDias[[#This Row],[Horas esperadas]],"Parcial","Completo")))</f>
        <v>Pendiente</v>
      </c>
      <c r="I392" s="1037">
        <f>COUNTIFS(tblRDO[Fecha],tblDias[[#This Row],[Fecha]])</f>
        <v>0</v>
      </c>
      <c r="J392" s="1038" t="str">
        <f ca="1">IF(tblDias[[#This Row],[Fecha]]&gt;TODAY(),"Pendiente",IF(tblDias[[#This Row],[Filas RDO]]=0,"Sin RDO","Cargado"))</f>
        <v>Pendiente</v>
      </c>
      <c r="K392" s="972">
        <f>COUNTIFS(tblControles[Fecha],tblDias[[#This Row],[Fecha]],tblControles[Turno],"&lt;&gt;Obs")</f>
        <v>0</v>
      </c>
      <c r="L392" s="971">
        <f>SUMIFS(tblParadas[Horas perdidas],tblParadas[Fecha],tblDias[[#This Row],[Fecha]])</f>
        <v>0</v>
      </c>
      <c r="M392" s="1040"/>
      <c r="N392" s="953"/>
      <c r="O392" s="1040"/>
    </row>
    <row r="393" spans="2:15">
      <c r="B393" s="1041">
        <v>46648</v>
      </c>
      <c r="C393" s="1034" t="str">
        <f>CHOOSE(WEEKDAY(tblDias[[#This Row],[Fecha]],2),"lun","mar","mié","jue","vie","sáb","dom")</f>
        <v>sáb</v>
      </c>
      <c r="D393" s="1039" t="s">
        <v>9256</v>
      </c>
      <c r="E393" s="1035">
        <f>COUNTIFS(tblConcentrado[Fecha],tblDias[[#This Row],[Fecha]])</f>
        <v>0</v>
      </c>
      <c r="F393" s="1035">
        <f t="shared" si="5"/>
        <v>24</v>
      </c>
      <c r="G393" s="1036">
        <f>IF(tblDias[[#This Row],[Horas esperadas]]=0,0,tblDias[[#This Row],[Horas cargadas]]/tblDias[[#This Row],[Horas esperadas]])</f>
        <v>0</v>
      </c>
      <c r="H393" s="1035" t="str">
        <f ca="1">IF(tblDias[[#This Row],[Fecha]]&gt;TODAY(),"Pendiente",IF(tblDias[[#This Row],[Horas cargadas]]=0,"Sin datos",IF(tblDias[[#This Row],[Horas cargadas]]&lt;tblDias[[#This Row],[Horas esperadas]],"Parcial","Completo")))</f>
        <v>Pendiente</v>
      </c>
      <c r="I393" s="1037">
        <f>COUNTIFS(tblRDO[Fecha],tblDias[[#This Row],[Fecha]])</f>
        <v>0</v>
      </c>
      <c r="J393" s="1038" t="str">
        <f ca="1">IF(tblDias[[#This Row],[Fecha]]&gt;TODAY(),"Pendiente",IF(tblDias[[#This Row],[Filas RDO]]=0,"Sin RDO","Cargado"))</f>
        <v>Pendiente</v>
      </c>
      <c r="K393" s="972">
        <f>COUNTIFS(tblControles[Fecha],tblDias[[#This Row],[Fecha]],tblControles[Turno],"&lt;&gt;Obs")</f>
        <v>0</v>
      </c>
      <c r="L393" s="971">
        <f>SUMIFS(tblParadas[Horas perdidas],tblParadas[Fecha],tblDias[[#This Row],[Fecha]])</f>
        <v>0</v>
      </c>
      <c r="M393" s="1040"/>
      <c r="N393" s="953"/>
      <c r="O393" s="1040"/>
    </row>
    <row r="394" spans="2:15">
      <c r="B394" s="1041">
        <v>46649</v>
      </c>
      <c r="C394" s="1034" t="str">
        <f>CHOOSE(WEEKDAY(tblDias[[#This Row],[Fecha]],2),"lun","mar","mié","jue","vie","sáb","dom")</f>
        <v>dom</v>
      </c>
      <c r="D394" s="1039" t="s">
        <v>9256</v>
      </c>
      <c r="E394" s="1035">
        <f>COUNTIFS(tblConcentrado[Fecha],tblDias[[#This Row],[Fecha]])</f>
        <v>0</v>
      </c>
      <c r="F394" s="1035">
        <f t="shared" si="5"/>
        <v>24</v>
      </c>
      <c r="G394" s="1036">
        <f>IF(tblDias[[#This Row],[Horas esperadas]]=0,0,tblDias[[#This Row],[Horas cargadas]]/tblDias[[#This Row],[Horas esperadas]])</f>
        <v>0</v>
      </c>
      <c r="H394" s="1035" t="str">
        <f ca="1">IF(tblDias[[#This Row],[Fecha]]&gt;TODAY(),"Pendiente",IF(tblDias[[#This Row],[Horas cargadas]]=0,"Sin datos",IF(tblDias[[#This Row],[Horas cargadas]]&lt;tblDias[[#This Row],[Horas esperadas]],"Parcial","Completo")))</f>
        <v>Pendiente</v>
      </c>
      <c r="I394" s="1037">
        <f>COUNTIFS(tblRDO[Fecha],tblDias[[#This Row],[Fecha]])</f>
        <v>0</v>
      </c>
      <c r="J394" s="1038" t="str">
        <f ca="1">IF(tblDias[[#This Row],[Fecha]]&gt;TODAY(),"Pendiente",IF(tblDias[[#This Row],[Filas RDO]]=0,"Sin RDO","Cargado"))</f>
        <v>Pendiente</v>
      </c>
      <c r="K394" s="972">
        <f>COUNTIFS(tblControles[Fecha],tblDias[[#This Row],[Fecha]],tblControles[Turno],"&lt;&gt;Obs")</f>
        <v>0</v>
      </c>
      <c r="L394" s="971">
        <f>SUMIFS(tblParadas[Horas perdidas],tblParadas[Fecha],tblDias[[#This Row],[Fecha]])</f>
        <v>0</v>
      </c>
      <c r="M394" s="1040"/>
      <c r="N394" s="953"/>
      <c r="O394" s="1040"/>
    </row>
    <row r="395" spans="2:15">
      <c r="B395" s="1041">
        <v>46650</v>
      </c>
      <c r="C395" s="1034" t="str">
        <f>CHOOSE(WEEKDAY(tblDias[[#This Row],[Fecha]],2),"lun","mar","mié","jue","vie","sáb","dom")</f>
        <v>lun</v>
      </c>
      <c r="D395" s="1039" t="s">
        <v>9256</v>
      </c>
      <c r="E395" s="1035">
        <f>COUNTIFS(tblConcentrado[Fecha],tblDias[[#This Row],[Fecha]])</f>
        <v>0</v>
      </c>
      <c r="F395" s="1035">
        <f t="shared" ref="F395:F458" si="6">CFG_HORAS</f>
        <v>24</v>
      </c>
      <c r="G395" s="1036">
        <f>IF(tblDias[[#This Row],[Horas esperadas]]=0,0,tblDias[[#This Row],[Horas cargadas]]/tblDias[[#This Row],[Horas esperadas]])</f>
        <v>0</v>
      </c>
      <c r="H395" s="1035" t="str">
        <f ca="1">IF(tblDias[[#This Row],[Fecha]]&gt;TODAY(),"Pendiente",IF(tblDias[[#This Row],[Horas cargadas]]=0,"Sin datos",IF(tblDias[[#This Row],[Horas cargadas]]&lt;tblDias[[#This Row],[Horas esperadas]],"Parcial","Completo")))</f>
        <v>Pendiente</v>
      </c>
      <c r="I395" s="1037">
        <f>COUNTIFS(tblRDO[Fecha],tblDias[[#This Row],[Fecha]])</f>
        <v>0</v>
      </c>
      <c r="J395" s="1038" t="str">
        <f ca="1">IF(tblDias[[#This Row],[Fecha]]&gt;TODAY(),"Pendiente",IF(tblDias[[#This Row],[Filas RDO]]=0,"Sin RDO","Cargado"))</f>
        <v>Pendiente</v>
      </c>
      <c r="K395" s="972">
        <f>COUNTIFS(tblControles[Fecha],tblDias[[#This Row],[Fecha]],tblControles[Turno],"&lt;&gt;Obs")</f>
        <v>0</v>
      </c>
      <c r="L395" s="971">
        <f>SUMIFS(tblParadas[Horas perdidas],tblParadas[Fecha],tblDias[[#This Row],[Fecha]])</f>
        <v>0</v>
      </c>
      <c r="M395" s="1040"/>
      <c r="N395" s="953"/>
      <c r="O395" s="1040"/>
    </row>
    <row r="396" spans="2:15">
      <c r="B396" s="1041">
        <v>46651</v>
      </c>
      <c r="C396" s="1034" t="str">
        <f>CHOOSE(WEEKDAY(tblDias[[#This Row],[Fecha]],2),"lun","mar","mié","jue","vie","sáb","dom")</f>
        <v>mar</v>
      </c>
      <c r="D396" s="1039" t="s">
        <v>9256</v>
      </c>
      <c r="E396" s="1035">
        <f>COUNTIFS(tblConcentrado[Fecha],tblDias[[#This Row],[Fecha]])</f>
        <v>0</v>
      </c>
      <c r="F396" s="1035">
        <f t="shared" si="6"/>
        <v>24</v>
      </c>
      <c r="G396" s="1036">
        <f>IF(tblDias[[#This Row],[Horas esperadas]]=0,0,tblDias[[#This Row],[Horas cargadas]]/tblDias[[#This Row],[Horas esperadas]])</f>
        <v>0</v>
      </c>
      <c r="H396" s="1035" t="str">
        <f ca="1">IF(tblDias[[#This Row],[Fecha]]&gt;TODAY(),"Pendiente",IF(tblDias[[#This Row],[Horas cargadas]]=0,"Sin datos",IF(tblDias[[#This Row],[Horas cargadas]]&lt;tblDias[[#This Row],[Horas esperadas]],"Parcial","Completo")))</f>
        <v>Pendiente</v>
      </c>
      <c r="I396" s="1037">
        <f>COUNTIFS(tblRDO[Fecha],tblDias[[#This Row],[Fecha]])</f>
        <v>0</v>
      </c>
      <c r="J396" s="1038" t="str">
        <f ca="1">IF(tblDias[[#This Row],[Fecha]]&gt;TODAY(),"Pendiente",IF(tblDias[[#This Row],[Filas RDO]]=0,"Sin RDO","Cargado"))</f>
        <v>Pendiente</v>
      </c>
      <c r="K396" s="972">
        <f>COUNTIFS(tblControles[Fecha],tblDias[[#This Row],[Fecha]],tblControles[Turno],"&lt;&gt;Obs")</f>
        <v>0</v>
      </c>
      <c r="L396" s="971">
        <f>SUMIFS(tblParadas[Horas perdidas],tblParadas[Fecha],tblDias[[#This Row],[Fecha]])</f>
        <v>0</v>
      </c>
      <c r="M396" s="1040"/>
      <c r="N396" s="953"/>
      <c r="O396" s="1040"/>
    </row>
    <row r="397" spans="2:15">
      <c r="B397" s="1041">
        <v>46652</v>
      </c>
      <c r="C397" s="1034" t="str">
        <f>CHOOSE(WEEKDAY(tblDias[[#This Row],[Fecha]],2),"lun","mar","mié","jue","vie","sáb","dom")</f>
        <v>mié</v>
      </c>
      <c r="D397" s="1039" t="s">
        <v>9256</v>
      </c>
      <c r="E397" s="1035">
        <f>COUNTIFS(tblConcentrado[Fecha],tblDias[[#This Row],[Fecha]])</f>
        <v>0</v>
      </c>
      <c r="F397" s="1035">
        <f t="shared" si="6"/>
        <v>24</v>
      </c>
      <c r="G397" s="1036">
        <f>IF(tblDias[[#This Row],[Horas esperadas]]=0,0,tblDias[[#This Row],[Horas cargadas]]/tblDias[[#This Row],[Horas esperadas]])</f>
        <v>0</v>
      </c>
      <c r="H397" s="1035" t="str">
        <f ca="1">IF(tblDias[[#This Row],[Fecha]]&gt;TODAY(),"Pendiente",IF(tblDias[[#This Row],[Horas cargadas]]=0,"Sin datos",IF(tblDias[[#This Row],[Horas cargadas]]&lt;tblDias[[#This Row],[Horas esperadas]],"Parcial","Completo")))</f>
        <v>Pendiente</v>
      </c>
      <c r="I397" s="1037">
        <f>COUNTIFS(tblRDO[Fecha],tblDias[[#This Row],[Fecha]])</f>
        <v>0</v>
      </c>
      <c r="J397" s="1038" t="str">
        <f ca="1">IF(tblDias[[#This Row],[Fecha]]&gt;TODAY(),"Pendiente",IF(tblDias[[#This Row],[Filas RDO]]=0,"Sin RDO","Cargado"))</f>
        <v>Pendiente</v>
      </c>
      <c r="K397" s="972">
        <f>COUNTIFS(tblControles[Fecha],tblDias[[#This Row],[Fecha]],tblControles[Turno],"&lt;&gt;Obs")</f>
        <v>0</v>
      </c>
      <c r="L397" s="971">
        <f>SUMIFS(tblParadas[Horas perdidas],tblParadas[Fecha],tblDias[[#This Row],[Fecha]])</f>
        <v>0</v>
      </c>
      <c r="M397" s="1040"/>
      <c r="N397" s="953"/>
      <c r="O397" s="1040"/>
    </row>
    <row r="398" spans="2:15">
      <c r="B398" s="1041">
        <v>46653</v>
      </c>
      <c r="C398" s="1034" t="str">
        <f>CHOOSE(WEEKDAY(tblDias[[#This Row],[Fecha]],2),"lun","mar","mié","jue","vie","sáb","dom")</f>
        <v>jue</v>
      </c>
      <c r="D398" s="1039" t="s">
        <v>9256</v>
      </c>
      <c r="E398" s="1035">
        <f>COUNTIFS(tblConcentrado[Fecha],tblDias[[#This Row],[Fecha]])</f>
        <v>0</v>
      </c>
      <c r="F398" s="1035">
        <f t="shared" si="6"/>
        <v>24</v>
      </c>
      <c r="G398" s="1036">
        <f>IF(tblDias[[#This Row],[Horas esperadas]]=0,0,tblDias[[#This Row],[Horas cargadas]]/tblDias[[#This Row],[Horas esperadas]])</f>
        <v>0</v>
      </c>
      <c r="H398" s="1035" t="str">
        <f ca="1">IF(tblDias[[#This Row],[Fecha]]&gt;TODAY(),"Pendiente",IF(tblDias[[#This Row],[Horas cargadas]]=0,"Sin datos",IF(tblDias[[#This Row],[Horas cargadas]]&lt;tblDias[[#This Row],[Horas esperadas]],"Parcial","Completo")))</f>
        <v>Pendiente</v>
      </c>
      <c r="I398" s="1037">
        <f>COUNTIFS(tblRDO[Fecha],tblDias[[#This Row],[Fecha]])</f>
        <v>0</v>
      </c>
      <c r="J398" s="1038" t="str">
        <f ca="1">IF(tblDias[[#This Row],[Fecha]]&gt;TODAY(),"Pendiente",IF(tblDias[[#This Row],[Filas RDO]]=0,"Sin RDO","Cargado"))</f>
        <v>Pendiente</v>
      </c>
      <c r="K398" s="972">
        <f>COUNTIFS(tblControles[Fecha],tblDias[[#This Row],[Fecha]],tblControles[Turno],"&lt;&gt;Obs")</f>
        <v>0</v>
      </c>
      <c r="L398" s="971">
        <f>SUMIFS(tblParadas[Horas perdidas],tblParadas[Fecha],tblDias[[#This Row],[Fecha]])</f>
        <v>0</v>
      </c>
      <c r="M398" s="1040"/>
      <c r="N398" s="953"/>
      <c r="O398" s="1040"/>
    </row>
    <row r="399" spans="2:15">
      <c r="B399" s="1041">
        <v>46654</v>
      </c>
      <c r="C399" s="1034" t="str">
        <f>CHOOSE(WEEKDAY(tblDias[[#This Row],[Fecha]],2),"lun","mar","mié","jue","vie","sáb","dom")</f>
        <v>vie</v>
      </c>
      <c r="D399" s="1039" t="s">
        <v>9256</v>
      </c>
      <c r="E399" s="1035">
        <f>COUNTIFS(tblConcentrado[Fecha],tblDias[[#This Row],[Fecha]])</f>
        <v>0</v>
      </c>
      <c r="F399" s="1035">
        <f t="shared" si="6"/>
        <v>24</v>
      </c>
      <c r="G399" s="1036">
        <f>IF(tblDias[[#This Row],[Horas esperadas]]=0,0,tblDias[[#This Row],[Horas cargadas]]/tblDias[[#This Row],[Horas esperadas]])</f>
        <v>0</v>
      </c>
      <c r="H399" s="1035" t="str">
        <f ca="1">IF(tblDias[[#This Row],[Fecha]]&gt;TODAY(),"Pendiente",IF(tblDias[[#This Row],[Horas cargadas]]=0,"Sin datos",IF(tblDias[[#This Row],[Horas cargadas]]&lt;tblDias[[#This Row],[Horas esperadas]],"Parcial","Completo")))</f>
        <v>Pendiente</v>
      </c>
      <c r="I399" s="1037">
        <f>COUNTIFS(tblRDO[Fecha],tblDias[[#This Row],[Fecha]])</f>
        <v>0</v>
      </c>
      <c r="J399" s="1038" t="str">
        <f ca="1">IF(tblDias[[#This Row],[Fecha]]&gt;TODAY(),"Pendiente",IF(tblDias[[#This Row],[Filas RDO]]=0,"Sin RDO","Cargado"))</f>
        <v>Pendiente</v>
      </c>
      <c r="K399" s="972">
        <f>COUNTIFS(tblControles[Fecha],tblDias[[#This Row],[Fecha]],tblControles[Turno],"&lt;&gt;Obs")</f>
        <v>0</v>
      </c>
      <c r="L399" s="971">
        <f>SUMIFS(tblParadas[Horas perdidas],tblParadas[Fecha],tblDias[[#This Row],[Fecha]])</f>
        <v>0</v>
      </c>
      <c r="M399" s="1040"/>
      <c r="N399" s="953"/>
      <c r="O399" s="1040"/>
    </row>
    <row r="400" spans="2:15">
      <c r="B400" s="1041">
        <v>46655</v>
      </c>
      <c r="C400" s="1034" t="str">
        <f>CHOOSE(WEEKDAY(tblDias[[#This Row],[Fecha]],2),"lun","mar","mié","jue","vie","sáb","dom")</f>
        <v>sáb</v>
      </c>
      <c r="D400" s="1039" t="s">
        <v>9256</v>
      </c>
      <c r="E400" s="1035">
        <f>COUNTIFS(tblConcentrado[Fecha],tblDias[[#This Row],[Fecha]])</f>
        <v>0</v>
      </c>
      <c r="F400" s="1035">
        <f t="shared" si="6"/>
        <v>24</v>
      </c>
      <c r="G400" s="1036">
        <f>IF(tblDias[[#This Row],[Horas esperadas]]=0,0,tblDias[[#This Row],[Horas cargadas]]/tblDias[[#This Row],[Horas esperadas]])</f>
        <v>0</v>
      </c>
      <c r="H400" s="1035" t="str">
        <f ca="1">IF(tblDias[[#This Row],[Fecha]]&gt;TODAY(),"Pendiente",IF(tblDias[[#This Row],[Horas cargadas]]=0,"Sin datos",IF(tblDias[[#This Row],[Horas cargadas]]&lt;tblDias[[#This Row],[Horas esperadas]],"Parcial","Completo")))</f>
        <v>Pendiente</v>
      </c>
      <c r="I400" s="1037">
        <f>COUNTIFS(tblRDO[Fecha],tblDias[[#This Row],[Fecha]])</f>
        <v>0</v>
      </c>
      <c r="J400" s="1038" t="str">
        <f ca="1">IF(tblDias[[#This Row],[Fecha]]&gt;TODAY(),"Pendiente",IF(tblDias[[#This Row],[Filas RDO]]=0,"Sin RDO","Cargado"))</f>
        <v>Pendiente</v>
      </c>
      <c r="K400" s="972">
        <f>COUNTIFS(tblControles[Fecha],tblDias[[#This Row],[Fecha]],tblControles[Turno],"&lt;&gt;Obs")</f>
        <v>0</v>
      </c>
      <c r="L400" s="971">
        <f>SUMIFS(tblParadas[Horas perdidas],tblParadas[Fecha],tblDias[[#This Row],[Fecha]])</f>
        <v>0</v>
      </c>
      <c r="M400" s="1040"/>
      <c r="N400" s="953"/>
      <c r="O400" s="1040"/>
    </row>
    <row r="401" spans="2:15">
      <c r="B401" s="1041">
        <v>46656</v>
      </c>
      <c r="C401" s="1034" t="str">
        <f>CHOOSE(WEEKDAY(tblDias[[#This Row],[Fecha]],2),"lun","mar","mié","jue","vie","sáb","dom")</f>
        <v>dom</v>
      </c>
      <c r="D401" s="1039" t="s">
        <v>9256</v>
      </c>
      <c r="E401" s="1035">
        <f>COUNTIFS(tblConcentrado[Fecha],tblDias[[#This Row],[Fecha]])</f>
        <v>0</v>
      </c>
      <c r="F401" s="1035">
        <f t="shared" si="6"/>
        <v>24</v>
      </c>
      <c r="G401" s="1036">
        <f>IF(tblDias[[#This Row],[Horas esperadas]]=0,0,tblDias[[#This Row],[Horas cargadas]]/tblDias[[#This Row],[Horas esperadas]])</f>
        <v>0</v>
      </c>
      <c r="H401" s="1035" t="str">
        <f ca="1">IF(tblDias[[#This Row],[Fecha]]&gt;TODAY(),"Pendiente",IF(tblDias[[#This Row],[Horas cargadas]]=0,"Sin datos",IF(tblDias[[#This Row],[Horas cargadas]]&lt;tblDias[[#This Row],[Horas esperadas]],"Parcial","Completo")))</f>
        <v>Pendiente</v>
      </c>
      <c r="I401" s="1037">
        <f>COUNTIFS(tblRDO[Fecha],tblDias[[#This Row],[Fecha]])</f>
        <v>0</v>
      </c>
      <c r="J401" s="1038" t="str">
        <f ca="1">IF(tblDias[[#This Row],[Fecha]]&gt;TODAY(),"Pendiente",IF(tblDias[[#This Row],[Filas RDO]]=0,"Sin RDO","Cargado"))</f>
        <v>Pendiente</v>
      </c>
      <c r="K401" s="972">
        <f>COUNTIFS(tblControles[Fecha],tblDias[[#This Row],[Fecha]],tblControles[Turno],"&lt;&gt;Obs")</f>
        <v>0</v>
      </c>
      <c r="L401" s="971">
        <f>SUMIFS(tblParadas[Horas perdidas],tblParadas[Fecha],tblDias[[#This Row],[Fecha]])</f>
        <v>0</v>
      </c>
      <c r="M401" s="1040"/>
      <c r="N401" s="953"/>
      <c r="O401" s="1040"/>
    </row>
    <row r="402" spans="2:15">
      <c r="B402" s="1041">
        <v>46657</v>
      </c>
      <c r="C402" s="1034" t="str">
        <f>CHOOSE(WEEKDAY(tblDias[[#This Row],[Fecha]],2),"lun","mar","mié","jue","vie","sáb","dom")</f>
        <v>lun</v>
      </c>
      <c r="D402" s="1039" t="s">
        <v>9256</v>
      </c>
      <c r="E402" s="1035">
        <f>COUNTIFS(tblConcentrado[Fecha],tblDias[[#This Row],[Fecha]])</f>
        <v>0</v>
      </c>
      <c r="F402" s="1035">
        <f t="shared" si="6"/>
        <v>24</v>
      </c>
      <c r="G402" s="1036">
        <f>IF(tblDias[[#This Row],[Horas esperadas]]=0,0,tblDias[[#This Row],[Horas cargadas]]/tblDias[[#This Row],[Horas esperadas]])</f>
        <v>0</v>
      </c>
      <c r="H402" s="1035" t="str">
        <f ca="1">IF(tblDias[[#This Row],[Fecha]]&gt;TODAY(),"Pendiente",IF(tblDias[[#This Row],[Horas cargadas]]=0,"Sin datos",IF(tblDias[[#This Row],[Horas cargadas]]&lt;tblDias[[#This Row],[Horas esperadas]],"Parcial","Completo")))</f>
        <v>Pendiente</v>
      </c>
      <c r="I402" s="1037">
        <f>COUNTIFS(tblRDO[Fecha],tblDias[[#This Row],[Fecha]])</f>
        <v>0</v>
      </c>
      <c r="J402" s="1038" t="str">
        <f ca="1">IF(tblDias[[#This Row],[Fecha]]&gt;TODAY(),"Pendiente",IF(tblDias[[#This Row],[Filas RDO]]=0,"Sin RDO","Cargado"))</f>
        <v>Pendiente</v>
      </c>
      <c r="K402" s="972">
        <f>COUNTIFS(tblControles[Fecha],tblDias[[#This Row],[Fecha]],tblControles[Turno],"&lt;&gt;Obs")</f>
        <v>0</v>
      </c>
      <c r="L402" s="971">
        <f>SUMIFS(tblParadas[Horas perdidas],tblParadas[Fecha],tblDias[[#This Row],[Fecha]])</f>
        <v>0</v>
      </c>
      <c r="M402" s="1040"/>
      <c r="N402" s="953"/>
      <c r="O402" s="1040"/>
    </row>
    <row r="403" spans="2:15">
      <c r="B403" s="1041">
        <v>46658</v>
      </c>
      <c r="C403" s="1034" t="str">
        <f>CHOOSE(WEEKDAY(tblDias[[#This Row],[Fecha]],2),"lun","mar","mié","jue","vie","sáb","dom")</f>
        <v>mar</v>
      </c>
      <c r="D403" s="1039" t="s">
        <v>9256</v>
      </c>
      <c r="E403" s="1035">
        <f>COUNTIFS(tblConcentrado[Fecha],tblDias[[#This Row],[Fecha]])</f>
        <v>0</v>
      </c>
      <c r="F403" s="1035">
        <f t="shared" si="6"/>
        <v>24</v>
      </c>
      <c r="G403" s="1036">
        <f>IF(tblDias[[#This Row],[Horas esperadas]]=0,0,tblDias[[#This Row],[Horas cargadas]]/tblDias[[#This Row],[Horas esperadas]])</f>
        <v>0</v>
      </c>
      <c r="H403" s="1035" t="str">
        <f ca="1">IF(tblDias[[#This Row],[Fecha]]&gt;TODAY(),"Pendiente",IF(tblDias[[#This Row],[Horas cargadas]]=0,"Sin datos",IF(tblDias[[#This Row],[Horas cargadas]]&lt;tblDias[[#This Row],[Horas esperadas]],"Parcial","Completo")))</f>
        <v>Pendiente</v>
      </c>
      <c r="I403" s="1037">
        <f>COUNTIFS(tblRDO[Fecha],tblDias[[#This Row],[Fecha]])</f>
        <v>0</v>
      </c>
      <c r="J403" s="1038" t="str">
        <f ca="1">IF(tblDias[[#This Row],[Fecha]]&gt;TODAY(),"Pendiente",IF(tblDias[[#This Row],[Filas RDO]]=0,"Sin RDO","Cargado"))</f>
        <v>Pendiente</v>
      </c>
      <c r="K403" s="972">
        <f>COUNTIFS(tblControles[Fecha],tblDias[[#This Row],[Fecha]],tblControles[Turno],"&lt;&gt;Obs")</f>
        <v>0</v>
      </c>
      <c r="L403" s="971">
        <f>SUMIFS(tblParadas[Horas perdidas],tblParadas[Fecha],tblDias[[#This Row],[Fecha]])</f>
        <v>0</v>
      </c>
      <c r="M403" s="1040"/>
      <c r="N403" s="953"/>
      <c r="O403" s="1040"/>
    </row>
    <row r="404" spans="2:15">
      <c r="B404" s="1041">
        <v>46659</v>
      </c>
      <c r="C404" s="1034" t="str">
        <f>CHOOSE(WEEKDAY(tblDias[[#This Row],[Fecha]],2),"lun","mar","mié","jue","vie","sáb","dom")</f>
        <v>mié</v>
      </c>
      <c r="D404" s="1039" t="s">
        <v>9256</v>
      </c>
      <c r="E404" s="1035">
        <f>COUNTIFS(tblConcentrado[Fecha],tblDias[[#This Row],[Fecha]])</f>
        <v>0</v>
      </c>
      <c r="F404" s="1035">
        <f t="shared" si="6"/>
        <v>24</v>
      </c>
      <c r="G404" s="1036">
        <f>IF(tblDias[[#This Row],[Horas esperadas]]=0,0,tblDias[[#This Row],[Horas cargadas]]/tblDias[[#This Row],[Horas esperadas]])</f>
        <v>0</v>
      </c>
      <c r="H404" s="1035" t="str">
        <f ca="1">IF(tblDias[[#This Row],[Fecha]]&gt;TODAY(),"Pendiente",IF(tblDias[[#This Row],[Horas cargadas]]=0,"Sin datos",IF(tblDias[[#This Row],[Horas cargadas]]&lt;tblDias[[#This Row],[Horas esperadas]],"Parcial","Completo")))</f>
        <v>Pendiente</v>
      </c>
      <c r="I404" s="1037">
        <f>COUNTIFS(tblRDO[Fecha],tblDias[[#This Row],[Fecha]])</f>
        <v>0</v>
      </c>
      <c r="J404" s="1038" t="str">
        <f ca="1">IF(tblDias[[#This Row],[Fecha]]&gt;TODAY(),"Pendiente",IF(tblDias[[#This Row],[Filas RDO]]=0,"Sin RDO","Cargado"))</f>
        <v>Pendiente</v>
      </c>
      <c r="K404" s="972">
        <f>COUNTIFS(tblControles[Fecha],tblDias[[#This Row],[Fecha]],tblControles[Turno],"&lt;&gt;Obs")</f>
        <v>0</v>
      </c>
      <c r="L404" s="971">
        <f>SUMIFS(tblParadas[Horas perdidas],tblParadas[Fecha],tblDias[[#This Row],[Fecha]])</f>
        <v>0</v>
      </c>
      <c r="M404" s="1040"/>
      <c r="N404" s="953"/>
      <c r="O404" s="1040"/>
    </row>
    <row r="405" spans="2:15">
      <c r="B405" s="1041">
        <v>46660</v>
      </c>
      <c r="C405" s="1034" t="str">
        <f>CHOOSE(WEEKDAY(tblDias[[#This Row],[Fecha]],2),"lun","mar","mié","jue","vie","sáb","dom")</f>
        <v>jue</v>
      </c>
      <c r="D405" s="1039" t="s">
        <v>9256</v>
      </c>
      <c r="E405" s="1035">
        <f>COUNTIFS(tblConcentrado[Fecha],tblDias[[#This Row],[Fecha]])</f>
        <v>0</v>
      </c>
      <c r="F405" s="1035">
        <f t="shared" si="6"/>
        <v>24</v>
      </c>
      <c r="G405" s="1036">
        <f>IF(tblDias[[#This Row],[Horas esperadas]]=0,0,tblDias[[#This Row],[Horas cargadas]]/tblDias[[#This Row],[Horas esperadas]])</f>
        <v>0</v>
      </c>
      <c r="H405" s="1035" t="str">
        <f ca="1">IF(tblDias[[#This Row],[Fecha]]&gt;TODAY(),"Pendiente",IF(tblDias[[#This Row],[Horas cargadas]]=0,"Sin datos",IF(tblDias[[#This Row],[Horas cargadas]]&lt;tblDias[[#This Row],[Horas esperadas]],"Parcial","Completo")))</f>
        <v>Pendiente</v>
      </c>
      <c r="I405" s="1037">
        <f>COUNTIFS(tblRDO[Fecha],tblDias[[#This Row],[Fecha]])</f>
        <v>0</v>
      </c>
      <c r="J405" s="1038" t="str">
        <f ca="1">IF(tblDias[[#This Row],[Fecha]]&gt;TODAY(),"Pendiente",IF(tblDias[[#This Row],[Filas RDO]]=0,"Sin RDO","Cargado"))</f>
        <v>Pendiente</v>
      </c>
      <c r="K405" s="972">
        <f>COUNTIFS(tblControles[Fecha],tblDias[[#This Row],[Fecha]],tblControles[Turno],"&lt;&gt;Obs")</f>
        <v>0</v>
      </c>
      <c r="L405" s="971">
        <f>SUMIFS(tblParadas[Horas perdidas],tblParadas[Fecha],tblDias[[#This Row],[Fecha]])</f>
        <v>0</v>
      </c>
      <c r="M405" s="1040"/>
      <c r="N405" s="953"/>
      <c r="O405" s="1040"/>
    </row>
    <row r="406" spans="2:15">
      <c r="B406" s="1041">
        <v>46661</v>
      </c>
      <c r="C406" s="1034" t="str">
        <f>CHOOSE(WEEKDAY(tblDias[[#This Row],[Fecha]],2),"lun","mar","mié","jue","vie","sáb","dom")</f>
        <v>vie</v>
      </c>
      <c r="D406" s="1039" t="s">
        <v>9256</v>
      </c>
      <c r="E406" s="1035">
        <f>COUNTIFS(tblConcentrado[Fecha],tblDias[[#This Row],[Fecha]])</f>
        <v>0</v>
      </c>
      <c r="F406" s="1035">
        <f t="shared" si="6"/>
        <v>24</v>
      </c>
      <c r="G406" s="1036">
        <f>IF(tblDias[[#This Row],[Horas esperadas]]=0,0,tblDias[[#This Row],[Horas cargadas]]/tblDias[[#This Row],[Horas esperadas]])</f>
        <v>0</v>
      </c>
      <c r="H406" s="1035" t="str">
        <f ca="1">IF(tblDias[[#This Row],[Fecha]]&gt;TODAY(),"Pendiente",IF(tblDias[[#This Row],[Horas cargadas]]=0,"Sin datos",IF(tblDias[[#This Row],[Horas cargadas]]&lt;tblDias[[#This Row],[Horas esperadas]],"Parcial","Completo")))</f>
        <v>Pendiente</v>
      </c>
      <c r="I406" s="1037">
        <f>COUNTIFS(tblRDO[Fecha],tblDias[[#This Row],[Fecha]])</f>
        <v>0</v>
      </c>
      <c r="J406" s="1038" t="str">
        <f ca="1">IF(tblDias[[#This Row],[Fecha]]&gt;TODAY(),"Pendiente",IF(tblDias[[#This Row],[Filas RDO]]=0,"Sin RDO","Cargado"))</f>
        <v>Pendiente</v>
      </c>
      <c r="K406" s="972">
        <f>COUNTIFS(tblControles[Fecha],tblDias[[#This Row],[Fecha]],tblControles[Turno],"&lt;&gt;Obs")</f>
        <v>0</v>
      </c>
      <c r="L406" s="971">
        <f>SUMIFS(tblParadas[Horas perdidas],tblParadas[Fecha],tblDias[[#This Row],[Fecha]])</f>
        <v>0</v>
      </c>
      <c r="M406" s="1040"/>
      <c r="N406" s="953"/>
      <c r="O406" s="1040"/>
    </row>
    <row r="407" spans="2:15">
      <c r="B407" s="1041">
        <v>46662</v>
      </c>
      <c r="C407" s="1034" t="str">
        <f>CHOOSE(WEEKDAY(tblDias[[#This Row],[Fecha]],2),"lun","mar","mié","jue","vie","sáb","dom")</f>
        <v>sáb</v>
      </c>
      <c r="D407" s="1039" t="s">
        <v>9256</v>
      </c>
      <c r="E407" s="1035">
        <f>COUNTIFS(tblConcentrado[Fecha],tblDias[[#This Row],[Fecha]])</f>
        <v>0</v>
      </c>
      <c r="F407" s="1035">
        <f t="shared" si="6"/>
        <v>24</v>
      </c>
      <c r="G407" s="1036">
        <f>IF(tblDias[[#This Row],[Horas esperadas]]=0,0,tblDias[[#This Row],[Horas cargadas]]/tblDias[[#This Row],[Horas esperadas]])</f>
        <v>0</v>
      </c>
      <c r="H407" s="1035" t="str">
        <f ca="1">IF(tblDias[[#This Row],[Fecha]]&gt;TODAY(),"Pendiente",IF(tblDias[[#This Row],[Horas cargadas]]=0,"Sin datos",IF(tblDias[[#This Row],[Horas cargadas]]&lt;tblDias[[#This Row],[Horas esperadas]],"Parcial","Completo")))</f>
        <v>Pendiente</v>
      </c>
      <c r="I407" s="1037">
        <f>COUNTIFS(tblRDO[Fecha],tblDias[[#This Row],[Fecha]])</f>
        <v>0</v>
      </c>
      <c r="J407" s="1038" t="str">
        <f ca="1">IF(tblDias[[#This Row],[Fecha]]&gt;TODAY(),"Pendiente",IF(tblDias[[#This Row],[Filas RDO]]=0,"Sin RDO","Cargado"))</f>
        <v>Pendiente</v>
      </c>
      <c r="K407" s="972">
        <f>COUNTIFS(tblControles[Fecha],tblDias[[#This Row],[Fecha]],tblControles[Turno],"&lt;&gt;Obs")</f>
        <v>0</v>
      </c>
      <c r="L407" s="971">
        <f>SUMIFS(tblParadas[Horas perdidas],tblParadas[Fecha],tblDias[[#This Row],[Fecha]])</f>
        <v>0</v>
      </c>
      <c r="M407" s="1040"/>
      <c r="N407" s="953"/>
      <c r="O407" s="1040"/>
    </row>
    <row r="408" spans="2:15">
      <c r="B408" s="1041">
        <v>46663</v>
      </c>
      <c r="C408" s="1034" t="str">
        <f>CHOOSE(WEEKDAY(tblDias[[#This Row],[Fecha]],2),"lun","mar","mié","jue","vie","sáb","dom")</f>
        <v>dom</v>
      </c>
      <c r="D408" s="1039" t="s">
        <v>9256</v>
      </c>
      <c r="E408" s="1035">
        <f>COUNTIFS(tblConcentrado[Fecha],tblDias[[#This Row],[Fecha]])</f>
        <v>0</v>
      </c>
      <c r="F408" s="1035">
        <f t="shared" si="6"/>
        <v>24</v>
      </c>
      <c r="G408" s="1036">
        <f>IF(tblDias[[#This Row],[Horas esperadas]]=0,0,tblDias[[#This Row],[Horas cargadas]]/tblDias[[#This Row],[Horas esperadas]])</f>
        <v>0</v>
      </c>
      <c r="H408" s="1035" t="str">
        <f ca="1">IF(tblDias[[#This Row],[Fecha]]&gt;TODAY(),"Pendiente",IF(tblDias[[#This Row],[Horas cargadas]]=0,"Sin datos",IF(tblDias[[#This Row],[Horas cargadas]]&lt;tblDias[[#This Row],[Horas esperadas]],"Parcial","Completo")))</f>
        <v>Pendiente</v>
      </c>
      <c r="I408" s="1037">
        <f>COUNTIFS(tblRDO[Fecha],tblDias[[#This Row],[Fecha]])</f>
        <v>0</v>
      </c>
      <c r="J408" s="1038" t="str">
        <f ca="1">IF(tblDias[[#This Row],[Fecha]]&gt;TODAY(),"Pendiente",IF(tblDias[[#This Row],[Filas RDO]]=0,"Sin RDO","Cargado"))</f>
        <v>Pendiente</v>
      </c>
      <c r="K408" s="972">
        <f>COUNTIFS(tblControles[Fecha],tblDias[[#This Row],[Fecha]],tblControles[Turno],"&lt;&gt;Obs")</f>
        <v>0</v>
      </c>
      <c r="L408" s="971">
        <f>SUMIFS(tblParadas[Horas perdidas],tblParadas[Fecha],tblDias[[#This Row],[Fecha]])</f>
        <v>0</v>
      </c>
      <c r="M408" s="1040"/>
      <c r="N408" s="953"/>
      <c r="O408" s="1040"/>
    </row>
    <row r="409" spans="2:15">
      <c r="B409" s="1041">
        <v>46664</v>
      </c>
      <c r="C409" s="1034" t="str">
        <f>CHOOSE(WEEKDAY(tblDias[[#This Row],[Fecha]],2),"lun","mar","mié","jue","vie","sáb","dom")</f>
        <v>lun</v>
      </c>
      <c r="D409" s="1039" t="s">
        <v>9256</v>
      </c>
      <c r="E409" s="1035">
        <f>COUNTIFS(tblConcentrado[Fecha],tblDias[[#This Row],[Fecha]])</f>
        <v>0</v>
      </c>
      <c r="F409" s="1035">
        <f t="shared" si="6"/>
        <v>24</v>
      </c>
      <c r="G409" s="1036">
        <f>IF(tblDias[[#This Row],[Horas esperadas]]=0,0,tblDias[[#This Row],[Horas cargadas]]/tblDias[[#This Row],[Horas esperadas]])</f>
        <v>0</v>
      </c>
      <c r="H409" s="1035" t="str">
        <f ca="1">IF(tblDias[[#This Row],[Fecha]]&gt;TODAY(),"Pendiente",IF(tblDias[[#This Row],[Horas cargadas]]=0,"Sin datos",IF(tblDias[[#This Row],[Horas cargadas]]&lt;tblDias[[#This Row],[Horas esperadas]],"Parcial","Completo")))</f>
        <v>Pendiente</v>
      </c>
      <c r="I409" s="1037">
        <f>COUNTIFS(tblRDO[Fecha],tblDias[[#This Row],[Fecha]])</f>
        <v>0</v>
      </c>
      <c r="J409" s="1038" t="str">
        <f ca="1">IF(tblDias[[#This Row],[Fecha]]&gt;TODAY(),"Pendiente",IF(tblDias[[#This Row],[Filas RDO]]=0,"Sin RDO","Cargado"))</f>
        <v>Pendiente</v>
      </c>
      <c r="K409" s="972">
        <f>COUNTIFS(tblControles[Fecha],tblDias[[#This Row],[Fecha]],tblControles[Turno],"&lt;&gt;Obs")</f>
        <v>0</v>
      </c>
      <c r="L409" s="971">
        <f>SUMIFS(tblParadas[Horas perdidas],tblParadas[Fecha],tblDias[[#This Row],[Fecha]])</f>
        <v>0</v>
      </c>
      <c r="M409" s="1040"/>
      <c r="N409" s="953"/>
      <c r="O409" s="1040"/>
    </row>
    <row r="410" spans="2:15">
      <c r="B410" s="1041">
        <v>46665</v>
      </c>
      <c r="C410" s="1034" t="str">
        <f>CHOOSE(WEEKDAY(tblDias[[#This Row],[Fecha]],2),"lun","mar","mié","jue","vie","sáb","dom")</f>
        <v>mar</v>
      </c>
      <c r="D410" s="1039" t="s">
        <v>9256</v>
      </c>
      <c r="E410" s="1035">
        <f>COUNTIFS(tblConcentrado[Fecha],tblDias[[#This Row],[Fecha]])</f>
        <v>0</v>
      </c>
      <c r="F410" s="1035">
        <f t="shared" si="6"/>
        <v>24</v>
      </c>
      <c r="G410" s="1036">
        <f>IF(tblDias[[#This Row],[Horas esperadas]]=0,0,tblDias[[#This Row],[Horas cargadas]]/tblDias[[#This Row],[Horas esperadas]])</f>
        <v>0</v>
      </c>
      <c r="H410" s="1035" t="str">
        <f ca="1">IF(tblDias[[#This Row],[Fecha]]&gt;TODAY(),"Pendiente",IF(tblDias[[#This Row],[Horas cargadas]]=0,"Sin datos",IF(tblDias[[#This Row],[Horas cargadas]]&lt;tblDias[[#This Row],[Horas esperadas]],"Parcial","Completo")))</f>
        <v>Pendiente</v>
      </c>
      <c r="I410" s="1037">
        <f>COUNTIFS(tblRDO[Fecha],tblDias[[#This Row],[Fecha]])</f>
        <v>0</v>
      </c>
      <c r="J410" s="1038" t="str">
        <f ca="1">IF(tblDias[[#This Row],[Fecha]]&gt;TODAY(),"Pendiente",IF(tblDias[[#This Row],[Filas RDO]]=0,"Sin RDO","Cargado"))</f>
        <v>Pendiente</v>
      </c>
      <c r="K410" s="972">
        <f>COUNTIFS(tblControles[Fecha],tblDias[[#This Row],[Fecha]],tblControles[Turno],"&lt;&gt;Obs")</f>
        <v>0</v>
      </c>
      <c r="L410" s="971">
        <f>SUMIFS(tblParadas[Horas perdidas],tblParadas[Fecha],tblDias[[#This Row],[Fecha]])</f>
        <v>0</v>
      </c>
      <c r="M410" s="1040"/>
      <c r="N410" s="953"/>
      <c r="O410" s="1040"/>
    </row>
    <row r="411" spans="2:15">
      <c r="B411" s="1041">
        <v>46666</v>
      </c>
      <c r="C411" s="1034" t="str">
        <f>CHOOSE(WEEKDAY(tblDias[[#This Row],[Fecha]],2),"lun","mar","mié","jue","vie","sáb","dom")</f>
        <v>mié</v>
      </c>
      <c r="D411" s="1039" t="s">
        <v>9256</v>
      </c>
      <c r="E411" s="1035">
        <f>COUNTIFS(tblConcentrado[Fecha],tblDias[[#This Row],[Fecha]])</f>
        <v>0</v>
      </c>
      <c r="F411" s="1035">
        <f t="shared" si="6"/>
        <v>24</v>
      </c>
      <c r="G411" s="1036">
        <f>IF(tblDias[[#This Row],[Horas esperadas]]=0,0,tblDias[[#This Row],[Horas cargadas]]/tblDias[[#This Row],[Horas esperadas]])</f>
        <v>0</v>
      </c>
      <c r="H411" s="1035" t="str">
        <f ca="1">IF(tblDias[[#This Row],[Fecha]]&gt;TODAY(),"Pendiente",IF(tblDias[[#This Row],[Horas cargadas]]=0,"Sin datos",IF(tblDias[[#This Row],[Horas cargadas]]&lt;tblDias[[#This Row],[Horas esperadas]],"Parcial","Completo")))</f>
        <v>Pendiente</v>
      </c>
      <c r="I411" s="1037">
        <f>COUNTIFS(tblRDO[Fecha],tblDias[[#This Row],[Fecha]])</f>
        <v>0</v>
      </c>
      <c r="J411" s="1038" t="str">
        <f ca="1">IF(tblDias[[#This Row],[Fecha]]&gt;TODAY(),"Pendiente",IF(tblDias[[#This Row],[Filas RDO]]=0,"Sin RDO","Cargado"))</f>
        <v>Pendiente</v>
      </c>
      <c r="K411" s="972">
        <f>COUNTIFS(tblControles[Fecha],tblDias[[#This Row],[Fecha]],tblControles[Turno],"&lt;&gt;Obs")</f>
        <v>0</v>
      </c>
      <c r="L411" s="971">
        <f>SUMIFS(tblParadas[Horas perdidas],tblParadas[Fecha],tblDias[[#This Row],[Fecha]])</f>
        <v>0</v>
      </c>
      <c r="M411" s="1040"/>
      <c r="N411" s="953"/>
      <c r="O411" s="1040"/>
    </row>
    <row r="412" spans="2:15">
      <c r="B412" s="1041">
        <v>46667</v>
      </c>
      <c r="C412" s="1034" t="str">
        <f>CHOOSE(WEEKDAY(tblDias[[#This Row],[Fecha]],2),"lun","mar","mié","jue","vie","sáb","dom")</f>
        <v>jue</v>
      </c>
      <c r="D412" s="1039" t="s">
        <v>9256</v>
      </c>
      <c r="E412" s="1035">
        <f>COUNTIFS(tblConcentrado[Fecha],tblDias[[#This Row],[Fecha]])</f>
        <v>0</v>
      </c>
      <c r="F412" s="1035">
        <f t="shared" si="6"/>
        <v>24</v>
      </c>
      <c r="G412" s="1036">
        <f>IF(tblDias[[#This Row],[Horas esperadas]]=0,0,tblDias[[#This Row],[Horas cargadas]]/tblDias[[#This Row],[Horas esperadas]])</f>
        <v>0</v>
      </c>
      <c r="H412" s="1035" t="str">
        <f ca="1">IF(tblDias[[#This Row],[Fecha]]&gt;TODAY(),"Pendiente",IF(tblDias[[#This Row],[Horas cargadas]]=0,"Sin datos",IF(tblDias[[#This Row],[Horas cargadas]]&lt;tblDias[[#This Row],[Horas esperadas]],"Parcial","Completo")))</f>
        <v>Pendiente</v>
      </c>
      <c r="I412" s="1037">
        <f>COUNTIFS(tblRDO[Fecha],tblDias[[#This Row],[Fecha]])</f>
        <v>0</v>
      </c>
      <c r="J412" s="1038" t="str">
        <f ca="1">IF(tblDias[[#This Row],[Fecha]]&gt;TODAY(),"Pendiente",IF(tblDias[[#This Row],[Filas RDO]]=0,"Sin RDO","Cargado"))</f>
        <v>Pendiente</v>
      </c>
      <c r="K412" s="972">
        <f>COUNTIFS(tblControles[Fecha],tblDias[[#This Row],[Fecha]],tblControles[Turno],"&lt;&gt;Obs")</f>
        <v>0</v>
      </c>
      <c r="L412" s="971">
        <f>SUMIFS(tblParadas[Horas perdidas],tblParadas[Fecha],tblDias[[#This Row],[Fecha]])</f>
        <v>0</v>
      </c>
      <c r="M412" s="1040"/>
      <c r="N412" s="953"/>
      <c r="O412" s="1040"/>
    </row>
    <row r="413" spans="2:15">
      <c r="B413" s="1041">
        <v>46668</v>
      </c>
      <c r="C413" s="1034" t="str">
        <f>CHOOSE(WEEKDAY(tblDias[[#This Row],[Fecha]],2),"lun","mar","mié","jue","vie","sáb","dom")</f>
        <v>vie</v>
      </c>
      <c r="D413" s="1039" t="s">
        <v>9256</v>
      </c>
      <c r="E413" s="1035">
        <f>COUNTIFS(tblConcentrado[Fecha],tblDias[[#This Row],[Fecha]])</f>
        <v>0</v>
      </c>
      <c r="F413" s="1035">
        <f t="shared" si="6"/>
        <v>24</v>
      </c>
      <c r="G413" s="1036">
        <f>IF(tblDias[[#This Row],[Horas esperadas]]=0,0,tblDias[[#This Row],[Horas cargadas]]/tblDias[[#This Row],[Horas esperadas]])</f>
        <v>0</v>
      </c>
      <c r="H413" s="1035" t="str">
        <f ca="1">IF(tblDias[[#This Row],[Fecha]]&gt;TODAY(),"Pendiente",IF(tblDias[[#This Row],[Horas cargadas]]=0,"Sin datos",IF(tblDias[[#This Row],[Horas cargadas]]&lt;tblDias[[#This Row],[Horas esperadas]],"Parcial","Completo")))</f>
        <v>Pendiente</v>
      </c>
      <c r="I413" s="1037">
        <f>COUNTIFS(tblRDO[Fecha],tblDias[[#This Row],[Fecha]])</f>
        <v>0</v>
      </c>
      <c r="J413" s="1038" t="str">
        <f ca="1">IF(tblDias[[#This Row],[Fecha]]&gt;TODAY(),"Pendiente",IF(tblDias[[#This Row],[Filas RDO]]=0,"Sin RDO","Cargado"))</f>
        <v>Pendiente</v>
      </c>
      <c r="K413" s="972">
        <f>COUNTIFS(tblControles[Fecha],tblDias[[#This Row],[Fecha]],tblControles[Turno],"&lt;&gt;Obs")</f>
        <v>0</v>
      </c>
      <c r="L413" s="971">
        <f>SUMIFS(tblParadas[Horas perdidas],tblParadas[Fecha],tblDias[[#This Row],[Fecha]])</f>
        <v>0</v>
      </c>
      <c r="M413" s="1040"/>
      <c r="N413" s="953"/>
      <c r="O413" s="1040"/>
    </row>
    <row r="414" spans="2:15">
      <c r="B414" s="1041">
        <v>46669</v>
      </c>
      <c r="C414" s="1034" t="str">
        <f>CHOOSE(WEEKDAY(tblDias[[#This Row],[Fecha]],2),"lun","mar","mié","jue","vie","sáb","dom")</f>
        <v>sáb</v>
      </c>
      <c r="D414" s="1039" t="s">
        <v>9256</v>
      </c>
      <c r="E414" s="1035">
        <f>COUNTIFS(tblConcentrado[Fecha],tblDias[[#This Row],[Fecha]])</f>
        <v>0</v>
      </c>
      <c r="F414" s="1035">
        <f t="shared" si="6"/>
        <v>24</v>
      </c>
      <c r="G414" s="1036">
        <f>IF(tblDias[[#This Row],[Horas esperadas]]=0,0,tblDias[[#This Row],[Horas cargadas]]/tblDias[[#This Row],[Horas esperadas]])</f>
        <v>0</v>
      </c>
      <c r="H414" s="1035" t="str">
        <f ca="1">IF(tblDias[[#This Row],[Fecha]]&gt;TODAY(),"Pendiente",IF(tblDias[[#This Row],[Horas cargadas]]=0,"Sin datos",IF(tblDias[[#This Row],[Horas cargadas]]&lt;tblDias[[#This Row],[Horas esperadas]],"Parcial","Completo")))</f>
        <v>Pendiente</v>
      </c>
      <c r="I414" s="1037">
        <f>COUNTIFS(tblRDO[Fecha],tblDias[[#This Row],[Fecha]])</f>
        <v>0</v>
      </c>
      <c r="J414" s="1038" t="str">
        <f ca="1">IF(tblDias[[#This Row],[Fecha]]&gt;TODAY(),"Pendiente",IF(tblDias[[#This Row],[Filas RDO]]=0,"Sin RDO","Cargado"))</f>
        <v>Pendiente</v>
      </c>
      <c r="K414" s="972">
        <f>COUNTIFS(tblControles[Fecha],tblDias[[#This Row],[Fecha]],tblControles[Turno],"&lt;&gt;Obs")</f>
        <v>0</v>
      </c>
      <c r="L414" s="971">
        <f>SUMIFS(tblParadas[Horas perdidas],tblParadas[Fecha],tblDias[[#This Row],[Fecha]])</f>
        <v>0</v>
      </c>
      <c r="M414" s="1040"/>
      <c r="N414" s="953"/>
      <c r="O414" s="1040"/>
    </row>
    <row r="415" spans="2:15">
      <c r="B415" s="1041">
        <v>46670</v>
      </c>
      <c r="C415" s="1034" t="str">
        <f>CHOOSE(WEEKDAY(tblDias[[#This Row],[Fecha]],2),"lun","mar","mié","jue","vie","sáb","dom")</f>
        <v>dom</v>
      </c>
      <c r="D415" s="1039" t="s">
        <v>9256</v>
      </c>
      <c r="E415" s="1035">
        <f>COUNTIFS(tblConcentrado[Fecha],tblDias[[#This Row],[Fecha]])</f>
        <v>0</v>
      </c>
      <c r="F415" s="1035">
        <f t="shared" si="6"/>
        <v>24</v>
      </c>
      <c r="G415" s="1036">
        <f>IF(tblDias[[#This Row],[Horas esperadas]]=0,0,tblDias[[#This Row],[Horas cargadas]]/tblDias[[#This Row],[Horas esperadas]])</f>
        <v>0</v>
      </c>
      <c r="H415" s="1035" t="str">
        <f ca="1">IF(tblDias[[#This Row],[Fecha]]&gt;TODAY(),"Pendiente",IF(tblDias[[#This Row],[Horas cargadas]]=0,"Sin datos",IF(tblDias[[#This Row],[Horas cargadas]]&lt;tblDias[[#This Row],[Horas esperadas]],"Parcial","Completo")))</f>
        <v>Pendiente</v>
      </c>
      <c r="I415" s="1037">
        <f>COUNTIFS(tblRDO[Fecha],tblDias[[#This Row],[Fecha]])</f>
        <v>0</v>
      </c>
      <c r="J415" s="1038" t="str">
        <f ca="1">IF(tblDias[[#This Row],[Fecha]]&gt;TODAY(),"Pendiente",IF(tblDias[[#This Row],[Filas RDO]]=0,"Sin RDO","Cargado"))</f>
        <v>Pendiente</v>
      </c>
      <c r="K415" s="972">
        <f>COUNTIFS(tblControles[Fecha],tblDias[[#This Row],[Fecha]],tblControles[Turno],"&lt;&gt;Obs")</f>
        <v>0</v>
      </c>
      <c r="L415" s="971">
        <f>SUMIFS(tblParadas[Horas perdidas],tblParadas[Fecha],tblDias[[#This Row],[Fecha]])</f>
        <v>0</v>
      </c>
      <c r="M415" s="1040"/>
      <c r="N415" s="953"/>
      <c r="O415" s="1040"/>
    </row>
    <row r="416" spans="2:15">
      <c r="B416" s="1041">
        <v>46671</v>
      </c>
      <c r="C416" s="1034" t="str">
        <f>CHOOSE(WEEKDAY(tblDias[[#This Row],[Fecha]],2),"lun","mar","mié","jue","vie","sáb","dom")</f>
        <v>lun</v>
      </c>
      <c r="D416" s="1039" t="s">
        <v>9256</v>
      </c>
      <c r="E416" s="1035">
        <f>COUNTIFS(tblConcentrado[Fecha],tblDias[[#This Row],[Fecha]])</f>
        <v>0</v>
      </c>
      <c r="F416" s="1035">
        <f t="shared" si="6"/>
        <v>24</v>
      </c>
      <c r="G416" s="1036">
        <f>IF(tblDias[[#This Row],[Horas esperadas]]=0,0,tblDias[[#This Row],[Horas cargadas]]/tblDias[[#This Row],[Horas esperadas]])</f>
        <v>0</v>
      </c>
      <c r="H416" s="1035" t="str">
        <f ca="1">IF(tblDias[[#This Row],[Fecha]]&gt;TODAY(),"Pendiente",IF(tblDias[[#This Row],[Horas cargadas]]=0,"Sin datos",IF(tblDias[[#This Row],[Horas cargadas]]&lt;tblDias[[#This Row],[Horas esperadas]],"Parcial","Completo")))</f>
        <v>Pendiente</v>
      </c>
      <c r="I416" s="1037">
        <f>COUNTIFS(tblRDO[Fecha],tblDias[[#This Row],[Fecha]])</f>
        <v>0</v>
      </c>
      <c r="J416" s="1038" t="str">
        <f ca="1">IF(tblDias[[#This Row],[Fecha]]&gt;TODAY(),"Pendiente",IF(tblDias[[#This Row],[Filas RDO]]=0,"Sin RDO","Cargado"))</f>
        <v>Pendiente</v>
      </c>
      <c r="K416" s="972">
        <f>COUNTIFS(tblControles[Fecha],tblDias[[#This Row],[Fecha]],tblControles[Turno],"&lt;&gt;Obs")</f>
        <v>0</v>
      </c>
      <c r="L416" s="971">
        <f>SUMIFS(tblParadas[Horas perdidas],tblParadas[Fecha],tblDias[[#This Row],[Fecha]])</f>
        <v>0</v>
      </c>
      <c r="M416" s="1040"/>
      <c r="N416" s="953"/>
      <c r="O416" s="1040"/>
    </row>
    <row r="417" spans="2:15">
      <c r="B417" s="1041">
        <v>46672</v>
      </c>
      <c r="C417" s="1034" t="str">
        <f>CHOOSE(WEEKDAY(tblDias[[#This Row],[Fecha]],2),"lun","mar","mié","jue","vie","sáb","dom")</f>
        <v>mar</v>
      </c>
      <c r="D417" s="1039" t="s">
        <v>9256</v>
      </c>
      <c r="E417" s="1035">
        <f>COUNTIFS(tblConcentrado[Fecha],tblDias[[#This Row],[Fecha]])</f>
        <v>0</v>
      </c>
      <c r="F417" s="1035">
        <f t="shared" si="6"/>
        <v>24</v>
      </c>
      <c r="G417" s="1036">
        <f>IF(tblDias[[#This Row],[Horas esperadas]]=0,0,tblDias[[#This Row],[Horas cargadas]]/tblDias[[#This Row],[Horas esperadas]])</f>
        <v>0</v>
      </c>
      <c r="H417" s="1035" t="str">
        <f ca="1">IF(tblDias[[#This Row],[Fecha]]&gt;TODAY(),"Pendiente",IF(tblDias[[#This Row],[Horas cargadas]]=0,"Sin datos",IF(tblDias[[#This Row],[Horas cargadas]]&lt;tblDias[[#This Row],[Horas esperadas]],"Parcial","Completo")))</f>
        <v>Pendiente</v>
      </c>
      <c r="I417" s="1037">
        <f>COUNTIFS(tblRDO[Fecha],tblDias[[#This Row],[Fecha]])</f>
        <v>0</v>
      </c>
      <c r="J417" s="1038" t="str">
        <f ca="1">IF(tblDias[[#This Row],[Fecha]]&gt;TODAY(),"Pendiente",IF(tblDias[[#This Row],[Filas RDO]]=0,"Sin RDO","Cargado"))</f>
        <v>Pendiente</v>
      </c>
      <c r="K417" s="972">
        <f>COUNTIFS(tblControles[Fecha],tblDias[[#This Row],[Fecha]],tblControles[Turno],"&lt;&gt;Obs")</f>
        <v>0</v>
      </c>
      <c r="L417" s="971">
        <f>SUMIFS(tblParadas[Horas perdidas],tblParadas[Fecha],tblDias[[#This Row],[Fecha]])</f>
        <v>0</v>
      </c>
      <c r="M417" s="1040"/>
      <c r="N417" s="953"/>
      <c r="O417" s="1040"/>
    </row>
    <row r="418" spans="2:15">
      <c r="B418" s="1041">
        <v>46673</v>
      </c>
      <c r="C418" s="1034" t="str">
        <f>CHOOSE(WEEKDAY(tblDias[[#This Row],[Fecha]],2),"lun","mar","mié","jue","vie","sáb","dom")</f>
        <v>mié</v>
      </c>
      <c r="D418" s="1039" t="s">
        <v>9256</v>
      </c>
      <c r="E418" s="1035">
        <f>COUNTIFS(tblConcentrado[Fecha],tblDias[[#This Row],[Fecha]])</f>
        <v>0</v>
      </c>
      <c r="F418" s="1035">
        <f t="shared" si="6"/>
        <v>24</v>
      </c>
      <c r="G418" s="1036">
        <f>IF(tblDias[[#This Row],[Horas esperadas]]=0,0,tblDias[[#This Row],[Horas cargadas]]/tblDias[[#This Row],[Horas esperadas]])</f>
        <v>0</v>
      </c>
      <c r="H418" s="1035" t="str">
        <f ca="1">IF(tblDias[[#This Row],[Fecha]]&gt;TODAY(),"Pendiente",IF(tblDias[[#This Row],[Horas cargadas]]=0,"Sin datos",IF(tblDias[[#This Row],[Horas cargadas]]&lt;tblDias[[#This Row],[Horas esperadas]],"Parcial","Completo")))</f>
        <v>Pendiente</v>
      </c>
      <c r="I418" s="1037">
        <f>COUNTIFS(tblRDO[Fecha],tblDias[[#This Row],[Fecha]])</f>
        <v>0</v>
      </c>
      <c r="J418" s="1038" t="str">
        <f ca="1">IF(tblDias[[#This Row],[Fecha]]&gt;TODAY(),"Pendiente",IF(tblDias[[#This Row],[Filas RDO]]=0,"Sin RDO","Cargado"))</f>
        <v>Pendiente</v>
      </c>
      <c r="K418" s="972">
        <f>COUNTIFS(tblControles[Fecha],tblDias[[#This Row],[Fecha]],tblControles[Turno],"&lt;&gt;Obs")</f>
        <v>0</v>
      </c>
      <c r="L418" s="971">
        <f>SUMIFS(tblParadas[Horas perdidas],tblParadas[Fecha],tblDias[[#This Row],[Fecha]])</f>
        <v>0</v>
      </c>
      <c r="M418" s="1040"/>
      <c r="N418" s="953"/>
      <c r="O418" s="1040"/>
    </row>
    <row r="419" spans="2:15">
      <c r="B419" s="1041">
        <v>46674</v>
      </c>
      <c r="C419" s="1034" t="str">
        <f>CHOOSE(WEEKDAY(tblDias[[#This Row],[Fecha]],2),"lun","mar","mié","jue","vie","sáb","dom")</f>
        <v>jue</v>
      </c>
      <c r="D419" s="1039" t="s">
        <v>9256</v>
      </c>
      <c r="E419" s="1035">
        <f>COUNTIFS(tblConcentrado[Fecha],tblDias[[#This Row],[Fecha]])</f>
        <v>0</v>
      </c>
      <c r="F419" s="1035">
        <f t="shared" si="6"/>
        <v>24</v>
      </c>
      <c r="G419" s="1036">
        <f>IF(tblDias[[#This Row],[Horas esperadas]]=0,0,tblDias[[#This Row],[Horas cargadas]]/tblDias[[#This Row],[Horas esperadas]])</f>
        <v>0</v>
      </c>
      <c r="H419" s="1035" t="str">
        <f ca="1">IF(tblDias[[#This Row],[Fecha]]&gt;TODAY(),"Pendiente",IF(tblDias[[#This Row],[Horas cargadas]]=0,"Sin datos",IF(tblDias[[#This Row],[Horas cargadas]]&lt;tblDias[[#This Row],[Horas esperadas]],"Parcial","Completo")))</f>
        <v>Pendiente</v>
      </c>
      <c r="I419" s="1037">
        <f>COUNTIFS(tblRDO[Fecha],tblDias[[#This Row],[Fecha]])</f>
        <v>0</v>
      </c>
      <c r="J419" s="1038" t="str">
        <f ca="1">IF(tblDias[[#This Row],[Fecha]]&gt;TODAY(),"Pendiente",IF(tblDias[[#This Row],[Filas RDO]]=0,"Sin RDO","Cargado"))</f>
        <v>Pendiente</v>
      </c>
      <c r="K419" s="972">
        <f>COUNTIFS(tblControles[Fecha],tblDias[[#This Row],[Fecha]],tblControles[Turno],"&lt;&gt;Obs")</f>
        <v>0</v>
      </c>
      <c r="L419" s="971">
        <f>SUMIFS(tblParadas[Horas perdidas],tblParadas[Fecha],tblDias[[#This Row],[Fecha]])</f>
        <v>0</v>
      </c>
      <c r="M419" s="1040"/>
      <c r="N419" s="953"/>
      <c r="O419" s="1040"/>
    </row>
    <row r="420" spans="2:15">
      <c r="B420" s="1041">
        <v>46675</v>
      </c>
      <c r="C420" s="1034" t="str">
        <f>CHOOSE(WEEKDAY(tblDias[[#This Row],[Fecha]],2),"lun","mar","mié","jue","vie","sáb","dom")</f>
        <v>vie</v>
      </c>
      <c r="D420" s="1039" t="s">
        <v>9256</v>
      </c>
      <c r="E420" s="1035">
        <f>COUNTIFS(tblConcentrado[Fecha],tblDias[[#This Row],[Fecha]])</f>
        <v>0</v>
      </c>
      <c r="F420" s="1035">
        <f t="shared" si="6"/>
        <v>24</v>
      </c>
      <c r="G420" s="1036">
        <f>IF(tblDias[[#This Row],[Horas esperadas]]=0,0,tblDias[[#This Row],[Horas cargadas]]/tblDias[[#This Row],[Horas esperadas]])</f>
        <v>0</v>
      </c>
      <c r="H420" s="1035" t="str">
        <f ca="1">IF(tblDias[[#This Row],[Fecha]]&gt;TODAY(),"Pendiente",IF(tblDias[[#This Row],[Horas cargadas]]=0,"Sin datos",IF(tblDias[[#This Row],[Horas cargadas]]&lt;tblDias[[#This Row],[Horas esperadas]],"Parcial","Completo")))</f>
        <v>Pendiente</v>
      </c>
      <c r="I420" s="1037">
        <f>COUNTIFS(tblRDO[Fecha],tblDias[[#This Row],[Fecha]])</f>
        <v>0</v>
      </c>
      <c r="J420" s="1038" t="str">
        <f ca="1">IF(tblDias[[#This Row],[Fecha]]&gt;TODAY(),"Pendiente",IF(tblDias[[#This Row],[Filas RDO]]=0,"Sin RDO","Cargado"))</f>
        <v>Pendiente</v>
      </c>
      <c r="K420" s="972">
        <f>COUNTIFS(tblControles[Fecha],tblDias[[#This Row],[Fecha]],tblControles[Turno],"&lt;&gt;Obs")</f>
        <v>0</v>
      </c>
      <c r="L420" s="971">
        <f>SUMIFS(tblParadas[Horas perdidas],tblParadas[Fecha],tblDias[[#This Row],[Fecha]])</f>
        <v>0</v>
      </c>
      <c r="M420" s="1040"/>
      <c r="N420" s="953"/>
      <c r="O420" s="1040"/>
    </row>
    <row r="421" spans="2:15">
      <c r="B421" s="1041">
        <v>46676</v>
      </c>
      <c r="C421" s="1034" t="str">
        <f>CHOOSE(WEEKDAY(tblDias[[#This Row],[Fecha]],2),"lun","mar","mié","jue","vie","sáb","dom")</f>
        <v>sáb</v>
      </c>
      <c r="D421" s="1039" t="s">
        <v>9256</v>
      </c>
      <c r="E421" s="1035">
        <f>COUNTIFS(tblConcentrado[Fecha],tblDias[[#This Row],[Fecha]])</f>
        <v>0</v>
      </c>
      <c r="F421" s="1035">
        <f t="shared" si="6"/>
        <v>24</v>
      </c>
      <c r="G421" s="1036">
        <f>IF(tblDias[[#This Row],[Horas esperadas]]=0,0,tblDias[[#This Row],[Horas cargadas]]/tblDias[[#This Row],[Horas esperadas]])</f>
        <v>0</v>
      </c>
      <c r="H421" s="1035" t="str">
        <f ca="1">IF(tblDias[[#This Row],[Fecha]]&gt;TODAY(),"Pendiente",IF(tblDias[[#This Row],[Horas cargadas]]=0,"Sin datos",IF(tblDias[[#This Row],[Horas cargadas]]&lt;tblDias[[#This Row],[Horas esperadas]],"Parcial","Completo")))</f>
        <v>Pendiente</v>
      </c>
      <c r="I421" s="1037">
        <f>COUNTIFS(tblRDO[Fecha],tblDias[[#This Row],[Fecha]])</f>
        <v>0</v>
      </c>
      <c r="J421" s="1038" t="str">
        <f ca="1">IF(tblDias[[#This Row],[Fecha]]&gt;TODAY(),"Pendiente",IF(tblDias[[#This Row],[Filas RDO]]=0,"Sin RDO","Cargado"))</f>
        <v>Pendiente</v>
      </c>
      <c r="K421" s="972">
        <f>COUNTIFS(tblControles[Fecha],tblDias[[#This Row],[Fecha]],tblControles[Turno],"&lt;&gt;Obs")</f>
        <v>0</v>
      </c>
      <c r="L421" s="971">
        <f>SUMIFS(tblParadas[Horas perdidas],tblParadas[Fecha],tblDias[[#This Row],[Fecha]])</f>
        <v>0</v>
      </c>
      <c r="M421" s="1040"/>
      <c r="N421" s="953"/>
      <c r="O421" s="1040"/>
    </row>
    <row r="422" spans="2:15">
      <c r="B422" s="1041">
        <v>46677</v>
      </c>
      <c r="C422" s="1034" t="str">
        <f>CHOOSE(WEEKDAY(tblDias[[#This Row],[Fecha]],2),"lun","mar","mié","jue","vie","sáb","dom")</f>
        <v>dom</v>
      </c>
      <c r="D422" s="1039" t="s">
        <v>9256</v>
      </c>
      <c r="E422" s="1035">
        <f>COUNTIFS(tblConcentrado[Fecha],tblDias[[#This Row],[Fecha]])</f>
        <v>0</v>
      </c>
      <c r="F422" s="1035">
        <f t="shared" si="6"/>
        <v>24</v>
      </c>
      <c r="G422" s="1036">
        <f>IF(tblDias[[#This Row],[Horas esperadas]]=0,0,tblDias[[#This Row],[Horas cargadas]]/tblDias[[#This Row],[Horas esperadas]])</f>
        <v>0</v>
      </c>
      <c r="H422" s="1035" t="str">
        <f ca="1">IF(tblDias[[#This Row],[Fecha]]&gt;TODAY(),"Pendiente",IF(tblDias[[#This Row],[Horas cargadas]]=0,"Sin datos",IF(tblDias[[#This Row],[Horas cargadas]]&lt;tblDias[[#This Row],[Horas esperadas]],"Parcial","Completo")))</f>
        <v>Pendiente</v>
      </c>
      <c r="I422" s="1037">
        <f>COUNTIFS(tblRDO[Fecha],tblDias[[#This Row],[Fecha]])</f>
        <v>0</v>
      </c>
      <c r="J422" s="1038" t="str">
        <f ca="1">IF(tblDias[[#This Row],[Fecha]]&gt;TODAY(),"Pendiente",IF(tblDias[[#This Row],[Filas RDO]]=0,"Sin RDO","Cargado"))</f>
        <v>Pendiente</v>
      </c>
      <c r="K422" s="972">
        <f>COUNTIFS(tblControles[Fecha],tblDias[[#This Row],[Fecha]],tblControles[Turno],"&lt;&gt;Obs")</f>
        <v>0</v>
      </c>
      <c r="L422" s="971">
        <f>SUMIFS(tblParadas[Horas perdidas],tblParadas[Fecha],tblDias[[#This Row],[Fecha]])</f>
        <v>0</v>
      </c>
      <c r="M422" s="1040"/>
      <c r="N422" s="953"/>
      <c r="O422" s="1040"/>
    </row>
    <row r="423" spans="2:15">
      <c r="B423" s="1041">
        <v>46678</v>
      </c>
      <c r="C423" s="1034" t="str">
        <f>CHOOSE(WEEKDAY(tblDias[[#This Row],[Fecha]],2),"lun","mar","mié","jue","vie","sáb","dom")</f>
        <v>lun</v>
      </c>
      <c r="D423" s="1039" t="s">
        <v>9256</v>
      </c>
      <c r="E423" s="1035">
        <f>COUNTIFS(tblConcentrado[Fecha],tblDias[[#This Row],[Fecha]])</f>
        <v>0</v>
      </c>
      <c r="F423" s="1035">
        <f t="shared" si="6"/>
        <v>24</v>
      </c>
      <c r="G423" s="1036">
        <f>IF(tblDias[[#This Row],[Horas esperadas]]=0,0,tblDias[[#This Row],[Horas cargadas]]/tblDias[[#This Row],[Horas esperadas]])</f>
        <v>0</v>
      </c>
      <c r="H423" s="1035" t="str">
        <f ca="1">IF(tblDias[[#This Row],[Fecha]]&gt;TODAY(),"Pendiente",IF(tblDias[[#This Row],[Horas cargadas]]=0,"Sin datos",IF(tblDias[[#This Row],[Horas cargadas]]&lt;tblDias[[#This Row],[Horas esperadas]],"Parcial","Completo")))</f>
        <v>Pendiente</v>
      </c>
      <c r="I423" s="1037">
        <f>COUNTIFS(tblRDO[Fecha],tblDias[[#This Row],[Fecha]])</f>
        <v>0</v>
      </c>
      <c r="J423" s="1038" t="str">
        <f ca="1">IF(tblDias[[#This Row],[Fecha]]&gt;TODAY(),"Pendiente",IF(tblDias[[#This Row],[Filas RDO]]=0,"Sin RDO","Cargado"))</f>
        <v>Pendiente</v>
      </c>
      <c r="K423" s="972">
        <f>COUNTIFS(tblControles[Fecha],tblDias[[#This Row],[Fecha]],tblControles[Turno],"&lt;&gt;Obs")</f>
        <v>0</v>
      </c>
      <c r="L423" s="971">
        <f>SUMIFS(tblParadas[Horas perdidas],tblParadas[Fecha],tblDias[[#This Row],[Fecha]])</f>
        <v>0</v>
      </c>
      <c r="M423" s="1040"/>
      <c r="N423" s="953"/>
      <c r="O423" s="1040"/>
    </row>
    <row r="424" spans="2:15">
      <c r="B424" s="1041">
        <v>46679</v>
      </c>
      <c r="C424" s="1034" t="str">
        <f>CHOOSE(WEEKDAY(tblDias[[#This Row],[Fecha]],2),"lun","mar","mié","jue","vie","sáb","dom")</f>
        <v>mar</v>
      </c>
      <c r="D424" s="1039" t="s">
        <v>9256</v>
      </c>
      <c r="E424" s="1035">
        <f>COUNTIFS(tblConcentrado[Fecha],tblDias[[#This Row],[Fecha]])</f>
        <v>0</v>
      </c>
      <c r="F424" s="1035">
        <f t="shared" si="6"/>
        <v>24</v>
      </c>
      <c r="G424" s="1036">
        <f>IF(tblDias[[#This Row],[Horas esperadas]]=0,0,tblDias[[#This Row],[Horas cargadas]]/tblDias[[#This Row],[Horas esperadas]])</f>
        <v>0</v>
      </c>
      <c r="H424" s="1035" t="str">
        <f ca="1">IF(tblDias[[#This Row],[Fecha]]&gt;TODAY(),"Pendiente",IF(tblDias[[#This Row],[Horas cargadas]]=0,"Sin datos",IF(tblDias[[#This Row],[Horas cargadas]]&lt;tblDias[[#This Row],[Horas esperadas]],"Parcial","Completo")))</f>
        <v>Pendiente</v>
      </c>
      <c r="I424" s="1037">
        <f>COUNTIFS(tblRDO[Fecha],tblDias[[#This Row],[Fecha]])</f>
        <v>0</v>
      </c>
      <c r="J424" s="1038" t="str">
        <f ca="1">IF(tblDias[[#This Row],[Fecha]]&gt;TODAY(),"Pendiente",IF(tblDias[[#This Row],[Filas RDO]]=0,"Sin RDO","Cargado"))</f>
        <v>Pendiente</v>
      </c>
      <c r="K424" s="972">
        <f>COUNTIFS(tblControles[Fecha],tblDias[[#This Row],[Fecha]],tblControles[Turno],"&lt;&gt;Obs")</f>
        <v>0</v>
      </c>
      <c r="L424" s="971">
        <f>SUMIFS(tblParadas[Horas perdidas],tblParadas[Fecha],tblDias[[#This Row],[Fecha]])</f>
        <v>0</v>
      </c>
      <c r="M424" s="1040"/>
      <c r="N424" s="953"/>
      <c r="O424" s="1040"/>
    </row>
    <row r="425" spans="2:15">
      <c r="B425" s="1041">
        <v>46680</v>
      </c>
      <c r="C425" s="1034" t="str">
        <f>CHOOSE(WEEKDAY(tblDias[[#This Row],[Fecha]],2),"lun","mar","mié","jue","vie","sáb","dom")</f>
        <v>mié</v>
      </c>
      <c r="D425" s="1039" t="s">
        <v>9256</v>
      </c>
      <c r="E425" s="1035">
        <f>COUNTIFS(tblConcentrado[Fecha],tblDias[[#This Row],[Fecha]])</f>
        <v>0</v>
      </c>
      <c r="F425" s="1035">
        <f t="shared" si="6"/>
        <v>24</v>
      </c>
      <c r="G425" s="1036">
        <f>IF(tblDias[[#This Row],[Horas esperadas]]=0,0,tblDias[[#This Row],[Horas cargadas]]/tblDias[[#This Row],[Horas esperadas]])</f>
        <v>0</v>
      </c>
      <c r="H425" s="1035" t="str">
        <f ca="1">IF(tblDias[[#This Row],[Fecha]]&gt;TODAY(),"Pendiente",IF(tblDias[[#This Row],[Horas cargadas]]=0,"Sin datos",IF(tblDias[[#This Row],[Horas cargadas]]&lt;tblDias[[#This Row],[Horas esperadas]],"Parcial","Completo")))</f>
        <v>Pendiente</v>
      </c>
      <c r="I425" s="1037">
        <f>COUNTIFS(tblRDO[Fecha],tblDias[[#This Row],[Fecha]])</f>
        <v>0</v>
      </c>
      <c r="J425" s="1038" t="str">
        <f ca="1">IF(tblDias[[#This Row],[Fecha]]&gt;TODAY(),"Pendiente",IF(tblDias[[#This Row],[Filas RDO]]=0,"Sin RDO","Cargado"))</f>
        <v>Pendiente</v>
      </c>
      <c r="K425" s="972">
        <f>COUNTIFS(tblControles[Fecha],tblDias[[#This Row],[Fecha]],tblControles[Turno],"&lt;&gt;Obs")</f>
        <v>0</v>
      </c>
      <c r="L425" s="971">
        <f>SUMIFS(tblParadas[Horas perdidas],tblParadas[Fecha],tblDias[[#This Row],[Fecha]])</f>
        <v>0</v>
      </c>
      <c r="M425" s="1040"/>
      <c r="N425" s="953"/>
      <c r="O425" s="1040"/>
    </row>
    <row r="426" spans="2:15">
      <c r="B426" s="1041">
        <v>46681</v>
      </c>
      <c r="C426" s="1034" t="str">
        <f>CHOOSE(WEEKDAY(tblDias[[#This Row],[Fecha]],2),"lun","mar","mié","jue","vie","sáb","dom")</f>
        <v>jue</v>
      </c>
      <c r="D426" s="1039" t="s">
        <v>9256</v>
      </c>
      <c r="E426" s="1035">
        <f>COUNTIFS(tblConcentrado[Fecha],tblDias[[#This Row],[Fecha]])</f>
        <v>0</v>
      </c>
      <c r="F426" s="1035">
        <f t="shared" si="6"/>
        <v>24</v>
      </c>
      <c r="G426" s="1036">
        <f>IF(tblDias[[#This Row],[Horas esperadas]]=0,0,tblDias[[#This Row],[Horas cargadas]]/tblDias[[#This Row],[Horas esperadas]])</f>
        <v>0</v>
      </c>
      <c r="H426" s="1035" t="str">
        <f ca="1">IF(tblDias[[#This Row],[Fecha]]&gt;TODAY(),"Pendiente",IF(tblDias[[#This Row],[Horas cargadas]]=0,"Sin datos",IF(tblDias[[#This Row],[Horas cargadas]]&lt;tblDias[[#This Row],[Horas esperadas]],"Parcial","Completo")))</f>
        <v>Pendiente</v>
      </c>
      <c r="I426" s="1037">
        <f>COUNTIFS(tblRDO[Fecha],tblDias[[#This Row],[Fecha]])</f>
        <v>0</v>
      </c>
      <c r="J426" s="1038" t="str">
        <f ca="1">IF(tblDias[[#This Row],[Fecha]]&gt;TODAY(),"Pendiente",IF(tblDias[[#This Row],[Filas RDO]]=0,"Sin RDO","Cargado"))</f>
        <v>Pendiente</v>
      </c>
      <c r="K426" s="972">
        <f>COUNTIFS(tblControles[Fecha],tblDias[[#This Row],[Fecha]],tblControles[Turno],"&lt;&gt;Obs")</f>
        <v>0</v>
      </c>
      <c r="L426" s="971">
        <f>SUMIFS(tblParadas[Horas perdidas],tblParadas[Fecha],tblDias[[#This Row],[Fecha]])</f>
        <v>0</v>
      </c>
      <c r="M426" s="1040"/>
      <c r="N426" s="953"/>
      <c r="O426" s="1040"/>
    </row>
    <row r="427" spans="2:15">
      <c r="B427" s="1041">
        <v>46682</v>
      </c>
      <c r="C427" s="1034" t="str">
        <f>CHOOSE(WEEKDAY(tblDias[[#This Row],[Fecha]],2),"lun","mar","mié","jue","vie","sáb","dom")</f>
        <v>vie</v>
      </c>
      <c r="D427" s="1039" t="s">
        <v>9256</v>
      </c>
      <c r="E427" s="1035">
        <f>COUNTIFS(tblConcentrado[Fecha],tblDias[[#This Row],[Fecha]])</f>
        <v>0</v>
      </c>
      <c r="F427" s="1035">
        <f t="shared" si="6"/>
        <v>24</v>
      </c>
      <c r="G427" s="1036">
        <f>IF(tblDias[[#This Row],[Horas esperadas]]=0,0,tblDias[[#This Row],[Horas cargadas]]/tblDias[[#This Row],[Horas esperadas]])</f>
        <v>0</v>
      </c>
      <c r="H427" s="1035" t="str">
        <f ca="1">IF(tblDias[[#This Row],[Fecha]]&gt;TODAY(),"Pendiente",IF(tblDias[[#This Row],[Horas cargadas]]=0,"Sin datos",IF(tblDias[[#This Row],[Horas cargadas]]&lt;tblDias[[#This Row],[Horas esperadas]],"Parcial","Completo")))</f>
        <v>Pendiente</v>
      </c>
      <c r="I427" s="1037">
        <f>COUNTIFS(tblRDO[Fecha],tblDias[[#This Row],[Fecha]])</f>
        <v>0</v>
      </c>
      <c r="J427" s="1038" t="str">
        <f ca="1">IF(tblDias[[#This Row],[Fecha]]&gt;TODAY(),"Pendiente",IF(tblDias[[#This Row],[Filas RDO]]=0,"Sin RDO","Cargado"))</f>
        <v>Pendiente</v>
      </c>
      <c r="K427" s="972">
        <f>COUNTIFS(tblControles[Fecha],tblDias[[#This Row],[Fecha]],tblControles[Turno],"&lt;&gt;Obs")</f>
        <v>0</v>
      </c>
      <c r="L427" s="971">
        <f>SUMIFS(tblParadas[Horas perdidas],tblParadas[Fecha],tblDias[[#This Row],[Fecha]])</f>
        <v>0</v>
      </c>
      <c r="M427" s="1040"/>
      <c r="N427" s="953"/>
      <c r="O427" s="1040"/>
    </row>
    <row r="428" spans="2:15">
      <c r="B428" s="1041">
        <v>46683</v>
      </c>
      <c r="C428" s="1034" t="str">
        <f>CHOOSE(WEEKDAY(tblDias[[#This Row],[Fecha]],2),"lun","mar","mié","jue","vie","sáb","dom")</f>
        <v>sáb</v>
      </c>
      <c r="D428" s="1039" t="s">
        <v>9256</v>
      </c>
      <c r="E428" s="1035">
        <f>COUNTIFS(tblConcentrado[Fecha],tblDias[[#This Row],[Fecha]])</f>
        <v>0</v>
      </c>
      <c r="F428" s="1035">
        <f t="shared" si="6"/>
        <v>24</v>
      </c>
      <c r="G428" s="1036">
        <f>IF(tblDias[[#This Row],[Horas esperadas]]=0,0,tblDias[[#This Row],[Horas cargadas]]/tblDias[[#This Row],[Horas esperadas]])</f>
        <v>0</v>
      </c>
      <c r="H428" s="1035" t="str">
        <f ca="1">IF(tblDias[[#This Row],[Fecha]]&gt;TODAY(),"Pendiente",IF(tblDias[[#This Row],[Horas cargadas]]=0,"Sin datos",IF(tblDias[[#This Row],[Horas cargadas]]&lt;tblDias[[#This Row],[Horas esperadas]],"Parcial","Completo")))</f>
        <v>Pendiente</v>
      </c>
      <c r="I428" s="1037">
        <f>COUNTIFS(tblRDO[Fecha],tblDias[[#This Row],[Fecha]])</f>
        <v>0</v>
      </c>
      <c r="J428" s="1038" t="str">
        <f ca="1">IF(tblDias[[#This Row],[Fecha]]&gt;TODAY(),"Pendiente",IF(tblDias[[#This Row],[Filas RDO]]=0,"Sin RDO","Cargado"))</f>
        <v>Pendiente</v>
      </c>
      <c r="K428" s="972">
        <f>COUNTIFS(tblControles[Fecha],tblDias[[#This Row],[Fecha]],tblControles[Turno],"&lt;&gt;Obs")</f>
        <v>0</v>
      </c>
      <c r="L428" s="971">
        <f>SUMIFS(tblParadas[Horas perdidas],tblParadas[Fecha],tblDias[[#This Row],[Fecha]])</f>
        <v>0</v>
      </c>
      <c r="M428" s="1040"/>
      <c r="N428" s="953"/>
      <c r="O428" s="1040"/>
    </row>
    <row r="429" spans="2:15">
      <c r="B429" s="1041">
        <v>46684</v>
      </c>
      <c r="C429" s="1034" t="str">
        <f>CHOOSE(WEEKDAY(tblDias[[#This Row],[Fecha]],2),"lun","mar","mié","jue","vie","sáb","dom")</f>
        <v>dom</v>
      </c>
      <c r="D429" s="1039" t="s">
        <v>9256</v>
      </c>
      <c r="E429" s="1035">
        <f>COUNTIFS(tblConcentrado[Fecha],tblDias[[#This Row],[Fecha]])</f>
        <v>0</v>
      </c>
      <c r="F429" s="1035">
        <f t="shared" si="6"/>
        <v>24</v>
      </c>
      <c r="G429" s="1036">
        <f>IF(tblDias[[#This Row],[Horas esperadas]]=0,0,tblDias[[#This Row],[Horas cargadas]]/tblDias[[#This Row],[Horas esperadas]])</f>
        <v>0</v>
      </c>
      <c r="H429" s="1035" t="str">
        <f ca="1">IF(tblDias[[#This Row],[Fecha]]&gt;TODAY(),"Pendiente",IF(tblDias[[#This Row],[Horas cargadas]]=0,"Sin datos",IF(tblDias[[#This Row],[Horas cargadas]]&lt;tblDias[[#This Row],[Horas esperadas]],"Parcial","Completo")))</f>
        <v>Pendiente</v>
      </c>
      <c r="I429" s="1037">
        <f>COUNTIFS(tblRDO[Fecha],tblDias[[#This Row],[Fecha]])</f>
        <v>0</v>
      </c>
      <c r="J429" s="1038" t="str">
        <f ca="1">IF(tblDias[[#This Row],[Fecha]]&gt;TODAY(),"Pendiente",IF(tblDias[[#This Row],[Filas RDO]]=0,"Sin RDO","Cargado"))</f>
        <v>Pendiente</v>
      </c>
      <c r="K429" s="972">
        <f>COUNTIFS(tblControles[Fecha],tblDias[[#This Row],[Fecha]],tblControles[Turno],"&lt;&gt;Obs")</f>
        <v>0</v>
      </c>
      <c r="L429" s="971">
        <f>SUMIFS(tblParadas[Horas perdidas],tblParadas[Fecha],tblDias[[#This Row],[Fecha]])</f>
        <v>0</v>
      </c>
      <c r="M429" s="1040"/>
      <c r="N429" s="953"/>
      <c r="O429" s="1040"/>
    </row>
    <row r="430" spans="2:15">
      <c r="B430" s="1041">
        <v>46685</v>
      </c>
      <c r="C430" s="1034" t="str">
        <f>CHOOSE(WEEKDAY(tblDias[[#This Row],[Fecha]],2),"lun","mar","mié","jue","vie","sáb","dom")</f>
        <v>lun</v>
      </c>
      <c r="D430" s="1039" t="s">
        <v>9256</v>
      </c>
      <c r="E430" s="1035">
        <f>COUNTIFS(tblConcentrado[Fecha],tblDias[[#This Row],[Fecha]])</f>
        <v>0</v>
      </c>
      <c r="F430" s="1035">
        <f t="shared" si="6"/>
        <v>24</v>
      </c>
      <c r="G430" s="1036">
        <f>IF(tblDias[[#This Row],[Horas esperadas]]=0,0,tblDias[[#This Row],[Horas cargadas]]/tblDias[[#This Row],[Horas esperadas]])</f>
        <v>0</v>
      </c>
      <c r="H430" s="1035" t="str">
        <f ca="1">IF(tblDias[[#This Row],[Fecha]]&gt;TODAY(),"Pendiente",IF(tblDias[[#This Row],[Horas cargadas]]=0,"Sin datos",IF(tblDias[[#This Row],[Horas cargadas]]&lt;tblDias[[#This Row],[Horas esperadas]],"Parcial","Completo")))</f>
        <v>Pendiente</v>
      </c>
      <c r="I430" s="1037">
        <f>COUNTIFS(tblRDO[Fecha],tblDias[[#This Row],[Fecha]])</f>
        <v>0</v>
      </c>
      <c r="J430" s="1038" t="str">
        <f ca="1">IF(tblDias[[#This Row],[Fecha]]&gt;TODAY(),"Pendiente",IF(tblDias[[#This Row],[Filas RDO]]=0,"Sin RDO","Cargado"))</f>
        <v>Pendiente</v>
      </c>
      <c r="K430" s="972">
        <f>COUNTIFS(tblControles[Fecha],tblDias[[#This Row],[Fecha]],tblControles[Turno],"&lt;&gt;Obs")</f>
        <v>0</v>
      </c>
      <c r="L430" s="971">
        <f>SUMIFS(tblParadas[Horas perdidas],tblParadas[Fecha],tblDias[[#This Row],[Fecha]])</f>
        <v>0</v>
      </c>
      <c r="M430" s="1040"/>
      <c r="N430" s="953"/>
      <c r="O430" s="1040"/>
    </row>
    <row r="431" spans="2:15">
      <c r="B431" s="1041">
        <v>46686</v>
      </c>
      <c r="C431" s="1034" t="str">
        <f>CHOOSE(WEEKDAY(tblDias[[#This Row],[Fecha]],2),"lun","mar","mié","jue","vie","sáb","dom")</f>
        <v>mar</v>
      </c>
      <c r="D431" s="1039" t="s">
        <v>9256</v>
      </c>
      <c r="E431" s="1035">
        <f>COUNTIFS(tblConcentrado[Fecha],tblDias[[#This Row],[Fecha]])</f>
        <v>0</v>
      </c>
      <c r="F431" s="1035">
        <f t="shared" si="6"/>
        <v>24</v>
      </c>
      <c r="G431" s="1036">
        <f>IF(tblDias[[#This Row],[Horas esperadas]]=0,0,tblDias[[#This Row],[Horas cargadas]]/tblDias[[#This Row],[Horas esperadas]])</f>
        <v>0</v>
      </c>
      <c r="H431" s="1035" t="str">
        <f ca="1">IF(tblDias[[#This Row],[Fecha]]&gt;TODAY(),"Pendiente",IF(tblDias[[#This Row],[Horas cargadas]]=0,"Sin datos",IF(tblDias[[#This Row],[Horas cargadas]]&lt;tblDias[[#This Row],[Horas esperadas]],"Parcial","Completo")))</f>
        <v>Pendiente</v>
      </c>
      <c r="I431" s="1037">
        <f>COUNTIFS(tblRDO[Fecha],tblDias[[#This Row],[Fecha]])</f>
        <v>0</v>
      </c>
      <c r="J431" s="1038" t="str">
        <f ca="1">IF(tblDias[[#This Row],[Fecha]]&gt;TODAY(),"Pendiente",IF(tblDias[[#This Row],[Filas RDO]]=0,"Sin RDO","Cargado"))</f>
        <v>Pendiente</v>
      </c>
      <c r="K431" s="972">
        <f>COUNTIFS(tblControles[Fecha],tblDias[[#This Row],[Fecha]],tblControles[Turno],"&lt;&gt;Obs")</f>
        <v>0</v>
      </c>
      <c r="L431" s="971">
        <f>SUMIFS(tblParadas[Horas perdidas],tblParadas[Fecha],tblDias[[#This Row],[Fecha]])</f>
        <v>0</v>
      </c>
      <c r="M431" s="1040"/>
      <c r="N431" s="953"/>
      <c r="O431" s="1040"/>
    </row>
    <row r="432" spans="2:15">
      <c r="B432" s="1041">
        <v>46687</v>
      </c>
      <c r="C432" s="1034" t="str">
        <f>CHOOSE(WEEKDAY(tblDias[[#This Row],[Fecha]],2),"lun","mar","mié","jue","vie","sáb","dom")</f>
        <v>mié</v>
      </c>
      <c r="D432" s="1039" t="s">
        <v>9256</v>
      </c>
      <c r="E432" s="1035">
        <f>COUNTIFS(tblConcentrado[Fecha],tblDias[[#This Row],[Fecha]])</f>
        <v>0</v>
      </c>
      <c r="F432" s="1035">
        <f t="shared" si="6"/>
        <v>24</v>
      </c>
      <c r="G432" s="1036">
        <f>IF(tblDias[[#This Row],[Horas esperadas]]=0,0,tblDias[[#This Row],[Horas cargadas]]/tblDias[[#This Row],[Horas esperadas]])</f>
        <v>0</v>
      </c>
      <c r="H432" s="1035" t="str">
        <f ca="1">IF(tblDias[[#This Row],[Fecha]]&gt;TODAY(),"Pendiente",IF(tblDias[[#This Row],[Horas cargadas]]=0,"Sin datos",IF(tblDias[[#This Row],[Horas cargadas]]&lt;tblDias[[#This Row],[Horas esperadas]],"Parcial","Completo")))</f>
        <v>Pendiente</v>
      </c>
      <c r="I432" s="1037">
        <f>COUNTIFS(tblRDO[Fecha],tblDias[[#This Row],[Fecha]])</f>
        <v>0</v>
      </c>
      <c r="J432" s="1038" t="str">
        <f ca="1">IF(tblDias[[#This Row],[Fecha]]&gt;TODAY(),"Pendiente",IF(tblDias[[#This Row],[Filas RDO]]=0,"Sin RDO","Cargado"))</f>
        <v>Pendiente</v>
      </c>
      <c r="K432" s="972">
        <f>COUNTIFS(tblControles[Fecha],tblDias[[#This Row],[Fecha]],tblControles[Turno],"&lt;&gt;Obs")</f>
        <v>0</v>
      </c>
      <c r="L432" s="971">
        <f>SUMIFS(tblParadas[Horas perdidas],tblParadas[Fecha],tblDias[[#This Row],[Fecha]])</f>
        <v>0</v>
      </c>
      <c r="M432" s="1040"/>
      <c r="N432" s="953"/>
      <c r="O432" s="1040"/>
    </row>
    <row r="433" spans="2:15">
      <c r="B433" s="1041">
        <v>46688</v>
      </c>
      <c r="C433" s="1034" t="str">
        <f>CHOOSE(WEEKDAY(tblDias[[#This Row],[Fecha]],2),"lun","mar","mié","jue","vie","sáb","dom")</f>
        <v>jue</v>
      </c>
      <c r="D433" s="1039" t="s">
        <v>9256</v>
      </c>
      <c r="E433" s="1035">
        <f>COUNTIFS(tblConcentrado[Fecha],tblDias[[#This Row],[Fecha]])</f>
        <v>0</v>
      </c>
      <c r="F433" s="1035">
        <f t="shared" si="6"/>
        <v>24</v>
      </c>
      <c r="G433" s="1036">
        <f>IF(tblDias[[#This Row],[Horas esperadas]]=0,0,tblDias[[#This Row],[Horas cargadas]]/tblDias[[#This Row],[Horas esperadas]])</f>
        <v>0</v>
      </c>
      <c r="H433" s="1035" t="str">
        <f ca="1">IF(tblDias[[#This Row],[Fecha]]&gt;TODAY(),"Pendiente",IF(tblDias[[#This Row],[Horas cargadas]]=0,"Sin datos",IF(tblDias[[#This Row],[Horas cargadas]]&lt;tblDias[[#This Row],[Horas esperadas]],"Parcial","Completo")))</f>
        <v>Pendiente</v>
      </c>
      <c r="I433" s="1037">
        <f>COUNTIFS(tblRDO[Fecha],tblDias[[#This Row],[Fecha]])</f>
        <v>0</v>
      </c>
      <c r="J433" s="1038" t="str">
        <f ca="1">IF(tblDias[[#This Row],[Fecha]]&gt;TODAY(),"Pendiente",IF(tblDias[[#This Row],[Filas RDO]]=0,"Sin RDO","Cargado"))</f>
        <v>Pendiente</v>
      </c>
      <c r="K433" s="972">
        <f>COUNTIFS(tblControles[Fecha],tblDias[[#This Row],[Fecha]],tblControles[Turno],"&lt;&gt;Obs")</f>
        <v>0</v>
      </c>
      <c r="L433" s="971">
        <f>SUMIFS(tblParadas[Horas perdidas],tblParadas[Fecha],tblDias[[#This Row],[Fecha]])</f>
        <v>0</v>
      </c>
      <c r="M433" s="1040"/>
      <c r="N433" s="953"/>
      <c r="O433" s="1040"/>
    </row>
    <row r="434" spans="2:15">
      <c r="B434" s="1041">
        <v>46689</v>
      </c>
      <c r="C434" s="1034" t="str">
        <f>CHOOSE(WEEKDAY(tblDias[[#This Row],[Fecha]],2),"lun","mar","mié","jue","vie","sáb","dom")</f>
        <v>vie</v>
      </c>
      <c r="D434" s="1039" t="s">
        <v>9256</v>
      </c>
      <c r="E434" s="1035">
        <f>COUNTIFS(tblConcentrado[Fecha],tblDias[[#This Row],[Fecha]])</f>
        <v>0</v>
      </c>
      <c r="F434" s="1035">
        <f t="shared" si="6"/>
        <v>24</v>
      </c>
      <c r="G434" s="1036">
        <f>IF(tblDias[[#This Row],[Horas esperadas]]=0,0,tblDias[[#This Row],[Horas cargadas]]/tblDias[[#This Row],[Horas esperadas]])</f>
        <v>0</v>
      </c>
      <c r="H434" s="1035" t="str">
        <f ca="1">IF(tblDias[[#This Row],[Fecha]]&gt;TODAY(),"Pendiente",IF(tblDias[[#This Row],[Horas cargadas]]=0,"Sin datos",IF(tblDias[[#This Row],[Horas cargadas]]&lt;tblDias[[#This Row],[Horas esperadas]],"Parcial","Completo")))</f>
        <v>Pendiente</v>
      </c>
      <c r="I434" s="1037">
        <f>COUNTIFS(tblRDO[Fecha],tblDias[[#This Row],[Fecha]])</f>
        <v>0</v>
      </c>
      <c r="J434" s="1038" t="str">
        <f ca="1">IF(tblDias[[#This Row],[Fecha]]&gt;TODAY(),"Pendiente",IF(tblDias[[#This Row],[Filas RDO]]=0,"Sin RDO","Cargado"))</f>
        <v>Pendiente</v>
      </c>
      <c r="K434" s="972">
        <f>COUNTIFS(tblControles[Fecha],tblDias[[#This Row],[Fecha]],tblControles[Turno],"&lt;&gt;Obs")</f>
        <v>0</v>
      </c>
      <c r="L434" s="971">
        <f>SUMIFS(tblParadas[Horas perdidas],tblParadas[Fecha],tblDias[[#This Row],[Fecha]])</f>
        <v>0</v>
      </c>
      <c r="M434" s="1040"/>
      <c r="N434" s="953"/>
      <c r="O434" s="1040"/>
    </row>
    <row r="435" spans="2:15">
      <c r="B435" s="1041">
        <v>46690</v>
      </c>
      <c r="C435" s="1034" t="str">
        <f>CHOOSE(WEEKDAY(tblDias[[#This Row],[Fecha]],2),"lun","mar","mié","jue","vie","sáb","dom")</f>
        <v>sáb</v>
      </c>
      <c r="D435" s="1039" t="s">
        <v>9256</v>
      </c>
      <c r="E435" s="1035">
        <f>COUNTIFS(tblConcentrado[Fecha],tblDias[[#This Row],[Fecha]])</f>
        <v>0</v>
      </c>
      <c r="F435" s="1035">
        <f t="shared" si="6"/>
        <v>24</v>
      </c>
      <c r="G435" s="1036">
        <f>IF(tblDias[[#This Row],[Horas esperadas]]=0,0,tblDias[[#This Row],[Horas cargadas]]/tblDias[[#This Row],[Horas esperadas]])</f>
        <v>0</v>
      </c>
      <c r="H435" s="1035" t="str">
        <f ca="1">IF(tblDias[[#This Row],[Fecha]]&gt;TODAY(),"Pendiente",IF(tblDias[[#This Row],[Horas cargadas]]=0,"Sin datos",IF(tblDias[[#This Row],[Horas cargadas]]&lt;tblDias[[#This Row],[Horas esperadas]],"Parcial","Completo")))</f>
        <v>Pendiente</v>
      </c>
      <c r="I435" s="1037">
        <f>COUNTIFS(tblRDO[Fecha],tblDias[[#This Row],[Fecha]])</f>
        <v>0</v>
      </c>
      <c r="J435" s="1038" t="str">
        <f ca="1">IF(tblDias[[#This Row],[Fecha]]&gt;TODAY(),"Pendiente",IF(tblDias[[#This Row],[Filas RDO]]=0,"Sin RDO","Cargado"))</f>
        <v>Pendiente</v>
      </c>
      <c r="K435" s="972">
        <f>COUNTIFS(tblControles[Fecha],tblDias[[#This Row],[Fecha]],tblControles[Turno],"&lt;&gt;Obs")</f>
        <v>0</v>
      </c>
      <c r="L435" s="971">
        <f>SUMIFS(tblParadas[Horas perdidas],tblParadas[Fecha],tblDias[[#This Row],[Fecha]])</f>
        <v>0</v>
      </c>
      <c r="M435" s="1040"/>
      <c r="N435" s="953"/>
      <c r="O435" s="1040"/>
    </row>
    <row r="436" spans="2:15">
      <c r="B436" s="1041">
        <v>46691</v>
      </c>
      <c r="C436" s="1034" t="str">
        <f>CHOOSE(WEEKDAY(tblDias[[#This Row],[Fecha]],2),"lun","mar","mié","jue","vie","sáb","dom")</f>
        <v>dom</v>
      </c>
      <c r="D436" s="1039" t="s">
        <v>9256</v>
      </c>
      <c r="E436" s="1035">
        <f>COUNTIFS(tblConcentrado[Fecha],tblDias[[#This Row],[Fecha]])</f>
        <v>0</v>
      </c>
      <c r="F436" s="1035">
        <f t="shared" si="6"/>
        <v>24</v>
      </c>
      <c r="G436" s="1036">
        <f>IF(tblDias[[#This Row],[Horas esperadas]]=0,0,tblDias[[#This Row],[Horas cargadas]]/tblDias[[#This Row],[Horas esperadas]])</f>
        <v>0</v>
      </c>
      <c r="H436" s="1035" t="str">
        <f ca="1">IF(tblDias[[#This Row],[Fecha]]&gt;TODAY(),"Pendiente",IF(tblDias[[#This Row],[Horas cargadas]]=0,"Sin datos",IF(tblDias[[#This Row],[Horas cargadas]]&lt;tblDias[[#This Row],[Horas esperadas]],"Parcial","Completo")))</f>
        <v>Pendiente</v>
      </c>
      <c r="I436" s="1037">
        <f>COUNTIFS(tblRDO[Fecha],tblDias[[#This Row],[Fecha]])</f>
        <v>0</v>
      </c>
      <c r="J436" s="1038" t="str">
        <f ca="1">IF(tblDias[[#This Row],[Fecha]]&gt;TODAY(),"Pendiente",IF(tblDias[[#This Row],[Filas RDO]]=0,"Sin RDO","Cargado"))</f>
        <v>Pendiente</v>
      </c>
      <c r="K436" s="972">
        <f>COUNTIFS(tblControles[Fecha],tblDias[[#This Row],[Fecha]],tblControles[Turno],"&lt;&gt;Obs")</f>
        <v>0</v>
      </c>
      <c r="L436" s="971">
        <f>SUMIFS(tblParadas[Horas perdidas],tblParadas[Fecha],tblDias[[#This Row],[Fecha]])</f>
        <v>0</v>
      </c>
      <c r="M436" s="1040"/>
      <c r="N436" s="953"/>
      <c r="O436" s="1040"/>
    </row>
    <row r="437" spans="2:15">
      <c r="B437" s="1041">
        <v>46692</v>
      </c>
      <c r="C437" s="1034" t="str">
        <f>CHOOSE(WEEKDAY(tblDias[[#This Row],[Fecha]],2),"lun","mar","mié","jue","vie","sáb","dom")</f>
        <v>lun</v>
      </c>
      <c r="D437" s="1039" t="s">
        <v>9256</v>
      </c>
      <c r="E437" s="1035">
        <f>COUNTIFS(tblConcentrado[Fecha],tblDias[[#This Row],[Fecha]])</f>
        <v>0</v>
      </c>
      <c r="F437" s="1035">
        <f t="shared" si="6"/>
        <v>24</v>
      </c>
      <c r="G437" s="1036">
        <f>IF(tblDias[[#This Row],[Horas esperadas]]=0,0,tblDias[[#This Row],[Horas cargadas]]/tblDias[[#This Row],[Horas esperadas]])</f>
        <v>0</v>
      </c>
      <c r="H437" s="1035" t="str">
        <f ca="1">IF(tblDias[[#This Row],[Fecha]]&gt;TODAY(),"Pendiente",IF(tblDias[[#This Row],[Horas cargadas]]=0,"Sin datos",IF(tblDias[[#This Row],[Horas cargadas]]&lt;tblDias[[#This Row],[Horas esperadas]],"Parcial","Completo")))</f>
        <v>Pendiente</v>
      </c>
      <c r="I437" s="1037">
        <f>COUNTIFS(tblRDO[Fecha],tblDias[[#This Row],[Fecha]])</f>
        <v>0</v>
      </c>
      <c r="J437" s="1038" t="str">
        <f ca="1">IF(tblDias[[#This Row],[Fecha]]&gt;TODAY(),"Pendiente",IF(tblDias[[#This Row],[Filas RDO]]=0,"Sin RDO","Cargado"))</f>
        <v>Pendiente</v>
      </c>
      <c r="K437" s="972">
        <f>COUNTIFS(tblControles[Fecha],tblDias[[#This Row],[Fecha]],tblControles[Turno],"&lt;&gt;Obs")</f>
        <v>0</v>
      </c>
      <c r="L437" s="971">
        <f>SUMIFS(tblParadas[Horas perdidas],tblParadas[Fecha],tblDias[[#This Row],[Fecha]])</f>
        <v>0</v>
      </c>
      <c r="M437" s="1040"/>
      <c r="N437" s="953"/>
      <c r="O437" s="1040"/>
    </row>
    <row r="438" spans="2:15">
      <c r="B438" s="1041">
        <v>46693</v>
      </c>
      <c r="C438" s="1034" t="str">
        <f>CHOOSE(WEEKDAY(tblDias[[#This Row],[Fecha]],2),"lun","mar","mié","jue","vie","sáb","dom")</f>
        <v>mar</v>
      </c>
      <c r="D438" s="1039" t="s">
        <v>9256</v>
      </c>
      <c r="E438" s="1035">
        <f>COUNTIFS(tblConcentrado[Fecha],tblDias[[#This Row],[Fecha]])</f>
        <v>0</v>
      </c>
      <c r="F438" s="1035">
        <f t="shared" si="6"/>
        <v>24</v>
      </c>
      <c r="G438" s="1036">
        <f>IF(tblDias[[#This Row],[Horas esperadas]]=0,0,tblDias[[#This Row],[Horas cargadas]]/tblDias[[#This Row],[Horas esperadas]])</f>
        <v>0</v>
      </c>
      <c r="H438" s="1035" t="str">
        <f ca="1">IF(tblDias[[#This Row],[Fecha]]&gt;TODAY(),"Pendiente",IF(tblDias[[#This Row],[Horas cargadas]]=0,"Sin datos",IF(tblDias[[#This Row],[Horas cargadas]]&lt;tblDias[[#This Row],[Horas esperadas]],"Parcial","Completo")))</f>
        <v>Pendiente</v>
      </c>
      <c r="I438" s="1037">
        <f>COUNTIFS(tblRDO[Fecha],tblDias[[#This Row],[Fecha]])</f>
        <v>0</v>
      </c>
      <c r="J438" s="1038" t="str">
        <f ca="1">IF(tblDias[[#This Row],[Fecha]]&gt;TODAY(),"Pendiente",IF(tblDias[[#This Row],[Filas RDO]]=0,"Sin RDO","Cargado"))</f>
        <v>Pendiente</v>
      </c>
      <c r="K438" s="972">
        <f>COUNTIFS(tblControles[Fecha],tblDias[[#This Row],[Fecha]],tblControles[Turno],"&lt;&gt;Obs")</f>
        <v>0</v>
      </c>
      <c r="L438" s="971">
        <f>SUMIFS(tblParadas[Horas perdidas],tblParadas[Fecha],tblDias[[#This Row],[Fecha]])</f>
        <v>0</v>
      </c>
      <c r="M438" s="1040"/>
      <c r="N438" s="953"/>
      <c r="O438" s="1040"/>
    </row>
    <row r="439" spans="2:15">
      <c r="B439" s="1041">
        <v>46694</v>
      </c>
      <c r="C439" s="1034" t="str">
        <f>CHOOSE(WEEKDAY(tblDias[[#This Row],[Fecha]],2),"lun","mar","mié","jue","vie","sáb","dom")</f>
        <v>mié</v>
      </c>
      <c r="D439" s="1039" t="s">
        <v>9256</v>
      </c>
      <c r="E439" s="1035">
        <f>COUNTIFS(tblConcentrado[Fecha],tblDias[[#This Row],[Fecha]])</f>
        <v>0</v>
      </c>
      <c r="F439" s="1035">
        <f t="shared" si="6"/>
        <v>24</v>
      </c>
      <c r="G439" s="1036">
        <f>IF(tblDias[[#This Row],[Horas esperadas]]=0,0,tblDias[[#This Row],[Horas cargadas]]/tblDias[[#This Row],[Horas esperadas]])</f>
        <v>0</v>
      </c>
      <c r="H439" s="1035" t="str">
        <f ca="1">IF(tblDias[[#This Row],[Fecha]]&gt;TODAY(),"Pendiente",IF(tblDias[[#This Row],[Horas cargadas]]=0,"Sin datos",IF(tblDias[[#This Row],[Horas cargadas]]&lt;tblDias[[#This Row],[Horas esperadas]],"Parcial","Completo")))</f>
        <v>Pendiente</v>
      </c>
      <c r="I439" s="1037">
        <f>COUNTIFS(tblRDO[Fecha],tblDias[[#This Row],[Fecha]])</f>
        <v>0</v>
      </c>
      <c r="J439" s="1038" t="str">
        <f ca="1">IF(tblDias[[#This Row],[Fecha]]&gt;TODAY(),"Pendiente",IF(tblDias[[#This Row],[Filas RDO]]=0,"Sin RDO","Cargado"))</f>
        <v>Pendiente</v>
      </c>
      <c r="K439" s="972">
        <f>COUNTIFS(tblControles[Fecha],tblDias[[#This Row],[Fecha]],tblControles[Turno],"&lt;&gt;Obs")</f>
        <v>0</v>
      </c>
      <c r="L439" s="971">
        <f>SUMIFS(tblParadas[Horas perdidas],tblParadas[Fecha],tblDias[[#This Row],[Fecha]])</f>
        <v>0</v>
      </c>
      <c r="M439" s="1040"/>
      <c r="N439" s="953"/>
      <c r="O439" s="1040"/>
    </row>
    <row r="440" spans="2:15">
      <c r="B440" s="1041">
        <v>46695</v>
      </c>
      <c r="C440" s="1034" t="str">
        <f>CHOOSE(WEEKDAY(tblDias[[#This Row],[Fecha]],2),"lun","mar","mié","jue","vie","sáb","dom")</f>
        <v>jue</v>
      </c>
      <c r="D440" s="1039" t="s">
        <v>9256</v>
      </c>
      <c r="E440" s="1035">
        <f>COUNTIFS(tblConcentrado[Fecha],tblDias[[#This Row],[Fecha]])</f>
        <v>0</v>
      </c>
      <c r="F440" s="1035">
        <f t="shared" si="6"/>
        <v>24</v>
      </c>
      <c r="G440" s="1036">
        <f>IF(tblDias[[#This Row],[Horas esperadas]]=0,0,tblDias[[#This Row],[Horas cargadas]]/tblDias[[#This Row],[Horas esperadas]])</f>
        <v>0</v>
      </c>
      <c r="H440" s="1035" t="str">
        <f ca="1">IF(tblDias[[#This Row],[Fecha]]&gt;TODAY(),"Pendiente",IF(tblDias[[#This Row],[Horas cargadas]]=0,"Sin datos",IF(tblDias[[#This Row],[Horas cargadas]]&lt;tblDias[[#This Row],[Horas esperadas]],"Parcial","Completo")))</f>
        <v>Pendiente</v>
      </c>
      <c r="I440" s="1037">
        <f>COUNTIFS(tblRDO[Fecha],tblDias[[#This Row],[Fecha]])</f>
        <v>0</v>
      </c>
      <c r="J440" s="1038" t="str">
        <f ca="1">IF(tblDias[[#This Row],[Fecha]]&gt;TODAY(),"Pendiente",IF(tblDias[[#This Row],[Filas RDO]]=0,"Sin RDO","Cargado"))</f>
        <v>Pendiente</v>
      </c>
      <c r="K440" s="972">
        <f>COUNTIFS(tblControles[Fecha],tblDias[[#This Row],[Fecha]],tblControles[Turno],"&lt;&gt;Obs")</f>
        <v>0</v>
      </c>
      <c r="L440" s="971">
        <f>SUMIFS(tblParadas[Horas perdidas],tblParadas[Fecha],tblDias[[#This Row],[Fecha]])</f>
        <v>0</v>
      </c>
      <c r="M440" s="1040"/>
      <c r="N440" s="953"/>
      <c r="O440" s="1040"/>
    </row>
    <row r="441" spans="2:15">
      <c r="B441" s="1041">
        <v>46696</v>
      </c>
      <c r="C441" s="1034" t="str">
        <f>CHOOSE(WEEKDAY(tblDias[[#This Row],[Fecha]],2),"lun","mar","mié","jue","vie","sáb","dom")</f>
        <v>vie</v>
      </c>
      <c r="D441" s="1039" t="s">
        <v>9256</v>
      </c>
      <c r="E441" s="1035">
        <f>COUNTIFS(tblConcentrado[Fecha],tblDias[[#This Row],[Fecha]])</f>
        <v>0</v>
      </c>
      <c r="F441" s="1035">
        <f t="shared" si="6"/>
        <v>24</v>
      </c>
      <c r="G441" s="1036">
        <f>IF(tblDias[[#This Row],[Horas esperadas]]=0,0,tblDias[[#This Row],[Horas cargadas]]/tblDias[[#This Row],[Horas esperadas]])</f>
        <v>0</v>
      </c>
      <c r="H441" s="1035" t="str">
        <f ca="1">IF(tblDias[[#This Row],[Fecha]]&gt;TODAY(),"Pendiente",IF(tblDias[[#This Row],[Horas cargadas]]=0,"Sin datos",IF(tblDias[[#This Row],[Horas cargadas]]&lt;tblDias[[#This Row],[Horas esperadas]],"Parcial","Completo")))</f>
        <v>Pendiente</v>
      </c>
      <c r="I441" s="1037">
        <f>COUNTIFS(tblRDO[Fecha],tblDias[[#This Row],[Fecha]])</f>
        <v>0</v>
      </c>
      <c r="J441" s="1038" t="str">
        <f ca="1">IF(tblDias[[#This Row],[Fecha]]&gt;TODAY(),"Pendiente",IF(tblDias[[#This Row],[Filas RDO]]=0,"Sin RDO","Cargado"))</f>
        <v>Pendiente</v>
      </c>
      <c r="K441" s="972">
        <f>COUNTIFS(tblControles[Fecha],tblDias[[#This Row],[Fecha]],tblControles[Turno],"&lt;&gt;Obs")</f>
        <v>0</v>
      </c>
      <c r="L441" s="971">
        <f>SUMIFS(tblParadas[Horas perdidas],tblParadas[Fecha],tblDias[[#This Row],[Fecha]])</f>
        <v>0</v>
      </c>
      <c r="M441" s="1040"/>
      <c r="N441" s="953"/>
      <c r="O441" s="1040"/>
    </row>
    <row r="442" spans="2:15">
      <c r="B442" s="1041">
        <v>46697</v>
      </c>
      <c r="C442" s="1034" t="str">
        <f>CHOOSE(WEEKDAY(tblDias[[#This Row],[Fecha]],2),"lun","mar","mié","jue","vie","sáb","dom")</f>
        <v>sáb</v>
      </c>
      <c r="D442" s="1039" t="s">
        <v>9256</v>
      </c>
      <c r="E442" s="1035">
        <f>COUNTIFS(tblConcentrado[Fecha],tblDias[[#This Row],[Fecha]])</f>
        <v>0</v>
      </c>
      <c r="F442" s="1035">
        <f t="shared" si="6"/>
        <v>24</v>
      </c>
      <c r="G442" s="1036">
        <f>IF(tblDias[[#This Row],[Horas esperadas]]=0,0,tblDias[[#This Row],[Horas cargadas]]/tblDias[[#This Row],[Horas esperadas]])</f>
        <v>0</v>
      </c>
      <c r="H442" s="1035" t="str">
        <f ca="1">IF(tblDias[[#This Row],[Fecha]]&gt;TODAY(),"Pendiente",IF(tblDias[[#This Row],[Horas cargadas]]=0,"Sin datos",IF(tblDias[[#This Row],[Horas cargadas]]&lt;tblDias[[#This Row],[Horas esperadas]],"Parcial","Completo")))</f>
        <v>Pendiente</v>
      </c>
      <c r="I442" s="1037">
        <f>COUNTIFS(tblRDO[Fecha],tblDias[[#This Row],[Fecha]])</f>
        <v>0</v>
      </c>
      <c r="J442" s="1038" t="str">
        <f ca="1">IF(tblDias[[#This Row],[Fecha]]&gt;TODAY(),"Pendiente",IF(tblDias[[#This Row],[Filas RDO]]=0,"Sin RDO","Cargado"))</f>
        <v>Pendiente</v>
      </c>
      <c r="K442" s="972">
        <f>COUNTIFS(tblControles[Fecha],tblDias[[#This Row],[Fecha]],tblControles[Turno],"&lt;&gt;Obs")</f>
        <v>0</v>
      </c>
      <c r="L442" s="971">
        <f>SUMIFS(tblParadas[Horas perdidas],tblParadas[Fecha],tblDias[[#This Row],[Fecha]])</f>
        <v>0</v>
      </c>
      <c r="M442" s="1040"/>
      <c r="N442" s="953"/>
      <c r="O442" s="1040"/>
    </row>
    <row r="443" spans="2:15">
      <c r="B443" s="1041">
        <v>46698</v>
      </c>
      <c r="C443" s="1034" t="str">
        <f>CHOOSE(WEEKDAY(tblDias[[#This Row],[Fecha]],2),"lun","mar","mié","jue","vie","sáb","dom")</f>
        <v>dom</v>
      </c>
      <c r="D443" s="1039" t="s">
        <v>9256</v>
      </c>
      <c r="E443" s="1035">
        <f>COUNTIFS(tblConcentrado[Fecha],tblDias[[#This Row],[Fecha]])</f>
        <v>0</v>
      </c>
      <c r="F443" s="1035">
        <f t="shared" si="6"/>
        <v>24</v>
      </c>
      <c r="G443" s="1036">
        <f>IF(tblDias[[#This Row],[Horas esperadas]]=0,0,tblDias[[#This Row],[Horas cargadas]]/tblDias[[#This Row],[Horas esperadas]])</f>
        <v>0</v>
      </c>
      <c r="H443" s="1035" t="str">
        <f ca="1">IF(tblDias[[#This Row],[Fecha]]&gt;TODAY(),"Pendiente",IF(tblDias[[#This Row],[Horas cargadas]]=0,"Sin datos",IF(tblDias[[#This Row],[Horas cargadas]]&lt;tblDias[[#This Row],[Horas esperadas]],"Parcial","Completo")))</f>
        <v>Pendiente</v>
      </c>
      <c r="I443" s="1037">
        <f>COUNTIFS(tblRDO[Fecha],tblDias[[#This Row],[Fecha]])</f>
        <v>0</v>
      </c>
      <c r="J443" s="1038" t="str">
        <f ca="1">IF(tblDias[[#This Row],[Fecha]]&gt;TODAY(),"Pendiente",IF(tblDias[[#This Row],[Filas RDO]]=0,"Sin RDO","Cargado"))</f>
        <v>Pendiente</v>
      </c>
      <c r="K443" s="972">
        <f>COUNTIFS(tblControles[Fecha],tblDias[[#This Row],[Fecha]],tblControles[Turno],"&lt;&gt;Obs")</f>
        <v>0</v>
      </c>
      <c r="L443" s="971">
        <f>SUMIFS(tblParadas[Horas perdidas],tblParadas[Fecha],tblDias[[#This Row],[Fecha]])</f>
        <v>0</v>
      </c>
      <c r="M443" s="1040"/>
      <c r="N443" s="953"/>
      <c r="O443" s="1040"/>
    </row>
    <row r="444" spans="2:15">
      <c r="B444" s="1041">
        <v>46699</v>
      </c>
      <c r="C444" s="1034" t="str">
        <f>CHOOSE(WEEKDAY(tblDias[[#This Row],[Fecha]],2),"lun","mar","mié","jue","vie","sáb","dom")</f>
        <v>lun</v>
      </c>
      <c r="D444" s="1039" t="s">
        <v>9256</v>
      </c>
      <c r="E444" s="1035">
        <f>COUNTIFS(tblConcentrado[Fecha],tblDias[[#This Row],[Fecha]])</f>
        <v>0</v>
      </c>
      <c r="F444" s="1035">
        <f t="shared" si="6"/>
        <v>24</v>
      </c>
      <c r="G444" s="1036">
        <f>IF(tblDias[[#This Row],[Horas esperadas]]=0,0,tblDias[[#This Row],[Horas cargadas]]/tblDias[[#This Row],[Horas esperadas]])</f>
        <v>0</v>
      </c>
      <c r="H444" s="1035" t="str">
        <f ca="1">IF(tblDias[[#This Row],[Fecha]]&gt;TODAY(),"Pendiente",IF(tblDias[[#This Row],[Horas cargadas]]=0,"Sin datos",IF(tblDias[[#This Row],[Horas cargadas]]&lt;tblDias[[#This Row],[Horas esperadas]],"Parcial","Completo")))</f>
        <v>Pendiente</v>
      </c>
      <c r="I444" s="1037">
        <f>COUNTIFS(tblRDO[Fecha],tblDias[[#This Row],[Fecha]])</f>
        <v>0</v>
      </c>
      <c r="J444" s="1038" t="str">
        <f ca="1">IF(tblDias[[#This Row],[Fecha]]&gt;TODAY(),"Pendiente",IF(tblDias[[#This Row],[Filas RDO]]=0,"Sin RDO","Cargado"))</f>
        <v>Pendiente</v>
      </c>
      <c r="K444" s="972">
        <f>COUNTIFS(tblControles[Fecha],tblDias[[#This Row],[Fecha]],tblControles[Turno],"&lt;&gt;Obs")</f>
        <v>0</v>
      </c>
      <c r="L444" s="971">
        <f>SUMIFS(tblParadas[Horas perdidas],tblParadas[Fecha],tblDias[[#This Row],[Fecha]])</f>
        <v>0</v>
      </c>
      <c r="M444" s="1040"/>
      <c r="N444" s="953"/>
      <c r="O444" s="1040"/>
    </row>
    <row r="445" spans="2:15">
      <c r="B445" s="1041">
        <v>46700</v>
      </c>
      <c r="C445" s="1034" t="str">
        <f>CHOOSE(WEEKDAY(tblDias[[#This Row],[Fecha]],2),"lun","mar","mié","jue","vie","sáb","dom")</f>
        <v>mar</v>
      </c>
      <c r="D445" s="1039" t="s">
        <v>9256</v>
      </c>
      <c r="E445" s="1035">
        <f>COUNTIFS(tblConcentrado[Fecha],tblDias[[#This Row],[Fecha]])</f>
        <v>0</v>
      </c>
      <c r="F445" s="1035">
        <f t="shared" si="6"/>
        <v>24</v>
      </c>
      <c r="G445" s="1036">
        <f>IF(tblDias[[#This Row],[Horas esperadas]]=0,0,tblDias[[#This Row],[Horas cargadas]]/tblDias[[#This Row],[Horas esperadas]])</f>
        <v>0</v>
      </c>
      <c r="H445" s="1035" t="str">
        <f ca="1">IF(tblDias[[#This Row],[Fecha]]&gt;TODAY(),"Pendiente",IF(tblDias[[#This Row],[Horas cargadas]]=0,"Sin datos",IF(tblDias[[#This Row],[Horas cargadas]]&lt;tblDias[[#This Row],[Horas esperadas]],"Parcial","Completo")))</f>
        <v>Pendiente</v>
      </c>
      <c r="I445" s="1037">
        <f>COUNTIFS(tblRDO[Fecha],tblDias[[#This Row],[Fecha]])</f>
        <v>0</v>
      </c>
      <c r="J445" s="1038" t="str">
        <f ca="1">IF(tblDias[[#This Row],[Fecha]]&gt;TODAY(),"Pendiente",IF(tblDias[[#This Row],[Filas RDO]]=0,"Sin RDO","Cargado"))</f>
        <v>Pendiente</v>
      </c>
      <c r="K445" s="972">
        <f>COUNTIFS(tblControles[Fecha],tblDias[[#This Row],[Fecha]],tblControles[Turno],"&lt;&gt;Obs")</f>
        <v>0</v>
      </c>
      <c r="L445" s="971">
        <f>SUMIFS(tblParadas[Horas perdidas],tblParadas[Fecha],tblDias[[#This Row],[Fecha]])</f>
        <v>0</v>
      </c>
      <c r="M445" s="1040"/>
      <c r="N445" s="953"/>
      <c r="O445" s="1040"/>
    </row>
    <row r="446" spans="2:15">
      <c r="B446" s="1041">
        <v>46701</v>
      </c>
      <c r="C446" s="1034" t="str">
        <f>CHOOSE(WEEKDAY(tblDias[[#This Row],[Fecha]],2),"lun","mar","mié","jue","vie","sáb","dom")</f>
        <v>mié</v>
      </c>
      <c r="D446" s="1039" t="s">
        <v>9256</v>
      </c>
      <c r="E446" s="1035">
        <f>COUNTIFS(tblConcentrado[Fecha],tblDias[[#This Row],[Fecha]])</f>
        <v>0</v>
      </c>
      <c r="F446" s="1035">
        <f t="shared" si="6"/>
        <v>24</v>
      </c>
      <c r="G446" s="1036">
        <f>IF(tblDias[[#This Row],[Horas esperadas]]=0,0,tblDias[[#This Row],[Horas cargadas]]/tblDias[[#This Row],[Horas esperadas]])</f>
        <v>0</v>
      </c>
      <c r="H446" s="1035" t="str">
        <f ca="1">IF(tblDias[[#This Row],[Fecha]]&gt;TODAY(),"Pendiente",IF(tblDias[[#This Row],[Horas cargadas]]=0,"Sin datos",IF(tblDias[[#This Row],[Horas cargadas]]&lt;tblDias[[#This Row],[Horas esperadas]],"Parcial","Completo")))</f>
        <v>Pendiente</v>
      </c>
      <c r="I446" s="1037">
        <f>COUNTIFS(tblRDO[Fecha],tblDias[[#This Row],[Fecha]])</f>
        <v>0</v>
      </c>
      <c r="J446" s="1038" t="str">
        <f ca="1">IF(tblDias[[#This Row],[Fecha]]&gt;TODAY(),"Pendiente",IF(tblDias[[#This Row],[Filas RDO]]=0,"Sin RDO","Cargado"))</f>
        <v>Pendiente</v>
      </c>
      <c r="K446" s="972">
        <f>COUNTIFS(tblControles[Fecha],tblDias[[#This Row],[Fecha]],tblControles[Turno],"&lt;&gt;Obs")</f>
        <v>0</v>
      </c>
      <c r="L446" s="971">
        <f>SUMIFS(tblParadas[Horas perdidas],tblParadas[Fecha],tblDias[[#This Row],[Fecha]])</f>
        <v>0</v>
      </c>
      <c r="M446" s="1040"/>
      <c r="N446" s="953"/>
      <c r="O446" s="1040"/>
    </row>
    <row r="447" spans="2:15">
      <c r="B447" s="1041">
        <v>46702</v>
      </c>
      <c r="C447" s="1034" t="str">
        <f>CHOOSE(WEEKDAY(tblDias[[#This Row],[Fecha]],2),"lun","mar","mié","jue","vie","sáb","dom")</f>
        <v>jue</v>
      </c>
      <c r="D447" s="1039" t="s">
        <v>9256</v>
      </c>
      <c r="E447" s="1035">
        <f>COUNTIFS(tblConcentrado[Fecha],tblDias[[#This Row],[Fecha]])</f>
        <v>0</v>
      </c>
      <c r="F447" s="1035">
        <f t="shared" si="6"/>
        <v>24</v>
      </c>
      <c r="G447" s="1036">
        <f>IF(tblDias[[#This Row],[Horas esperadas]]=0,0,tblDias[[#This Row],[Horas cargadas]]/tblDias[[#This Row],[Horas esperadas]])</f>
        <v>0</v>
      </c>
      <c r="H447" s="1035" t="str">
        <f ca="1">IF(tblDias[[#This Row],[Fecha]]&gt;TODAY(),"Pendiente",IF(tblDias[[#This Row],[Horas cargadas]]=0,"Sin datos",IF(tblDias[[#This Row],[Horas cargadas]]&lt;tblDias[[#This Row],[Horas esperadas]],"Parcial","Completo")))</f>
        <v>Pendiente</v>
      </c>
      <c r="I447" s="1037">
        <f>COUNTIFS(tblRDO[Fecha],tblDias[[#This Row],[Fecha]])</f>
        <v>0</v>
      </c>
      <c r="J447" s="1038" t="str">
        <f ca="1">IF(tblDias[[#This Row],[Fecha]]&gt;TODAY(),"Pendiente",IF(tblDias[[#This Row],[Filas RDO]]=0,"Sin RDO","Cargado"))</f>
        <v>Pendiente</v>
      </c>
      <c r="K447" s="972">
        <f>COUNTIFS(tblControles[Fecha],tblDias[[#This Row],[Fecha]],tblControles[Turno],"&lt;&gt;Obs")</f>
        <v>0</v>
      </c>
      <c r="L447" s="971">
        <f>SUMIFS(tblParadas[Horas perdidas],tblParadas[Fecha],tblDias[[#This Row],[Fecha]])</f>
        <v>0</v>
      </c>
      <c r="M447" s="1040"/>
      <c r="N447" s="953"/>
      <c r="O447" s="1040"/>
    </row>
    <row r="448" spans="2:15">
      <c r="B448" s="1041">
        <v>46703</v>
      </c>
      <c r="C448" s="1034" t="str">
        <f>CHOOSE(WEEKDAY(tblDias[[#This Row],[Fecha]],2),"lun","mar","mié","jue","vie","sáb","dom")</f>
        <v>vie</v>
      </c>
      <c r="D448" s="1039" t="s">
        <v>9256</v>
      </c>
      <c r="E448" s="1035">
        <f>COUNTIFS(tblConcentrado[Fecha],tblDias[[#This Row],[Fecha]])</f>
        <v>0</v>
      </c>
      <c r="F448" s="1035">
        <f t="shared" si="6"/>
        <v>24</v>
      </c>
      <c r="G448" s="1036">
        <f>IF(tblDias[[#This Row],[Horas esperadas]]=0,0,tblDias[[#This Row],[Horas cargadas]]/tblDias[[#This Row],[Horas esperadas]])</f>
        <v>0</v>
      </c>
      <c r="H448" s="1035" t="str">
        <f ca="1">IF(tblDias[[#This Row],[Fecha]]&gt;TODAY(),"Pendiente",IF(tblDias[[#This Row],[Horas cargadas]]=0,"Sin datos",IF(tblDias[[#This Row],[Horas cargadas]]&lt;tblDias[[#This Row],[Horas esperadas]],"Parcial","Completo")))</f>
        <v>Pendiente</v>
      </c>
      <c r="I448" s="1037">
        <f>COUNTIFS(tblRDO[Fecha],tblDias[[#This Row],[Fecha]])</f>
        <v>0</v>
      </c>
      <c r="J448" s="1038" t="str">
        <f ca="1">IF(tblDias[[#This Row],[Fecha]]&gt;TODAY(),"Pendiente",IF(tblDias[[#This Row],[Filas RDO]]=0,"Sin RDO","Cargado"))</f>
        <v>Pendiente</v>
      </c>
      <c r="K448" s="972">
        <f>COUNTIFS(tblControles[Fecha],tblDias[[#This Row],[Fecha]],tblControles[Turno],"&lt;&gt;Obs")</f>
        <v>0</v>
      </c>
      <c r="L448" s="971">
        <f>SUMIFS(tblParadas[Horas perdidas],tblParadas[Fecha],tblDias[[#This Row],[Fecha]])</f>
        <v>0</v>
      </c>
      <c r="M448" s="1040"/>
      <c r="N448" s="953"/>
      <c r="O448" s="1040"/>
    </row>
    <row r="449" spans="2:15">
      <c r="B449" s="1041">
        <v>46704</v>
      </c>
      <c r="C449" s="1034" t="str">
        <f>CHOOSE(WEEKDAY(tblDias[[#This Row],[Fecha]],2),"lun","mar","mié","jue","vie","sáb","dom")</f>
        <v>sáb</v>
      </c>
      <c r="D449" s="1039" t="s">
        <v>9256</v>
      </c>
      <c r="E449" s="1035">
        <f>COUNTIFS(tblConcentrado[Fecha],tblDias[[#This Row],[Fecha]])</f>
        <v>0</v>
      </c>
      <c r="F449" s="1035">
        <f t="shared" si="6"/>
        <v>24</v>
      </c>
      <c r="G449" s="1036">
        <f>IF(tblDias[[#This Row],[Horas esperadas]]=0,0,tblDias[[#This Row],[Horas cargadas]]/tblDias[[#This Row],[Horas esperadas]])</f>
        <v>0</v>
      </c>
      <c r="H449" s="1035" t="str">
        <f ca="1">IF(tblDias[[#This Row],[Fecha]]&gt;TODAY(),"Pendiente",IF(tblDias[[#This Row],[Horas cargadas]]=0,"Sin datos",IF(tblDias[[#This Row],[Horas cargadas]]&lt;tblDias[[#This Row],[Horas esperadas]],"Parcial","Completo")))</f>
        <v>Pendiente</v>
      </c>
      <c r="I449" s="1037">
        <f>COUNTIFS(tblRDO[Fecha],tblDias[[#This Row],[Fecha]])</f>
        <v>0</v>
      </c>
      <c r="J449" s="1038" t="str">
        <f ca="1">IF(tblDias[[#This Row],[Fecha]]&gt;TODAY(),"Pendiente",IF(tblDias[[#This Row],[Filas RDO]]=0,"Sin RDO","Cargado"))</f>
        <v>Pendiente</v>
      </c>
      <c r="K449" s="972">
        <f>COUNTIFS(tblControles[Fecha],tblDias[[#This Row],[Fecha]],tblControles[Turno],"&lt;&gt;Obs")</f>
        <v>0</v>
      </c>
      <c r="L449" s="971">
        <f>SUMIFS(tblParadas[Horas perdidas],tblParadas[Fecha],tblDias[[#This Row],[Fecha]])</f>
        <v>0</v>
      </c>
      <c r="M449" s="1040"/>
      <c r="N449" s="953"/>
      <c r="O449" s="1040"/>
    </row>
    <row r="450" spans="2:15">
      <c r="B450" s="1041">
        <v>46705</v>
      </c>
      <c r="C450" s="1034" t="str">
        <f>CHOOSE(WEEKDAY(tblDias[[#This Row],[Fecha]],2),"lun","mar","mié","jue","vie","sáb","dom")</f>
        <v>dom</v>
      </c>
      <c r="D450" s="1039" t="s">
        <v>9256</v>
      </c>
      <c r="E450" s="1035">
        <f>COUNTIFS(tblConcentrado[Fecha],tblDias[[#This Row],[Fecha]])</f>
        <v>0</v>
      </c>
      <c r="F450" s="1035">
        <f t="shared" si="6"/>
        <v>24</v>
      </c>
      <c r="G450" s="1036">
        <f>IF(tblDias[[#This Row],[Horas esperadas]]=0,0,tblDias[[#This Row],[Horas cargadas]]/tblDias[[#This Row],[Horas esperadas]])</f>
        <v>0</v>
      </c>
      <c r="H450" s="1035" t="str">
        <f ca="1">IF(tblDias[[#This Row],[Fecha]]&gt;TODAY(),"Pendiente",IF(tblDias[[#This Row],[Horas cargadas]]=0,"Sin datos",IF(tblDias[[#This Row],[Horas cargadas]]&lt;tblDias[[#This Row],[Horas esperadas]],"Parcial","Completo")))</f>
        <v>Pendiente</v>
      </c>
      <c r="I450" s="1037">
        <f>COUNTIFS(tblRDO[Fecha],tblDias[[#This Row],[Fecha]])</f>
        <v>0</v>
      </c>
      <c r="J450" s="1038" t="str">
        <f ca="1">IF(tblDias[[#This Row],[Fecha]]&gt;TODAY(),"Pendiente",IF(tblDias[[#This Row],[Filas RDO]]=0,"Sin RDO","Cargado"))</f>
        <v>Pendiente</v>
      </c>
      <c r="K450" s="972">
        <f>COUNTIFS(tblControles[Fecha],tblDias[[#This Row],[Fecha]],tblControles[Turno],"&lt;&gt;Obs")</f>
        <v>0</v>
      </c>
      <c r="L450" s="971">
        <f>SUMIFS(tblParadas[Horas perdidas],tblParadas[Fecha],tblDias[[#This Row],[Fecha]])</f>
        <v>0</v>
      </c>
      <c r="M450" s="1040"/>
      <c r="N450" s="953"/>
      <c r="O450" s="1040"/>
    </row>
    <row r="451" spans="2:15">
      <c r="B451" s="1041">
        <v>46706</v>
      </c>
      <c r="C451" s="1034" t="str">
        <f>CHOOSE(WEEKDAY(tblDias[[#This Row],[Fecha]],2),"lun","mar","mié","jue","vie","sáb","dom")</f>
        <v>lun</v>
      </c>
      <c r="D451" s="1039" t="s">
        <v>9256</v>
      </c>
      <c r="E451" s="1035">
        <f>COUNTIFS(tblConcentrado[Fecha],tblDias[[#This Row],[Fecha]])</f>
        <v>0</v>
      </c>
      <c r="F451" s="1035">
        <f t="shared" si="6"/>
        <v>24</v>
      </c>
      <c r="G451" s="1036">
        <f>IF(tblDias[[#This Row],[Horas esperadas]]=0,0,tblDias[[#This Row],[Horas cargadas]]/tblDias[[#This Row],[Horas esperadas]])</f>
        <v>0</v>
      </c>
      <c r="H451" s="1035" t="str">
        <f ca="1">IF(tblDias[[#This Row],[Fecha]]&gt;TODAY(),"Pendiente",IF(tblDias[[#This Row],[Horas cargadas]]=0,"Sin datos",IF(tblDias[[#This Row],[Horas cargadas]]&lt;tblDias[[#This Row],[Horas esperadas]],"Parcial","Completo")))</f>
        <v>Pendiente</v>
      </c>
      <c r="I451" s="1037">
        <f>COUNTIFS(tblRDO[Fecha],tblDias[[#This Row],[Fecha]])</f>
        <v>0</v>
      </c>
      <c r="J451" s="1038" t="str">
        <f ca="1">IF(tblDias[[#This Row],[Fecha]]&gt;TODAY(),"Pendiente",IF(tblDias[[#This Row],[Filas RDO]]=0,"Sin RDO","Cargado"))</f>
        <v>Pendiente</v>
      </c>
      <c r="K451" s="972">
        <f>COUNTIFS(tblControles[Fecha],tblDias[[#This Row],[Fecha]],tblControles[Turno],"&lt;&gt;Obs")</f>
        <v>0</v>
      </c>
      <c r="L451" s="971">
        <f>SUMIFS(tblParadas[Horas perdidas],tblParadas[Fecha],tblDias[[#This Row],[Fecha]])</f>
        <v>0</v>
      </c>
      <c r="M451" s="1040"/>
      <c r="N451" s="953"/>
      <c r="O451" s="1040"/>
    </row>
    <row r="452" spans="2:15">
      <c r="B452" s="1041">
        <v>46707</v>
      </c>
      <c r="C452" s="1034" t="str">
        <f>CHOOSE(WEEKDAY(tblDias[[#This Row],[Fecha]],2),"lun","mar","mié","jue","vie","sáb","dom")</f>
        <v>mar</v>
      </c>
      <c r="D452" s="1039" t="s">
        <v>9256</v>
      </c>
      <c r="E452" s="1035">
        <f>COUNTIFS(tblConcentrado[Fecha],tblDias[[#This Row],[Fecha]])</f>
        <v>0</v>
      </c>
      <c r="F452" s="1035">
        <f t="shared" si="6"/>
        <v>24</v>
      </c>
      <c r="G452" s="1036">
        <f>IF(tblDias[[#This Row],[Horas esperadas]]=0,0,tblDias[[#This Row],[Horas cargadas]]/tblDias[[#This Row],[Horas esperadas]])</f>
        <v>0</v>
      </c>
      <c r="H452" s="1035" t="str">
        <f ca="1">IF(tblDias[[#This Row],[Fecha]]&gt;TODAY(),"Pendiente",IF(tblDias[[#This Row],[Horas cargadas]]=0,"Sin datos",IF(tblDias[[#This Row],[Horas cargadas]]&lt;tblDias[[#This Row],[Horas esperadas]],"Parcial","Completo")))</f>
        <v>Pendiente</v>
      </c>
      <c r="I452" s="1037">
        <f>COUNTIFS(tblRDO[Fecha],tblDias[[#This Row],[Fecha]])</f>
        <v>0</v>
      </c>
      <c r="J452" s="1038" t="str">
        <f ca="1">IF(tblDias[[#This Row],[Fecha]]&gt;TODAY(),"Pendiente",IF(tblDias[[#This Row],[Filas RDO]]=0,"Sin RDO","Cargado"))</f>
        <v>Pendiente</v>
      </c>
      <c r="K452" s="972">
        <f>COUNTIFS(tblControles[Fecha],tblDias[[#This Row],[Fecha]],tblControles[Turno],"&lt;&gt;Obs")</f>
        <v>0</v>
      </c>
      <c r="L452" s="971">
        <f>SUMIFS(tblParadas[Horas perdidas],tblParadas[Fecha],tblDias[[#This Row],[Fecha]])</f>
        <v>0</v>
      </c>
      <c r="M452" s="1040"/>
      <c r="N452" s="953"/>
      <c r="O452" s="1040"/>
    </row>
    <row r="453" spans="2:15">
      <c r="B453" s="1041">
        <v>46708</v>
      </c>
      <c r="C453" s="1034" t="str">
        <f>CHOOSE(WEEKDAY(tblDias[[#This Row],[Fecha]],2),"lun","mar","mié","jue","vie","sáb","dom")</f>
        <v>mié</v>
      </c>
      <c r="D453" s="1039" t="s">
        <v>9256</v>
      </c>
      <c r="E453" s="1035">
        <f>COUNTIFS(tblConcentrado[Fecha],tblDias[[#This Row],[Fecha]])</f>
        <v>0</v>
      </c>
      <c r="F453" s="1035">
        <f t="shared" si="6"/>
        <v>24</v>
      </c>
      <c r="G453" s="1036">
        <f>IF(tblDias[[#This Row],[Horas esperadas]]=0,0,tblDias[[#This Row],[Horas cargadas]]/tblDias[[#This Row],[Horas esperadas]])</f>
        <v>0</v>
      </c>
      <c r="H453" s="1035" t="str">
        <f ca="1">IF(tblDias[[#This Row],[Fecha]]&gt;TODAY(),"Pendiente",IF(tblDias[[#This Row],[Horas cargadas]]=0,"Sin datos",IF(tblDias[[#This Row],[Horas cargadas]]&lt;tblDias[[#This Row],[Horas esperadas]],"Parcial","Completo")))</f>
        <v>Pendiente</v>
      </c>
      <c r="I453" s="1037">
        <f>COUNTIFS(tblRDO[Fecha],tblDias[[#This Row],[Fecha]])</f>
        <v>0</v>
      </c>
      <c r="J453" s="1038" t="str">
        <f ca="1">IF(tblDias[[#This Row],[Fecha]]&gt;TODAY(),"Pendiente",IF(tblDias[[#This Row],[Filas RDO]]=0,"Sin RDO","Cargado"))</f>
        <v>Pendiente</v>
      </c>
      <c r="K453" s="972">
        <f>COUNTIFS(tblControles[Fecha],tblDias[[#This Row],[Fecha]],tblControles[Turno],"&lt;&gt;Obs")</f>
        <v>0</v>
      </c>
      <c r="L453" s="971">
        <f>SUMIFS(tblParadas[Horas perdidas],tblParadas[Fecha],tblDias[[#This Row],[Fecha]])</f>
        <v>0</v>
      </c>
      <c r="M453" s="1040"/>
      <c r="N453" s="953"/>
      <c r="O453" s="1040"/>
    </row>
    <row r="454" spans="2:15">
      <c r="B454" s="1041">
        <v>46709</v>
      </c>
      <c r="C454" s="1034" t="str">
        <f>CHOOSE(WEEKDAY(tblDias[[#This Row],[Fecha]],2),"lun","mar","mié","jue","vie","sáb","dom")</f>
        <v>jue</v>
      </c>
      <c r="D454" s="1039" t="s">
        <v>9256</v>
      </c>
      <c r="E454" s="1035">
        <f>COUNTIFS(tblConcentrado[Fecha],tblDias[[#This Row],[Fecha]])</f>
        <v>0</v>
      </c>
      <c r="F454" s="1035">
        <f t="shared" si="6"/>
        <v>24</v>
      </c>
      <c r="G454" s="1036">
        <f>IF(tblDias[[#This Row],[Horas esperadas]]=0,0,tblDias[[#This Row],[Horas cargadas]]/tblDias[[#This Row],[Horas esperadas]])</f>
        <v>0</v>
      </c>
      <c r="H454" s="1035" t="str">
        <f ca="1">IF(tblDias[[#This Row],[Fecha]]&gt;TODAY(),"Pendiente",IF(tblDias[[#This Row],[Horas cargadas]]=0,"Sin datos",IF(tblDias[[#This Row],[Horas cargadas]]&lt;tblDias[[#This Row],[Horas esperadas]],"Parcial","Completo")))</f>
        <v>Pendiente</v>
      </c>
      <c r="I454" s="1037">
        <f>COUNTIFS(tblRDO[Fecha],tblDias[[#This Row],[Fecha]])</f>
        <v>0</v>
      </c>
      <c r="J454" s="1038" t="str">
        <f ca="1">IF(tblDias[[#This Row],[Fecha]]&gt;TODAY(),"Pendiente",IF(tblDias[[#This Row],[Filas RDO]]=0,"Sin RDO","Cargado"))</f>
        <v>Pendiente</v>
      </c>
      <c r="K454" s="972">
        <f>COUNTIFS(tblControles[Fecha],tblDias[[#This Row],[Fecha]],tblControles[Turno],"&lt;&gt;Obs")</f>
        <v>0</v>
      </c>
      <c r="L454" s="971">
        <f>SUMIFS(tblParadas[Horas perdidas],tblParadas[Fecha],tblDias[[#This Row],[Fecha]])</f>
        <v>0</v>
      </c>
      <c r="M454" s="1040"/>
      <c r="N454" s="953"/>
      <c r="O454" s="1040"/>
    </row>
    <row r="455" spans="2:15">
      <c r="B455" s="1041">
        <v>46710</v>
      </c>
      <c r="C455" s="1034" t="str">
        <f>CHOOSE(WEEKDAY(tblDias[[#This Row],[Fecha]],2),"lun","mar","mié","jue","vie","sáb","dom")</f>
        <v>vie</v>
      </c>
      <c r="D455" s="1039" t="s">
        <v>9256</v>
      </c>
      <c r="E455" s="1035">
        <f>COUNTIFS(tblConcentrado[Fecha],tblDias[[#This Row],[Fecha]])</f>
        <v>0</v>
      </c>
      <c r="F455" s="1035">
        <f t="shared" si="6"/>
        <v>24</v>
      </c>
      <c r="G455" s="1036">
        <f>IF(tblDias[[#This Row],[Horas esperadas]]=0,0,tblDias[[#This Row],[Horas cargadas]]/tblDias[[#This Row],[Horas esperadas]])</f>
        <v>0</v>
      </c>
      <c r="H455" s="1035" t="str">
        <f ca="1">IF(tblDias[[#This Row],[Fecha]]&gt;TODAY(),"Pendiente",IF(tblDias[[#This Row],[Horas cargadas]]=0,"Sin datos",IF(tblDias[[#This Row],[Horas cargadas]]&lt;tblDias[[#This Row],[Horas esperadas]],"Parcial","Completo")))</f>
        <v>Pendiente</v>
      </c>
      <c r="I455" s="1037">
        <f>COUNTIFS(tblRDO[Fecha],tblDias[[#This Row],[Fecha]])</f>
        <v>0</v>
      </c>
      <c r="J455" s="1038" t="str">
        <f ca="1">IF(tblDias[[#This Row],[Fecha]]&gt;TODAY(),"Pendiente",IF(tblDias[[#This Row],[Filas RDO]]=0,"Sin RDO","Cargado"))</f>
        <v>Pendiente</v>
      </c>
      <c r="K455" s="972">
        <f>COUNTIFS(tblControles[Fecha],tblDias[[#This Row],[Fecha]],tblControles[Turno],"&lt;&gt;Obs")</f>
        <v>0</v>
      </c>
      <c r="L455" s="971">
        <f>SUMIFS(tblParadas[Horas perdidas],tblParadas[Fecha],tblDias[[#This Row],[Fecha]])</f>
        <v>0</v>
      </c>
      <c r="M455" s="1040"/>
      <c r="N455" s="953"/>
      <c r="O455" s="1040"/>
    </row>
    <row r="456" spans="2:15">
      <c r="B456" s="1041">
        <v>46711</v>
      </c>
      <c r="C456" s="1034" t="str">
        <f>CHOOSE(WEEKDAY(tblDias[[#This Row],[Fecha]],2),"lun","mar","mié","jue","vie","sáb","dom")</f>
        <v>sáb</v>
      </c>
      <c r="D456" s="1039" t="s">
        <v>9256</v>
      </c>
      <c r="E456" s="1035">
        <f>COUNTIFS(tblConcentrado[Fecha],tblDias[[#This Row],[Fecha]])</f>
        <v>0</v>
      </c>
      <c r="F456" s="1035">
        <f t="shared" si="6"/>
        <v>24</v>
      </c>
      <c r="G456" s="1036">
        <f>IF(tblDias[[#This Row],[Horas esperadas]]=0,0,tblDias[[#This Row],[Horas cargadas]]/tblDias[[#This Row],[Horas esperadas]])</f>
        <v>0</v>
      </c>
      <c r="H456" s="1035" t="str">
        <f ca="1">IF(tblDias[[#This Row],[Fecha]]&gt;TODAY(),"Pendiente",IF(tblDias[[#This Row],[Horas cargadas]]=0,"Sin datos",IF(tblDias[[#This Row],[Horas cargadas]]&lt;tblDias[[#This Row],[Horas esperadas]],"Parcial","Completo")))</f>
        <v>Pendiente</v>
      </c>
      <c r="I456" s="1037">
        <f>COUNTIFS(tblRDO[Fecha],tblDias[[#This Row],[Fecha]])</f>
        <v>0</v>
      </c>
      <c r="J456" s="1038" t="str">
        <f ca="1">IF(tblDias[[#This Row],[Fecha]]&gt;TODAY(),"Pendiente",IF(tblDias[[#This Row],[Filas RDO]]=0,"Sin RDO","Cargado"))</f>
        <v>Pendiente</v>
      </c>
      <c r="K456" s="972">
        <f>COUNTIFS(tblControles[Fecha],tblDias[[#This Row],[Fecha]],tblControles[Turno],"&lt;&gt;Obs")</f>
        <v>0</v>
      </c>
      <c r="L456" s="971">
        <f>SUMIFS(tblParadas[Horas perdidas],tblParadas[Fecha],tblDias[[#This Row],[Fecha]])</f>
        <v>0</v>
      </c>
      <c r="M456" s="1040"/>
      <c r="N456" s="953"/>
      <c r="O456" s="1040"/>
    </row>
    <row r="457" spans="2:15">
      <c r="B457" s="1041">
        <v>46712</v>
      </c>
      <c r="C457" s="1034" t="str">
        <f>CHOOSE(WEEKDAY(tblDias[[#This Row],[Fecha]],2),"lun","mar","mié","jue","vie","sáb","dom")</f>
        <v>dom</v>
      </c>
      <c r="D457" s="1039" t="s">
        <v>9256</v>
      </c>
      <c r="E457" s="1035">
        <f>COUNTIFS(tblConcentrado[Fecha],tblDias[[#This Row],[Fecha]])</f>
        <v>0</v>
      </c>
      <c r="F457" s="1035">
        <f t="shared" si="6"/>
        <v>24</v>
      </c>
      <c r="G457" s="1036">
        <f>IF(tblDias[[#This Row],[Horas esperadas]]=0,0,tblDias[[#This Row],[Horas cargadas]]/tblDias[[#This Row],[Horas esperadas]])</f>
        <v>0</v>
      </c>
      <c r="H457" s="1035" t="str">
        <f ca="1">IF(tblDias[[#This Row],[Fecha]]&gt;TODAY(),"Pendiente",IF(tblDias[[#This Row],[Horas cargadas]]=0,"Sin datos",IF(tblDias[[#This Row],[Horas cargadas]]&lt;tblDias[[#This Row],[Horas esperadas]],"Parcial","Completo")))</f>
        <v>Pendiente</v>
      </c>
      <c r="I457" s="1037">
        <f>COUNTIFS(tblRDO[Fecha],tblDias[[#This Row],[Fecha]])</f>
        <v>0</v>
      </c>
      <c r="J457" s="1038" t="str">
        <f ca="1">IF(tblDias[[#This Row],[Fecha]]&gt;TODAY(),"Pendiente",IF(tblDias[[#This Row],[Filas RDO]]=0,"Sin RDO","Cargado"))</f>
        <v>Pendiente</v>
      </c>
      <c r="K457" s="972">
        <f>COUNTIFS(tblControles[Fecha],tblDias[[#This Row],[Fecha]],tblControles[Turno],"&lt;&gt;Obs")</f>
        <v>0</v>
      </c>
      <c r="L457" s="971">
        <f>SUMIFS(tblParadas[Horas perdidas],tblParadas[Fecha],tblDias[[#This Row],[Fecha]])</f>
        <v>0</v>
      </c>
      <c r="M457" s="1040"/>
      <c r="N457" s="953"/>
      <c r="O457" s="1040"/>
    </row>
    <row r="458" spans="2:15">
      <c r="B458" s="1041">
        <v>46713</v>
      </c>
      <c r="C458" s="1034" t="str">
        <f>CHOOSE(WEEKDAY(tblDias[[#This Row],[Fecha]],2),"lun","mar","mié","jue","vie","sáb","dom")</f>
        <v>lun</v>
      </c>
      <c r="D458" s="1039" t="s">
        <v>9256</v>
      </c>
      <c r="E458" s="1035">
        <f>COUNTIFS(tblConcentrado[Fecha],tblDias[[#This Row],[Fecha]])</f>
        <v>0</v>
      </c>
      <c r="F458" s="1035">
        <f t="shared" si="6"/>
        <v>24</v>
      </c>
      <c r="G458" s="1036">
        <f>IF(tblDias[[#This Row],[Horas esperadas]]=0,0,tblDias[[#This Row],[Horas cargadas]]/tblDias[[#This Row],[Horas esperadas]])</f>
        <v>0</v>
      </c>
      <c r="H458" s="1035" t="str">
        <f ca="1">IF(tblDias[[#This Row],[Fecha]]&gt;TODAY(),"Pendiente",IF(tblDias[[#This Row],[Horas cargadas]]=0,"Sin datos",IF(tblDias[[#This Row],[Horas cargadas]]&lt;tblDias[[#This Row],[Horas esperadas]],"Parcial","Completo")))</f>
        <v>Pendiente</v>
      </c>
      <c r="I458" s="1037">
        <f>COUNTIFS(tblRDO[Fecha],tblDias[[#This Row],[Fecha]])</f>
        <v>0</v>
      </c>
      <c r="J458" s="1038" t="str">
        <f ca="1">IF(tblDias[[#This Row],[Fecha]]&gt;TODAY(),"Pendiente",IF(tblDias[[#This Row],[Filas RDO]]=0,"Sin RDO","Cargado"))</f>
        <v>Pendiente</v>
      </c>
      <c r="K458" s="972">
        <f>COUNTIFS(tblControles[Fecha],tblDias[[#This Row],[Fecha]],tblControles[Turno],"&lt;&gt;Obs")</f>
        <v>0</v>
      </c>
      <c r="L458" s="971">
        <f>SUMIFS(tblParadas[Horas perdidas],tblParadas[Fecha],tblDias[[#This Row],[Fecha]])</f>
        <v>0</v>
      </c>
      <c r="M458" s="1040"/>
      <c r="N458" s="953"/>
      <c r="O458" s="1040"/>
    </row>
    <row r="459" spans="2:15">
      <c r="B459" s="1041">
        <v>46714</v>
      </c>
      <c r="C459" s="1034" t="str">
        <f>CHOOSE(WEEKDAY(tblDias[[#This Row],[Fecha]],2),"lun","mar","mié","jue","vie","sáb","dom")</f>
        <v>mar</v>
      </c>
      <c r="D459" s="1039" t="s">
        <v>9256</v>
      </c>
      <c r="E459" s="1035">
        <f>COUNTIFS(tblConcentrado[Fecha],tblDias[[#This Row],[Fecha]])</f>
        <v>0</v>
      </c>
      <c r="F459" s="1035">
        <f t="shared" ref="F459:F497" si="7">CFG_HORAS</f>
        <v>24</v>
      </c>
      <c r="G459" s="1036">
        <f>IF(tblDias[[#This Row],[Horas esperadas]]=0,0,tblDias[[#This Row],[Horas cargadas]]/tblDias[[#This Row],[Horas esperadas]])</f>
        <v>0</v>
      </c>
      <c r="H459" s="1035" t="str">
        <f ca="1">IF(tblDias[[#This Row],[Fecha]]&gt;TODAY(),"Pendiente",IF(tblDias[[#This Row],[Horas cargadas]]=0,"Sin datos",IF(tblDias[[#This Row],[Horas cargadas]]&lt;tblDias[[#This Row],[Horas esperadas]],"Parcial","Completo")))</f>
        <v>Pendiente</v>
      </c>
      <c r="I459" s="1037">
        <f>COUNTIFS(tblRDO[Fecha],tblDias[[#This Row],[Fecha]])</f>
        <v>0</v>
      </c>
      <c r="J459" s="1038" t="str">
        <f ca="1">IF(tblDias[[#This Row],[Fecha]]&gt;TODAY(),"Pendiente",IF(tblDias[[#This Row],[Filas RDO]]=0,"Sin RDO","Cargado"))</f>
        <v>Pendiente</v>
      </c>
      <c r="K459" s="972">
        <f>COUNTIFS(tblControles[Fecha],tblDias[[#This Row],[Fecha]],tblControles[Turno],"&lt;&gt;Obs")</f>
        <v>0</v>
      </c>
      <c r="L459" s="971">
        <f>SUMIFS(tblParadas[Horas perdidas],tblParadas[Fecha],tblDias[[#This Row],[Fecha]])</f>
        <v>0</v>
      </c>
      <c r="M459" s="1040"/>
      <c r="N459" s="953"/>
      <c r="O459" s="1040"/>
    </row>
    <row r="460" spans="2:15">
      <c r="B460" s="1041">
        <v>46715</v>
      </c>
      <c r="C460" s="1034" t="str">
        <f>CHOOSE(WEEKDAY(tblDias[[#This Row],[Fecha]],2),"lun","mar","mié","jue","vie","sáb","dom")</f>
        <v>mié</v>
      </c>
      <c r="D460" s="1039" t="s">
        <v>9256</v>
      </c>
      <c r="E460" s="1035">
        <f>COUNTIFS(tblConcentrado[Fecha],tblDias[[#This Row],[Fecha]])</f>
        <v>0</v>
      </c>
      <c r="F460" s="1035">
        <f t="shared" si="7"/>
        <v>24</v>
      </c>
      <c r="G460" s="1036">
        <f>IF(tblDias[[#This Row],[Horas esperadas]]=0,0,tblDias[[#This Row],[Horas cargadas]]/tblDias[[#This Row],[Horas esperadas]])</f>
        <v>0</v>
      </c>
      <c r="H460" s="1035" t="str">
        <f ca="1">IF(tblDias[[#This Row],[Fecha]]&gt;TODAY(),"Pendiente",IF(tblDias[[#This Row],[Horas cargadas]]=0,"Sin datos",IF(tblDias[[#This Row],[Horas cargadas]]&lt;tblDias[[#This Row],[Horas esperadas]],"Parcial","Completo")))</f>
        <v>Pendiente</v>
      </c>
      <c r="I460" s="1037">
        <f>COUNTIFS(tblRDO[Fecha],tblDias[[#This Row],[Fecha]])</f>
        <v>0</v>
      </c>
      <c r="J460" s="1038" t="str">
        <f ca="1">IF(tblDias[[#This Row],[Fecha]]&gt;TODAY(),"Pendiente",IF(tblDias[[#This Row],[Filas RDO]]=0,"Sin RDO","Cargado"))</f>
        <v>Pendiente</v>
      </c>
      <c r="K460" s="972">
        <f>COUNTIFS(tblControles[Fecha],tblDias[[#This Row],[Fecha]],tblControles[Turno],"&lt;&gt;Obs")</f>
        <v>0</v>
      </c>
      <c r="L460" s="971">
        <f>SUMIFS(tblParadas[Horas perdidas],tblParadas[Fecha],tblDias[[#This Row],[Fecha]])</f>
        <v>0</v>
      </c>
      <c r="M460" s="1040"/>
      <c r="N460" s="953"/>
      <c r="O460" s="1040"/>
    </row>
    <row r="461" spans="2:15">
      <c r="B461" s="1041">
        <v>46716</v>
      </c>
      <c r="C461" s="1034" t="str">
        <f>CHOOSE(WEEKDAY(tblDias[[#This Row],[Fecha]],2),"lun","mar","mié","jue","vie","sáb","dom")</f>
        <v>jue</v>
      </c>
      <c r="D461" s="1039" t="s">
        <v>9256</v>
      </c>
      <c r="E461" s="1035">
        <f>COUNTIFS(tblConcentrado[Fecha],tblDias[[#This Row],[Fecha]])</f>
        <v>0</v>
      </c>
      <c r="F461" s="1035">
        <f t="shared" si="7"/>
        <v>24</v>
      </c>
      <c r="G461" s="1036">
        <f>IF(tblDias[[#This Row],[Horas esperadas]]=0,0,tblDias[[#This Row],[Horas cargadas]]/tblDias[[#This Row],[Horas esperadas]])</f>
        <v>0</v>
      </c>
      <c r="H461" s="1035" t="str">
        <f ca="1">IF(tblDias[[#This Row],[Fecha]]&gt;TODAY(),"Pendiente",IF(tblDias[[#This Row],[Horas cargadas]]=0,"Sin datos",IF(tblDias[[#This Row],[Horas cargadas]]&lt;tblDias[[#This Row],[Horas esperadas]],"Parcial","Completo")))</f>
        <v>Pendiente</v>
      </c>
      <c r="I461" s="1037">
        <f>COUNTIFS(tblRDO[Fecha],tblDias[[#This Row],[Fecha]])</f>
        <v>0</v>
      </c>
      <c r="J461" s="1038" t="str">
        <f ca="1">IF(tblDias[[#This Row],[Fecha]]&gt;TODAY(),"Pendiente",IF(tblDias[[#This Row],[Filas RDO]]=0,"Sin RDO","Cargado"))</f>
        <v>Pendiente</v>
      </c>
      <c r="K461" s="972">
        <f>COUNTIFS(tblControles[Fecha],tblDias[[#This Row],[Fecha]],tblControles[Turno],"&lt;&gt;Obs")</f>
        <v>0</v>
      </c>
      <c r="L461" s="971">
        <f>SUMIFS(tblParadas[Horas perdidas],tblParadas[Fecha],tblDias[[#This Row],[Fecha]])</f>
        <v>0</v>
      </c>
      <c r="M461" s="1040"/>
      <c r="N461" s="953"/>
      <c r="O461" s="1040"/>
    </row>
    <row r="462" spans="2:15">
      <c r="B462" s="1041">
        <v>46717</v>
      </c>
      <c r="C462" s="1034" t="str">
        <f>CHOOSE(WEEKDAY(tblDias[[#This Row],[Fecha]],2),"lun","mar","mié","jue","vie","sáb","dom")</f>
        <v>vie</v>
      </c>
      <c r="D462" s="1039" t="s">
        <v>9256</v>
      </c>
      <c r="E462" s="1035">
        <f>COUNTIFS(tblConcentrado[Fecha],tblDias[[#This Row],[Fecha]])</f>
        <v>0</v>
      </c>
      <c r="F462" s="1035">
        <f t="shared" si="7"/>
        <v>24</v>
      </c>
      <c r="G462" s="1036">
        <f>IF(tblDias[[#This Row],[Horas esperadas]]=0,0,tblDias[[#This Row],[Horas cargadas]]/tblDias[[#This Row],[Horas esperadas]])</f>
        <v>0</v>
      </c>
      <c r="H462" s="1035" t="str">
        <f ca="1">IF(tblDias[[#This Row],[Fecha]]&gt;TODAY(),"Pendiente",IF(tblDias[[#This Row],[Horas cargadas]]=0,"Sin datos",IF(tblDias[[#This Row],[Horas cargadas]]&lt;tblDias[[#This Row],[Horas esperadas]],"Parcial","Completo")))</f>
        <v>Pendiente</v>
      </c>
      <c r="I462" s="1037">
        <f>COUNTIFS(tblRDO[Fecha],tblDias[[#This Row],[Fecha]])</f>
        <v>0</v>
      </c>
      <c r="J462" s="1038" t="str">
        <f ca="1">IF(tblDias[[#This Row],[Fecha]]&gt;TODAY(),"Pendiente",IF(tblDias[[#This Row],[Filas RDO]]=0,"Sin RDO","Cargado"))</f>
        <v>Pendiente</v>
      </c>
      <c r="K462" s="972">
        <f>COUNTIFS(tblControles[Fecha],tblDias[[#This Row],[Fecha]],tblControles[Turno],"&lt;&gt;Obs")</f>
        <v>0</v>
      </c>
      <c r="L462" s="971">
        <f>SUMIFS(tblParadas[Horas perdidas],tblParadas[Fecha],tblDias[[#This Row],[Fecha]])</f>
        <v>0</v>
      </c>
      <c r="M462" s="1040"/>
      <c r="N462" s="953"/>
      <c r="O462" s="1040"/>
    </row>
    <row r="463" spans="2:15">
      <c r="B463" s="1041">
        <v>46718</v>
      </c>
      <c r="C463" s="1034" t="str">
        <f>CHOOSE(WEEKDAY(tblDias[[#This Row],[Fecha]],2),"lun","mar","mié","jue","vie","sáb","dom")</f>
        <v>sáb</v>
      </c>
      <c r="D463" s="1039" t="s">
        <v>9256</v>
      </c>
      <c r="E463" s="1035">
        <f>COUNTIFS(tblConcentrado[Fecha],tblDias[[#This Row],[Fecha]])</f>
        <v>0</v>
      </c>
      <c r="F463" s="1035">
        <f t="shared" si="7"/>
        <v>24</v>
      </c>
      <c r="G463" s="1036">
        <f>IF(tblDias[[#This Row],[Horas esperadas]]=0,0,tblDias[[#This Row],[Horas cargadas]]/tblDias[[#This Row],[Horas esperadas]])</f>
        <v>0</v>
      </c>
      <c r="H463" s="1035" t="str">
        <f ca="1">IF(tblDias[[#This Row],[Fecha]]&gt;TODAY(),"Pendiente",IF(tblDias[[#This Row],[Horas cargadas]]=0,"Sin datos",IF(tblDias[[#This Row],[Horas cargadas]]&lt;tblDias[[#This Row],[Horas esperadas]],"Parcial","Completo")))</f>
        <v>Pendiente</v>
      </c>
      <c r="I463" s="1037">
        <f>COUNTIFS(tblRDO[Fecha],tblDias[[#This Row],[Fecha]])</f>
        <v>0</v>
      </c>
      <c r="J463" s="1038" t="str">
        <f ca="1">IF(tblDias[[#This Row],[Fecha]]&gt;TODAY(),"Pendiente",IF(tblDias[[#This Row],[Filas RDO]]=0,"Sin RDO","Cargado"))</f>
        <v>Pendiente</v>
      </c>
      <c r="K463" s="972">
        <f>COUNTIFS(tblControles[Fecha],tblDias[[#This Row],[Fecha]],tblControles[Turno],"&lt;&gt;Obs")</f>
        <v>0</v>
      </c>
      <c r="L463" s="971">
        <f>SUMIFS(tblParadas[Horas perdidas],tblParadas[Fecha],tblDias[[#This Row],[Fecha]])</f>
        <v>0</v>
      </c>
      <c r="M463" s="1040"/>
      <c r="N463" s="953"/>
      <c r="O463" s="1040"/>
    </row>
    <row r="464" spans="2:15">
      <c r="B464" s="1041">
        <v>46719</v>
      </c>
      <c r="C464" s="1034" t="str">
        <f>CHOOSE(WEEKDAY(tblDias[[#This Row],[Fecha]],2),"lun","mar","mié","jue","vie","sáb","dom")</f>
        <v>dom</v>
      </c>
      <c r="D464" s="1039" t="s">
        <v>9256</v>
      </c>
      <c r="E464" s="1035">
        <f>COUNTIFS(tblConcentrado[Fecha],tblDias[[#This Row],[Fecha]])</f>
        <v>0</v>
      </c>
      <c r="F464" s="1035">
        <f t="shared" si="7"/>
        <v>24</v>
      </c>
      <c r="G464" s="1036">
        <f>IF(tblDias[[#This Row],[Horas esperadas]]=0,0,tblDias[[#This Row],[Horas cargadas]]/tblDias[[#This Row],[Horas esperadas]])</f>
        <v>0</v>
      </c>
      <c r="H464" s="1035" t="str">
        <f ca="1">IF(tblDias[[#This Row],[Fecha]]&gt;TODAY(),"Pendiente",IF(tblDias[[#This Row],[Horas cargadas]]=0,"Sin datos",IF(tblDias[[#This Row],[Horas cargadas]]&lt;tblDias[[#This Row],[Horas esperadas]],"Parcial","Completo")))</f>
        <v>Pendiente</v>
      </c>
      <c r="I464" s="1037">
        <f>COUNTIFS(tblRDO[Fecha],tblDias[[#This Row],[Fecha]])</f>
        <v>0</v>
      </c>
      <c r="J464" s="1038" t="str">
        <f ca="1">IF(tblDias[[#This Row],[Fecha]]&gt;TODAY(),"Pendiente",IF(tblDias[[#This Row],[Filas RDO]]=0,"Sin RDO","Cargado"))</f>
        <v>Pendiente</v>
      </c>
      <c r="K464" s="972">
        <f>COUNTIFS(tblControles[Fecha],tblDias[[#This Row],[Fecha]],tblControles[Turno],"&lt;&gt;Obs")</f>
        <v>0</v>
      </c>
      <c r="L464" s="971">
        <f>SUMIFS(tblParadas[Horas perdidas],tblParadas[Fecha],tblDias[[#This Row],[Fecha]])</f>
        <v>0</v>
      </c>
      <c r="M464" s="1040"/>
      <c r="N464" s="953"/>
      <c r="O464" s="1040"/>
    </row>
    <row r="465" spans="2:15">
      <c r="B465" s="1041">
        <v>46720</v>
      </c>
      <c r="C465" s="1034" t="str">
        <f>CHOOSE(WEEKDAY(tblDias[[#This Row],[Fecha]],2),"lun","mar","mié","jue","vie","sáb","dom")</f>
        <v>lun</v>
      </c>
      <c r="D465" s="1039" t="s">
        <v>9256</v>
      </c>
      <c r="E465" s="1035">
        <f>COUNTIFS(tblConcentrado[Fecha],tblDias[[#This Row],[Fecha]])</f>
        <v>0</v>
      </c>
      <c r="F465" s="1035">
        <f t="shared" si="7"/>
        <v>24</v>
      </c>
      <c r="G465" s="1036">
        <f>IF(tblDias[[#This Row],[Horas esperadas]]=0,0,tblDias[[#This Row],[Horas cargadas]]/tblDias[[#This Row],[Horas esperadas]])</f>
        <v>0</v>
      </c>
      <c r="H465" s="1035" t="str">
        <f ca="1">IF(tblDias[[#This Row],[Fecha]]&gt;TODAY(),"Pendiente",IF(tblDias[[#This Row],[Horas cargadas]]=0,"Sin datos",IF(tblDias[[#This Row],[Horas cargadas]]&lt;tblDias[[#This Row],[Horas esperadas]],"Parcial","Completo")))</f>
        <v>Pendiente</v>
      </c>
      <c r="I465" s="1037">
        <f>COUNTIFS(tblRDO[Fecha],tblDias[[#This Row],[Fecha]])</f>
        <v>0</v>
      </c>
      <c r="J465" s="1038" t="str">
        <f ca="1">IF(tblDias[[#This Row],[Fecha]]&gt;TODAY(),"Pendiente",IF(tblDias[[#This Row],[Filas RDO]]=0,"Sin RDO","Cargado"))</f>
        <v>Pendiente</v>
      </c>
      <c r="K465" s="972">
        <f>COUNTIFS(tblControles[Fecha],tblDias[[#This Row],[Fecha]],tblControles[Turno],"&lt;&gt;Obs")</f>
        <v>0</v>
      </c>
      <c r="L465" s="971">
        <f>SUMIFS(tblParadas[Horas perdidas],tblParadas[Fecha],tblDias[[#This Row],[Fecha]])</f>
        <v>0</v>
      </c>
      <c r="M465" s="1040"/>
      <c r="N465" s="953"/>
      <c r="O465" s="1040"/>
    </row>
    <row r="466" spans="2:15">
      <c r="B466" s="1041">
        <v>46721</v>
      </c>
      <c r="C466" s="1034" t="str">
        <f>CHOOSE(WEEKDAY(tblDias[[#This Row],[Fecha]],2),"lun","mar","mié","jue","vie","sáb","dom")</f>
        <v>mar</v>
      </c>
      <c r="D466" s="1039" t="s">
        <v>9256</v>
      </c>
      <c r="E466" s="1035">
        <f>COUNTIFS(tblConcentrado[Fecha],tblDias[[#This Row],[Fecha]])</f>
        <v>0</v>
      </c>
      <c r="F466" s="1035">
        <f t="shared" si="7"/>
        <v>24</v>
      </c>
      <c r="G466" s="1036">
        <f>IF(tblDias[[#This Row],[Horas esperadas]]=0,0,tblDias[[#This Row],[Horas cargadas]]/tblDias[[#This Row],[Horas esperadas]])</f>
        <v>0</v>
      </c>
      <c r="H466" s="1035" t="str">
        <f ca="1">IF(tblDias[[#This Row],[Fecha]]&gt;TODAY(),"Pendiente",IF(tblDias[[#This Row],[Horas cargadas]]=0,"Sin datos",IF(tblDias[[#This Row],[Horas cargadas]]&lt;tblDias[[#This Row],[Horas esperadas]],"Parcial","Completo")))</f>
        <v>Pendiente</v>
      </c>
      <c r="I466" s="1037">
        <f>COUNTIFS(tblRDO[Fecha],tblDias[[#This Row],[Fecha]])</f>
        <v>0</v>
      </c>
      <c r="J466" s="1038" t="str">
        <f ca="1">IF(tblDias[[#This Row],[Fecha]]&gt;TODAY(),"Pendiente",IF(tblDias[[#This Row],[Filas RDO]]=0,"Sin RDO","Cargado"))</f>
        <v>Pendiente</v>
      </c>
      <c r="K466" s="972">
        <f>COUNTIFS(tblControles[Fecha],tblDias[[#This Row],[Fecha]],tblControles[Turno],"&lt;&gt;Obs")</f>
        <v>0</v>
      </c>
      <c r="L466" s="971">
        <f>SUMIFS(tblParadas[Horas perdidas],tblParadas[Fecha],tblDias[[#This Row],[Fecha]])</f>
        <v>0</v>
      </c>
      <c r="M466" s="1040"/>
      <c r="N466" s="953"/>
      <c r="O466" s="1040"/>
    </row>
    <row r="467" spans="2:15">
      <c r="B467" s="1041">
        <v>46722</v>
      </c>
      <c r="C467" s="1034" t="str">
        <f>CHOOSE(WEEKDAY(tblDias[[#This Row],[Fecha]],2),"lun","mar","mié","jue","vie","sáb","dom")</f>
        <v>mié</v>
      </c>
      <c r="D467" s="1039" t="s">
        <v>9256</v>
      </c>
      <c r="E467" s="1035">
        <f>COUNTIFS(tblConcentrado[Fecha],tblDias[[#This Row],[Fecha]])</f>
        <v>0</v>
      </c>
      <c r="F467" s="1035">
        <f t="shared" si="7"/>
        <v>24</v>
      </c>
      <c r="G467" s="1036">
        <f>IF(tblDias[[#This Row],[Horas esperadas]]=0,0,tblDias[[#This Row],[Horas cargadas]]/tblDias[[#This Row],[Horas esperadas]])</f>
        <v>0</v>
      </c>
      <c r="H467" s="1035" t="str">
        <f ca="1">IF(tblDias[[#This Row],[Fecha]]&gt;TODAY(),"Pendiente",IF(tblDias[[#This Row],[Horas cargadas]]=0,"Sin datos",IF(tblDias[[#This Row],[Horas cargadas]]&lt;tblDias[[#This Row],[Horas esperadas]],"Parcial","Completo")))</f>
        <v>Pendiente</v>
      </c>
      <c r="I467" s="1037">
        <f>COUNTIFS(tblRDO[Fecha],tblDias[[#This Row],[Fecha]])</f>
        <v>0</v>
      </c>
      <c r="J467" s="1038" t="str">
        <f ca="1">IF(tblDias[[#This Row],[Fecha]]&gt;TODAY(),"Pendiente",IF(tblDias[[#This Row],[Filas RDO]]=0,"Sin RDO","Cargado"))</f>
        <v>Pendiente</v>
      </c>
      <c r="K467" s="972">
        <f>COUNTIFS(tblControles[Fecha],tblDias[[#This Row],[Fecha]],tblControles[Turno],"&lt;&gt;Obs")</f>
        <v>0</v>
      </c>
      <c r="L467" s="971">
        <f>SUMIFS(tblParadas[Horas perdidas],tblParadas[Fecha],tblDias[[#This Row],[Fecha]])</f>
        <v>0</v>
      </c>
      <c r="M467" s="1040"/>
      <c r="N467" s="953"/>
      <c r="O467" s="1040"/>
    </row>
    <row r="468" spans="2:15">
      <c r="B468" s="1041">
        <v>46723</v>
      </c>
      <c r="C468" s="1034" t="str">
        <f>CHOOSE(WEEKDAY(tblDias[[#This Row],[Fecha]],2),"lun","mar","mié","jue","vie","sáb","dom")</f>
        <v>jue</v>
      </c>
      <c r="D468" s="1039" t="s">
        <v>9256</v>
      </c>
      <c r="E468" s="1035">
        <f>COUNTIFS(tblConcentrado[Fecha],tblDias[[#This Row],[Fecha]])</f>
        <v>0</v>
      </c>
      <c r="F468" s="1035">
        <f t="shared" si="7"/>
        <v>24</v>
      </c>
      <c r="G468" s="1036">
        <f>IF(tblDias[[#This Row],[Horas esperadas]]=0,0,tblDias[[#This Row],[Horas cargadas]]/tblDias[[#This Row],[Horas esperadas]])</f>
        <v>0</v>
      </c>
      <c r="H468" s="1035" t="str">
        <f ca="1">IF(tblDias[[#This Row],[Fecha]]&gt;TODAY(),"Pendiente",IF(tblDias[[#This Row],[Horas cargadas]]=0,"Sin datos",IF(tblDias[[#This Row],[Horas cargadas]]&lt;tblDias[[#This Row],[Horas esperadas]],"Parcial","Completo")))</f>
        <v>Pendiente</v>
      </c>
      <c r="I468" s="1037">
        <f>COUNTIFS(tblRDO[Fecha],tblDias[[#This Row],[Fecha]])</f>
        <v>0</v>
      </c>
      <c r="J468" s="1038" t="str">
        <f ca="1">IF(tblDias[[#This Row],[Fecha]]&gt;TODAY(),"Pendiente",IF(tblDias[[#This Row],[Filas RDO]]=0,"Sin RDO","Cargado"))</f>
        <v>Pendiente</v>
      </c>
      <c r="K468" s="972">
        <f>COUNTIFS(tblControles[Fecha],tblDias[[#This Row],[Fecha]],tblControles[Turno],"&lt;&gt;Obs")</f>
        <v>0</v>
      </c>
      <c r="L468" s="971">
        <f>SUMIFS(tblParadas[Horas perdidas],tblParadas[Fecha],tblDias[[#This Row],[Fecha]])</f>
        <v>0</v>
      </c>
      <c r="M468" s="1040"/>
      <c r="N468" s="953"/>
      <c r="O468" s="1040"/>
    </row>
    <row r="469" spans="2:15">
      <c r="B469" s="1041">
        <v>46724</v>
      </c>
      <c r="C469" s="1034" t="str">
        <f>CHOOSE(WEEKDAY(tblDias[[#This Row],[Fecha]],2),"lun","mar","mié","jue","vie","sáb","dom")</f>
        <v>vie</v>
      </c>
      <c r="D469" s="1039" t="s">
        <v>9256</v>
      </c>
      <c r="E469" s="1035">
        <f>COUNTIFS(tblConcentrado[Fecha],tblDias[[#This Row],[Fecha]])</f>
        <v>0</v>
      </c>
      <c r="F469" s="1035">
        <f t="shared" si="7"/>
        <v>24</v>
      </c>
      <c r="G469" s="1036">
        <f>IF(tblDias[[#This Row],[Horas esperadas]]=0,0,tblDias[[#This Row],[Horas cargadas]]/tblDias[[#This Row],[Horas esperadas]])</f>
        <v>0</v>
      </c>
      <c r="H469" s="1035" t="str">
        <f ca="1">IF(tblDias[[#This Row],[Fecha]]&gt;TODAY(),"Pendiente",IF(tblDias[[#This Row],[Horas cargadas]]=0,"Sin datos",IF(tblDias[[#This Row],[Horas cargadas]]&lt;tblDias[[#This Row],[Horas esperadas]],"Parcial","Completo")))</f>
        <v>Pendiente</v>
      </c>
      <c r="I469" s="1037">
        <f>COUNTIFS(tblRDO[Fecha],tblDias[[#This Row],[Fecha]])</f>
        <v>0</v>
      </c>
      <c r="J469" s="1038" t="str">
        <f ca="1">IF(tblDias[[#This Row],[Fecha]]&gt;TODAY(),"Pendiente",IF(tblDias[[#This Row],[Filas RDO]]=0,"Sin RDO","Cargado"))</f>
        <v>Pendiente</v>
      </c>
      <c r="K469" s="972">
        <f>COUNTIFS(tblControles[Fecha],tblDias[[#This Row],[Fecha]],tblControles[Turno],"&lt;&gt;Obs")</f>
        <v>0</v>
      </c>
      <c r="L469" s="971">
        <f>SUMIFS(tblParadas[Horas perdidas],tblParadas[Fecha],tblDias[[#This Row],[Fecha]])</f>
        <v>0</v>
      </c>
      <c r="M469" s="1040"/>
      <c r="N469" s="953"/>
      <c r="O469" s="1040"/>
    </row>
    <row r="470" spans="2:15">
      <c r="B470" s="1041">
        <v>46725</v>
      </c>
      <c r="C470" s="1034" t="str">
        <f>CHOOSE(WEEKDAY(tblDias[[#This Row],[Fecha]],2),"lun","mar","mié","jue","vie","sáb","dom")</f>
        <v>sáb</v>
      </c>
      <c r="D470" s="1039" t="s">
        <v>9256</v>
      </c>
      <c r="E470" s="1035">
        <f>COUNTIFS(tblConcentrado[Fecha],tblDias[[#This Row],[Fecha]])</f>
        <v>0</v>
      </c>
      <c r="F470" s="1035">
        <f t="shared" si="7"/>
        <v>24</v>
      </c>
      <c r="G470" s="1036">
        <f>IF(tblDias[[#This Row],[Horas esperadas]]=0,0,tblDias[[#This Row],[Horas cargadas]]/tblDias[[#This Row],[Horas esperadas]])</f>
        <v>0</v>
      </c>
      <c r="H470" s="1035" t="str">
        <f ca="1">IF(tblDias[[#This Row],[Fecha]]&gt;TODAY(),"Pendiente",IF(tblDias[[#This Row],[Horas cargadas]]=0,"Sin datos",IF(tblDias[[#This Row],[Horas cargadas]]&lt;tblDias[[#This Row],[Horas esperadas]],"Parcial","Completo")))</f>
        <v>Pendiente</v>
      </c>
      <c r="I470" s="1037">
        <f>COUNTIFS(tblRDO[Fecha],tblDias[[#This Row],[Fecha]])</f>
        <v>0</v>
      </c>
      <c r="J470" s="1038" t="str">
        <f ca="1">IF(tblDias[[#This Row],[Fecha]]&gt;TODAY(),"Pendiente",IF(tblDias[[#This Row],[Filas RDO]]=0,"Sin RDO","Cargado"))</f>
        <v>Pendiente</v>
      </c>
      <c r="K470" s="972">
        <f>COUNTIFS(tblControles[Fecha],tblDias[[#This Row],[Fecha]],tblControles[Turno],"&lt;&gt;Obs")</f>
        <v>0</v>
      </c>
      <c r="L470" s="971">
        <f>SUMIFS(tblParadas[Horas perdidas],tblParadas[Fecha],tblDias[[#This Row],[Fecha]])</f>
        <v>0</v>
      </c>
      <c r="M470" s="1040"/>
      <c r="N470" s="953"/>
      <c r="O470" s="1040"/>
    </row>
    <row r="471" spans="2:15">
      <c r="B471" s="1041">
        <v>46726</v>
      </c>
      <c r="C471" s="1034" t="str">
        <f>CHOOSE(WEEKDAY(tblDias[[#This Row],[Fecha]],2),"lun","mar","mié","jue","vie","sáb","dom")</f>
        <v>dom</v>
      </c>
      <c r="D471" s="1039" t="s">
        <v>9256</v>
      </c>
      <c r="E471" s="1035">
        <f>COUNTIFS(tblConcentrado[Fecha],tblDias[[#This Row],[Fecha]])</f>
        <v>0</v>
      </c>
      <c r="F471" s="1035">
        <f t="shared" si="7"/>
        <v>24</v>
      </c>
      <c r="G471" s="1036">
        <f>IF(tblDias[[#This Row],[Horas esperadas]]=0,0,tblDias[[#This Row],[Horas cargadas]]/tblDias[[#This Row],[Horas esperadas]])</f>
        <v>0</v>
      </c>
      <c r="H471" s="1035" t="str">
        <f ca="1">IF(tblDias[[#This Row],[Fecha]]&gt;TODAY(),"Pendiente",IF(tblDias[[#This Row],[Horas cargadas]]=0,"Sin datos",IF(tblDias[[#This Row],[Horas cargadas]]&lt;tblDias[[#This Row],[Horas esperadas]],"Parcial","Completo")))</f>
        <v>Pendiente</v>
      </c>
      <c r="I471" s="1037">
        <f>COUNTIFS(tblRDO[Fecha],tblDias[[#This Row],[Fecha]])</f>
        <v>0</v>
      </c>
      <c r="J471" s="1038" t="str">
        <f ca="1">IF(tblDias[[#This Row],[Fecha]]&gt;TODAY(),"Pendiente",IF(tblDias[[#This Row],[Filas RDO]]=0,"Sin RDO","Cargado"))</f>
        <v>Pendiente</v>
      </c>
      <c r="K471" s="972">
        <f>COUNTIFS(tblControles[Fecha],tblDias[[#This Row],[Fecha]],tblControles[Turno],"&lt;&gt;Obs")</f>
        <v>0</v>
      </c>
      <c r="L471" s="971">
        <f>SUMIFS(tblParadas[Horas perdidas],tblParadas[Fecha],tblDias[[#This Row],[Fecha]])</f>
        <v>0</v>
      </c>
      <c r="M471" s="1040"/>
      <c r="N471" s="953"/>
      <c r="O471" s="1040"/>
    </row>
    <row r="472" spans="2:15">
      <c r="B472" s="1041">
        <v>46727</v>
      </c>
      <c r="C472" s="1034" t="str">
        <f>CHOOSE(WEEKDAY(tblDias[[#This Row],[Fecha]],2),"lun","mar","mié","jue","vie","sáb","dom")</f>
        <v>lun</v>
      </c>
      <c r="D472" s="1039" t="s">
        <v>9256</v>
      </c>
      <c r="E472" s="1035">
        <f>COUNTIFS(tblConcentrado[Fecha],tblDias[[#This Row],[Fecha]])</f>
        <v>0</v>
      </c>
      <c r="F472" s="1035">
        <f t="shared" si="7"/>
        <v>24</v>
      </c>
      <c r="G472" s="1036">
        <f>IF(tblDias[[#This Row],[Horas esperadas]]=0,0,tblDias[[#This Row],[Horas cargadas]]/tblDias[[#This Row],[Horas esperadas]])</f>
        <v>0</v>
      </c>
      <c r="H472" s="1035" t="str">
        <f ca="1">IF(tblDias[[#This Row],[Fecha]]&gt;TODAY(),"Pendiente",IF(tblDias[[#This Row],[Horas cargadas]]=0,"Sin datos",IF(tblDias[[#This Row],[Horas cargadas]]&lt;tblDias[[#This Row],[Horas esperadas]],"Parcial","Completo")))</f>
        <v>Pendiente</v>
      </c>
      <c r="I472" s="1037">
        <f>COUNTIFS(tblRDO[Fecha],tblDias[[#This Row],[Fecha]])</f>
        <v>0</v>
      </c>
      <c r="J472" s="1038" t="str">
        <f ca="1">IF(tblDias[[#This Row],[Fecha]]&gt;TODAY(),"Pendiente",IF(tblDias[[#This Row],[Filas RDO]]=0,"Sin RDO","Cargado"))</f>
        <v>Pendiente</v>
      </c>
      <c r="K472" s="972">
        <f>COUNTIFS(tblControles[Fecha],tblDias[[#This Row],[Fecha]],tblControles[Turno],"&lt;&gt;Obs")</f>
        <v>0</v>
      </c>
      <c r="L472" s="971">
        <f>SUMIFS(tblParadas[Horas perdidas],tblParadas[Fecha],tblDias[[#This Row],[Fecha]])</f>
        <v>0</v>
      </c>
      <c r="M472" s="1040"/>
      <c r="N472" s="953"/>
      <c r="O472" s="1040"/>
    </row>
    <row r="473" spans="2:15">
      <c r="B473" s="1041">
        <v>46728</v>
      </c>
      <c r="C473" s="1034" t="str">
        <f>CHOOSE(WEEKDAY(tblDias[[#This Row],[Fecha]],2),"lun","mar","mié","jue","vie","sáb","dom")</f>
        <v>mar</v>
      </c>
      <c r="D473" s="1039" t="s">
        <v>9256</v>
      </c>
      <c r="E473" s="1035">
        <f>COUNTIFS(tblConcentrado[Fecha],tblDias[[#This Row],[Fecha]])</f>
        <v>0</v>
      </c>
      <c r="F473" s="1035">
        <f t="shared" si="7"/>
        <v>24</v>
      </c>
      <c r="G473" s="1036">
        <f>IF(tblDias[[#This Row],[Horas esperadas]]=0,0,tblDias[[#This Row],[Horas cargadas]]/tblDias[[#This Row],[Horas esperadas]])</f>
        <v>0</v>
      </c>
      <c r="H473" s="1035" t="str">
        <f ca="1">IF(tblDias[[#This Row],[Fecha]]&gt;TODAY(),"Pendiente",IF(tblDias[[#This Row],[Horas cargadas]]=0,"Sin datos",IF(tblDias[[#This Row],[Horas cargadas]]&lt;tblDias[[#This Row],[Horas esperadas]],"Parcial","Completo")))</f>
        <v>Pendiente</v>
      </c>
      <c r="I473" s="1037">
        <f>COUNTIFS(tblRDO[Fecha],tblDias[[#This Row],[Fecha]])</f>
        <v>0</v>
      </c>
      <c r="J473" s="1038" t="str">
        <f ca="1">IF(tblDias[[#This Row],[Fecha]]&gt;TODAY(),"Pendiente",IF(tblDias[[#This Row],[Filas RDO]]=0,"Sin RDO","Cargado"))</f>
        <v>Pendiente</v>
      </c>
      <c r="K473" s="972">
        <f>COUNTIFS(tblControles[Fecha],tblDias[[#This Row],[Fecha]],tblControles[Turno],"&lt;&gt;Obs")</f>
        <v>0</v>
      </c>
      <c r="L473" s="971">
        <f>SUMIFS(tblParadas[Horas perdidas],tblParadas[Fecha],tblDias[[#This Row],[Fecha]])</f>
        <v>0</v>
      </c>
      <c r="M473" s="1040"/>
      <c r="N473" s="953"/>
      <c r="O473" s="1040"/>
    </row>
    <row r="474" spans="2:15">
      <c r="B474" s="1041">
        <v>46729</v>
      </c>
      <c r="C474" s="1034" t="str">
        <f>CHOOSE(WEEKDAY(tblDias[[#This Row],[Fecha]],2),"lun","mar","mié","jue","vie","sáb","dom")</f>
        <v>mié</v>
      </c>
      <c r="D474" s="1039" t="s">
        <v>9256</v>
      </c>
      <c r="E474" s="1035">
        <f>COUNTIFS(tblConcentrado[Fecha],tblDias[[#This Row],[Fecha]])</f>
        <v>0</v>
      </c>
      <c r="F474" s="1035">
        <f t="shared" si="7"/>
        <v>24</v>
      </c>
      <c r="G474" s="1036">
        <f>IF(tblDias[[#This Row],[Horas esperadas]]=0,0,tblDias[[#This Row],[Horas cargadas]]/tblDias[[#This Row],[Horas esperadas]])</f>
        <v>0</v>
      </c>
      <c r="H474" s="1035" t="str">
        <f ca="1">IF(tblDias[[#This Row],[Fecha]]&gt;TODAY(),"Pendiente",IF(tblDias[[#This Row],[Horas cargadas]]=0,"Sin datos",IF(tblDias[[#This Row],[Horas cargadas]]&lt;tblDias[[#This Row],[Horas esperadas]],"Parcial","Completo")))</f>
        <v>Pendiente</v>
      </c>
      <c r="I474" s="1037">
        <f>COUNTIFS(tblRDO[Fecha],tblDias[[#This Row],[Fecha]])</f>
        <v>0</v>
      </c>
      <c r="J474" s="1038" t="str">
        <f ca="1">IF(tblDias[[#This Row],[Fecha]]&gt;TODAY(),"Pendiente",IF(tblDias[[#This Row],[Filas RDO]]=0,"Sin RDO","Cargado"))</f>
        <v>Pendiente</v>
      </c>
      <c r="K474" s="972">
        <f>COUNTIFS(tblControles[Fecha],tblDias[[#This Row],[Fecha]],tblControles[Turno],"&lt;&gt;Obs")</f>
        <v>0</v>
      </c>
      <c r="L474" s="971">
        <f>SUMIFS(tblParadas[Horas perdidas],tblParadas[Fecha],tblDias[[#This Row],[Fecha]])</f>
        <v>0</v>
      </c>
      <c r="M474" s="1040"/>
      <c r="N474" s="953"/>
      <c r="O474" s="1040"/>
    </row>
    <row r="475" spans="2:15">
      <c r="B475" s="1041">
        <v>46730</v>
      </c>
      <c r="C475" s="1034" t="str">
        <f>CHOOSE(WEEKDAY(tblDias[[#This Row],[Fecha]],2),"lun","mar","mié","jue","vie","sáb","dom")</f>
        <v>jue</v>
      </c>
      <c r="D475" s="1039" t="s">
        <v>9256</v>
      </c>
      <c r="E475" s="1035">
        <f>COUNTIFS(tblConcentrado[Fecha],tblDias[[#This Row],[Fecha]])</f>
        <v>0</v>
      </c>
      <c r="F475" s="1035">
        <f t="shared" si="7"/>
        <v>24</v>
      </c>
      <c r="G475" s="1036">
        <f>IF(tblDias[[#This Row],[Horas esperadas]]=0,0,tblDias[[#This Row],[Horas cargadas]]/tblDias[[#This Row],[Horas esperadas]])</f>
        <v>0</v>
      </c>
      <c r="H475" s="1035" t="str">
        <f ca="1">IF(tblDias[[#This Row],[Fecha]]&gt;TODAY(),"Pendiente",IF(tblDias[[#This Row],[Horas cargadas]]=0,"Sin datos",IF(tblDias[[#This Row],[Horas cargadas]]&lt;tblDias[[#This Row],[Horas esperadas]],"Parcial","Completo")))</f>
        <v>Pendiente</v>
      </c>
      <c r="I475" s="1037">
        <f>COUNTIFS(tblRDO[Fecha],tblDias[[#This Row],[Fecha]])</f>
        <v>0</v>
      </c>
      <c r="J475" s="1038" t="str">
        <f ca="1">IF(tblDias[[#This Row],[Fecha]]&gt;TODAY(),"Pendiente",IF(tblDias[[#This Row],[Filas RDO]]=0,"Sin RDO","Cargado"))</f>
        <v>Pendiente</v>
      </c>
      <c r="K475" s="972">
        <f>COUNTIFS(tblControles[Fecha],tblDias[[#This Row],[Fecha]],tblControles[Turno],"&lt;&gt;Obs")</f>
        <v>0</v>
      </c>
      <c r="L475" s="971">
        <f>SUMIFS(tblParadas[Horas perdidas],tblParadas[Fecha],tblDias[[#This Row],[Fecha]])</f>
        <v>0</v>
      </c>
      <c r="M475" s="1040"/>
      <c r="N475" s="953"/>
      <c r="O475" s="1040"/>
    </row>
    <row r="476" spans="2:15">
      <c r="B476" s="1041">
        <v>46731</v>
      </c>
      <c r="C476" s="1034" t="str">
        <f>CHOOSE(WEEKDAY(tblDias[[#This Row],[Fecha]],2),"lun","mar","mié","jue","vie","sáb","dom")</f>
        <v>vie</v>
      </c>
      <c r="D476" s="1039" t="s">
        <v>9256</v>
      </c>
      <c r="E476" s="1035">
        <f>COUNTIFS(tblConcentrado[Fecha],tblDias[[#This Row],[Fecha]])</f>
        <v>0</v>
      </c>
      <c r="F476" s="1035">
        <f t="shared" si="7"/>
        <v>24</v>
      </c>
      <c r="G476" s="1036">
        <f>IF(tblDias[[#This Row],[Horas esperadas]]=0,0,tblDias[[#This Row],[Horas cargadas]]/tblDias[[#This Row],[Horas esperadas]])</f>
        <v>0</v>
      </c>
      <c r="H476" s="1035" t="str">
        <f ca="1">IF(tblDias[[#This Row],[Fecha]]&gt;TODAY(),"Pendiente",IF(tblDias[[#This Row],[Horas cargadas]]=0,"Sin datos",IF(tblDias[[#This Row],[Horas cargadas]]&lt;tblDias[[#This Row],[Horas esperadas]],"Parcial","Completo")))</f>
        <v>Pendiente</v>
      </c>
      <c r="I476" s="1037">
        <f>COUNTIFS(tblRDO[Fecha],tblDias[[#This Row],[Fecha]])</f>
        <v>0</v>
      </c>
      <c r="J476" s="1038" t="str">
        <f ca="1">IF(tblDias[[#This Row],[Fecha]]&gt;TODAY(),"Pendiente",IF(tblDias[[#This Row],[Filas RDO]]=0,"Sin RDO","Cargado"))</f>
        <v>Pendiente</v>
      </c>
      <c r="K476" s="972">
        <f>COUNTIFS(tblControles[Fecha],tblDias[[#This Row],[Fecha]],tblControles[Turno],"&lt;&gt;Obs")</f>
        <v>0</v>
      </c>
      <c r="L476" s="971">
        <f>SUMIFS(tblParadas[Horas perdidas],tblParadas[Fecha],tblDias[[#This Row],[Fecha]])</f>
        <v>0</v>
      </c>
      <c r="M476" s="1040"/>
      <c r="N476" s="953"/>
      <c r="O476" s="1040"/>
    </row>
    <row r="477" spans="2:15">
      <c r="B477" s="1041">
        <v>46732</v>
      </c>
      <c r="C477" s="1034" t="str">
        <f>CHOOSE(WEEKDAY(tblDias[[#This Row],[Fecha]],2),"lun","mar","mié","jue","vie","sáb","dom")</f>
        <v>sáb</v>
      </c>
      <c r="D477" s="1039" t="s">
        <v>9256</v>
      </c>
      <c r="E477" s="1035">
        <f>COUNTIFS(tblConcentrado[Fecha],tblDias[[#This Row],[Fecha]])</f>
        <v>0</v>
      </c>
      <c r="F477" s="1035">
        <f t="shared" si="7"/>
        <v>24</v>
      </c>
      <c r="G477" s="1036">
        <f>IF(tblDias[[#This Row],[Horas esperadas]]=0,0,tblDias[[#This Row],[Horas cargadas]]/tblDias[[#This Row],[Horas esperadas]])</f>
        <v>0</v>
      </c>
      <c r="H477" s="1035" t="str">
        <f ca="1">IF(tblDias[[#This Row],[Fecha]]&gt;TODAY(),"Pendiente",IF(tblDias[[#This Row],[Horas cargadas]]=0,"Sin datos",IF(tblDias[[#This Row],[Horas cargadas]]&lt;tblDias[[#This Row],[Horas esperadas]],"Parcial","Completo")))</f>
        <v>Pendiente</v>
      </c>
      <c r="I477" s="1037">
        <f>COUNTIFS(tblRDO[Fecha],tblDias[[#This Row],[Fecha]])</f>
        <v>0</v>
      </c>
      <c r="J477" s="1038" t="str">
        <f ca="1">IF(tblDias[[#This Row],[Fecha]]&gt;TODAY(),"Pendiente",IF(tblDias[[#This Row],[Filas RDO]]=0,"Sin RDO","Cargado"))</f>
        <v>Pendiente</v>
      </c>
      <c r="K477" s="972">
        <f>COUNTIFS(tblControles[Fecha],tblDias[[#This Row],[Fecha]],tblControles[Turno],"&lt;&gt;Obs")</f>
        <v>0</v>
      </c>
      <c r="L477" s="971">
        <f>SUMIFS(tblParadas[Horas perdidas],tblParadas[Fecha],tblDias[[#This Row],[Fecha]])</f>
        <v>0</v>
      </c>
      <c r="M477" s="1040"/>
      <c r="N477" s="953"/>
      <c r="O477" s="1040"/>
    </row>
    <row r="478" spans="2:15">
      <c r="B478" s="1041">
        <v>46733</v>
      </c>
      <c r="C478" s="1034" t="str">
        <f>CHOOSE(WEEKDAY(tblDias[[#This Row],[Fecha]],2),"lun","mar","mié","jue","vie","sáb","dom")</f>
        <v>dom</v>
      </c>
      <c r="D478" s="1039" t="s">
        <v>9256</v>
      </c>
      <c r="E478" s="1035">
        <f>COUNTIFS(tblConcentrado[Fecha],tblDias[[#This Row],[Fecha]])</f>
        <v>0</v>
      </c>
      <c r="F478" s="1035">
        <f t="shared" si="7"/>
        <v>24</v>
      </c>
      <c r="G478" s="1036">
        <f>IF(tblDias[[#This Row],[Horas esperadas]]=0,0,tblDias[[#This Row],[Horas cargadas]]/tblDias[[#This Row],[Horas esperadas]])</f>
        <v>0</v>
      </c>
      <c r="H478" s="1035" t="str">
        <f ca="1">IF(tblDias[[#This Row],[Fecha]]&gt;TODAY(),"Pendiente",IF(tblDias[[#This Row],[Horas cargadas]]=0,"Sin datos",IF(tblDias[[#This Row],[Horas cargadas]]&lt;tblDias[[#This Row],[Horas esperadas]],"Parcial","Completo")))</f>
        <v>Pendiente</v>
      </c>
      <c r="I478" s="1037">
        <f>COUNTIFS(tblRDO[Fecha],tblDias[[#This Row],[Fecha]])</f>
        <v>0</v>
      </c>
      <c r="J478" s="1038" t="str">
        <f ca="1">IF(tblDias[[#This Row],[Fecha]]&gt;TODAY(),"Pendiente",IF(tblDias[[#This Row],[Filas RDO]]=0,"Sin RDO","Cargado"))</f>
        <v>Pendiente</v>
      </c>
      <c r="K478" s="972">
        <f>COUNTIFS(tblControles[Fecha],tblDias[[#This Row],[Fecha]],tblControles[Turno],"&lt;&gt;Obs")</f>
        <v>0</v>
      </c>
      <c r="L478" s="971">
        <f>SUMIFS(tblParadas[Horas perdidas],tblParadas[Fecha],tblDias[[#This Row],[Fecha]])</f>
        <v>0</v>
      </c>
      <c r="M478" s="1040"/>
      <c r="N478" s="953"/>
      <c r="O478" s="1040"/>
    </row>
    <row r="479" spans="2:15">
      <c r="B479" s="1041">
        <v>46734</v>
      </c>
      <c r="C479" s="1034" t="str">
        <f>CHOOSE(WEEKDAY(tblDias[[#This Row],[Fecha]],2),"lun","mar","mié","jue","vie","sáb","dom")</f>
        <v>lun</v>
      </c>
      <c r="D479" s="1039" t="s">
        <v>9256</v>
      </c>
      <c r="E479" s="1035">
        <f>COUNTIFS(tblConcentrado[Fecha],tblDias[[#This Row],[Fecha]])</f>
        <v>0</v>
      </c>
      <c r="F479" s="1035">
        <f t="shared" si="7"/>
        <v>24</v>
      </c>
      <c r="G479" s="1036">
        <f>IF(tblDias[[#This Row],[Horas esperadas]]=0,0,tblDias[[#This Row],[Horas cargadas]]/tblDias[[#This Row],[Horas esperadas]])</f>
        <v>0</v>
      </c>
      <c r="H479" s="1035" t="str">
        <f ca="1">IF(tblDias[[#This Row],[Fecha]]&gt;TODAY(),"Pendiente",IF(tblDias[[#This Row],[Horas cargadas]]=0,"Sin datos",IF(tblDias[[#This Row],[Horas cargadas]]&lt;tblDias[[#This Row],[Horas esperadas]],"Parcial","Completo")))</f>
        <v>Pendiente</v>
      </c>
      <c r="I479" s="1037">
        <f>COUNTIFS(tblRDO[Fecha],tblDias[[#This Row],[Fecha]])</f>
        <v>0</v>
      </c>
      <c r="J479" s="1038" t="str">
        <f ca="1">IF(tblDias[[#This Row],[Fecha]]&gt;TODAY(),"Pendiente",IF(tblDias[[#This Row],[Filas RDO]]=0,"Sin RDO","Cargado"))</f>
        <v>Pendiente</v>
      </c>
      <c r="K479" s="972">
        <f>COUNTIFS(tblControles[Fecha],tblDias[[#This Row],[Fecha]],tblControles[Turno],"&lt;&gt;Obs")</f>
        <v>0</v>
      </c>
      <c r="L479" s="971">
        <f>SUMIFS(tblParadas[Horas perdidas],tblParadas[Fecha],tblDias[[#This Row],[Fecha]])</f>
        <v>0</v>
      </c>
      <c r="M479" s="1040"/>
      <c r="N479" s="953"/>
      <c r="O479" s="1040"/>
    </row>
    <row r="480" spans="2:15">
      <c r="B480" s="1041">
        <v>46735</v>
      </c>
      <c r="C480" s="1034" t="str">
        <f>CHOOSE(WEEKDAY(tblDias[[#This Row],[Fecha]],2),"lun","mar","mié","jue","vie","sáb","dom")</f>
        <v>mar</v>
      </c>
      <c r="D480" s="1039" t="s">
        <v>9256</v>
      </c>
      <c r="E480" s="1035">
        <f>COUNTIFS(tblConcentrado[Fecha],tblDias[[#This Row],[Fecha]])</f>
        <v>0</v>
      </c>
      <c r="F480" s="1035">
        <f t="shared" si="7"/>
        <v>24</v>
      </c>
      <c r="G480" s="1036">
        <f>IF(tblDias[[#This Row],[Horas esperadas]]=0,0,tblDias[[#This Row],[Horas cargadas]]/tblDias[[#This Row],[Horas esperadas]])</f>
        <v>0</v>
      </c>
      <c r="H480" s="1035" t="str">
        <f ca="1">IF(tblDias[[#This Row],[Fecha]]&gt;TODAY(),"Pendiente",IF(tblDias[[#This Row],[Horas cargadas]]=0,"Sin datos",IF(tblDias[[#This Row],[Horas cargadas]]&lt;tblDias[[#This Row],[Horas esperadas]],"Parcial","Completo")))</f>
        <v>Pendiente</v>
      </c>
      <c r="I480" s="1037">
        <f>COUNTIFS(tblRDO[Fecha],tblDias[[#This Row],[Fecha]])</f>
        <v>0</v>
      </c>
      <c r="J480" s="1038" t="str">
        <f ca="1">IF(tblDias[[#This Row],[Fecha]]&gt;TODAY(),"Pendiente",IF(tblDias[[#This Row],[Filas RDO]]=0,"Sin RDO","Cargado"))</f>
        <v>Pendiente</v>
      </c>
      <c r="K480" s="972">
        <f>COUNTIFS(tblControles[Fecha],tblDias[[#This Row],[Fecha]],tblControles[Turno],"&lt;&gt;Obs")</f>
        <v>0</v>
      </c>
      <c r="L480" s="971">
        <f>SUMIFS(tblParadas[Horas perdidas],tblParadas[Fecha],tblDias[[#This Row],[Fecha]])</f>
        <v>0</v>
      </c>
      <c r="M480" s="1040"/>
      <c r="N480" s="953"/>
      <c r="O480" s="1040"/>
    </row>
    <row r="481" spans="2:15">
      <c r="B481" s="1041">
        <v>46736</v>
      </c>
      <c r="C481" s="1034" t="str">
        <f>CHOOSE(WEEKDAY(tblDias[[#This Row],[Fecha]],2),"lun","mar","mié","jue","vie","sáb","dom")</f>
        <v>mié</v>
      </c>
      <c r="D481" s="1039" t="s">
        <v>9256</v>
      </c>
      <c r="E481" s="1035">
        <f>COUNTIFS(tblConcentrado[Fecha],tblDias[[#This Row],[Fecha]])</f>
        <v>0</v>
      </c>
      <c r="F481" s="1035">
        <f t="shared" si="7"/>
        <v>24</v>
      </c>
      <c r="G481" s="1036">
        <f>IF(tblDias[[#This Row],[Horas esperadas]]=0,0,tblDias[[#This Row],[Horas cargadas]]/tblDias[[#This Row],[Horas esperadas]])</f>
        <v>0</v>
      </c>
      <c r="H481" s="1035" t="str">
        <f ca="1">IF(tblDias[[#This Row],[Fecha]]&gt;TODAY(),"Pendiente",IF(tblDias[[#This Row],[Horas cargadas]]=0,"Sin datos",IF(tblDias[[#This Row],[Horas cargadas]]&lt;tblDias[[#This Row],[Horas esperadas]],"Parcial","Completo")))</f>
        <v>Pendiente</v>
      </c>
      <c r="I481" s="1037">
        <f>COUNTIFS(tblRDO[Fecha],tblDias[[#This Row],[Fecha]])</f>
        <v>0</v>
      </c>
      <c r="J481" s="1038" t="str">
        <f ca="1">IF(tblDias[[#This Row],[Fecha]]&gt;TODAY(),"Pendiente",IF(tblDias[[#This Row],[Filas RDO]]=0,"Sin RDO","Cargado"))</f>
        <v>Pendiente</v>
      </c>
      <c r="K481" s="972">
        <f>COUNTIFS(tblControles[Fecha],tblDias[[#This Row],[Fecha]],tblControles[Turno],"&lt;&gt;Obs")</f>
        <v>0</v>
      </c>
      <c r="L481" s="971">
        <f>SUMIFS(tblParadas[Horas perdidas],tblParadas[Fecha],tblDias[[#This Row],[Fecha]])</f>
        <v>0</v>
      </c>
      <c r="M481" s="1040"/>
      <c r="N481" s="953"/>
      <c r="O481" s="1040"/>
    </row>
    <row r="482" spans="2:15">
      <c r="B482" s="1041">
        <v>46737</v>
      </c>
      <c r="C482" s="1034" t="str">
        <f>CHOOSE(WEEKDAY(tblDias[[#This Row],[Fecha]],2),"lun","mar","mié","jue","vie","sáb","dom")</f>
        <v>jue</v>
      </c>
      <c r="D482" s="1039" t="s">
        <v>9256</v>
      </c>
      <c r="E482" s="1035">
        <f>COUNTIFS(tblConcentrado[Fecha],tblDias[[#This Row],[Fecha]])</f>
        <v>0</v>
      </c>
      <c r="F482" s="1035">
        <f t="shared" si="7"/>
        <v>24</v>
      </c>
      <c r="G482" s="1036">
        <f>IF(tblDias[[#This Row],[Horas esperadas]]=0,0,tblDias[[#This Row],[Horas cargadas]]/tblDias[[#This Row],[Horas esperadas]])</f>
        <v>0</v>
      </c>
      <c r="H482" s="1035" t="str">
        <f ca="1">IF(tblDias[[#This Row],[Fecha]]&gt;TODAY(),"Pendiente",IF(tblDias[[#This Row],[Horas cargadas]]=0,"Sin datos",IF(tblDias[[#This Row],[Horas cargadas]]&lt;tblDias[[#This Row],[Horas esperadas]],"Parcial","Completo")))</f>
        <v>Pendiente</v>
      </c>
      <c r="I482" s="1037">
        <f>COUNTIFS(tblRDO[Fecha],tblDias[[#This Row],[Fecha]])</f>
        <v>0</v>
      </c>
      <c r="J482" s="1038" t="str">
        <f ca="1">IF(tblDias[[#This Row],[Fecha]]&gt;TODAY(),"Pendiente",IF(tblDias[[#This Row],[Filas RDO]]=0,"Sin RDO","Cargado"))</f>
        <v>Pendiente</v>
      </c>
      <c r="K482" s="972">
        <f>COUNTIFS(tblControles[Fecha],tblDias[[#This Row],[Fecha]],tblControles[Turno],"&lt;&gt;Obs")</f>
        <v>0</v>
      </c>
      <c r="L482" s="971">
        <f>SUMIFS(tblParadas[Horas perdidas],tblParadas[Fecha],tblDias[[#This Row],[Fecha]])</f>
        <v>0</v>
      </c>
      <c r="M482" s="1040"/>
      <c r="N482" s="953"/>
      <c r="O482" s="1040"/>
    </row>
    <row r="483" spans="2:15">
      <c r="B483" s="1041">
        <v>46738</v>
      </c>
      <c r="C483" s="1034" t="str">
        <f>CHOOSE(WEEKDAY(tblDias[[#This Row],[Fecha]],2),"lun","mar","mié","jue","vie","sáb","dom")</f>
        <v>vie</v>
      </c>
      <c r="D483" s="1039" t="s">
        <v>9256</v>
      </c>
      <c r="E483" s="1035">
        <f>COUNTIFS(tblConcentrado[Fecha],tblDias[[#This Row],[Fecha]])</f>
        <v>0</v>
      </c>
      <c r="F483" s="1035">
        <f t="shared" si="7"/>
        <v>24</v>
      </c>
      <c r="G483" s="1036">
        <f>IF(tblDias[[#This Row],[Horas esperadas]]=0,0,tblDias[[#This Row],[Horas cargadas]]/tblDias[[#This Row],[Horas esperadas]])</f>
        <v>0</v>
      </c>
      <c r="H483" s="1035" t="str">
        <f ca="1">IF(tblDias[[#This Row],[Fecha]]&gt;TODAY(),"Pendiente",IF(tblDias[[#This Row],[Horas cargadas]]=0,"Sin datos",IF(tblDias[[#This Row],[Horas cargadas]]&lt;tblDias[[#This Row],[Horas esperadas]],"Parcial","Completo")))</f>
        <v>Pendiente</v>
      </c>
      <c r="I483" s="1037">
        <f>COUNTIFS(tblRDO[Fecha],tblDias[[#This Row],[Fecha]])</f>
        <v>0</v>
      </c>
      <c r="J483" s="1038" t="str">
        <f ca="1">IF(tblDias[[#This Row],[Fecha]]&gt;TODAY(),"Pendiente",IF(tblDias[[#This Row],[Filas RDO]]=0,"Sin RDO","Cargado"))</f>
        <v>Pendiente</v>
      </c>
      <c r="K483" s="972">
        <f>COUNTIFS(tblControles[Fecha],tblDias[[#This Row],[Fecha]],tblControles[Turno],"&lt;&gt;Obs")</f>
        <v>0</v>
      </c>
      <c r="L483" s="971">
        <f>SUMIFS(tblParadas[Horas perdidas],tblParadas[Fecha],tblDias[[#This Row],[Fecha]])</f>
        <v>0</v>
      </c>
      <c r="M483" s="1040"/>
      <c r="N483" s="953"/>
      <c r="O483" s="1040"/>
    </row>
    <row r="484" spans="2:15">
      <c r="B484" s="1041">
        <v>46739</v>
      </c>
      <c r="C484" s="1034" t="str">
        <f>CHOOSE(WEEKDAY(tblDias[[#This Row],[Fecha]],2),"lun","mar","mié","jue","vie","sáb","dom")</f>
        <v>sáb</v>
      </c>
      <c r="D484" s="1039" t="s">
        <v>9256</v>
      </c>
      <c r="E484" s="1035">
        <f>COUNTIFS(tblConcentrado[Fecha],tblDias[[#This Row],[Fecha]])</f>
        <v>0</v>
      </c>
      <c r="F484" s="1035">
        <f t="shared" si="7"/>
        <v>24</v>
      </c>
      <c r="G484" s="1036">
        <f>IF(tblDias[[#This Row],[Horas esperadas]]=0,0,tblDias[[#This Row],[Horas cargadas]]/tblDias[[#This Row],[Horas esperadas]])</f>
        <v>0</v>
      </c>
      <c r="H484" s="1035" t="str">
        <f ca="1">IF(tblDias[[#This Row],[Fecha]]&gt;TODAY(),"Pendiente",IF(tblDias[[#This Row],[Horas cargadas]]=0,"Sin datos",IF(tblDias[[#This Row],[Horas cargadas]]&lt;tblDias[[#This Row],[Horas esperadas]],"Parcial","Completo")))</f>
        <v>Pendiente</v>
      </c>
      <c r="I484" s="1037">
        <f>COUNTIFS(tblRDO[Fecha],tblDias[[#This Row],[Fecha]])</f>
        <v>0</v>
      </c>
      <c r="J484" s="1038" t="str">
        <f ca="1">IF(tblDias[[#This Row],[Fecha]]&gt;TODAY(),"Pendiente",IF(tblDias[[#This Row],[Filas RDO]]=0,"Sin RDO","Cargado"))</f>
        <v>Pendiente</v>
      </c>
      <c r="K484" s="972">
        <f>COUNTIFS(tblControles[Fecha],tblDias[[#This Row],[Fecha]],tblControles[Turno],"&lt;&gt;Obs")</f>
        <v>0</v>
      </c>
      <c r="L484" s="971">
        <f>SUMIFS(tblParadas[Horas perdidas],tblParadas[Fecha],tblDias[[#This Row],[Fecha]])</f>
        <v>0</v>
      </c>
      <c r="M484" s="1040"/>
      <c r="N484" s="953"/>
      <c r="O484" s="1040"/>
    </row>
    <row r="485" spans="2:15">
      <c r="B485" s="1041">
        <v>46740</v>
      </c>
      <c r="C485" s="1034" t="str">
        <f>CHOOSE(WEEKDAY(tblDias[[#This Row],[Fecha]],2),"lun","mar","mié","jue","vie","sáb","dom")</f>
        <v>dom</v>
      </c>
      <c r="D485" s="1039" t="s">
        <v>9256</v>
      </c>
      <c r="E485" s="1035">
        <f>COUNTIFS(tblConcentrado[Fecha],tblDias[[#This Row],[Fecha]])</f>
        <v>0</v>
      </c>
      <c r="F485" s="1035">
        <f t="shared" si="7"/>
        <v>24</v>
      </c>
      <c r="G485" s="1036">
        <f>IF(tblDias[[#This Row],[Horas esperadas]]=0,0,tblDias[[#This Row],[Horas cargadas]]/tblDias[[#This Row],[Horas esperadas]])</f>
        <v>0</v>
      </c>
      <c r="H485" s="1035" t="str">
        <f ca="1">IF(tblDias[[#This Row],[Fecha]]&gt;TODAY(),"Pendiente",IF(tblDias[[#This Row],[Horas cargadas]]=0,"Sin datos",IF(tblDias[[#This Row],[Horas cargadas]]&lt;tblDias[[#This Row],[Horas esperadas]],"Parcial","Completo")))</f>
        <v>Pendiente</v>
      </c>
      <c r="I485" s="1037">
        <f>COUNTIFS(tblRDO[Fecha],tblDias[[#This Row],[Fecha]])</f>
        <v>0</v>
      </c>
      <c r="J485" s="1038" t="str">
        <f ca="1">IF(tblDias[[#This Row],[Fecha]]&gt;TODAY(),"Pendiente",IF(tblDias[[#This Row],[Filas RDO]]=0,"Sin RDO","Cargado"))</f>
        <v>Pendiente</v>
      </c>
      <c r="K485" s="972">
        <f>COUNTIFS(tblControles[Fecha],tblDias[[#This Row],[Fecha]],tblControles[Turno],"&lt;&gt;Obs")</f>
        <v>0</v>
      </c>
      <c r="L485" s="971">
        <f>SUMIFS(tblParadas[Horas perdidas],tblParadas[Fecha],tblDias[[#This Row],[Fecha]])</f>
        <v>0</v>
      </c>
      <c r="M485" s="1040"/>
      <c r="N485" s="953"/>
      <c r="O485" s="1040"/>
    </row>
    <row r="486" spans="2:15">
      <c r="B486" s="1041">
        <v>46741</v>
      </c>
      <c r="C486" s="1034" t="str">
        <f>CHOOSE(WEEKDAY(tblDias[[#This Row],[Fecha]],2),"lun","mar","mié","jue","vie","sáb","dom")</f>
        <v>lun</v>
      </c>
      <c r="D486" s="1039" t="s">
        <v>9256</v>
      </c>
      <c r="E486" s="1035">
        <f>COUNTIFS(tblConcentrado[Fecha],tblDias[[#This Row],[Fecha]])</f>
        <v>0</v>
      </c>
      <c r="F486" s="1035">
        <f t="shared" si="7"/>
        <v>24</v>
      </c>
      <c r="G486" s="1036">
        <f>IF(tblDias[[#This Row],[Horas esperadas]]=0,0,tblDias[[#This Row],[Horas cargadas]]/tblDias[[#This Row],[Horas esperadas]])</f>
        <v>0</v>
      </c>
      <c r="H486" s="1035" t="str">
        <f ca="1">IF(tblDias[[#This Row],[Fecha]]&gt;TODAY(),"Pendiente",IF(tblDias[[#This Row],[Horas cargadas]]=0,"Sin datos",IF(tblDias[[#This Row],[Horas cargadas]]&lt;tblDias[[#This Row],[Horas esperadas]],"Parcial","Completo")))</f>
        <v>Pendiente</v>
      </c>
      <c r="I486" s="1037">
        <f>COUNTIFS(tblRDO[Fecha],tblDias[[#This Row],[Fecha]])</f>
        <v>0</v>
      </c>
      <c r="J486" s="1038" t="str">
        <f ca="1">IF(tblDias[[#This Row],[Fecha]]&gt;TODAY(),"Pendiente",IF(tblDias[[#This Row],[Filas RDO]]=0,"Sin RDO","Cargado"))</f>
        <v>Pendiente</v>
      </c>
      <c r="K486" s="972">
        <f>COUNTIFS(tblControles[Fecha],tblDias[[#This Row],[Fecha]],tblControles[Turno],"&lt;&gt;Obs")</f>
        <v>0</v>
      </c>
      <c r="L486" s="971">
        <f>SUMIFS(tblParadas[Horas perdidas],tblParadas[Fecha],tblDias[[#This Row],[Fecha]])</f>
        <v>0</v>
      </c>
      <c r="M486" s="1040"/>
      <c r="N486" s="953"/>
      <c r="O486" s="1040"/>
    </row>
    <row r="487" spans="2:15">
      <c r="B487" s="1041">
        <v>46742</v>
      </c>
      <c r="C487" s="1034" t="str">
        <f>CHOOSE(WEEKDAY(tblDias[[#This Row],[Fecha]],2),"lun","mar","mié","jue","vie","sáb","dom")</f>
        <v>mar</v>
      </c>
      <c r="D487" s="1039" t="s">
        <v>9256</v>
      </c>
      <c r="E487" s="1035">
        <f>COUNTIFS(tblConcentrado[Fecha],tblDias[[#This Row],[Fecha]])</f>
        <v>0</v>
      </c>
      <c r="F487" s="1035">
        <f t="shared" si="7"/>
        <v>24</v>
      </c>
      <c r="G487" s="1036">
        <f>IF(tblDias[[#This Row],[Horas esperadas]]=0,0,tblDias[[#This Row],[Horas cargadas]]/tblDias[[#This Row],[Horas esperadas]])</f>
        <v>0</v>
      </c>
      <c r="H487" s="1035" t="str">
        <f ca="1">IF(tblDias[[#This Row],[Fecha]]&gt;TODAY(),"Pendiente",IF(tblDias[[#This Row],[Horas cargadas]]=0,"Sin datos",IF(tblDias[[#This Row],[Horas cargadas]]&lt;tblDias[[#This Row],[Horas esperadas]],"Parcial","Completo")))</f>
        <v>Pendiente</v>
      </c>
      <c r="I487" s="1037">
        <f>COUNTIFS(tblRDO[Fecha],tblDias[[#This Row],[Fecha]])</f>
        <v>0</v>
      </c>
      <c r="J487" s="1038" t="str">
        <f ca="1">IF(tblDias[[#This Row],[Fecha]]&gt;TODAY(),"Pendiente",IF(tblDias[[#This Row],[Filas RDO]]=0,"Sin RDO","Cargado"))</f>
        <v>Pendiente</v>
      </c>
      <c r="K487" s="972">
        <f>COUNTIFS(tblControles[Fecha],tblDias[[#This Row],[Fecha]],tblControles[Turno],"&lt;&gt;Obs")</f>
        <v>0</v>
      </c>
      <c r="L487" s="971">
        <f>SUMIFS(tblParadas[Horas perdidas],tblParadas[Fecha],tblDias[[#This Row],[Fecha]])</f>
        <v>0</v>
      </c>
      <c r="M487" s="1040"/>
      <c r="N487" s="953"/>
      <c r="O487" s="1040"/>
    </row>
    <row r="488" spans="2:15">
      <c r="B488" s="1041">
        <v>46743</v>
      </c>
      <c r="C488" s="1034" t="str">
        <f>CHOOSE(WEEKDAY(tblDias[[#This Row],[Fecha]],2),"lun","mar","mié","jue","vie","sáb","dom")</f>
        <v>mié</v>
      </c>
      <c r="D488" s="1039" t="s">
        <v>9256</v>
      </c>
      <c r="E488" s="1035">
        <f>COUNTIFS(tblConcentrado[Fecha],tblDias[[#This Row],[Fecha]])</f>
        <v>0</v>
      </c>
      <c r="F488" s="1035">
        <f t="shared" si="7"/>
        <v>24</v>
      </c>
      <c r="G488" s="1036">
        <f>IF(tblDias[[#This Row],[Horas esperadas]]=0,0,tblDias[[#This Row],[Horas cargadas]]/tblDias[[#This Row],[Horas esperadas]])</f>
        <v>0</v>
      </c>
      <c r="H488" s="1035" t="str">
        <f ca="1">IF(tblDias[[#This Row],[Fecha]]&gt;TODAY(),"Pendiente",IF(tblDias[[#This Row],[Horas cargadas]]=0,"Sin datos",IF(tblDias[[#This Row],[Horas cargadas]]&lt;tblDias[[#This Row],[Horas esperadas]],"Parcial","Completo")))</f>
        <v>Pendiente</v>
      </c>
      <c r="I488" s="1037">
        <f>COUNTIFS(tblRDO[Fecha],tblDias[[#This Row],[Fecha]])</f>
        <v>0</v>
      </c>
      <c r="J488" s="1038" t="str">
        <f ca="1">IF(tblDias[[#This Row],[Fecha]]&gt;TODAY(),"Pendiente",IF(tblDias[[#This Row],[Filas RDO]]=0,"Sin RDO","Cargado"))</f>
        <v>Pendiente</v>
      </c>
      <c r="K488" s="972">
        <f>COUNTIFS(tblControles[Fecha],tblDias[[#This Row],[Fecha]],tblControles[Turno],"&lt;&gt;Obs")</f>
        <v>0</v>
      </c>
      <c r="L488" s="971">
        <f>SUMIFS(tblParadas[Horas perdidas],tblParadas[Fecha],tblDias[[#This Row],[Fecha]])</f>
        <v>0</v>
      </c>
      <c r="M488" s="1040"/>
      <c r="N488" s="953"/>
      <c r="O488" s="1040"/>
    </row>
    <row r="489" spans="2:15">
      <c r="B489" s="1041">
        <v>46744</v>
      </c>
      <c r="C489" s="1034" t="str">
        <f>CHOOSE(WEEKDAY(tblDias[[#This Row],[Fecha]],2),"lun","mar","mié","jue","vie","sáb","dom")</f>
        <v>jue</v>
      </c>
      <c r="D489" s="1039" t="s">
        <v>9256</v>
      </c>
      <c r="E489" s="1035">
        <f>COUNTIFS(tblConcentrado[Fecha],tblDias[[#This Row],[Fecha]])</f>
        <v>0</v>
      </c>
      <c r="F489" s="1035">
        <f t="shared" si="7"/>
        <v>24</v>
      </c>
      <c r="G489" s="1036">
        <f>IF(tblDias[[#This Row],[Horas esperadas]]=0,0,tblDias[[#This Row],[Horas cargadas]]/tblDias[[#This Row],[Horas esperadas]])</f>
        <v>0</v>
      </c>
      <c r="H489" s="1035" t="str">
        <f ca="1">IF(tblDias[[#This Row],[Fecha]]&gt;TODAY(),"Pendiente",IF(tblDias[[#This Row],[Horas cargadas]]=0,"Sin datos",IF(tblDias[[#This Row],[Horas cargadas]]&lt;tblDias[[#This Row],[Horas esperadas]],"Parcial","Completo")))</f>
        <v>Pendiente</v>
      </c>
      <c r="I489" s="1037">
        <f>COUNTIFS(tblRDO[Fecha],tblDias[[#This Row],[Fecha]])</f>
        <v>0</v>
      </c>
      <c r="J489" s="1038" t="str">
        <f ca="1">IF(tblDias[[#This Row],[Fecha]]&gt;TODAY(),"Pendiente",IF(tblDias[[#This Row],[Filas RDO]]=0,"Sin RDO","Cargado"))</f>
        <v>Pendiente</v>
      </c>
      <c r="K489" s="972">
        <f>COUNTIFS(tblControles[Fecha],tblDias[[#This Row],[Fecha]],tblControles[Turno],"&lt;&gt;Obs")</f>
        <v>0</v>
      </c>
      <c r="L489" s="971">
        <f>SUMIFS(tblParadas[Horas perdidas],tblParadas[Fecha],tblDias[[#This Row],[Fecha]])</f>
        <v>0</v>
      </c>
      <c r="M489" s="1040"/>
      <c r="N489" s="953"/>
      <c r="O489" s="1040"/>
    </row>
    <row r="490" spans="2:15">
      <c r="B490" s="1041">
        <v>46745</v>
      </c>
      <c r="C490" s="1034" t="str">
        <f>CHOOSE(WEEKDAY(tblDias[[#This Row],[Fecha]],2),"lun","mar","mié","jue","vie","sáb","dom")</f>
        <v>vie</v>
      </c>
      <c r="D490" s="1039" t="s">
        <v>9256</v>
      </c>
      <c r="E490" s="1035">
        <f>COUNTIFS(tblConcentrado[Fecha],tblDias[[#This Row],[Fecha]])</f>
        <v>0</v>
      </c>
      <c r="F490" s="1035">
        <f t="shared" si="7"/>
        <v>24</v>
      </c>
      <c r="G490" s="1036">
        <f>IF(tblDias[[#This Row],[Horas esperadas]]=0,0,tblDias[[#This Row],[Horas cargadas]]/tblDias[[#This Row],[Horas esperadas]])</f>
        <v>0</v>
      </c>
      <c r="H490" s="1035" t="str">
        <f ca="1">IF(tblDias[[#This Row],[Fecha]]&gt;TODAY(),"Pendiente",IF(tblDias[[#This Row],[Horas cargadas]]=0,"Sin datos",IF(tblDias[[#This Row],[Horas cargadas]]&lt;tblDias[[#This Row],[Horas esperadas]],"Parcial","Completo")))</f>
        <v>Pendiente</v>
      </c>
      <c r="I490" s="1037">
        <f>COUNTIFS(tblRDO[Fecha],tblDias[[#This Row],[Fecha]])</f>
        <v>0</v>
      </c>
      <c r="J490" s="1038" t="str">
        <f ca="1">IF(tblDias[[#This Row],[Fecha]]&gt;TODAY(),"Pendiente",IF(tblDias[[#This Row],[Filas RDO]]=0,"Sin RDO","Cargado"))</f>
        <v>Pendiente</v>
      </c>
      <c r="K490" s="972">
        <f>COUNTIFS(tblControles[Fecha],tblDias[[#This Row],[Fecha]],tblControles[Turno],"&lt;&gt;Obs")</f>
        <v>0</v>
      </c>
      <c r="L490" s="971">
        <f>SUMIFS(tblParadas[Horas perdidas],tblParadas[Fecha],tblDias[[#This Row],[Fecha]])</f>
        <v>0</v>
      </c>
      <c r="M490" s="1040"/>
      <c r="N490" s="953"/>
      <c r="O490" s="1040"/>
    </row>
    <row r="491" spans="2:15">
      <c r="B491" s="1041">
        <v>46746</v>
      </c>
      <c r="C491" s="1034" t="str">
        <f>CHOOSE(WEEKDAY(tblDias[[#This Row],[Fecha]],2),"lun","mar","mié","jue","vie","sáb","dom")</f>
        <v>sáb</v>
      </c>
      <c r="D491" s="1039" t="s">
        <v>9256</v>
      </c>
      <c r="E491" s="1035">
        <f>COUNTIFS(tblConcentrado[Fecha],tblDias[[#This Row],[Fecha]])</f>
        <v>0</v>
      </c>
      <c r="F491" s="1035">
        <f t="shared" si="7"/>
        <v>24</v>
      </c>
      <c r="G491" s="1036">
        <f>IF(tblDias[[#This Row],[Horas esperadas]]=0,0,tblDias[[#This Row],[Horas cargadas]]/tblDias[[#This Row],[Horas esperadas]])</f>
        <v>0</v>
      </c>
      <c r="H491" s="1035" t="str">
        <f ca="1">IF(tblDias[[#This Row],[Fecha]]&gt;TODAY(),"Pendiente",IF(tblDias[[#This Row],[Horas cargadas]]=0,"Sin datos",IF(tblDias[[#This Row],[Horas cargadas]]&lt;tblDias[[#This Row],[Horas esperadas]],"Parcial","Completo")))</f>
        <v>Pendiente</v>
      </c>
      <c r="I491" s="1037">
        <f>COUNTIFS(tblRDO[Fecha],tblDias[[#This Row],[Fecha]])</f>
        <v>0</v>
      </c>
      <c r="J491" s="1038" t="str">
        <f ca="1">IF(tblDias[[#This Row],[Fecha]]&gt;TODAY(),"Pendiente",IF(tblDias[[#This Row],[Filas RDO]]=0,"Sin RDO","Cargado"))</f>
        <v>Pendiente</v>
      </c>
      <c r="K491" s="972">
        <f>COUNTIFS(tblControles[Fecha],tblDias[[#This Row],[Fecha]],tblControles[Turno],"&lt;&gt;Obs")</f>
        <v>0</v>
      </c>
      <c r="L491" s="971">
        <f>SUMIFS(tblParadas[Horas perdidas],tblParadas[Fecha],tblDias[[#This Row],[Fecha]])</f>
        <v>0</v>
      </c>
      <c r="M491" s="1040"/>
      <c r="N491" s="953"/>
      <c r="O491" s="1040"/>
    </row>
    <row r="492" spans="2:15">
      <c r="B492" s="1041">
        <v>46747</v>
      </c>
      <c r="C492" s="1034" t="str">
        <f>CHOOSE(WEEKDAY(tblDias[[#This Row],[Fecha]],2),"lun","mar","mié","jue","vie","sáb","dom")</f>
        <v>dom</v>
      </c>
      <c r="D492" s="1039" t="s">
        <v>9256</v>
      </c>
      <c r="E492" s="1035">
        <f>COUNTIFS(tblConcentrado[Fecha],tblDias[[#This Row],[Fecha]])</f>
        <v>0</v>
      </c>
      <c r="F492" s="1035">
        <f t="shared" si="7"/>
        <v>24</v>
      </c>
      <c r="G492" s="1036">
        <f>IF(tblDias[[#This Row],[Horas esperadas]]=0,0,tblDias[[#This Row],[Horas cargadas]]/tblDias[[#This Row],[Horas esperadas]])</f>
        <v>0</v>
      </c>
      <c r="H492" s="1035" t="str">
        <f ca="1">IF(tblDias[[#This Row],[Fecha]]&gt;TODAY(),"Pendiente",IF(tblDias[[#This Row],[Horas cargadas]]=0,"Sin datos",IF(tblDias[[#This Row],[Horas cargadas]]&lt;tblDias[[#This Row],[Horas esperadas]],"Parcial","Completo")))</f>
        <v>Pendiente</v>
      </c>
      <c r="I492" s="1037">
        <f>COUNTIFS(tblRDO[Fecha],tblDias[[#This Row],[Fecha]])</f>
        <v>0</v>
      </c>
      <c r="J492" s="1038" t="str">
        <f ca="1">IF(tblDias[[#This Row],[Fecha]]&gt;TODAY(),"Pendiente",IF(tblDias[[#This Row],[Filas RDO]]=0,"Sin RDO","Cargado"))</f>
        <v>Pendiente</v>
      </c>
      <c r="K492" s="972">
        <f>COUNTIFS(tblControles[Fecha],tblDias[[#This Row],[Fecha]],tblControles[Turno],"&lt;&gt;Obs")</f>
        <v>0</v>
      </c>
      <c r="L492" s="971">
        <f>SUMIFS(tblParadas[Horas perdidas],tblParadas[Fecha],tblDias[[#This Row],[Fecha]])</f>
        <v>0</v>
      </c>
      <c r="M492" s="1040"/>
      <c r="N492" s="953"/>
      <c r="O492" s="1040"/>
    </row>
    <row r="493" spans="2:15">
      <c r="B493" s="1041">
        <v>46748</v>
      </c>
      <c r="C493" s="1034" t="str">
        <f>CHOOSE(WEEKDAY(tblDias[[#This Row],[Fecha]],2),"lun","mar","mié","jue","vie","sáb","dom")</f>
        <v>lun</v>
      </c>
      <c r="D493" s="1039" t="s">
        <v>9256</v>
      </c>
      <c r="E493" s="1035">
        <f>COUNTIFS(tblConcentrado[Fecha],tblDias[[#This Row],[Fecha]])</f>
        <v>0</v>
      </c>
      <c r="F493" s="1035">
        <f t="shared" si="7"/>
        <v>24</v>
      </c>
      <c r="G493" s="1036">
        <f>IF(tblDias[[#This Row],[Horas esperadas]]=0,0,tblDias[[#This Row],[Horas cargadas]]/tblDias[[#This Row],[Horas esperadas]])</f>
        <v>0</v>
      </c>
      <c r="H493" s="1035" t="str">
        <f ca="1">IF(tblDias[[#This Row],[Fecha]]&gt;TODAY(),"Pendiente",IF(tblDias[[#This Row],[Horas cargadas]]=0,"Sin datos",IF(tblDias[[#This Row],[Horas cargadas]]&lt;tblDias[[#This Row],[Horas esperadas]],"Parcial","Completo")))</f>
        <v>Pendiente</v>
      </c>
      <c r="I493" s="1037">
        <f>COUNTIFS(tblRDO[Fecha],tblDias[[#This Row],[Fecha]])</f>
        <v>0</v>
      </c>
      <c r="J493" s="1038" t="str">
        <f ca="1">IF(tblDias[[#This Row],[Fecha]]&gt;TODAY(),"Pendiente",IF(tblDias[[#This Row],[Filas RDO]]=0,"Sin RDO","Cargado"))</f>
        <v>Pendiente</v>
      </c>
      <c r="K493" s="972">
        <f>COUNTIFS(tblControles[Fecha],tblDias[[#This Row],[Fecha]],tblControles[Turno],"&lt;&gt;Obs")</f>
        <v>0</v>
      </c>
      <c r="L493" s="971">
        <f>SUMIFS(tblParadas[Horas perdidas],tblParadas[Fecha],tblDias[[#This Row],[Fecha]])</f>
        <v>0</v>
      </c>
      <c r="M493" s="1040"/>
      <c r="N493" s="953"/>
      <c r="O493" s="1040"/>
    </row>
    <row r="494" spans="2:15">
      <c r="B494" s="1041">
        <v>46749</v>
      </c>
      <c r="C494" s="1034" t="str">
        <f>CHOOSE(WEEKDAY(tblDias[[#This Row],[Fecha]],2),"lun","mar","mié","jue","vie","sáb","dom")</f>
        <v>mar</v>
      </c>
      <c r="D494" s="1039" t="s">
        <v>9256</v>
      </c>
      <c r="E494" s="1035">
        <f>COUNTIFS(tblConcentrado[Fecha],tblDias[[#This Row],[Fecha]])</f>
        <v>0</v>
      </c>
      <c r="F494" s="1035">
        <f t="shared" si="7"/>
        <v>24</v>
      </c>
      <c r="G494" s="1036">
        <f>IF(tblDias[[#This Row],[Horas esperadas]]=0,0,tblDias[[#This Row],[Horas cargadas]]/tblDias[[#This Row],[Horas esperadas]])</f>
        <v>0</v>
      </c>
      <c r="H494" s="1035" t="str">
        <f ca="1">IF(tblDias[[#This Row],[Fecha]]&gt;TODAY(),"Pendiente",IF(tblDias[[#This Row],[Horas cargadas]]=0,"Sin datos",IF(tblDias[[#This Row],[Horas cargadas]]&lt;tblDias[[#This Row],[Horas esperadas]],"Parcial","Completo")))</f>
        <v>Pendiente</v>
      </c>
      <c r="I494" s="1037">
        <f>COUNTIFS(tblRDO[Fecha],tblDias[[#This Row],[Fecha]])</f>
        <v>0</v>
      </c>
      <c r="J494" s="1038" t="str">
        <f ca="1">IF(tblDias[[#This Row],[Fecha]]&gt;TODAY(),"Pendiente",IF(tblDias[[#This Row],[Filas RDO]]=0,"Sin RDO","Cargado"))</f>
        <v>Pendiente</v>
      </c>
      <c r="K494" s="972">
        <f>COUNTIFS(tblControles[Fecha],tblDias[[#This Row],[Fecha]],tblControles[Turno],"&lt;&gt;Obs")</f>
        <v>0</v>
      </c>
      <c r="L494" s="971">
        <f>SUMIFS(tblParadas[Horas perdidas],tblParadas[Fecha],tblDias[[#This Row],[Fecha]])</f>
        <v>0</v>
      </c>
      <c r="M494" s="1040"/>
      <c r="N494" s="953"/>
      <c r="O494" s="1040"/>
    </row>
    <row r="495" spans="2:15">
      <c r="B495" s="1041">
        <v>46750</v>
      </c>
      <c r="C495" s="1034" t="str">
        <f>CHOOSE(WEEKDAY(tblDias[[#This Row],[Fecha]],2),"lun","mar","mié","jue","vie","sáb","dom")</f>
        <v>mié</v>
      </c>
      <c r="D495" s="1039" t="s">
        <v>9256</v>
      </c>
      <c r="E495" s="1035">
        <f>COUNTIFS(tblConcentrado[Fecha],tblDias[[#This Row],[Fecha]])</f>
        <v>0</v>
      </c>
      <c r="F495" s="1035">
        <f t="shared" si="7"/>
        <v>24</v>
      </c>
      <c r="G495" s="1036">
        <f>IF(tblDias[[#This Row],[Horas esperadas]]=0,0,tblDias[[#This Row],[Horas cargadas]]/tblDias[[#This Row],[Horas esperadas]])</f>
        <v>0</v>
      </c>
      <c r="H495" s="1035" t="str">
        <f ca="1">IF(tblDias[[#This Row],[Fecha]]&gt;TODAY(),"Pendiente",IF(tblDias[[#This Row],[Horas cargadas]]=0,"Sin datos",IF(tblDias[[#This Row],[Horas cargadas]]&lt;tblDias[[#This Row],[Horas esperadas]],"Parcial","Completo")))</f>
        <v>Pendiente</v>
      </c>
      <c r="I495" s="1037">
        <f>COUNTIFS(tblRDO[Fecha],tblDias[[#This Row],[Fecha]])</f>
        <v>0</v>
      </c>
      <c r="J495" s="1038" t="str">
        <f ca="1">IF(tblDias[[#This Row],[Fecha]]&gt;TODAY(),"Pendiente",IF(tblDias[[#This Row],[Filas RDO]]=0,"Sin RDO","Cargado"))</f>
        <v>Pendiente</v>
      </c>
      <c r="K495" s="972">
        <f>COUNTIFS(tblControles[Fecha],tblDias[[#This Row],[Fecha]],tblControles[Turno],"&lt;&gt;Obs")</f>
        <v>0</v>
      </c>
      <c r="L495" s="971">
        <f>SUMIFS(tblParadas[Horas perdidas],tblParadas[Fecha],tblDias[[#This Row],[Fecha]])</f>
        <v>0</v>
      </c>
      <c r="M495" s="1040"/>
      <c r="N495" s="953"/>
      <c r="O495" s="1040"/>
    </row>
    <row r="496" spans="2:15">
      <c r="B496" s="1041">
        <v>46751</v>
      </c>
      <c r="C496" s="1034" t="str">
        <f>CHOOSE(WEEKDAY(tblDias[[#This Row],[Fecha]],2),"lun","mar","mié","jue","vie","sáb","dom")</f>
        <v>jue</v>
      </c>
      <c r="D496" s="1039" t="s">
        <v>9256</v>
      </c>
      <c r="E496" s="1035">
        <f>COUNTIFS(tblConcentrado[Fecha],tblDias[[#This Row],[Fecha]])</f>
        <v>0</v>
      </c>
      <c r="F496" s="1035">
        <f t="shared" si="7"/>
        <v>24</v>
      </c>
      <c r="G496" s="1036">
        <f>IF(tblDias[[#This Row],[Horas esperadas]]=0,0,tblDias[[#This Row],[Horas cargadas]]/tblDias[[#This Row],[Horas esperadas]])</f>
        <v>0</v>
      </c>
      <c r="H496" s="1035" t="str">
        <f ca="1">IF(tblDias[[#This Row],[Fecha]]&gt;TODAY(),"Pendiente",IF(tblDias[[#This Row],[Horas cargadas]]=0,"Sin datos",IF(tblDias[[#This Row],[Horas cargadas]]&lt;tblDias[[#This Row],[Horas esperadas]],"Parcial","Completo")))</f>
        <v>Pendiente</v>
      </c>
      <c r="I496" s="1037">
        <f>COUNTIFS(tblRDO[Fecha],tblDias[[#This Row],[Fecha]])</f>
        <v>0</v>
      </c>
      <c r="J496" s="1038" t="str">
        <f ca="1">IF(tblDias[[#This Row],[Fecha]]&gt;TODAY(),"Pendiente",IF(tblDias[[#This Row],[Filas RDO]]=0,"Sin RDO","Cargado"))</f>
        <v>Pendiente</v>
      </c>
      <c r="K496" s="972">
        <f>COUNTIFS(tblControles[Fecha],tblDias[[#This Row],[Fecha]],tblControles[Turno],"&lt;&gt;Obs")</f>
        <v>0</v>
      </c>
      <c r="L496" s="971">
        <f>SUMIFS(tblParadas[Horas perdidas],tblParadas[Fecha],tblDias[[#This Row],[Fecha]])</f>
        <v>0</v>
      </c>
      <c r="M496" s="1040"/>
      <c r="N496" s="953"/>
      <c r="O496" s="1040"/>
    </row>
    <row r="497" spans="2:15">
      <c r="B497" s="1041">
        <v>46752</v>
      </c>
      <c r="C497" s="1034" t="str">
        <f>CHOOSE(WEEKDAY(tblDias[[#This Row],[Fecha]],2),"lun","mar","mié","jue","vie","sáb","dom")</f>
        <v>vie</v>
      </c>
      <c r="D497" s="1039" t="s">
        <v>9256</v>
      </c>
      <c r="E497" s="1035">
        <f>COUNTIFS(tblConcentrado[Fecha],tblDias[[#This Row],[Fecha]])</f>
        <v>0</v>
      </c>
      <c r="F497" s="1035">
        <f t="shared" si="7"/>
        <v>24</v>
      </c>
      <c r="G497" s="1036">
        <f>IF(tblDias[[#This Row],[Horas esperadas]]=0,0,tblDias[[#This Row],[Horas cargadas]]/tblDias[[#This Row],[Horas esperadas]])</f>
        <v>0</v>
      </c>
      <c r="H497" s="1035" t="str">
        <f ca="1">IF(tblDias[[#This Row],[Fecha]]&gt;TODAY(),"Pendiente",IF(tblDias[[#This Row],[Horas cargadas]]=0,"Sin datos",IF(tblDias[[#This Row],[Horas cargadas]]&lt;tblDias[[#This Row],[Horas esperadas]],"Parcial","Completo")))</f>
        <v>Pendiente</v>
      </c>
      <c r="I497" s="1037">
        <f>COUNTIFS(tblRDO[Fecha],tblDias[[#This Row],[Fecha]])</f>
        <v>0</v>
      </c>
      <c r="J497" s="1038" t="str">
        <f ca="1">IF(tblDias[[#This Row],[Fecha]]&gt;TODAY(),"Pendiente",IF(tblDias[[#This Row],[Filas RDO]]=0,"Sin RDO","Cargado"))</f>
        <v>Pendiente</v>
      </c>
      <c r="K497" s="972">
        <f>COUNTIFS(tblControles[Fecha],tblDias[[#This Row],[Fecha]],tblControles[Turno],"&lt;&gt;Obs")</f>
        <v>0</v>
      </c>
      <c r="L497" s="971">
        <f>SUMIFS(tblParadas[Horas perdidas],tblParadas[Fecha],tblDias[[#This Row],[Fecha]])</f>
        <v>0</v>
      </c>
      <c r="M497" s="1040"/>
      <c r="N497" s="953"/>
      <c r="O497" s="1040"/>
    </row>
  </sheetData>
  <conditionalFormatting sqref="H11:H497 K11:L497">
    <cfRule type="containsText" dxfId="20" priority="1" operator="containsText" text="Completo">
      <formula>NOT(ISERROR(SEARCH("Completo",H11)))</formula>
    </cfRule>
  </conditionalFormatting>
  <conditionalFormatting sqref="H11:H497 K11:L497">
    <cfRule type="containsText" dxfId="19" priority="2" operator="containsText" text="Cargado">
      <formula>NOT(ISERROR(SEARCH("Cargado",H11)))</formula>
    </cfRule>
  </conditionalFormatting>
  <conditionalFormatting sqref="H11:H497 K11:L497">
    <cfRule type="containsText" dxfId="18" priority="3" operator="containsText" text="Parcial">
      <formula>NOT(ISERROR(SEARCH("Parcial",H11)))</formula>
    </cfRule>
  </conditionalFormatting>
  <conditionalFormatting sqref="H11:H497 K11:L497">
    <cfRule type="containsText" dxfId="17" priority="4" operator="containsText" text="Sin ">
      <formula>NOT(ISERROR(SEARCH("Sin ",H11)))</formula>
    </cfRule>
  </conditionalFormatting>
  <conditionalFormatting sqref="H11:H497 K11:L497">
    <cfRule type="containsText" dxfId="16" priority="5" operator="containsText" text="Pendiente">
      <formula>NOT(ISERROR(SEARCH("Pendiente",H11)))</formula>
    </cfRule>
  </conditionalFormatting>
  <conditionalFormatting sqref="J11:J497">
    <cfRule type="containsText" dxfId="15" priority="6" operator="containsText" text="Completo">
      <formula>NOT(ISERROR(SEARCH("Completo",J11)))</formula>
    </cfRule>
  </conditionalFormatting>
  <conditionalFormatting sqref="J11:J497">
    <cfRule type="containsText" dxfId="14" priority="7" operator="containsText" text="Cargado">
      <formula>NOT(ISERROR(SEARCH("Cargado",J11)))</formula>
    </cfRule>
  </conditionalFormatting>
  <conditionalFormatting sqref="J11:J497">
    <cfRule type="containsText" dxfId="13" priority="8" operator="containsText" text="Parcial">
      <formula>NOT(ISERROR(SEARCH("Parcial",J11)))</formula>
    </cfRule>
  </conditionalFormatting>
  <conditionalFormatting sqref="J11:J497">
    <cfRule type="containsText" dxfId="12" priority="9" operator="containsText" text="Sin ">
      <formula>NOT(ISERROR(SEARCH("Sin ",J11)))</formula>
    </cfRule>
  </conditionalFormatting>
  <conditionalFormatting sqref="J11:J497">
    <cfRule type="containsText" dxfId="11" priority="10" operator="containsText" text="Pendiente">
      <formula>NOT(ISERROR(SEARCH("Pendiente",J11)))</formula>
    </cfRule>
  </conditionalFormatting>
  <conditionalFormatting sqref="H133:H497">
    <cfRule type="containsText" dxfId="10" priority="11" operator="containsText" text="Completo">
      <formula>NOT(ISERROR(SEARCH("Completo",H133)))</formula>
    </cfRule>
  </conditionalFormatting>
  <conditionalFormatting sqref="H133:H497">
    <cfRule type="containsText" dxfId="9" priority="12" operator="containsText" text="Cargado">
      <formula>NOT(ISERROR(SEARCH("Cargado",H133)))</formula>
    </cfRule>
  </conditionalFormatting>
  <conditionalFormatting sqref="H133:H497">
    <cfRule type="containsText" dxfId="8" priority="13" operator="containsText" text="Parcial">
      <formula>NOT(ISERROR(SEARCH("Parcial",H133)))</formula>
    </cfRule>
  </conditionalFormatting>
  <conditionalFormatting sqref="H133:H497">
    <cfRule type="containsText" dxfId="7" priority="14" operator="containsText" text="Sin ">
      <formula>NOT(ISERROR(SEARCH("Sin ",H133)))</formula>
    </cfRule>
  </conditionalFormatting>
  <conditionalFormatting sqref="H133:H497">
    <cfRule type="containsText" dxfId="6" priority="15" operator="containsText" text="Pendiente">
      <formula>NOT(ISERROR(SEARCH("Pendiente",H133)))</formula>
    </cfRule>
  </conditionalFormatting>
  <conditionalFormatting sqref="J133:J497">
    <cfRule type="containsText" dxfId="5" priority="16" operator="containsText" text="Completo">
      <formula>NOT(ISERROR(SEARCH("Completo",J133)))</formula>
    </cfRule>
  </conditionalFormatting>
  <conditionalFormatting sqref="J133:J497">
    <cfRule type="containsText" dxfId="4" priority="17" operator="containsText" text="Cargado">
      <formula>NOT(ISERROR(SEARCH("Cargado",J133)))</formula>
    </cfRule>
  </conditionalFormatting>
  <conditionalFormatting sqref="J133:J497">
    <cfRule type="containsText" dxfId="3" priority="18" operator="containsText" text="Parcial">
      <formula>NOT(ISERROR(SEARCH("Parcial",J133)))</formula>
    </cfRule>
  </conditionalFormatting>
  <conditionalFormatting sqref="J133:J497">
    <cfRule type="containsText" dxfId="2" priority="19" operator="containsText" text="Sin ">
      <formula>NOT(ISERROR(SEARCH("Sin ",J133)))</formula>
    </cfRule>
  </conditionalFormatting>
  <conditionalFormatting sqref="J133:J497">
    <cfRule type="containsText" dxfId="1" priority="20" operator="containsText" text="Pendiente">
      <formula>NOT(ISERROR(SEARCH("Pendiente",J133)))</formula>
    </cfRule>
  </conditionalFormatting>
  <dataValidations count="1">
    <dataValidation type="list" allowBlank="1" showInputMessage="1" showErrorMessage="1" sqref="D11:D132 D133:D497" xr:uid="{78F1D30A-0046-41B2-BB11-903489A36ABA}">
      <formula1>L_ESTADO_DIA</formula1>
    </dataValidation>
  </dataValidations>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Control Días — Página &amp;P de &amp;F</oddFooter>
  </headerFooter>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731BC-5807-4727-B70E-D58FC0667EE6}">
  <sheetPr codeName="Hoja22">
    <tabColor rgb="FFBF8F00"/>
    <pageSetUpPr fitToPage="1"/>
  </sheetPr>
  <dimension ref="B1:K1014"/>
  <sheetViews>
    <sheetView showGridLines="0" workbookViewId="0">
      <pane ySplit="4" topLeftCell="A5" activePane="bottomLeft" state="frozen"/>
      <selection pane="bottomLeft"/>
    </sheetView>
  </sheetViews>
  <sheetFormatPr baseColWidth="10" defaultRowHeight="15"/>
  <cols>
    <col min="1" max="1" width="2.85546875" customWidth="1"/>
    <col min="2" max="2" width="7.5703125" customWidth="1"/>
    <col min="3" max="3" width="21.85546875" customWidth="1"/>
    <col min="4" max="4" width="17.140625" customWidth="1"/>
    <col min="5" max="5" width="21" customWidth="1"/>
    <col min="6" max="6" width="24.7109375" customWidth="1"/>
    <col min="7" max="7" width="17.140625" customWidth="1"/>
    <col min="8" max="10" width="22.85546875" customWidth="1"/>
    <col min="11" max="11" width="62.85546875" customWidth="1"/>
  </cols>
  <sheetData>
    <row r="1" spans="2:11" ht="18.75">
      <c r="B1" s="948" t="s">
        <v>9338</v>
      </c>
    </row>
    <row r="2" spans="2:11">
      <c r="B2" s="949" t="s">
        <v>9339</v>
      </c>
    </row>
    <row r="4" spans="2:11">
      <c r="B4" t="s">
        <v>325</v>
      </c>
      <c r="C4" t="s">
        <v>9340</v>
      </c>
      <c r="D4" t="s">
        <v>9341</v>
      </c>
      <c r="E4" t="s">
        <v>9342</v>
      </c>
      <c r="F4" t="s">
        <v>9343</v>
      </c>
      <c r="G4" t="s">
        <v>9344</v>
      </c>
      <c r="H4" t="s">
        <v>9345</v>
      </c>
      <c r="I4" t="s">
        <v>9346</v>
      </c>
      <c r="J4" t="s">
        <v>9347</v>
      </c>
      <c r="K4" t="s">
        <v>258</v>
      </c>
    </row>
    <row r="5" spans="2:11">
      <c r="B5">
        <f>ROW()-ROW(tblAuditoria[[#Headers],[N°]])</f>
        <v>1</v>
      </c>
      <c r="C5" s="978">
        <v>46293.926644432868</v>
      </c>
      <c r="D5" t="s">
        <v>9348</v>
      </c>
      <c r="E5" t="s">
        <v>9349</v>
      </c>
      <c r="F5" s="900" t="s">
        <v>9350</v>
      </c>
      <c r="G5" t="s">
        <v>9351</v>
      </c>
      <c r="H5" s="900" t="s">
        <v>9352</v>
      </c>
      <c r="I5" s="900"/>
      <c r="J5" s="900" t="s">
        <v>9353</v>
      </c>
      <c r="K5" t="s">
        <v>9354</v>
      </c>
    </row>
    <row r="6" spans="2:11">
      <c r="B6" s="935">
        <f>ROW()-ROW(tblAuditoria[[#Headers],[N°]])</f>
        <v>2</v>
      </c>
      <c r="C6" s="978">
        <v>46293.93683766204</v>
      </c>
      <c r="D6" s="935" t="s">
        <v>9348</v>
      </c>
      <c r="E6" s="935" t="s">
        <v>9534</v>
      </c>
      <c r="F6" s="900" t="s">
        <v>9535</v>
      </c>
      <c r="G6" s="935" t="s">
        <v>9351</v>
      </c>
      <c r="H6" s="900" t="s">
        <v>9352</v>
      </c>
      <c r="I6" s="900"/>
      <c r="J6" s="900" t="s">
        <v>9536</v>
      </c>
      <c r="K6" s="935" t="s">
        <v>9537</v>
      </c>
    </row>
    <row r="7" spans="2:11">
      <c r="B7" s="935">
        <f>ROW()-ROW(tblAuditoria[[#Headers],[N°]])</f>
        <v>3</v>
      </c>
      <c r="C7" s="978">
        <v>46293.828275462962</v>
      </c>
      <c r="D7" s="935" t="s">
        <v>9842</v>
      </c>
      <c r="E7" s="935" t="s">
        <v>9391</v>
      </c>
      <c r="F7" s="900" t="s">
        <v>9843</v>
      </c>
      <c r="G7" s="935" t="s">
        <v>9844</v>
      </c>
      <c r="H7" s="900" t="s">
        <v>384</v>
      </c>
      <c r="I7" s="900" t="s">
        <v>9256</v>
      </c>
      <c r="J7" s="900" t="s">
        <v>2512</v>
      </c>
      <c r="K7" s="935" t="s">
        <v>9845</v>
      </c>
    </row>
    <row r="8" spans="2:11">
      <c r="B8" s="1096">
        <f>ROW()-ROW(tblAuditoria[[#Headers],[N°]])</f>
        <v>4</v>
      </c>
      <c r="C8" s="978">
        <v>46295.865464537041</v>
      </c>
      <c r="D8" s="1096" t="s">
        <v>9348</v>
      </c>
      <c r="E8" s="1096" t="s">
        <v>9534</v>
      </c>
      <c r="F8" s="900" t="s">
        <v>9350</v>
      </c>
      <c r="G8" s="1096" t="s">
        <v>9351</v>
      </c>
      <c r="H8" s="900" t="s">
        <v>9455</v>
      </c>
      <c r="I8" s="900"/>
      <c r="J8" s="900" t="s">
        <v>9970</v>
      </c>
      <c r="K8" s="1096" t="s">
        <v>9971</v>
      </c>
    </row>
    <row r="9" spans="2:11">
      <c r="B9" s="1096">
        <f>ROW()-ROW(tblAuditoria[[#Headers],[N°]])</f>
        <v>5</v>
      </c>
      <c r="C9" s="978">
        <v>46295.904955891208</v>
      </c>
      <c r="D9" s="1096" t="s">
        <v>9348</v>
      </c>
      <c r="E9" s="1096" t="s">
        <v>9534</v>
      </c>
      <c r="F9" s="900" t="s">
        <v>9979</v>
      </c>
      <c r="G9" s="1096" t="s">
        <v>9351</v>
      </c>
      <c r="H9" s="900" t="s">
        <v>9439</v>
      </c>
      <c r="I9" s="900"/>
      <c r="J9" s="900" t="s">
        <v>9980</v>
      </c>
      <c r="K9" s="1096" t="s">
        <v>9981</v>
      </c>
    </row>
    <row r="10" spans="2:11">
      <c r="B10" s="1096">
        <f>ROW()-ROW(tblAuditoria[[#Headers],[N°]])</f>
        <v>6</v>
      </c>
      <c r="C10" s="978">
        <v>46295.734178240738</v>
      </c>
      <c r="D10" s="1096" t="s">
        <v>9842</v>
      </c>
      <c r="E10" s="1096" t="s">
        <v>9391</v>
      </c>
      <c r="F10" s="900" t="s">
        <v>10220</v>
      </c>
      <c r="G10" s="1096" t="s">
        <v>9844</v>
      </c>
      <c r="H10" s="900" t="s">
        <v>384</v>
      </c>
      <c r="I10" s="900" t="s">
        <v>9256</v>
      </c>
      <c r="J10" s="900" t="s">
        <v>2512</v>
      </c>
      <c r="K10" s="1096" t="s">
        <v>9845</v>
      </c>
    </row>
    <row r="11" spans="2:11">
      <c r="B11" s="1100">
        <f>ROW()-ROW(tblAuditoria[[#Headers],[N°]])</f>
        <v>7</v>
      </c>
      <c r="C11" s="978">
        <v>46296.145884178244</v>
      </c>
      <c r="D11" s="1100" t="s">
        <v>9348</v>
      </c>
      <c r="E11" s="1100" t="s">
        <v>9349</v>
      </c>
      <c r="F11" s="900" t="s">
        <v>12592</v>
      </c>
      <c r="G11" s="1100" t="s">
        <v>9351</v>
      </c>
      <c r="H11" s="900" t="s">
        <v>12593</v>
      </c>
      <c r="I11" s="900" t="s">
        <v>12594</v>
      </c>
      <c r="J11" s="900" t="s">
        <v>12622</v>
      </c>
      <c r="K11" s="1100" t="s">
        <v>12595</v>
      </c>
    </row>
    <row r="12" spans="2:11">
      <c r="B12" s="1100">
        <f>ROW()-ROW(tblAuditoria[[#Headers],[N°]])</f>
        <v>8</v>
      </c>
      <c r="C12" s="978">
        <v>46296.145884178244</v>
      </c>
      <c r="D12" s="1100" t="s">
        <v>9348</v>
      </c>
      <c r="E12" s="1100" t="s">
        <v>9534</v>
      </c>
      <c r="F12" s="900" t="s">
        <v>12596</v>
      </c>
      <c r="G12" s="1100" t="s">
        <v>9351</v>
      </c>
      <c r="H12" s="900" t="s">
        <v>12597</v>
      </c>
      <c r="I12" s="900"/>
      <c r="J12" s="900" t="s">
        <v>12598</v>
      </c>
      <c r="K12" s="1100" t="s">
        <v>12595</v>
      </c>
    </row>
    <row r="13" spans="2:11">
      <c r="B13" s="1100">
        <f>ROW()-ROW(tblAuditoria[[#Headers],[N°]])</f>
        <v>9</v>
      </c>
      <c r="C13" s="978">
        <v>46296.145884178244</v>
      </c>
      <c r="D13" s="1100" t="s">
        <v>9348</v>
      </c>
      <c r="E13" s="1100" t="s">
        <v>9534</v>
      </c>
      <c r="F13" s="900" t="s">
        <v>12620</v>
      </c>
      <c r="G13" s="1100" t="s">
        <v>12599</v>
      </c>
      <c r="H13" s="900" t="s">
        <v>12600</v>
      </c>
      <c r="I13" s="900" t="s">
        <v>12601</v>
      </c>
      <c r="J13" s="900" t="s">
        <v>12602</v>
      </c>
      <c r="K13" s="1100" t="s">
        <v>12603</v>
      </c>
    </row>
    <row r="14" spans="2:11">
      <c r="B14" s="1100">
        <f>ROW()-ROW(tblAuditoria[[#Headers],[N°]])</f>
        <v>10</v>
      </c>
      <c r="C14" s="978">
        <v>46296.145884178244</v>
      </c>
      <c r="D14" s="1100" t="s">
        <v>9348</v>
      </c>
      <c r="E14" s="1100" t="s">
        <v>9534</v>
      </c>
      <c r="F14" s="900" t="s">
        <v>12621</v>
      </c>
      <c r="G14" s="1100" t="s">
        <v>12599</v>
      </c>
      <c r="H14" s="900" t="s">
        <v>12604</v>
      </c>
      <c r="I14" s="900" t="s">
        <v>12605</v>
      </c>
      <c r="J14" s="900" t="s">
        <v>12606</v>
      </c>
      <c r="K14" s="1100" t="s">
        <v>12595</v>
      </c>
    </row>
    <row r="15" spans="2:11">
      <c r="B15" s="1100">
        <f>ROW()-ROW(tblAuditoria[[#Headers],[N°]])</f>
        <v>11</v>
      </c>
      <c r="C15" s="978">
        <v>46296.145884178244</v>
      </c>
      <c r="D15" s="1100" t="s">
        <v>9348</v>
      </c>
      <c r="E15" s="1100" t="s">
        <v>9534</v>
      </c>
      <c r="F15" s="900" t="s">
        <v>12621</v>
      </c>
      <c r="G15" s="1100" t="s">
        <v>12599</v>
      </c>
      <c r="H15" s="900" t="s">
        <v>12607</v>
      </c>
      <c r="I15" s="900" t="s">
        <v>12605</v>
      </c>
      <c r="J15" s="900" t="s">
        <v>12608</v>
      </c>
      <c r="K15" s="1100" t="s">
        <v>12595</v>
      </c>
    </row>
    <row r="16" spans="2:11">
      <c r="B16" s="1100">
        <f>ROW()-ROW(tblAuditoria[[#Headers],[N°]])</f>
        <v>12</v>
      </c>
      <c r="C16" s="978">
        <v>46296.145884178244</v>
      </c>
      <c r="D16" s="1100" t="s">
        <v>9348</v>
      </c>
      <c r="E16" s="1100" t="s">
        <v>9534</v>
      </c>
      <c r="F16" s="900" t="s">
        <v>12621</v>
      </c>
      <c r="G16" s="1100" t="s">
        <v>12599</v>
      </c>
      <c r="H16" s="900" t="s">
        <v>12609</v>
      </c>
      <c r="I16" s="900" t="s">
        <v>12605</v>
      </c>
      <c r="J16" s="900" t="s">
        <v>12608</v>
      </c>
      <c r="K16" s="1100" t="s">
        <v>12595</v>
      </c>
    </row>
    <row r="17" spans="2:11">
      <c r="B17" s="1100">
        <f>ROW()-ROW(tblAuditoria[[#Headers],[N°]])</f>
        <v>13</v>
      </c>
      <c r="C17" s="978">
        <v>46296.145884178244</v>
      </c>
      <c r="D17" s="1100" t="s">
        <v>9348</v>
      </c>
      <c r="E17" s="1100" t="s">
        <v>9583</v>
      </c>
      <c r="F17" s="900" t="s">
        <v>12610</v>
      </c>
      <c r="G17" s="1100" t="s">
        <v>9351</v>
      </c>
      <c r="H17" s="900" t="s">
        <v>12611</v>
      </c>
      <c r="I17" s="900"/>
      <c r="J17" s="900" t="s">
        <v>12612</v>
      </c>
      <c r="K17" s="1100" t="s">
        <v>12595</v>
      </c>
    </row>
    <row r="18" spans="2:11">
      <c r="B18" s="1100">
        <f>ROW()-ROW(tblAuditoria[[#Headers],[N°]])</f>
        <v>14</v>
      </c>
      <c r="C18" s="978">
        <v>46296.145884178244</v>
      </c>
      <c r="D18" s="1100" t="s">
        <v>9348</v>
      </c>
      <c r="E18" s="1100" t="s">
        <v>12613</v>
      </c>
      <c r="F18" s="900" t="s">
        <v>12614</v>
      </c>
      <c r="G18" s="1100" t="s">
        <v>9351</v>
      </c>
      <c r="H18" s="900" t="s">
        <v>12615</v>
      </c>
      <c r="I18" s="900"/>
      <c r="J18" s="900" t="s">
        <v>12616</v>
      </c>
      <c r="K18" s="1100" t="s">
        <v>12595</v>
      </c>
    </row>
    <row r="19" spans="2:11">
      <c r="B19" s="1100">
        <f>ROW()-ROW(tblAuditoria[[#Headers],[N°]])</f>
        <v>15</v>
      </c>
      <c r="C19" s="978">
        <v>46296.145884178244</v>
      </c>
      <c r="D19" s="1100" t="s">
        <v>9348</v>
      </c>
      <c r="E19" s="1100" t="s">
        <v>12617</v>
      </c>
      <c r="F19" s="900" t="s">
        <v>12614</v>
      </c>
      <c r="G19" s="1100" t="s">
        <v>9351</v>
      </c>
      <c r="H19" s="900" t="s">
        <v>12618</v>
      </c>
      <c r="I19" s="900"/>
      <c r="J19" s="900" t="s">
        <v>12619</v>
      </c>
      <c r="K19" s="1100" t="s">
        <v>12595</v>
      </c>
    </row>
    <row r="20" spans="2:11">
      <c r="F20" s="900"/>
      <c r="H20" s="900"/>
      <c r="I20" s="900"/>
      <c r="J20" s="900"/>
    </row>
    <row r="21" spans="2:11">
      <c r="F21" s="900"/>
      <c r="H21" s="900"/>
      <c r="I21" s="900"/>
      <c r="J21" s="900"/>
    </row>
    <row r="22" spans="2:11">
      <c r="F22" s="900"/>
      <c r="H22" s="900"/>
      <c r="I22" s="900"/>
      <c r="J22" s="900"/>
    </row>
    <row r="23" spans="2:11">
      <c r="F23" s="900"/>
      <c r="H23" s="900"/>
      <c r="I23" s="900"/>
      <c r="J23" s="900"/>
    </row>
    <row r="24" spans="2:11">
      <c r="F24" s="900"/>
      <c r="H24" s="900"/>
      <c r="I24" s="900"/>
      <c r="J24" s="900"/>
    </row>
    <row r="25" spans="2:11">
      <c r="F25" s="900"/>
      <c r="H25" s="900"/>
      <c r="I25" s="900"/>
      <c r="J25" s="900"/>
    </row>
    <row r="26" spans="2:11">
      <c r="F26" s="900"/>
      <c r="H26" s="900"/>
      <c r="I26" s="900"/>
      <c r="J26" s="900"/>
    </row>
    <row r="27" spans="2:11">
      <c r="F27" s="900"/>
      <c r="H27" s="900"/>
      <c r="I27" s="900"/>
      <c r="J27" s="900"/>
    </row>
    <row r="28" spans="2:11">
      <c r="F28" s="900"/>
      <c r="H28" s="900"/>
      <c r="I28" s="900"/>
      <c r="J28" s="900"/>
    </row>
    <row r="29" spans="2:11">
      <c r="F29" s="900"/>
      <c r="H29" s="900"/>
      <c r="I29" s="900"/>
      <c r="J29" s="900"/>
    </row>
    <row r="30" spans="2:11">
      <c r="F30" s="900"/>
      <c r="H30" s="900"/>
      <c r="I30" s="900"/>
      <c r="J30" s="900"/>
    </row>
    <row r="31" spans="2:11">
      <c r="F31" s="900"/>
      <c r="H31" s="900"/>
      <c r="I31" s="900"/>
      <c r="J31" s="900"/>
    </row>
    <row r="32" spans="2:11">
      <c r="F32" s="900"/>
      <c r="H32" s="900"/>
      <c r="I32" s="900"/>
      <c r="J32" s="900"/>
    </row>
    <row r="33" spans="6:10">
      <c r="F33" s="900"/>
      <c r="H33" s="900"/>
      <c r="I33" s="900"/>
      <c r="J33" s="900"/>
    </row>
    <row r="34" spans="6:10">
      <c r="F34" s="900"/>
      <c r="H34" s="900"/>
      <c r="I34" s="900"/>
      <c r="J34" s="900"/>
    </row>
    <row r="35" spans="6:10">
      <c r="F35" s="900"/>
      <c r="H35" s="900"/>
      <c r="I35" s="900"/>
      <c r="J35" s="900"/>
    </row>
    <row r="36" spans="6:10">
      <c r="F36" s="900"/>
      <c r="H36" s="900"/>
      <c r="I36" s="900"/>
      <c r="J36" s="900"/>
    </row>
    <row r="37" spans="6:10">
      <c r="F37" s="900"/>
      <c r="H37" s="900"/>
      <c r="I37" s="900"/>
      <c r="J37" s="900"/>
    </row>
    <row r="38" spans="6:10">
      <c r="F38" s="900"/>
      <c r="H38" s="900"/>
      <c r="I38" s="900"/>
      <c r="J38" s="900"/>
    </row>
    <row r="39" spans="6:10">
      <c r="F39" s="900"/>
      <c r="H39" s="900"/>
      <c r="I39" s="900"/>
      <c r="J39" s="900"/>
    </row>
    <row r="40" spans="6:10">
      <c r="F40" s="900"/>
      <c r="H40" s="900"/>
      <c r="I40" s="900"/>
      <c r="J40" s="900"/>
    </row>
    <row r="41" spans="6:10">
      <c r="F41" s="900"/>
      <c r="H41" s="900"/>
      <c r="I41" s="900"/>
      <c r="J41" s="900"/>
    </row>
    <row r="42" spans="6:10">
      <c r="F42" s="900"/>
      <c r="H42" s="900"/>
      <c r="I42" s="900"/>
      <c r="J42" s="900"/>
    </row>
    <row r="43" spans="6:10">
      <c r="F43" s="900"/>
      <c r="H43" s="900"/>
      <c r="I43" s="900"/>
      <c r="J43" s="900"/>
    </row>
    <row r="44" spans="6:10">
      <c r="F44" s="900"/>
      <c r="H44" s="900"/>
      <c r="I44" s="900"/>
      <c r="J44" s="900"/>
    </row>
    <row r="45" spans="6:10">
      <c r="F45" s="900"/>
      <c r="H45" s="900"/>
      <c r="I45" s="900"/>
      <c r="J45" s="900"/>
    </row>
    <row r="46" spans="6:10">
      <c r="F46" s="900"/>
      <c r="H46" s="900"/>
      <c r="I46" s="900"/>
      <c r="J46" s="900"/>
    </row>
    <row r="47" spans="6:10">
      <c r="F47" s="900"/>
      <c r="H47" s="900"/>
      <c r="I47" s="900"/>
      <c r="J47" s="900"/>
    </row>
    <row r="48" spans="6:10">
      <c r="F48" s="900"/>
      <c r="H48" s="900"/>
      <c r="I48" s="900"/>
      <c r="J48" s="900"/>
    </row>
    <row r="49" spans="6:10">
      <c r="F49" s="900"/>
      <c r="H49" s="900"/>
      <c r="I49" s="900"/>
      <c r="J49" s="900"/>
    </row>
    <row r="50" spans="6:10">
      <c r="F50" s="900"/>
      <c r="H50" s="900"/>
      <c r="I50" s="900"/>
      <c r="J50" s="900"/>
    </row>
    <row r="51" spans="6:10">
      <c r="F51" s="900"/>
      <c r="H51" s="900"/>
      <c r="I51" s="900"/>
      <c r="J51" s="900"/>
    </row>
    <row r="52" spans="6:10">
      <c r="F52" s="900"/>
      <c r="H52" s="900"/>
      <c r="I52" s="900"/>
      <c r="J52" s="900"/>
    </row>
    <row r="53" spans="6:10">
      <c r="F53" s="900"/>
      <c r="H53" s="900"/>
      <c r="I53" s="900"/>
      <c r="J53" s="900"/>
    </row>
    <row r="54" spans="6:10">
      <c r="F54" s="900"/>
      <c r="H54" s="900"/>
      <c r="I54" s="900"/>
      <c r="J54" s="900"/>
    </row>
    <row r="55" spans="6:10">
      <c r="F55" s="900"/>
      <c r="H55" s="900"/>
      <c r="I55" s="900"/>
      <c r="J55" s="900"/>
    </row>
    <row r="56" spans="6:10">
      <c r="F56" s="900"/>
      <c r="H56" s="900"/>
      <c r="I56" s="900"/>
      <c r="J56" s="900"/>
    </row>
    <row r="57" spans="6:10">
      <c r="F57" s="900"/>
      <c r="H57" s="900"/>
      <c r="I57" s="900"/>
      <c r="J57" s="900"/>
    </row>
    <row r="58" spans="6:10">
      <c r="F58" s="900"/>
      <c r="H58" s="900"/>
      <c r="I58" s="900"/>
      <c r="J58" s="900"/>
    </row>
    <row r="59" spans="6:10">
      <c r="F59" s="900"/>
      <c r="H59" s="900"/>
      <c r="I59" s="900"/>
      <c r="J59" s="900"/>
    </row>
    <row r="60" spans="6:10">
      <c r="F60" s="900"/>
      <c r="H60" s="900"/>
      <c r="I60" s="900"/>
      <c r="J60" s="900"/>
    </row>
    <row r="61" spans="6:10">
      <c r="F61" s="900"/>
      <c r="H61" s="900"/>
      <c r="I61" s="900"/>
      <c r="J61" s="900"/>
    </row>
    <row r="62" spans="6:10">
      <c r="F62" s="900"/>
      <c r="H62" s="900"/>
      <c r="I62" s="900"/>
      <c r="J62" s="900"/>
    </row>
    <row r="63" spans="6:10">
      <c r="F63" s="900"/>
      <c r="H63" s="900"/>
      <c r="I63" s="900"/>
      <c r="J63" s="900"/>
    </row>
    <row r="64" spans="6:10">
      <c r="F64" s="900"/>
      <c r="H64" s="900"/>
      <c r="I64" s="900"/>
      <c r="J64" s="900"/>
    </row>
    <row r="65" spans="6:10">
      <c r="F65" s="900"/>
      <c r="H65" s="900"/>
      <c r="I65" s="900"/>
      <c r="J65" s="900"/>
    </row>
    <row r="66" spans="6:10">
      <c r="F66" s="900"/>
      <c r="H66" s="900"/>
      <c r="I66" s="900"/>
      <c r="J66" s="900"/>
    </row>
    <row r="67" spans="6:10">
      <c r="F67" s="900"/>
      <c r="H67" s="900"/>
      <c r="I67" s="900"/>
      <c r="J67" s="900"/>
    </row>
    <row r="68" spans="6:10">
      <c r="F68" s="900"/>
      <c r="H68" s="900"/>
      <c r="I68" s="900"/>
      <c r="J68" s="900"/>
    </row>
    <row r="69" spans="6:10">
      <c r="F69" s="900"/>
      <c r="H69" s="900"/>
      <c r="I69" s="900"/>
      <c r="J69" s="900"/>
    </row>
    <row r="70" spans="6:10">
      <c r="F70" s="900"/>
      <c r="H70" s="900"/>
      <c r="I70" s="900"/>
      <c r="J70" s="900"/>
    </row>
    <row r="71" spans="6:10">
      <c r="F71" s="900"/>
      <c r="H71" s="900"/>
      <c r="I71" s="900"/>
      <c r="J71" s="900"/>
    </row>
    <row r="72" spans="6:10">
      <c r="F72" s="900"/>
      <c r="H72" s="900"/>
      <c r="I72" s="900"/>
      <c r="J72" s="900"/>
    </row>
    <row r="73" spans="6:10">
      <c r="F73" s="900"/>
      <c r="H73" s="900"/>
      <c r="I73" s="900"/>
      <c r="J73" s="900"/>
    </row>
    <row r="74" spans="6:10">
      <c r="F74" s="900"/>
      <c r="H74" s="900"/>
      <c r="I74" s="900"/>
      <c r="J74" s="900"/>
    </row>
    <row r="75" spans="6:10">
      <c r="F75" s="900"/>
      <c r="H75" s="900"/>
      <c r="I75" s="900"/>
      <c r="J75" s="900"/>
    </row>
    <row r="76" spans="6:10">
      <c r="F76" s="900"/>
      <c r="H76" s="900"/>
      <c r="I76" s="900"/>
      <c r="J76" s="900"/>
    </row>
    <row r="77" spans="6:10">
      <c r="F77" s="900"/>
      <c r="H77" s="900"/>
      <c r="I77" s="900"/>
      <c r="J77" s="900"/>
    </row>
    <row r="78" spans="6:10">
      <c r="F78" s="900"/>
      <c r="H78" s="900"/>
      <c r="I78" s="900"/>
      <c r="J78" s="900"/>
    </row>
    <row r="79" spans="6:10">
      <c r="F79" s="900"/>
      <c r="H79" s="900"/>
      <c r="I79" s="900"/>
      <c r="J79" s="900"/>
    </row>
    <row r="80" spans="6:10">
      <c r="F80" s="900"/>
      <c r="H80" s="900"/>
      <c r="I80" s="900"/>
      <c r="J80" s="900"/>
    </row>
    <row r="81" spans="6:10">
      <c r="F81" s="900"/>
      <c r="H81" s="900"/>
      <c r="I81" s="900"/>
      <c r="J81" s="900"/>
    </row>
    <row r="82" spans="6:10">
      <c r="F82" s="900"/>
      <c r="H82" s="900"/>
      <c r="I82" s="900"/>
      <c r="J82" s="900"/>
    </row>
    <row r="83" spans="6:10">
      <c r="F83" s="900"/>
      <c r="H83" s="900"/>
      <c r="I83" s="900"/>
      <c r="J83" s="900"/>
    </row>
    <row r="84" spans="6:10">
      <c r="F84" s="900"/>
      <c r="H84" s="900"/>
      <c r="I84" s="900"/>
      <c r="J84" s="900"/>
    </row>
    <row r="85" spans="6:10">
      <c r="F85" s="900"/>
      <c r="H85" s="900"/>
      <c r="I85" s="900"/>
      <c r="J85" s="900"/>
    </row>
    <row r="86" spans="6:10">
      <c r="F86" s="900"/>
      <c r="H86" s="900"/>
      <c r="I86" s="900"/>
      <c r="J86" s="900"/>
    </row>
    <row r="87" spans="6:10">
      <c r="F87" s="900"/>
      <c r="H87" s="900"/>
      <c r="I87" s="900"/>
      <c r="J87" s="900"/>
    </row>
    <row r="88" spans="6:10">
      <c r="F88" s="900"/>
      <c r="H88" s="900"/>
      <c r="I88" s="900"/>
      <c r="J88" s="900"/>
    </row>
    <row r="89" spans="6:10">
      <c r="F89" s="900"/>
      <c r="H89" s="900"/>
      <c r="I89" s="900"/>
      <c r="J89" s="900"/>
    </row>
    <row r="90" spans="6:10">
      <c r="F90" s="900"/>
      <c r="H90" s="900"/>
      <c r="I90" s="900"/>
      <c r="J90" s="900"/>
    </row>
    <row r="91" spans="6:10">
      <c r="F91" s="900"/>
      <c r="H91" s="900"/>
      <c r="I91" s="900"/>
      <c r="J91" s="900"/>
    </row>
    <row r="92" spans="6:10">
      <c r="F92" s="900"/>
      <c r="H92" s="900"/>
      <c r="I92" s="900"/>
      <c r="J92" s="900"/>
    </row>
    <row r="93" spans="6:10">
      <c r="F93" s="900"/>
      <c r="H93" s="900"/>
      <c r="I93" s="900"/>
      <c r="J93" s="900"/>
    </row>
    <row r="94" spans="6:10">
      <c r="F94" s="900"/>
      <c r="H94" s="900"/>
      <c r="I94" s="900"/>
      <c r="J94" s="900"/>
    </row>
    <row r="95" spans="6:10">
      <c r="F95" s="900"/>
      <c r="H95" s="900"/>
      <c r="I95" s="900"/>
      <c r="J95" s="900"/>
    </row>
    <row r="96" spans="6:10">
      <c r="F96" s="900"/>
      <c r="H96" s="900"/>
      <c r="I96" s="900"/>
      <c r="J96" s="900"/>
    </row>
    <row r="97" spans="6:10">
      <c r="F97" s="900"/>
      <c r="H97" s="900"/>
      <c r="I97" s="900"/>
      <c r="J97" s="900"/>
    </row>
    <row r="98" spans="6:10">
      <c r="F98" s="900"/>
      <c r="H98" s="900"/>
      <c r="I98" s="900"/>
      <c r="J98" s="900"/>
    </row>
    <row r="99" spans="6:10">
      <c r="F99" s="900"/>
      <c r="H99" s="900"/>
      <c r="I99" s="900"/>
      <c r="J99" s="900"/>
    </row>
    <row r="100" spans="6:10">
      <c r="F100" s="900"/>
      <c r="H100" s="900"/>
      <c r="I100" s="900"/>
      <c r="J100" s="900"/>
    </row>
    <row r="101" spans="6:10">
      <c r="F101" s="900"/>
      <c r="H101" s="900"/>
      <c r="I101" s="900"/>
      <c r="J101" s="900"/>
    </row>
    <row r="102" spans="6:10">
      <c r="F102" s="900"/>
      <c r="H102" s="900"/>
      <c r="I102" s="900"/>
      <c r="J102" s="900"/>
    </row>
    <row r="103" spans="6:10">
      <c r="F103" s="900"/>
      <c r="H103" s="900"/>
      <c r="I103" s="900"/>
      <c r="J103" s="900"/>
    </row>
    <row r="104" spans="6:10">
      <c r="F104" s="900"/>
      <c r="H104" s="900"/>
      <c r="I104" s="900"/>
      <c r="J104" s="900"/>
    </row>
    <row r="105" spans="6:10">
      <c r="F105" s="900"/>
      <c r="H105" s="900"/>
      <c r="I105" s="900"/>
      <c r="J105" s="900"/>
    </row>
    <row r="106" spans="6:10">
      <c r="F106" s="900"/>
      <c r="H106" s="900"/>
      <c r="I106" s="900"/>
      <c r="J106" s="900"/>
    </row>
    <row r="107" spans="6:10">
      <c r="F107" s="900"/>
      <c r="H107" s="900"/>
      <c r="I107" s="900"/>
      <c r="J107" s="900"/>
    </row>
    <row r="108" spans="6:10">
      <c r="F108" s="900"/>
      <c r="H108" s="900"/>
      <c r="I108" s="900"/>
      <c r="J108" s="900"/>
    </row>
    <row r="109" spans="6:10">
      <c r="F109" s="900"/>
      <c r="H109" s="900"/>
      <c r="I109" s="900"/>
      <c r="J109" s="900"/>
    </row>
    <row r="110" spans="6:10">
      <c r="F110" s="900"/>
      <c r="H110" s="900"/>
      <c r="I110" s="900"/>
      <c r="J110" s="900"/>
    </row>
    <row r="111" spans="6:10">
      <c r="F111" s="900"/>
      <c r="H111" s="900"/>
      <c r="I111" s="900"/>
      <c r="J111" s="900"/>
    </row>
    <row r="112" spans="6:10">
      <c r="F112" s="900"/>
      <c r="H112" s="900"/>
      <c r="I112" s="900"/>
      <c r="J112" s="900"/>
    </row>
    <row r="113" spans="6:10">
      <c r="F113" s="900"/>
      <c r="H113" s="900"/>
      <c r="I113" s="900"/>
      <c r="J113" s="900"/>
    </row>
    <row r="114" spans="6:10">
      <c r="F114" s="900"/>
      <c r="H114" s="900"/>
      <c r="I114" s="900"/>
      <c r="J114" s="900"/>
    </row>
    <row r="115" spans="6:10">
      <c r="F115" s="900"/>
      <c r="H115" s="900"/>
      <c r="I115" s="900"/>
      <c r="J115" s="900"/>
    </row>
    <row r="116" spans="6:10">
      <c r="F116" s="900"/>
      <c r="H116" s="900"/>
      <c r="I116" s="900"/>
      <c r="J116" s="900"/>
    </row>
    <row r="117" spans="6:10">
      <c r="F117" s="900"/>
      <c r="H117" s="900"/>
      <c r="I117" s="900"/>
      <c r="J117" s="900"/>
    </row>
    <row r="118" spans="6:10">
      <c r="F118" s="900"/>
      <c r="H118" s="900"/>
      <c r="I118" s="900"/>
      <c r="J118" s="900"/>
    </row>
    <row r="119" spans="6:10">
      <c r="F119" s="900"/>
      <c r="H119" s="900"/>
      <c r="I119" s="900"/>
      <c r="J119" s="900"/>
    </row>
    <row r="120" spans="6:10">
      <c r="F120" s="900"/>
      <c r="H120" s="900"/>
      <c r="I120" s="900"/>
      <c r="J120" s="900"/>
    </row>
    <row r="121" spans="6:10">
      <c r="F121" s="900"/>
      <c r="H121" s="900"/>
      <c r="I121" s="900"/>
      <c r="J121" s="900"/>
    </row>
    <row r="122" spans="6:10">
      <c r="F122" s="900"/>
      <c r="H122" s="900"/>
      <c r="I122" s="900"/>
      <c r="J122" s="900"/>
    </row>
    <row r="123" spans="6:10">
      <c r="F123" s="900"/>
      <c r="H123" s="900"/>
      <c r="I123" s="900"/>
      <c r="J123" s="900"/>
    </row>
    <row r="124" spans="6:10">
      <c r="F124" s="900"/>
      <c r="H124" s="900"/>
      <c r="I124" s="900"/>
      <c r="J124" s="900"/>
    </row>
    <row r="125" spans="6:10">
      <c r="F125" s="900"/>
      <c r="H125" s="900"/>
      <c r="I125" s="900"/>
      <c r="J125" s="900"/>
    </row>
    <row r="126" spans="6:10">
      <c r="F126" s="900"/>
      <c r="H126" s="900"/>
      <c r="I126" s="900"/>
      <c r="J126" s="900"/>
    </row>
    <row r="127" spans="6:10">
      <c r="F127" s="900"/>
      <c r="H127" s="900"/>
      <c r="I127" s="900"/>
      <c r="J127" s="900"/>
    </row>
    <row r="128" spans="6:10">
      <c r="F128" s="900"/>
      <c r="H128" s="900"/>
      <c r="I128" s="900"/>
      <c r="J128" s="900"/>
    </row>
    <row r="129" spans="6:10">
      <c r="F129" s="900"/>
      <c r="H129" s="900"/>
      <c r="I129" s="900"/>
      <c r="J129" s="900"/>
    </row>
    <row r="130" spans="6:10">
      <c r="F130" s="900"/>
      <c r="H130" s="900"/>
      <c r="I130" s="900"/>
      <c r="J130" s="900"/>
    </row>
    <row r="131" spans="6:10">
      <c r="F131" s="900"/>
      <c r="H131" s="900"/>
      <c r="I131" s="900"/>
      <c r="J131" s="900"/>
    </row>
    <row r="132" spans="6:10">
      <c r="F132" s="900"/>
      <c r="H132" s="900"/>
      <c r="I132" s="900"/>
      <c r="J132" s="900"/>
    </row>
    <row r="133" spans="6:10">
      <c r="F133" s="900"/>
      <c r="H133" s="900"/>
      <c r="I133" s="900"/>
      <c r="J133" s="900"/>
    </row>
    <row r="134" spans="6:10">
      <c r="F134" s="900"/>
      <c r="H134" s="900"/>
      <c r="I134" s="900"/>
      <c r="J134" s="900"/>
    </row>
    <row r="135" spans="6:10">
      <c r="F135" s="900"/>
      <c r="H135" s="900"/>
      <c r="I135" s="900"/>
      <c r="J135" s="900"/>
    </row>
    <row r="136" spans="6:10">
      <c r="F136" s="900"/>
      <c r="H136" s="900"/>
      <c r="I136" s="900"/>
      <c r="J136" s="900"/>
    </row>
    <row r="137" spans="6:10">
      <c r="F137" s="900"/>
      <c r="H137" s="900"/>
      <c r="I137" s="900"/>
      <c r="J137" s="900"/>
    </row>
    <row r="138" spans="6:10">
      <c r="F138" s="900"/>
      <c r="H138" s="900"/>
      <c r="I138" s="900"/>
      <c r="J138" s="900"/>
    </row>
    <row r="139" spans="6:10">
      <c r="F139" s="900"/>
      <c r="H139" s="900"/>
      <c r="I139" s="900"/>
      <c r="J139" s="900"/>
    </row>
    <row r="140" spans="6:10">
      <c r="F140" s="900"/>
      <c r="H140" s="900"/>
      <c r="I140" s="900"/>
      <c r="J140" s="900"/>
    </row>
    <row r="141" spans="6:10">
      <c r="F141" s="900"/>
      <c r="H141" s="900"/>
      <c r="I141" s="900"/>
      <c r="J141" s="900"/>
    </row>
    <row r="142" spans="6:10">
      <c r="F142" s="900"/>
      <c r="H142" s="900"/>
      <c r="I142" s="900"/>
      <c r="J142" s="900"/>
    </row>
    <row r="143" spans="6:10">
      <c r="F143" s="900"/>
      <c r="H143" s="900"/>
      <c r="I143" s="900"/>
      <c r="J143" s="900"/>
    </row>
    <row r="144" spans="6:10">
      <c r="F144" s="900"/>
      <c r="H144" s="900"/>
      <c r="I144" s="900"/>
      <c r="J144" s="900"/>
    </row>
    <row r="145" spans="6:10">
      <c r="F145" s="900"/>
      <c r="H145" s="900"/>
      <c r="I145" s="900"/>
      <c r="J145" s="900"/>
    </row>
    <row r="146" spans="6:10">
      <c r="F146" s="900"/>
      <c r="H146" s="900"/>
      <c r="I146" s="900"/>
      <c r="J146" s="900"/>
    </row>
    <row r="147" spans="6:10">
      <c r="F147" s="900"/>
      <c r="H147" s="900"/>
      <c r="I147" s="900"/>
      <c r="J147" s="900"/>
    </row>
    <row r="148" spans="6:10">
      <c r="F148" s="900"/>
      <c r="H148" s="900"/>
      <c r="I148" s="900"/>
      <c r="J148" s="900"/>
    </row>
    <row r="149" spans="6:10">
      <c r="F149" s="900"/>
      <c r="H149" s="900"/>
      <c r="I149" s="900"/>
      <c r="J149" s="900"/>
    </row>
    <row r="150" spans="6:10">
      <c r="F150" s="900"/>
      <c r="H150" s="900"/>
      <c r="I150" s="900"/>
      <c r="J150" s="900"/>
    </row>
    <row r="151" spans="6:10">
      <c r="F151" s="900"/>
      <c r="H151" s="900"/>
      <c r="I151" s="900"/>
      <c r="J151" s="900"/>
    </row>
    <row r="152" spans="6:10">
      <c r="F152" s="900"/>
      <c r="H152" s="900"/>
      <c r="I152" s="900"/>
      <c r="J152" s="900"/>
    </row>
    <row r="153" spans="6:10">
      <c r="F153" s="900"/>
      <c r="H153" s="900"/>
      <c r="I153" s="900"/>
      <c r="J153" s="900"/>
    </row>
    <row r="154" spans="6:10">
      <c r="F154" s="900"/>
      <c r="H154" s="900"/>
      <c r="I154" s="900"/>
      <c r="J154" s="900"/>
    </row>
    <row r="155" spans="6:10">
      <c r="F155" s="900"/>
      <c r="H155" s="900"/>
      <c r="I155" s="900"/>
      <c r="J155" s="900"/>
    </row>
    <row r="156" spans="6:10">
      <c r="F156" s="900"/>
      <c r="H156" s="900"/>
      <c r="I156" s="900"/>
      <c r="J156" s="900"/>
    </row>
    <row r="157" spans="6:10">
      <c r="F157" s="900"/>
      <c r="H157" s="900"/>
      <c r="I157" s="900"/>
      <c r="J157" s="900"/>
    </row>
    <row r="158" spans="6:10">
      <c r="F158" s="900"/>
      <c r="H158" s="900"/>
      <c r="I158" s="900"/>
      <c r="J158" s="900"/>
    </row>
    <row r="159" spans="6:10">
      <c r="F159" s="900"/>
      <c r="H159" s="900"/>
      <c r="I159" s="900"/>
      <c r="J159" s="900"/>
    </row>
    <row r="160" spans="6:10">
      <c r="F160" s="900"/>
      <c r="H160" s="900"/>
      <c r="I160" s="900"/>
      <c r="J160" s="900"/>
    </row>
    <row r="161" spans="6:10">
      <c r="F161" s="900"/>
      <c r="H161" s="900"/>
      <c r="I161" s="900"/>
      <c r="J161" s="900"/>
    </row>
    <row r="162" spans="6:10">
      <c r="F162" s="900"/>
      <c r="H162" s="900"/>
      <c r="I162" s="900"/>
      <c r="J162" s="900"/>
    </row>
    <row r="163" spans="6:10">
      <c r="F163" s="900"/>
      <c r="H163" s="900"/>
      <c r="I163" s="900"/>
      <c r="J163" s="900"/>
    </row>
    <row r="164" spans="6:10">
      <c r="F164" s="900"/>
      <c r="H164" s="900"/>
      <c r="I164" s="900"/>
      <c r="J164" s="900"/>
    </row>
    <row r="165" spans="6:10">
      <c r="F165" s="900"/>
      <c r="H165" s="900"/>
      <c r="I165" s="900"/>
      <c r="J165" s="900"/>
    </row>
    <row r="166" spans="6:10">
      <c r="F166" s="900"/>
      <c r="H166" s="900"/>
      <c r="I166" s="900"/>
      <c r="J166" s="900"/>
    </row>
    <row r="167" spans="6:10">
      <c r="F167" s="900"/>
      <c r="H167" s="900"/>
      <c r="I167" s="900"/>
      <c r="J167" s="900"/>
    </row>
    <row r="168" spans="6:10">
      <c r="F168" s="900"/>
      <c r="H168" s="900"/>
      <c r="I168" s="900"/>
      <c r="J168" s="900"/>
    </row>
    <row r="169" spans="6:10">
      <c r="F169" s="900"/>
      <c r="H169" s="900"/>
      <c r="I169" s="900"/>
      <c r="J169" s="900"/>
    </row>
    <row r="170" spans="6:10">
      <c r="F170" s="900"/>
      <c r="H170" s="900"/>
      <c r="I170" s="900"/>
      <c r="J170" s="900"/>
    </row>
    <row r="171" spans="6:10">
      <c r="F171" s="900"/>
      <c r="H171" s="900"/>
      <c r="I171" s="900"/>
      <c r="J171" s="900"/>
    </row>
    <row r="172" spans="6:10">
      <c r="F172" s="900"/>
      <c r="H172" s="900"/>
      <c r="I172" s="900"/>
      <c r="J172" s="900"/>
    </row>
    <row r="173" spans="6:10">
      <c r="F173" s="900"/>
      <c r="H173" s="900"/>
      <c r="I173" s="900"/>
      <c r="J173" s="900"/>
    </row>
    <row r="174" spans="6:10">
      <c r="F174" s="900"/>
      <c r="H174" s="900"/>
      <c r="I174" s="900"/>
      <c r="J174" s="900"/>
    </row>
    <row r="175" spans="6:10">
      <c r="F175" s="900"/>
      <c r="H175" s="900"/>
      <c r="I175" s="900"/>
      <c r="J175" s="900"/>
    </row>
    <row r="176" spans="6:10">
      <c r="F176" s="900"/>
      <c r="H176" s="900"/>
      <c r="I176" s="900"/>
      <c r="J176" s="900"/>
    </row>
    <row r="177" spans="6:10">
      <c r="F177" s="900"/>
      <c r="H177" s="900"/>
      <c r="I177" s="900"/>
      <c r="J177" s="900"/>
    </row>
    <row r="178" spans="6:10">
      <c r="F178" s="900"/>
      <c r="H178" s="900"/>
      <c r="I178" s="900"/>
      <c r="J178" s="900"/>
    </row>
    <row r="179" spans="6:10">
      <c r="F179" s="900"/>
      <c r="H179" s="900"/>
      <c r="I179" s="900"/>
      <c r="J179" s="900"/>
    </row>
    <row r="180" spans="6:10">
      <c r="F180" s="900"/>
      <c r="H180" s="900"/>
      <c r="I180" s="900"/>
      <c r="J180" s="900"/>
    </row>
    <row r="181" spans="6:10">
      <c r="F181" s="900"/>
      <c r="H181" s="900"/>
      <c r="I181" s="900"/>
      <c r="J181" s="900"/>
    </row>
    <row r="182" spans="6:10">
      <c r="F182" s="900"/>
      <c r="H182" s="900"/>
      <c r="I182" s="900"/>
      <c r="J182" s="900"/>
    </row>
    <row r="183" spans="6:10">
      <c r="F183" s="900"/>
      <c r="H183" s="900"/>
      <c r="I183" s="900"/>
      <c r="J183" s="900"/>
    </row>
    <row r="184" spans="6:10">
      <c r="F184" s="900"/>
      <c r="H184" s="900"/>
      <c r="I184" s="900"/>
      <c r="J184" s="900"/>
    </row>
    <row r="185" spans="6:10">
      <c r="F185" s="900"/>
      <c r="H185" s="900"/>
      <c r="I185" s="900"/>
      <c r="J185" s="900"/>
    </row>
    <row r="186" spans="6:10">
      <c r="F186" s="900"/>
      <c r="H186" s="900"/>
      <c r="I186" s="900"/>
      <c r="J186" s="900"/>
    </row>
    <row r="187" spans="6:10">
      <c r="F187" s="900"/>
      <c r="H187" s="900"/>
      <c r="I187" s="900"/>
      <c r="J187" s="900"/>
    </row>
    <row r="188" spans="6:10">
      <c r="F188" s="900"/>
      <c r="H188" s="900"/>
      <c r="I188" s="900"/>
      <c r="J188" s="900"/>
    </row>
    <row r="189" spans="6:10">
      <c r="F189" s="900"/>
      <c r="H189" s="900"/>
      <c r="I189" s="900"/>
      <c r="J189" s="900"/>
    </row>
    <row r="190" spans="6:10">
      <c r="F190" s="900"/>
      <c r="H190" s="900"/>
      <c r="I190" s="900"/>
      <c r="J190" s="900"/>
    </row>
    <row r="191" spans="6:10">
      <c r="F191" s="900"/>
      <c r="H191" s="900"/>
      <c r="I191" s="900"/>
      <c r="J191" s="900"/>
    </row>
    <row r="192" spans="6:10">
      <c r="F192" s="900"/>
      <c r="H192" s="900"/>
      <c r="I192" s="900"/>
      <c r="J192" s="900"/>
    </row>
    <row r="193" spans="6:10">
      <c r="F193" s="900"/>
      <c r="H193" s="900"/>
      <c r="I193" s="900"/>
      <c r="J193" s="900"/>
    </row>
    <row r="194" spans="6:10">
      <c r="F194" s="900"/>
      <c r="H194" s="900"/>
      <c r="I194" s="900"/>
      <c r="J194" s="900"/>
    </row>
    <row r="195" spans="6:10">
      <c r="F195" s="900"/>
      <c r="H195" s="900"/>
      <c r="I195" s="900"/>
      <c r="J195" s="900"/>
    </row>
    <row r="196" spans="6:10">
      <c r="F196" s="900"/>
      <c r="H196" s="900"/>
      <c r="I196" s="900"/>
      <c r="J196" s="900"/>
    </row>
    <row r="197" spans="6:10">
      <c r="F197" s="900"/>
      <c r="H197" s="900"/>
      <c r="I197" s="900"/>
      <c r="J197" s="900"/>
    </row>
    <row r="198" spans="6:10">
      <c r="F198" s="900"/>
      <c r="H198" s="900"/>
      <c r="I198" s="900"/>
      <c r="J198" s="900"/>
    </row>
    <row r="199" spans="6:10">
      <c r="F199" s="900"/>
      <c r="H199" s="900"/>
      <c r="I199" s="900"/>
      <c r="J199" s="900"/>
    </row>
    <row r="200" spans="6:10">
      <c r="F200" s="900"/>
      <c r="H200" s="900"/>
      <c r="I200" s="900"/>
      <c r="J200" s="900"/>
    </row>
    <row r="201" spans="6:10">
      <c r="F201" s="900"/>
      <c r="H201" s="900"/>
      <c r="I201" s="900"/>
      <c r="J201" s="900"/>
    </row>
    <row r="202" spans="6:10">
      <c r="F202" s="900"/>
      <c r="H202" s="900"/>
      <c r="I202" s="900"/>
      <c r="J202" s="900"/>
    </row>
    <row r="203" spans="6:10">
      <c r="F203" s="900"/>
      <c r="H203" s="900"/>
      <c r="I203" s="900"/>
      <c r="J203" s="900"/>
    </row>
    <row r="204" spans="6:10">
      <c r="F204" s="900"/>
      <c r="H204" s="900"/>
      <c r="I204" s="900"/>
      <c r="J204" s="900"/>
    </row>
    <row r="205" spans="6:10">
      <c r="F205" s="900"/>
      <c r="H205" s="900"/>
      <c r="I205" s="900"/>
      <c r="J205" s="900"/>
    </row>
    <row r="206" spans="6:10">
      <c r="F206" s="900"/>
      <c r="H206" s="900"/>
      <c r="I206" s="900"/>
      <c r="J206" s="900"/>
    </row>
    <row r="207" spans="6:10">
      <c r="F207" s="900"/>
      <c r="H207" s="900"/>
      <c r="I207" s="900"/>
      <c r="J207" s="900"/>
    </row>
    <row r="208" spans="6:10">
      <c r="F208" s="900"/>
      <c r="H208" s="900"/>
      <c r="I208" s="900"/>
      <c r="J208" s="900"/>
    </row>
    <row r="209" spans="6:10">
      <c r="F209" s="900"/>
      <c r="H209" s="900"/>
      <c r="I209" s="900"/>
      <c r="J209" s="900"/>
    </row>
    <row r="210" spans="6:10">
      <c r="F210" s="900"/>
      <c r="H210" s="900"/>
      <c r="I210" s="900"/>
      <c r="J210" s="900"/>
    </row>
    <row r="211" spans="6:10">
      <c r="F211" s="900"/>
      <c r="H211" s="900"/>
      <c r="I211" s="900"/>
      <c r="J211" s="900"/>
    </row>
    <row r="212" spans="6:10">
      <c r="F212" s="900"/>
      <c r="H212" s="900"/>
      <c r="I212" s="900"/>
      <c r="J212" s="900"/>
    </row>
    <row r="213" spans="6:10">
      <c r="F213" s="900"/>
      <c r="H213" s="900"/>
      <c r="I213" s="900"/>
      <c r="J213" s="900"/>
    </row>
    <row r="214" spans="6:10">
      <c r="F214" s="900"/>
      <c r="H214" s="900"/>
      <c r="I214" s="900"/>
      <c r="J214" s="900"/>
    </row>
    <row r="215" spans="6:10">
      <c r="F215" s="900"/>
      <c r="H215" s="900"/>
      <c r="I215" s="900"/>
      <c r="J215" s="900"/>
    </row>
    <row r="216" spans="6:10">
      <c r="F216" s="900"/>
      <c r="H216" s="900"/>
      <c r="I216" s="900"/>
      <c r="J216" s="900"/>
    </row>
    <row r="217" spans="6:10">
      <c r="F217" s="900"/>
      <c r="H217" s="900"/>
      <c r="I217" s="900"/>
      <c r="J217" s="900"/>
    </row>
    <row r="218" spans="6:10">
      <c r="F218" s="900"/>
      <c r="H218" s="900"/>
      <c r="I218" s="900"/>
      <c r="J218" s="900"/>
    </row>
    <row r="219" spans="6:10">
      <c r="F219" s="900"/>
      <c r="H219" s="900"/>
      <c r="I219" s="900"/>
      <c r="J219" s="900"/>
    </row>
    <row r="220" spans="6:10">
      <c r="F220" s="900"/>
      <c r="H220" s="900"/>
      <c r="I220" s="900"/>
      <c r="J220" s="900"/>
    </row>
    <row r="221" spans="6:10">
      <c r="F221" s="900"/>
      <c r="H221" s="900"/>
      <c r="I221" s="900"/>
      <c r="J221" s="900"/>
    </row>
    <row r="222" spans="6:10">
      <c r="F222" s="900"/>
      <c r="H222" s="900"/>
      <c r="I222" s="900"/>
      <c r="J222" s="900"/>
    </row>
    <row r="223" spans="6:10">
      <c r="F223" s="900"/>
      <c r="H223" s="900"/>
      <c r="I223" s="900"/>
      <c r="J223" s="900"/>
    </row>
    <row r="224" spans="6:10">
      <c r="F224" s="900"/>
      <c r="H224" s="900"/>
      <c r="I224" s="900"/>
      <c r="J224" s="900"/>
    </row>
    <row r="225" spans="6:10">
      <c r="F225" s="900"/>
      <c r="H225" s="900"/>
      <c r="I225" s="900"/>
      <c r="J225" s="900"/>
    </row>
    <row r="226" spans="6:10">
      <c r="F226" s="900"/>
      <c r="H226" s="900"/>
      <c r="I226" s="900"/>
      <c r="J226" s="900"/>
    </row>
    <row r="227" spans="6:10">
      <c r="F227" s="900"/>
      <c r="H227" s="900"/>
      <c r="I227" s="900"/>
      <c r="J227" s="900"/>
    </row>
    <row r="228" spans="6:10">
      <c r="F228" s="900"/>
      <c r="H228" s="900"/>
      <c r="I228" s="900"/>
      <c r="J228" s="900"/>
    </row>
    <row r="229" spans="6:10">
      <c r="F229" s="900"/>
      <c r="H229" s="900"/>
      <c r="I229" s="900"/>
      <c r="J229" s="900"/>
    </row>
    <row r="230" spans="6:10">
      <c r="F230" s="900"/>
      <c r="H230" s="900"/>
      <c r="I230" s="900"/>
      <c r="J230" s="900"/>
    </row>
    <row r="231" spans="6:10">
      <c r="F231" s="900"/>
      <c r="H231" s="900"/>
      <c r="I231" s="900"/>
      <c r="J231" s="900"/>
    </row>
    <row r="232" spans="6:10">
      <c r="F232" s="900"/>
      <c r="H232" s="900"/>
      <c r="I232" s="900"/>
      <c r="J232" s="900"/>
    </row>
    <row r="233" spans="6:10">
      <c r="F233" s="900"/>
      <c r="H233" s="900"/>
      <c r="I233" s="900"/>
      <c r="J233" s="900"/>
    </row>
    <row r="234" spans="6:10">
      <c r="F234" s="900"/>
      <c r="H234" s="900"/>
      <c r="I234" s="900"/>
      <c r="J234" s="900"/>
    </row>
    <row r="235" spans="6:10">
      <c r="F235" s="900"/>
      <c r="H235" s="900"/>
      <c r="I235" s="900"/>
      <c r="J235" s="900"/>
    </row>
    <row r="236" spans="6:10">
      <c r="F236" s="900"/>
      <c r="H236" s="900"/>
      <c r="I236" s="900"/>
      <c r="J236" s="900"/>
    </row>
    <row r="237" spans="6:10">
      <c r="F237" s="900"/>
      <c r="H237" s="900"/>
      <c r="I237" s="900"/>
      <c r="J237" s="900"/>
    </row>
    <row r="238" spans="6:10">
      <c r="F238" s="900"/>
      <c r="H238" s="900"/>
      <c r="I238" s="900"/>
      <c r="J238" s="900"/>
    </row>
    <row r="239" spans="6:10">
      <c r="F239" s="900"/>
      <c r="H239" s="900"/>
      <c r="I239" s="900"/>
      <c r="J239" s="900"/>
    </row>
    <row r="240" spans="6:10">
      <c r="F240" s="900"/>
      <c r="H240" s="900"/>
      <c r="I240" s="900"/>
      <c r="J240" s="900"/>
    </row>
    <row r="241" spans="6:10">
      <c r="F241" s="900"/>
      <c r="H241" s="900"/>
      <c r="I241" s="900"/>
      <c r="J241" s="900"/>
    </row>
    <row r="242" spans="6:10">
      <c r="F242" s="900"/>
      <c r="H242" s="900"/>
      <c r="I242" s="900"/>
      <c r="J242" s="900"/>
    </row>
    <row r="243" spans="6:10">
      <c r="F243" s="900"/>
      <c r="H243" s="900"/>
      <c r="I243" s="900"/>
      <c r="J243" s="900"/>
    </row>
    <row r="244" spans="6:10">
      <c r="F244" s="900"/>
      <c r="H244" s="900"/>
      <c r="I244" s="900"/>
      <c r="J244" s="900"/>
    </row>
    <row r="245" spans="6:10">
      <c r="F245" s="900"/>
      <c r="H245" s="900"/>
      <c r="I245" s="900"/>
      <c r="J245" s="900"/>
    </row>
    <row r="246" spans="6:10">
      <c r="F246" s="900"/>
      <c r="H246" s="900"/>
      <c r="I246" s="900"/>
      <c r="J246" s="900"/>
    </row>
    <row r="247" spans="6:10">
      <c r="F247" s="900"/>
      <c r="H247" s="900"/>
      <c r="I247" s="900"/>
      <c r="J247" s="900"/>
    </row>
    <row r="248" spans="6:10">
      <c r="F248" s="900"/>
      <c r="H248" s="900"/>
      <c r="I248" s="900"/>
      <c r="J248" s="900"/>
    </row>
    <row r="249" spans="6:10">
      <c r="F249" s="900"/>
      <c r="H249" s="900"/>
      <c r="I249" s="900"/>
      <c r="J249" s="900"/>
    </row>
    <row r="250" spans="6:10">
      <c r="F250" s="900"/>
      <c r="H250" s="900"/>
      <c r="I250" s="900"/>
      <c r="J250" s="900"/>
    </row>
    <row r="251" spans="6:10">
      <c r="F251" s="900"/>
      <c r="H251" s="900"/>
      <c r="I251" s="900"/>
      <c r="J251" s="900"/>
    </row>
    <row r="252" spans="6:10">
      <c r="F252" s="900"/>
      <c r="H252" s="900"/>
      <c r="I252" s="900"/>
      <c r="J252" s="900"/>
    </row>
    <row r="253" spans="6:10">
      <c r="F253" s="900"/>
      <c r="H253" s="900"/>
      <c r="I253" s="900"/>
      <c r="J253" s="900"/>
    </row>
    <row r="254" spans="6:10">
      <c r="F254" s="900"/>
      <c r="H254" s="900"/>
      <c r="I254" s="900"/>
      <c r="J254" s="900"/>
    </row>
    <row r="255" spans="6:10">
      <c r="F255" s="900"/>
      <c r="H255" s="900"/>
      <c r="I255" s="900"/>
      <c r="J255" s="900"/>
    </row>
    <row r="256" spans="6:10">
      <c r="F256" s="900"/>
      <c r="H256" s="900"/>
      <c r="I256" s="900"/>
      <c r="J256" s="900"/>
    </row>
    <row r="257" spans="6:10">
      <c r="F257" s="900"/>
      <c r="H257" s="900"/>
      <c r="I257" s="900"/>
      <c r="J257" s="900"/>
    </row>
    <row r="258" spans="6:10">
      <c r="F258" s="900"/>
      <c r="H258" s="900"/>
      <c r="I258" s="900"/>
      <c r="J258" s="900"/>
    </row>
    <row r="259" spans="6:10">
      <c r="F259" s="900"/>
      <c r="H259" s="900"/>
      <c r="I259" s="900"/>
      <c r="J259" s="900"/>
    </row>
    <row r="260" spans="6:10">
      <c r="F260" s="900"/>
      <c r="H260" s="900"/>
      <c r="I260" s="900"/>
      <c r="J260" s="900"/>
    </row>
    <row r="261" spans="6:10">
      <c r="F261" s="900"/>
      <c r="H261" s="900"/>
      <c r="I261" s="900"/>
      <c r="J261" s="900"/>
    </row>
    <row r="262" spans="6:10">
      <c r="F262" s="900"/>
      <c r="H262" s="900"/>
      <c r="I262" s="900"/>
      <c r="J262" s="900"/>
    </row>
    <row r="263" spans="6:10">
      <c r="F263" s="900"/>
      <c r="H263" s="900"/>
      <c r="I263" s="900"/>
      <c r="J263" s="900"/>
    </row>
    <row r="264" spans="6:10">
      <c r="F264" s="900"/>
      <c r="H264" s="900"/>
      <c r="I264" s="900"/>
      <c r="J264" s="900"/>
    </row>
    <row r="265" spans="6:10">
      <c r="F265" s="900"/>
      <c r="H265" s="900"/>
      <c r="I265" s="900"/>
      <c r="J265" s="900"/>
    </row>
    <row r="266" spans="6:10">
      <c r="F266" s="900"/>
      <c r="H266" s="900"/>
      <c r="I266" s="900"/>
      <c r="J266" s="900"/>
    </row>
    <row r="267" spans="6:10">
      <c r="F267" s="900"/>
      <c r="H267" s="900"/>
      <c r="I267" s="900"/>
      <c r="J267" s="900"/>
    </row>
    <row r="268" spans="6:10">
      <c r="F268" s="900"/>
      <c r="H268" s="900"/>
      <c r="I268" s="900"/>
      <c r="J268" s="900"/>
    </row>
    <row r="269" spans="6:10">
      <c r="F269" s="900"/>
      <c r="H269" s="900"/>
      <c r="I269" s="900"/>
      <c r="J269" s="900"/>
    </row>
    <row r="270" spans="6:10">
      <c r="F270" s="900"/>
      <c r="H270" s="900"/>
      <c r="I270" s="900"/>
      <c r="J270" s="900"/>
    </row>
    <row r="271" spans="6:10">
      <c r="F271" s="900"/>
      <c r="H271" s="900"/>
      <c r="I271" s="900"/>
      <c r="J271" s="900"/>
    </row>
    <row r="272" spans="6:10">
      <c r="F272" s="900"/>
      <c r="H272" s="900"/>
      <c r="I272" s="900"/>
      <c r="J272" s="900"/>
    </row>
    <row r="273" spans="6:10">
      <c r="F273" s="900"/>
      <c r="H273" s="900"/>
      <c r="I273" s="900"/>
      <c r="J273" s="900"/>
    </row>
    <row r="274" spans="6:10">
      <c r="F274" s="900"/>
      <c r="H274" s="900"/>
      <c r="I274" s="900"/>
      <c r="J274" s="900"/>
    </row>
    <row r="275" spans="6:10">
      <c r="F275" s="900"/>
      <c r="H275" s="900"/>
      <c r="I275" s="900"/>
      <c r="J275" s="900"/>
    </row>
    <row r="276" spans="6:10">
      <c r="F276" s="900"/>
      <c r="H276" s="900"/>
      <c r="I276" s="900"/>
      <c r="J276" s="900"/>
    </row>
    <row r="277" spans="6:10">
      <c r="F277" s="900"/>
      <c r="H277" s="900"/>
      <c r="I277" s="900"/>
      <c r="J277" s="900"/>
    </row>
    <row r="278" spans="6:10">
      <c r="F278" s="900"/>
      <c r="H278" s="900"/>
      <c r="I278" s="900"/>
      <c r="J278" s="900"/>
    </row>
    <row r="279" spans="6:10">
      <c r="F279" s="900"/>
      <c r="H279" s="900"/>
      <c r="I279" s="900"/>
      <c r="J279" s="900"/>
    </row>
    <row r="280" spans="6:10">
      <c r="F280" s="900"/>
      <c r="H280" s="900"/>
      <c r="I280" s="900"/>
      <c r="J280" s="900"/>
    </row>
    <row r="281" spans="6:10">
      <c r="F281" s="900"/>
      <c r="H281" s="900"/>
      <c r="I281" s="900"/>
      <c r="J281" s="900"/>
    </row>
    <row r="282" spans="6:10">
      <c r="F282" s="900"/>
      <c r="H282" s="900"/>
      <c r="I282" s="900"/>
      <c r="J282" s="900"/>
    </row>
    <row r="283" spans="6:10">
      <c r="F283" s="900"/>
      <c r="H283" s="900"/>
      <c r="I283" s="900"/>
      <c r="J283" s="900"/>
    </row>
    <row r="284" spans="6:10">
      <c r="F284" s="900"/>
      <c r="H284" s="900"/>
      <c r="I284" s="900"/>
      <c r="J284" s="900"/>
    </row>
    <row r="285" spans="6:10">
      <c r="F285" s="900"/>
      <c r="H285" s="900"/>
      <c r="I285" s="900"/>
      <c r="J285" s="900"/>
    </row>
    <row r="286" spans="6:10">
      <c r="F286" s="900"/>
      <c r="H286" s="900"/>
      <c r="I286" s="900"/>
      <c r="J286" s="900"/>
    </row>
    <row r="287" spans="6:10">
      <c r="F287" s="900"/>
      <c r="H287" s="900"/>
      <c r="I287" s="900"/>
      <c r="J287" s="900"/>
    </row>
    <row r="288" spans="6:10">
      <c r="F288" s="900"/>
      <c r="H288" s="900"/>
      <c r="I288" s="900"/>
      <c r="J288" s="900"/>
    </row>
    <row r="289" spans="6:10">
      <c r="F289" s="900"/>
      <c r="H289" s="900"/>
      <c r="I289" s="900"/>
      <c r="J289" s="900"/>
    </row>
    <row r="290" spans="6:10">
      <c r="F290" s="900"/>
      <c r="H290" s="900"/>
      <c r="I290" s="900"/>
      <c r="J290" s="900"/>
    </row>
    <row r="291" spans="6:10">
      <c r="F291" s="900"/>
      <c r="H291" s="900"/>
      <c r="I291" s="900"/>
      <c r="J291" s="900"/>
    </row>
    <row r="292" spans="6:10">
      <c r="F292" s="900"/>
      <c r="H292" s="900"/>
      <c r="I292" s="900"/>
      <c r="J292" s="900"/>
    </row>
    <row r="293" spans="6:10">
      <c r="F293" s="900"/>
      <c r="H293" s="900"/>
      <c r="I293" s="900"/>
      <c r="J293" s="900"/>
    </row>
    <row r="294" spans="6:10">
      <c r="F294" s="900"/>
      <c r="H294" s="900"/>
      <c r="I294" s="900"/>
      <c r="J294" s="900"/>
    </row>
    <row r="295" spans="6:10">
      <c r="F295" s="900"/>
      <c r="H295" s="900"/>
      <c r="I295" s="900"/>
      <c r="J295" s="900"/>
    </row>
    <row r="296" spans="6:10">
      <c r="F296" s="900"/>
      <c r="H296" s="900"/>
      <c r="I296" s="900"/>
      <c r="J296" s="900"/>
    </row>
    <row r="297" spans="6:10">
      <c r="F297" s="900"/>
      <c r="H297" s="900"/>
      <c r="I297" s="900"/>
      <c r="J297" s="900"/>
    </row>
    <row r="298" spans="6:10">
      <c r="F298" s="900"/>
      <c r="H298" s="900"/>
      <c r="I298" s="900"/>
      <c r="J298" s="900"/>
    </row>
    <row r="299" spans="6:10">
      <c r="F299" s="900"/>
      <c r="H299" s="900"/>
      <c r="I299" s="900"/>
      <c r="J299" s="900"/>
    </row>
    <row r="300" spans="6:10">
      <c r="F300" s="900"/>
      <c r="H300" s="900"/>
      <c r="I300" s="900"/>
      <c r="J300" s="900"/>
    </row>
    <row r="301" spans="6:10">
      <c r="F301" s="900"/>
      <c r="H301" s="900"/>
      <c r="I301" s="900"/>
      <c r="J301" s="900"/>
    </row>
    <row r="302" spans="6:10">
      <c r="F302" s="900"/>
      <c r="H302" s="900"/>
      <c r="I302" s="900"/>
      <c r="J302" s="900"/>
    </row>
    <row r="303" spans="6:10">
      <c r="F303" s="900"/>
      <c r="H303" s="900"/>
      <c r="I303" s="900"/>
      <c r="J303" s="900"/>
    </row>
    <row r="304" spans="6:10">
      <c r="F304" s="900"/>
      <c r="H304" s="900"/>
      <c r="I304" s="900"/>
      <c r="J304" s="900"/>
    </row>
    <row r="305" spans="6:10">
      <c r="F305" s="900"/>
      <c r="H305" s="900"/>
      <c r="I305" s="900"/>
      <c r="J305" s="900"/>
    </row>
    <row r="306" spans="6:10">
      <c r="F306" s="900"/>
      <c r="H306" s="900"/>
      <c r="I306" s="900"/>
      <c r="J306" s="900"/>
    </row>
    <row r="307" spans="6:10">
      <c r="F307" s="900"/>
      <c r="H307" s="900"/>
      <c r="I307" s="900"/>
      <c r="J307" s="900"/>
    </row>
    <row r="308" spans="6:10">
      <c r="F308" s="900"/>
      <c r="H308" s="900"/>
      <c r="I308" s="900"/>
      <c r="J308" s="900"/>
    </row>
    <row r="309" spans="6:10">
      <c r="F309" s="900"/>
      <c r="H309" s="900"/>
      <c r="I309" s="900"/>
      <c r="J309" s="900"/>
    </row>
    <row r="310" spans="6:10">
      <c r="F310" s="900"/>
      <c r="H310" s="900"/>
      <c r="I310" s="900"/>
      <c r="J310" s="900"/>
    </row>
    <row r="311" spans="6:10">
      <c r="F311" s="900"/>
      <c r="H311" s="900"/>
      <c r="I311" s="900"/>
      <c r="J311" s="900"/>
    </row>
    <row r="312" spans="6:10">
      <c r="F312" s="900"/>
      <c r="H312" s="900"/>
      <c r="I312" s="900"/>
      <c r="J312" s="900"/>
    </row>
    <row r="313" spans="6:10">
      <c r="F313" s="900"/>
      <c r="H313" s="900"/>
      <c r="I313" s="900"/>
      <c r="J313" s="900"/>
    </row>
    <row r="314" spans="6:10">
      <c r="F314" s="900"/>
      <c r="H314" s="900"/>
      <c r="I314" s="900"/>
      <c r="J314" s="900"/>
    </row>
    <row r="315" spans="6:10">
      <c r="F315" s="900"/>
      <c r="H315" s="900"/>
      <c r="I315" s="900"/>
      <c r="J315" s="900"/>
    </row>
    <row r="316" spans="6:10">
      <c r="F316" s="900"/>
      <c r="H316" s="900"/>
      <c r="I316" s="900"/>
      <c r="J316" s="900"/>
    </row>
    <row r="317" spans="6:10">
      <c r="F317" s="900"/>
      <c r="H317" s="900"/>
      <c r="I317" s="900"/>
      <c r="J317" s="900"/>
    </row>
    <row r="318" spans="6:10">
      <c r="F318" s="900"/>
      <c r="H318" s="900"/>
      <c r="I318" s="900"/>
      <c r="J318" s="900"/>
    </row>
    <row r="319" spans="6:10">
      <c r="F319" s="900"/>
      <c r="H319" s="900"/>
      <c r="I319" s="900"/>
      <c r="J319" s="900"/>
    </row>
    <row r="320" spans="6:10">
      <c r="F320" s="900"/>
      <c r="H320" s="900"/>
      <c r="I320" s="900"/>
      <c r="J320" s="900"/>
    </row>
    <row r="321" spans="6:10">
      <c r="F321" s="900"/>
      <c r="H321" s="900"/>
      <c r="I321" s="900"/>
      <c r="J321" s="900"/>
    </row>
    <row r="322" spans="6:10">
      <c r="F322" s="900"/>
      <c r="H322" s="900"/>
      <c r="I322" s="900"/>
      <c r="J322" s="900"/>
    </row>
    <row r="323" spans="6:10">
      <c r="F323" s="900"/>
      <c r="H323" s="900"/>
      <c r="I323" s="900"/>
      <c r="J323" s="900"/>
    </row>
    <row r="324" spans="6:10">
      <c r="F324" s="900"/>
      <c r="H324" s="900"/>
      <c r="I324" s="900"/>
      <c r="J324" s="900"/>
    </row>
    <row r="325" spans="6:10">
      <c r="F325" s="900"/>
      <c r="H325" s="900"/>
      <c r="I325" s="900"/>
      <c r="J325" s="900"/>
    </row>
    <row r="326" spans="6:10">
      <c r="F326" s="900"/>
      <c r="H326" s="900"/>
      <c r="I326" s="900"/>
      <c r="J326" s="900"/>
    </row>
    <row r="327" spans="6:10">
      <c r="F327" s="900"/>
      <c r="H327" s="900"/>
      <c r="I327" s="900"/>
      <c r="J327" s="900"/>
    </row>
    <row r="328" spans="6:10">
      <c r="F328" s="900"/>
      <c r="H328" s="900"/>
      <c r="I328" s="900"/>
      <c r="J328" s="900"/>
    </row>
    <row r="329" spans="6:10">
      <c r="F329" s="900"/>
      <c r="H329" s="900"/>
      <c r="I329" s="900"/>
      <c r="J329" s="900"/>
    </row>
    <row r="330" spans="6:10">
      <c r="F330" s="900"/>
      <c r="H330" s="900"/>
      <c r="I330" s="900"/>
      <c r="J330" s="900"/>
    </row>
    <row r="331" spans="6:10">
      <c r="F331" s="900"/>
      <c r="H331" s="900"/>
      <c r="I331" s="900"/>
      <c r="J331" s="900"/>
    </row>
    <row r="332" spans="6:10">
      <c r="F332" s="900"/>
      <c r="H332" s="900"/>
      <c r="I332" s="900"/>
      <c r="J332" s="900"/>
    </row>
    <row r="333" spans="6:10">
      <c r="F333" s="900"/>
      <c r="H333" s="900"/>
      <c r="I333" s="900"/>
      <c r="J333" s="900"/>
    </row>
    <row r="334" spans="6:10">
      <c r="F334" s="900"/>
      <c r="H334" s="900"/>
      <c r="I334" s="900"/>
      <c r="J334" s="900"/>
    </row>
    <row r="335" spans="6:10">
      <c r="F335" s="900"/>
      <c r="H335" s="900"/>
      <c r="I335" s="900"/>
      <c r="J335" s="900"/>
    </row>
    <row r="336" spans="6:10">
      <c r="F336" s="900"/>
      <c r="H336" s="900"/>
      <c r="I336" s="900"/>
      <c r="J336" s="900"/>
    </row>
    <row r="337" spans="6:10">
      <c r="F337" s="900"/>
      <c r="H337" s="900"/>
      <c r="I337" s="900"/>
      <c r="J337" s="900"/>
    </row>
    <row r="338" spans="6:10">
      <c r="F338" s="900"/>
      <c r="H338" s="900"/>
      <c r="I338" s="900"/>
      <c r="J338" s="900"/>
    </row>
    <row r="339" spans="6:10">
      <c r="F339" s="900"/>
      <c r="H339" s="900"/>
      <c r="I339" s="900"/>
      <c r="J339" s="900"/>
    </row>
    <row r="340" spans="6:10">
      <c r="F340" s="900"/>
      <c r="H340" s="900"/>
      <c r="I340" s="900"/>
      <c r="J340" s="900"/>
    </row>
    <row r="341" spans="6:10">
      <c r="F341" s="900"/>
      <c r="H341" s="900"/>
      <c r="I341" s="900"/>
      <c r="J341" s="900"/>
    </row>
    <row r="342" spans="6:10">
      <c r="F342" s="900"/>
      <c r="H342" s="900"/>
      <c r="I342" s="900"/>
      <c r="J342" s="900"/>
    </row>
    <row r="343" spans="6:10">
      <c r="F343" s="900"/>
      <c r="H343" s="900"/>
      <c r="I343" s="900"/>
      <c r="J343" s="900"/>
    </row>
    <row r="344" spans="6:10">
      <c r="F344" s="900"/>
      <c r="H344" s="900"/>
      <c r="I344" s="900"/>
      <c r="J344" s="900"/>
    </row>
    <row r="345" spans="6:10">
      <c r="F345" s="900"/>
      <c r="H345" s="900"/>
      <c r="I345" s="900"/>
      <c r="J345" s="900"/>
    </row>
    <row r="346" spans="6:10">
      <c r="F346" s="900"/>
      <c r="H346" s="900"/>
      <c r="I346" s="900"/>
      <c r="J346" s="900"/>
    </row>
    <row r="347" spans="6:10">
      <c r="F347" s="900"/>
      <c r="H347" s="900"/>
      <c r="I347" s="900"/>
      <c r="J347" s="900"/>
    </row>
    <row r="348" spans="6:10">
      <c r="F348" s="900"/>
      <c r="H348" s="900"/>
      <c r="I348" s="900"/>
      <c r="J348" s="900"/>
    </row>
    <row r="349" spans="6:10">
      <c r="F349" s="900"/>
      <c r="H349" s="900"/>
      <c r="I349" s="900"/>
      <c r="J349" s="900"/>
    </row>
    <row r="350" spans="6:10">
      <c r="F350" s="900"/>
      <c r="H350" s="900"/>
      <c r="I350" s="900"/>
      <c r="J350" s="900"/>
    </row>
    <row r="351" spans="6:10">
      <c r="F351" s="900"/>
      <c r="H351" s="900"/>
      <c r="I351" s="900"/>
      <c r="J351" s="900"/>
    </row>
    <row r="352" spans="6:10">
      <c r="F352" s="900"/>
      <c r="H352" s="900"/>
      <c r="I352" s="900"/>
      <c r="J352" s="900"/>
    </row>
    <row r="353" spans="6:10">
      <c r="F353" s="900"/>
      <c r="H353" s="900"/>
      <c r="I353" s="900"/>
      <c r="J353" s="900"/>
    </row>
    <row r="354" spans="6:10">
      <c r="F354" s="900"/>
      <c r="H354" s="900"/>
      <c r="I354" s="900"/>
      <c r="J354" s="900"/>
    </row>
    <row r="355" spans="6:10">
      <c r="F355" s="900"/>
      <c r="H355" s="900"/>
      <c r="I355" s="900"/>
      <c r="J355" s="900"/>
    </row>
    <row r="356" spans="6:10">
      <c r="F356" s="900"/>
      <c r="H356" s="900"/>
      <c r="I356" s="900"/>
      <c r="J356" s="900"/>
    </row>
    <row r="357" spans="6:10">
      <c r="F357" s="900"/>
      <c r="H357" s="900"/>
      <c r="I357" s="900"/>
      <c r="J357" s="900"/>
    </row>
    <row r="358" spans="6:10">
      <c r="F358" s="900"/>
      <c r="H358" s="900"/>
      <c r="I358" s="900"/>
      <c r="J358" s="900"/>
    </row>
    <row r="359" spans="6:10">
      <c r="F359" s="900"/>
      <c r="H359" s="900"/>
      <c r="I359" s="900"/>
      <c r="J359" s="900"/>
    </row>
    <row r="360" spans="6:10">
      <c r="F360" s="900"/>
      <c r="H360" s="900"/>
      <c r="I360" s="900"/>
      <c r="J360" s="900"/>
    </row>
    <row r="361" spans="6:10">
      <c r="F361" s="900"/>
      <c r="H361" s="900"/>
      <c r="I361" s="900"/>
      <c r="J361" s="900"/>
    </row>
    <row r="362" spans="6:10">
      <c r="F362" s="900"/>
      <c r="H362" s="900"/>
      <c r="I362" s="900"/>
      <c r="J362" s="900"/>
    </row>
    <row r="363" spans="6:10">
      <c r="F363" s="900"/>
      <c r="H363" s="900"/>
      <c r="I363" s="900"/>
      <c r="J363" s="900"/>
    </row>
    <row r="364" spans="6:10">
      <c r="F364" s="900"/>
      <c r="H364" s="900"/>
      <c r="I364" s="900"/>
      <c r="J364" s="900"/>
    </row>
    <row r="365" spans="6:10">
      <c r="F365" s="900"/>
      <c r="H365" s="900"/>
      <c r="I365" s="900"/>
      <c r="J365" s="900"/>
    </row>
    <row r="366" spans="6:10">
      <c r="F366" s="900"/>
      <c r="H366" s="900"/>
      <c r="I366" s="900"/>
      <c r="J366" s="900"/>
    </row>
    <row r="367" spans="6:10">
      <c r="F367" s="900"/>
      <c r="H367" s="900"/>
      <c r="I367" s="900"/>
      <c r="J367" s="900"/>
    </row>
    <row r="368" spans="6:10">
      <c r="F368" s="900"/>
      <c r="H368" s="900"/>
      <c r="I368" s="900"/>
      <c r="J368" s="900"/>
    </row>
    <row r="369" spans="6:10">
      <c r="F369" s="900"/>
      <c r="H369" s="900"/>
      <c r="I369" s="900"/>
      <c r="J369" s="900"/>
    </row>
    <row r="370" spans="6:10">
      <c r="F370" s="900"/>
      <c r="H370" s="900"/>
      <c r="I370" s="900"/>
      <c r="J370" s="900"/>
    </row>
    <row r="371" spans="6:10">
      <c r="F371" s="900"/>
      <c r="H371" s="900"/>
      <c r="I371" s="900"/>
      <c r="J371" s="900"/>
    </row>
    <row r="372" spans="6:10">
      <c r="F372" s="900"/>
      <c r="H372" s="900"/>
      <c r="I372" s="900"/>
      <c r="J372" s="900"/>
    </row>
    <row r="373" spans="6:10">
      <c r="F373" s="900"/>
      <c r="H373" s="900"/>
      <c r="I373" s="900"/>
      <c r="J373" s="900"/>
    </row>
    <row r="374" spans="6:10">
      <c r="F374" s="900"/>
      <c r="H374" s="900"/>
      <c r="I374" s="900"/>
      <c r="J374" s="900"/>
    </row>
    <row r="375" spans="6:10">
      <c r="F375" s="900"/>
      <c r="H375" s="900"/>
      <c r="I375" s="900"/>
      <c r="J375" s="900"/>
    </row>
    <row r="376" spans="6:10">
      <c r="F376" s="900"/>
      <c r="H376" s="900"/>
      <c r="I376" s="900"/>
      <c r="J376" s="900"/>
    </row>
    <row r="377" spans="6:10">
      <c r="F377" s="900"/>
      <c r="H377" s="900"/>
      <c r="I377" s="900"/>
      <c r="J377" s="900"/>
    </row>
    <row r="378" spans="6:10">
      <c r="F378" s="900"/>
      <c r="H378" s="900"/>
      <c r="I378" s="900"/>
      <c r="J378" s="900"/>
    </row>
    <row r="379" spans="6:10">
      <c r="F379" s="900"/>
      <c r="H379" s="900"/>
      <c r="I379" s="900"/>
      <c r="J379" s="900"/>
    </row>
    <row r="380" spans="6:10">
      <c r="F380" s="900"/>
      <c r="H380" s="900"/>
      <c r="I380" s="900"/>
      <c r="J380" s="900"/>
    </row>
    <row r="381" spans="6:10">
      <c r="F381" s="900"/>
      <c r="H381" s="900"/>
      <c r="I381" s="900"/>
      <c r="J381" s="900"/>
    </row>
    <row r="382" spans="6:10">
      <c r="F382" s="900"/>
      <c r="H382" s="900"/>
      <c r="I382" s="900"/>
      <c r="J382" s="900"/>
    </row>
    <row r="383" spans="6:10">
      <c r="F383" s="900"/>
      <c r="H383" s="900"/>
      <c r="I383" s="900"/>
      <c r="J383" s="900"/>
    </row>
    <row r="384" spans="6:10">
      <c r="F384" s="900"/>
      <c r="H384" s="900"/>
      <c r="I384" s="900"/>
      <c r="J384" s="900"/>
    </row>
    <row r="385" spans="6:10">
      <c r="F385" s="900"/>
      <c r="H385" s="900"/>
      <c r="I385" s="900"/>
      <c r="J385" s="900"/>
    </row>
    <row r="386" spans="6:10">
      <c r="F386" s="900"/>
      <c r="H386" s="900"/>
      <c r="I386" s="900"/>
      <c r="J386" s="900"/>
    </row>
    <row r="387" spans="6:10">
      <c r="F387" s="900"/>
      <c r="H387" s="900"/>
      <c r="I387" s="900"/>
      <c r="J387" s="900"/>
    </row>
    <row r="388" spans="6:10">
      <c r="F388" s="900"/>
      <c r="H388" s="900"/>
      <c r="I388" s="900"/>
      <c r="J388" s="900"/>
    </row>
    <row r="389" spans="6:10">
      <c r="F389" s="900"/>
      <c r="H389" s="900"/>
      <c r="I389" s="900"/>
      <c r="J389" s="900"/>
    </row>
    <row r="390" spans="6:10">
      <c r="F390" s="900"/>
      <c r="H390" s="900"/>
      <c r="I390" s="900"/>
      <c r="J390" s="900"/>
    </row>
    <row r="391" spans="6:10">
      <c r="F391" s="900"/>
      <c r="H391" s="900"/>
      <c r="I391" s="900"/>
      <c r="J391" s="900"/>
    </row>
    <row r="392" spans="6:10">
      <c r="F392" s="900"/>
      <c r="H392" s="900"/>
      <c r="I392" s="900"/>
      <c r="J392" s="900"/>
    </row>
    <row r="393" spans="6:10">
      <c r="F393" s="900"/>
      <c r="H393" s="900"/>
      <c r="I393" s="900"/>
      <c r="J393" s="900"/>
    </row>
    <row r="394" spans="6:10">
      <c r="F394" s="900"/>
      <c r="H394" s="900"/>
      <c r="I394" s="900"/>
      <c r="J394" s="900"/>
    </row>
    <row r="395" spans="6:10">
      <c r="F395" s="900"/>
      <c r="H395" s="900"/>
      <c r="I395" s="900"/>
      <c r="J395" s="900"/>
    </row>
    <row r="396" spans="6:10">
      <c r="F396" s="900"/>
      <c r="H396" s="900"/>
      <c r="I396" s="900"/>
      <c r="J396" s="900"/>
    </row>
    <row r="397" spans="6:10">
      <c r="F397" s="900"/>
      <c r="H397" s="900"/>
      <c r="I397" s="900"/>
      <c r="J397" s="900"/>
    </row>
    <row r="398" spans="6:10">
      <c r="F398" s="900"/>
      <c r="H398" s="900"/>
      <c r="I398" s="900"/>
      <c r="J398" s="900"/>
    </row>
    <row r="399" spans="6:10">
      <c r="F399" s="900"/>
      <c r="H399" s="900"/>
      <c r="I399" s="900"/>
      <c r="J399" s="900"/>
    </row>
    <row r="400" spans="6:10">
      <c r="F400" s="900"/>
      <c r="H400" s="900"/>
      <c r="I400" s="900"/>
      <c r="J400" s="900"/>
    </row>
    <row r="401" spans="6:10">
      <c r="F401" s="900"/>
      <c r="H401" s="900"/>
      <c r="I401" s="900"/>
      <c r="J401" s="900"/>
    </row>
    <row r="402" spans="6:10">
      <c r="F402" s="900"/>
      <c r="H402" s="900"/>
      <c r="I402" s="900"/>
      <c r="J402" s="900"/>
    </row>
    <row r="403" spans="6:10">
      <c r="F403" s="900"/>
      <c r="H403" s="900"/>
      <c r="I403" s="900"/>
      <c r="J403" s="900"/>
    </row>
    <row r="404" spans="6:10">
      <c r="F404" s="900"/>
      <c r="H404" s="900"/>
      <c r="I404" s="900"/>
      <c r="J404" s="900"/>
    </row>
    <row r="405" spans="6:10">
      <c r="F405" s="900"/>
      <c r="H405" s="900"/>
      <c r="I405" s="900"/>
      <c r="J405" s="900"/>
    </row>
    <row r="406" spans="6:10">
      <c r="F406" s="900"/>
      <c r="H406" s="900"/>
      <c r="I406" s="900"/>
      <c r="J406" s="900"/>
    </row>
    <row r="407" spans="6:10">
      <c r="F407" s="900"/>
      <c r="H407" s="900"/>
      <c r="I407" s="900"/>
      <c r="J407" s="900"/>
    </row>
    <row r="408" spans="6:10">
      <c r="F408" s="900"/>
      <c r="H408" s="900"/>
      <c r="I408" s="900"/>
      <c r="J408" s="900"/>
    </row>
    <row r="409" spans="6:10">
      <c r="F409" s="900"/>
      <c r="H409" s="900"/>
      <c r="I409" s="900"/>
      <c r="J409" s="900"/>
    </row>
    <row r="410" spans="6:10">
      <c r="F410" s="900"/>
      <c r="H410" s="900"/>
      <c r="I410" s="900"/>
      <c r="J410" s="900"/>
    </row>
    <row r="411" spans="6:10">
      <c r="F411" s="900"/>
      <c r="H411" s="900"/>
      <c r="I411" s="900"/>
      <c r="J411" s="900"/>
    </row>
    <row r="412" spans="6:10">
      <c r="F412" s="900"/>
      <c r="H412" s="900"/>
      <c r="I412" s="900"/>
      <c r="J412" s="900"/>
    </row>
    <row r="413" spans="6:10">
      <c r="F413" s="900"/>
      <c r="H413" s="900"/>
      <c r="I413" s="900"/>
      <c r="J413" s="900"/>
    </row>
    <row r="414" spans="6:10">
      <c r="F414" s="900"/>
      <c r="H414" s="900"/>
      <c r="I414" s="900"/>
      <c r="J414" s="900"/>
    </row>
    <row r="415" spans="6:10">
      <c r="F415" s="900"/>
      <c r="H415" s="900"/>
      <c r="I415" s="900"/>
      <c r="J415" s="900"/>
    </row>
    <row r="416" spans="6:10">
      <c r="F416" s="900"/>
      <c r="H416" s="900"/>
      <c r="I416" s="900"/>
      <c r="J416" s="900"/>
    </row>
    <row r="417" spans="6:10">
      <c r="F417" s="900"/>
      <c r="H417" s="900"/>
      <c r="I417" s="900"/>
      <c r="J417" s="900"/>
    </row>
    <row r="418" spans="6:10">
      <c r="F418" s="900"/>
      <c r="H418" s="900"/>
      <c r="I418" s="900"/>
      <c r="J418" s="900"/>
    </row>
    <row r="419" spans="6:10">
      <c r="F419" s="900"/>
      <c r="H419" s="900"/>
      <c r="I419" s="900"/>
      <c r="J419" s="900"/>
    </row>
    <row r="420" spans="6:10">
      <c r="F420" s="900"/>
      <c r="H420" s="900"/>
      <c r="I420" s="900"/>
      <c r="J420" s="900"/>
    </row>
    <row r="421" spans="6:10">
      <c r="F421" s="900"/>
      <c r="H421" s="900"/>
      <c r="I421" s="900"/>
      <c r="J421" s="900"/>
    </row>
    <row r="422" spans="6:10">
      <c r="F422" s="900"/>
      <c r="H422" s="900"/>
      <c r="I422" s="900"/>
      <c r="J422" s="900"/>
    </row>
    <row r="423" spans="6:10">
      <c r="F423" s="900"/>
      <c r="H423" s="900"/>
      <c r="I423" s="900"/>
      <c r="J423" s="900"/>
    </row>
    <row r="424" spans="6:10">
      <c r="F424" s="900"/>
      <c r="H424" s="900"/>
      <c r="I424" s="900"/>
      <c r="J424" s="900"/>
    </row>
    <row r="425" spans="6:10">
      <c r="F425" s="900"/>
      <c r="H425" s="900"/>
      <c r="I425" s="900"/>
      <c r="J425" s="900"/>
    </row>
    <row r="426" spans="6:10">
      <c r="F426" s="900"/>
      <c r="H426" s="900"/>
      <c r="I426" s="900"/>
      <c r="J426" s="900"/>
    </row>
    <row r="427" spans="6:10">
      <c r="F427" s="900"/>
      <c r="H427" s="900"/>
      <c r="I427" s="900"/>
      <c r="J427" s="900"/>
    </row>
    <row r="428" spans="6:10">
      <c r="F428" s="900"/>
      <c r="H428" s="900"/>
      <c r="I428" s="900"/>
      <c r="J428" s="900"/>
    </row>
    <row r="429" spans="6:10">
      <c r="F429" s="900"/>
      <c r="H429" s="900"/>
      <c r="I429" s="900"/>
      <c r="J429" s="900"/>
    </row>
    <row r="430" spans="6:10">
      <c r="F430" s="900"/>
      <c r="H430" s="900"/>
      <c r="I430" s="900"/>
      <c r="J430" s="900"/>
    </row>
    <row r="431" spans="6:10">
      <c r="F431" s="900"/>
      <c r="H431" s="900"/>
      <c r="I431" s="900"/>
      <c r="J431" s="900"/>
    </row>
    <row r="432" spans="6:10">
      <c r="F432" s="900"/>
      <c r="H432" s="900"/>
      <c r="I432" s="900"/>
      <c r="J432" s="900"/>
    </row>
    <row r="433" spans="6:10">
      <c r="F433" s="900"/>
      <c r="H433" s="900"/>
      <c r="I433" s="900"/>
      <c r="J433" s="900"/>
    </row>
    <row r="434" spans="6:10">
      <c r="F434" s="900"/>
      <c r="H434" s="900"/>
      <c r="I434" s="900"/>
      <c r="J434" s="900"/>
    </row>
    <row r="435" spans="6:10">
      <c r="F435" s="900"/>
      <c r="H435" s="900"/>
      <c r="I435" s="900"/>
      <c r="J435" s="900"/>
    </row>
    <row r="436" spans="6:10">
      <c r="F436" s="900"/>
      <c r="H436" s="900"/>
      <c r="I436" s="900"/>
      <c r="J436" s="900"/>
    </row>
    <row r="437" spans="6:10">
      <c r="F437" s="900"/>
      <c r="H437" s="900"/>
      <c r="I437" s="900"/>
      <c r="J437" s="900"/>
    </row>
    <row r="438" spans="6:10">
      <c r="F438" s="900"/>
      <c r="H438" s="900"/>
      <c r="I438" s="900"/>
      <c r="J438" s="900"/>
    </row>
    <row r="439" spans="6:10">
      <c r="F439" s="900"/>
      <c r="H439" s="900"/>
      <c r="I439" s="900"/>
      <c r="J439" s="900"/>
    </row>
    <row r="440" spans="6:10">
      <c r="F440" s="900"/>
      <c r="H440" s="900"/>
      <c r="I440" s="900"/>
      <c r="J440" s="900"/>
    </row>
    <row r="441" spans="6:10">
      <c r="F441" s="900"/>
      <c r="H441" s="900"/>
      <c r="I441" s="900"/>
      <c r="J441" s="900"/>
    </row>
    <row r="442" spans="6:10">
      <c r="F442" s="900"/>
      <c r="H442" s="900"/>
      <c r="I442" s="900"/>
      <c r="J442" s="900"/>
    </row>
    <row r="443" spans="6:10">
      <c r="F443" s="900"/>
      <c r="H443" s="900"/>
      <c r="I443" s="900"/>
      <c r="J443" s="900"/>
    </row>
    <row r="444" spans="6:10">
      <c r="F444" s="900"/>
      <c r="H444" s="900"/>
      <c r="I444" s="900"/>
      <c r="J444" s="900"/>
    </row>
    <row r="445" spans="6:10">
      <c r="F445" s="900"/>
      <c r="H445" s="900"/>
      <c r="I445" s="900"/>
      <c r="J445" s="900"/>
    </row>
    <row r="446" spans="6:10">
      <c r="F446" s="900"/>
      <c r="H446" s="900"/>
      <c r="I446" s="900"/>
      <c r="J446" s="900"/>
    </row>
    <row r="447" spans="6:10">
      <c r="F447" s="900"/>
      <c r="H447" s="900"/>
      <c r="I447" s="900"/>
      <c r="J447" s="900"/>
    </row>
    <row r="448" spans="6:10">
      <c r="F448" s="900"/>
      <c r="H448" s="900"/>
      <c r="I448" s="900"/>
      <c r="J448" s="900"/>
    </row>
    <row r="449" spans="6:10">
      <c r="F449" s="900"/>
      <c r="H449" s="900"/>
      <c r="I449" s="900"/>
      <c r="J449" s="900"/>
    </row>
    <row r="450" spans="6:10">
      <c r="F450" s="900"/>
      <c r="H450" s="900"/>
      <c r="I450" s="900"/>
      <c r="J450" s="900"/>
    </row>
    <row r="451" spans="6:10">
      <c r="F451" s="900"/>
      <c r="H451" s="900"/>
      <c r="I451" s="900"/>
      <c r="J451" s="900"/>
    </row>
    <row r="452" spans="6:10">
      <c r="F452" s="900"/>
      <c r="H452" s="900"/>
      <c r="I452" s="900"/>
      <c r="J452" s="900"/>
    </row>
    <row r="453" spans="6:10">
      <c r="F453" s="900"/>
      <c r="H453" s="900"/>
      <c r="I453" s="900"/>
      <c r="J453" s="900"/>
    </row>
    <row r="454" spans="6:10">
      <c r="F454" s="900"/>
      <c r="H454" s="900"/>
      <c r="I454" s="900"/>
      <c r="J454" s="900"/>
    </row>
    <row r="455" spans="6:10">
      <c r="F455" s="900"/>
      <c r="H455" s="900"/>
      <c r="I455" s="900"/>
      <c r="J455" s="900"/>
    </row>
    <row r="456" spans="6:10">
      <c r="F456" s="900"/>
      <c r="H456" s="900"/>
      <c r="I456" s="900"/>
      <c r="J456" s="900"/>
    </row>
    <row r="457" spans="6:10">
      <c r="F457" s="900"/>
      <c r="H457" s="900"/>
      <c r="I457" s="900"/>
      <c r="J457" s="900"/>
    </row>
    <row r="458" spans="6:10">
      <c r="F458" s="900"/>
      <c r="H458" s="900"/>
      <c r="I458" s="900"/>
      <c r="J458" s="900"/>
    </row>
    <row r="459" spans="6:10">
      <c r="F459" s="900"/>
      <c r="H459" s="900"/>
      <c r="I459" s="900"/>
      <c r="J459" s="900"/>
    </row>
    <row r="460" spans="6:10">
      <c r="F460" s="900"/>
      <c r="H460" s="900"/>
      <c r="I460" s="900"/>
      <c r="J460" s="900"/>
    </row>
    <row r="461" spans="6:10">
      <c r="F461" s="900"/>
      <c r="H461" s="900"/>
      <c r="I461" s="900"/>
      <c r="J461" s="900"/>
    </row>
    <row r="462" spans="6:10">
      <c r="F462" s="900"/>
      <c r="H462" s="900"/>
      <c r="I462" s="900"/>
      <c r="J462" s="900"/>
    </row>
    <row r="463" spans="6:10">
      <c r="F463" s="900"/>
      <c r="H463" s="900"/>
      <c r="I463" s="900"/>
      <c r="J463" s="900"/>
    </row>
    <row r="464" spans="6:10">
      <c r="F464" s="900"/>
      <c r="H464" s="900"/>
      <c r="I464" s="900"/>
      <c r="J464" s="900"/>
    </row>
    <row r="465" spans="6:10">
      <c r="F465" s="900"/>
      <c r="H465" s="900"/>
      <c r="I465" s="900"/>
      <c r="J465" s="900"/>
    </row>
    <row r="466" spans="6:10">
      <c r="F466" s="900"/>
      <c r="H466" s="900"/>
      <c r="I466" s="900"/>
      <c r="J466" s="900"/>
    </row>
    <row r="467" spans="6:10">
      <c r="F467" s="900"/>
      <c r="H467" s="900"/>
      <c r="I467" s="900"/>
      <c r="J467" s="900"/>
    </row>
    <row r="468" spans="6:10">
      <c r="F468" s="900"/>
      <c r="H468" s="900"/>
      <c r="I468" s="900"/>
      <c r="J468" s="900"/>
    </row>
    <row r="469" spans="6:10">
      <c r="F469" s="900"/>
      <c r="H469" s="900"/>
      <c r="I469" s="900"/>
      <c r="J469" s="900"/>
    </row>
    <row r="470" spans="6:10">
      <c r="F470" s="900"/>
      <c r="H470" s="900"/>
      <c r="I470" s="900"/>
      <c r="J470" s="900"/>
    </row>
    <row r="471" spans="6:10">
      <c r="F471" s="900"/>
      <c r="H471" s="900"/>
      <c r="I471" s="900"/>
      <c r="J471" s="900"/>
    </row>
    <row r="472" spans="6:10">
      <c r="F472" s="900"/>
      <c r="H472" s="900"/>
      <c r="I472" s="900"/>
      <c r="J472" s="900"/>
    </row>
    <row r="473" spans="6:10">
      <c r="F473" s="900"/>
      <c r="H473" s="900"/>
      <c r="I473" s="900"/>
      <c r="J473" s="900"/>
    </row>
    <row r="474" spans="6:10">
      <c r="F474" s="900"/>
      <c r="H474" s="900"/>
      <c r="I474" s="900"/>
      <c r="J474" s="900"/>
    </row>
    <row r="475" spans="6:10">
      <c r="F475" s="900"/>
      <c r="H475" s="900"/>
      <c r="I475" s="900"/>
      <c r="J475" s="900"/>
    </row>
    <row r="476" spans="6:10">
      <c r="F476" s="900"/>
      <c r="H476" s="900"/>
      <c r="I476" s="900"/>
      <c r="J476" s="900"/>
    </row>
    <row r="477" spans="6:10">
      <c r="F477" s="900"/>
      <c r="H477" s="900"/>
      <c r="I477" s="900"/>
      <c r="J477" s="900"/>
    </row>
    <row r="478" spans="6:10">
      <c r="F478" s="900"/>
      <c r="H478" s="900"/>
      <c r="I478" s="900"/>
      <c r="J478" s="900"/>
    </row>
    <row r="479" spans="6:10">
      <c r="F479" s="900"/>
      <c r="H479" s="900"/>
      <c r="I479" s="900"/>
      <c r="J479" s="900"/>
    </row>
    <row r="480" spans="6:10">
      <c r="F480" s="900"/>
      <c r="H480" s="900"/>
      <c r="I480" s="900"/>
      <c r="J480" s="900"/>
    </row>
    <row r="481" spans="6:10">
      <c r="F481" s="900"/>
      <c r="H481" s="900"/>
      <c r="I481" s="900"/>
      <c r="J481" s="900"/>
    </row>
    <row r="482" spans="6:10">
      <c r="F482" s="900"/>
      <c r="H482" s="900"/>
      <c r="I482" s="900"/>
      <c r="J482" s="900"/>
    </row>
    <row r="483" spans="6:10">
      <c r="F483" s="900"/>
      <c r="H483" s="900"/>
      <c r="I483" s="900"/>
      <c r="J483" s="900"/>
    </row>
    <row r="484" spans="6:10">
      <c r="F484" s="900"/>
      <c r="H484" s="900"/>
      <c r="I484" s="900"/>
      <c r="J484" s="900"/>
    </row>
    <row r="485" spans="6:10">
      <c r="F485" s="900"/>
      <c r="H485" s="900"/>
      <c r="I485" s="900"/>
      <c r="J485" s="900"/>
    </row>
    <row r="486" spans="6:10">
      <c r="F486" s="900"/>
      <c r="H486" s="900"/>
      <c r="I486" s="900"/>
      <c r="J486" s="900"/>
    </row>
    <row r="487" spans="6:10">
      <c r="F487" s="900"/>
      <c r="H487" s="900"/>
      <c r="I487" s="900"/>
      <c r="J487" s="900"/>
    </row>
    <row r="488" spans="6:10">
      <c r="F488" s="900"/>
      <c r="H488" s="900"/>
      <c r="I488" s="900"/>
      <c r="J488" s="900"/>
    </row>
    <row r="489" spans="6:10">
      <c r="F489" s="900"/>
      <c r="H489" s="900"/>
      <c r="I489" s="900"/>
      <c r="J489" s="900"/>
    </row>
    <row r="490" spans="6:10">
      <c r="F490" s="900"/>
      <c r="H490" s="900"/>
      <c r="I490" s="900"/>
      <c r="J490" s="900"/>
    </row>
    <row r="491" spans="6:10">
      <c r="F491" s="900"/>
      <c r="H491" s="900"/>
      <c r="I491" s="900"/>
      <c r="J491" s="900"/>
    </row>
    <row r="492" spans="6:10">
      <c r="F492" s="900"/>
      <c r="H492" s="900"/>
      <c r="I492" s="900"/>
      <c r="J492" s="900"/>
    </row>
    <row r="493" spans="6:10">
      <c r="F493" s="900"/>
      <c r="H493" s="900"/>
      <c r="I493" s="900"/>
      <c r="J493" s="900"/>
    </row>
    <row r="494" spans="6:10">
      <c r="F494" s="900"/>
      <c r="H494" s="900"/>
      <c r="I494" s="900"/>
      <c r="J494" s="900"/>
    </row>
    <row r="495" spans="6:10">
      <c r="F495" s="900"/>
      <c r="H495" s="900"/>
      <c r="I495" s="900"/>
      <c r="J495" s="900"/>
    </row>
    <row r="496" spans="6:10">
      <c r="F496" s="900"/>
      <c r="H496" s="900"/>
      <c r="I496" s="900"/>
      <c r="J496" s="900"/>
    </row>
    <row r="497" spans="6:10">
      <c r="F497" s="900"/>
      <c r="H497" s="900"/>
      <c r="I497" s="900"/>
      <c r="J497" s="900"/>
    </row>
    <row r="498" spans="6:10">
      <c r="F498" s="900"/>
      <c r="H498" s="900"/>
      <c r="I498" s="900"/>
      <c r="J498" s="900"/>
    </row>
    <row r="499" spans="6:10">
      <c r="F499" s="900"/>
      <c r="H499" s="900"/>
      <c r="I499" s="900"/>
      <c r="J499" s="900"/>
    </row>
    <row r="500" spans="6:10">
      <c r="F500" s="900"/>
      <c r="H500" s="900"/>
      <c r="I500" s="900"/>
      <c r="J500" s="900"/>
    </row>
    <row r="501" spans="6:10">
      <c r="F501" s="900"/>
      <c r="H501" s="900"/>
      <c r="I501" s="900"/>
      <c r="J501" s="900"/>
    </row>
    <row r="502" spans="6:10">
      <c r="F502" s="900"/>
      <c r="H502" s="900"/>
      <c r="I502" s="900"/>
      <c r="J502" s="900"/>
    </row>
    <row r="503" spans="6:10">
      <c r="F503" s="900"/>
      <c r="H503" s="900"/>
      <c r="I503" s="900"/>
      <c r="J503" s="900"/>
    </row>
    <row r="504" spans="6:10">
      <c r="F504" s="900"/>
      <c r="H504" s="900"/>
      <c r="I504" s="900"/>
      <c r="J504" s="900"/>
    </row>
    <row r="505" spans="6:10">
      <c r="F505" s="900"/>
      <c r="H505" s="900"/>
      <c r="I505" s="900"/>
      <c r="J505" s="900"/>
    </row>
    <row r="506" spans="6:10">
      <c r="F506" s="900"/>
      <c r="H506" s="900"/>
      <c r="I506" s="900"/>
      <c r="J506" s="900"/>
    </row>
    <row r="507" spans="6:10">
      <c r="F507" s="900"/>
      <c r="H507" s="900"/>
      <c r="I507" s="900"/>
      <c r="J507" s="900"/>
    </row>
    <row r="508" spans="6:10">
      <c r="F508" s="900"/>
      <c r="H508" s="900"/>
      <c r="I508" s="900"/>
      <c r="J508" s="900"/>
    </row>
    <row r="509" spans="6:10">
      <c r="F509" s="900"/>
      <c r="H509" s="900"/>
      <c r="I509" s="900"/>
      <c r="J509" s="900"/>
    </row>
    <row r="510" spans="6:10">
      <c r="F510" s="900"/>
      <c r="H510" s="900"/>
      <c r="I510" s="900"/>
      <c r="J510" s="900"/>
    </row>
    <row r="511" spans="6:10">
      <c r="F511" s="900"/>
      <c r="H511" s="900"/>
      <c r="I511" s="900"/>
      <c r="J511" s="900"/>
    </row>
    <row r="512" spans="6:10">
      <c r="F512" s="900"/>
      <c r="H512" s="900"/>
      <c r="I512" s="900"/>
      <c r="J512" s="900"/>
    </row>
    <row r="513" spans="6:10">
      <c r="F513" s="900"/>
      <c r="H513" s="900"/>
      <c r="I513" s="900"/>
      <c r="J513" s="900"/>
    </row>
    <row r="514" spans="6:10">
      <c r="F514" s="900"/>
      <c r="H514" s="900"/>
      <c r="I514" s="900"/>
      <c r="J514" s="900"/>
    </row>
    <row r="515" spans="6:10">
      <c r="F515" s="900"/>
      <c r="H515" s="900"/>
      <c r="I515" s="900"/>
      <c r="J515" s="900"/>
    </row>
    <row r="516" spans="6:10">
      <c r="F516" s="900"/>
      <c r="H516" s="900"/>
      <c r="I516" s="900"/>
      <c r="J516" s="900"/>
    </row>
    <row r="517" spans="6:10">
      <c r="F517" s="900"/>
      <c r="H517" s="900"/>
      <c r="I517" s="900"/>
      <c r="J517" s="900"/>
    </row>
    <row r="518" spans="6:10">
      <c r="F518" s="900"/>
      <c r="H518" s="900"/>
      <c r="I518" s="900"/>
      <c r="J518" s="900"/>
    </row>
    <row r="519" spans="6:10">
      <c r="F519" s="900"/>
      <c r="H519" s="900"/>
      <c r="I519" s="900"/>
      <c r="J519" s="900"/>
    </row>
    <row r="520" spans="6:10">
      <c r="F520" s="900"/>
      <c r="H520" s="900"/>
      <c r="I520" s="900"/>
      <c r="J520" s="900"/>
    </row>
    <row r="521" spans="6:10">
      <c r="F521" s="900"/>
      <c r="H521" s="900"/>
      <c r="I521" s="900"/>
      <c r="J521" s="900"/>
    </row>
    <row r="522" spans="6:10">
      <c r="F522" s="900"/>
      <c r="H522" s="900"/>
      <c r="I522" s="900"/>
      <c r="J522" s="900"/>
    </row>
    <row r="523" spans="6:10">
      <c r="F523" s="900"/>
      <c r="H523" s="900"/>
      <c r="I523" s="900"/>
      <c r="J523" s="900"/>
    </row>
    <row r="524" spans="6:10">
      <c r="F524" s="900"/>
      <c r="H524" s="900"/>
      <c r="I524" s="900"/>
      <c r="J524" s="900"/>
    </row>
    <row r="525" spans="6:10">
      <c r="F525" s="900"/>
      <c r="H525" s="900"/>
      <c r="I525" s="900"/>
      <c r="J525" s="900"/>
    </row>
    <row r="526" spans="6:10">
      <c r="F526" s="900"/>
      <c r="H526" s="900"/>
      <c r="I526" s="900"/>
      <c r="J526" s="900"/>
    </row>
    <row r="527" spans="6:10">
      <c r="F527" s="900"/>
      <c r="H527" s="900"/>
      <c r="I527" s="900"/>
      <c r="J527" s="900"/>
    </row>
    <row r="528" spans="6:10">
      <c r="F528" s="900"/>
      <c r="H528" s="900"/>
      <c r="I528" s="900"/>
      <c r="J528" s="900"/>
    </row>
    <row r="529" spans="6:10">
      <c r="F529" s="900"/>
      <c r="H529" s="900"/>
      <c r="I529" s="900"/>
      <c r="J529" s="900"/>
    </row>
    <row r="530" spans="6:10">
      <c r="F530" s="900"/>
      <c r="H530" s="900"/>
      <c r="I530" s="900"/>
      <c r="J530" s="900"/>
    </row>
    <row r="531" spans="6:10">
      <c r="F531" s="900"/>
      <c r="H531" s="900"/>
      <c r="I531" s="900"/>
      <c r="J531" s="900"/>
    </row>
    <row r="532" spans="6:10">
      <c r="F532" s="900"/>
      <c r="H532" s="900"/>
      <c r="I532" s="900"/>
      <c r="J532" s="900"/>
    </row>
    <row r="533" spans="6:10">
      <c r="F533" s="900"/>
      <c r="H533" s="900"/>
      <c r="I533" s="900"/>
      <c r="J533" s="900"/>
    </row>
    <row r="534" spans="6:10">
      <c r="F534" s="900"/>
      <c r="H534" s="900"/>
      <c r="I534" s="900"/>
      <c r="J534" s="900"/>
    </row>
    <row r="535" spans="6:10">
      <c r="F535" s="900"/>
      <c r="H535" s="900"/>
      <c r="I535" s="900"/>
      <c r="J535" s="900"/>
    </row>
    <row r="536" spans="6:10">
      <c r="F536" s="900"/>
      <c r="H536" s="900"/>
      <c r="I536" s="900"/>
      <c r="J536" s="900"/>
    </row>
    <row r="537" spans="6:10">
      <c r="F537" s="900"/>
      <c r="H537" s="900"/>
      <c r="I537" s="900"/>
      <c r="J537" s="900"/>
    </row>
    <row r="538" spans="6:10">
      <c r="F538" s="900"/>
      <c r="H538" s="900"/>
      <c r="I538" s="900"/>
      <c r="J538" s="900"/>
    </row>
    <row r="539" spans="6:10">
      <c r="F539" s="900"/>
      <c r="H539" s="900"/>
      <c r="I539" s="900"/>
      <c r="J539" s="900"/>
    </row>
    <row r="540" spans="6:10">
      <c r="F540" s="900"/>
      <c r="H540" s="900"/>
      <c r="I540" s="900"/>
      <c r="J540" s="900"/>
    </row>
    <row r="541" spans="6:10">
      <c r="F541" s="900"/>
      <c r="H541" s="900"/>
      <c r="I541" s="900"/>
      <c r="J541" s="900"/>
    </row>
    <row r="542" spans="6:10">
      <c r="F542" s="900"/>
      <c r="H542" s="900"/>
      <c r="I542" s="900"/>
      <c r="J542" s="900"/>
    </row>
    <row r="543" spans="6:10">
      <c r="F543" s="900"/>
      <c r="H543" s="900"/>
      <c r="I543" s="900"/>
      <c r="J543" s="900"/>
    </row>
    <row r="544" spans="6:10">
      <c r="F544" s="900"/>
      <c r="H544" s="900"/>
      <c r="I544" s="900"/>
      <c r="J544" s="900"/>
    </row>
    <row r="545" spans="6:10">
      <c r="F545" s="900"/>
      <c r="H545" s="900"/>
      <c r="I545" s="900"/>
      <c r="J545" s="900"/>
    </row>
    <row r="546" spans="6:10">
      <c r="F546" s="900"/>
      <c r="H546" s="900"/>
      <c r="I546" s="900"/>
      <c r="J546" s="900"/>
    </row>
    <row r="547" spans="6:10">
      <c r="F547" s="900"/>
      <c r="H547" s="900"/>
      <c r="I547" s="900"/>
      <c r="J547" s="900"/>
    </row>
    <row r="548" spans="6:10">
      <c r="F548" s="900"/>
      <c r="H548" s="900"/>
      <c r="I548" s="900"/>
      <c r="J548" s="900"/>
    </row>
    <row r="549" spans="6:10">
      <c r="F549" s="900"/>
      <c r="H549" s="900"/>
      <c r="I549" s="900"/>
      <c r="J549" s="900"/>
    </row>
    <row r="550" spans="6:10">
      <c r="F550" s="900"/>
      <c r="H550" s="900"/>
      <c r="I550" s="900"/>
      <c r="J550" s="900"/>
    </row>
    <row r="551" spans="6:10">
      <c r="F551" s="900"/>
      <c r="H551" s="900"/>
      <c r="I551" s="900"/>
      <c r="J551" s="900"/>
    </row>
    <row r="552" spans="6:10">
      <c r="F552" s="900"/>
      <c r="H552" s="900"/>
      <c r="I552" s="900"/>
      <c r="J552" s="900"/>
    </row>
    <row r="553" spans="6:10">
      <c r="F553" s="900"/>
      <c r="H553" s="900"/>
      <c r="I553" s="900"/>
      <c r="J553" s="900"/>
    </row>
    <row r="554" spans="6:10">
      <c r="F554" s="900"/>
      <c r="H554" s="900"/>
      <c r="I554" s="900"/>
      <c r="J554" s="900"/>
    </row>
    <row r="555" spans="6:10">
      <c r="F555" s="900"/>
      <c r="H555" s="900"/>
      <c r="I555" s="900"/>
      <c r="J555" s="900"/>
    </row>
    <row r="556" spans="6:10">
      <c r="F556" s="900"/>
      <c r="H556" s="900"/>
      <c r="I556" s="900"/>
      <c r="J556" s="900"/>
    </row>
    <row r="557" spans="6:10">
      <c r="F557" s="900"/>
      <c r="H557" s="900"/>
      <c r="I557" s="900"/>
      <c r="J557" s="900"/>
    </row>
    <row r="558" spans="6:10">
      <c r="F558" s="900"/>
      <c r="H558" s="900"/>
      <c r="I558" s="900"/>
      <c r="J558" s="900"/>
    </row>
    <row r="559" spans="6:10">
      <c r="F559" s="900"/>
      <c r="H559" s="900"/>
      <c r="I559" s="900"/>
      <c r="J559" s="900"/>
    </row>
    <row r="560" spans="6:10">
      <c r="F560" s="900"/>
      <c r="H560" s="900"/>
      <c r="I560" s="900"/>
      <c r="J560" s="900"/>
    </row>
    <row r="561" spans="6:10">
      <c r="F561" s="900"/>
      <c r="H561" s="900"/>
      <c r="I561" s="900"/>
      <c r="J561" s="900"/>
    </row>
    <row r="562" spans="6:10">
      <c r="F562" s="900"/>
      <c r="H562" s="900"/>
      <c r="I562" s="900"/>
      <c r="J562" s="900"/>
    </row>
    <row r="563" spans="6:10">
      <c r="F563" s="900"/>
      <c r="H563" s="900"/>
      <c r="I563" s="900"/>
      <c r="J563" s="900"/>
    </row>
    <row r="564" spans="6:10">
      <c r="F564" s="900"/>
      <c r="H564" s="900"/>
      <c r="I564" s="900"/>
      <c r="J564" s="900"/>
    </row>
    <row r="565" spans="6:10">
      <c r="F565" s="900"/>
      <c r="H565" s="900"/>
      <c r="I565" s="900"/>
      <c r="J565" s="900"/>
    </row>
    <row r="566" spans="6:10">
      <c r="F566" s="900"/>
      <c r="H566" s="900"/>
      <c r="I566" s="900"/>
      <c r="J566" s="900"/>
    </row>
    <row r="567" spans="6:10">
      <c r="F567" s="900"/>
      <c r="H567" s="900"/>
      <c r="I567" s="900"/>
      <c r="J567" s="900"/>
    </row>
    <row r="568" spans="6:10">
      <c r="F568" s="900"/>
      <c r="H568" s="900"/>
      <c r="I568" s="900"/>
      <c r="J568" s="900"/>
    </row>
    <row r="569" spans="6:10">
      <c r="F569" s="900"/>
      <c r="H569" s="900"/>
      <c r="I569" s="900"/>
      <c r="J569" s="900"/>
    </row>
    <row r="570" spans="6:10">
      <c r="F570" s="900"/>
      <c r="H570" s="900"/>
      <c r="I570" s="900"/>
      <c r="J570" s="900"/>
    </row>
    <row r="571" spans="6:10">
      <c r="F571" s="900"/>
      <c r="H571" s="900"/>
      <c r="I571" s="900"/>
      <c r="J571" s="900"/>
    </row>
    <row r="572" spans="6:10">
      <c r="F572" s="900"/>
      <c r="H572" s="900"/>
      <c r="I572" s="900"/>
      <c r="J572" s="900"/>
    </row>
    <row r="573" spans="6:10">
      <c r="F573" s="900"/>
      <c r="H573" s="900"/>
      <c r="I573" s="900"/>
      <c r="J573" s="900"/>
    </row>
    <row r="574" spans="6:10">
      <c r="F574" s="900"/>
      <c r="H574" s="900"/>
      <c r="I574" s="900"/>
      <c r="J574" s="900"/>
    </row>
    <row r="575" spans="6:10">
      <c r="F575" s="900"/>
      <c r="H575" s="900"/>
      <c r="I575" s="900"/>
      <c r="J575" s="900"/>
    </row>
    <row r="576" spans="6:10">
      <c r="F576" s="900"/>
      <c r="H576" s="900"/>
      <c r="I576" s="900"/>
      <c r="J576" s="900"/>
    </row>
    <row r="577" spans="6:10">
      <c r="F577" s="900"/>
      <c r="H577" s="900"/>
      <c r="I577" s="900"/>
      <c r="J577" s="900"/>
    </row>
    <row r="578" spans="6:10">
      <c r="F578" s="900"/>
      <c r="H578" s="900"/>
      <c r="I578" s="900"/>
      <c r="J578" s="900"/>
    </row>
    <row r="579" spans="6:10">
      <c r="F579" s="900"/>
      <c r="H579" s="900"/>
      <c r="I579" s="900"/>
      <c r="J579" s="900"/>
    </row>
    <row r="580" spans="6:10">
      <c r="F580" s="900"/>
      <c r="H580" s="900"/>
      <c r="I580" s="900"/>
      <c r="J580" s="900"/>
    </row>
    <row r="581" spans="6:10">
      <c r="F581" s="900"/>
      <c r="H581" s="900"/>
      <c r="I581" s="900"/>
      <c r="J581" s="900"/>
    </row>
    <row r="582" spans="6:10">
      <c r="F582" s="900"/>
      <c r="H582" s="900"/>
      <c r="I582" s="900"/>
      <c r="J582" s="900"/>
    </row>
    <row r="583" spans="6:10">
      <c r="F583" s="900"/>
      <c r="H583" s="900"/>
      <c r="I583" s="900"/>
      <c r="J583" s="900"/>
    </row>
    <row r="584" spans="6:10">
      <c r="F584" s="900"/>
      <c r="H584" s="900"/>
      <c r="I584" s="900"/>
      <c r="J584" s="900"/>
    </row>
    <row r="585" spans="6:10">
      <c r="F585" s="900"/>
      <c r="H585" s="900"/>
      <c r="I585" s="900"/>
      <c r="J585" s="900"/>
    </row>
    <row r="586" spans="6:10">
      <c r="F586" s="900"/>
      <c r="H586" s="900"/>
      <c r="I586" s="900"/>
      <c r="J586" s="900"/>
    </row>
    <row r="587" spans="6:10">
      <c r="F587" s="900"/>
      <c r="H587" s="900"/>
      <c r="I587" s="900"/>
      <c r="J587" s="900"/>
    </row>
    <row r="588" spans="6:10">
      <c r="F588" s="900"/>
      <c r="H588" s="900"/>
      <c r="I588" s="900"/>
      <c r="J588" s="900"/>
    </row>
    <row r="589" spans="6:10">
      <c r="F589" s="900"/>
      <c r="H589" s="900"/>
      <c r="I589" s="900"/>
      <c r="J589" s="900"/>
    </row>
    <row r="590" spans="6:10">
      <c r="F590" s="900"/>
      <c r="H590" s="900"/>
      <c r="I590" s="900"/>
      <c r="J590" s="900"/>
    </row>
    <row r="591" spans="6:10">
      <c r="F591" s="900"/>
      <c r="H591" s="900"/>
      <c r="I591" s="900"/>
      <c r="J591" s="900"/>
    </row>
    <row r="592" spans="6:10">
      <c r="F592" s="900"/>
      <c r="H592" s="900"/>
      <c r="I592" s="900"/>
      <c r="J592" s="900"/>
    </row>
    <row r="593" spans="6:10">
      <c r="F593" s="900"/>
      <c r="H593" s="900"/>
      <c r="I593" s="900"/>
      <c r="J593" s="900"/>
    </row>
    <row r="594" spans="6:10">
      <c r="F594" s="900"/>
      <c r="H594" s="900"/>
      <c r="I594" s="900"/>
      <c r="J594" s="900"/>
    </row>
    <row r="595" spans="6:10">
      <c r="F595" s="900"/>
      <c r="H595" s="900"/>
      <c r="I595" s="900"/>
      <c r="J595" s="900"/>
    </row>
    <row r="596" spans="6:10">
      <c r="F596" s="900"/>
      <c r="H596" s="900"/>
      <c r="I596" s="900"/>
      <c r="J596" s="900"/>
    </row>
    <row r="597" spans="6:10">
      <c r="F597" s="900"/>
      <c r="H597" s="900"/>
      <c r="I597" s="900"/>
      <c r="J597" s="900"/>
    </row>
    <row r="598" spans="6:10">
      <c r="F598" s="900"/>
      <c r="H598" s="900"/>
      <c r="I598" s="900"/>
      <c r="J598" s="900"/>
    </row>
    <row r="599" spans="6:10">
      <c r="F599" s="900"/>
      <c r="H599" s="900"/>
      <c r="I599" s="900"/>
      <c r="J599" s="900"/>
    </row>
    <row r="600" spans="6:10">
      <c r="F600" s="900"/>
      <c r="H600" s="900"/>
      <c r="I600" s="900"/>
      <c r="J600" s="900"/>
    </row>
    <row r="601" spans="6:10">
      <c r="F601" s="900"/>
      <c r="H601" s="900"/>
      <c r="I601" s="900"/>
      <c r="J601" s="900"/>
    </row>
    <row r="602" spans="6:10">
      <c r="F602" s="900"/>
      <c r="H602" s="900"/>
      <c r="I602" s="900"/>
      <c r="J602" s="900"/>
    </row>
    <row r="603" spans="6:10">
      <c r="F603" s="900"/>
      <c r="H603" s="900"/>
      <c r="I603" s="900"/>
      <c r="J603" s="900"/>
    </row>
    <row r="604" spans="6:10">
      <c r="F604" s="900"/>
      <c r="H604" s="900"/>
      <c r="I604" s="900"/>
      <c r="J604" s="900"/>
    </row>
    <row r="605" spans="6:10">
      <c r="F605" s="900"/>
      <c r="H605" s="900"/>
      <c r="I605" s="900"/>
      <c r="J605" s="900"/>
    </row>
    <row r="606" spans="6:10">
      <c r="F606" s="900"/>
      <c r="H606" s="900"/>
      <c r="I606" s="900"/>
      <c r="J606" s="900"/>
    </row>
    <row r="607" spans="6:10">
      <c r="F607" s="900"/>
      <c r="H607" s="900"/>
      <c r="I607" s="900"/>
      <c r="J607" s="900"/>
    </row>
    <row r="608" spans="6:10">
      <c r="F608" s="900"/>
      <c r="H608" s="900"/>
      <c r="I608" s="900"/>
      <c r="J608" s="900"/>
    </row>
    <row r="609" spans="6:10">
      <c r="F609" s="900"/>
      <c r="H609" s="900"/>
      <c r="I609" s="900"/>
      <c r="J609" s="900"/>
    </row>
    <row r="610" spans="6:10">
      <c r="F610" s="900"/>
      <c r="H610" s="900"/>
      <c r="I610" s="900"/>
      <c r="J610" s="900"/>
    </row>
    <row r="611" spans="6:10">
      <c r="F611" s="900"/>
      <c r="H611" s="900"/>
      <c r="I611" s="900"/>
      <c r="J611" s="900"/>
    </row>
    <row r="612" spans="6:10">
      <c r="F612" s="900"/>
      <c r="H612" s="900"/>
      <c r="I612" s="900"/>
      <c r="J612" s="900"/>
    </row>
    <row r="613" spans="6:10">
      <c r="F613" s="900"/>
      <c r="H613" s="900"/>
      <c r="I613" s="900"/>
      <c r="J613" s="900"/>
    </row>
    <row r="614" spans="6:10">
      <c r="F614" s="900"/>
      <c r="H614" s="900"/>
      <c r="I614" s="900"/>
      <c r="J614" s="900"/>
    </row>
    <row r="615" spans="6:10">
      <c r="F615" s="900"/>
      <c r="H615" s="900"/>
      <c r="I615" s="900"/>
      <c r="J615" s="900"/>
    </row>
    <row r="616" spans="6:10">
      <c r="F616" s="900"/>
      <c r="H616" s="900"/>
      <c r="I616" s="900"/>
      <c r="J616" s="900"/>
    </row>
    <row r="617" spans="6:10">
      <c r="F617" s="900"/>
      <c r="H617" s="900"/>
      <c r="I617" s="900"/>
      <c r="J617" s="900"/>
    </row>
    <row r="618" spans="6:10">
      <c r="F618" s="900"/>
      <c r="H618" s="900"/>
      <c r="I618" s="900"/>
      <c r="J618" s="900"/>
    </row>
    <row r="619" spans="6:10">
      <c r="F619" s="900"/>
      <c r="H619" s="900"/>
      <c r="I619" s="900"/>
      <c r="J619" s="900"/>
    </row>
    <row r="620" spans="6:10">
      <c r="F620" s="900"/>
      <c r="H620" s="900"/>
      <c r="I620" s="900"/>
      <c r="J620" s="900"/>
    </row>
    <row r="621" spans="6:10">
      <c r="F621" s="900"/>
      <c r="H621" s="900"/>
      <c r="I621" s="900"/>
      <c r="J621" s="900"/>
    </row>
    <row r="622" spans="6:10">
      <c r="F622" s="900"/>
      <c r="H622" s="900"/>
      <c r="I622" s="900"/>
      <c r="J622" s="900"/>
    </row>
    <row r="623" spans="6:10">
      <c r="F623" s="900"/>
      <c r="H623" s="900"/>
      <c r="I623" s="900"/>
      <c r="J623" s="900"/>
    </row>
    <row r="624" spans="6:10">
      <c r="F624" s="900"/>
      <c r="H624" s="900"/>
      <c r="I624" s="900"/>
      <c r="J624" s="900"/>
    </row>
    <row r="625" spans="6:10">
      <c r="F625" s="900"/>
      <c r="H625" s="900"/>
      <c r="I625" s="900"/>
      <c r="J625" s="900"/>
    </row>
    <row r="626" spans="6:10">
      <c r="F626" s="900"/>
      <c r="H626" s="900"/>
      <c r="I626" s="900"/>
      <c r="J626" s="900"/>
    </row>
    <row r="627" spans="6:10">
      <c r="F627" s="900"/>
      <c r="H627" s="900"/>
      <c r="I627" s="900"/>
      <c r="J627" s="900"/>
    </row>
    <row r="628" spans="6:10">
      <c r="F628" s="900"/>
      <c r="H628" s="900"/>
      <c r="I628" s="900"/>
      <c r="J628" s="900"/>
    </row>
    <row r="629" spans="6:10">
      <c r="F629" s="900"/>
      <c r="H629" s="900"/>
      <c r="I629" s="900"/>
      <c r="J629" s="900"/>
    </row>
    <row r="630" spans="6:10">
      <c r="F630" s="900"/>
      <c r="H630" s="900"/>
      <c r="I630" s="900"/>
      <c r="J630" s="900"/>
    </row>
    <row r="631" spans="6:10">
      <c r="F631" s="900"/>
      <c r="H631" s="900"/>
      <c r="I631" s="900"/>
      <c r="J631" s="900"/>
    </row>
    <row r="632" spans="6:10">
      <c r="F632" s="900"/>
      <c r="H632" s="900"/>
      <c r="I632" s="900"/>
      <c r="J632" s="900"/>
    </row>
    <row r="633" spans="6:10">
      <c r="F633" s="900"/>
      <c r="H633" s="900"/>
      <c r="I633" s="900"/>
      <c r="J633" s="900"/>
    </row>
    <row r="634" spans="6:10">
      <c r="F634" s="900"/>
      <c r="H634" s="900"/>
      <c r="I634" s="900"/>
      <c r="J634" s="900"/>
    </row>
    <row r="635" spans="6:10">
      <c r="F635" s="900"/>
      <c r="H635" s="900"/>
      <c r="I635" s="900"/>
      <c r="J635" s="900"/>
    </row>
    <row r="636" spans="6:10">
      <c r="F636" s="900"/>
      <c r="H636" s="900"/>
      <c r="I636" s="900"/>
      <c r="J636" s="900"/>
    </row>
    <row r="637" spans="6:10">
      <c r="F637" s="900"/>
      <c r="H637" s="900"/>
      <c r="I637" s="900"/>
      <c r="J637" s="900"/>
    </row>
    <row r="638" spans="6:10">
      <c r="F638" s="900"/>
      <c r="H638" s="900"/>
      <c r="I638" s="900"/>
      <c r="J638" s="900"/>
    </row>
    <row r="639" spans="6:10">
      <c r="F639" s="900"/>
      <c r="H639" s="900"/>
      <c r="I639" s="900"/>
      <c r="J639" s="900"/>
    </row>
    <row r="640" spans="6:10">
      <c r="F640" s="900"/>
      <c r="H640" s="900"/>
      <c r="I640" s="900"/>
      <c r="J640" s="900"/>
    </row>
    <row r="641" spans="6:10">
      <c r="F641" s="900"/>
      <c r="H641" s="900"/>
      <c r="I641" s="900"/>
      <c r="J641" s="900"/>
    </row>
    <row r="642" spans="6:10">
      <c r="F642" s="900"/>
      <c r="H642" s="900"/>
      <c r="I642" s="900"/>
      <c r="J642" s="900"/>
    </row>
    <row r="643" spans="6:10">
      <c r="F643" s="900"/>
      <c r="H643" s="900"/>
      <c r="I643" s="900"/>
      <c r="J643" s="900"/>
    </row>
    <row r="644" spans="6:10">
      <c r="F644" s="900"/>
      <c r="H644" s="900"/>
      <c r="I644" s="900"/>
      <c r="J644" s="900"/>
    </row>
    <row r="645" spans="6:10">
      <c r="F645" s="900"/>
      <c r="H645" s="900"/>
      <c r="I645" s="900"/>
      <c r="J645" s="900"/>
    </row>
    <row r="646" spans="6:10">
      <c r="F646" s="900"/>
      <c r="H646" s="900"/>
      <c r="I646" s="900"/>
      <c r="J646" s="900"/>
    </row>
    <row r="647" spans="6:10">
      <c r="F647" s="900"/>
      <c r="H647" s="900"/>
      <c r="I647" s="900"/>
      <c r="J647" s="900"/>
    </row>
    <row r="648" spans="6:10">
      <c r="F648" s="900"/>
      <c r="H648" s="900"/>
      <c r="I648" s="900"/>
      <c r="J648" s="900"/>
    </row>
    <row r="649" spans="6:10">
      <c r="F649" s="900"/>
      <c r="H649" s="900"/>
      <c r="I649" s="900"/>
      <c r="J649" s="900"/>
    </row>
    <row r="650" spans="6:10">
      <c r="F650" s="900"/>
      <c r="H650" s="900"/>
      <c r="I650" s="900"/>
      <c r="J650" s="900"/>
    </row>
    <row r="651" spans="6:10">
      <c r="F651" s="900"/>
      <c r="H651" s="900"/>
      <c r="I651" s="900"/>
      <c r="J651" s="900"/>
    </row>
    <row r="652" spans="6:10">
      <c r="F652" s="900"/>
      <c r="H652" s="900"/>
      <c r="I652" s="900"/>
      <c r="J652" s="900"/>
    </row>
    <row r="653" spans="6:10">
      <c r="F653" s="900"/>
      <c r="H653" s="900"/>
      <c r="I653" s="900"/>
      <c r="J653" s="900"/>
    </row>
    <row r="654" spans="6:10">
      <c r="F654" s="900"/>
      <c r="H654" s="900"/>
      <c r="I654" s="900"/>
      <c r="J654" s="900"/>
    </row>
    <row r="655" spans="6:10">
      <c r="F655" s="900"/>
      <c r="H655" s="900"/>
      <c r="I655" s="900"/>
      <c r="J655" s="900"/>
    </row>
    <row r="656" spans="6:10">
      <c r="F656" s="900"/>
      <c r="H656" s="900"/>
      <c r="I656" s="900"/>
      <c r="J656" s="900"/>
    </row>
    <row r="657" spans="6:10">
      <c r="F657" s="900"/>
      <c r="H657" s="900"/>
      <c r="I657" s="900"/>
      <c r="J657" s="900"/>
    </row>
    <row r="658" spans="6:10">
      <c r="F658" s="900"/>
      <c r="H658" s="900"/>
      <c r="I658" s="900"/>
      <c r="J658" s="900"/>
    </row>
    <row r="659" spans="6:10">
      <c r="F659" s="900"/>
      <c r="H659" s="900"/>
      <c r="I659" s="900"/>
      <c r="J659" s="900"/>
    </row>
    <row r="660" spans="6:10">
      <c r="F660" s="900"/>
      <c r="H660" s="900"/>
      <c r="I660" s="900"/>
      <c r="J660" s="900"/>
    </row>
    <row r="661" spans="6:10">
      <c r="F661" s="900"/>
      <c r="H661" s="900"/>
      <c r="I661" s="900"/>
      <c r="J661" s="900"/>
    </row>
    <row r="662" spans="6:10">
      <c r="F662" s="900"/>
      <c r="H662" s="900"/>
      <c r="I662" s="900"/>
      <c r="J662" s="900"/>
    </row>
    <row r="663" spans="6:10">
      <c r="F663" s="900"/>
      <c r="H663" s="900"/>
      <c r="I663" s="900"/>
      <c r="J663" s="900"/>
    </row>
    <row r="664" spans="6:10">
      <c r="F664" s="900"/>
      <c r="H664" s="900"/>
      <c r="I664" s="900"/>
      <c r="J664" s="900"/>
    </row>
    <row r="665" spans="6:10">
      <c r="F665" s="900"/>
      <c r="H665" s="900"/>
      <c r="I665" s="900"/>
      <c r="J665" s="900"/>
    </row>
    <row r="666" spans="6:10">
      <c r="F666" s="900"/>
      <c r="H666" s="900"/>
      <c r="I666" s="900"/>
      <c r="J666" s="900"/>
    </row>
    <row r="667" spans="6:10">
      <c r="F667" s="900"/>
      <c r="H667" s="900"/>
      <c r="I667" s="900"/>
      <c r="J667" s="900"/>
    </row>
    <row r="668" spans="6:10">
      <c r="F668" s="900"/>
      <c r="H668" s="900"/>
      <c r="I668" s="900"/>
      <c r="J668" s="900"/>
    </row>
    <row r="669" spans="6:10">
      <c r="F669" s="900"/>
      <c r="H669" s="900"/>
      <c r="I669" s="900"/>
      <c r="J669" s="900"/>
    </row>
    <row r="670" spans="6:10">
      <c r="F670" s="900"/>
      <c r="H670" s="900"/>
      <c r="I670" s="900"/>
      <c r="J670" s="900"/>
    </row>
    <row r="671" spans="6:10">
      <c r="F671" s="900"/>
      <c r="H671" s="900"/>
      <c r="I671" s="900"/>
      <c r="J671" s="900"/>
    </row>
    <row r="672" spans="6:10">
      <c r="F672" s="900"/>
      <c r="H672" s="900"/>
      <c r="I672" s="900"/>
      <c r="J672" s="900"/>
    </row>
    <row r="673" spans="6:10">
      <c r="F673" s="900"/>
      <c r="H673" s="900"/>
      <c r="I673" s="900"/>
      <c r="J673" s="900"/>
    </row>
    <row r="674" spans="6:10">
      <c r="F674" s="900"/>
      <c r="H674" s="900"/>
      <c r="I674" s="900"/>
      <c r="J674" s="900"/>
    </row>
    <row r="675" spans="6:10">
      <c r="F675" s="900"/>
      <c r="H675" s="900"/>
      <c r="I675" s="900"/>
      <c r="J675" s="900"/>
    </row>
    <row r="676" spans="6:10">
      <c r="F676" s="900"/>
      <c r="H676" s="900"/>
      <c r="I676" s="900"/>
      <c r="J676" s="900"/>
    </row>
    <row r="677" spans="6:10">
      <c r="F677" s="900"/>
      <c r="H677" s="900"/>
      <c r="I677" s="900"/>
      <c r="J677" s="900"/>
    </row>
    <row r="678" spans="6:10">
      <c r="F678" s="900"/>
      <c r="H678" s="900"/>
      <c r="I678" s="900"/>
      <c r="J678" s="900"/>
    </row>
    <row r="679" spans="6:10">
      <c r="F679" s="900"/>
      <c r="H679" s="900"/>
      <c r="I679" s="900"/>
      <c r="J679" s="900"/>
    </row>
    <row r="680" spans="6:10">
      <c r="F680" s="900"/>
      <c r="H680" s="900"/>
      <c r="I680" s="900"/>
      <c r="J680" s="900"/>
    </row>
    <row r="681" spans="6:10">
      <c r="F681" s="900"/>
      <c r="H681" s="900"/>
      <c r="I681" s="900"/>
      <c r="J681" s="900"/>
    </row>
    <row r="682" spans="6:10">
      <c r="F682" s="900"/>
      <c r="H682" s="900"/>
      <c r="I682" s="900"/>
      <c r="J682" s="900"/>
    </row>
    <row r="683" spans="6:10">
      <c r="F683" s="900"/>
      <c r="H683" s="900"/>
      <c r="I683" s="900"/>
      <c r="J683" s="900"/>
    </row>
    <row r="684" spans="6:10">
      <c r="F684" s="900"/>
      <c r="H684" s="900"/>
      <c r="I684" s="900"/>
      <c r="J684" s="900"/>
    </row>
    <row r="685" spans="6:10">
      <c r="F685" s="900"/>
      <c r="H685" s="900"/>
      <c r="I685" s="900"/>
      <c r="J685" s="900"/>
    </row>
    <row r="686" spans="6:10">
      <c r="F686" s="900"/>
      <c r="H686" s="900"/>
      <c r="I686" s="900"/>
      <c r="J686" s="900"/>
    </row>
    <row r="687" spans="6:10">
      <c r="F687" s="900"/>
      <c r="H687" s="900"/>
      <c r="I687" s="900"/>
      <c r="J687" s="900"/>
    </row>
    <row r="688" spans="6:10">
      <c r="F688" s="900"/>
      <c r="H688" s="900"/>
      <c r="I688" s="900"/>
      <c r="J688" s="900"/>
    </row>
    <row r="689" spans="6:10">
      <c r="F689" s="900"/>
      <c r="H689" s="900"/>
      <c r="I689" s="900"/>
      <c r="J689" s="900"/>
    </row>
    <row r="690" spans="6:10">
      <c r="F690" s="900"/>
      <c r="H690" s="900"/>
      <c r="I690" s="900"/>
      <c r="J690" s="900"/>
    </row>
    <row r="691" spans="6:10">
      <c r="F691" s="900"/>
      <c r="H691" s="900"/>
      <c r="I691" s="900"/>
      <c r="J691" s="900"/>
    </row>
    <row r="692" spans="6:10">
      <c r="F692" s="900"/>
      <c r="H692" s="900"/>
      <c r="I692" s="900"/>
      <c r="J692" s="900"/>
    </row>
    <row r="693" spans="6:10">
      <c r="F693" s="900"/>
      <c r="H693" s="900"/>
      <c r="I693" s="900"/>
      <c r="J693" s="900"/>
    </row>
    <row r="694" spans="6:10">
      <c r="F694" s="900"/>
      <c r="H694" s="900"/>
      <c r="I694" s="900"/>
      <c r="J694" s="900"/>
    </row>
    <row r="695" spans="6:10">
      <c r="F695" s="900"/>
      <c r="H695" s="900"/>
      <c r="I695" s="900"/>
      <c r="J695" s="900"/>
    </row>
    <row r="696" spans="6:10">
      <c r="F696" s="900"/>
      <c r="H696" s="900"/>
      <c r="I696" s="900"/>
      <c r="J696" s="900"/>
    </row>
    <row r="697" spans="6:10">
      <c r="F697" s="900"/>
      <c r="H697" s="900"/>
      <c r="I697" s="900"/>
      <c r="J697" s="900"/>
    </row>
    <row r="698" spans="6:10">
      <c r="F698" s="900"/>
      <c r="H698" s="900"/>
      <c r="I698" s="900"/>
      <c r="J698" s="900"/>
    </row>
    <row r="699" spans="6:10">
      <c r="F699" s="900"/>
      <c r="H699" s="900"/>
      <c r="I699" s="900"/>
      <c r="J699" s="900"/>
    </row>
    <row r="700" spans="6:10">
      <c r="F700" s="900"/>
      <c r="H700" s="900"/>
      <c r="I700" s="900"/>
      <c r="J700" s="900"/>
    </row>
    <row r="701" spans="6:10">
      <c r="F701" s="900"/>
      <c r="H701" s="900"/>
      <c r="I701" s="900"/>
      <c r="J701" s="900"/>
    </row>
    <row r="702" spans="6:10">
      <c r="F702" s="900"/>
      <c r="H702" s="900"/>
      <c r="I702" s="900"/>
      <c r="J702" s="900"/>
    </row>
    <row r="703" spans="6:10">
      <c r="F703" s="900"/>
      <c r="H703" s="900"/>
      <c r="I703" s="900"/>
      <c r="J703" s="900"/>
    </row>
    <row r="704" spans="6:10">
      <c r="F704" s="900"/>
      <c r="H704" s="900"/>
      <c r="I704" s="900"/>
      <c r="J704" s="900"/>
    </row>
    <row r="705" spans="6:10">
      <c r="F705" s="900"/>
      <c r="H705" s="900"/>
      <c r="I705" s="900"/>
      <c r="J705" s="900"/>
    </row>
    <row r="706" spans="6:10">
      <c r="F706" s="900"/>
      <c r="H706" s="900"/>
      <c r="I706" s="900"/>
      <c r="J706" s="900"/>
    </row>
    <row r="707" spans="6:10">
      <c r="F707" s="900"/>
      <c r="H707" s="900"/>
      <c r="I707" s="900"/>
      <c r="J707" s="900"/>
    </row>
    <row r="708" spans="6:10">
      <c r="F708" s="900"/>
      <c r="H708" s="900"/>
      <c r="I708" s="900"/>
      <c r="J708" s="900"/>
    </row>
    <row r="709" spans="6:10">
      <c r="F709" s="900"/>
      <c r="H709" s="900"/>
      <c r="I709" s="900"/>
      <c r="J709" s="900"/>
    </row>
    <row r="710" spans="6:10">
      <c r="F710" s="900"/>
      <c r="H710" s="900"/>
      <c r="I710" s="900"/>
      <c r="J710" s="900"/>
    </row>
    <row r="711" spans="6:10">
      <c r="F711" s="900"/>
      <c r="H711" s="900"/>
      <c r="I711" s="900"/>
      <c r="J711" s="900"/>
    </row>
    <row r="712" spans="6:10">
      <c r="F712" s="900"/>
      <c r="H712" s="900"/>
      <c r="I712" s="900"/>
      <c r="J712" s="900"/>
    </row>
    <row r="713" spans="6:10">
      <c r="F713" s="900"/>
      <c r="H713" s="900"/>
      <c r="I713" s="900"/>
      <c r="J713" s="900"/>
    </row>
    <row r="714" spans="6:10">
      <c r="F714" s="900"/>
      <c r="H714" s="900"/>
      <c r="I714" s="900"/>
      <c r="J714" s="900"/>
    </row>
    <row r="715" spans="6:10">
      <c r="F715" s="900"/>
      <c r="H715" s="900"/>
      <c r="I715" s="900"/>
      <c r="J715" s="900"/>
    </row>
    <row r="716" spans="6:10">
      <c r="F716" s="900"/>
      <c r="H716" s="900"/>
      <c r="I716" s="900"/>
      <c r="J716" s="900"/>
    </row>
    <row r="717" spans="6:10">
      <c r="F717" s="900"/>
      <c r="H717" s="900"/>
      <c r="I717" s="900"/>
      <c r="J717" s="900"/>
    </row>
    <row r="718" spans="6:10">
      <c r="F718" s="900"/>
      <c r="H718" s="900"/>
      <c r="I718" s="900"/>
      <c r="J718" s="900"/>
    </row>
    <row r="719" spans="6:10">
      <c r="F719" s="900"/>
      <c r="H719" s="900"/>
      <c r="I719" s="900"/>
      <c r="J719" s="900"/>
    </row>
    <row r="720" spans="6:10">
      <c r="F720" s="900"/>
      <c r="H720" s="900"/>
      <c r="I720" s="900"/>
      <c r="J720" s="900"/>
    </row>
    <row r="721" spans="6:10">
      <c r="F721" s="900"/>
      <c r="H721" s="900"/>
      <c r="I721" s="900"/>
      <c r="J721" s="900"/>
    </row>
    <row r="722" spans="6:10">
      <c r="F722" s="900"/>
      <c r="H722" s="900"/>
      <c r="I722" s="900"/>
      <c r="J722" s="900"/>
    </row>
    <row r="723" spans="6:10">
      <c r="F723" s="900"/>
      <c r="H723" s="900"/>
      <c r="I723" s="900"/>
      <c r="J723" s="900"/>
    </row>
    <row r="724" spans="6:10">
      <c r="F724" s="900"/>
      <c r="H724" s="900"/>
      <c r="I724" s="900"/>
      <c r="J724" s="900"/>
    </row>
    <row r="725" spans="6:10">
      <c r="F725" s="900"/>
      <c r="H725" s="900"/>
      <c r="I725" s="900"/>
      <c r="J725" s="900"/>
    </row>
    <row r="726" spans="6:10">
      <c r="F726" s="900"/>
      <c r="H726" s="900"/>
      <c r="I726" s="900"/>
      <c r="J726" s="900"/>
    </row>
    <row r="727" spans="6:10">
      <c r="F727" s="900"/>
      <c r="H727" s="900"/>
      <c r="I727" s="900"/>
      <c r="J727" s="900"/>
    </row>
    <row r="728" spans="6:10">
      <c r="F728" s="900"/>
      <c r="H728" s="900"/>
      <c r="I728" s="900"/>
      <c r="J728" s="900"/>
    </row>
    <row r="729" spans="6:10">
      <c r="F729" s="900"/>
      <c r="H729" s="900"/>
      <c r="I729" s="900"/>
      <c r="J729" s="900"/>
    </row>
    <row r="730" spans="6:10">
      <c r="F730" s="900"/>
      <c r="H730" s="900"/>
      <c r="I730" s="900"/>
      <c r="J730" s="900"/>
    </row>
    <row r="731" spans="6:10">
      <c r="F731" s="900"/>
      <c r="H731" s="900"/>
      <c r="I731" s="900"/>
      <c r="J731" s="900"/>
    </row>
    <row r="732" spans="6:10">
      <c r="F732" s="900"/>
      <c r="H732" s="900"/>
      <c r="I732" s="900"/>
      <c r="J732" s="900"/>
    </row>
    <row r="733" spans="6:10">
      <c r="F733" s="900"/>
      <c r="H733" s="900"/>
      <c r="I733" s="900"/>
      <c r="J733" s="900"/>
    </row>
    <row r="734" spans="6:10">
      <c r="F734" s="900"/>
      <c r="H734" s="900"/>
      <c r="I734" s="900"/>
      <c r="J734" s="900"/>
    </row>
    <row r="735" spans="6:10">
      <c r="F735" s="900"/>
      <c r="H735" s="900"/>
      <c r="I735" s="900"/>
      <c r="J735" s="900"/>
    </row>
    <row r="736" spans="6:10">
      <c r="F736" s="900"/>
      <c r="H736" s="900"/>
      <c r="I736" s="900"/>
      <c r="J736" s="900"/>
    </row>
    <row r="737" spans="6:10">
      <c r="F737" s="900"/>
      <c r="H737" s="900"/>
      <c r="I737" s="900"/>
      <c r="J737" s="900"/>
    </row>
    <row r="738" spans="6:10">
      <c r="F738" s="900"/>
      <c r="H738" s="900"/>
      <c r="I738" s="900"/>
      <c r="J738" s="900"/>
    </row>
    <row r="739" spans="6:10">
      <c r="F739" s="900"/>
      <c r="H739" s="900"/>
      <c r="I739" s="900"/>
      <c r="J739" s="900"/>
    </row>
    <row r="740" spans="6:10">
      <c r="F740" s="900"/>
      <c r="H740" s="900"/>
      <c r="I740" s="900"/>
      <c r="J740" s="900"/>
    </row>
    <row r="741" spans="6:10">
      <c r="F741" s="900"/>
      <c r="H741" s="900"/>
      <c r="I741" s="900"/>
      <c r="J741" s="900"/>
    </row>
    <row r="742" spans="6:10">
      <c r="F742" s="900"/>
      <c r="H742" s="900"/>
      <c r="I742" s="900"/>
      <c r="J742" s="900"/>
    </row>
    <row r="743" spans="6:10">
      <c r="F743" s="900"/>
      <c r="H743" s="900"/>
      <c r="I743" s="900"/>
      <c r="J743" s="900"/>
    </row>
    <row r="744" spans="6:10">
      <c r="F744" s="900"/>
      <c r="H744" s="900"/>
      <c r="I744" s="900"/>
      <c r="J744" s="900"/>
    </row>
    <row r="745" spans="6:10">
      <c r="F745" s="900"/>
      <c r="H745" s="900"/>
      <c r="I745" s="900"/>
      <c r="J745" s="900"/>
    </row>
    <row r="746" spans="6:10">
      <c r="F746" s="900"/>
      <c r="H746" s="900"/>
      <c r="I746" s="900"/>
      <c r="J746" s="900"/>
    </row>
    <row r="747" spans="6:10">
      <c r="F747" s="900"/>
      <c r="H747" s="900"/>
      <c r="I747" s="900"/>
      <c r="J747" s="900"/>
    </row>
    <row r="748" spans="6:10">
      <c r="F748" s="900"/>
      <c r="H748" s="900"/>
      <c r="I748" s="900"/>
      <c r="J748" s="900"/>
    </row>
    <row r="749" spans="6:10">
      <c r="F749" s="900"/>
      <c r="H749" s="900"/>
      <c r="I749" s="900"/>
      <c r="J749" s="900"/>
    </row>
    <row r="750" spans="6:10">
      <c r="F750" s="900"/>
      <c r="H750" s="900"/>
      <c r="I750" s="900"/>
      <c r="J750" s="900"/>
    </row>
    <row r="751" spans="6:10">
      <c r="F751" s="900"/>
      <c r="H751" s="900"/>
      <c r="I751" s="900"/>
      <c r="J751" s="900"/>
    </row>
    <row r="752" spans="6:10">
      <c r="F752" s="900"/>
      <c r="H752" s="900"/>
      <c r="I752" s="900"/>
      <c r="J752" s="900"/>
    </row>
    <row r="753" spans="6:10">
      <c r="F753" s="900"/>
      <c r="H753" s="900"/>
      <c r="I753" s="900"/>
      <c r="J753" s="900"/>
    </row>
    <row r="754" spans="6:10">
      <c r="F754" s="900"/>
      <c r="H754" s="900"/>
      <c r="I754" s="900"/>
      <c r="J754" s="900"/>
    </row>
    <row r="755" spans="6:10">
      <c r="F755" s="900"/>
      <c r="H755" s="900"/>
      <c r="I755" s="900"/>
      <c r="J755" s="900"/>
    </row>
    <row r="756" spans="6:10">
      <c r="F756" s="900"/>
      <c r="H756" s="900"/>
      <c r="I756" s="900"/>
      <c r="J756" s="900"/>
    </row>
    <row r="757" spans="6:10">
      <c r="F757" s="900"/>
      <c r="H757" s="900"/>
      <c r="I757" s="900"/>
      <c r="J757" s="900"/>
    </row>
    <row r="758" spans="6:10">
      <c r="F758" s="900"/>
      <c r="H758" s="900"/>
      <c r="I758" s="900"/>
      <c r="J758" s="900"/>
    </row>
    <row r="759" spans="6:10">
      <c r="F759" s="900"/>
      <c r="H759" s="900"/>
      <c r="I759" s="900"/>
      <c r="J759" s="900"/>
    </row>
    <row r="760" spans="6:10">
      <c r="F760" s="900"/>
      <c r="H760" s="900"/>
      <c r="I760" s="900"/>
      <c r="J760" s="900"/>
    </row>
    <row r="761" spans="6:10">
      <c r="F761" s="900"/>
      <c r="H761" s="900"/>
      <c r="I761" s="900"/>
      <c r="J761" s="900"/>
    </row>
    <row r="762" spans="6:10">
      <c r="F762" s="900"/>
      <c r="H762" s="900"/>
      <c r="I762" s="900"/>
      <c r="J762" s="900"/>
    </row>
    <row r="763" spans="6:10">
      <c r="F763" s="900"/>
      <c r="H763" s="900"/>
      <c r="I763" s="900"/>
      <c r="J763" s="900"/>
    </row>
    <row r="764" spans="6:10">
      <c r="F764" s="900"/>
      <c r="H764" s="900"/>
      <c r="I764" s="900"/>
      <c r="J764" s="900"/>
    </row>
    <row r="765" spans="6:10">
      <c r="F765" s="900"/>
      <c r="H765" s="900"/>
      <c r="I765" s="900"/>
      <c r="J765" s="900"/>
    </row>
    <row r="766" spans="6:10">
      <c r="F766" s="900"/>
      <c r="H766" s="900"/>
      <c r="I766" s="900"/>
      <c r="J766" s="900"/>
    </row>
    <row r="767" spans="6:10">
      <c r="F767" s="900"/>
      <c r="H767" s="900"/>
      <c r="I767" s="900"/>
      <c r="J767" s="900"/>
    </row>
    <row r="768" spans="6:10">
      <c r="F768" s="900"/>
      <c r="H768" s="900"/>
      <c r="I768" s="900"/>
      <c r="J768" s="900"/>
    </row>
    <row r="769" spans="6:10">
      <c r="F769" s="900"/>
      <c r="H769" s="900"/>
      <c r="I769" s="900"/>
      <c r="J769" s="900"/>
    </row>
    <row r="770" spans="6:10">
      <c r="F770" s="900"/>
      <c r="H770" s="900"/>
      <c r="I770" s="900"/>
      <c r="J770" s="900"/>
    </row>
    <row r="771" spans="6:10">
      <c r="F771" s="900"/>
      <c r="H771" s="900"/>
      <c r="I771" s="900"/>
      <c r="J771" s="900"/>
    </row>
    <row r="772" spans="6:10">
      <c r="F772" s="900"/>
      <c r="H772" s="900"/>
      <c r="I772" s="900"/>
      <c r="J772" s="900"/>
    </row>
    <row r="773" spans="6:10">
      <c r="F773" s="900"/>
      <c r="H773" s="900"/>
      <c r="I773" s="900"/>
      <c r="J773" s="900"/>
    </row>
    <row r="774" spans="6:10">
      <c r="F774" s="900"/>
      <c r="H774" s="900"/>
      <c r="I774" s="900"/>
      <c r="J774" s="900"/>
    </row>
    <row r="775" spans="6:10">
      <c r="F775" s="900"/>
      <c r="H775" s="900"/>
      <c r="I775" s="900"/>
      <c r="J775" s="900"/>
    </row>
    <row r="776" spans="6:10">
      <c r="F776" s="900"/>
      <c r="H776" s="900"/>
      <c r="I776" s="900"/>
      <c r="J776" s="900"/>
    </row>
    <row r="777" spans="6:10">
      <c r="F777" s="900"/>
      <c r="H777" s="900"/>
      <c r="I777" s="900"/>
      <c r="J777" s="900"/>
    </row>
    <row r="778" spans="6:10">
      <c r="F778" s="900"/>
      <c r="H778" s="900"/>
      <c r="I778" s="900"/>
      <c r="J778" s="900"/>
    </row>
    <row r="779" spans="6:10">
      <c r="F779" s="900"/>
      <c r="H779" s="900"/>
      <c r="I779" s="900"/>
      <c r="J779" s="900"/>
    </row>
    <row r="780" spans="6:10">
      <c r="F780" s="900"/>
      <c r="H780" s="900"/>
      <c r="I780" s="900"/>
      <c r="J780" s="900"/>
    </row>
    <row r="781" spans="6:10">
      <c r="F781" s="900"/>
      <c r="H781" s="900"/>
      <c r="I781" s="900"/>
      <c r="J781" s="900"/>
    </row>
    <row r="782" spans="6:10">
      <c r="F782" s="900"/>
      <c r="H782" s="900"/>
      <c r="I782" s="900"/>
      <c r="J782" s="900"/>
    </row>
    <row r="783" spans="6:10">
      <c r="F783" s="900"/>
      <c r="H783" s="900"/>
      <c r="I783" s="900"/>
      <c r="J783" s="900"/>
    </row>
    <row r="784" spans="6:10">
      <c r="F784" s="900"/>
      <c r="H784" s="900"/>
      <c r="I784" s="900"/>
      <c r="J784" s="900"/>
    </row>
    <row r="785" spans="6:10">
      <c r="F785" s="900"/>
      <c r="H785" s="900"/>
      <c r="I785" s="900"/>
      <c r="J785" s="900"/>
    </row>
    <row r="786" spans="6:10">
      <c r="F786" s="900"/>
      <c r="H786" s="900"/>
      <c r="I786" s="900"/>
      <c r="J786" s="900"/>
    </row>
    <row r="787" spans="6:10">
      <c r="F787" s="900"/>
      <c r="H787" s="900"/>
      <c r="I787" s="900"/>
      <c r="J787" s="900"/>
    </row>
    <row r="788" spans="6:10">
      <c r="F788" s="900"/>
      <c r="H788" s="900"/>
      <c r="I788" s="900"/>
      <c r="J788" s="900"/>
    </row>
    <row r="789" spans="6:10">
      <c r="F789" s="900"/>
      <c r="H789" s="900"/>
      <c r="I789" s="900"/>
      <c r="J789" s="900"/>
    </row>
    <row r="790" spans="6:10">
      <c r="F790" s="900"/>
      <c r="H790" s="900"/>
      <c r="I790" s="900"/>
      <c r="J790" s="900"/>
    </row>
    <row r="791" spans="6:10">
      <c r="F791" s="900"/>
      <c r="H791" s="900"/>
      <c r="I791" s="900"/>
      <c r="J791" s="900"/>
    </row>
    <row r="792" spans="6:10">
      <c r="F792" s="900"/>
      <c r="H792" s="900"/>
      <c r="I792" s="900"/>
      <c r="J792" s="900"/>
    </row>
    <row r="793" spans="6:10">
      <c r="F793" s="900"/>
      <c r="H793" s="900"/>
      <c r="I793" s="900"/>
      <c r="J793" s="900"/>
    </row>
    <row r="794" spans="6:10">
      <c r="F794" s="900"/>
      <c r="H794" s="900"/>
      <c r="I794" s="900"/>
      <c r="J794" s="900"/>
    </row>
    <row r="795" spans="6:10">
      <c r="F795" s="900"/>
      <c r="H795" s="900"/>
      <c r="I795" s="900"/>
      <c r="J795" s="900"/>
    </row>
    <row r="796" spans="6:10">
      <c r="F796" s="900"/>
      <c r="H796" s="900"/>
      <c r="I796" s="900"/>
      <c r="J796" s="900"/>
    </row>
    <row r="797" spans="6:10">
      <c r="F797" s="900"/>
      <c r="H797" s="900"/>
      <c r="I797" s="900"/>
      <c r="J797" s="900"/>
    </row>
    <row r="798" spans="6:10">
      <c r="F798" s="900"/>
      <c r="H798" s="900"/>
      <c r="I798" s="900"/>
      <c r="J798" s="900"/>
    </row>
    <row r="799" spans="6:10">
      <c r="F799" s="900"/>
      <c r="H799" s="900"/>
      <c r="I799" s="900"/>
      <c r="J799" s="900"/>
    </row>
    <row r="800" spans="6:10">
      <c r="F800" s="900"/>
      <c r="H800" s="900"/>
      <c r="I800" s="900"/>
      <c r="J800" s="900"/>
    </row>
    <row r="801" spans="6:10">
      <c r="F801" s="900"/>
      <c r="H801" s="900"/>
      <c r="I801" s="900"/>
      <c r="J801" s="900"/>
    </row>
    <row r="802" spans="6:10">
      <c r="F802" s="900"/>
      <c r="H802" s="900"/>
      <c r="I802" s="900"/>
      <c r="J802" s="900"/>
    </row>
    <row r="803" spans="6:10">
      <c r="F803" s="900"/>
      <c r="H803" s="900"/>
      <c r="I803" s="900"/>
      <c r="J803" s="900"/>
    </row>
    <row r="804" spans="6:10">
      <c r="F804" s="900"/>
      <c r="H804" s="900"/>
      <c r="I804" s="900"/>
      <c r="J804" s="900"/>
    </row>
    <row r="805" spans="6:10">
      <c r="F805" s="900"/>
      <c r="H805" s="900"/>
      <c r="I805" s="900"/>
      <c r="J805" s="900"/>
    </row>
    <row r="806" spans="6:10">
      <c r="F806" s="900"/>
      <c r="H806" s="900"/>
      <c r="I806" s="900"/>
      <c r="J806" s="900"/>
    </row>
    <row r="807" spans="6:10">
      <c r="F807" s="900"/>
      <c r="H807" s="900"/>
      <c r="I807" s="900"/>
      <c r="J807" s="900"/>
    </row>
    <row r="808" spans="6:10">
      <c r="F808" s="900"/>
      <c r="H808" s="900"/>
      <c r="I808" s="900"/>
      <c r="J808" s="900"/>
    </row>
    <row r="809" spans="6:10">
      <c r="F809" s="900"/>
      <c r="H809" s="900"/>
      <c r="I809" s="900"/>
      <c r="J809" s="900"/>
    </row>
    <row r="810" spans="6:10">
      <c r="F810" s="900"/>
      <c r="H810" s="900"/>
      <c r="I810" s="900"/>
      <c r="J810" s="900"/>
    </row>
    <row r="811" spans="6:10">
      <c r="F811" s="900"/>
      <c r="H811" s="900"/>
      <c r="I811" s="900"/>
      <c r="J811" s="900"/>
    </row>
    <row r="812" spans="6:10">
      <c r="F812" s="900"/>
      <c r="H812" s="900"/>
      <c r="I812" s="900"/>
      <c r="J812" s="900"/>
    </row>
    <row r="813" spans="6:10">
      <c r="F813" s="900"/>
      <c r="H813" s="900"/>
      <c r="I813" s="900"/>
      <c r="J813" s="900"/>
    </row>
    <row r="814" spans="6:10">
      <c r="F814" s="900"/>
      <c r="H814" s="900"/>
      <c r="I814" s="900"/>
      <c r="J814" s="900"/>
    </row>
    <row r="815" spans="6:10">
      <c r="F815" s="900"/>
      <c r="H815" s="900"/>
      <c r="I815" s="900"/>
      <c r="J815" s="900"/>
    </row>
    <row r="816" spans="6:10">
      <c r="F816" s="900"/>
      <c r="H816" s="900"/>
      <c r="I816" s="900"/>
      <c r="J816" s="900"/>
    </row>
    <row r="817" spans="6:10">
      <c r="F817" s="900"/>
      <c r="H817" s="900"/>
      <c r="I817" s="900"/>
      <c r="J817" s="900"/>
    </row>
    <row r="818" spans="6:10">
      <c r="F818" s="900"/>
      <c r="H818" s="900"/>
      <c r="I818" s="900"/>
      <c r="J818" s="900"/>
    </row>
    <row r="819" spans="6:10">
      <c r="F819" s="900"/>
      <c r="H819" s="900"/>
      <c r="I819" s="900"/>
      <c r="J819" s="900"/>
    </row>
    <row r="820" spans="6:10">
      <c r="F820" s="900"/>
      <c r="H820" s="900"/>
      <c r="I820" s="900"/>
      <c r="J820" s="900"/>
    </row>
    <row r="821" spans="6:10">
      <c r="F821" s="900"/>
      <c r="H821" s="900"/>
      <c r="I821" s="900"/>
      <c r="J821" s="900"/>
    </row>
    <row r="822" spans="6:10">
      <c r="F822" s="900"/>
      <c r="H822" s="900"/>
      <c r="I822" s="900"/>
      <c r="J822" s="900"/>
    </row>
    <row r="823" spans="6:10">
      <c r="F823" s="900"/>
      <c r="H823" s="900"/>
      <c r="I823" s="900"/>
      <c r="J823" s="900"/>
    </row>
    <row r="824" spans="6:10">
      <c r="F824" s="900"/>
      <c r="H824" s="900"/>
      <c r="I824" s="900"/>
      <c r="J824" s="900"/>
    </row>
    <row r="825" spans="6:10">
      <c r="F825" s="900"/>
      <c r="H825" s="900"/>
      <c r="I825" s="900"/>
      <c r="J825" s="900"/>
    </row>
    <row r="826" spans="6:10">
      <c r="F826" s="900"/>
      <c r="H826" s="900"/>
      <c r="I826" s="900"/>
      <c r="J826" s="900"/>
    </row>
    <row r="827" spans="6:10">
      <c r="F827" s="900"/>
      <c r="H827" s="900"/>
      <c r="I827" s="900"/>
      <c r="J827" s="900"/>
    </row>
    <row r="828" spans="6:10">
      <c r="F828" s="900"/>
      <c r="H828" s="900"/>
      <c r="I828" s="900"/>
      <c r="J828" s="900"/>
    </row>
    <row r="829" spans="6:10">
      <c r="F829" s="900"/>
      <c r="H829" s="900"/>
      <c r="I829" s="900"/>
      <c r="J829" s="900"/>
    </row>
    <row r="830" spans="6:10">
      <c r="F830" s="900"/>
      <c r="H830" s="900"/>
      <c r="I830" s="900"/>
      <c r="J830" s="900"/>
    </row>
    <row r="831" spans="6:10">
      <c r="F831" s="900"/>
      <c r="H831" s="900"/>
      <c r="I831" s="900"/>
      <c r="J831" s="900"/>
    </row>
    <row r="832" spans="6:10">
      <c r="F832" s="900"/>
      <c r="H832" s="900"/>
      <c r="I832" s="900"/>
      <c r="J832" s="900"/>
    </row>
    <row r="833" spans="6:10">
      <c r="F833" s="900"/>
      <c r="H833" s="900"/>
      <c r="I833" s="900"/>
      <c r="J833" s="900"/>
    </row>
    <row r="834" spans="6:10">
      <c r="F834" s="900"/>
      <c r="H834" s="900"/>
      <c r="I834" s="900"/>
      <c r="J834" s="900"/>
    </row>
    <row r="835" spans="6:10">
      <c r="F835" s="900"/>
      <c r="H835" s="900"/>
      <c r="I835" s="900"/>
      <c r="J835" s="900"/>
    </row>
    <row r="836" spans="6:10">
      <c r="F836" s="900"/>
      <c r="H836" s="900"/>
      <c r="I836" s="900"/>
      <c r="J836" s="900"/>
    </row>
    <row r="837" spans="6:10">
      <c r="F837" s="900"/>
      <c r="H837" s="900"/>
      <c r="I837" s="900"/>
      <c r="J837" s="900"/>
    </row>
    <row r="838" spans="6:10">
      <c r="F838" s="900"/>
      <c r="H838" s="900"/>
      <c r="I838" s="900"/>
      <c r="J838" s="900"/>
    </row>
    <row r="839" spans="6:10">
      <c r="F839" s="900"/>
      <c r="H839" s="900"/>
      <c r="I839" s="900"/>
      <c r="J839" s="900"/>
    </row>
    <row r="840" spans="6:10">
      <c r="F840" s="900"/>
      <c r="H840" s="900"/>
      <c r="I840" s="900"/>
      <c r="J840" s="900"/>
    </row>
    <row r="841" spans="6:10">
      <c r="F841" s="900"/>
      <c r="H841" s="900"/>
      <c r="I841" s="900"/>
      <c r="J841" s="900"/>
    </row>
    <row r="842" spans="6:10">
      <c r="F842" s="900"/>
      <c r="H842" s="900"/>
      <c r="I842" s="900"/>
      <c r="J842" s="900"/>
    </row>
    <row r="843" spans="6:10">
      <c r="F843" s="900"/>
      <c r="H843" s="900"/>
      <c r="I843" s="900"/>
      <c r="J843" s="900"/>
    </row>
    <row r="844" spans="6:10">
      <c r="F844" s="900"/>
      <c r="H844" s="900"/>
      <c r="I844" s="900"/>
      <c r="J844" s="900"/>
    </row>
    <row r="845" spans="6:10">
      <c r="F845" s="900"/>
      <c r="H845" s="900"/>
      <c r="I845" s="900"/>
      <c r="J845" s="900"/>
    </row>
    <row r="846" spans="6:10">
      <c r="F846" s="900"/>
      <c r="H846" s="900"/>
      <c r="I846" s="900"/>
      <c r="J846" s="900"/>
    </row>
    <row r="847" spans="6:10">
      <c r="F847" s="900"/>
      <c r="H847" s="900"/>
      <c r="I847" s="900"/>
      <c r="J847" s="900"/>
    </row>
    <row r="848" spans="6:10">
      <c r="F848" s="900"/>
      <c r="H848" s="900"/>
      <c r="I848" s="900"/>
      <c r="J848" s="900"/>
    </row>
    <row r="849" spans="6:10">
      <c r="F849" s="900"/>
      <c r="H849" s="900"/>
      <c r="I849" s="900"/>
      <c r="J849" s="900"/>
    </row>
    <row r="850" spans="6:10">
      <c r="F850" s="900"/>
      <c r="H850" s="900"/>
      <c r="I850" s="900"/>
      <c r="J850" s="900"/>
    </row>
    <row r="851" spans="6:10">
      <c r="F851" s="900"/>
      <c r="H851" s="900"/>
      <c r="I851" s="900"/>
      <c r="J851" s="900"/>
    </row>
    <row r="852" spans="6:10">
      <c r="F852" s="900"/>
      <c r="H852" s="900"/>
      <c r="I852" s="900"/>
      <c r="J852" s="900"/>
    </row>
    <row r="853" spans="6:10">
      <c r="F853" s="900"/>
      <c r="H853" s="900"/>
      <c r="I853" s="900"/>
      <c r="J853" s="900"/>
    </row>
    <row r="854" spans="6:10">
      <c r="F854" s="900"/>
      <c r="H854" s="900"/>
      <c r="I854" s="900"/>
      <c r="J854" s="900"/>
    </row>
    <row r="855" spans="6:10">
      <c r="F855" s="900"/>
      <c r="H855" s="900"/>
      <c r="I855" s="900"/>
      <c r="J855" s="900"/>
    </row>
    <row r="856" spans="6:10">
      <c r="F856" s="900"/>
      <c r="H856" s="900"/>
      <c r="I856" s="900"/>
      <c r="J856" s="900"/>
    </row>
    <row r="857" spans="6:10">
      <c r="F857" s="900"/>
      <c r="H857" s="900"/>
      <c r="I857" s="900"/>
      <c r="J857" s="900"/>
    </row>
    <row r="858" spans="6:10">
      <c r="F858" s="900"/>
      <c r="H858" s="900"/>
      <c r="I858" s="900"/>
      <c r="J858" s="900"/>
    </row>
    <row r="859" spans="6:10">
      <c r="F859" s="900"/>
      <c r="H859" s="900"/>
      <c r="I859" s="900"/>
      <c r="J859" s="900"/>
    </row>
    <row r="860" spans="6:10">
      <c r="F860" s="900"/>
      <c r="H860" s="900"/>
      <c r="I860" s="900"/>
      <c r="J860" s="900"/>
    </row>
    <row r="861" spans="6:10">
      <c r="F861" s="900"/>
      <c r="H861" s="900"/>
      <c r="I861" s="900"/>
      <c r="J861" s="900"/>
    </row>
    <row r="862" spans="6:10">
      <c r="F862" s="900"/>
      <c r="H862" s="900"/>
      <c r="I862" s="900"/>
      <c r="J862" s="900"/>
    </row>
    <row r="863" spans="6:10">
      <c r="F863" s="900"/>
      <c r="H863" s="900"/>
      <c r="I863" s="900"/>
      <c r="J863" s="900"/>
    </row>
    <row r="864" spans="6:10">
      <c r="F864" s="900"/>
      <c r="H864" s="900"/>
      <c r="I864" s="900"/>
      <c r="J864" s="900"/>
    </row>
    <row r="865" spans="6:10">
      <c r="F865" s="900"/>
      <c r="H865" s="900"/>
      <c r="I865" s="900"/>
      <c r="J865" s="900"/>
    </row>
    <row r="866" spans="6:10">
      <c r="F866" s="900"/>
      <c r="H866" s="900"/>
      <c r="I866" s="900"/>
      <c r="J866" s="900"/>
    </row>
    <row r="867" spans="6:10">
      <c r="F867" s="900"/>
      <c r="H867" s="900"/>
      <c r="I867" s="900"/>
      <c r="J867" s="900"/>
    </row>
    <row r="868" spans="6:10">
      <c r="F868" s="900"/>
      <c r="H868" s="900"/>
      <c r="I868" s="900"/>
      <c r="J868" s="900"/>
    </row>
    <row r="869" spans="6:10">
      <c r="F869" s="900"/>
      <c r="H869" s="900"/>
      <c r="I869" s="900"/>
      <c r="J869" s="900"/>
    </row>
    <row r="870" spans="6:10">
      <c r="F870" s="900"/>
      <c r="H870" s="900"/>
      <c r="I870" s="900"/>
      <c r="J870" s="900"/>
    </row>
    <row r="871" spans="6:10">
      <c r="F871" s="900"/>
      <c r="H871" s="900"/>
      <c r="I871" s="900"/>
      <c r="J871" s="900"/>
    </row>
    <row r="872" spans="6:10">
      <c r="F872" s="900"/>
      <c r="H872" s="900"/>
      <c r="I872" s="900"/>
      <c r="J872" s="900"/>
    </row>
    <row r="873" spans="6:10">
      <c r="F873" s="900"/>
      <c r="H873" s="900"/>
      <c r="I873" s="900"/>
      <c r="J873" s="900"/>
    </row>
    <row r="874" spans="6:10">
      <c r="F874" s="900"/>
      <c r="H874" s="900"/>
      <c r="I874" s="900"/>
      <c r="J874" s="900"/>
    </row>
    <row r="875" spans="6:10">
      <c r="F875" s="900"/>
      <c r="H875" s="900"/>
      <c r="I875" s="900"/>
      <c r="J875" s="900"/>
    </row>
    <row r="876" spans="6:10">
      <c r="F876" s="900"/>
      <c r="H876" s="900"/>
      <c r="I876" s="900"/>
      <c r="J876" s="900"/>
    </row>
    <row r="877" spans="6:10">
      <c r="F877" s="900"/>
      <c r="H877" s="900"/>
      <c r="I877" s="900"/>
      <c r="J877" s="900"/>
    </row>
    <row r="878" spans="6:10">
      <c r="F878" s="900"/>
      <c r="H878" s="900"/>
      <c r="I878" s="900"/>
      <c r="J878" s="900"/>
    </row>
    <row r="879" spans="6:10">
      <c r="F879" s="900"/>
      <c r="H879" s="900"/>
      <c r="I879" s="900"/>
      <c r="J879" s="900"/>
    </row>
    <row r="880" spans="6:10">
      <c r="F880" s="900"/>
      <c r="H880" s="900"/>
      <c r="I880" s="900"/>
      <c r="J880" s="900"/>
    </row>
    <row r="881" spans="6:10">
      <c r="F881" s="900"/>
      <c r="H881" s="900"/>
      <c r="I881" s="900"/>
      <c r="J881" s="900"/>
    </row>
    <row r="882" spans="6:10">
      <c r="F882" s="900"/>
      <c r="H882" s="900"/>
      <c r="I882" s="900"/>
      <c r="J882" s="900"/>
    </row>
    <row r="883" spans="6:10">
      <c r="F883" s="900"/>
      <c r="H883" s="900"/>
      <c r="I883" s="900"/>
      <c r="J883" s="900"/>
    </row>
    <row r="884" spans="6:10">
      <c r="F884" s="900"/>
      <c r="H884" s="900"/>
      <c r="I884" s="900"/>
      <c r="J884" s="900"/>
    </row>
    <row r="885" spans="6:10">
      <c r="F885" s="900"/>
      <c r="H885" s="900"/>
      <c r="I885" s="900"/>
      <c r="J885" s="900"/>
    </row>
    <row r="886" spans="6:10">
      <c r="F886" s="900"/>
      <c r="H886" s="900"/>
      <c r="I886" s="900"/>
      <c r="J886" s="900"/>
    </row>
    <row r="887" spans="6:10">
      <c r="F887" s="900"/>
      <c r="H887" s="900"/>
      <c r="I887" s="900"/>
      <c r="J887" s="900"/>
    </row>
    <row r="888" spans="6:10">
      <c r="F888" s="900"/>
      <c r="H888" s="900"/>
      <c r="I888" s="900"/>
      <c r="J888" s="900"/>
    </row>
    <row r="889" spans="6:10">
      <c r="F889" s="900"/>
      <c r="H889" s="900"/>
      <c r="I889" s="900"/>
      <c r="J889" s="900"/>
    </row>
    <row r="890" spans="6:10">
      <c r="F890" s="900"/>
      <c r="H890" s="900"/>
      <c r="I890" s="900"/>
      <c r="J890" s="900"/>
    </row>
    <row r="891" spans="6:10">
      <c r="F891" s="900"/>
      <c r="H891" s="900"/>
      <c r="I891" s="900"/>
      <c r="J891" s="900"/>
    </row>
    <row r="892" spans="6:10">
      <c r="F892" s="900"/>
      <c r="H892" s="900"/>
      <c r="I892" s="900"/>
      <c r="J892" s="900"/>
    </row>
    <row r="893" spans="6:10">
      <c r="F893" s="900"/>
      <c r="H893" s="900"/>
      <c r="I893" s="900"/>
      <c r="J893" s="900"/>
    </row>
    <row r="894" spans="6:10">
      <c r="F894" s="900"/>
      <c r="H894" s="900"/>
      <c r="I894" s="900"/>
      <c r="J894" s="900"/>
    </row>
    <row r="895" spans="6:10">
      <c r="F895" s="900"/>
      <c r="H895" s="900"/>
      <c r="I895" s="900"/>
      <c r="J895" s="900"/>
    </row>
    <row r="896" spans="6:10">
      <c r="F896" s="900"/>
      <c r="H896" s="900"/>
      <c r="I896" s="900"/>
      <c r="J896" s="900"/>
    </row>
    <row r="897" spans="6:10">
      <c r="F897" s="900"/>
      <c r="H897" s="900"/>
      <c r="I897" s="900"/>
      <c r="J897" s="900"/>
    </row>
    <row r="898" spans="6:10">
      <c r="F898" s="900"/>
      <c r="H898" s="900"/>
      <c r="I898" s="900"/>
      <c r="J898" s="900"/>
    </row>
    <row r="899" spans="6:10">
      <c r="F899" s="900"/>
      <c r="H899" s="900"/>
      <c r="I899" s="900"/>
      <c r="J899" s="900"/>
    </row>
    <row r="900" spans="6:10">
      <c r="F900" s="900"/>
      <c r="H900" s="900"/>
      <c r="I900" s="900"/>
      <c r="J900" s="900"/>
    </row>
    <row r="901" spans="6:10">
      <c r="F901" s="900"/>
      <c r="H901" s="900"/>
      <c r="I901" s="900"/>
      <c r="J901" s="900"/>
    </row>
    <row r="902" spans="6:10">
      <c r="F902" s="900"/>
      <c r="H902" s="900"/>
      <c r="I902" s="900"/>
      <c r="J902" s="900"/>
    </row>
    <row r="903" spans="6:10">
      <c r="F903" s="900"/>
      <c r="H903" s="900"/>
      <c r="I903" s="900"/>
      <c r="J903" s="900"/>
    </row>
    <row r="904" spans="6:10">
      <c r="F904" s="900"/>
      <c r="H904" s="900"/>
      <c r="I904" s="900"/>
      <c r="J904" s="900"/>
    </row>
    <row r="905" spans="6:10">
      <c r="F905" s="900"/>
      <c r="H905" s="900"/>
      <c r="I905" s="900"/>
      <c r="J905" s="900"/>
    </row>
    <row r="906" spans="6:10">
      <c r="F906" s="900"/>
      <c r="H906" s="900"/>
      <c r="I906" s="900"/>
      <c r="J906" s="900"/>
    </row>
    <row r="907" spans="6:10">
      <c r="F907" s="900"/>
      <c r="H907" s="900"/>
      <c r="I907" s="900"/>
      <c r="J907" s="900"/>
    </row>
    <row r="908" spans="6:10">
      <c r="F908" s="900"/>
      <c r="H908" s="900"/>
      <c r="I908" s="900"/>
      <c r="J908" s="900"/>
    </row>
    <row r="909" spans="6:10">
      <c r="F909" s="900"/>
      <c r="H909" s="900"/>
      <c r="I909" s="900"/>
      <c r="J909" s="900"/>
    </row>
    <row r="910" spans="6:10">
      <c r="F910" s="900"/>
      <c r="H910" s="900"/>
      <c r="I910" s="900"/>
      <c r="J910" s="900"/>
    </row>
    <row r="911" spans="6:10">
      <c r="F911" s="900"/>
      <c r="H911" s="900"/>
      <c r="I911" s="900"/>
      <c r="J911" s="900"/>
    </row>
    <row r="912" spans="6:10">
      <c r="F912" s="900"/>
      <c r="H912" s="900"/>
      <c r="I912" s="900"/>
      <c r="J912" s="900"/>
    </row>
    <row r="913" spans="6:10">
      <c r="F913" s="900"/>
      <c r="H913" s="900"/>
      <c r="I913" s="900"/>
      <c r="J913" s="900"/>
    </row>
    <row r="914" spans="6:10">
      <c r="F914" s="900"/>
      <c r="H914" s="900"/>
      <c r="I914" s="900"/>
      <c r="J914" s="900"/>
    </row>
    <row r="915" spans="6:10">
      <c r="F915" s="900"/>
      <c r="H915" s="900"/>
      <c r="I915" s="900"/>
      <c r="J915" s="900"/>
    </row>
    <row r="916" spans="6:10">
      <c r="F916" s="900"/>
      <c r="H916" s="900"/>
      <c r="I916" s="900"/>
      <c r="J916" s="900"/>
    </row>
    <row r="917" spans="6:10">
      <c r="F917" s="900"/>
      <c r="H917" s="900"/>
      <c r="I917" s="900"/>
      <c r="J917" s="900"/>
    </row>
    <row r="918" spans="6:10">
      <c r="F918" s="900"/>
      <c r="H918" s="900"/>
      <c r="I918" s="900"/>
      <c r="J918" s="900"/>
    </row>
    <row r="919" spans="6:10">
      <c r="F919" s="900"/>
      <c r="H919" s="900"/>
      <c r="I919" s="900"/>
      <c r="J919" s="900"/>
    </row>
    <row r="920" spans="6:10">
      <c r="F920" s="900"/>
      <c r="H920" s="900"/>
      <c r="I920" s="900"/>
      <c r="J920" s="900"/>
    </row>
    <row r="921" spans="6:10">
      <c r="F921" s="900"/>
      <c r="H921" s="900"/>
      <c r="I921" s="900"/>
      <c r="J921" s="900"/>
    </row>
    <row r="922" spans="6:10">
      <c r="F922" s="900"/>
      <c r="H922" s="900"/>
      <c r="I922" s="900"/>
      <c r="J922" s="900"/>
    </row>
    <row r="923" spans="6:10">
      <c r="F923" s="900"/>
      <c r="H923" s="900"/>
      <c r="I923" s="900"/>
      <c r="J923" s="900"/>
    </row>
    <row r="924" spans="6:10">
      <c r="F924" s="900"/>
      <c r="H924" s="900"/>
      <c r="I924" s="900"/>
      <c r="J924" s="900"/>
    </row>
    <row r="925" spans="6:10">
      <c r="F925" s="900"/>
      <c r="H925" s="900"/>
      <c r="I925" s="900"/>
      <c r="J925" s="900"/>
    </row>
    <row r="926" spans="6:10">
      <c r="F926" s="900"/>
      <c r="H926" s="900"/>
      <c r="I926" s="900"/>
      <c r="J926" s="900"/>
    </row>
    <row r="927" spans="6:10">
      <c r="F927" s="900"/>
      <c r="H927" s="900"/>
      <c r="I927" s="900"/>
      <c r="J927" s="900"/>
    </row>
    <row r="928" spans="6:10">
      <c r="F928" s="900"/>
      <c r="H928" s="900"/>
      <c r="I928" s="900"/>
      <c r="J928" s="900"/>
    </row>
    <row r="929" spans="6:10">
      <c r="F929" s="900"/>
      <c r="H929" s="900"/>
      <c r="I929" s="900"/>
      <c r="J929" s="900"/>
    </row>
    <row r="930" spans="6:10">
      <c r="F930" s="900"/>
      <c r="H930" s="900"/>
      <c r="I930" s="900"/>
      <c r="J930" s="900"/>
    </row>
    <row r="931" spans="6:10">
      <c r="F931" s="900"/>
      <c r="H931" s="900"/>
      <c r="I931" s="900"/>
      <c r="J931" s="900"/>
    </row>
    <row r="932" spans="6:10">
      <c r="F932" s="900"/>
      <c r="H932" s="900"/>
      <c r="I932" s="900"/>
      <c r="J932" s="900"/>
    </row>
    <row r="933" spans="6:10">
      <c r="F933" s="900"/>
      <c r="H933" s="900"/>
      <c r="I933" s="900"/>
      <c r="J933" s="900"/>
    </row>
    <row r="934" spans="6:10">
      <c r="F934" s="900"/>
      <c r="H934" s="900"/>
      <c r="I934" s="900"/>
      <c r="J934" s="900"/>
    </row>
    <row r="935" spans="6:10">
      <c r="F935" s="900"/>
      <c r="H935" s="900"/>
      <c r="I935" s="900"/>
      <c r="J935" s="900"/>
    </row>
    <row r="936" spans="6:10">
      <c r="F936" s="900"/>
      <c r="H936" s="900"/>
      <c r="I936" s="900"/>
      <c r="J936" s="900"/>
    </row>
    <row r="937" spans="6:10">
      <c r="F937" s="900"/>
      <c r="H937" s="900"/>
      <c r="I937" s="900"/>
      <c r="J937" s="900"/>
    </row>
    <row r="938" spans="6:10">
      <c r="F938" s="900"/>
      <c r="H938" s="900"/>
      <c r="I938" s="900"/>
      <c r="J938" s="900"/>
    </row>
    <row r="939" spans="6:10">
      <c r="F939" s="900"/>
      <c r="H939" s="900"/>
      <c r="I939" s="900"/>
      <c r="J939" s="900"/>
    </row>
    <row r="940" spans="6:10">
      <c r="F940" s="900"/>
      <c r="H940" s="900"/>
      <c r="I940" s="900"/>
      <c r="J940" s="900"/>
    </row>
    <row r="941" spans="6:10">
      <c r="F941" s="900"/>
      <c r="H941" s="900"/>
      <c r="I941" s="900"/>
      <c r="J941" s="900"/>
    </row>
    <row r="942" spans="6:10">
      <c r="F942" s="900"/>
      <c r="H942" s="900"/>
      <c r="I942" s="900"/>
      <c r="J942" s="900"/>
    </row>
    <row r="943" spans="6:10">
      <c r="F943" s="900"/>
      <c r="H943" s="900"/>
      <c r="I943" s="900"/>
      <c r="J943" s="900"/>
    </row>
    <row r="944" spans="6:10">
      <c r="F944" s="900"/>
      <c r="H944" s="900"/>
      <c r="I944" s="900"/>
      <c r="J944" s="900"/>
    </row>
    <row r="945" spans="6:10">
      <c r="F945" s="900"/>
      <c r="H945" s="900"/>
      <c r="I945" s="900"/>
      <c r="J945" s="900"/>
    </row>
    <row r="946" spans="6:10">
      <c r="F946" s="900"/>
      <c r="H946" s="900"/>
      <c r="I946" s="900"/>
      <c r="J946" s="900"/>
    </row>
    <row r="947" spans="6:10">
      <c r="F947" s="900"/>
      <c r="H947" s="900"/>
      <c r="I947" s="900"/>
      <c r="J947" s="900"/>
    </row>
    <row r="948" spans="6:10">
      <c r="F948" s="900"/>
      <c r="H948" s="900"/>
      <c r="I948" s="900"/>
      <c r="J948" s="900"/>
    </row>
    <row r="949" spans="6:10">
      <c r="F949" s="900"/>
      <c r="H949" s="900"/>
      <c r="I949" s="900"/>
      <c r="J949" s="900"/>
    </row>
    <row r="950" spans="6:10">
      <c r="F950" s="900"/>
      <c r="H950" s="900"/>
      <c r="I950" s="900"/>
      <c r="J950" s="900"/>
    </row>
    <row r="951" spans="6:10">
      <c r="F951" s="900"/>
      <c r="H951" s="900"/>
      <c r="I951" s="900"/>
      <c r="J951" s="900"/>
    </row>
    <row r="952" spans="6:10">
      <c r="F952" s="900"/>
      <c r="H952" s="900"/>
      <c r="I952" s="900"/>
      <c r="J952" s="900"/>
    </row>
    <row r="953" spans="6:10">
      <c r="F953" s="900"/>
      <c r="H953" s="900"/>
      <c r="I953" s="900"/>
      <c r="J953" s="900"/>
    </row>
    <row r="954" spans="6:10">
      <c r="F954" s="900"/>
      <c r="H954" s="900"/>
      <c r="I954" s="900"/>
      <c r="J954" s="900"/>
    </row>
    <row r="955" spans="6:10">
      <c r="F955" s="900"/>
      <c r="H955" s="900"/>
      <c r="I955" s="900"/>
      <c r="J955" s="900"/>
    </row>
    <row r="956" spans="6:10">
      <c r="F956" s="900"/>
      <c r="H956" s="900"/>
      <c r="I956" s="900"/>
      <c r="J956" s="900"/>
    </row>
    <row r="957" spans="6:10">
      <c r="F957" s="900"/>
      <c r="H957" s="900"/>
      <c r="I957" s="900"/>
      <c r="J957" s="900"/>
    </row>
    <row r="958" spans="6:10">
      <c r="F958" s="900"/>
      <c r="H958" s="900"/>
      <c r="I958" s="900"/>
      <c r="J958" s="900"/>
    </row>
    <row r="959" spans="6:10">
      <c r="F959" s="900"/>
      <c r="H959" s="900"/>
      <c r="I959" s="900"/>
      <c r="J959" s="900"/>
    </row>
    <row r="960" spans="6:10">
      <c r="F960" s="900"/>
      <c r="H960" s="900"/>
      <c r="I960" s="900"/>
      <c r="J960" s="900"/>
    </row>
    <row r="961" spans="6:10">
      <c r="F961" s="900"/>
      <c r="H961" s="900"/>
      <c r="I961" s="900"/>
      <c r="J961" s="900"/>
    </row>
    <row r="962" spans="6:10">
      <c r="F962" s="900"/>
      <c r="H962" s="900"/>
      <c r="I962" s="900"/>
      <c r="J962" s="900"/>
    </row>
    <row r="963" spans="6:10">
      <c r="F963" s="900"/>
      <c r="H963" s="900"/>
      <c r="I963" s="900"/>
      <c r="J963" s="900"/>
    </row>
    <row r="964" spans="6:10">
      <c r="F964" s="900"/>
      <c r="H964" s="900"/>
      <c r="I964" s="900"/>
      <c r="J964" s="900"/>
    </row>
    <row r="965" spans="6:10">
      <c r="F965" s="900"/>
      <c r="H965" s="900"/>
      <c r="I965" s="900"/>
      <c r="J965" s="900"/>
    </row>
    <row r="966" spans="6:10">
      <c r="F966" s="900"/>
      <c r="H966" s="900"/>
      <c r="I966" s="900"/>
      <c r="J966" s="900"/>
    </row>
    <row r="967" spans="6:10">
      <c r="F967" s="900"/>
      <c r="H967" s="900"/>
      <c r="I967" s="900"/>
      <c r="J967" s="900"/>
    </row>
    <row r="968" spans="6:10">
      <c r="F968" s="900"/>
      <c r="H968" s="900"/>
      <c r="I968" s="900"/>
      <c r="J968" s="900"/>
    </row>
    <row r="969" spans="6:10">
      <c r="F969" s="900"/>
      <c r="H969" s="900"/>
      <c r="I969" s="900"/>
      <c r="J969" s="900"/>
    </row>
    <row r="970" spans="6:10">
      <c r="F970" s="900"/>
      <c r="H970" s="900"/>
      <c r="I970" s="900"/>
      <c r="J970" s="900"/>
    </row>
    <row r="971" spans="6:10">
      <c r="F971" s="900"/>
      <c r="H971" s="900"/>
      <c r="I971" s="900"/>
      <c r="J971" s="900"/>
    </row>
    <row r="972" spans="6:10">
      <c r="F972" s="900"/>
      <c r="H972" s="900"/>
      <c r="I972" s="900"/>
      <c r="J972" s="900"/>
    </row>
    <row r="973" spans="6:10">
      <c r="F973" s="900"/>
      <c r="H973" s="900"/>
      <c r="I973" s="900"/>
      <c r="J973" s="900"/>
    </row>
    <row r="974" spans="6:10">
      <c r="F974" s="900"/>
      <c r="H974" s="900"/>
      <c r="I974" s="900"/>
      <c r="J974" s="900"/>
    </row>
    <row r="975" spans="6:10">
      <c r="F975" s="900"/>
      <c r="H975" s="900"/>
      <c r="I975" s="900"/>
      <c r="J975" s="900"/>
    </row>
    <row r="976" spans="6:10">
      <c r="F976" s="900"/>
      <c r="H976" s="900"/>
      <c r="I976" s="900"/>
      <c r="J976" s="900"/>
    </row>
    <row r="977" spans="6:10">
      <c r="F977" s="900"/>
      <c r="H977" s="900"/>
      <c r="I977" s="900"/>
      <c r="J977" s="900"/>
    </row>
    <row r="978" spans="6:10">
      <c r="F978" s="900"/>
      <c r="H978" s="900"/>
      <c r="I978" s="900"/>
      <c r="J978" s="900"/>
    </row>
    <row r="979" spans="6:10">
      <c r="F979" s="900"/>
      <c r="H979" s="900"/>
      <c r="I979" s="900"/>
      <c r="J979" s="900"/>
    </row>
    <row r="980" spans="6:10">
      <c r="F980" s="900"/>
      <c r="H980" s="900"/>
      <c r="I980" s="900"/>
      <c r="J980" s="900"/>
    </row>
    <row r="981" spans="6:10">
      <c r="F981" s="900"/>
      <c r="H981" s="900"/>
      <c r="I981" s="900"/>
      <c r="J981" s="900"/>
    </row>
    <row r="982" spans="6:10">
      <c r="F982" s="900"/>
      <c r="H982" s="900"/>
      <c r="I982" s="900"/>
      <c r="J982" s="900"/>
    </row>
    <row r="983" spans="6:10">
      <c r="F983" s="900"/>
      <c r="H983" s="900"/>
      <c r="I983" s="900"/>
      <c r="J983" s="900"/>
    </row>
    <row r="984" spans="6:10">
      <c r="F984" s="900"/>
      <c r="H984" s="900"/>
      <c r="I984" s="900"/>
      <c r="J984" s="900"/>
    </row>
    <row r="985" spans="6:10">
      <c r="F985" s="900"/>
      <c r="H985" s="900"/>
      <c r="I985" s="900"/>
      <c r="J985" s="900"/>
    </row>
    <row r="986" spans="6:10">
      <c r="F986" s="900"/>
      <c r="H986" s="900"/>
      <c r="I986" s="900"/>
      <c r="J986" s="900"/>
    </row>
    <row r="987" spans="6:10">
      <c r="F987" s="900"/>
      <c r="H987" s="900"/>
      <c r="I987" s="900"/>
      <c r="J987" s="900"/>
    </row>
    <row r="988" spans="6:10">
      <c r="F988" s="900"/>
      <c r="H988" s="900"/>
      <c r="I988" s="900"/>
      <c r="J988" s="900"/>
    </row>
    <row r="989" spans="6:10">
      <c r="F989" s="900"/>
      <c r="H989" s="900"/>
      <c r="I989" s="900"/>
      <c r="J989" s="900"/>
    </row>
    <row r="990" spans="6:10">
      <c r="F990" s="900"/>
      <c r="H990" s="900"/>
      <c r="I990" s="900"/>
      <c r="J990" s="900"/>
    </row>
    <row r="991" spans="6:10">
      <c r="F991" s="900"/>
      <c r="H991" s="900"/>
      <c r="I991" s="900"/>
      <c r="J991" s="900"/>
    </row>
    <row r="992" spans="6:10">
      <c r="F992" s="900"/>
      <c r="H992" s="900"/>
      <c r="I992" s="900"/>
      <c r="J992" s="900"/>
    </row>
    <row r="993" spans="6:10">
      <c r="F993" s="900"/>
      <c r="H993" s="900"/>
      <c r="I993" s="900"/>
      <c r="J993" s="900"/>
    </row>
    <row r="994" spans="6:10">
      <c r="F994" s="900"/>
      <c r="H994" s="900"/>
      <c r="I994" s="900"/>
      <c r="J994" s="900"/>
    </row>
    <row r="995" spans="6:10">
      <c r="F995" s="900"/>
      <c r="H995" s="900"/>
      <c r="I995" s="900"/>
      <c r="J995" s="900"/>
    </row>
    <row r="996" spans="6:10">
      <c r="F996" s="900"/>
      <c r="H996" s="900"/>
      <c r="I996" s="900"/>
      <c r="J996" s="900"/>
    </row>
    <row r="997" spans="6:10">
      <c r="F997" s="900"/>
      <c r="H997" s="900"/>
      <c r="I997" s="900"/>
      <c r="J997" s="900"/>
    </row>
    <row r="998" spans="6:10">
      <c r="F998" s="900"/>
      <c r="H998" s="900"/>
      <c r="I998" s="900"/>
      <c r="J998" s="900"/>
    </row>
    <row r="999" spans="6:10">
      <c r="F999" s="900"/>
      <c r="H999" s="900"/>
      <c r="I999" s="900"/>
      <c r="J999" s="900"/>
    </row>
    <row r="1000" spans="6:10">
      <c r="F1000" s="900"/>
      <c r="H1000" s="900"/>
      <c r="I1000" s="900"/>
      <c r="J1000" s="900"/>
    </row>
    <row r="1001" spans="6:10">
      <c r="F1001" s="900"/>
      <c r="H1001" s="900"/>
      <c r="I1001" s="900"/>
      <c r="J1001" s="900"/>
    </row>
    <row r="1002" spans="6:10">
      <c r="F1002" s="900"/>
      <c r="H1002" s="900"/>
      <c r="I1002" s="900"/>
      <c r="J1002" s="900"/>
    </row>
    <row r="1003" spans="6:10">
      <c r="F1003" s="900"/>
      <c r="H1003" s="900"/>
      <c r="I1003" s="900"/>
      <c r="J1003" s="900"/>
    </row>
    <row r="1004" spans="6:10">
      <c r="F1004" s="900"/>
      <c r="H1004" s="900"/>
      <c r="I1004" s="900"/>
      <c r="J1004" s="900"/>
    </row>
    <row r="1005" spans="6:10">
      <c r="F1005" s="900"/>
      <c r="H1005" s="900"/>
      <c r="I1005" s="900"/>
      <c r="J1005" s="900"/>
    </row>
    <row r="1006" spans="6:10">
      <c r="F1006" s="900"/>
      <c r="H1006" s="900"/>
      <c r="I1006" s="900"/>
      <c r="J1006" s="900"/>
    </row>
    <row r="1007" spans="6:10">
      <c r="F1007" s="900"/>
      <c r="H1007" s="900"/>
      <c r="I1007" s="900"/>
      <c r="J1007" s="900"/>
    </row>
    <row r="1008" spans="6:10">
      <c r="F1008" s="900"/>
      <c r="H1008" s="900"/>
      <c r="I1008" s="900"/>
      <c r="J1008" s="900"/>
    </row>
    <row r="1009" spans="6:10">
      <c r="F1009" s="900"/>
      <c r="H1009" s="900"/>
      <c r="I1009" s="900"/>
      <c r="J1009" s="900"/>
    </row>
    <row r="1010" spans="6:10">
      <c r="F1010" s="900"/>
      <c r="H1010" s="900"/>
      <c r="I1010" s="900"/>
      <c r="J1010" s="900"/>
    </row>
    <row r="1011" spans="6:10">
      <c r="F1011" s="900"/>
      <c r="H1011" s="900"/>
      <c r="I1011" s="900"/>
      <c r="J1011" s="900"/>
    </row>
    <row r="1012" spans="6:10">
      <c r="F1012" s="900"/>
      <c r="H1012" s="900"/>
      <c r="I1012" s="900"/>
      <c r="J1012" s="900"/>
    </row>
    <row r="1013" spans="6:10">
      <c r="F1013" s="900"/>
      <c r="H1013" s="900"/>
      <c r="I1013" s="900"/>
      <c r="J1013" s="900"/>
    </row>
    <row r="1014" spans="6:10">
      <c r="F1014" s="900"/>
      <c r="H1014" s="900"/>
      <c r="I1014" s="900"/>
      <c r="J1014" s="900"/>
    </row>
  </sheetData>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Auditoría — Página &amp;P de &amp;F</oddFooter>
  </headerFooter>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34D10-E062-4581-8674-9AED4D50231D}">
  <sheetPr codeName="Hoja16">
    <tabColor rgb="FF7F7F7F"/>
    <pageSetUpPr fitToPage="1"/>
  </sheetPr>
  <dimension ref="B1:H14"/>
  <sheetViews>
    <sheetView showGridLines="0" workbookViewId="0">
      <pane ySplit="4" topLeftCell="A5" activePane="bottomLeft" state="frozen"/>
      <selection pane="bottomLeft" activeCell="H38" sqref="H38"/>
    </sheetView>
  </sheetViews>
  <sheetFormatPr baseColWidth="10" defaultRowHeight="15"/>
  <cols>
    <col min="1" max="1" width="2.85546875" customWidth="1"/>
    <col min="2" max="2" width="21" customWidth="1"/>
    <col min="3" max="3" width="57.140625" customWidth="1"/>
    <col min="4" max="4" width="17.140625" customWidth="1"/>
    <col min="5" max="5" width="13.28515625" customWidth="1"/>
    <col min="6" max="7" width="16.140625" customWidth="1"/>
    <col min="8" max="8" width="62.85546875" customWidth="1"/>
  </cols>
  <sheetData>
    <row r="1" spans="2:8" ht="18.75">
      <c r="B1" s="948" t="s">
        <v>9262</v>
      </c>
    </row>
    <row r="2" spans="2:8">
      <c r="B2" s="949" t="s">
        <v>9263</v>
      </c>
    </row>
    <row r="4" spans="2:8">
      <c r="B4" t="s">
        <v>9264</v>
      </c>
      <c r="C4" t="s">
        <v>9265</v>
      </c>
      <c r="D4" t="s">
        <v>2408</v>
      </c>
      <c r="E4" t="s">
        <v>2409</v>
      </c>
      <c r="F4" t="s">
        <v>9266</v>
      </c>
      <c r="G4" t="s">
        <v>9267</v>
      </c>
      <c r="H4" t="s">
        <v>2435</v>
      </c>
    </row>
    <row r="5" spans="2:8">
      <c r="B5" t="s">
        <v>9268</v>
      </c>
      <c r="C5" t="s">
        <v>2411</v>
      </c>
      <c r="D5" s="959">
        <v>1670</v>
      </c>
      <c r="E5" t="s">
        <v>2412</v>
      </c>
      <c r="F5" s="953">
        <v>46023</v>
      </c>
      <c r="G5" s="953">
        <v>73415</v>
      </c>
      <c r="H5" t="s">
        <v>9269</v>
      </c>
    </row>
    <row r="6" spans="2:8">
      <c r="B6" t="s">
        <v>9270</v>
      </c>
      <c r="C6" t="s">
        <v>2417</v>
      </c>
      <c r="D6" s="959">
        <v>27641.37</v>
      </c>
      <c r="E6" t="s">
        <v>2418</v>
      </c>
      <c r="F6" s="953">
        <v>46023</v>
      </c>
      <c r="G6" s="953">
        <v>73415</v>
      </c>
      <c r="H6" t="s">
        <v>2417</v>
      </c>
    </row>
    <row r="7" spans="2:8">
      <c r="B7" t="s">
        <v>9271</v>
      </c>
      <c r="C7" t="s">
        <v>2422</v>
      </c>
      <c r="D7" s="959">
        <v>0.2</v>
      </c>
      <c r="E7" t="s">
        <v>2214</v>
      </c>
      <c r="F7" s="953">
        <v>46023</v>
      </c>
      <c r="G7" s="953">
        <v>73415</v>
      </c>
      <c r="H7" t="s">
        <v>2422</v>
      </c>
    </row>
    <row r="8" spans="2:8">
      <c r="B8" t="s">
        <v>9272</v>
      </c>
      <c r="C8" t="s">
        <v>2424</v>
      </c>
      <c r="D8" s="959">
        <v>15</v>
      </c>
      <c r="E8" t="s">
        <v>2214</v>
      </c>
      <c r="F8" s="953">
        <v>46023</v>
      </c>
      <c r="G8" s="953">
        <v>73415</v>
      </c>
      <c r="H8" t="s">
        <v>2424</v>
      </c>
    </row>
    <row r="9" spans="2:8">
      <c r="B9" t="s">
        <v>9273</v>
      </c>
      <c r="C9" t="s">
        <v>2426</v>
      </c>
      <c r="D9" s="959">
        <v>1.8</v>
      </c>
      <c r="E9" t="s">
        <v>2214</v>
      </c>
      <c r="F9" s="953">
        <v>46023</v>
      </c>
      <c r="G9" s="953">
        <v>73415</v>
      </c>
      <c r="H9" t="s">
        <v>2426</v>
      </c>
    </row>
    <row r="10" spans="2:8">
      <c r="B10" t="s">
        <v>9274</v>
      </c>
      <c r="C10" t="s">
        <v>2428</v>
      </c>
      <c r="D10" s="959">
        <v>7.4999999999999997E-2</v>
      </c>
      <c r="E10" t="s">
        <v>2214</v>
      </c>
      <c r="F10" s="953">
        <v>46023</v>
      </c>
      <c r="G10" s="953">
        <v>73415</v>
      </c>
      <c r="H10" t="s">
        <v>9275</v>
      </c>
    </row>
    <row r="11" spans="2:8">
      <c r="B11" t="s">
        <v>9276</v>
      </c>
      <c r="C11" t="s">
        <v>9238</v>
      </c>
      <c r="D11" s="959">
        <v>500</v>
      </c>
      <c r="E11" t="s">
        <v>2418</v>
      </c>
      <c r="F11" s="953">
        <v>46023</v>
      </c>
      <c r="G11" s="953">
        <v>73415</v>
      </c>
      <c r="H11" t="s">
        <v>9853</v>
      </c>
    </row>
    <row r="12" spans="2:8">
      <c r="B12" t="s">
        <v>9277</v>
      </c>
      <c r="C12" t="s">
        <v>9278</v>
      </c>
      <c r="D12" s="959">
        <v>0.4</v>
      </c>
      <c r="E12" t="s">
        <v>9279</v>
      </c>
      <c r="F12" s="953">
        <v>46023</v>
      </c>
      <c r="G12" s="953">
        <v>73415</v>
      </c>
      <c r="H12" t="s">
        <v>9280</v>
      </c>
    </row>
    <row r="13" spans="2:8">
      <c r="B13" t="s">
        <v>9281</v>
      </c>
      <c r="C13" t="s">
        <v>9282</v>
      </c>
      <c r="D13" s="959">
        <v>0.6</v>
      </c>
      <c r="E13" t="s">
        <v>9279</v>
      </c>
      <c r="F13" s="953">
        <v>46023</v>
      </c>
      <c r="G13" s="953">
        <v>73415</v>
      </c>
      <c r="H13" t="s">
        <v>9283</v>
      </c>
    </row>
    <row r="14" spans="2:8">
      <c r="B14" s="935" t="s">
        <v>9541</v>
      </c>
      <c r="C14" s="935" t="s">
        <v>9542</v>
      </c>
      <c r="D14" s="959">
        <v>1.5</v>
      </c>
      <c r="E14" s="935" t="s">
        <v>9543</v>
      </c>
      <c r="F14" s="953">
        <v>46023</v>
      </c>
      <c r="G14" s="953">
        <v>73415</v>
      </c>
      <c r="H14" s="935" t="s">
        <v>9544</v>
      </c>
    </row>
  </sheetData>
  <printOptions horizontalCentered="1"/>
  <pageMargins left="0.5" right="0.5" top="0.61111111111111116" bottom="0.61111111111111116" header="0.3" footer="0.3"/>
  <pageSetup paperSize="0" scale="0" fitToHeight="0" orientation="portrait" horizontalDpi="0" verticalDpi="0" copies="0"/>
  <headerFooter>
    <oddHeader>&amp;Z&amp;R</oddHeader>
    <oddFooter>&amp;CShougang Hierro Perú S.A.A. — Beneficio ZA — Metas — Página &amp;P de &amp;F</oddFooter>
  </headerFooter>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0C916-C254-4258-98A6-C27A22667202}">
  <sheetPr codeName="Hoja17">
    <tabColor rgb="FF7F7F7F"/>
    <pageSetUpPr fitToPage="1"/>
  </sheetPr>
  <dimension ref="B1:J16"/>
  <sheetViews>
    <sheetView showGridLines="0" workbookViewId="0">
      <pane ySplit="4" topLeftCell="A5" activePane="bottomLeft" state="frozen"/>
      <selection pane="bottomLeft"/>
    </sheetView>
  </sheetViews>
  <sheetFormatPr baseColWidth="10" defaultRowHeight="15"/>
  <cols>
    <col min="1" max="1" width="2.85546875" customWidth="1"/>
    <col min="2" max="2" width="19" customWidth="1"/>
    <col min="3" max="3" width="32.42578125" customWidth="1"/>
    <col min="5" max="5" width="17.140625" customWidth="1"/>
    <col min="6" max="8" width="12.42578125" customWidth="1"/>
    <col min="9" max="9" width="15.28515625" customWidth="1"/>
    <col min="10" max="10" width="49.5703125" customWidth="1"/>
    <col min="11" max="18" width="12.140625" customWidth="1"/>
  </cols>
  <sheetData>
    <row r="1" spans="2:10" ht="18.75">
      <c r="B1" s="948" t="s">
        <v>9285</v>
      </c>
    </row>
    <row r="2" spans="2:10">
      <c r="B2" s="949" t="s">
        <v>9286</v>
      </c>
    </row>
    <row r="4" spans="2:10">
      <c r="B4" t="s">
        <v>9264</v>
      </c>
      <c r="C4" t="s">
        <v>2407</v>
      </c>
      <c r="D4" t="s">
        <v>2409</v>
      </c>
      <c r="E4" t="s">
        <v>3231</v>
      </c>
      <c r="F4" t="s">
        <v>9287</v>
      </c>
      <c r="G4" t="s">
        <v>9288</v>
      </c>
      <c r="H4" t="s">
        <v>9289</v>
      </c>
      <c r="I4" t="s">
        <v>9290</v>
      </c>
      <c r="J4" t="s">
        <v>2435</v>
      </c>
    </row>
    <row r="5" spans="2:10">
      <c r="B5" t="s">
        <v>9291</v>
      </c>
      <c r="C5" t="s">
        <v>9292</v>
      </c>
      <c r="D5" t="s">
        <v>1392</v>
      </c>
      <c r="E5" t="s">
        <v>2501</v>
      </c>
      <c r="F5" s="955">
        <v>0</v>
      </c>
      <c r="G5" s="955">
        <v>2000</v>
      </c>
      <c r="H5" s="955">
        <v>0</v>
      </c>
      <c r="I5" s="955" t="s">
        <v>9293</v>
      </c>
      <c r="J5" t="s">
        <v>9294</v>
      </c>
    </row>
    <row r="6" spans="2:10">
      <c r="B6" t="s">
        <v>9295</v>
      </c>
      <c r="C6" t="s">
        <v>33</v>
      </c>
      <c r="D6" t="s">
        <v>1392</v>
      </c>
      <c r="E6" t="s">
        <v>2503</v>
      </c>
      <c r="F6" s="955">
        <v>0</v>
      </c>
      <c r="G6" s="955">
        <v>1700</v>
      </c>
      <c r="H6" s="955">
        <v>0</v>
      </c>
      <c r="I6" s="955" t="s">
        <v>9293</v>
      </c>
      <c r="J6" t="s">
        <v>9296</v>
      </c>
    </row>
    <row r="7" spans="2:10">
      <c r="B7" t="s">
        <v>6</v>
      </c>
      <c r="C7" t="s">
        <v>38</v>
      </c>
      <c r="D7" t="s">
        <v>2214</v>
      </c>
      <c r="E7" t="s">
        <v>2502</v>
      </c>
      <c r="F7" s="955">
        <v>0</v>
      </c>
      <c r="G7" s="955">
        <v>1</v>
      </c>
      <c r="H7" s="955">
        <v>3</v>
      </c>
      <c r="I7" s="955" t="s">
        <v>9297</v>
      </c>
      <c r="J7" t="s">
        <v>9298</v>
      </c>
    </row>
    <row r="8" spans="2:10">
      <c r="B8" t="s">
        <v>9299</v>
      </c>
      <c r="C8" t="s">
        <v>9300</v>
      </c>
      <c r="D8" t="s">
        <v>2214</v>
      </c>
      <c r="E8" t="s">
        <v>2502</v>
      </c>
      <c r="F8" s="955">
        <v>0</v>
      </c>
      <c r="G8" s="955">
        <v>3</v>
      </c>
      <c r="H8" s="955">
        <v>3</v>
      </c>
      <c r="I8" s="955" t="s">
        <v>9297</v>
      </c>
      <c r="J8" t="s">
        <v>9301</v>
      </c>
    </row>
    <row r="9" spans="2:10">
      <c r="B9" t="s">
        <v>9302</v>
      </c>
      <c r="C9" t="s">
        <v>9303</v>
      </c>
      <c r="D9" t="s">
        <v>2214</v>
      </c>
      <c r="E9" t="s">
        <v>2502</v>
      </c>
      <c r="F9" s="955">
        <v>0</v>
      </c>
      <c r="G9" s="955">
        <v>3</v>
      </c>
      <c r="H9" s="955">
        <v>3</v>
      </c>
      <c r="I9" s="955" t="s">
        <v>9297</v>
      </c>
      <c r="J9" t="s">
        <v>9304</v>
      </c>
    </row>
    <row r="10" spans="2:10">
      <c r="B10" t="s">
        <v>9305</v>
      </c>
      <c r="C10" t="s">
        <v>9306</v>
      </c>
      <c r="D10" t="s">
        <v>2214</v>
      </c>
      <c r="E10" t="s">
        <v>2502</v>
      </c>
      <c r="F10" s="955">
        <v>0</v>
      </c>
      <c r="G10" s="955">
        <v>3</v>
      </c>
      <c r="H10" s="955">
        <v>3</v>
      </c>
      <c r="I10" s="955" t="s">
        <v>9297</v>
      </c>
      <c r="J10" t="s">
        <v>9307</v>
      </c>
    </row>
    <row r="11" spans="2:10">
      <c r="B11" t="s">
        <v>9308</v>
      </c>
      <c r="C11" t="s">
        <v>9309</v>
      </c>
      <c r="D11" t="s">
        <v>2214</v>
      </c>
      <c r="E11" t="s">
        <v>2502</v>
      </c>
      <c r="F11" s="955">
        <v>0</v>
      </c>
      <c r="G11" s="955">
        <v>3</v>
      </c>
      <c r="H11" s="955">
        <v>3</v>
      </c>
      <c r="I11" s="955" t="s">
        <v>9297</v>
      </c>
      <c r="J11" t="s">
        <v>9304</v>
      </c>
    </row>
    <row r="12" spans="2:10">
      <c r="B12" t="s">
        <v>9310</v>
      </c>
      <c r="C12" t="s">
        <v>11</v>
      </c>
      <c r="D12" t="s">
        <v>2214</v>
      </c>
      <c r="E12" t="s">
        <v>2503</v>
      </c>
      <c r="F12" s="955">
        <v>0</v>
      </c>
      <c r="G12" s="955">
        <v>60</v>
      </c>
      <c r="H12" s="955">
        <v>1</v>
      </c>
      <c r="I12" s="955" t="s">
        <v>9297</v>
      </c>
      <c r="J12" t="s">
        <v>9311</v>
      </c>
    </row>
    <row r="13" spans="2:10">
      <c r="B13" t="s">
        <v>9312</v>
      </c>
      <c r="C13" t="s">
        <v>12</v>
      </c>
      <c r="D13" t="s">
        <v>2214</v>
      </c>
      <c r="E13" t="s">
        <v>2503</v>
      </c>
      <c r="F13" s="955">
        <v>0</v>
      </c>
      <c r="G13" s="955">
        <v>60</v>
      </c>
      <c r="H13" s="955">
        <v>1</v>
      </c>
      <c r="I13" s="955" t="s">
        <v>9297</v>
      </c>
      <c r="J13" t="s">
        <v>9313</v>
      </c>
    </row>
    <row r="14" spans="2:10">
      <c r="B14" t="s">
        <v>9314</v>
      </c>
      <c r="C14" t="s">
        <v>13</v>
      </c>
      <c r="D14" t="s">
        <v>2214</v>
      </c>
      <c r="E14" t="s">
        <v>2503</v>
      </c>
      <c r="F14" s="955">
        <v>0</v>
      </c>
      <c r="G14" s="955">
        <v>15</v>
      </c>
      <c r="H14" s="955">
        <v>1</v>
      </c>
      <c r="I14" s="955" t="s">
        <v>9297</v>
      </c>
      <c r="J14" t="s">
        <v>9315</v>
      </c>
    </row>
    <row r="15" spans="2:10">
      <c r="B15" t="s">
        <v>9316</v>
      </c>
      <c r="C15" t="s">
        <v>14</v>
      </c>
      <c r="D15" t="s">
        <v>2214</v>
      </c>
      <c r="E15" t="s">
        <v>2503</v>
      </c>
      <c r="F15" s="955">
        <v>0</v>
      </c>
      <c r="G15" s="955">
        <v>20</v>
      </c>
      <c r="H15" s="955">
        <v>1</v>
      </c>
      <c r="I15" s="955" t="s">
        <v>9297</v>
      </c>
      <c r="J15" t="s">
        <v>9317</v>
      </c>
    </row>
    <row r="16" spans="2:10">
      <c r="B16" t="s">
        <v>17</v>
      </c>
      <c r="C16" t="s">
        <v>9318</v>
      </c>
      <c r="D16" t="s">
        <v>2214</v>
      </c>
      <c r="E16" t="s">
        <v>2503</v>
      </c>
      <c r="F16" s="955">
        <v>0</v>
      </c>
      <c r="G16" s="955">
        <v>20</v>
      </c>
      <c r="H16" s="955">
        <v>1</v>
      </c>
      <c r="I16" s="955" t="s">
        <v>9297</v>
      </c>
      <c r="J16" t="s">
        <v>9319</v>
      </c>
    </row>
  </sheetData>
  <dataValidations count="1">
    <dataValidation type="list" allowBlank="1" showInputMessage="1" showErrorMessage="1" sqref="I5:I16" xr:uid="{55CB559A-7CDE-4622-919D-F4EF904E2E11}">
      <formula1>"Sí,No"</formula1>
    </dataValidation>
  </dataValidations>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Catálogo — Página &amp;P de &amp;F</oddFooter>
  </headerFooter>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0C5FF-C8F3-437A-97D5-F7E9F21479E4}">
  <sheetPr codeName="Hoja18">
    <tabColor rgb="FF7F7F7F"/>
    <pageSetUpPr fitToPage="1"/>
  </sheetPr>
  <dimension ref="B1:R130"/>
  <sheetViews>
    <sheetView showGridLines="0" zoomScale="85" zoomScaleNormal="85" workbookViewId="0">
      <selection activeCell="K11" sqref="K11:R15"/>
    </sheetView>
  </sheetViews>
  <sheetFormatPr baseColWidth="10" defaultRowHeight="15"/>
  <cols>
    <col min="1" max="1" width="2.85546875" customWidth="1"/>
    <col min="2" max="2" width="32.42578125" customWidth="1"/>
    <col min="3" max="4" width="49.5703125" customWidth="1"/>
    <col min="5" max="7" width="21" customWidth="1"/>
    <col min="8" max="8" width="36.140625" customWidth="1"/>
    <col min="11" max="11" width="32.42578125" customWidth="1"/>
    <col min="12" max="18" width="15.28515625" customWidth="1"/>
  </cols>
  <sheetData>
    <row r="1" spans="2:18" ht="18.75">
      <c r="B1" s="948" t="s">
        <v>9423</v>
      </c>
    </row>
    <row r="2" spans="2:18">
      <c r="B2" s="949" t="s">
        <v>9424</v>
      </c>
      <c r="K2" s="949" t="s">
        <v>9861</v>
      </c>
    </row>
    <row r="4" spans="2:18">
      <c r="B4" t="s">
        <v>9425</v>
      </c>
      <c r="C4" t="s">
        <v>654</v>
      </c>
      <c r="D4" t="s">
        <v>9417</v>
      </c>
      <c r="E4" t="s">
        <v>9426</v>
      </c>
      <c r="F4" t="s">
        <v>9427</v>
      </c>
      <c r="G4" t="s">
        <v>9428</v>
      </c>
      <c r="H4" t="s">
        <v>9429</v>
      </c>
      <c r="K4" t="s">
        <v>9425</v>
      </c>
      <c r="L4" t="s">
        <v>9862</v>
      </c>
      <c r="M4" t="s">
        <v>9863</v>
      </c>
      <c r="N4" t="s">
        <v>9864</v>
      </c>
    </row>
    <row r="5" spans="2:18">
      <c r="B5" t="s">
        <v>9430</v>
      </c>
      <c r="C5" t="s">
        <v>9431</v>
      </c>
      <c r="D5" s="955" t="s">
        <v>384</v>
      </c>
      <c r="E5" s="955" t="s">
        <v>326</v>
      </c>
      <c r="F5" s="955" t="s">
        <v>327</v>
      </c>
      <c r="G5" s="955" t="s">
        <v>328</v>
      </c>
      <c r="H5" t="s">
        <v>9432</v>
      </c>
      <c r="K5" t="s">
        <v>9430</v>
      </c>
      <c r="L5" t="s">
        <v>527</v>
      </c>
      <c r="M5">
        <v>9</v>
      </c>
      <c r="N5">
        <v>19</v>
      </c>
    </row>
    <row r="6" spans="2:18">
      <c r="B6" t="s">
        <v>9433</v>
      </c>
      <c r="C6" t="s">
        <v>9434</v>
      </c>
      <c r="D6" s="955" t="s">
        <v>384</v>
      </c>
      <c r="E6" s="955" t="s">
        <v>9435</v>
      </c>
      <c r="F6" s="955" t="s">
        <v>9436</v>
      </c>
      <c r="G6" s="955" t="s">
        <v>9437</v>
      </c>
      <c r="H6" t="s">
        <v>9438</v>
      </c>
      <c r="K6" t="s">
        <v>9433</v>
      </c>
      <c r="L6" t="s">
        <v>9879</v>
      </c>
      <c r="M6">
        <v>9</v>
      </c>
      <c r="N6">
        <v>19</v>
      </c>
    </row>
    <row r="7" spans="2:18">
      <c r="B7" t="s">
        <v>9439</v>
      </c>
      <c r="C7" t="s">
        <v>9440</v>
      </c>
      <c r="D7" s="955" t="s">
        <v>384</v>
      </c>
      <c r="E7" s="955" t="s">
        <v>31</v>
      </c>
      <c r="F7" s="955"/>
      <c r="G7" s="955"/>
      <c r="H7" t="s">
        <v>9439</v>
      </c>
      <c r="K7" t="s">
        <v>9441</v>
      </c>
      <c r="L7" t="s">
        <v>661</v>
      </c>
      <c r="M7">
        <v>9</v>
      </c>
      <c r="N7">
        <v>19</v>
      </c>
    </row>
    <row r="8" spans="2:18">
      <c r="B8" t="s">
        <v>9441</v>
      </c>
      <c r="C8" t="s">
        <v>9442</v>
      </c>
      <c r="D8" s="955" t="s">
        <v>384</v>
      </c>
      <c r="E8" s="955" t="s">
        <v>385</v>
      </c>
      <c r="F8" s="955" t="s">
        <v>386</v>
      </c>
      <c r="G8" s="955" t="s">
        <v>9443</v>
      </c>
      <c r="H8" t="s">
        <v>9441</v>
      </c>
    </row>
    <row r="9" spans="2:18">
      <c r="B9" t="s">
        <v>9444</v>
      </c>
      <c r="C9" t="s">
        <v>9445</v>
      </c>
      <c r="D9" s="955" t="s">
        <v>9419</v>
      </c>
      <c r="E9" s="955" t="s">
        <v>9446</v>
      </c>
      <c r="F9" s="955" t="s">
        <v>9447</v>
      </c>
      <c r="G9" s="955"/>
      <c r="H9" t="s">
        <v>9448</v>
      </c>
    </row>
    <row r="10" spans="2:18">
      <c r="B10" t="s">
        <v>9449</v>
      </c>
      <c r="C10" t="s">
        <v>9450</v>
      </c>
      <c r="D10" s="955" t="s">
        <v>9419</v>
      </c>
      <c r="E10" s="955" t="s">
        <v>396</v>
      </c>
      <c r="F10" s="955" t="s">
        <v>397</v>
      </c>
      <c r="G10" s="955" t="s">
        <v>398</v>
      </c>
      <c r="H10" t="s">
        <v>9449</v>
      </c>
      <c r="K10" s="949" t="s">
        <v>9908</v>
      </c>
    </row>
    <row r="11" spans="2:18">
      <c r="B11" t="s">
        <v>9451</v>
      </c>
      <c r="C11" t="s">
        <v>9452</v>
      </c>
      <c r="D11" s="955" t="s">
        <v>9419</v>
      </c>
      <c r="E11" s="955" t="s">
        <v>9453</v>
      </c>
      <c r="F11" s="955"/>
      <c r="G11" s="955"/>
      <c r="H11" t="s">
        <v>9454</v>
      </c>
      <c r="K11" t="s">
        <v>9384</v>
      </c>
      <c r="L11" t="s">
        <v>9425</v>
      </c>
      <c r="M11" t="s">
        <v>9863</v>
      </c>
      <c r="N11" t="s">
        <v>9909</v>
      </c>
      <c r="O11" t="s">
        <v>9910</v>
      </c>
      <c r="P11" t="s">
        <v>9911</v>
      </c>
      <c r="Q11" t="s">
        <v>9912</v>
      </c>
      <c r="R11" t="s">
        <v>9913</v>
      </c>
    </row>
    <row r="12" spans="2:18">
      <c r="B12" t="s">
        <v>9455</v>
      </c>
      <c r="C12" t="s">
        <v>9456</v>
      </c>
      <c r="D12" s="955" t="s">
        <v>9419</v>
      </c>
      <c r="E12" s="955" t="s">
        <v>9457</v>
      </c>
      <c r="F12" s="955"/>
      <c r="G12" s="955"/>
      <c r="H12" t="s">
        <v>9458</v>
      </c>
      <c r="K12" t="s">
        <v>9914</v>
      </c>
      <c r="L12" t="s">
        <v>9444</v>
      </c>
      <c r="M12">
        <v>10</v>
      </c>
      <c r="N12">
        <v>40</v>
      </c>
      <c r="O12">
        <v>8</v>
      </c>
      <c r="P12">
        <v>9</v>
      </c>
      <c r="Q12">
        <v>4</v>
      </c>
      <c r="R12">
        <v>10</v>
      </c>
    </row>
    <row r="13" spans="2:18">
      <c r="K13" t="s">
        <v>9915</v>
      </c>
      <c r="L13" t="s">
        <v>9449</v>
      </c>
      <c r="M13">
        <v>10</v>
      </c>
      <c r="N13">
        <v>40</v>
      </c>
      <c r="O13">
        <v>8</v>
      </c>
      <c r="P13">
        <v>9</v>
      </c>
      <c r="Q13">
        <v>4</v>
      </c>
      <c r="R13">
        <v>40</v>
      </c>
    </row>
    <row r="14" spans="2:18">
      <c r="K14" t="s">
        <v>9916</v>
      </c>
      <c r="L14" t="s">
        <v>9451</v>
      </c>
      <c r="M14">
        <v>10</v>
      </c>
      <c r="N14">
        <v>40</v>
      </c>
      <c r="O14">
        <v>8</v>
      </c>
      <c r="P14">
        <v>9</v>
      </c>
      <c r="Q14">
        <v>4</v>
      </c>
      <c r="R14">
        <v>27</v>
      </c>
    </row>
    <row r="15" spans="2:18" ht="15.75">
      <c r="B15" s="950" t="s">
        <v>9459</v>
      </c>
      <c r="K15" t="s">
        <v>9916</v>
      </c>
      <c r="L15" t="s">
        <v>9455</v>
      </c>
      <c r="M15">
        <v>10</v>
      </c>
      <c r="N15">
        <v>40</v>
      </c>
      <c r="O15">
        <v>8</v>
      </c>
      <c r="P15">
        <v>9</v>
      </c>
      <c r="Q15">
        <v>29</v>
      </c>
      <c r="R15">
        <v>47</v>
      </c>
    </row>
    <row r="16" spans="2:18">
      <c r="B16" t="s">
        <v>9425</v>
      </c>
      <c r="C16" t="s">
        <v>9460</v>
      </c>
      <c r="D16" t="s">
        <v>9461</v>
      </c>
      <c r="E16" t="s">
        <v>2409</v>
      </c>
      <c r="F16" t="s">
        <v>9287</v>
      </c>
      <c r="G16" t="s">
        <v>9288</v>
      </c>
      <c r="H16" t="s">
        <v>9462</v>
      </c>
      <c r="I16" t="s">
        <v>9418</v>
      </c>
    </row>
    <row r="17" spans="2:9">
      <c r="B17" t="s">
        <v>9430</v>
      </c>
      <c r="C17" t="s">
        <v>9525</v>
      </c>
      <c r="F17" s="955"/>
      <c r="G17" s="955"/>
      <c r="H17" s="955"/>
      <c r="I17" s="955" t="s">
        <v>9293</v>
      </c>
    </row>
    <row r="18" spans="2:9">
      <c r="B18" t="s">
        <v>9430</v>
      </c>
      <c r="C18" t="s">
        <v>9463</v>
      </c>
      <c r="F18" s="955"/>
      <c r="G18" s="955"/>
      <c r="H18" s="955"/>
      <c r="I18" s="955" t="s">
        <v>9293</v>
      </c>
    </row>
    <row r="19" spans="2:9">
      <c r="B19" t="s">
        <v>9430</v>
      </c>
      <c r="C19" t="s">
        <v>9464</v>
      </c>
      <c r="F19" s="955"/>
      <c r="G19" s="955"/>
      <c r="H19" s="955"/>
      <c r="I19" s="955" t="s">
        <v>9293</v>
      </c>
    </row>
    <row r="20" spans="2:9">
      <c r="B20" t="s">
        <v>9430</v>
      </c>
      <c r="C20" t="s">
        <v>9465</v>
      </c>
      <c r="F20" s="955"/>
      <c r="G20" s="955"/>
      <c r="H20" s="955"/>
      <c r="I20" s="955" t="s">
        <v>9293</v>
      </c>
    </row>
    <row r="21" spans="2:9">
      <c r="B21" t="s">
        <v>9430</v>
      </c>
      <c r="C21" t="s">
        <v>9466</v>
      </c>
      <c r="F21" s="955"/>
      <c r="G21" s="955"/>
      <c r="H21" s="955"/>
      <c r="I21" s="955" t="s">
        <v>9293</v>
      </c>
    </row>
    <row r="22" spans="2:9">
      <c r="B22" t="s">
        <v>9430</v>
      </c>
      <c r="C22" t="s">
        <v>331</v>
      </c>
      <c r="F22" s="955"/>
      <c r="G22" s="955"/>
      <c r="H22" s="955"/>
      <c r="I22" s="955" t="s">
        <v>9293</v>
      </c>
    </row>
    <row r="23" spans="2:9">
      <c r="B23" t="s">
        <v>9430</v>
      </c>
      <c r="C23" t="s">
        <v>332</v>
      </c>
      <c r="F23" s="955"/>
      <c r="G23" s="955"/>
      <c r="H23" s="955"/>
      <c r="I23" s="955" t="s">
        <v>9293</v>
      </c>
    </row>
    <row r="24" spans="2:9">
      <c r="B24" t="s">
        <v>9430</v>
      </c>
      <c r="C24" t="s">
        <v>9467</v>
      </c>
      <c r="F24" s="955"/>
      <c r="G24" s="955"/>
      <c r="H24" s="955"/>
      <c r="I24" s="955" t="s">
        <v>9293</v>
      </c>
    </row>
    <row r="25" spans="2:9">
      <c r="B25" t="s">
        <v>9430</v>
      </c>
      <c r="C25" t="s">
        <v>9468</v>
      </c>
      <c r="F25" s="955"/>
      <c r="G25" s="955"/>
      <c r="H25" s="955"/>
      <c r="I25" s="955" t="s">
        <v>9293</v>
      </c>
    </row>
    <row r="26" spans="2:9">
      <c r="B26" t="s">
        <v>9430</v>
      </c>
      <c r="C26" t="s">
        <v>9469</v>
      </c>
      <c r="F26" s="955"/>
      <c r="G26" s="955"/>
      <c r="H26" s="955"/>
      <c r="I26" s="955" t="s">
        <v>9293</v>
      </c>
    </row>
    <row r="27" spans="2:9">
      <c r="B27" t="s">
        <v>9430</v>
      </c>
      <c r="C27" t="s">
        <v>9470</v>
      </c>
      <c r="F27" s="955"/>
      <c r="G27" s="955"/>
      <c r="H27" s="955"/>
      <c r="I27" s="955" t="s">
        <v>9293</v>
      </c>
    </row>
    <row r="28" spans="2:9">
      <c r="B28" t="s">
        <v>9433</v>
      </c>
      <c r="C28" t="s">
        <v>9471</v>
      </c>
      <c r="D28" t="s">
        <v>336</v>
      </c>
      <c r="F28" s="955"/>
      <c r="G28" s="955"/>
      <c r="H28" s="955" t="s">
        <v>9871</v>
      </c>
      <c r="I28" s="955" t="s">
        <v>9293</v>
      </c>
    </row>
    <row r="29" spans="2:9">
      <c r="B29" t="s">
        <v>9433</v>
      </c>
      <c r="C29" t="s">
        <v>337</v>
      </c>
      <c r="D29" t="s">
        <v>338</v>
      </c>
      <c r="F29" s="955"/>
      <c r="G29" s="955"/>
      <c r="H29" s="955" t="s">
        <v>9871</v>
      </c>
      <c r="I29" s="955" t="s">
        <v>9293</v>
      </c>
    </row>
    <row r="30" spans="2:9">
      <c r="B30" t="s">
        <v>9433</v>
      </c>
      <c r="C30" t="s">
        <v>339</v>
      </c>
      <c r="D30" t="s">
        <v>340</v>
      </c>
      <c r="F30" s="955"/>
      <c r="G30" s="955"/>
      <c r="H30" s="955" t="s">
        <v>9871</v>
      </c>
      <c r="I30" s="955" t="s">
        <v>9293</v>
      </c>
    </row>
    <row r="31" spans="2:9">
      <c r="B31" t="s">
        <v>9433</v>
      </c>
      <c r="C31" t="s">
        <v>341</v>
      </c>
      <c r="D31" t="s">
        <v>342</v>
      </c>
      <c r="F31" s="955"/>
      <c r="G31" s="955"/>
      <c r="H31" s="955" t="s">
        <v>9871</v>
      </c>
      <c r="I31" s="955" t="s">
        <v>9293</v>
      </c>
    </row>
    <row r="32" spans="2:9">
      <c r="B32" t="s">
        <v>9433</v>
      </c>
      <c r="C32" t="s">
        <v>343</v>
      </c>
      <c r="D32" t="s">
        <v>344</v>
      </c>
      <c r="F32" s="955"/>
      <c r="G32" s="955"/>
      <c r="H32" s="955" t="s">
        <v>9871</v>
      </c>
      <c r="I32" s="955" t="s">
        <v>9293</v>
      </c>
    </row>
    <row r="33" spans="2:9">
      <c r="B33" t="s">
        <v>9433</v>
      </c>
      <c r="C33" t="s">
        <v>346</v>
      </c>
      <c r="D33" t="s">
        <v>340</v>
      </c>
      <c r="F33" s="955"/>
      <c r="G33" s="955"/>
      <c r="H33" s="955" t="s">
        <v>9871</v>
      </c>
      <c r="I33" s="955" t="s">
        <v>9293</v>
      </c>
    </row>
    <row r="34" spans="2:9">
      <c r="B34" t="s">
        <v>9433</v>
      </c>
      <c r="C34" t="s">
        <v>347</v>
      </c>
      <c r="D34" t="s">
        <v>348</v>
      </c>
      <c r="F34" s="955"/>
      <c r="G34" s="955"/>
      <c r="H34" s="955" t="s">
        <v>9872</v>
      </c>
      <c r="I34" s="955" t="s">
        <v>9293</v>
      </c>
    </row>
    <row r="35" spans="2:9">
      <c r="B35" t="s">
        <v>9433</v>
      </c>
      <c r="C35" t="s">
        <v>349</v>
      </c>
      <c r="D35" t="s">
        <v>350</v>
      </c>
      <c r="F35" s="955"/>
      <c r="G35" s="955"/>
      <c r="H35" s="955" t="s">
        <v>9872</v>
      </c>
      <c r="I35" s="955" t="s">
        <v>9293</v>
      </c>
    </row>
    <row r="36" spans="2:9">
      <c r="B36" t="s">
        <v>9433</v>
      </c>
      <c r="C36" t="s">
        <v>351</v>
      </c>
      <c r="D36" t="s">
        <v>352</v>
      </c>
      <c r="F36" s="955"/>
      <c r="G36" s="955"/>
      <c r="H36" s="955" t="s">
        <v>9872</v>
      </c>
      <c r="I36" s="955" t="s">
        <v>9293</v>
      </c>
    </row>
    <row r="37" spans="2:9">
      <c r="B37" t="s">
        <v>9433</v>
      </c>
      <c r="C37" t="s">
        <v>353</v>
      </c>
      <c r="D37" t="s">
        <v>354</v>
      </c>
      <c r="F37" s="955"/>
      <c r="G37" s="955"/>
      <c r="H37" s="955" t="s">
        <v>9872</v>
      </c>
      <c r="I37" s="955" t="s">
        <v>9293</v>
      </c>
    </row>
    <row r="38" spans="2:9">
      <c r="B38" t="s">
        <v>9433</v>
      </c>
      <c r="C38" t="s">
        <v>355</v>
      </c>
      <c r="D38" t="s">
        <v>356</v>
      </c>
      <c r="F38" s="955"/>
      <c r="G38" s="955"/>
      <c r="H38" s="955" t="s">
        <v>9872</v>
      </c>
      <c r="I38" s="955" t="s">
        <v>9293</v>
      </c>
    </row>
    <row r="39" spans="2:9">
      <c r="B39" t="s">
        <v>9433</v>
      </c>
      <c r="C39" t="s">
        <v>357</v>
      </c>
      <c r="D39" t="s">
        <v>358</v>
      </c>
      <c r="F39" s="955"/>
      <c r="G39" s="955"/>
      <c r="H39" s="955" t="s">
        <v>9872</v>
      </c>
      <c r="I39" s="955" t="s">
        <v>9293</v>
      </c>
    </row>
    <row r="40" spans="2:9">
      <c r="B40" t="s">
        <v>9433</v>
      </c>
      <c r="C40" t="s">
        <v>359</v>
      </c>
      <c r="D40" t="s">
        <v>360</v>
      </c>
      <c r="F40" s="955"/>
      <c r="G40" s="955"/>
      <c r="H40" s="955" t="s">
        <v>9872</v>
      </c>
      <c r="I40" s="955" t="s">
        <v>9293</v>
      </c>
    </row>
    <row r="41" spans="2:9">
      <c r="B41" t="s">
        <v>9433</v>
      </c>
      <c r="C41" t="s">
        <v>361</v>
      </c>
      <c r="D41" t="s">
        <v>362</v>
      </c>
      <c r="F41" s="955"/>
      <c r="G41" s="955"/>
      <c r="H41" s="955" t="s">
        <v>9872</v>
      </c>
      <c r="I41" s="955" t="s">
        <v>9293</v>
      </c>
    </row>
    <row r="42" spans="2:9">
      <c r="B42" t="s">
        <v>9433</v>
      </c>
      <c r="C42" t="s">
        <v>363</v>
      </c>
      <c r="D42" t="s">
        <v>364</v>
      </c>
      <c r="F42" s="955"/>
      <c r="G42" s="955"/>
      <c r="H42" s="955" t="s">
        <v>9872</v>
      </c>
      <c r="I42" s="955" t="s">
        <v>9293</v>
      </c>
    </row>
    <row r="43" spans="2:9">
      <c r="B43" t="s">
        <v>9439</v>
      </c>
      <c r="C43" t="s">
        <v>9472</v>
      </c>
      <c r="D43" t="s">
        <v>9473</v>
      </c>
      <c r="F43" s="955"/>
      <c r="G43" s="955"/>
      <c r="H43" s="955"/>
      <c r="I43" s="955" t="s">
        <v>9293</v>
      </c>
    </row>
    <row r="44" spans="2:9">
      <c r="B44" t="s">
        <v>9439</v>
      </c>
      <c r="C44" t="s">
        <v>9474</v>
      </c>
      <c r="D44" t="s">
        <v>9475</v>
      </c>
      <c r="F44" s="955"/>
      <c r="G44" s="955"/>
      <c r="H44" s="955"/>
      <c r="I44" s="955" t="s">
        <v>9293</v>
      </c>
    </row>
    <row r="45" spans="2:9">
      <c r="B45" t="s">
        <v>9439</v>
      </c>
      <c r="C45" t="s">
        <v>9476</v>
      </c>
      <c r="D45" t="s">
        <v>9477</v>
      </c>
      <c r="F45" s="955"/>
      <c r="G45" s="955"/>
      <c r="H45" s="955"/>
      <c r="I45" s="955" t="s">
        <v>9293</v>
      </c>
    </row>
    <row r="46" spans="2:9">
      <c r="B46" t="s">
        <v>9439</v>
      </c>
      <c r="C46" t="s">
        <v>9478</v>
      </c>
      <c r="D46" t="s">
        <v>9479</v>
      </c>
      <c r="F46" s="955"/>
      <c r="G46" s="955"/>
      <c r="H46" s="955"/>
      <c r="I46" s="955" t="s">
        <v>9293</v>
      </c>
    </row>
    <row r="47" spans="2:9">
      <c r="B47" t="s">
        <v>9439</v>
      </c>
      <c r="C47" t="s">
        <v>9480</v>
      </c>
      <c r="D47" t="s">
        <v>9481</v>
      </c>
      <c r="F47" s="955"/>
      <c r="G47" s="955"/>
      <c r="H47" s="955"/>
      <c r="I47" s="955" t="s">
        <v>9293</v>
      </c>
    </row>
    <row r="48" spans="2:9">
      <c r="B48" t="s">
        <v>9439</v>
      </c>
      <c r="C48" t="s">
        <v>9482</v>
      </c>
      <c r="D48" t="s">
        <v>9483</v>
      </c>
      <c r="F48" s="955"/>
      <c r="G48" s="955"/>
      <c r="H48" s="955"/>
      <c r="I48" s="955" t="s">
        <v>9293</v>
      </c>
    </row>
    <row r="49" spans="2:9">
      <c r="B49" t="s">
        <v>9439</v>
      </c>
      <c r="C49" t="s">
        <v>9484</v>
      </c>
      <c r="D49" t="s">
        <v>9485</v>
      </c>
      <c r="F49" s="955"/>
      <c r="G49" s="955"/>
      <c r="H49" s="955"/>
      <c r="I49" s="955" t="s">
        <v>9293</v>
      </c>
    </row>
    <row r="50" spans="2:9">
      <c r="B50" t="s">
        <v>9439</v>
      </c>
      <c r="C50" t="s">
        <v>9486</v>
      </c>
      <c r="D50" t="s">
        <v>9487</v>
      </c>
      <c r="F50" s="955"/>
      <c r="G50" s="955"/>
      <c r="H50" s="955"/>
      <c r="I50" s="955" t="s">
        <v>9293</v>
      </c>
    </row>
    <row r="51" spans="2:9">
      <c r="B51" t="s">
        <v>9439</v>
      </c>
      <c r="C51" t="s">
        <v>9488</v>
      </c>
      <c r="D51" t="s">
        <v>9489</v>
      </c>
      <c r="F51" s="955"/>
      <c r="G51" s="955"/>
      <c r="H51" s="955"/>
      <c r="I51" s="955" t="s">
        <v>9293</v>
      </c>
    </row>
    <row r="52" spans="2:9">
      <c r="B52" t="s">
        <v>9439</v>
      </c>
      <c r="C52" t="s">
        <v>9490</v>
      </c>
      <c r="D52" t="s">
        <v>9491</v>
      </c>
      <c r="F52" s="955"/>
      <c r="G52" s="955"/>
      <c r="H52" s="955"/>
      <c r="I52" s="955" t="s">
        <v>9293</v>
      </c>
    </row>
    <row r="53" spans="2:9">
      <c r="B53" t="s">
        <v>9439</v>
      </c>
      <c r="C53" t="s">
        <v>9492</v>
      </c>
      <c r="D53" t="s">
        <v>9493</v>
      </c>
      <c r="F53" s="955"/>
      <c r="G53" s="955"/>
      <c r="H53" s="955"/>
      <c r="I53" s="955" t="s">
        <v>9293</v>
      </c>
    </row>
    <row r="54" spans="2:9">
      <c r="B54" t="s">
        <v>9439</v>
      </c>
      <c r="C54" t="s">
        <v>9494</v>
      </c>
      <c r="D54" t="s">
        <v>9495</v>
      </c>
      <c r="F54" s="955"/>
      <c r="G54" s="955"/>
      <c r="H54" s="955"/>
      <c r="I54" s="955" t="s">
        <v>9293</v>
      </c>
    </row>
    <row r="55" spans="2:9">
      <c r="B55" t="s">
        <v>9439</v>
      </c>
      <c r="C55" t="s">
        <v>9496</v>
      </c>
      <c r="D55" t="s">
        <v>9497</v>
      </c>
      <c r="F55" s="955"/>
      <c r="G55" s="955"/>
      <c r="H55" s="955"/>
      <c r="I55" s="955" t="s">
        <v>9293</v>
      </c>
    </row>
    <row r="56" spans="2:9">
      <c r="B56" t="s">
        <v>9439</v>
      </c>
      <c r="C56" t="s">
        <v>9498</v>
      </c>
      <c r="D56" t="s">
        <v>9499</v>
      </c>
      <c r="F56" s="955"/>
      <c r="G56" s="955"/>
      <c r="H56" s="955"/>
      <c r="I56" s="955" t="s">
        <v>9293</v>
      </c>
    </row>
    <row r="57" spans="2:9">
      <c r="B57" t="s">
        <v>9439</v>
      </c>
      <c r="C57" t="s">
        <v>9500</v>
      </c>
      <c r="D57" t="s">
        <v>9501</v>
      </c>
      <c r="F57" s="955"/>
      <c r="G57" s="955"/>
      <c r="H57" s="955"/>
      <c r="I57" s="955" t="s">
        <v>9293</v>
      </c>
    </row>
    <row r="58" spans="2:9">
      <c r="B58" t="s">
        <v>9439</v>
      </c>
      <c r="C58" t="s">
        <v>9502</v>
      </c>
      <c r="D58" t="s">
        <v>9503</v>
      </c>
      <c r="F58" s="955"/>
      <c r="G58" s="955"/>
      <c r="H58" s="955"/>
      <c r="I58" s="955" t="s">
        <v>9293</v>
      </c>
    </row>
    <row r="59" spans="2:9">
      <c r="B59" t="s">
        <v>9439</v>
      </c>
      <c r="C59" t="s">
        <v>9504</v>
      </c>
      <c r="D59" t="s">
        <v>9505</v>
      </c>
      <c r="F59" s="955"/>
      <c r="G59" s="955"/>
      <c r="H59" s="955"/>
      <c r="I59" s="955" t="s">
        <v>9293</v>
      </c>
    </row>
    <row r="60" spans="2:9">
      <c r="B60" t="s">
        <v>9439</v>
      </c>
      <c r="C60" t="s">
        <v>9506</v>
      </c>
      <c r="D60" t="s">
        <v>9507</v>
      </c>
      <c r="F60" s="955"/>
      <c r="G60" s="955"/>
      <c r="H60" s="955"/>
      <c r="I60" s="955" t="s">
        <v>9293</v>
      </c>
    </row>
    <row r="61" spans="2:9">
      <c r="B61" t="s">
        <v>9439</v>
      </c>
      <c r="C61" t="s">
        <v>9539</v>
      </c>
      <c r="D61" t="s">
        <v>9540</v>
      </c>
      <c r="F61" s="955"/>
      <c r="G61" s="955"/>
      <c r="H61" s="955"/>
      <c r="I61" s="955" t="s">
        <v>9293</v>
      </c>
    </row>
    <row r="62" spans="2:9">
      <c r="B62" t="s">
        <v>9441</v>
      </c>
      <c r="C62" t="s">
        <v>367</v>
      </c>
      <c r="F62" s="955"/>
      <c r="G62" s="955"/>
      <c r="H62" s="955"/>
      <c r="I62" s="955" t="s">
        <v>9293</v>
      </c>
    </row>
    <row r="63" spans="2:9">
      <c r="B63" t="s">
        <v>9441</v>
      </c>
      <c r="C63" t="s">
        <v>368</v>
      </c>
      <c r="F63" s="955"/>
      <c r="G63" s="955"/>
      <c r="H63" s="955"/>
      <c r="I63" s="955" t="s">
        <v>9293</v>
      </c>
    </row>
    <row r="64" spans="2:9">
      <c r="B64" t="s">
        <v>9441</v>
      </c>
      <c r="C64" t="s">
        <v>369</v>
      </c>
      <c r="F64" s="955"/>
      <c r="G64" s="955"/>
      <c r="H64" s="955"/>
      <c r="I64" s="955" t="s">
        <v>9293</v>
      </c>
    </row>
    <row r="65" spans="2:9">
      <c r="B65" t="s">
        <v>9441</v>
      </c>
      <c r="C65" t="s">
        <v>370</v>
      </c>
      <c r="F65" s="955"/>
      <c r="G65" s="955"/>
      <c r="H65" s="955"/>
      <c r="I65" s="955" t="s">
        <v>9293</v>
      </c>
    </row>
    <row r="66" spans="2:9">
      <c r="B66" t="s">
        <v>9441</v>
      </c>
      <c r="C66" t="s">
        <v>371</v>
      </c>
      <c r="F66" s="955"/>
      <c r="G66" s="955"/>
      <c r="H66" s="955"/>
      <c r="I66" s="955" t="s">
        <v>9293</v>
      </c>
    </row>
    <row r="67" spans="2:9">
      <c r="B67" t="s">
        <v>9441</v>
      </c>
      <c r="C67" t="s">
        <v>372</v>
      </c>
      <c r="F67" s="955"/>
      <c r="G67" s="955"/>
      <c r="H67" s="955"/>
      <c r="I67" s="955" t="s">
        <v>9293</v>
      </c>
    </row>
    <row r="68" spans="2:9">
      <c r="B68" t="s">
        <v>9441</v>
      </c>
      <c r="C68" t="s">
        <v>373</v>
      </c>
      <c r="F68" s="955"/>
      <c r="G68" s="955"/>
      <c r="H68" s="955"/>
      <c r="I68" s="955" t="s">
        <v>9293</v>
      </c>
    </row>
    <row r="69" spans="2:9">
      <c r="B69" t="s">
        <v>9441</v>
      </c>
      <c r="C69" t="s">
        <v>374</v>
      </c>
      <c r="F69" s="955"/>
      <c r="G69" s="955"/>
      <c r="H69" s="955"/>
      <c r="I69" s="955" t="s">
        <v>9293</v>
      </c>
    </row>
    <row r="70" spans="2:9">
      <c r="B70" t="s">
        <v>9441</v>
      </c>
      <c r="C70" t="s">
        <v>375</v>
      </c>
      <c r="F70" s="955"/>
      <c r="G70" s="955"/>
      <c r="H70" s="955"/>
      <c r="I70" s="955" t="s">
        <v>9293</v>
      </c>
    </row>
    <row r="71" spans="2:9">
      <c r="B71" t="s">
        <v>9441</v>
      </c>
      <c r="C71" t="s">
        <v>376</v>
      </c>
      <c r="F71" s="955"/>
      <c r="G71" s="955"/>
      <c r="H71" s="955"/>
      <c r="I71" s="955" t="s">
        <v>9293</v>
      </c>
    </row>
    <row r="72" spans="2:9">
      <c r="B72" t="s">
        <v>9441</v>
      </c>
      <c r="C72" t="s">
        <v>377</v>
      </c>
      <c r="F72" s="955"/>
      <c r="G72" s="955"/>
      <c r="H72" s="955"/>
      <c r="I72" s="955" t="s">
        <v>9293</v>
      </c>
    </row>
    <row r="73" spans="2:9">
      <c r="B73" t="s">
        <v>9441</v>
      </c>
      <c r="C73" t="s">
        <v>378</v>
      </c>
      <c r="F73" s="955"/>
      <c r="G73" s="955"/>
      <c r="H73" s="955"/>
      <c r="I73" s="955" t="s">
        <v>9293</v>
      </c>
    </row>
    <row r="74" spans="2:9">
      <c r="B74" t="s">
        <v>9441</v>
      </c>
      <c r="C74" t="s">
        <v>379</v>
      </c>
      <c r="F74" s="955"/>
      <c r="G74" s="955"/>
      <c r="H74" s="955"/>
      <c r="I74" s="955" t="s">
        <v>9293</v>
      </c>
    </row>
    <row r="75" spans="2:9">
      <c r="B75" t="s">
        <v>9441</v>
      </c>
      <c r="C75" t="s">
        <v>380</v>
      </c>
      <c r="F75" s="955"/>
      <c r="G75" s="955"/>
      <c r="H75" s="955"/>
      <c r="I75" s="955" t="s">
        <v>9293</v>
      </c>
    </row>
    <row r="76" spans="2:9">
      <c r="B76" t="s">
        <v>9441</v>
      </c>
      <c r="C76" t="s">
        <v>381</v>
      </c>
      <c r="F76" s="955"/>
      <c r="G76" s="955"/>
      <c r="H76" s="955"/>
      <c r="I76" s="955" t="s">
        <v>9293</v>
      </c>
    </row>
    <row r="77" spans="2:9">
      <c r="B77" t="s">
        <v>9441</v>
      </c>
      <c r="C77" t="s">
        <v>382</v>
      </c>
      <c r="F77" s="955"/>
      <c r="G77" s="955"/>
      <c r="H77" s="955"/>
      <c r="I77" s="955" t="s">
        <v>9293</v>
      </c>
    </row>
    <row r="78" spans="2:9">
      <c r="B78" t="s">
        <v>9444</v>
      </c>
      <c r="C78" t="s">
        <v>9508</v>
      </c>
      <c r="D78" t="s">
        <v>9509</v>
      </c>
      <c r="E78" t="s">
        <v>9510</v>
      </c>
      <c r="F78" s="955">
        <v>0</v>
      </c>
      <c r="G78" s="955">
        <v>40000</v>
      </c>
      <c r="H78" s="955"/>
      <c r="I78" s="955" t="s">
        <v>9293</v>
      </c>
    </row>
    <row r="79" spans="2:9">
      <c r="B79" t="s">
        <v>9444</v>
      </c>
      <c r="C79" t="s">
        <v>9511</v>
      </c>
      <c r="D79" t="s">
        <v>9512</v>
      </c>
      <c r="E79" t="s">
        <v>9510</v>
      </c>
      <c r="F79" s="955">
        <v>0</v>
      </c>
      <c r="G79" s="955">
        <v>10000</v>
      </c>
      <c r="H79" s="955"/>
      <c r="I79" s="955" t="s">
        <v>9293</v>
      </c>
    </row>
    <row r="80" spans="2:9">
      <c r="B80" t="s">
        <v>9444</v>
      </c>
      <c r="C80" t="s">
        <v>9513</v>
      </c>
      <c r="D80" t="s">
        <v>9873</v>
      </c>
      <c r="E80" t="s">
        <v>9510</v>
      </c>
      <c r="F80" s="955">
        <v>0</v>
      </c>
      <c r="G80" s="955">
        <v>10000</v>
      </c>
      <c r="H80" s="955"/>
      <c r="I80" s="955" t="s">
        <v>9293</v>
      </c>
    </row>
    <row r="81" spans="2:9">
      <c r="B81" t="s">
        <v>9449</v>
      </c>
      <c r="C81" t="s">
        <v>387</v>
      </c>
      <c r="E81" t="s">
        <v>1392</v>
      </c>
      <c r="F81" s="955">
        <v>0</v>
      </c>
      <c r="G81" s="955">
        <v>3000</v>
      </c>
      <c r="H81" s="955"/>
      <c r="I81" s="955" t="s">
        <v>9293</v>
      </c>
    </row>
    <row r="82" spans="2:9">
      <c r="B82" t="s">
        <v>9449</v>
      </c>
      <c r="C82" t="s">
        <v>388</v>
      </c>
      <c r="E82" t="s">
        <v>1392</v>
      </c>
      <c r="F82" s="955">
        <v>0</v>
      </c>
      <c r="G82" s="955">
        <v>3000</v>
      </c>
      <c r="H82" s="955"/>
      <c r="I82" s="955" t="s">
        <v>9293</v>
      </c>
    </row>
    <row r="83" spans="2:9">
      <c r="B83" t="s">
        <v>9449</v>
      </c>
      <c r="C83" t="s">
        <v>389</v>
      </c>
      <c r="E83" t="s">
        <v>1392</v>
      </c>
      <c r="F83" s="955">
        <v>0</v>
      </c>
      <c r="G83" s="955">
        <v>3000</v>
      </c>
      <c r="H83" s="955"/>
      <c r="I83" s="955" t="s">
        <v>9293</v>
      </c>
    </row>
    <row r="84" spans="2:9">
      <c r="B84" t="s">
        <v>9449</v>
      </c>
      <c r="C84" t="s">
        <v>390</v>
      </c>
      <c r="E84" t="s">
        <v>1392</v>
      </c>
      <c r="F84" s="955">
        <v>0</v>
      </c>
      <c r="G84" s="955">
        <v>3000</v>
      </c>
      <c r="H84" s="955"/>
      <c r="I84" s="955" t="s">
        <v>9293</v>
      </c>
    </row>
    <row r="85" spans="2:9">
      <c r="B85" t="s">
        <v>9449</v>
      </c>
      <c r="C85" t="s">
        <v>391</v>
      </c>
      <c r="E85" t="s">
        <v>1392</v>
      </c>
      <c r="F85" s="955">
        <v>0</v>
      </c>
      <c r="G85" s="955">
        <v>3000</v>
      </c>
      <c r="H85" s="955"/>
      <c r="I85" s="955" t="s">
        <v>9293</v>
      </c>
    </row>
    <row r="86" spans="2:9">
      <c r="B86" t="s">
        <v>9449</v>
      </c>
      <c r="C86" t="s">
        <v>392</v>
      </c>
      <c r="E86" t="s">
        <v>1392</v>
      </c>
      <c r="F86" s="955">
        <v>0</v>
      </c>
      <c r="G86" s="955">
        <v>3000</v>
      </c>
      <c r="H86" s="955"/>
      <c r="I86" s="955" t="s">
        <v>9293</v>
      </c>
    </row>
    <row r="87" spans="2:9">
      <c r="B87" t="s">
        <v>9449</v>
      </c>
      <c r="C87" t="s">
        <v>393</v>
      </c>
      <c r="E87" t="s">
        <v>1392</v>
      </c>
      <c r="F87" s="955">
        <v>0</v>
      </c>
      <c r="G87" s="955">
        <v>3000</v>
      </c>
      <c r="H87" s="955"/>
      <c r="I87" s="955" t="s">
        <v>9293</v>
      </c>
    </row>
    <row r="88" spans="2:9">
      <c r="B88" t="s">
        <v>9449</v>
      </c>
      <c r="C88" t="s">
        <v>394</v>
      </c>
      <c r="E88" t="s">
        <v>1392</v>
      </c>
      <c r="F88" s="955">
        <v>0</v>
      </c>
      <c r="G88" s="955">
        <v>3000</v>
      </c>
      <c r="H88" s="955"/>
      <c r="I88" s="955" t="s">
        <v>9293</v>
      </c>
    </row>
    <row r="89" spans="2:9">
      <c r="B89" t="s">
        <v>9449</v>
      </c>
      <c r="C89" t="s">
        <v>395</v>
      </c>
      <c r="E89" t="s">
        <v>1392</v>
      </c>
      <c r="F89" s="955">
        <v>0</v>
      </c>
      <c r="G89" s="955">
        <v>3000</v>
      </c>
      <c r="H89" s="955"/>
      <c r="I89" s="955" t="s">
        <v>9293</v>
      </c>
    </row>
    <row r="90" spans="2:9">
      <c r="B90" t="s">
        <v>9451</v>
      </c>
      <c r="C90" t="s">
        <v>410</v>
      </c>
      <c r="D90" t="s">
        <v>9514</v>
      </c>
      <c r="E90" t="s">
        <v>9515</v>
      </c>
      <c r="F90" s="955">
        <v>0</v>
      </c>
      <c r="G90" s="955">
        <v>200</v>
      </c>
      <c r="H90" s="955"/>
      <c r="I90" s="955" t="s">
        <v>9293</v>
      </c>
    </row>
    <row r="91" spans="2:9">
      <c r="B91" t="s">
        <v>9451</v>
      </c>
      <c r="C91" t="s">
        <v>411</v>
      </c>
      <c r="D91" t="s">
        <v>9514</v>
      </c>
      <c r="E91" t="s">
        <v>9515</v>
      </c>
      <c r="F91" s="955">
        <v>0</v>
      </c>
      <c r="G91" s="955">
        <v>200</v>
      </c>
      <c r="H91" s="955"/>
      <c r="I91" s="955" t="s">
        <v>9293</v>
      </c>
    </row>
    <row r="92" spans="2:9">
      <c r="B92" t="s">
        <v>9451</v>
      </c>
      <c r="C92" t="s">
        <v>412</v>
      </c>
      <c r="D92" t="s">
        <v>9514</v>
      </c>
      <c r="E92" t="s">
        <v>9515</v>
      </c>
      <c r="F92" s="955">
        <v>0</v>
      </c>
      <c r="G92" s="955">
        <v>200</v>
      </c>
      <c r="H92" s="955"/>
      <c r="I92" s="955" t="s">
        <v>9293</v>
      </c>
    </row>
    <row r="93" spans="2:9">
      <c r="B93" t="s">
        <v>9451</v>
      </c>
      <c r="C93" t="s">
        <v>413</v>
      </c>
      <c r="D93" t="s">
        <v>9514</v>
      </c>
      <c r="E93" t="s">
        <v>9515</v>
      </c>
      <c r="F93" s="955">
        <v>0</v>
      </c>
      <c r="G93" s="955">
        <v>200</v>
      </c>
      <c r="H93" s="955"/>
      <c r="I93" s="955" t="s">
        <v>9293</v>
      </c>
    </row>
    <row r="94" spans="2:9">
      <c r="B94" t="s">
        <v>9451</v>
      </c>
      <c r="C94" t="s">
        <v>414</v>
      </c>
      <c r="D94" t="s">
        <v>9514</v>
      </c>
      <c r="E94" t="s">
        <v>9515</v>
      </c>
      <c r="F94" s="955">
        <v>0</v>
      </c>
      <c r="G94" s="955">
        <v>200</v>
      </c>
      <c r="H94" s="955"/>
      <c r="I94" s="955" t="s">
        <v>9293</v>
      </c>
    </row>
    <row r="95" spans="2:9">
      <c r="B95" t="s">
        <v>9451</v>
      </c>
      <c r="C95" t="s">
        <v>415</v>
      </c>
      <c r="D95" t="s">
        <v>9514</v>
      </c>
      <c r="E95" t="s">
        <v>9515</v>
      </c>
      <c r="F95" s="955">
        <v>0</v>
      </c>
      <c r="G95" s="955">
        <v>200</v>
      </c>
      <c r="H95" s="955"/>
      <c r="I95" s="955" t="s">
        <v>9293</v>
      </c>
    </row>
    <row r="96" spans="2:9">
      <c r="B96" t="s">
        <v>9451</v>
      </c>
      <c r="C96" t="s">
        <v>416</v>
      </c>
      <c r="D96" t="s">
        <v>9514</v>
      </c>
      <c r="E96" t="s">
        <v>9515</v>
      </c>
      <c r="F96" s="955">
        <v>0</v>
      </c>
      <c r="G96" s="955">
        <v>200</v>
      </c>
      <c r="H96" s="955"/>
      <c r="I96" s="955" t="s">
        <v>9293</v>
      </c>
    </row>
    <row r="97" spans="2:9">
      <c r="B97" t="s">
        <v>9451</v>
      </c>
      <c r="C97" t="s">
        <v>417</v>
      </c>
      <c r="D97" t="s">
        <v>9514</v>
      </c>
      <c r="E97" t="s">
        <v>9515</v>
      </c>
      <c r="F97" s="955">
        <v>0</v>
      </c>
      <c r="G97" s="955">
        <v>200</v>
      </c>
      <c r="H97" s="955"/>
      <c r="I97" s="955" t="s">
        <v>9293</v>
      </c>
    </row>
    <row r="98" spans="2:9">
      <c r="B98" t="s">
        <v>9451</v>
      </c>
      <c r="C98" t="s">
        <v>418</v>
      </c>
      <c r="D98" t="s">
        <v>9514</v>
      </c>
      <c r="E98" t="s">
        <v>9515</v>
      </c>
      <c r="F98" s="955">
        <v>0</v>
      </c>
      <c r="G98" s="955">
        <v>200</v>
      </c>
      <c r="H98" s="955"/>
      <c r="I98" s="955" t="s">
        <v>9293</v>
      </c>
    </row>
    <row r="99" spans="2:9">
      <c r="B99" t="s">
        <v>9451</v>
      </c>
      <c r="C99" t="s">
        <v>420</v>
      </c>
      <c r="D99" t="s">
        <v>9516</v>
      </c>
      <c r="E99" t="s">
        <v>9517</v>
      </c>
      <c r="F99" s="955">
        <v>0</v>
      </c>
      <c r="G99" s="955">
        <v>100</v>
      </c>
      <c r="H99" s="955"/>
      <c r="I99" s="955" t="s">
        <v>9293</v>
      </c>
    </row>
    <row r="100" spans="2:9">
      <c r="B100" t="s">
        <v>9451</v>
      </c>
      <c r="C100" t="s">
        <v>421</v>
      </c>
      <c r="D100" t="s">
        <v>9516</v>
      </c>
      <c r="E100" t="s">
        <v>9517</v>
      </c>
      <c r="F100" s="955">
        <v>0</v>
      </c>
      <c r="G100" s="955">
        <v>100</v>
      </c>
      <c r="H100" s="955"/>
      <c r="I100" s="955" t="s">
        <v>9293</v>
      </c>
    </row>
    <row r="101" spans="2:9">
      <c r="B101" t="s">
        <v>9451</v>
      </c>
      <c r="C101" t="s">
        <v>422</v>
      </c>
      <c r="D101" t="s">
        <v>9516</v>
      </c>
      <c r="E101" t="s">
        <v>9517</v>
      </c>
      <c r="F101" s="955">
        <v>0</v>
      </c>
      <c r="G101" s="955">
        <v>100</v>
      </c>
      <c r="H101" s="955"/>
      <c r="I101" s="955" t="s">
        <v>9293</v>
      </c>
    </row>
    <row r="102" spans="2:9">
      <c r="B102" t="s">
        <v>9451</v>
      </c>
      <c r="C102" t="s">
        <v>423</v>
      </c>
      <c r="D102" t="s">
        <v>9516</v>
      </c>
      <c r="E102" t="s">
        <v>9517</v>
      </c>
      <c r="F102" s="955">
        <v>0</v>
      </c>
      <c r="G102" s="955">
        <v>100</v>
      </c>
      <c r="H102" s="955"/>
      <c r="I102" s="955" t="s">
        <v>9293</v>
      </c>
    </row>
    <row r="103" spans="2:9">
      <c r="B103" t="s">
        <v>9451</v>
      </c>
      <c r="C103" t="s">
        <v>424</v>
      </c>
      <c r="D103" t="s">
        <v>9516</v>
      </c>
      <c r="E103" t="s">
        <v>9517</v>
      </c>
      <c r="F103" s="955">
        <v>0</v>
      </c>
      <c r="G103" s="955">
        <v>100</v>
      </c>
      <c r="H103" s="955"/>
      <c r="I103" s="955" t="s">
        <v>9293</v>
      </c>
    </row>
    <row r="104" spans="2:9">
      <c r="B104" t="s">
        <v>9451</v>
      </c>
      <c r="C104" t="s">
        <v>425</v>
      </c>
      <c r="D104" t="s">
        <v>9516</v>
      </c>
      <c r="E104" t="s">
        <v>9517</v>
      </c>
      <c r="F104" s="955">
        <v>0</v>
      </c>
      <c r="G104" s="955">
        <v>100</v>
      </c>
      <c r="H104" s="955"/>
      <c r="I104" s="955" t="s">
        <v>9293</v>
      </c>
    </row>
    <row r="105" spans="2:9">
      <c r="B105" t="s">
        <v>9451</v>
      </c>
      <c r="C105" t="s">
        <v>426</v>
      </c>
      <c r="D105" t="s">
        <v>9516</v>
      </c>
      <c r="E105" t="s">
        <v>9517</v>
      </c>
      <c r="F105" s="955">
        <v>0</v>
      </c>
      <c r="G105" s="955">
        <v>100</v>
      </c>
      <c r="H105" s="955"/>
      <c r="I105" s="955" t="s">
        <v>9293</v>
      </c>
    </row>
    <row r="106" spans="2:9">
      <c r="B106" t="s">
        <v>9451</v>
      </c>
      <c r="C106" t="s">
        <v>427</v>
      </c>
      <c r="D106" t="s">
        <v>9516</v>
      </c>
      <c r="E106" t="s">
        <v>9517</v>
      </c>
      <c r="F106" s="955">
        <v>0</v>
      </c>
      <c r="G106" s="955">
        <v>100</v>
      </c>
      <c r="H106" s="955"/>
      <c r="I106" s="955" t="s">
        <v>9293</v>
      </c>
    </row>
    <row r="107" spans="2:9">
      <c r="B107" t="s">
        <v>9451</v>
      </c>
      <c r="C107" t="s">
        <v>428</v>
      </c>
      <c r="D107" t="s">
        <v>9516</v>
      </c>
      <c r="E107" t="s">
        <v>9517</v>
      </c>
      <c r="F107" s="955">
        <v>0</v>
      </c>
      <c r="G107" s="955">
        <v>100</v>
      </c>
      <c r="H107" s="955"/>
      <c r="I107" s="955" t="s">
        <v>9293</v>
      </c>
    </row>
    <row r="108" spans="2:9">
      <c r="B108" t="s">
        <v>9451</v>
      </c>
      <c r="C108" t="s">
        <v>429</v>
      </c>
      <c r="D108" t="s">
        <v>9516</v>
      </c>
      <c r="E108" t="s">
        <v>9517</v>
      </c>
      <c r="F108" s="955">
        <v>0</v>
      </c>
      <c r="G108" s="955">
        <v>100</v>
      </c>
      <c r="H108" s="955"/>
      <c r="I108" s="955" t="s">
        <v>9293</v>
      </c>
    </row>
    <row r="109" spans="2:9">
      <c r="B109" t="s">
        <v>9451</v>
      </c>
      <c r="C109" t="s">
        <v>430</v>
      </c>
      <c r="D109" t="s">
        <v>9516</v>
      </c>
      <c r="E109" t="s">
        <v>9517</v>
      </c>
      <c r="F109" s="955">
        <v>0</v>
      </c>
      <c r="G109" s="955">
        <v>100</v>
      </c>
      <c r="H109" s="955"/>
      <c r="I109" s="955" t="s">
        <v>9293</v>
      </c>
    </row>
    <row r="110" spans="2:9">
      <c r="B110" t="s">
        <v>9451</v>
      </c>
      <c r="C110" t="s">
        <v>431</v>
      </c>
      <c r="D110" t="s">
        <v>9516</v>
      </c>
      <c r="E110" t="s">
        <v>9517</v>
      </c>
      <c r="F110" s="955">
        <v>0</v>
      </c>
      <c r="G110" s="955">
        <v>100</v>
      </c>
      <c r="H110" s="955"/>
      <c r="I110" s="955" t="s">
        <v>9293</v>
      </c>
    </row>
    <row r="111" spans="2:9">
      <c r="B111" t="s">
        <v>9451</v>
      </c>
      <c r="C111" t="s">
        <v>432</v>
      </c>
      <c r="D111" t="s">
        <v>9516</v>
      </c>
      <c r="E111" t="s">
        <v>9517</v>
      </c>
      <c r="F111" s="955">
        <v>0</v>
      </c>
      <c r="G111" s="955">
        <v>100</v>
      </c>
      <c r="H111" s="955"/>
      <c r="I111" s="955" t="s">
        <v>9293</v>
      </c>
    </row>
    <row r="112" spans="2:9">
      <c r="B112" t="s">
        <v>9455</v>
      </c>
      <c r="C112" t="s">
        <v>435</v>
      </c>
      <c r="D112" t="s">
        <v>9518</v>
      </c>
      <c r="E112" t="s">
        <v>2214</v>
      </c>
      <c r="F112" s="955">
        <v>0</v>
      </c>
      <c r="G112" s="955">
        <v>100</v>
      </c>
      <c r="H112" s="955">
        <v>92</v>
      </c>
      <c r="I112" s="955" t="s">
        <v>9293</v>
      </c>
    </row>
    <row r="113" spans="2:9">
      <c r="B113" t="s">
        <v>9455</v>
      </c>
      <c r="C113" t="s">
        <v>436</v>
      </c>
      <c r="D113" t="s">
        <v>9518</v>
      </c>
      <c r="E113" t="s">
        <v>2214</v>
      </c>
      <c r="F113" s="955">
        <v>0</v>
      </c>
      <c r="G113" s="955">
        <v>100</v>
      </c>
      <c r="H113" s="955">
        <v>90</v>
      </c>
      <c r="I113" s="955" t="s">
        <v>9293</v>
      </c>
    </row>
    <row r="114" spans="2:9">
      <c r="B114" t="s">
        <v>9455</v>
      </c>
      <c r="C114" t="s">
        <v>437</v>
      </c>
      <c r="D114" t="s">
        <v>9518</v>
      </c>
      <c r="E114" t="s">
        <v>2214</v>
      </c>
      <c r="F114" s="955">
        <v>0</v>
      </c>
      <c r="G114" s="955">
        <v>100</v>
      </c>
      <c r="H114" s="955">
        <v>90</v>
      </c>
      <c r="I114" s="955" t="s">
        <v>9293</v>
      </c>
    </row>
    <row r="115" spans="2:9">
      <c r="B115" t="s">
        <v>9455</v>
      </c>
      <c r="C115" t="s">
        <v>438</v>
      </c>
      <c r="D115" t="s">
        <v>9518</v>
      </c>
      <c r="E115" t="s">
        <v>2214</v>
      </c>
      <c r="F115" s="955">
        <v>0</v>
      </c>
      <c r="G115" s="955">
        <v>100</v>
      </c>
      <c r="H115" s="955">
        <v>90</v>
      </c>
      <c r="I115" s="955" t="s">
        <v>9293</v>
      </c>
    </row>
    <row r="116" spans="2:9">
      <c r="B116" t="s">
        <v>9455</v>
      </c>
      <c r="C116" t="s">
        <v>439</v>
      </c>
      <c r="D116" t="s">
        <v>9518</v>
      </c>
      <c r="E116" t="s">
        <v>2214</v>
      </c>
      <c r="F116" s="955">
        <v>0</v>
      </c>
      <c r="G116" s="955">
        <v>100</v>
      </c>
      <c r="H116" s="955">
        <v>92</v>
      </c>
      <c r="I116" s="955" t="s">
        <v>9293</v>
      </c>
    </row>
    <row r="117" spans="2:9">
      <c r="B117" t="s">
        <v>9455</v>
      </c>
      <c r="C117" t="s">
        <v>440</v>
      </c>
      <c r="D117" t="s">
        <v>9518</v>
      </c>
      <c r="E117" t="s">
        <v>2214</v>
      </c>
      <c r="F117" s="955">
        <v>0</v>
      </c>
      <c r="G117" s="955">
        <v>100</v>
      </c>
      <c r="H117" s="955">
        <v>92</v>
      </c>
      <c r="I117" s="955" t="s">
        <v>9293</v>
      </c>
    </row>
    <row r="118" spans="2:9">
      <c r="B118" t="s">
        <v>9455</v>
      </c>
      <c r="C118" t="s">
        <v>441</v>
      </c>
      <c r="D118" t="s">
        <v>9518</v>
      </c>
      <c r="E118" t="s">
        <v>2214</v>
      </c>
      <c r="F118" s="955">
        <v>0</v>
      </c>
      <c r="G118" s="955">
        <v>100</v>
      </c>
      <c r="H118" s="955">
        <v>92</v>
      </c>
      <c r="I118" s="955" t="s">
        <v>9293</v>
      </c>
    </row>
    <row r="119" spans="2:9">
      <c r="B119" t="s">
        <v>9455</v>
      </c>
      <c r="C119" t="s">
        <v>442</v>
      </c>
      <c r="D119" t="s">
        <v>9518</v>
      </c>
      <c r="E119" t="s">
        <v>2214</v>
      </c>
      <c r="F119" s="955">
        <v>0</v>
      </c>
      <c r="G119" s="955">
        <v>100</v>
      </c>
      <c r="H119" s="955">
        <v>92</v>
      </c>
      <c r="I119" s="955" t="s">
        <v>9293</v>
      </c>
    </row>
    <row r="120" spans="2:9">
      <c r="B120" t="s">
        <v>9455</v>
      </c>
      <c r="C120" t="s">
        <v>443</v>
      </c>
      <c r="D120" t="s">
        <v>9518</v>
      </c>
      <c r="E120" t="s">
        <v>2214</v>
      </c>
      <c r="F120" s="955">
        <v>0</v>
      </c>
      <c r="G120" s="955">
        <v>100</v>
      </c>
      <c r="H120" s="955">
        <v>65</v>
      </c>
      <c r="I120" s="955" t="s">
        <v>9293</v>
      </c>
    </row>
    <row r="121" spans="2:9">
      <c r="B121" t="s">
        <v>9455</v>
      </c>
      <c r="C121" t="s">
        <v>444</v>
      </c>
      <c r="D121" t="s">
        <v>9518</v>
      </c>
      <c r="E121" t="s">
        <v>2214</v>
      </c>
      <c r="F121" s="955">
        <v>0</v>
      </c>
      <c r="G121" s="955">
        <v>100</v>
      </c>
      <c r="H121" s="955">
        <v>92</v>
      </c>
      <c r="I121" s="955" t="s">
        <v>9293</v>
      </c>
    </row>
    <row r="122" spans="2:9">
      <c r="B122" t="s">
        <v>9455</v>
      </c>
      <c r="C122" t="s">
        <v>9519</v>
      </c>
      <c r="D122" t="s">
        <v>9518</v>
      </c>
      <c r="E122" t="s">
        <v>2214</v>
      </c>
      <c r="F122" s="955">
        <v>0</v>
      </c>
      <c r="G122" s="955">
        <v>100</v>
      </c>
      <c r="H122" s="955">
        <v>90</v>
      </c>
      <c r="I122" s="955" t="s">
        <v>9293</v>
      </c>
    </row>
    <row r="123" spans="2:9">
      <c r="B123" t="s">
        <v>9455</v>
      </c>
      <c r="C123" t="s">
        <v>445</v>
      </c>
      <c r="D123" t="s">
        <v>9518</v>
      </c>
      <c r="E123" t="s">
        <v>2214</v>
      </c>
      <c r="F123" s="955">
        <v>0</v>
      </c>
      <c r="G123" s="955">
        <v>100</v>
      </c>
      <c r="H123" s="955">
        <v>90</v>
      </c>
      <c r="I123" s="955" t="s">
        <v>9293</v>
      </c>
    </row>
    <row r="124" spans="2:9">
      <c r="B124" t="s">
        <v>9455</v>
      </c>
      <c r="C124" t="s">
        <v>446</v>
      </c>
      <c r="D124" t="s">
        <v>9518</v>
      </c>
      <c r="E124" t="s">
        <v>2214</v>
      </c>
      <c r="F124" s="955">
        <v>0</v>
      </c>
      <c r="G124" s="955">
        <v>100</v>
      </c>
      <c r="H124" s="955">
        <v>90</v>
      </c>
      <c r="I124" s="955" t="s">
        <v>9293</v>
      </c>
    </row>
    <row r="125" spans="2:9">
      <c r="B125" t="s">
        <v>9455</v>
      </c>
      <c r="C125" t="s">
        <v>447</v>
      </c>
      <c r="D125" t="s">
        <v>9518</v>
      </c>
      <c r="E125" t="s">
        <v>2214</v>
      </c>
      <c r="F125" s="955">
        <v>0</v>
      </c>
      <c r="G125" s="955">
        <v>100</v>
      </c>
      <c r="H125" s="955">
        <v>92</v>
      </c>
      <c r="I125" s="955" t="s">
        <v>9293</v>
      </c>
    </row>
    <row r="126" spans="2:9">
      <c r="B126" t="s">
        <v>9455</v>
      </c>
      <c r="C126" t="s">
        <v>448</v>
      </c>
      <c r="D126" t="s">
        <v>9518</v>
      </c>
      <c r="E126" t="s">
        <v>2214</v>
      </c>
      <c r="F126" s="955">
        <v>0</v>
      </c>
      <c r="G126" s="955">
        <v>100</v>
      </c>
      <c r="H126" s="955">
        <v>92</v>
      </c>
      <c r="I126" s="955" t="s">
        <v>9293</v>
      </c>
    </row>
    <row r="127" spans="2:9">
      <c r="B127" t="s">
        <v>9455</v>
      </c>
      <c r="C127" t="s">
        <v>449</v>
      </c>
      <c r="D127" t="s">
        <v>9518</v>
      </c>
      <c r="E127" t="s">
        <v>2214</v>
      </c>
      <c r="F127" s="955">
        <v>0</v>
      </c>
      <c r="G127" s="955">
        <v>100</v>
      </c>
      <c r="H127" s="955">
        <v>92</v>
      </c>
      <c r="I127" s="955" t="s">
        <v>9293</v>
      </c>
    </row>
    <row r="128" spans="2:9">
      <c r="B128" t="s">
        <v>9455</v>
      </c>
      <c r="C128" t="s">
        <v>450</v>
      </c>
      <c r="D128" t="s">
        <v>9518</v>
      </c>
      <c r="E128" t="s">
        <v>2214</v>
      </c>
      <c r="F128" s="955">
        <v>0</v>
      </c>
      <c r="G128" s="955">
        <v>100</v>
      </c>
      <c r="H128" s="955">
        <v>89</v>
      </c>
      <c r="I128" s="955" t="s">
        <v>9293</v>
      </c>
    </row>
    <row r="129" spans="2:9">
      <c r="B129" t="s">
        <v>9455</v>
      </c>
      <c r="C129" t="s">
        <v>451</v>
      </c>
      <c r="D129" t="s">
        <v>9518</v>
      </c>
      <c r="E129" t="s">
        <v>2214</v>
      </c>
      <c r="F129" s="955">
        <v>0</v>
      </c>
      <c r="G129" s="955">
        <v>100</v>
      </c>
      <c r="H129" s="955">
        <v>79</v>
      </c>
      <c r="I129" s="955" t="s">
        <v>9293</v>
      </c>
    </row>
    <row r="130" spans="2:9">
      <c r="B130" t="s">
        <v>9455</v>
      </c>
      <c r="C130" t="s">
        <v>452</v>
      </c>
      <c r="D130" t="s">
        <v>9518</v>
      </c>
      <c r="E130" t="s">
        <v>2214</v>
      </c>
      <c r="F130" s="955">
        <v>0</v>
      </c>
      <c r="G130" s="955">
        <v>100</v>
      </c>
      <c r="H130" s="955">
        <v>88</v>
      </c>
      <c r="I130" s="955" t="s">
        <v>9293</v>
      </c>
    </row>
  </sheetData>
  <dataValidations count="2">
    <dataValidation type="list" allowBlank="1" showInputMessage="1" showErrorMessage="1" sqref="D5:D12" xr:uid="{B2EDF830-8E20-4C0B-86F9-1B042C960E98}">
      <formula1>"Estado,Número"</formula1>
    </dataValidation>
    <dataValidation type="list" allowBlank="1" showInputMessage="1" showErrorMessage="1" sqref="I17:I130" xr:uid="{D367F267-8E66-4997-824A-E7587EA755D1}">
      <formula1>"Sí,No"</formula1>
    </dataValidation>
  </dataValidations>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Catálogo Controles — Página &amp;P de &amp;F</oddFooter>
  </headerFooter>
  <tableParts count="4">
    <tablePart r:id="rId1"/>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BA7A7-FB75-4D92-9F0E-DDA7D014A96E}">
  <sheetPr codeName="Hoja46">
    <tabColor rgb="FFD9D9D9"/>
  </sheetPr>
  <dimension ref="B2:Z158"/>
  <sheetViews>
    <sheetView topLeftCell="A64" workbookViewId="0">
      <selection activeCell="F51" sqref="F51"/>
    </sheetView>
  </sheetViews>
  <sheetFormatPr baseColWidth="10" defaultColWidth="9.140625" defaultRowHeight="15" outlineLevelRow="1"/>
  <cols>
    <col min="1" max="1" width="4.42578125" customWidth="1"/>
    <col min="2" max="2" width="11.28515625" bestFit="1" customWidth="1"/>
    <col min="3" max="3" width="30.7109375" customWidth="1"/>
    <col min="4" max="4" width="16.140625" customWidth="1"/>
  </cols>
  <sheetData>
    <row r="2" spans="2:26" ht="23.25">
      <c r="B2" s="1442" t="s">
        <v>486</v>
      </c>
      <c r="C2" s="1443"/>
      <c r="D2" s="1443"/>
      <c r="E2" s="1443"/>
      <c r="F2" s="1443"/>
      <c r="G2" s="1443"/>
      <c r="H2" s="1443"/>
      <c r="I2" s="1443"/>
      <c r="J2" s="1443"/>
      <c r="K2" s="1443"/>
      <c r="L2" s="1443"/>
      <c r="M2" s="1443"/>
      <c r="N2" s="1443"/>
      <c r="O2" s="1443"/>
      <c r="P2" s="1443"/>
      <c r="Q2" s="1443"/>
      <c r="R2" s="1443"/>
      <c r="S2" s="1443"/>
      <c r="T2" s="1443"/>
      <c r="U2" s="1443"/>
      <c r="V2" s="1443"/>
      <c r="W2" s="1443"/>
      <c r="X2" s="1443"/>
      <c r="Y2" s="1443"/>
      <c r="Z2" s="1444"/>
    </row>
    <row r="3" spans="2:26">
      <c r="B3" s="77"/>
      <c r="C3" s="77"/>
      <c r="D3" s="77"/>
      <c r="E3" s="77"/>
      <c r="F3" s="77"/>
      <c r="G3" s="77"/>
      <c r="H3" s="77"/>
      <c r="I3" s="77"/>
      <c r="J3" s="77"/>
      <c r="K3" s="77"/>
      <c r="L3" s="77"/>
      <c r="M3" s="77"/>
      <c r="N3" s="77"/>
      <c r="O3" s="77"/>
      <c r="P3" s="77"/>
      <c r="Q3" s="77"/>
      <c r="R3" s="77"/>
      <c r="S3" s="77"/>
      <c r="T3" s="77"/>
      <c r="U3" s="77"/>
      <c r="V3" s="77"/>
      <c r="W3" s="77"/>
      <c r="X3" s="77"/>
      <c r="Y3" s="77"/>
      <c r="Z3" s="77"/>
    </row>
    <row r="4" spans="2:26">
      <c r="B4" s="1445" t="s">
        <v>487</v>
      </c>
      <c r="C4" s="1446"/>
      <c r="D4" s="1447"/>
      <c r="E4" s="77"/>
      <c r="F4" s="77"/>
      <c r="G4" s="77"/>
      <c r="H4" s="77"/>
      <c r="I4" s="77"/>
      <c r="J4" s="77"/>
      <c r="K4" s="77"/>
      <c r="L4" s="77"/>
      <c r="M4" s="77"/>
      <c r="N4" s="77"/>
      <c r="O4" s="77"/>
      <c r="P4" s="77"/>
      <c r="Q4" s="77"/>
      <c r="R4" s="77"/>
      <c r="S4" s="77"/>
      <c r="T4" s="77"/>
      <c r="U4" s="77"/>
      <c r="V4" s="77"/>
      <c r="W4" s="77"/>
      <c r="X4" s="77"/>
      <c r="Y4" s="77"/>
      <c r="Z4" s="77"/>
    </row>
    <row r="5" spans="2:26">
      <c r="B5" s="1448"/>
      <c r="C5" s="1449"/>
      <c r="D5" s="1450"/>
      <c r="E5" s="77"/>
      <c r="F5" s="77"/>
      <c r="G5" s="77"/>
      <c r="H5" s="77"/>
      <c r="I5" s="77"/>
      <c r="J5" s="77"/>
      <c r="K5" s="77"/>
      <c r="L5" s="77"/>
      <c r="M5" s="77"/>
      <c r="N5" s="77"/>
      <c r="O5" s="77"/>
      <c r="P5" s="77"/>
      <c r="Q5" s="77"/>
      <c r="R5" s="77"/>
      <c r="S5" s="77"/>
      <c r="T5" s="77"/>
      <c r="U5" s="77"/>
      <c r="V5" s="77"/>
      <c r="W5" s="77"/>
      <c r="X5" s="77"/>
      <c r="Y5" s="77"/>
      <c r="Z5" s="77"/>
    </row>
    <row r="6" spans="2:26">
      <c r="B6" s="1445" t="s">
        <v>488</v>
      </c>
      <c r="C6" s="1446"/>
      <c r="D6" s="1447"/>
      <c r="E6" s="77"/>
      <c r="F6" s="77"/>
      <c r="G6" s="77"/>
      <c r="H6" s="77"/>
      <c r="I6" s="77"/>
      <c r="J6" s="77"/>
      <c r="K6" s="77"/>
      <c r="L6" s="77"/>
      <c r="M6" s="77"/>
      <c r="N6" s="77"/>
      <c r="O6" s="77"/>
      <c r="P6" s="77"/>
      <c r="Q6" s="77"/>
      <c r="R6" s="77"/>
      <c r="S6" s="77"/>
      <c r="T6" s="77"/>
      <c r="U6" s="77"/>
      <c r="V6" s="77"/>
      <c r="W6" s="77"/>
      <c r="X6" s="77"/>
      <c r="Y6" s="77"/>
      <c r="Z6" s="77"/>
    </row>
    <row r="7" spans="2:26">
      <c r="B7" s="1448"/>
      <c r="C7" s="1449"/>
      <c r="D7" s="1450"/>
      <c r="E7" s="77"/>
      <c r="F7" s="77"/>
      <c r="G7" s="77"/>
      <c r="H7" s="77"/>
      <c r="I7" s="77"/>
      <c r="J7" s="77"/>
      <c r="K7" s="77"/>
      <c r="L7" s="77"/>
      <c r="M7" s="77"/>
      <c r="N7" s="77"/>
      <c r="O7" s="77"/>
      <c r="P7" s="77"/>
      <c r="Q7" s="77"/>
      <c r="R7" s="77"/>
      <c r="S7" s="77"/>
      <c r="T7" s="77"/>
      <c r="U7" s="77"/>
      <c r="V7" s="77"/>
      <c r="W7" s="77"/>
      <c r="X7" s="77"/>
      <c r="Y7" s="77"/>
      <c r="Z7" s="77"/>
    </row>
    <row r="8" spans="2:26">
      <c r="B8" s="77"/>
      <c r="C8" s="77"/>
      <c r="D8" s="77"/>
      <c r="E8" s="77"/>
      <c r="F8" s="77"/>
      <c r="G8" s="77"/>
      <c r="H8" s="77"/>
      <c r="I8" s="77"/>
      <c r="J8" s="77"/>
      <c r="K8" s="77"/>
      <c r="L8" s="77"/>
      <c r="M8" s="77"/>
      <c r="N8" s="77"/>
      <c r="O8" s="77"/>
      <c r="P8" s="77"/>
      <c r="Q8" s="77"/>
      <c r="R8" s="77"/>
      <c r="S8" s="77"/>
      <c r="T8" s="77"/>
      <c r="U8" s="77"/>
      <c r="V8" s="77"/>
      <c r="W8" s="77"/>
      <c r="X8" s="77"/>
      <c r="Y8" s="77"/>
      <c r="Z8" s="77"/>
    </row>
    <row r="9" spans="2:26">
      <c r="B9" s="1451" t="s">
        <v>489</v>
      </c>
      <c r="C9" s="1452"/>
      <c r="D9" s="119">
        <v>89.99</v>
      </c>
      <c r="E9" s="77"/>
      <c r="F9" s="77"/>
      <c r="G9" s="77"/>
      <c r="H9" s="77"/>
      <c r="I9" s="77"/>
      <c r="J9" s="77"/>
      <c r="K9" s="77"/>
      <c r="L9" s="77"/>
      <c r="M9" s="77"/>
      <c r="N9" s="77"/>
      <c r="O9" s="77"/>
      <c r="P9" s="77"/>
      <c r="Q9" s="77"/>
      <c r="R9" s="77"/>
      <c r="S9" s="77"/>
      <c r="T9" s="77"/>
      <c r="U9" s="77"/>
      <c r="V9" s="77"/>
      <c r="W9" s="77"/>
      <c r="X9" s="77"/>
      <c r="Y9" s="77"/>
      <c r="Z9" s="77"/>
    </row>
    <row r="10" spans="2:26">
      <c r="B10" s="1451" t="s">
        <v>490</v>
      </c>
      <c r="C10" s="1452"/>
      <c r="D10" s="120">
        <v>58.75</v>
      </c>
      <c r="E10" s="77"/>
      <c r="F10" s="77"/>
      <c r="G10" s="77"/>
      <c r="H10" s="77"/>
      <c r="I10" s="77"/>
      <c r="J10" s="77"/>
      <c r="K10" s="77"/>
      <c r="L10" s="77"/>
      <c r="M10" s="77"/>
      <c r="N10" s="77"/>
      <c r="O10" s="77"/>
      <c r="P10" s="77"/>
      <c r="Q10" s="77"/>
      <c r="R10" s="77"/>
      <c r="S10" s="77"/>
      <c r="T10" s="77"/>
      <c r="U10" s="77"/>
      <c r="V10" s="77"/>
      <c r="W10" s="77"/>
      <c r="X10" s="77"/>
      <c r="Y10" s="77"/>
      <c r="Z10" s="77"/>
    </row>
    <row r="11" spans="2:26">
      <c r="B11" s="77"/>
      <c r="C11" s="77"/>
      <c r="D11" s="121"/>
      <c r="E11" s="77"/>
      <c r="F11" s="77"/>
      <c r="G11" s="77"/>
      <c r="H11" s="77"/>
      <c r="I11" s="77"/>
      <c r="J11" s="77"/>
      <c r="K11" s="77"/>
      <c r="L11" s="77"/>
      <c r="M11" s="77"/>
      <c r="N11" s="77"/>
      <c r="O11" s="77"/>
      <c r="P11" s="77"/>
      <c r="Q11" s="77"/>
      <c r="R11" s="77"/>
      <c r="S11" s="77"/>
      <c r="T11" s="169"/>
      <c r="U11" s="77"/>
      <c r="V11" s="77"/>
      <c r="W11" s="77"/>
      <c r="X11" s="77"/>
      <c r="Y11" s="77"/>
      <c r="Z11" s="77"/>
    </row>
    <row r="12" spans="2:26">
      <c r="B12" s="1451" t="s">
        <v>491</v>
      </c>
      <c r="C12" s="1452"/>
      <c r="D12" s="119">
        <v>21.76</v>
      </c>
      <c r="E12" s="77"/>
      <c r="F12" s="77"/>
      <c r="G12" s="77"/>
      <c r="H12" s="77"/>
      <c r="I12" s="77"/>
      <c r="J12" s="77"/>
      <c r="K12" s="77"/>
      <c r="L12" s="77"/>
      <c r="M12" s="77"/>
      <c r="N12" s="77"/>
      <c r="O12" s="77"/>
      <c r="P12" s="77"/>
      <c r="Q12" s="77"/>
      <c r="R12" s="77"/>
      <c r="S12" s="77"/>
      <c r="T12" s="77"/>
      <c r="U12" s="77"/>
      <c r="V12" s="77"/>
      <c r="W12" s="77"/>
      <c r="X12" s="77"/>
      <c r="Y12" s="77"/>
      <c r="Z12" s="77"/>
    </row>
    <row r="13" spans="2:26">
      <c r="B13" s="1451" t="s">
        <v>492</v>
      </c>
      <c r="C13" s="1452"/>
      <c r="D13" s="120">
        <v>12.7</v>
      </c>
      <c r="E13" s="77"/>
      <c r="F13" s="77"/>
      <c r="G13" s="77"/>
      <c r="H13" s="77"/>
      <c r="I13" s="77"/>
      <c r="J13" s="77"/>
      <c r="K13" s="77"/>
      <c r="L13" s="77"/>
      <c r="M13" s="77"/>
      <c r="N13" s="77"/>
      <c r="O13" s="77"/>
      <c r="P13" s="77"/>
      <c r="Q13" s="77"/>
      <c r="R13" s="77"/>
      <c r="S13" s="77"/>
      <c r="T13" s="77"/>
      <c r="U13" s="77"/>
      <c r="V13" s="77"/>
      <c r="W13" s="77"/>
      <c r="X13" s="77"/>
      <c r="Y13" s="77"/>
      <c r="Z13" s="77"/>
    </row>
    <row r="14" spans="2:26">
      <c r="B14" s="77"/>
      <c r="C14" s="118" t="s">
        <v>36</v>
      </c>
      <c r="D14" s="121"/>
      <c r="E14" s="77"/>
      <c r="F14" s="77"/>
      <c r="G14" s="77"/>
      <c r="H14" s="77"/>
      <c r="I14" s="77"/>
      <c r="J14" s="77"/>
      <c r="K14" s="77"/>
      <c r="L14" s="77"/>
      <c r="M14" s="77"/>
      <c r="N14" s="77"/>
      <c r="O14" s="77"/>
      <c r="P14" s="77"/>
      <c r="Q14" s="77"/>
      <c r="R14" s="77"/>
      <c r="S14" s="77"/>
      <c r="T14" s="77"/>
      <c r="U14" s="77"/>
      <c r="V14" s="77"/>
      <c r="W14" s="77"/>
      <c r="X14" s="77"/>
      <c r="Y14" s="77"/>
      <c r="Z14" s="77"/>
    </row>
    <row r="15" spans="2:26">
      <c r="B15" s="1451" t="s">
        <v>493</v>
      </c>
      <c r="C15" s="1452"/>
      <c r="D15" s="119">
        <v>120.65</v>
      </c>
      <c r="E15" s="77"/>
      <c r="F15" s="77"/>
      <c r="G15" s="77"/>
      <c r="H15" s="77"/>
      <c r="I15" s="77"/>
      <c r="J15" s="77"/>
      <c r="K15" s="77"/>
      <c r="L15" s="77"/>
      <c r="M15" s="77"/>
      <c r="N15" s="77"/>
      <c r="O15" s="77"/>
      <c r="P15" s="77"/>
      <c r="Q15" s="77"/>
      <c r="R15" s="77"/>
      <c r="S15" s="77"/>
      <c r="T15" s="77"/>
      <c r="U15" s="77"/>
      <c r="V15" s="77"/>
      <c r="W15" s="77"/>
      <c r="X15" s="77"/>
      <c r="Y15" s="77"/>
      <c r="Z15" s="77"/>
    </row>
    <row r="16" spans="2:26">
      <c r="B16" s="1451" t="s">
        <v>494</v>
      </c>
      <c r="C16" s="1452"/>
      <c r="D16" s="120">
        <v>20.638000000000002</v>
      </c>
      <c r="E16" s="77"/>
      <c r="F16" s="77"/>
      <c r="G16" s="77"/>
      <c r="H16" s="77"/>
      <c r="I16" s="77"/>
      <c r="J16" s="77"/>
      <c r="K16" s="77"/>
      <c r="L16" s="77"/>
      <c r="M16" s="77"/>
      <c r="N16" s="77"/>
      <c r="O16" s="77"/>
      <c r="P16" s="77"/>
      <c r="Q16" s="77"/>
      <c r="R16" s="77"/>
      <c r="S16" s="77"/>
      <c r="T16" s="77"/>
      <c r="U16" s="77"/>
      <c r="V16" s="77"/>
      <c r="W16" s="77"/>
      <c r="X16" s="77"/>
      <c r="Y16" s="77"/>
      <c r="Z16" s="77"/>
    </row>
    <row r="17" spans="2:26">
      <c r="B17" s="77"/>
      <c r="C17" s="77"/>
      <c r="D17" s="77"/>
      <c r="E17" s="77"/>
      <c r="F17" s="77"/>
      <c r="G17" s="77"/>
      <c r="H17" s="77"/>
      <c r="I17" s="77"/>
      <c r="J17" s="77"/>
      <c r="K17" s="77"/>
      <c r="L17" s="77"/>
      <c r="M17" s="77"/>
      <c r="N17" s="77"/>
      <c r="O17" s="77"/>
      <c r="P17" s="77"/>
      <c r="Q17" s="77"/>
      <c r="R17" s="77"/>
      <c r="S17" s="77"/>
      <c r="T17" s="77"/>
      <c r="U17" s="77"/>
      <c r="V17" s="77"/>
      <c r="W17" s="77"/>
      <c r="X17" s="77"/>
      <c r="Y17" s="77"/>
      <c r="Z17" s="77"/>
    </row>
    <row r="18" spans="2:26" ht="24">
      <c r="B18" s="1463" t="s">
        <v>495</v>
      </c>
      <c r="C18" s="1464"/>
      <c r="D18" s="1464"/>
      <c r="E18" s="1464"/>
      <c r="F18" s="1464"/>
      <c r="G18" s="1464"/>
      <c r="H18" s="1464"/>
      <c r="I18" s="1464"/>
      <c r="J18" s="1464"/>
      <c r="K18" s="1464"/>
      <c r="L18" s="1464"/>
      <c r="M18" s="1464"/>
      <c r="N18" s="1464"/>
      <c r="O18" s="1464"/>
      <c r="P18" s="1464"/>
      <c r="Q18" s="1464"/>
      <c r="R18" s="1464"/>
      <c r="S18" s="1464"/>
      <c r="T18" s="1464"/>
      <c r="U18" s="1464"/>
      <c r="V18" s="1464"/>
      <c r="W18" s="1464"/>
      <c r="X18" s="1464"/>
      <c r="Y18" s="1464"/>
      <c r="Z18" s="1465"/>
    </row>
    <row r="19" spans="2:26" outlineLevel="1">
      <c r="B19" s="1466" t="s">
        <v>496</v>
      </c>
      <c r="C19" s="1468" t="s">
        <v>497</v>
      </c>
      <c r="D19" s="1469"/>
      <c r="E19" s="1453" t="s">
        <v>498</v>
      </c>
      <c r="F19" s="1453"/>
      <c r="G19" s="1453"/>
      <c r="H19" s="1453"/>
      <c r="I19" s="1453"/>
      <c r="J19" s="1453"/>
      <c r="K19" s="1453"/>
      <c r="L19" s="1453"/>
      <c r="M19" s="1453"/>
      <c r="N19" s="1472"/>
      <c r="O19" s="1473" t="s">
        <v>499</v>
      </c>
      <c r="P19" s="1474"/>
      <c r="Q19" s="1479" t="s">
        <v>500</v>
      </c>
      <c r="R19" s="1480"/>
      <c r="S19" s="1480"/>
      <c r="T19" s="1480"/>
      <c r="U19" s="1480"/>
      <c r="V19" s="1480"/>
      <c r="W19" s="1480"/>
      <c r="X19" s="1480"/>
      <c r="Y19" s="1480"/>
      <c r="Z19" s="1481"/>
    </row>
    <row r="20" spans="2:26" outlineLevel="1">
      <c r="B20" s="1466"/>
      <c r="C20" s="1470"/>
      <c r="D20" s="1471"/>
      <c r="E20" s="1453">
        <v>161</v>
      </c>
      <c r="F20" s="1454"/>
      <c r="G20" s="1453">
        <v>162</v>
      </c>
      <c r="H20" s="1454"/>
      <c r="I20" s="1453">
        <v>163</v>
      </c>
      <c r="J20" s="1454"/>
      <c r="K20" s="1453">
        <v>164</v>
      </c>
      <c r="L20" s="1454"/>
      <c r="M20" s="1453" t="s">
        <v>501</v>
      </c>
      <c r="N20" s="1454"/>
      <c r="O20" s="1475"/>
      <c r="P20" s="1476"/>
      <c r="Q20" s="1482"/>
      <c r="R20" s="1483"/>
      <c r="S20" s="1483"/>
      <c r="T20" s="1483"/>
      <c r="U20" s="1483"/>
      <c r="V20" s="1483"/>
      <c r="W20" s="1483"/>
      <c r="X20" s="1483"/>
      <c r="Y20" s="1483"/>
      <c r="Z20" s="1484"/>
    </row>
    <row r="21" spans="2:26" outlineLevel="1">
      <c r="B21" s="1466"/>
      <c r="C21" s="124" t="s">
        <v>502</v>
      </c>
      <c r="D21" s="125">
        <v>46174</v>
      </c>
      <c r="E21" s="122" t="s">
        <v>503</v>
      </c>
      <c r="F21" s="122" t="s">
        <v>504</v>
      </c>
      <c r="G21" s="122" t="s">
        <v>503</v>
      </c>
      <c r="H21" s="122" t="s">
        <v>504</v>
      </c>
      <c r="I21" s="122" t="s">
        <v>503</v>
      </c>
      <c r="J21" s="122" t="s">
        <v>504</v>
      </c>
      <c r="K21" s="122" t="s">
        <v>503</v>
      </c>
      <c r="L21" s="122" t="s">
        <v>504</v>
      </c>
      <c r="M21" s="122" t="s">
        <v>503</v>
      </c>
      <c r="N21" s="122" t="s">
        <v>504</v>
      </c>
      <c r="O21" s="1475"/>
      <c r="P21" s="1476"/>
      <c r="Q21" s="1485"/>
      <c r="R21" s="1486"/>
      <c r="S21" s="1486"/>
      <c r="T21" s="1486"/>
      <c r="U21" s="1486"/>
      <c r="V21" s="1486"/>
      <c r="W21" s="1486"/>
      <c r="X21" s="1486"/>
      <c r="Y21" s="1486"/>
      <c r="Z21" s="1487"/>
    </row>
    <row r="22" spans="2:26" outlineLevel="1">
      <c r="B22" s="1466"/>
      <c r="C22" s="1455" t="s">
        <v>505</v>
      </c>
      <c r="D22" s="1456"/>
      <c r="E22" s="122">
        <v>90</v>
      </c>
      <c r="F22" s="123">
        <v>5.0000000000000001E-4</v>
      </c>
      <c r="G22" s="122">
        <v>90.1</v>
      </c>
      <c r="H22" s="123">
        <v>5.1000000000000004E-3</v>
      </c>
      <c r="I22" s="122">
        <v>90</v>
      </c>
      <c r="J22" s="123">
        <v>5.0000000000000001E-4</v>
      </c>
      <c r="K22" s="122">
        <v>90.2</v>
      </c>
      <c r="L22" s="123">
        <v>9.7000000000000003E-3</v>
      </c>
      <c r="M22" s="122">
        <v>90.2</v>
      </c>
      <c r="N22" s="123">
        <v>9.7000000000000003E-3</v>
      </c>
      <c r="O22" s="1475"/>
      <c r="P22" s="1476"/>
      <c r="Q22" s="1457" t="s">
        <v>506</v>
      </c>
      <c r="R22" s="1458"/>
      <c r="S22" s="1458"/>
      <c r="T22" s="1458"/>
      <c r="U22" s="1458"/>
      <c r="V22" s="1458"/>
      <c r="W22" s="1458"/>
      <c r="X22" s="1458"/>
      <c r="Y22" s="1458"/>
      <c r="Z22" s="1459"/>
    </row>
    <row r="23" spans="2:26" outlineLevel="1">
      <c r="B23" s="1466"/>
      <c r="C23" s="1455" t="s">
        <v>507</v>
      </c>
      <c r="D23" s="1456"/>
      <c r="E23" s="122">
        <v>58.8</v>
      </c>
      <c r="F23" s="123">
        <v>3.8999999999999998E-3</v>
      </c>
      <c r="G23" s="122">
        <v>58.8</v>
      </c>
      <c r="H23" s="123">
        <v>3.8999999999999998E-3</v>
      </c>
      <c r="I23" s="122">
        <v>59</v>
      </c>
      <c r="J23" s="123">
        <v>1.9699999999999999E-2</v>
      </c>
      <c r="K23" s="122">
        <v>58.8</v>
      </c>
      <c r="L23" s="123">
        <v>3.8999999999999998E-3</v>
      </c>
      <c r="M23" s="122">
        <v>59</v>
      </c>
      <c r="N23" s="123">
        <v>1.9699999999999999E-2</v>
      </c>
      <c r="O23" s="1475"/>
      <c r="P23" s="1476"/>
      <c r="Q23" s="1457"/>
      <c r="R23" s="1458"/>
      <c r="S23" s="1458"/>
      <c r="T23" s="1458"/>
      <c r="U23" s="1458"/>
      <c r="V23" s="1458"/>
      <c r="W23" s="1458"/>
      <c r="X23" s="1458"/>
      <c r="Y23" s="1458"/>
      <c r="Z23" s="1459"/>
    </row>
    <row r="24" spans="2:26" outlineLevel="1">
      <c r="B24" s="1467"/>
      <c r="C24" s="1455" t="s">
        <v>508</v>
      </c>
      <c r="D24" s="1456"/>
      <c r="E24" s="122">
        <v>121</v>
      </c>
      <c r="F24" s="123">
        <v>1.7000000000000001E-2</v>
      </c>
      <c r="G24" s="122">
        <v>120.8</v>
      </c>
      <c r="H24" s="123">
        <v>7.3000000000000001E-3</v>
      </c>
      <c r="I24" s="122">
        <v>122</v>
      </c>
      <c r="J24" s="123">
        <v>6.54E-2</v>
      </c>
      <c r="K24" s="122">
        <v>122</v>
      </c>
      <c r="L24" s="123">
        <v>6.54E-2</v>
      </c>
      <c r="M24" s="122">
        <v>123.8</v>
      </c>
      <c r="N24" s="123">
        <v>0.15260000000000001</v>
      </c>
      <c r="O24" s="1477"/>
      <c r="P24" s="1478"/>
      <c r="Q24" s="1460"/>
      <c r="R24" s="1461"/>
      <c r="S24" s="1461"/>
      <c r="T24" s="1461"/>
      <c r="U24" s="1461"/>
      <c r="V24" s="1461"/>
      <c r="W24" s="1461"/>
      <c r="X24" s="1461"/>
      <c r="Y24" s="1461"/>
      <c r="Z24" s="1462"/>
    </row>
    <row r="25" spans="2:26" ht="8.25" customHeight="1" outlineLevel="1">
      <c r="B25" s="1488" t="s">
        <v>36</v>
      </c>
      <c r="C25" s="1488"/>
      <c r="D25" s="1488"/>
      <c r="E25" s="1488"/>
      <c r="F25" s="1488"/>
      <c r="G25" s="1488"/>
      <c r="H25" s="1488"/>
      <c r="I25" s="1488"/>
      <c r="J25" s="1488"/>
      <c r="K25" s="1488"/>
      <c r="L25" s="1488"/>
      <c r="M25" s="1488"/>
      <c r="N25" s="1488"/>
      <c r="O25" s="1488"/>
      <c r="P25" s="1488"/>
      <c r="Q25" s="1488"/>
      <c r="R25" s="1488"/>
      <c r="S25" s="1488"/>
      <c r="T25" s="1488"/>
      <c r="U25" s="1488"/>
      <c r="V25" s="1488"/>
      <c r="W25" s="1488"/>
      <c r="X25" s="1488"/>
      <c r="Y25" s="1488"/>
      <c r="Z25" s="1488"/>
    </row>
    <row r="26" spans="2:26" outlineLevel="1">
      <c r="B26" s="1466" t="s">
        <v>509</v>
      </c>
      <c r="C26" s="1468" t="s">
        <v>497</v>
      </c>
      <c r="D26" s="1474"/>
      <c r="E26" s="1453" t="s">
        <v>510</v>
      </c>
      <c r="F26" s="1453"/>
      <c r="G26" s="1453"/>
      <c r="H26" s="1453"/>
      <c r="I26" s="1453"/>
      <c r="J26" s="1453"/>
      <c r="K26" s="1453"/>
      <c r="L26" s="1472"/>
      <c r="M26" s="1473" t="s">
        <v>499</v>
      </c>
      <c r="N26" s="1474"/>
      <c r="O26" s="1479" t="s">
        <v>511</v>
      </c>
      <c r="P26" s="1480"/>
      <c r="Q26" s="1480"/>
      <c r="R26" s="1480"/>
      <c r="S26" s="1480"/>
      <c r="T26" s="1480"/>
      <c r="U26" s="1480"/>
      <c r="V26" s="1480"/>
      <c r="W26" s="1480"/>
      <c r="X26" s="1480"/>
      <c r="Y26" s="1480"/>
      <c r="Z26" s="1481"/>
    </row>
    <row r="27" spans="2:26" outlineLevel="1">
      <c r="B27" s="1466"/>
      <c r="C27" s="1489"/>
      <c r="D27" s="1478"/>
      <c r="E27" s="1453">
        <v>831</v>
      </c>
      <c r="F27" s="1454"/>
      <c r="G27" s="1453">
        <v>832</v>
      </c>
      <c r="H27" s="1454"/>
      <c r="I27" s="1453">
        <v>833</v>
      </c>
      <c r="J27" s="1454"/>
      <c r="K27" s="1453" t="s">
        <v>512</v>
      </c>
      <c r="L27" s="1454"/>
      <c r="M27" s="1475"/>
      <c r="N27" s="1476"/>
      <c r="O27" s="1482"/>
      <c r="P27" s="1483"/>
      <c r="Q27" s="1483"/>
      <c r="R27" s="1483"/>
      <c r="S27" s="1483"/>
      <c r="T27" s="1483"/>
      <c r="U27" s="1483"/>
      <c r="V27" s="1483"/>
      <c r="W27" s="1483"/>
      <c r="X27" s="1483"/>
      <c r="Y27" s="1483"/>
      <c r="Z27" s="1484"/>
    </row>
    <row r="28" spans="2:26" outlineLevel="1">
      <c r="B28" s="1466"/>
      <c r="C28" s="124" t="s">
        <v>502</v>
      </c>
      <c r="D28" s="126" t="s">
        <v>513</v>
      </c>
      <c r="E28" s="122" t="s">
        <v>503</v>
      </c>
      <c r="F28" s="122" t="s">
        <v>504</v>
      </c>
      <c r="G28" s="122" t="s">
        <v>503</v>
      </c>
      <c r="H28" s="122" t="s">
        <v>504</v>
      </c>
      <c r="I28" s="122" t="s">
        <v>503</v>
      </c>
      <c r="J28" s="122" t="s">
        <v>504</v>
      </c>
      <c r="K28" s="122" t="s">
        <v>503</v>
      </c>
      <c r="L28" s="122" t="s">
        <v>504</v>
      </c>
      <c r="M28" s="1475"/>
      <c r="N28" s="1476"/>
      <c r="O28" s="1485"/>
      <c r="P28" s="1486"/>
      <c r="Q28" s="1486"/>
      <c r="R28" s="1486"/>
      <c r="S28" s="1486"/>
      <c r="T28" s="1486"/>
      <c r="U28" s="1486"/>
      <c r="V28" s="1486"/>
      <c r="W28" s="1486"/>
      <c r="X28" s="1486"/>
      <c r="Y28" s="1486"/>
      <c r="Z28" s="1487"/>
    </row>
    <row r="29" spans="2:26" outlineLevel="1">
      <c r="B29" s="1466"/>
      <c r="C29" s="1455" t="s">
        <v>505</v>
      </c>
      <c r="D29" s="1456"/>
      <c r="E29" s="122" t="s">
        <v>36</v>
      </c>
      <c r="F29" s="123">
        <v>-4.1356000000000002</v>
      </c>
      <c r="G29" s="122" t="s">
        <v>36</v>
      </c>
      <c r="H29" s="123">
        <v>-4.1356000000000002</v>
      </c>
      <c r="I29" s="122" t="s">
        <v>36</v>
      </c>
      <c r="J29" s="123">
        <v>-4.1356000000000002</v>
      </c>
      <c r="K29" s="122" t="s">
        <v>36</v>
      </c>
      <c r="L29" s="122" t="s">
        <v>36</v>
      </c>
      <c r="M29" s="1475"/>
      <c r="N29" s="1476"/>
      <c r="O29" s="1457" t="s">
        <v>514</v>
      </c>
      <c r="P29" s="1458"/>
      <c r="Q29" s="1458"/>
      <c r="R29" s="1458"/>
      <c r="S29" s="1458"/>
      <c r="T29" s="1458"/>
      <c r="U29" s="1458"/>
      <c r="V29" s="1458"/>
      <c r="W29" s="1458"/>
      <c r="X29" s="1458"/>
      <c r="Y29" s="1458"/>
      <c r="Z29" s="1459"/>
    </row>
    <row r="30" spans="2:26" outlineLevel="1">
      <c r="B30" s="1466"/>
      <c r="C30" s="1455" t="s">
        <v>507</v>
      </c>
      <c r="D30" s="1456"/>
      <c r="E30" s="122" t="s">
        <v>36</v>
      </c>
      <c r="F30" s="123">
        <v>-4.6260000000000003</v>
      </c>
      <c r="G30" s="122" t="s">
        <v>36</v>
      </c>
      <c r="H30" s="123">
        <v>-4.6260000000000003</v>
      </c>
      <c r="I30" s="122" t="s">
        <v>36</v>
      </c>
      <c r="J30" s="123">
        <v>-4.6260000000000003</v>
      </c>
      <c r="K30" s="122" t="s">
        <v>36</v>
      </c>
      <c r="L30" s="122" t="s">
        <v>36</v>
      </c>
      <c r="M30" s="1475"/>
      <c r="N30" s="1476"/>
      <c r="O30" s="1457"/>
      <c r="P30" s="1458"/>
      <c r="Q30" s="1458"/>
      <c r="R30" s="1458"/>
      <c r="S30" s="1458"/>
      <c r="T30" s="1458"/>
      <c r="U30" s="1458"/>
      <c r="V30" s="1458"/>
      <c r="W30" s="1458"/>
      <c r="X30" s="1458"/>
      <c r="Y30" s="1458"/>
      <c r="Z30" s="1459"/>
    </row>
    <row r="31" spans="2:26" outlineLevel="1">
      <c r="B31" s="1467"/>
      <c r="C31" s="1455" t="s">
        <v>508</v>
      </c>
      <c r="D31" s="1456"/>
      <c r="E31" s="122" t="s">
        <v>36</v>
      </c>
      <c r="F31" s="123">
        <v>-5.8461999999999996</v>
      </c>
      <c r="G31" s="122" t="s">
        <v>36</v>
      </c>
      <c r="H31" s="123">
        <v>-5.8461999999999996</v>
      </c>
      <c r="I31" s="122" t="s">
        <v>36</v>
      </c>
      <c r="J31" s="123">
        <v>-5.8461999999999996</v>
      </c>
      <c r="K31" s="122" t="s">
        <v>36</v>
      </c>
      <c r="L31" s="122" t="s">
        <v>36</v>
      </c>
      <c r="M31" s="1477"/>
      <c r="N31" s="1478"/>
      <c r="O31" s="1460"/>
      <c r="P31" s="1461"/>
      <c r="Q31" s="1461"/>
      <c r="R31" s="1461"/>
      <c r="S31" s="1461"/>
      <c r="T31" s="1461"/>
      <c r="U31" s="1461"/>
      <c r="V31" s="1461"/>
      <c r="W31" s="1461"/>
      <c r="X31" s="1461"/>
      <c r="Y31" s="1461"/>
      <c r="Z31" s="1462"/>
    </row>
    <row r="32" spans="2:26" ht="8.25" customHeight="1" outlineLevel="1">
      <c r="B32" s="1488" t="s">
        <v>36</v>
      </c>
      <c r="C32" s="1488"/>
      <c r="D32" s="1488"/>
      <c r="E32" s="1488"/>
      <c r="F32" s="1488"/>
      <c r="G32" s="1488"/>
      <c r="H32" s="1488"/>
      <c r="I32" s="1488"/>
      <c r="J32" s="1488"/>
      <c r="K32" s="1488"/>
      <c r="L32" s="1488"/>
      <c r="M32" s="1488"/>
      <c r="N32" s="1488"/>
      <c r="O32" s="1488"/>
      <c r="P32" s="1488"/>
      <c r="Q32" s="1488"/>
      <c r="R32" s="1488"/>
      <c r="S32" s="1488"/>
      <c r="T32" s="1488"/>
      <c r="U32" s="1488"/>
      <c r="V32" s="1488"/>
      <c r="W32" s="1488"/>
      <c r="X32" s="1488"/>
      <c r="Y32" s="1488"/>
      <c r="Z32" s="1488"/>
    </row>
    <row r="33" spans="2:26" outlineLevel="1">
      <c r="B33" s="1466" t="s">
        <v>515</v>
      </c>
      <c r="C33" s="1468" t="s">
        <v>497</v>
      </c>
      <c r="D33" s="1474"/>
      <c r="E33" s="1453" t="s">
        <v>516</v>
      </c>
      <c r="F33" s="1453"/>
      <c r="G33" s="1453"/>
      <c r="H33" s="1453"/>
      <c r="I33" s="1453"/>
      <c r="J33" s="1453"/>
      <c r="K33" s="1453"/>
      <c r="L33" s="1472"/>
      <c r="M33" s="1473" t="s">
        <v>499</v>
      </c>
      <c r="N33" s="1474"/>
      <c r="O33" s="1479" t="s">
        <v>517</v>
      </c>
      <c r="P33" s="1480"/>
      <c r="Q33" s="1480"/>
      <c r="R33" s="1480"/>
      <c r="S33" s="1480"/>
      <c r="T33" s="1480"/>
      <c r="U33" s="1480"/>
      <c r="V33" s="1480"/>
      <c r="W33" s="1480"/>
      <c r="X33" s="1480"/>
      <c r="Y33" s="1480"/>
      <c r="Z33" s="1481"/>
    </row>
    <row r="34" spans="2:26" outlineLevel="1">
      <c r="B34" s="1466"/>
      <c r="C34" s="1489"/>
      <c r="D34" s="1478"/>
      <c r="E34" s="1453">
        <v>153</v>
      </c>
      <c r="F34" s="1454"/>
      <c r="G34" s="1453">
        <v>154</v>
      </c>
      <c r="H34" s="1454"/>
      <c r="I34" s="1453">
        <v>155</v>
      </c>
      <c r="J34" s="1454"/>
      <c r="K34" s="1453" t="s">
        <v>512</v>
      </c>
      <c r="L34" s="1454"/>
      <c r="M34" s="1475"/>
      <c r="N34" s="1476"/>
      <c r="O34" s="1482"/>
      <c r="P34" s="1483"/>
      <c r="Q34" s="1483"/>
      <c r="R34" s="1483"/>
      <c r="S34" s="1483"/>
      <c r="T34" s="1483"/>
      <c r="U34" s="1483"/>
      <c r="V34" s="1483"/>
      <c r="W34" s="1483"/>
      <c r="X34" s="1483"/>
      <c r="Y34" s="1483"/>
      <c r="Z34" s="1484"/>
    </row>
    <row r="35" spans="2:26" outlineLevel="1">
      <c r="B35" s="1466"/>
      <c r="C35" s="124" t="s">
        <v>502</v>
      </c>
      <c r="D35" s="126" t="s">
        <v>518</v>
      </c>
      <c r="E35" s="122" t="s">
        <v>503</v>
      </c>
      <c r="F35" s="122" t="s">
        <v>504</v>
      </c>
      <c r="G35" s="122" t="s">
        <v>503</v>
      </c>
      <c r="H35" s="122" t="s">
        <v>504</v>
      </c>
      <c r="I35" s="122" t="s">
        <v>503</v>
      </c>
      <c r="J35" s="122" t="s">
        <v>504</v>
      </c>
      <c r="K35" s="122" t="s">
        <v>503</v>
      </c>
      <c r="L35" s="122" t="s">
        <v>504</v>
      </c>
      <c r="M35" s="1475"/>
      <c r="N35" s="1476"/>
      <c r="O35" s="1485"/>
      <c r="P35" s="1486"/>
      <c r="Q35" s="1486"/>
      <c r="R35" s="1486"/>
      <c r="S35" s="1486"/>
      <c r="T35" s="1486"/>
      <c r="U35" s="1486"/>
      <c r="V35" s="1486"/>
      <c r="W35" s="1486"/>
      <c r="X35" s="1486"/>
      <c r="Y35" s="1486"/>
      <c r="Z35" s="1487"/>
    </row>
    <row r="36" spans="2:26" outlineLevel="1">
      <c r="B36" s="1466"/>
      <c r="C36" s="1455" t="s">
        <v>505</v>
      </c>
      <c r="D36" s="1456"/>
      <c r="E36" s="122">
        <v>90.1</v>
      </c>
      <c r="F36" s="123">
        <v>5.1000000000000004E-3</v>
      </c>
      <c r="G36" s="122">
        <v>90</v>
      </c>
      <c r="H36" s="123">
        <v>5.0000000000000001E-4</v>
      </c>
      <c r="I36" s="122">
        <v>90</v>
      </c>
      <c r="J36" s="123">
        <v>5.0000000000000001E-4</v>
      </c>
      <c r="K36" s="122" t="s">
        <v>36</v>
      </c>
      <c r="L36" s="122" t="s">
        <v>36</v>
      </c>
      <c r="M36" s="1475"/>
      <c r="N36" s="1476"/>
      <c r="O36" s="1490" t="s">
        <v>519</v>
      </c>
      <c r="P36" s="1491"/>
      <c r="Q36" s="1491"/>
      <c r="R36" s="1491"/>
      <c r="S36" s="1491"/>
      <c r="T36" s="1491"/>
      <c r="U36" s="1491"/>
      <c r="V36" s="1491"/>
      <c r="W36" s="1491"/>
      <c r="X36" s="1491"/>
      <c r="Y36" s="1491"/>
      <c r="Z36" s="1492"/>
    </row>
    <row r="37" spans="2:26" outlineLevel="1">
      <c r="B37" s="1466"/>
      <c r="C37" s="1455" t="s">
        <v>507</v>
      </c>
      <c r="D37" s="1456"/>
      <c r="E37" s="122">
        <v>58.9</v>
      </c>
      <c r="F37" s="123">
        <v>1.18E-2</v>
      </c>
      <c r="G37" s="122">
        <v>58.8</v>
      </c>
      <c r="H37" s="123">
        <v>3.8999999999999998E-3</v>
      </c>
      <c r="I37" s="122">
        <v>59</v>
      </c>
      <c r="J37" s="123">
        <v>1.9699999999999999E-2</v>
      </c>
      <c r="K37" s="122" t="s">
        <v>36</v>
      </c>
      <c r="L37" s="122" t="s">
        <v>36</v>
      </c>
      <c r="M37" s="1475"/>
      <c r="N37" s="1476"/>
      <c r="O37" s="1457"/>
      <c r="P37" s="1458"/>
      <c r="Q37" s="1458"/>
      <c r="R37" s="1458"/>
      <c r="S37" s="1458"/>
      <c r="T37" s="1458"/>
      <c r="U37" s="1458"/>
      <c r="V37" s="1458"/>
      <c r="W37" s="1458"/>
      <c r="X37" s="1458"/>
      <c r="Y37" s="1458"/>
      <c r="Z37" s="1459"/>
    </row>
    <row r="38" spans="2:26" outlineLevel="1">
      <c r="B38" s="1467"/>
      <c r="C38" s="1455" t="s">
        <v>508</v>
      </c>
      <c r="D38" s="1456"/>
      <c r="E38" s="122">
        <v>120.8</v>
      </c>
      <c r="F38" s="123">
        <v>7.3000000000000001E-3</v>
      </c>
      <c r="G38" s="122">
        <v>123.8</v>
      </c>
      <c r="H38" s="123">
        <v>0.15260000000000001</v>
      </c>
      <c r="I38" s="122">
        <v>124</v>
      </c>
      <c r="J38" s="123">
        <v>0.1623</v>
      </c>
      <c r="K38" s="122" t="s">
        <v>36</v>
      </c>
      <c r="L38" s="122" t="s">
        <v>36</v>
      </c>
      <c r="M38" s="1477"/>
      <c r="N38" s="1478"/>
      <c r="O38" s="1460"/>
      <c r="P38" s="1461"/>
      <c r="Q38" s="1461"/>
      <c r="R38" s="1461"/>
      <c r="S38" s="1461"/>
      <c r="T38" s="1461"/>
      <c r="U38" s="1461"/>
      <c r="V38" s="1461"/>
      <c r="W38" s="1461"/>
      <c r="X38" s="1461"/>
      <c r="Y38" s="1461"/>
      <c r="Z38" s="1462"/>
    </row>
    <row r="39" spans="2:26" ht="7.5" customHeight="1" outlineLevel="1">
      <c r="B39" s="1488" t="s">
        <v>36</v>
      </c>
      <c r="C39" s="1488"/>
      <c r="D39" s="1488"/>
      <c r="E39" s="1488"/>
      <c r="F39" s="1488"/>
      <c r="G39" s="1488"/>
      <c r="H39" s="1488"/>
      <c r="I39" s="1488"/>
      <c r="J39" s="1488"/>
      <c r="K39" s="1488"/>
      <c r="L39" s="1488"/>
      <c r="M39" s="1488"/>
      <c r="N39" s="1488"/>
      <c r="O39" s="1488"/>
      <c r="P39" s="1488"/>
      <c r="Q39" s="1488"/>
      <c r="R39" s="1488"/>
      <c r="S39" s="1488"/>
      <c r="T39" s="1488"/>
      <c r="U39" s="1488"/>
      <c r="V39" s="1488"/>
      <c r="W39" s="1488"/>
      <c r="X39" s="1488"/>
      <c r="Y39" s="1488"/>
      <c r="Z39" s="1488"/>
    </row>
    <row r="40" spans="2:26" outlineLevel="1">
      <c r="B40" s="1466" t="s">
        <v>520</v>
      </c>
      <c r="C40" s="1468" t="s">
        <v>497</v>
      </c>
      <c r="D40" s="1474"/>
      <c r="E40" s="1453" t="s">
        <v>521</v>
      </c>
      <c r="F40" s="1453"/>
      <c r="G40" s="1453"/>
      <c r="H40" s="1453"/>
      <c r="I40" s="1453"/>
      <c r="J40" s="1453"/>
      <c r="K40" s="1453"/>
      <c r="L40" s="1472"/>
      <c r="M40" s="1473" t="s">
        <v>499</v>
      </c>
      <c r="N40" s="1474"/>
      <c r="O40" s="1479" t="s">
        <v>522</v>
      </c>
      <c r="P40" s="1480"/>
      <c r="Q40" s="1480"/>
      <c r="R40" s="1480"/>
      <c r="S40" s="1480"/>
      <c r="T40" s="1480"/>
      <c r="U40" s="1480"/>
      <c r="V40" s="1480"/>
      <c r="W40" s="1480"/>
      <c r="X40" s="1480"/>
      <c r="Y40" s="1480"/>
      <c r="Z40" s="1481"/>
    </row>
    <row r="41" spans="2:26" outlineLevel="1">
      <c r="B41" s="1466"/>
      <c r="C41" s="1489"/>
      <c r="D41" s="1478"/>
      <c r="E41" s="1453">
        <v>158</v>
      </c>
      <c r="F41" s="1454"/>
      <c r="G41" s="1453">
        <v>159</v>
      </c>
      <c r="H41" s="1454"/>
      <c r="I41" s="1453">
        <v>160</v>
      </c>
      <c r="J41" s="1454"/>
      <c r="K41" s="1453" t="s">
        <v>512</v>
      </c>
      <c r="L41" s="1454"/>
      <c r="M41" s="1475"/>
      <c r="N41" s="1476"/>
      <c r="O41" s="1482"/>
      <c r="P41" s="1483"/>
      <c r="Q41" s="1483"/>
      <c r="R41" s="1483"/>
      <c r="S41" s="1483"/>
      <c r="T41" s="1483"/>
      <c r="U41" s="1483"/>
      <c r="V41" s="1483"/>
      <c r="W41" s="1483"/>
      <c r="X41" s="1483"/>
      <c r="Y41" s="1483"/>
      <c r="Z41" s="1484"/>
    </row>
    <row r="42" spans="2:26" outlineLevel="1">
      <c r="B42" s="1466"/>
      <c r="C42" s="124" t="s">
        <v>502</v>
      </c>
      <c r="D42" s="126" t="s">
        <v>518</v>
      </c>
      <c r="E42" s="122" t="s">
        <v>503</v>
      </c>
      <c r="F42" s="122" t="s">
        <v>504</v>
      </c>
      <c r="G42" s="122" t="s">
        <v>503</v>
      </c>
      <c r="H42" s="122" t="s">
        <v>504</v>
      </c>
      <c r="I42" s="122" t="s">
        <v>503</v>
      </c>
      <c r="J42" s="122" t="s">
        <v>504</v>
      </c>
      <c r="K42" s="122" t="s">
        <v>503</v>
      </c>
      <c r="L42" s="122" t="s">
        <v>504</v>
      </c>
      <c r="M42" s="1475"/>
      <c r="N42" s="1476"/>
      <c r="O42" s="1485"/>
      <c r="P42" s="1486"/>
      <c r="Q42" s="1486"/>
      <c r="R42" s="1486"/>
      <c r="S42" s="1486"/>
      <c r="T42" s="1486"/>
      <c r="U42" s="1486"/>
      <c r="V42" s="1486"/>
      <c r="W42" s="1486"/>
      <c r="X42" s="1486"/>
      <c r="Y42" s="1486"/>
      <c r="Z42" s="1487"/>
    </row>
    <row r="43" spans="2:26" outlineLevel="1">
      <c r="B43" s="1466"/>
      <c r="C43" s="1455" t="s">
        <v>505</v>
      </c>
      <c r="D43" s="1456"/>
      <c r="E43" s="122">
        <v>90.2</v>
      </c>
      <c r="F43" s="123">
        <v>9.7000000000000003E-3</v>
      </c>
      <c r="G43" s="122">
        <v>90</v>
      </c>
      <c r="H43" s="123">
        <v>5.0000000000000001E-4</v>
      </c>
      <c r="I43" s="122">
        <v>90.1</v>
      </c>
      <c r="J43" s="123">
        <v>5.1000000000000004E-3</v>
      </c>
      <c r="K43" s="122" t="s">
        <v>36</v>
      </c>
      <c r="L43" s="122" t="s">
        <v>36</v>
      </c>
      <c r="M43" s="1475"/>
      <c r="N43" s="1476"/>
      <c r="O43" s="1490" t="s">
        <v>523</v>
      </c>
      <c r="P43" s="1491"/>
      <c r="Q43" s="1491"/>
      <c r="R43" s="1491"/>
      <c r="S43" s="1491"/>
      <c r="T43" s="1491"/>
      <c r="U43" s="1491"/>
      <c r="V43" s="1491"/>
      <c r="W43" s="1491"/>
      <c r="X43" s="1491"/>
      <c r="Y43" s="1491"/>
      <c r="Z43" s="1492"/>
    </row>
    <row r="44" spans="2:26" outlineLevel="1">
      <c r="B44" s="1466"/>
      <c r="C44" s="1455" t="s">
        <v>507</v>
      </c>
      <c r="D44" s="1456"/>
      <c r="E44" s="122">
        <v>59.1</v>
      </c>
      <c r="F44" s="123">
        <v>2.76E-2</v>
      </c>
      <c r="G44" s="122">
        <v>59</v>
      </c>
      <c r="H44" s="123">
        <v>1.9699999999999999E-2</v>
      </c>
      <c r="I44" s="122">
        <v>59</v>
      </c>
      <c r="J44" s="123">
        <v>1.9699999999999999E-2</v>
      </c>
      <c r="K44" s="122" t="s">
        <v>36</v>
      </c>
      <c r="L44" s="122" t="s">
        <v>36</v>
      </c>
      <c r="M44" s="1475"/>
      <c r="N44" s="1476"/>
      <c r="O44" s="1457"/>
      <c r="P44" s="1458"/>
      <c r="Q44" s="1458"/>
      <c r="R44" s="1458"/>
      <c r="S44" s="1458"/>
      <c r="T44" s="1458"/>
      <c r="U44" s="1458"/>
      <c r="V44" s="1458"/>
      <c r="W44" s="1458"/>
      <c r="X44" s="1458"/>
      <c r="Y44" s="1458"/>
      <c r="Z44" s="1459"/>
    </row>
    <row r="45" spans="2:26" outlineLevel="1">
      <c r="B45" s="1467"/>
      <c r="C45" s="1455" t="s">
        <v>508</v>
      </c>
      <c r="D45" s="1456"/>
      <c r="E45" s="122">
        <v>120.9</v>
      </c>
      <c r="F45" s="123">
        <v>1.21E-2</v>
      </c>
      <c r="G45" s="122">
        <v>120.8</v>
      </c>
      <c r="H45" s="123">
        <v>7.3000000000000001E-3</v>
      </c>
      <c r="I45" s="122">
        <v>120.8</v>
      </c>
      <c r="J45" s="123">
        <v>7.3000000000000001E-3</v>
      </c>
      <c r="K45" s="122" t="s">
        <v>36</v>
      </c>
      <c r="L45" s="122" t="s">
        <v>36</v>
      </c>
      <c r="M45" s="1477"/>
      <c r="N45" s="1478"/>
      <c r="O45" s="1460"/>
      <c r="P45" s="1461"/>
      <c r="Q45" s="1461"/>
      <c r="R45" s="1461"/>
      <c r="S45" s="1461"/>
      <c r="T45" s="1461"/>
      <c r="U45" s="1461"/>
      <c r="V45" s="1461"/>
      <c r="W45" s="1461"/>
      <c r="X45" s="1461"/>
      <c r="Y45" s="1461"/>
      <c r="Z45" s="1462"/>
    </row>
    <row r="46" spans="2:26" ht="8.25" customHeight="1" outlineLevel="1">
      <c r="B46" s="1488" t="s">
        <v>36</v>
      </c>
      <c r="C46" s="1488"/>
      <c r="D46" s="1488"/>
      <c r="E46" s="1488"/>
      <c r="F46" s="1488"/>
      <c r="G46" s="1488"/>
      <c r="H46" s="1488"/>
      <c r="I46" s="1488"/>
      <c r="J46" s="1488"/>
      <c r="K46" s="1488"/>
      <c r="L46" s="1488"/>
      <c r="M46" s="1488"/>
      <c r="N46" s="1488"/>
      <c r="O46" s="1488"/>
      <c r="P46" s="1488"/>
      <c r="Q46" s="1488"/>
      <c r="R46" s="1488"/>
      <c r="S46" s="1488"/>
      <c r="T46" s="1488"/>
      <c r="U46" s="1488"/>
      <c r="V46" s="1488"/>
      <c r="W46" s="1488"/>
      <c r="X46" s="1488"/>
      <c r="Y46" s="1488"/>
      <c r="Z46" s="1488"/>
    </row>
    <row r="47" spans="2:26" outlineLevel="1">
      <c r="B47" s="1466" t="s">
        <v>524</v>
      </c>
      <c r="C47" s="1468" t="s">
        <v>497</v>
      </c>
      <c r="D47" s="1474"/>
      <c r="E47" s="1453" t="s">
        <v>525</v>
      </c>
      <c r="F47" s="1453"/>
      <c r="G47" s="1453"/>
      <c r="H47" s="1453"/>
      <c r="I47" s="1453"/>
      <c r="J47" s="1453"/>
      <c r="K47" s="1453"/>
      <c r="L47" s="1453"/>
      <c r="M47" s="1453"/>
      <c r="N47" s="1453"/>
      <c r="O47" s="1453"/>
      <c r="P47" s="1454"/>
      <c r="Q47" s="1473" t="s">
        <v>499</v>
      </c>
      <c r="R47" s="1474"/>
      <c r="S47" s="1479" t="s">
        <v>500</v>
      </c>
      <c r="T47" s="1480"/>
      <c r="U47" s="1480"/>
      <c r="V47" s="1480"/>
      <c r="W47" s="1480"/>
      <c r="X47" s="1480"/>
      <c r="Y47" s="1480"/>
      <c r="Z47" s="1493"/>
    </row>
    <row r="48" spans="2:26" outlineLevel="1">
      <c r="B48" s="1466"/>
      <c r="C48" s="1489"/>
      <c r="D48" s="1478"/>
      <c r="E48" s="1453" t="s">
        <v>526</v>
      </c>
      <c r="F48" s="1454"/>
      <c r="G48" s="1453" t="s">
        <v>527</v>
      </c>
      <c r="H48" s="1454"/>
      <c r="I48" s="1453" t="s">
        <v>528</v>
      </c>
      <c r="J48" s="1454"/>
      <c r="K48" s="1453" t="s">
        <v>529</v>
      </c>
      <c r="L48" s="1454"/>
      <c r="M48" s="1453" t="s">
        <v>530</v>
      </c>
      <c r="N48" s="1454"/>
      <c r="O48" s="1453" t="s">
        <v>531</v>
      </c>
      <c r="P48" s="1454"/>
      <c r="Q48" s="1475"/>
      <c r="R48" s="1476"/>
      <c r="S48" s="1482"/>
      <c r="T48" s="1483"/>
      <c r="U48" s="1483"/>
      <c r="V48" s="1483"/>
      <c r="W48" s="1483"/>
      <c r="X48" s="1483"/>
      <c r="Y48" s="1483"/>
      <c r="Z48" s="1494"/>
    </row>
    <row r="49" spans="2:26" outlineLevel="1">
      <c r="B49" s="1466"/>
      <c r="C49" s="124" t="s">
        <v>502</v>
      </c>
      <c r="D49" s="125">
        <v>46296</v>
      </c>
      <c r="E49" s="122" t="s">
        <v>503</v>
      </c>
      <c r="F49" s="122" t="s">
        <v>504</v>
      </c>
      <c r="G49" s="122" t="s">
        <v>503</v>
      </c>
      <c r="H49" s="122" t="s">
        <v>504</v>
      </c>
      <c r="I49" s="122" t="s">
        <v>503</v>
      </c>
      <c r="J49" s="122" t="s">
        <v>504</v>
      </c>
      <c r="K49" s="122" t="s">
        <v>503</v>
      </c>
      <c r="L49" s="122" t="s">
        <v>504</v>
      </c>
      <c r="M49" s="122" t="s">
        <v>503</v>
      </c>
      <c r="N49" s="122" t="s">
        <v>504</v>
      </c>
      <c r="O49" s="122" t="s">
        <v>503</v>
      </c>
      <c r="P49" s="122" t="s">
        <v>504</v>
      </c>
      <c r="Q49" s="1475"/>
      <c r="R49" s="1476"/>
      <c r="S49" s="1495"/>
      <c r="T49" s="1496"/>
      <c r="U49" s="1496"/>
      <c r="V49" s="1496"/>
      <c r="W49" s="1496"/>
      <c r="X49" s="1496"/>
      <c r="Y49" s="1496"/>
      <c r="Z49" s="1497"/>
    </row>
    <row r="50" spans="2:26" outlineLevel="1">
      <c r="B50" s="1466"/>
      <c r="C50" s="1455" t="s">
        <v>505</v>
      </c>
      <c r="D50" s="1456"/>
      <c r="E50" s="122">
        <v>90.1</v>
      </c>
      <c r="F50" s="123">
        <v>5.1000000000000004E-3</v>
      </c>
      <c r="G50" s="122">
        <v>90.5</v>
      </c>
      <c r="H50" s="123">
        <v>2.3400000000000001E-2</v>
      </c>
      <c r="I50" s="122">
        <v>90</v>
      </c>
      <c r="J50" s="123">
        <v>5.0000000000000001E-4</v>
      </c>
      <c r="K50" s="122">
        <v>90.1</v>
      </c>
      <c r="L50" s="123">
        <v>5.1000000000000004E-3</v>
      </c>
      <c r="M50" s="122">
        <v>90.1</v>
      </c>
      <c r="N50" s="123">
        <v>5.1000000000000004E-3</v>
      </c>
      <c r="O50" s="122">
        <v>90</v>
      </c>
      <c r="P50" s="123">
        <v>5.0000000000000001E-4</v>
      </c>
      <c r="Q50" s="1475"/>
      <c r="R50" s="1476"/>
      <c r="S50" s="1490" t="s">
        <v>532</v>
      </c>
      <c r="T50" s="1491"/>
      <c r="U50" s="1491"/>
      <c r="V50" s="1491"/>
      <c r="W50" s="1491"/>
      <c r="X50" s="1491"/>
      <c r="Y50" s="1491"/>
      <c r="Z50" s="1498"/>
    </row>
    <row r="51" spans="2:26" outlineLevel="1">
      <c r="B51" s="1466"/>
      <c r="C51" s="1455" t="s">
        <v>507</v>
      </c>
      <c r="D51" s="1456"/>
      <c r="E51" s="122">
        <v>59</v>
      </c>
      <c r="F51" s="123">
        <v>1.9699999999999999E-2</v>
      </c>
      <c r="G51" s="122">
        <v>59.2</v>
      </c>
      <c r="H51" s="123">
        <v>3.5400000000000001E-2</v>
      </c>
      <c r="I51" s="122">
        <v>59.1</v>
      </c>
      <c r="J51" s="123">
        <v>2.76E-2</v>
      </c>
      <c r="K51" s="122">
        <v>58.9</v>
      </c>
      <c r="L51" s="123">
        <v>1.18E-2</v>
      </c>
      <c r="M51" s="122">
        <v>59.1</v>
      </c>
      <c r="N51" s="123">
        <v>2.76E-2</v>
      </c>
      <c r="O51" s="122">
        <v>58.8</v>
      </c>
      <c r="P51" s="123">
        <v>3.8999999999999998E-3</v>
      </c>
      <c r="Q51" s="1475"/>
      <c r="R51" s="1476"/>
      <c r="S51" s="1457"/>
      <c r="T51" s="1458"/>
      <c r="U51" s="1458"/>
      <c r="V51" s="1458"/>
      <c r="W51" s="1458"/>
      <c r="X51" s="1458"/>
      <c r="Y51" s="1458"/>
      <c r="Z51" s="1499"/>
    </row>
    <row r="52" spans="2:26" outlineLevel="1">
      <c r="B52" s="1467"/>
      <c r="C52" s="1455" t="s">
        <v>508</v>
      </c>
      <c r="D52" s="1456"/>
      <c r="E52" s="122">
        <v>121.2</v>
      </c>
      <c r="F52" s="123">
        <v>2.6700000000000002E-2</v>
      </c>
      <c r="G52" s="122">
        <v>121</v>
      </c>
      <c r="H52" s="123">
        <v>1.7000000000000001E-2</v>
      </c>
      <c r="I52" s="122">
        <v>121.4</v>
      </c>
      <c r="J52" s="123">
        <v>3.6299999999999999E-2</v>
      </c>
      <c r="K52" s="122">
        <v>122.6</v>
      </c>
      <c r="L52" s="123">
        <v>9.4500000000000001E-2</v>
      </c>
      <c r="M52" s="122">
        <v>124</v>
      </c>
      <c r="N52" s="123">
        <v>0.1623</v>
      </c>
      <c r="O52" s="122">
        <v>122.5</v>
      </c>
      <c r="P52" s="123">
        <v>8.9599999999999999E-2</v>
      </c>
      <c r="Q52" s="1477"/>
      <c r="R52" s="1478"/>
      <c r="S52" s="1500"/>
      <c r="T52" s="1501"/>
      <c r="U52" s="1501"/>
      <c r="V52" s="1501"/>
      <c r="W52" s="1501"/>
      <c r="X52" s="1501"/>
      <c r="Y52" s="1501"/>
      <c r="Z52" s="1502"/>
    </row>
    <row r="53" spans="2:26" ht="9" customHeight="1" outlineLevel="1">
      <c r="B53" s="1488" t="s">
        <v>36</v>
      </c>
      <c r="C53" s="1488"/>
      <c r="D53" s="1488"/>
      <c r="E53" s="1488"/>
      <c r="F53" s="1488"/>
      <c r="G53" s="1488"/>
      <c r="H53" s="1488"/>
      <c r="I53" s="1488"/>
      <c r="J53" s="1488"/>
      <c r="K53" s="1488"/>
      <c r="L53" s="1488"/>
      <c r="M53" s="1488"/>
      <c r="N53" s="1488"/>
      <c r="O53" s="1488"/>
      <c r="P53" s="1488"/>
      <c r="Q53" s="1488"/>
      <c r="R53" s="1488"/>
      <c r="S53" s="1488"/>
      <c r="T53" s="1488"/>
      <c r="U53" s="1488"/>
      <c r="V53" s="1488"/>
      <c r="W53" s="1488"/>
      <c r="X53" s="1488"/>
      <c r="Y53" s="1488"/>
      <c r="Z53" s="1488"/>
    </row>
    <row r="54" spans="2:26" outlineLevel="1">
      <c r="B54" s="1466" t="s">
        <v>533</v>
      </c>
      <c r="C54" s="1468" t="s">
        <v>497</v>
      </c>
      <c r="D54" s="1474"/>
      <c r="E54" s="1453" t="s">
        <v>534</v>
      </c>
      <c r="F54" s="1453"/>
      <c r="G54" s="1453"/>
      <c r="H54" s="1453"/>
      <c r="I54" s="1453"/>
      <c r="J54" s="1453"/>
      <c r="K54" s="1453"/>
      <c r="L54" s="1453"/>
      <c r="M54" s="1453"/>
      <c r="N54" s="1472"/>
      <c r="O54" s="1473" t="s">
        <v>499</v>
      </c>
      <c r="P54" s="1474"/>
      <c r="Q54" s="1490" t="s">
        <v>535</v>
      </c>
      <c r="R54" s="1491"/>
      <c r="S54" s="1491"/>
      <c r="T54" s="1491"/>
      <c r="U54" s="1491"/>
      <c r="V54" s="1491"/>
      <c r="W54" s="1491"/>
      <c r="X54" s="1491"/>
      <c r="Y54" s="1491"/>
      <c r="Z54" s="1492"/>
    </row>
    <row r="55" spans="2:26" outlineLevel="1">
      <c r="B55" s="1466"/>
      <c r="C55" s="1489"/>
      <c r="D55" s="1478"/>
      <c r="E55" s="1453" t="s">
        <v>526</v>
      </c>
      <c r="F55" s="1454"/>
      <c r="G55" s="1453" t="s">
        <v>527</v>
      </c>
      <c r="H55" s="1454"/>
      <c r="I55" s="1453" t="s">
        <v>528</v>
      </c>
      <c r="J55" s="1454"/>
      <c r="K55" s="1453" t="s">
        <v>529</v>
      </c>
      <c r="L55" s="1454"/>
      <c r="M55" s="1453" t="s">
        <v>530</v>
      </c>
      <c r="N55" s="1454"/>
      <c r="O55" s="1475"/>
      <c r="P55" s="1476"/>
      <c r="Q55" s="1457"/>
      <c r="R55" s="1458"/>
      <c r="S55" s="1458"/>
      <c r="T55" s="1458"/>
      <c r="U55" s="1458"/>
      <c r="V55" s="1458"/>
      <c r="W55" s="1458"/>
      <c r="X55" s="1458"/>
      <c r="Y55" s="1458"/>
      <c r="Z55" s="1459"/>
    </row>
    <row r="56" spans="2:26" outlineLevel="1">
      <c r="B56" s="1466"/>
      <c r="C56" s="124" t="s">
        <v>502</v>
      </c>
      <c r="D56" s="126" t="s">
        <v>536</v>
      </c>
      <c r="E56" s="122" t="s">
        <v>503</v>
      </c>
      <c r="F56" s="122" t="s">
        <v>504</v>
      </c>
      <c r="G56" s="122" t="s">
        <v>503</v>
      </c>
      <c r="H56" s="122" t="s">
        <v>504</v>
      </c>
      <c r="I56" s="122" t="s">
        <v>503</v>
      </c>
      <c r="J56" s="122" t="s">
        <v>504</v>
      </c>
      <c r="K56" s="122" t="s">
        <v>503</v>
      </c>
      <c r="L56" s="122" t="s">
        <v>504</v>
      </c>
      <c r="M56" s="122" t="s">
        <v>503</v>
      </c>
      <c r="N56" s="122" t="s">
        <v>504</v>
      </c>
      <c r="O56" s="1475"/>
      <c r="P56" s="1476"/>
      <c r="Q56" s="1460"/>
      <c r="R56" s="1461"/>
      <c r="S56" s="1461"/>
      <c r="T56" s="1461"/>
      <c r="U56" s="1461"/>
      <c r="V56" s="1461"/>
      <c r="W56" s="1461"/>
      <c r="X56" s="1461"/>
      <c r="Y56" s="1461"/>
      <c r="Z56" s="1462"/>
    </row>
    <row r="57" spans="2:26" outlineLevel="1">
      <c r="B57" s="1466"/>
      <c r="C57" s="1455" t="s">
        <v>505</v>
      </c>
      <c r="D57" s="1456"/>
      <c r="E57" s="122">
        <v>90</v>
      </c>
      <c r="F57" s="123">
        <v>5.0000000000000001E-4</v>
      </c>
      <c r="G57" s="122">
        <v>90.2</v>
      </c>
      <c r="H57" s="123">
        <v>9.7000000000000003E-3</v>
      </c>
      <c r="I57" s="122">
        <v>90.2</v>
      </c>
      <c r="J57" s="123">
        <v>9.7000000000000003E-3</v>
      </c>
      <c r="K57" s="122">
        <v>90.1</v>
      </c>
      <c r="L57" s="123">
        <v>5.1000000000000004E-3</v>
      </c>
      <c r="M57" s="122">
        <v>90.5</v>
      </c>
      <c r="N57" s="123">
        <v>2.3400000000000001E-2</v>
      </c>
      <c r="O57" s="1475"/>
      <c r="P57" s="1476"/>
      <c r="Q57" s="1457" t="s">
        <v>537</v>
      </c>
      <c r="R57" s="1458"/>
      <c r="S57" s="1458"/>
      <c r="T57" s="1458"/>
      <c r="U57" s="1458"/>
      <c r="V57" s="1458"/>
      <c r="W57" s="1458"/>
      <c r="X57" s="1458"/>
      <c r="Y57" s="1458"/>
      <c r="Z57" s="1459"/>
    </row>
    <row r="58" spans="2:26" outlineLevel="1">
      <c r="B58" s="1466"/>
      <c r="C58" s="1455" t="s">
        <v>507</v>
      </c>
      <c r="D58" s="1456"/>
      <c r="E58" s="122">
        <v>59.1</v>
      </c>
      <c r="F58" s="123">
        <v>2.76E-2</v>
      </c>
      <c r="G58" s="122">
        <v>59.5</v>
      </c>
      <c r="H58" s="123">
        <v>5.91E-2</v>
      </c>
      <c r="I58" s="122">
        <v>59</v>
      </c>
      <c r="J58" s="123">
        <v>1.9699999999999999E-2</v>
      </c>
      <c r="K58" s="122">
        <v>59.2</v>
      </c>
      <c r="L58" s="123">
        <v>3.5400000000000001E-2</v>
      </c>
      <c r="M58" s="122">
        <v>59.8</v>
      </c>
      <c r="N58" s="123">
        <v>8.2699999999999996E-2</v>
      </c>
      <c r="O58" s="1475"/>
      <c r="P58" s="1476"/>
      <c r="Q58" s="1457"/>
      <c r="R58" s="1458"/>
      <c r="S58" s="1458"/>
      <c r="T58" s="1458"/>
      <c r="U58" s="1458"/>
      <c r="V58" s="1458"/>
      <c r="W58" s="1458"/>
      <c r="X58" s="1458"/>
      <c r="Y58" s="1458"/>
      <c r="Z58" s="1459"/>
    </row>
    <row r="59" spans="2:26" outlineLevel="1">
      <c r="B59" s="1467"/>
      <c r="C59" s="1455" t="s">
        <v>508</v>
      </c>
      <c r="D59" s="1456"/>
      <c r="E59" s="122">
        <v>120.8</v>
      </c>
      <c r="F59" s="123">
        <v>7.3000000000000001E-3</v>
      </c>
      <c r="G59" s="122">
        <v>121</v>
      </c>
      <c r="H59" s="123">
        <v>1.7000000000000001E-2</v>
      </c>
      <c r="I59" s="122">
        <v>120.8</v>
      </c>
      <c r="J59" s="123">
        <v>7.3000000000000001E-3</v>
      </c>
      <c r="K59" s="122">
        <v>121.2</v>
      </c>
      <c r="L59" s="123">
        <v>2.6700000000000002E-2</v>
      </c>
      <c r="M59" s="122">
        <v>121</v>
      </c>
      <c r="N59" s="123">
        <v>1.7000000000000001E-2</v>
      </c>
      <c r="O59" s="1477"/>
      <c r="P59" s="1478"/>
      <c r="Q59" s="1460"/>
      <c r="R59" s="1461"/>
      <c r="S59" s="1461"/>
      <c r="T59" s="1461"/>
      <c r="U59" s="1461"/>
      <c r="V59" s="1461"/>
      <c r="W59" s="1461"/>
      <c r="X59" s="1461"/>
      <c r="Y59" s="1461"/>
      <c r="Z59" s="1462"/>
    </row>
    <row r="60" spans="2:26" ht="9" customHeight="1" outlineLevel="1">
      <c r="B60" s="1488" t="s">
        <v>36</v>
      </c>
      <c r="C60" s="1488"/>
      <c r="D60" s="1488"/>
      <c r="E60" s="1488"/>
      <c r="F60" s="1488"/>
      <c r="G60" s="1488"/>
      <c r="H60" s="1488"/>
      <c r="I60" s="1488"/>
      <c r="J60" s="1488"/>
      <c r="K60" s="1488"/>
      <c r="L60" s="1488"/>
      <c r="M60" s="1488"/>
      <c r="N60" s="1488"/>
      <c r="O60" s="1488"/>
      <c r="P60" s="1488"/>
      <c r="Q60" s="1488"/>
      <c r="R60" s="1488"/>
      <c r="S60" s="1488"/>
      <c r="T60" s="1488"/>
      <c r="U60" s="1488"/>
      <c r="V60" s="1488"/>
      <c r="W60" s="1488"/>
      <c r="X60" s="1488"/>
      <c r="Y60" s="1488"/>
      <c r="Z60" s="1488"/>
    </row>
    <row r="61" spans="2:26" outlineLevel="1">
      <c r="B61" s="1466" t="s">
        <v>538</v>
      </c>
      <c r="C61" s="1468" t="s">
        <v>497</v>
      </c>
      <c r="D61" s="1474"/>
      <c r="E61" s="1453" t="s">
        <v>539</v>
      </c>
      <c r="F61" s="1453"/>
      <c r="G61" s="1453"/>
      <c r="H61" s="1453"/>
      <c r="I61" s="1453"/>
      <c r="J61" s="1453"/>
      <c r="K61" s="1453"/>
      <c r="L61" s="1453"/>
      <c r="M61" s="1453"/>
      <c r="N61" s="1472"/>
      <c r="O61" s="1473" t="s">
        <v>499</v>
      </c>
      <c r="P61" s="1474"/>
      <c r="Q61" s="1479" t="s">
        <v>511</v>
      </c>
      <c r="R61" s="1480"/>
      <c r="S61" s="1480"/>
      <c r="T61" s="1480"/>
      <c r="U61" s="1480"/>
      <c r="V61" s="1480"/>
      <c r="W61" s="1480"/>
      <c r="X61" s="1480"/>
      <c r="Y61" s="1480"/>
      <c r="Z61" s="1481"/>
    </row>
    <row r="62" spans="2:26" outlineLevel="1">
      <c r="B62" s="1466"/>
      <c r="C62" s="1489"/>
      <c r="D62" s="1478"/>
      <c r="E62" s="1453" t="s">
        <v>526</v>
      </c>
      <c r="F62" s="1454"/>
      <c r="G62" s="1453" t="s">
        <v>527</v>
      </c>
      <c r="H62" s="1454"/>
      <c r="I62" s="1453" t="s">
        <v>528</v>
      </c>
      <c r="J62" s="1454"/>
      <c r="K62" s="1453" t="s">
        <v>529</v>
      </c>
      <c r="L62" s="1454"/>
      <c r="M62" s="1453" t="s">
        <v>530</v>
      </c>
      <c r="N62" s="1454"/>
      <c r="O62" s="1475"/>
      <c r="P62" s="1476"/>
      <c r="Q62" s="1482"/>
      <c r="R62" s="1483"/>
      <c r="S62" s="1483"/>
      <c r="T62" s="1483"/>
      <c r="U62" s="1483"/>
      <c r="V62" s="1483"/>
      <c r="W62" s="1483"/>
      <c r="X62" s="1483"/>
      <c r="Y62" s="1483"/>
      <c r="Z62" s="1484"/>
    </row>
    <row r="63" spans="2:26" outlineLevel="1">
      <c r="B63" s="1466"/>
      <c r="C63" s="124" t="s">
        <v>502</v>
      </c>
      <c r="D63" s="126" t="s">
        <v>540</v>
      </c>
      <c r="E63" s="122" t="s">
        <v>503</v>
      </c>
      <c r="F63" s="122" t="s">
        <v>504</v>
      </c>
      <c r="G63" s="122" t="s">
        <v>503</v>
      </c>
      <c r="H63" s="122" t="s">
        <v>504</v>
      </c>
      <c r="I63" s="122" t="s">
        <v>503</v>
      </c>
      <c r="J63" s="122" t="s">
        <v>504</v>
      </c>
      <c r="K63" s="122" t="s">
        <v>503</v>
      </c>
      <c r="L63" s="122" t="s">
        <v>504</v>
      </c>
      <c r="M63" s="122" t="s">
        <v>503</v>
      </c>
      <c r="N63" s="122" t="s">
        <v>504</v>
      </c>
      <c r="O63" s="1475"/>
      <c r="P63" s="1476"/>
      <c r="Q63" s="1485"/>
      <c r="R63" s="1486"/>
      <c r="S63" s="1486"/>
      <c r="T63" s="1486"/>
      <c r="U63" s="1486"/>
      <c r="V63" s="1486"/>
      <c r="W63" s="1486"/>
      <c r="X63" s="1486"/>
      <c r="Y63" s="1486"/>
      <c r="Z63" s="1487"/>
    </row>
    <row r="64" spans="2:26" outlineLevel="1">
      <c r="B64" s="1466"/>
      <c r="C64" s="1455" t="s">
        <v>505</v>
      </c>
      <c r="D64" s="1456"/>
      <c r="E64" s="122" t="s">
        <v>36</v>
      </c>
      <c r="F64" s="123">
        <v>-4.1356000000000002</v>
      </c>
      <c r="G64" s="122" t="s">
        <v>36</v>
      </c>
      <c r="H64" s="123">
        <v>-4.1356000000000002</v>
      </c>
      <c r="I64" s="122" t="s">
        <v>36</v>
      </c>
      <c r="J64" s="123">
        <v>-4.1356000000000002</v>
      </c>
      <c r="K64" s="122" t="s">
        <v>36</v>
      </c>
      <c r="L64" s="123">
        <v>-4.1356000000000002</v>
      </c>
      <c r="M64" s="122" t="s">
        <v>36</v>
      </c>
      <c r="N64" s="123">
        <v>-4.1356000000000002</v>
      </c>
      <c r="O64" s="1475"/>
      <c r="P64" s="1476"/>
      <c r="Q64" s="1457" t="s">
        <v>514</v>
      </c>
      <c r="R64" s="1458"/>
      <c r="S64" s="1458"/>
      <c r="T64" s="1458"/>
      <c r="U64" s="1458"/>
      <c r="V64" s="1458"/>
      <c r="W64" s="1458"/>
      <c r="X64" s="1458"/>
      <c r="Y64" s="1458"/>
      <c r="Z64" s="1459"/>
    </row>
    <row r="65" spans="2:26" outlineLevel="1">
      <c r="B65" s="1466"/>
      <c r="C65" s="1455" t="s">
        <v>507</v>
      </c>
      <c r="D65" s="1456"/>
      <c r="E65" s="122" t="s">
        <v>36</v>
      </c>
      <c r="F65" s="123">
        <v>-4.6260000000000003</v>
      </c>
      <c r="G65" s="122" t="s">
        <v>36</v>
      </c>
      <c r="H65" s="123">
        <v>-4.6260000000000003</v>
      </c>
      <c r="I65" s="122" t="s">
        <v>36</v>
      </c>
      <c r="J65" s="123">
        <v>-4.6260000000000003</v>
      </c>
      <c r="K65" s="122" t="s">
        <v>36</v>
      </c>
      <c r="L65" s="123">
        <v>-4.6260000000000003</v>
      </c>
      <c r="M65" s="122" t="s">
        <v>36</v>
      </c>
      <c r="N65" s="123">
        <v>-4.6260000000000003</v>
      </c>
      <c r="O65" s="1475"/>
      <c r="P65" s="1476"/>
      <c r="Q65" s="1457"/>
      <c r="R65" s="1458"/>
      <c r="S65" s="1458"/>
      <c r="T65" s="1458"/>
      <c r="U65" s="1458"/>
      <c r="V65" s="1458"/>
      <c r="W65" s="1458"/>
      <c r="X65" s="1458"/>
      <c r="Y65" s="1458"/>
      <c r="Z65" s="1459"/>
    </row>
    <row r="66" spans="2:26" outlineLevel="1">
      <c r="B66" s="1467"/>
      <c r="C66" s="1455" t="s">
        <v>508</v>
      </c>
      <c r="D66" s="1456"/>
      <c r="E66" s="122" t="s">
        <v>36</v>
      </c>
      <c r="F66" s="123">
        <v>-5.8461999999999996</v>
      </c>
      <c r="G66" s="122" t="s">
        <v>36</v>
      </c>
      <c r="H66" s="123">
        <v>-5.8461999999999996</v>
      </c>
      <c r="I66" s="122" t="s">
        <v>36</v>
      </c>
      <c r="J66" s="123">
        <v>-5.8461999999999996</v>
      </c>
      <c r="K66" s="122" t="s">
        <v>36</v>
      </c>
      <c r="L66" s="123">
        <v>-5.8461999999999996</v>
      </c>
      <c r="M66" s="122" t="s">
        <v>36</v>
      </c>
      <c r="N66" s="123">
        <v>-5.8461999999999996</v>
      </c>
      <c r="O66" s="1477"/>
      <c r="P66" s="1478"/>
      <c r="Q66" s="1460"/>
      <c r="R66" s="1461"/>
      <c r="S66" s="1461"/>
      <c r="T66" s="1461"/>
      <c r="U66" s="1461"/>
      <c r="V66" s="1461"/>
      <c r="W66" s="1461"/>
      <c r="X66" s="1461"/>
      <c r="Y66" s="1461"/>
      <c r="Z66" s="1462"/>
    </row>
    <row r="67" spans="2:26" ht="9" customHeight="1" outlineLevel="1">
      <c r="B67" s="1488" t="s">
        <v>36</v>
      </c>
      <c r="C67" s="1488"/>
      <c r="D67" s="1488"/>
      <c r="E67" s="1488"/>
      <c r="F67" s="1488"/>
      <c r="G67" s="1488"/>
      <c r="H67" s="1488"/>
      <c r="I67" s="1488"/>
      <c r="J67" s="1488"/>
      <c r="K67" s="1488"/>
      <c r="L67" s="1488"/>
      <c r="M67" s="1488"/>
      <c r="N67" s="1488"/>
      <c r="O67" s="1488"/>
      <c r="P67" s="1488"/>
      <c r="Q67" s="1488"/>
      <c r="R67" s="1488"/>
      <c r="S67" s="1488"/>
      <c r="T67" s="1488"/>
      <c r="U67" s="1488"/>
      <c r="V67" s="1488"/>
      <c r="W67" s="1488"/>
      <c r="X67" s="1488"/>
      <c r="Y67" s="1488"/>
      <c r="Z67" s="1488"/>
    </row>
    <row r="68" spans="2:26" outlineLevel="1">
      <c r="B68" s="1466" t="s">
        <v>541</v>
      </c>
      <c r="C68" s="1468" t="s">
        <v>497</v>
      </c>
      <c r="D68" s="1474"/>
      <c r="E68" s="1453" t="s">
        <v>542</v>
      </c>
      <c r="F68" s="1453"/>
      <c r="G68" s="1453"/>
      <c r="H68" s="1453"/>
      <c r="I68" s="1453"/>
      <c r="J68" s="1453"/>
      <c r="K68" s="1453"/>
      <c r="L68" s="1453"/>
      <c r="M68" s="1453"/>
      <c r="N68" s="1453"/>
      <c r="O68" s="1453"/>
      <c r="P68" s="1454"/>
      <c r="Q68" s="1473" t="s">
        <v>499</v>
      </c>
      <c r="R68" s="1474"/>
      <c r="S68" s="1490" t="s">
        <v>543</v>
      </c>
      <c r="T68" s="1491"/>
      <c r="U68" s="1491"/>
      <c r="V68" s="1491"/>
      <c r="W68" s="1491"/>
      <c r="X68" s="1491"/>
      <c r="Y68" s="1491"/>
      <c r="Z68" s="1498"/>
    </row>
    <row r="69" spans="2:26" outlineLevel="1">
      <c r="B69" s="1466"/>
      <c r="C69" s="1489"/>
      <c r="D69" s="1478"/>
      <c r="E69" s="1453" t="s">
        <v>526</v>
      </c>
      <c r="F69" s="1454"/>
      <c r="G69" s="1453" t="s">
        <v>527</v>
      </c>
      <c r="H69" s="1454"/>
      <c r="I69" s="1453" t="s">
        <v>528</v>
      </c>
      <c r="J69" s="1454"/>
      <c r="K69" s="1453" t="s">
        <v>529</v>
      </c>
      <c r="L69" s="1454"/>
      <c r="M69" s="1453" t="s">
        <v>530</v>
      </c>
      <c r="N69" s="1454"/>
      <c r="O69" s="1453" t="s">
        <v>531</v>
      </c>
      <c r="P69" s="1454"/>
      <c r="Q69" s="1475"/>
      <c r="R69" s="1476"/>
      <c r="S69" s="1457"/>
      <c r="T69" s="1458"/>
      <c r="U69" s="1458"/>
      <c r="V69" s="1458"/>
      <c r="W69" s="1458"/>
      <c r="X69" s="1458"/>
      <c r="Y69" s="1458"/>
      <c r="Z69" s="1499"/>
    </row>
    <row r="70" spans="2:26" outlineLevel="1">
      <c r="B70" s="1466"/>
      <c r="C70" s="124" t="s">
        <v>502</v>
      </c>
      <c r="D70" s="125">
        <v>46266</v>
      </c>
      <c r="E70" s="122" t="s">
        <v>503</v>
      </c>
      <c r="F70" s="122" t="s">
        <v>504</v>
      </c>
      <c r="G70" s="122" t="s">
        <v>503</v>
      </c>
      <c r="H70" s="122" t="s">
        <v>504</v>
      </c>
      <c r="I70" s="122" t="s">
        <v>503</v>
      </c>
      <c r="J70" s="122" t="s">
        <v>504</v>
      </c>
      <c r="K70" s="122" t="s">
        <v>503</v>
      </c>
      <c r="L70" s="122" t="s">
        <v>504</v>
      </c>
      <c r="M70" s="122" t="s">
        <v>503</v>
      </c>
      <c r="N70" s="122" t="s">
        <v>504</v>
      </c>
      <c r="O70" s="122" t="s">
        <v>503</v>
      </c>
      <c r="P70" s="122" t="s">
        <v>504</v>
      </c>
      <c r="Q70" s="1475"/>
      <c r="R70" s="1476"/>
      <c r="S70" s="1500"/>
      <c r="T70" s="1501"/>
      <c r="U70" s="1501"/>
      <c r="V70" s="1501"/>
      <c r="W70" s="1501"/>
      <c r="X70" s="1501"/>
      <c r="Y70" s="1501"/>
      <c r="Z70" s="1502"/>
    </row>
    <row r="71" spans="2:26" outlineLevel="1">
      <c r="B71" s="1466"/>
      <c r="C71" s="1455" t="s">
        <v>505</v>
      </c>
      <c r="D71" s="1456"/>
      <c r="E71" s="122">
        <v>90</v>
      </c>
      <c r="F71" s="123">
        <v>5.0000000000000001E-4</v>
      </c>
      <c r="G71" s="122">
        <v>90.1</v>
      </c>
      <c r="H71" s="123">
        <v>5.1000000000000004E-3</v>
      </c>
      <c r="I71" s="122">
        <v>90</v>
      </c>
      <c r="J71" s="123">
        <v>5.0000000000000001E-4</v>
      </c>
      <c r="K71" s="122">
        <v>90</v>
      </c>
      <c r="L71" s="123">
        <v>5.0000000000000001E-4</v>
      </c>
      <c r="M71" s="122">
        <v>90.1</v>
      </c>
      <c r="N71" s="123">
        <v>5.1000000000000004E-3</v>
      </c>
      <c r="O71" s="122">
        <v>90</v>
      </c>
      <c r="P71" s="123">
        <v>5.0000000000000001E-4</v>
      </c>
      <c r="Q71" s="1475"/>
      <c r="R71" s="1476"/>
      <c r="S71" s="1490" t="s">
        <v>544</v>
      </c>
      <c r="T71" s="1491"/>
      <c r="U71" s="1491"/>
      <c r="V71" s="1491"/>
      <c r="W71" s="1491"/>
      <c r="X71" s="1491"/>
      <c r="Y71" s="1491"/>
      <c r="Z71" s="1498"/>
    </row>
    <row r="72" spans="2:26" outlineLevel="1">
      <c r="B72" s="1466"/>
      <c r="C72" s="1455" t="s">
        <v>507</v>
      </c>
      <c r="D72" s="1456"/>
      <c r="E72" s="122">
        <v>59.5</v>
      </c>
      <c r="F72" s="123">
        <v>5.91E-2</v>
      </c>
      <c r="G72" s="122">
        <v>59</v>
      </c>
      <c r="H72" s="123">
        <v>1.9699999999999999E-2</v>
      </c>
      <c r="I72" s="122">
        <v>59.1</v>
      </c>
      <c r="J72" s="123">
        <v>2.76E-2</v>
      </c>
      <c r="K72" s="122">
        <v>59</v>
      </c>
      <c r="L72" s="123">
        <v>1.9699999999999999E-2</v>
      </c>
      <c r="M72" s="122">
        <v>59.5</v>
      </c>
      <c r="N72" s="123">
        <v>5.91E-2</v>
      </c>
      <c r="O72" s="122">
        <v>58.9</v>
      </c>
      <c r="P72" s="123">
        <v>1.18E-2</v>
      </c>
      <c r="Q72" s="1475"/>
      <c r="R72" s="1476"/>
      <c r="S72" s="1457"/>
      <c r="T72" s="1458"/>
      <c r="U72" s="1458"/>
      <c r="V72" s="1458"/>
      <c r="W72" s="1458"/>
      <c r="X72" s="1458"/>
      <c r="Y72" s="1458"/>
      <c r="Z72" s="1499"/>
    </row>
    <row r="73" spans="2:26" outlineLevel="1">
      <c r="B73" s="1467"/>
      <c r="C73" s="1455" t="s">
        <v>508</v>
      </c>
      <c r="D73" s="1456"/>
      <c r="E73" s="122">
        <v>120.8</v>
      </c>
      <c r="F73" s="123">
        <v>7.3000000000000001E-3</v>
      </c>
      <c r="G73" s="122">
        <v>121</v>
      </c>
      <c r="H73" s="123">
        <v>1.7000000000000001E-2</v>
      </c>
      <c r="I73" s="122">
        <v>120.9</v>
      </c>
      <c r="J73" s="123">
        <v>1.21E-2</v>
      </c>
      <c r="K73" s="122">
        <v>122</v>
      </c>
      <c r="L73" s="123">
        <v>6.54E-2</v>
      </c>
      <c r="M73" s="122">
        <v>122.2</v>
      </c>
      <c r="N73" s="123">
        <v>7.51E-2</v>
      </c>
      <c r="O73" s="122">
        <v>123</v>
      </c>
      <c r="P73" s="123">
        <v>0.1139</v>
      </c>
      <c r="Q73" s="1477"/>
      <c r="R73" s="1478"/>
      <c r="S73" s="1500"/>
      <c r="T73" s="1501"/>
      <c r="U73" s="1501"/>
      <c r="V73" s="1501"/>
      <c r="W73" s="1501"/>
      <c r="X73" s="1501"/>
      <c r="Y73" s="1501"/>
      <c r="Z73" s="1502"/>
    </row>
    <row r="74" spans="2:26" ht="7.5" customHeight="1" outlineLevel="1">
      <c r="B74" s="1488" t="s">
        <v>36</v>
      </c>
      <c r="C74" s="1488"/>
      <c r="D74" s="1488"/>
      <c r="E74" s="1488"/>
      <c r="F74" s="1488"/>
      <c r="G74" s="1488"/>
      <c r="H74" s="1488"/>
      <c r="I74" s="1488"/>
      <c r="J74" s="1488"/>
      <c r="K74" s="1488"/>
      <c r="L74" s="1488"/>
      <c r="M74" s="1488"/>
      <c r="N74" s="1488"/>
      <c r="O74" s="1488"/>
      <c r="P74" s="1488"/>
      <c r="Q74" s="1488"/>
      <c r="R74" s="1488"/>
      <c r="S74" s="1488"/>
      <c r="T74" s="1488"/>
      <c r="U74" s="1488"/>
      <c r="V74" s="1488"/>
      <c r="W74" s="1488"/>
      <c r="X74" s="1488"/>
      <c r="Y74" s="1488"/>
      <c r="Z74" s="1488"/>
    </row>
    <row r="75" spans="2:26" outlineLevel="1">
      <c r="B75" s="1466" t="s">
        <v>545</v>
      </c>
      <c r="C75" s="1468" t="s">
        <v>497</v>
      </c>
      <c r="D75" s="1474"/>
      <c r="E75" s="1453" t="s">
        <v>546</v>
      </c>
      <c r="F75" s="1453"/>
      <c r="G75" s="1453"/>
      <c r="H75" s="1453"/>
      <c r="I75" s="1453"/>
      <c r="J75" s="1453"/>
      <c r="K75" s="1453"/>
      <c r="L75" s="1453"/>
      <c r="M75" s="1453"/>
      <c r="N75" s="1453"/>
      <c r="O75" s="1453"/>
      <c r="P75" s="1454"/>
      <c r="Q75" s="1473" t="s">
        <v>499</v>
      </c>
      <c r="R75" s="1474"/>
      <c r="S75" s="1490" t="s">
        <v>547</v>
      </c>
      <c r="T75" s="1491"/>
      <c r="U75" s="1491"/>
      <c r="V75" s="1491"/>
      <c r="W75" s="1491"/>
      <c r="X75" s="1491"/>
      <c r="Y75" s="1491"/>
      <c r="Z75" s="1498"/>
    </row>
    <row r="76" spans="2:26" outlineLevel="1">
      <c r="B76" s="1466"/>
      <c r="C76" s="1489"/>
      <c r="D76" s="1478"/>
      <c r="E76" s="1453" t="s">
        <v>526</v>
      </c>
      <c r="F76" s="1454"/>
      <c r="G76" s="1453" t="s">
        <v>527</v>
      </c>
      <c r="H76" s="1454"/>
      <c r="I76" s="1453" t="s">
        <v>528</v>
      </c>
      <c r="J76" s="1454"/>
      <c r="K76" s="1453" t="s">
        <v>529</v>
      </c>
      <c r="L76" s="1454"/>
      <c r="M76" s="1453" t="s">
        <v>530</v>
      </c>
      <c r="N76" s="1454"/>
      <c r="O76" s="1453" t="s">
        <v>531</v>
      </c>
      <c r="P76" s="1454"/>
      <c r="Q76" s="1475"/>
      <c r="R76" s="1476"/>
      <c r="S76" s="1457"/>
      <c r="T76" s="1458"/>
      <c r="U76" s="1458"/>
      <c r="V76" s="1458"/>
      <c r="W76" s="1458"/>
      <c r="X76" s="1458"/>
      <c r="Y76" s="1458"/>
      <c r="Z76" s="1499"/>
    </row>
    <row r="77" spans="2:26" outlineLevel="1">
      <c r="B77" s="1466"/>
      <c r="C77" s="124" t="s">
        <v>502</v>
      </c>
      <c r="D77" s="125">
        <v>46085</v>
      </c>
      <c r="E77" s="122" t="s">
        <v>503</v>
      </c>
      <c r="F77" s="122" t="s">
        <v>504</v>
      </c>
      <c r="G77" s="122" t="s">
        <v>503</v>
      </c>
      <c r="H77" s="122" t="s">
        <v>504</v>
      </c>
      <c r="I77" s="122" t="s">
        <v>503</v>
      </c>
      <c r="J77" s="122" t="s">
        <v>504</v>
      </c>
      <c r="K77" s="122" t="s">
        <v>503</v>
      </c>
      <c r="L77" s="122" t="s">
        <v>504</v>
      </c>
      <c r="M77" s="122" t="s">
        <v>503</v>
      </c>
      <c r="N77" s="122" t="s">
        <v>504</v>
      </c>
      <c r="O77" s="122" t="s">
        <v>503</v>
      </c>
      <c r="P77" s="122" t="s">
        <v>504</v>
      </c>
      <c r="Q77" s="1475"/>
      <c r="R77" s="1476"/>
      <c r="S77" s="1500"/>
      <c r="T77" s="1501"/>
      <c r="U77" s="1501"/>
      <c r="V77" s="1501"/>
      <c r="W77" s="1501"/>
      <c r="X77" s="1501"/>
      <c r="Y77" s="1501"/>
      <c r="Z77" s="1502"/>
    </row>
    <row r="78" spans="2:26" outlineLevel="1">
      <c r="B78" s="1466"/>
      <c r="C78" s="1455" t="s">
        <v>505</v>
      </c>
      <c r="D78" s="1456"/>
      <c r="E78" s="122">
        <v>90.1</v>
      </c>
      <c r="F78" s="123">
        <v>5.1000000000000004E-3</v>
      </c>
      <c r="G78" s="122">
        <v>90</v>
      </c>
      <c r="H78" s="123">
        <v>5.0000000000000001E-4</v>
      </c>
      <c r="I78" s="122">
        <v>90</v>
      </c>
      <c r="J78" s="123">
        <v>5.0000000000000001E-4</v>
      </c>
      <c r="K78" s="122">
        <v>90.1</v>
      </c>
      <c r="L78" s="123">
        <v>5.1000000000000004E-3</v>
      </c>
      <c r="M78" s="122">
        <v>90</v>
      </c>
      <c r="N78" s="123">
        <v>5.0000000000000001E-4</v>
      </c>
      <c r="O78" s="122">
        <v>90.1</v>
      </c>
      <c r="P78" s="123">
        <v>5.1000000000000004E-3</v>
      </c>
      <c r="Q78" s="1475"/>
      <c r="R78" s="1476"/>
      <c r="S78" s="1490" t="s">
        <v>548</v>
      </c>
      <c r="T78" s="1491"/>
      <c r="U78" s="1491"/>
      <c r="V78" s="1491"/>
      <c r="W78" s="1491"/>
      <c r="X78" s="1491"/>
      <c r="Y78" s="1491"/>
      <c r="Z78" s="1498"/>
    </row>
    <row r="79" spans="2:26" outlineLevel="1">
      <c r="B79" s="1466"/>
      <c r="C79" s="1455" t="s">
        <v>507</v>
      </c>
      <c r="D79" s="1456"/>
      <c r="E79" s="122">
        <v>58.9</v>
      </c>
      <c r="F79" s="123">
        <v>1.18E-2</v>
      </c>
      <c r="G79" s="122">
        <v>58.9</v>
      </c>
      <c r="H79" s="123">
        <v>1.18E-2</v>
      </c>
      <c r="I79" s="122">
        <v>59.2</v>
      </c>
      <c r="J79" s="123">
        <v>3.5400000000000001E-2</v>
      </c>
      <c r="K79" s="122">
        <v>59.1</v>
      </c>
      <c r="L79" s="123">
        <v>2.76E-2</v>
      </c>
      <c r="M79" s="122">
        <v>59.1</v>
      </c>
      <c r="N79" s="123">
        <v>2.76E-2</v>
      </c>
      <c r="O79" s="122">
        <v>59</v>
      </c>
      <c r="P79" s="123">
        <v>1.9699999999999999E-2</v>
      </c>
      <c r="Q79" s="1475"/>
      <c r="R79" s="1476"/>
      <c r="S79" s="1457"/>
      <c r="T79" s="1458"/>
      <c r="U79" s="1458"/>
      <c r="V79" s="1458"/>
      <c r="W79" s="1458"/>
      <c r="X79" s="1458"/>
      <c r="Y79" s="1458"/>
      <c r="Z79" s="1499"/>
    </row>
    <row r="80" spans="2:26" outlineLevel="1">
      <c r="B80" s="1467"/>
      <c r="C80" s="1455" t="s">
        <v>508</v>
      </c>
      <c r="D80" s="1456"/>
      <c r="E80" s="122">
        <v>126</v>
      </c>
      <c r="F80" s="123">
        <v>4.4299999999999999E-2</v>
      </c>
      <c r="G80" s="122">
        <v>125</v>
      </c>
      <c r="H80" s="123">
        <v>3.61E-2</v>
      </c>
      <c r="I80" s="122">
        <v>127</v>
      </c>
      <c r="J80" s="123">
        <v>5.2600000000000001E-2</v>
      </c>
      <c r="K80" s="122">
        <v>124</v>
      </c>
      <c r="L80" s="123">
        <v>2.7799999999999998E-2</v>
      </c>
      <c r="M80" s="122">
        <v>123.8</v>
      </c>
      <c r="N80" s="123">
        <v>2.6100000000000002E-2</v>
      </c>
      <c r="O80" s="122">
        <v>122</v>
      </c>
      <c r="P80" s="123">
        <v>1.12E-2</v>
      </c>
      <c r="Q80" s="1477"/>
      <c r="R80" s="1478"/>
      <c r="S80" s="1500"/>
      <c r="T80" s="1501"/>
      <c r="U80" s="1501"/>
      <c r="V80" s="1501"/>
      <c r="W80" s="1501"/>
      <c r="X80" s="1501"/>
      <c r="Y80" s="1501"/>
      <c r="Z80" s="1502"/>
    </row>
    <row r="81" spans="2:26" ht="7.5" customHeight="1" outlineLevel="1">
      <c r="B81" s="1488" t="s">
        <v>36</v>
      </c>
      <c r="C81" s="1488"/>
      <c r="D81" s="1488"/>
      <c r="E81" s="1488"/>
      <c r="F81" s="1488"/>
      <c r="G81" s="1488"/>
      <c r="H81" s="1488"/>
      <c r="I81" s="1488"/>
      <c r="J81" s="1488"/>
      <c r="K81" s="1488"/>
      <c r="L81" s="1488"/>
      <c r="M81" s="1488"/>
      <c r="N81" s="1488"/>
      <c r="O81" s="1488"/>
      <c r="P81" s="1488"/>
      <c r="Q81" s="1488"/>
      <c r="R81" s="1488"/>
      <c r="S81" s="1488"/>
      <c r="T81" s="1488"/>
      <c r="U81" s="1488"/>
      <c r="V81" s="1488"/>
      <c r="W81" s="1488"/>
      <c r="X81" s="1488"/>
      <c r="Y81" s="1488"/>
      <c r="Z81" s="1488"/>
    </row>
    <row r="82" spans="2:26" outlineLevel="1">
      <c r="B82" s="1466" t="s">
        <v>549</v>
      </c>
      <c r="C82" s="1468" t="s">
        <v>497</v>
      </c>
      <c r="D82" s="1474"/>
      <c r="E82" s="1453" t="s">
        <v>550</v>
      </c>
      <c r="F82" s="1453"/>
      <c r="G82" s="1453"/>
      <c r="H82" s="1453"/>
      <c r="I82" s="1453"/>
      <c r="J82" s="1453"/>
      <c r="K82" s="1453"/>
      <c r="L82" s="1453"/>
      <c r="M82" s="1453"/>
      <c r="N82" s="1453"/>
      <c r="O82" s="1453"/>
      <c r="P82" s="1454"/>
      <c r="Q82" s="1473" t="s">
        <v>499</v>
      </c>
      <c r="R82" s="1474"/>
      <c r="S82" s="1479" t="s">
        <v>500</v>
      </c>
      <c r="T82" s="1480"/>
      <c r="U82" s="1480"/>
      <c r="V82" s="1480"/>
      <c r="W82" s="1480"/>
      <c r="X82" s="1480"/>
      <c r="Y82" s="1480"/>
      <c r="Z82" s="1493"/>
    </row>
    <row r="83" spans="2:26" outlineLevel="1">
      <c r="B83" s="1466"/>
      <c r="C83" s="1489"/>
      <c r="D83" s="1478"/>
      <c r="E83" s="1453" t="s">
        <v>526</v>
      </c>
      <c r="F83" s="1454"/>
      <c r="G83" s="1453" t="s">
        <v>527</v>
      </c>
      <c r="H83" s="1454"/>
      <c r="I83" s="1453" t="s">
        <v>528</v>
      </c>
      <c r="J83" s="1454"/>
      <c r="K83" s="1453" t="s">
        <v>529</v>
      </c>
      <c r="L83" s="1454"/>
      <c r="M83" s="1453" t="s">
        <v>530</v>
      </c>
      <c r="N83" s="1454"/>
      <c r="O83" s="1453" t="s">
        <v>531</v>
      </c>
      <c r="P83" s="1454"/>
      <c r="Q83" s="1475"/>
      <c r="R83" s="1476"/>
      <c r="S83" s="1482"/>
      <c r="T83" s="1483"/>
      <c r="U83" s="1483"/>
      <c r="V83" s="1483"/>
      <c r="W83" s="1483"/>
      <c r="X83" s="1483"/>
      <c r="Y83" s="1483"/>
      <c r="Z83" s="1494"/>
    </row>
    <row r="84" spans="2:26" outlineLevel="1">
      <c r="B84" s="1466"/>
      <c r="C84" s="124" t="s">
        <v>502</v>
      </c>
      <c r="D84" s="126" t="s">
        <v>551</v>
      </c>
      <c r="E84" s="122" t="s">
        <v>503</v>
      </c>
      <c r="F84" s="122" t="s">
        <v>504</v>
      </c>
      <c r="G84" s="122" t="s">
        <v>503</v>
      </c>
      <c r="H84" s="122" t="s">
        <v>504</v>
      </c>
      <c r="I84" s="122" t="s">
        <v>503</v>
      </c>
      <c r="J84" s="122" t="s">
        <v>504</v>
      </c>
      <c r="K84" s="122" t="s">
        <v>503</v>
      </c>
      <c r="L84" s="122" t="s">
        <v>504</v>
      </c>
      <c r="M84" s="122" t="s">
        <v>503</v>
      </c>
      <c r="N84" s="122" t="s">
        <v>504</v>
      </c>
      <c r="O84" s="122" t="s">
        <v>503</v>
      </c>
      <c r="P84" s="122" t="s">
        <v>504</v>
      </c>
      <c r="Q84" s="1475"/>
      <c r="R84" s="1476"/>
      <c r="S84" s="1495"/>
      <c r="T84" s="1496"/>
      <c r="U84" s="1496"/>
      <c r="V84" s="1496"/>
      <c r="W84" s="1496"/>
      <c r="X84" s="1496"/>
      <c r="Y84" s="1496"/>
      <c r="Z84" s="1497"/>
    </row>
    <row r="85" spans="2:26" outlineLevel="1">
      <c r="B85" s="1466"/>
      <c r="C85" s="1455" t="s">
        <v>505</v>
      </c>
      <c r="D85" s="1456"/>
      <c r="E85" s="122">
        <v>90.2</v>
      </c>
      <c r="F85" s="123">
        <v>9.7000000000000003E-3</v>
      </c>
      <c r="G85" s="122">
        <v>90.6</v>
      </c>
      <c r="H85" s="123">
        <v>2.8000000000000001E-2</v>
      </c>
      <c r="I85" s="122">
        <v>90.5</v>
      </c>
      <c r="J85" s="123">
        <v>2.3400000000000001E-2</v>
      </c>
      <c r="K85" s="122">
        <v>90.8</v>
      </c>
      <c r="L85" s="123">
        <v>3.7199999999999997E-2</v>
      </c>
      <c r="M85" s="122">
        <v>90.8</v>
      </c>
      <c r="N85" s="123">
        <v>3.7199999999999997E-2</v>
      </c>
      <c r="O85" s="122">
        <v>91.5</v>
      </c>
      <c r="P85" s="123">
        <v>6.9400000000000003E-2</v>
      </c>
      <c r="Q85" s="1475"/>
      <c r="R85" s="1476"/>
      <c r="S85" s="1490" t="s">
        <v>537</v>
      </c>
      <c r="T85" s="1491"/>
      <c r="U85" s="1491"/>
      <c r="V85" s="1491"/>
      <c r="W85" s="1491"/>
      <c r="X85" s="1491"/>
      <c r="Y85" s="1491"/>
      <c r="Z85" s="1498"/>
    </row>
    <row r="86" spans="2:26" outlineLevel="1">
      <c r="B86" s="1466"/>
      <c r="C86" s="1455" t="s">
        <v>507</v>
      </c>
      <c r="D86" s="1456"/>
      <c r="E86" s="122">
        <v>58.9</v>
      </c>
      <c r="F86" s="123">
        <v>1.18E-2</v>
      </c>
      <c r="G86" s="122">
        <v>59</v>
      </c>
      <c r="H86" s="123">
        <v>1.9699999999999999E-2</v>
      </c>
      <c r="I86" s="122">
        <v>59.5</v>
      </c>
      <c r="J86" s="123">
        <v>5.91E-2</v>
      </c>
      <c r="K86" s="122">
        <v>59.5</v>
      </c>
      <c r="L86" s="123">
        <v>5.91E-2</v>
      </c>
      <c r="M86" s="122">
        <v>59.8</v>
      </c>
      <c r="N86" s="123">
        <v>8.2699999999999996E-2</v>
      </c>
      <c r="O86" s="122">
        <v>59</v>
      </c>
      <c r="P86" s="123">
        <v>1.5699999999999999E-2</v>
      </c>
      <c r="Q86" s="1475"/>
      <c r="R86" s="1476"/>
      <c r="S86" s="1457"/>
      <c r="T86" s="1458"/>
      <c r="U86" s="1458"/>
      <c r="V86" s="1458"/>
      <c r="W86" s="1458"/>
      <c r="X86" s="1458"/>
      <c r="Y86" s="1458"/>
      <c r="Z86" s="1499"/>
    </row>
    <row r="87" spans="2:26" outlineLevel="1">
      <c r="B87" s="1467"/>
      <c r="C87" s="1455" t="s">
        <v>508</v>
      </c>
      <c r="D87" s="1456"/>
      <c r="E87" s="122">
        <v>120.9</v>
      </c>
      <c r="F87" s="123">
        <v>1.21E-2</v>
      </c>
      <c r="G87" s="122">
        <v>120.8</v>
      </c>
      <c r="H87" s="123">
        <v>7.3000000000000001E-3</v>
      </c>
      <c r="I87" s="122">
        <v>120.9</v>
      </c>
      <c r="J87" s="123">
        <v>1.21E-2</v>
      </c>
      <c r="K87" s="122">
        <v>121.1</v>
      </c>
      <c r="L87" s="123">
        <v>1.9400000000000001E-2</v>
      </c>
      <c r="M87" s="122">
        <v>121.1</v>
      </c>
      <c r="N87" s="123">
        <v>2.18E-2</v>
      </c>
      <c r="O87" s="122">
        <v>120.8</v>
      </c>
      <c r="P87" s="123">
        <v>7.3000000000000001E-3</v>
      </c>
      <c r="Q87" s="1477"/>
      <c r="R87" s="1478"/>
      <c r="S87" s="1500"/>
      <c r="T87" s="1501"/>
      <c r="U87" s="1501"/>
      <c r="V87" s="1501"/>
      <c r="W87" s="1501"/>
      <c r="X87" s="1501"/>
      <c r="Y87" s="1501"/>
      <c r="Z87" s="1502"/>
    </row>
    <row r="89" spans="2:26" ht="24" customHeight="1">
      <c r="B89" s="1503">
        <v>46168</v>
      </c>
      <c r="C89" s="1504"/>
      <c r="D89" s="1504"/>
      <c r="E89" s="1504"/>
      <c r="F89" s="1504"/>
      <c r="G89" s="1504"/>
      <c r="H89" s="1504"/>
      <c r="I89" s="1504"/>
      <c r="J89" s="1504"/>
      <c r="K89" s="1504"/>
      <c r="L89" s="1504"/>
      <c r="M89" s="1504"/>
      <c r="N89" s="1504"/>
      <c r="O89" s="1504"/>
      <c r="P89" s="1504"/>
      <c r="Q89" s="1504"/>
      <c r="R89" s="1504"/>
      <c r="S89" s="1504"/>
      <c r="T89" s="1504"/>
      <c r="U89" s="1504"/>
      <c r="V89" s="1504"/>
      <c r="W89" s="1504"/>
      <c r="X89" s="1504"/>
      <c r="Y89" s="1504"/>
      <c r="Z89" s="1505"/>
    </row>
    <row r="90" spans="2:26">
      <c r="B90" s="1466" t="s">
        <v>496</v>
      </c>
      <c r="C90" s="1468" t="s">
        <v>497</v>
      </c>
      <c r="D90" s="1469"/>
      <c r="E90" s="1453" t="s">
        <v>498</v>
      </c>
      <c r="F90" s="1453"/>
      <c r="G90" s="1453"/>
      <c r="H90" s="1453"/>
      <c r="I90" s="1453"/>
      <c r="J90" s="1453"/>
      <c r="K90" s="1453"/>
      <c r="L90" s="1453"/>
      <c r="M90" s="1453"/>
      <c r="N90" s="1472"/>
      <c r="O90" s="1473" t="s">
        <v>499</v>
      </c>
      <c r="P90" s="1474"/>
      <c r="Q90" s="1479" t="s">
        <v>552</v>
      </c>
      <c r="R90" s="1480"/>
      <c r="S90" s="1480"/>
      <c r="T90" s="1480"/>
      <c r="U90" s="1480"/>
      <c r="V90" s="1480"/>
      <c r="W90" s="1480"/>
      <c r="X90" s="1480"/>
      <c r="Y90" s="1480"/>
      <c r="Z90" s="1481"/>
    </row>
    <row r="91" spans="2:26">
      <c r="B91" s="1466"/>
      <c r="C91" s="1470"/>
      <c r="D91" s="1471"/>
      <c r="E91" s="1453">
        <v>161</v>
      </c>
      <c r="F91" s="1454"/>
      <c r="G91" s="1453">
        <v>162</v>
      </c>
      <c r="H91" s="1454"/>
      <c r="I91" s="1453">
        <v>163</v>
      </c>
      <c r="J91" s="1454"/>
      <c r="K91" s="1453">
        <v>164</v>
      </c>
      <c r="L91" s="1454"/>
      <c r="M91" s="1453" t="s">
        <v>501</v>
      </c>
      <c r="N91" s="1454"/>
      <c r="O91" s="1475"/>
      <c r="P91" s="1476"/>
      <c r="Q91" s="1482"/>
      <c r="R91" s="1483"/>
      <c r="S91" s="1483"/>
      <c r="T91" s="1483"/>
      <c r="U91" s="1483"/>
      <c r="V91" s="1483"/>
      <c r="W91" s="1483"/>
      <c r="X91" s="1483"/>
      <c r="Y91" s="1483"/>
      <c r="Z91" s="1484"/>
    </row>
    <row r="92" spans="2:26">
      <c r="B92" s="1466"/>
      <c r="C92" s="124" t="s">
        <v>502</v>
      </c>
      <c r="D92" s="227">
        <v>46208</v>
      </c>
      <c r="E92" s="122" t="s">
        <v>503</v>
      </c>
      <c r="F92" s="122" t="s">
        <v>504</v>
      </c>
      <c r="G92" s="122" t="s">
        <v>503</v>
      </c>
      <c r="H92" s="122" t="s">
        <v>504</v>
      </c>
      <c r="I92" s="122" t="s">
        <v>503</v>
      </c>
      <c r="J92" s="122" t="s">
        <v>504</v>
      </c>
      <c r="K92" s="122" t="s">
        <v>503</v>
      </c>
      <c r="L92" s="122" t="s">
        <v>504</v>
      </c>
      <c r="M92" s="122" t="s">
        <v>503</v>
      </c>
      <c r="N92" s="122" t="s">
        <v>504</v>
      </c>
      <c r="O92" s="1475"/>
      <c r="P92" s="1476"/>
      <c r="Q92" s="1485"/>
      <c r="R92" s="1486"/>
      <c r="S92" s="1486"/>
      <c r="T92" s="1486"/>
      <c r="U92" s="1486"/>
      <c r="V92" s="1486"/>
      <c r="W92" s="1486"/>
      <c r="X92" s="1486"/>
      <c r="Y92" s="1486"/>
      <c r="Z92" s="1487"/>
    </row>
    <row r="93" spans="2:26" ht="15" customHeight="1">
      <c r="B93" s="1466"/>
      <c r="C93" s="1455" t="s">
        <v>505</v>
      </c>
      <c r="D93" s="1456"/>
      <c r="E93" s="122">
        <v>90</v>
      </c>
      <c r="F93" s="123">
        <f>+(E93-89.9)/89.9</f>
        <v>1.1123470522802481E-3</v>
      </c>
      <c r="G93" s="122">
        <v>90.5</v>
      </c>
      <c r="H93" s="123">
        <f>+(G93-89.9)/89.9</f>
        <v>6.6740823136818049E-3</v>
      </c>
      <c r="I93" s="122">
        <v>90.5</v>
      </c>
      <c r="J93" s="123">
        <f>+(I93-89.9)/89.9</f>
        <v>6.6740823136818049E-3</v>
      </c>
      <c r="K93" s="122">
        <v>90.8</v>
      </c>
      <c r="L93" s="123">
        <f>+(K93-89.9)/89.9</f>
        <v>1.0011123470522708E-2</v>
      </c>
      <c r="M93" s="122">
        <v>90.5</v>
      </c>
      <c r="N93" s="123">
        <f>+(M93-89.9)/89.9</f>
        <v>6.6740823136818049E-3</v>
      </c>
      <c r="O93" s="1475"/>
      <c r="P93" s="1476"/>
      <c r="Q93" s="1457" t="s">
        <v>537</v>
      </c>
      <c r="R93" s="1458"/>
      <c r="S93" s="1458"/>
      <c r="T93" s="1458"/>
      <c r="U93" s="1458"/>
      <c r="V93" s="1458"/>
      <c r="W93" s="1458"/>
      <c r="X93" s="1458"/>
      <c r="Y93" s="1458"/>
      <c r="Z93" s="1459"/>
    </row>
    <row r="94" spans="2:26">
      <c r="B94" s="1466"/>
      <c r="C94" s="1455" t="s">
        <v>507</v>
      </c>
      <c r="D94" s="1456"/>
      <c r="E94" s="122">
        <v>59.2</v>
      </c>
      <c r="F94" s="123">
        <f>+(E94-58.75)/58.75</f>
        <v>7.6595744680851546E-3</v>
      </c>
      <c r="G94" s="122">
        <v>60.5</v>
      </c>
      <c r="H94" s="123">
        <f>+(G94-58.75)/58.75</f>
        <v>2.9787234042553193E-2</v>
      </c>
      <c r="I94" s="122">
        <v>59.5</v>
      </c>
      <c r="J94" s="123">
        <f>+(I94-58.75)/58.75</f>
        <v>1.276595744680851E-2</v>
      </c>
      <c r="K94" s="122">
        <v>59.3</v>
      </c>
      <c r="L94" s="123">
        <f>+(K94-58.75)/58.75</f>
        <v>9.3617021276595266E-3</v>
      </c>
      <c r="M94" s="122">
        <v>59</v>
      </c>
      <c r="N94" s="123">
        <f>+(M94-58.75)/58.75</f>
        <v>4.2553191489361703E-3</v>
      </c>
      <c r="O94" s="1475"/>
      <c r="P94" s="1476"/>
      <c r="Q94" s="1457"/>
      <c r="R94" s="1458"/>
      <c r="S94" s="1458"/>
      <c r="T94" s="1458"/>
      <c r="U94" s="1458"/>
      <c r="V94" s="1458"/>
      <c r="W94" s="1458"/>
      <c r="X94" s="1458"/>
      <c r="Y94" s="1458"/>
      <c r="Z94" s="1459"/>
    </row>
    <row r="95" spans="2:26">
      <c r="B95" s="1467"/>
      <c r="C95" s="1455" t="s">
        <v>508</v>
      </c>
      <c r="D95" s="1456"/>
      <c r="E95" s="122">
        <v>123.5</v>
      </c>
      <c r="F95" s="123">
        <f>+(E95-120.65)/120.65</f>
        <v>2.3622047244094439E-2</v>
      </c>
      <c r="G95" s="122">
        <v>119</v>
      </c>
      <c r="H95" s="123">
        <f>+(G95-120.65)/120.65</f>
        <v>-1.3675922088686329E-2</v>
      </c>
      <c r="I95" s="122">
        <v>121</v>
      </c>
      <c r="J95" s="123">
        <f>+(I95-120.65)/120.65</f>
        <v>2.9009531703273459E-3</v>
      </c>
      <c r="K95" s="122">
        <v>119</v>
      </c>
      <c r="L95" s="123">
        <f>+(K95-120.65)/120.65</f>
        <v>-1.3675922088686329E-2</v>
      </c>
      <c r="M95" s="122">
        <v>114</v>
      </c>
      <c r="N95" s="123">
        <f>+(M95-120.65)/120.65</f>
        <v>-5.511811023622052E-2</v>
      </c>
      <c r="O95" s="1477"/>
      <c r="P95" s="1478"/>
      <c r="Q95" s="1460"/>
      <c r="R95" s="1461"/>
      <c r="S95" s="1461"/>
      <c r="T95" s="1461"/>
      <c r="U95" s="1461"/>
      <c r="V95" s="1461"/>
      <c r="W95" s="1461"/>
      <c r="X95" s="1461"/>
      <c r="Y95" s="1461"/>
      <c r="Z95" s="1462"/>
    </row>
    <row r="96" spans="2:26">
      <c r="B96" s="1488" t="s">
        <v>36</v>
      </c>
      <c r="C96" s="1488"/>
      <c r="D96" s="1488"/>
      <c r="E96" s="1488"/>
      <c r="F96" s="1488"/>
      <c r="G96" s="1488"/>
      <c r="H96" s="1488"/>
      <c r="I96" s="1488"/>
      <c r="J96" s="1488"/>
      <c r="K96" s="1488"/>
      <c r="L96" s="1488"/>
      <c r="M96" s="1488"/>
      <c r="N96" s="1488"/>
      <c r="O96" s="1488"/>
      <c r="P96" s="1488"/>
      <c r="Q96" s="1488"/>
      <c r="R96" s="1488"/>
      <c r="S96" s="1488"/>
      <c r="T96" s="1488"/>
      <c r="U96" s="1488"/>
      <c r="V96" s="1488"/>
      <c r="W96" s="1488"/>
      <c r="X96" s="1488"/>
      <c r="Y96" s="1488"/>
      <c r="Z96" s="1488"/>
    </row>
    <row r="97" spans="2:26">
      <c r="B97" s="1466" t="s">
        <v>509</v>
      </c>
      <c r="C97" s="1468" t="s">
        <v>497</v>
      </c>
      <c r="D97" s="1474"/>
      <c r="E97" s="1453" t="s">
        <v>510</v>
      </c>
      <c r="F97" s="1453"/>
      <c r="G97" s="1453"/>
      <c r="H97" s="1453"/>
      <c r="I97" s="1453"/>
      <c r="J97" s="1453"/>
      <c r="K97" s="1453"/>
      <c r="L97" s="1472"/>
      <c r="M97" s="1473" t="s">
        <v>499</v>
      </c>
      <c r="N97" s="1474"/>
      <c r="O97" s="1479" t="s">
        <v>511</v>
      </c>
      <c r="P97" s="1480"/>
      <c r="Q97" s="1480"/>
      <c r="R97" s="1480"/>
      <c r="S97" s="1480"/>
      <c r="T97" s="1480"/>
      <c r="U97" s="1480"/>
      <c r="V97" s="1480"/>
      <c r="W97" s="1480"/>
      <c r="X97" s="1480"/>
      <c r="Y97" s="1480"/>
      <c r="Z97" s="1481"/>
    </row>
    <row r="98" spans="2:26">
      <c r="B98" s="1466"/>
      <c r="C98" s="1489"/>
      <c r="D98" s="1478"/>
      <c r="E98" s="1453">
        <v>831</v>
      </c>
      <c r="F98" s="1454"/>
      <c r="G98" s="1453">
        <v>832</v>
      </c>
      <c r="H98" s="1454"/>
      <c r="I98" s="1453">
        <v>833</v>
      </c>
      <c r="J98" s="1454"/>
      <c r="K98" s="1453" t="s">
        <v>512</v>
      </c>
      <c r="L98" s="1454"/>
      <c r="M98" s="1475"/>
      <c r="N98" s="1476"/>
      <c r="O98" s="1482"/>
      <c r="P98" s="1483"/>
      <c r="Q98" s="1483"/>
      <c r="R98" s="1483"/>
      <c r="S98" s="1483"/>
      <c r="T98" s="1483"/>
      <c r="U98" s="1483"/>
      <c r="V98" s="1483"/>
      <c r="W98" s="1483"/>
      <c r="X98" s="1483"/>
      <c r="Y98" s="1483"/>
      <c r="Z98" s="1484"/>
    </row>
    <row r="99" spans="2:26">
      <c r="B99" s="1466"/>
      <c r="C99" s="124" t="s">
        <v>502</v>
      </c>
      <c r="D99" s="126"/>
      <c r="E99" s="122" t="s">
        <v>503</v>
      </c>
      <c r="F99" s="122" t="s">
        <v>504</v>
      </c>
      <c r="G99" s="122" t="s">
        <v>503</v>
      </c>
      <c r="H99" s="122" t="s">
        <v>504</v>
      </c>
      <c r="I99" s="122" t="s">
        <v>503</v>
      </c>
      <c r="J99" s="122" t="s">
        <v>504</v>
      </c>
      <c r="K99" s="122" t="s">
        <v>503</v>
      </c>
      <c r="L99" s="122" t="s">
        <v>504</v>
      </c>
      <c r="M99" s="1475"/>
      <c r="N99" s="1476"/>
      <c r="O99" s="1485"/>
      <c r="P99" s="1486"/>
      <c r="Q99" s="1486"/>
      <c r="R99" s="1486"/>
      <c r="S99" s="1486"/>
      <c r="T99" s="1486"/>
      <c r="U99" s="1486"/>
      <c r="V99" s="1486"/>
      <c r="W99" s="1486"/>
      <c r="X99" s="1486"/>
      <c r="Y99" s="1486"/>
      <c r="Z99" s="1487"/>
    </row>
    <row r="100" spans="2:26">
      <c r="B100" s="1466"/>
      <c r="C100" s="1455" t="s">
        <v>505</v>
      </c>
      <c r="D100" s="1456"/>
      <c r="E100" s="122"/>
      <c r="F100" s="123"/>
      <c r="G100" s="122"/>
      <c r="H100" s="123"/>
      <c r="I100" s="122"/>
      <c r="J100" s="123"/>
      <c r="K100" s="122"/>
      <c r="L100" s="122"/>
      <c r="M100" s="1475"/>
      <c r="N100" s="1476"/>
      <c r="O100" s="1457" t="s">
        <v>514</v>
      </c>
      <c r="P100" s="1458"/>
      <c r="Q100" s="1458"/>
      <c r="R100" s="1458"/>
      <c r="S100" s="1458"/>
      <c r="T100" s="1458"/>
      <c r="U100" s="1458"/>
      <c r="V100" s="1458"/>
      <c r="W100" s="1458"/>
      <c r="X100" s="1458"/>
      <c r="Y100" s="1458"/>
      <c r="Z100" s="1459"/>
    </row>
    <row r="101" spans="2:26">
      <c r="B101" s="1466"/>
      <c r="C101" s="1455" t="s">
        <v>507</v>
      </c>
      <c r="D101" s="1456"/>
      <c r="E101" s="122"/>
      <c r="F101" s="123"/>
      <c r="G101" s="122"/>
      <c r="H101" s="123"/>
      <c r="I101" s="122"/>
      <c r="J101" s="123"/>
      <c r="K101" s="122"/>
      <c r="L101" s="122"/>
      <c r="M101" s="1475"/>
      <c r="N101" s="1476"/>
      <c r="O101" s="1457"/>
      <c r="P101" s="1458"/>
      <c r="Q101" s="1458"/>
      <c r="R101" s="1458"/>
      <c r="S101" s="1458"/>
      <c r="T101" s="1458"/>
      <c r="U101" s="1458"/>
      <c r="V101" s="1458"/>
      <c r="W101" s="1458"/>
      <c r="X101" s="1458"/>
      <c r="Y101" s="1458"/>
      <c r="Z101" s="1459"/>
    </row>
    <row r="102" spans="2:26">
      <c r="B102" s="1467"/>
      <c r="C102" s="1455" t="s">
        <v>508</v>
      </c>
      <c r="D102" s="1456"/>
      <c r="E102" s="122"/>
      <c r="F102" s="123"/>
      <c r="G102" s="122"/>
      <c r="H102" s="123"/>
      <c r="I102" s="122"/>
      <c r="J102" s="123"/>
      <c r="K102" s="122"/>
      <c r="L102" s="122"/>
      <c r="M102" s="1477"/>
      <c r="N102" s="1478"/>
      <c r="O102" s="1460"/>
      <c r="P102" s="1461"/>
      <c r="Q102" s="1461"/>
      <c r="R102" s="1461"/>
      <c r="S102" s="1461"/>
      <c r="T102" s="1461"/>
      <c r="U102" s="1461"/>
      <c r="V102" s="1461"/>
      <c r="W102" s="1461"/>
      <c r="X102" s="1461"/>
      <c r="Y102" s="1461"/>
      <c r="Z102" s="1462"/>
    </row>
    <row r="103" spans="2:26">
      <c r="B103" s="1488" t="s">
        <v>36</v>
      </c>
      <c r="C103" s="1488"/>
      <c r="D103" s="1488"/>
      <c r="E103" s="1488"/>
      <c r="F103" s="1488"/>
      <c r="G103" s="1488"/>
      <c r="H103" s="1488"/>
      <c r="I103" s="1488"/>
      <c r="J103" s="1488"/>
      <c r="K103" s="1488"/>
      <c r="L103" s="1488"/>
      <c r="M103" s="1488"/>
      <c r="N103" s="1488"/>
      <c r="O103" s="1488"/>
      <c r="P103" s="1488"/>
      <c r="Q103" s="1488"/>
      <c r="R103" s="1488"/>
      <c r="S103" s="1488"/>
      <c r="T103" s="1488"/>
      <c r="U103" s="1488"/>
      <c r="V103" s="1488"/>
      <c r="W103" s="1488"/>
      <c r="X103" s="1488"/>
      <c r="Y103" s="1488"/>
      <c r="Z103" s="1488"/>
    </row>
    <row r="104" spans="2:26">
      <c r="B104" s="1466" t="s">
        <v>515</v>
      </c>
      <c r="C104" s="1468" t="s">
        <v>497</v>
      </c>
      <c r="D104" s="1474"/>
      <c r="E104" s="1453" t="s">
        <v>516</v>
      </c>
      <c r="F104" s="1453"/>
      <c r="G104" s="1453"/>
      <c r="H104" s="1453"/>
      <c r="I104" s="1453"/>
      <c r="J104" s="1453"/>
      <c r="K104" s="1453"/>
      <c r="L104" s="1472"/>
      <c r="M104" s="1473" t="s">
        <v>499</v>
      </c>
      <c r="N104" s="1474"/>
      <c r="O104" s="1479"/>
      <c r="P104" s="1480"/>
      <c r="Q104" s="1480"/>
      <c r="R104" s="1480"/>
      <c r="S104" s="1480"/>
      <c r="T104" s="1480"/>
      <c r="U104" s="1480"/>
      <c r="V104" s="1480"/>
      <c r="W104" s="1480"/>
      <c r="X104" s="1480"/>
      <c r="Y104" s="1480"/>
      <c r="Z104" s="1481"/>
    </row>
    <row r="105" spans="2:26">
      <c r="B105" s="1466"/>
      <c r="C105" s="1489"/>
      <c r="D105" s="1478"/>
      <c r="E105" s="1453">
        <v>153</v>
      </c>
      <c r="F105" s="1454"/>
      <c r="G105" s="1453">
        <v>154</v>
      </c>
      <c r="H105" s="1454"/>
      <c r="I105" s="1453">
        <v>155</v>
      </c>
      <c r="J105" s="1454"/>
      <c r="K105" s="1453" t="s">
        <v>512</v>
      </c>
      <c r="L105" s="1454"/>
      <c r="M105" s="1475"/>
      <c r="N105" s="1476"/>
      <c r="O105" s="1482"/>
      <c r="P105" s="1483"/>
      <c r="Q105" s="1483"/>
      <c r="R105" s="1483"/>
      <c r="S105" s="1483"/>
      <c r="T105" s="1483"/>
      <c r="U105" s="1483"/>
      <c r="V105" s="1483"/>
      <c r="W105" s="1483"/>
      <c r="X105" s="1483"/>
      <c r="Y105" s="1483"/>
      <c r="Z105" s="1484"/>
    </row>
    <row r="106" spans="2:26">
      <c r="B106" s="1466"/>
      <c r="C106" s="124" t="s">
        <v>502</v>
      </c>
      <c r="D106" s="227">
        <v>46270</v>
      </c>
      <c r="E106" s="122" t="s">
        <v>503</v>
      </c>
      <c r="F106" s="122" t="s">
        <v>504</v>
      </c>
      <c r="G106" s="122" t="s">
        <v>503</v>
      </c>
      <c r="H106" s="122" t="s">
        <v>504</v>
      </c>
      <c r="I106" s="122" t="s">
        <v>503</v>
      </c>
      <c r="J106" s="122" t="s">
        <v>504</v>
      </c>
      <c r="K106" s="122" t="s">
        <v>503</v>
      </c>
      <c r="L106" s="122" t="s">
        <v>504</v>
      </c>
      <c r="M106" s="1475"/>
      <c r="N106" s="1476"/>
      <c r="O106" s="1485"/>
      <c r="P106" s="1486"/>
      <c r="Q106" s="1486"/>
      <c r="R106" s="1486"/>
      <c r="S106" s="1486"/>
      <c r="T106" s="1486"/>
      <c r="U106" s="1486"/>
      <c r="V106" s="1486"/>
      <c r="W106" s="1486"/>
      <c r="X106" s="1486"/>
      <c r="Y106" s="1486"/>
      <c r="Z106" s="1487"/>
    </row>
    <row r="107" spans="2:26" ht="15" customHeight="1">
      <c r="B107" s="1466"/>
      <c r="C107" s="1455" t="s">
        <v>505</v>
      </c>
      <c r="D107" s="1456"/>
      <c r="E107" s="122">
        <v>88</v>
      </c>
      <c r="F107" s="123">
        <f>+(E107-89.9)/89.9</f>
        <v>-2.1134593993325981E-2</v>
      </c>
      <c r="G107" s="122">
        <v>89</v>
      </c>
      <c r="H107" s="123">
        <f>+(G107-89.9)/89.9</f>
        <v>-1.0011123470522866E-2</v>
      </c>
      <c r="I107" s="122">
        <v>89</v>
      </c>
      <c r="J107" s="123">
        <f>+(I107-89.9)/89.9</f>
        <v>-1.0011123470522866E-2</v>
      </c>
      <c r="K107" s="122"/>
      <c r="L107" s="122"/>
      <c r="M107" s="1475"/>
      <c r="N107" s="1476"/>
      <c r="O107" s="1490"/>
      <c r="P107" s="1491"/>
      <c r="Q107" s="1491"/>
      <c r="R107" s="1491"/>
      <c r="S107" s="1491"/>
      <c r="T107" s="1491"/>
      <c r="U107" s="1491"/>
      <c r="V107" s="1491"/>
      <c r="W107" s="1491"/>
      <c r="X107" s="1491"/>
      <c r="Y107" s="1491"/>
      <c r="Z107" s="1492"/>
    </row>
    <row r="108" spans="2:26">
      <c r="B108" s="1466"/>
      <c r="C108" s="1455" t="s">
        <v>507</v>
      </c>
      <c r="D108" s="1456"/>
      <c r="E108" s="122">
        <v>60</v>
      </c>
      <c r="F108" s="123">
        <f>+(E108-58.75)/58.75</f>
        <v>2.1276595744680851E-2</v>
      </c>
      <c r="G108" s="122">
        <v>56</v>
      </c>
      <c r="H108" s="123">
        <f>+(G108-58.75)/58.75</f>
        <v>-4.6808510638297871E-2</v>
      </c>
      <c r="I108" s="122">
        <v>55</v>
      </c>
      <c r="J108" s="123">
        <f>+(I108-58.75)/58.75</f>
        <v>-6.3829787234042548E-2</v>
      </c>
      <c r="K108" s="122"/>
      <c r="L108" s="122"/>
      <c r="M108" s="1475"/>
      <c r="N108" s="1476"/>
      <c r="O108" s="1457"/>
      <c r="P108" s="1458"/>
      <c r="Q108" s="1458"/>
      <c r="R108" s="1458"/>
      <c r="S108" s="1458"/>
      <c r="T108" s="1458"/>
      <c r="U108" s="1458"/>
      <c r="V108" s="1458"/>
      <c r="W108" s="1458"/>
      <c r="X108" s="1458"/>
      <c r="Y108" s="1458"/>
      <c r="Z108" s="1459"/>
    </row>
    <row r="109" spans="2:26">
      <c r="B109" s="1467"/>
      <c r="C109" s="1455" t="s">
        <v>508</v>
      </c>
      <c r="D109" s="1456"/>
      <c r="E109" s="122">
        <v>120.8</v>
      </c>
      <c r="F109" s="123">
        <f>+(E109-120.65)/120.65</f>
        <v>1.243265644425955E-3</v>
      </c>
      <c r="G109" s="122">
        <v>124</v>
      </c>
      <c r="H109" s="123">
        <f>+(G109-120.65)/120.65</f>
        <v>2.7766266058847858E-2</v>
      </c>
      <c r="I109" s="122">
        <v>125</v>
      </c>
      <c r="J109" s="123">
        <f>+(I109-120.65)/120.65</f>
        <v>3.6054703688354693E-2</v>
      </c>
      <c r="K109" s="122"/>
      <c r="L109" s="122"/>
      <c r="M109" s="1477"/>
      <c r="N109" s="1478"/>
      <c r="O109" s="1460"/>
      <c r="P109" s="1461"/>
      <c r="Q109" s="1461"/>
      <c r="R109" s="1461"/>
      <c r="S109" s="1461"/>
      <c r="T109" s="1461"/>
      <c r="U109" s="1461"/>
      <c r="V109" s="1461"/>
      <c r="W109" s="1461"/>
      <c r="X109" s="1461"/>
      <c r="Y109" s="1461"/>
      <c r="Z109" s="1462"/>
    </row>
    <row r="110" spans="2:26">
      <c r="B110" s="1488" t="s">
        <v>36</v>
      </c>
      <c r="C110" s="1488"/>
      <c r="D110" s="1488"/>
      <c r="E110" s="1488"/>
      <c r="F110" s="1488"/>
      <c r="G110" s="1488"/>
      <c r="H110" s="1488"/>
      <c r="I110" s="1488"/>
      <c r="J110" s="1488"/>
      <c r="K110" s="1488"/>
      <c r="L110" s="1488"/>
      <c r="M110" s="1488"/>
      <c r="N110" s="1488"/>
      <c r="O110" s="1488"/>
      <c r="P110" s="1488"/>
      <c r="Q110" s="1488"/>
      <c r="R110" s="1488"/>
      <c r="S110" s="1488"/>
      <c r="T110" s="1488"/>
      <c r="U110" s="1488"/>
      <c r="V110" s="1488"/>
      <c r="W110" s="1488"/>
      <c r="X110" s="1488"/>
      <c r="Y110" s="1488"/>
      <c r="Z110" s="1488"/>
    </row>
    <row r="111" spans="2:26">
      <c r="B111" s="1466" t="s">
        <v>520</v>
      </c>
      <c r="C111" s="1468" t="s">
        <v>497</v>
      </c>
      <c r="D111" s="1474"/>
      <c r="E111" s="1453" t="s">
        <v>521</v>
      </c>
      <c r="F111" s="1453"/>
      <c r="G111" s="1453"/>
      <c r="H111" s="1453"/>
      <c r="I111" s="1453"/>
      <c r="J111" s="1453"/>
      <c r="K111" s="1453"/>
      <c r="L111" s="1472"/>
      <c r="M111" s="1473" t="s">
        <v>499</v>
      </c>
      <c r="N111" s="1474"/>
      <c r="O111" s="1479"/>
      <c r="P111" s="1480"/>
      <c r="Q111" s="1480"/>
      <c r="R111" s="1480"/>
      <c r="S111" s="1480"/>
      <c r="T111" s="1480"/>
      <c r="U111" s="1480"/>
      <c r="V111" s="1480"/>
      <c r="W111" s="1480"/>
      <c r="X111" s="1480"/>
      <c r="Y111" s="1480"/>
      <c r="Z111" s="1481"/>
    </row>
    <row r="112" spans="2:26">
      <c r="B112" s="1466"/>
      <c r="C112" s="1489"/>
      <c r="D112" s="1478"/>
      <c r="E112" s="1453">
        <v>158</v>
      </c>
      <c r="F112" s="1454"/>
      <c r="G112" s="1453">
        <v>159</v>
      </c>
      <c r="H112" s="1454"/>
      <c r="I112" s="1453">
        <v>160</v>
      </c>
      <c r="J112" s="1454"/>
      <c r="K112" s="1453" t="s">
        <v>512</v>
      </c>
      <c r="L112" s="1454"/>
      <c r="M112" s="1475"/>
      <c r="N112" s="1476"/>
      <c r="O112" s="1482"/>
      <c r="P112" s="1483"/>
      <c r="Q112" s="1483"/>
      <c r="R112" s="1483"/>
      <c r="S112" s="1483"/>
      <c r="T112" s="1483"/>
      <c r="U112" s="1483"/>
      <c r="V112" s="1483"/>
      <c r="W112" s="1483"/>
      <c r="X112" s="1483"/>
      <c r="Y112" s="1483"/>
      <c r="Z112" s="1484"/>
    </row>
    <row r="113" spans="2:26">
      <c r="B113" s="1466"/>
      <c r="C113" s="124" t="s">
        <v>502</v>
      </c>
      <c r="D113" s="227">
        <v>46270</v>
      </c>
      <c r="E113" s="122" t="s">
        <v>503</v>
      </c>
      <c r="F113" s="122" t="s">
        <v>504</v>
      </c>
      <c r="G113" s="122" t="s">
        <v>503</v>
      </c>
      <c r="H113" s="122" t="s">
        <v>504</v>
      </c>
      <c r="I113" s="122" t="s">
        <v>503</v>
      </c>
      <c r="J113" s="122" t="s">
        <v>504</v>
      </c>
      <c r="K113" s="122" t="s">
        <v>503</v>
      </c>
      <c r="L113" s="122" t="s">
        <v>504</v>
      </c>
      <c r="M113" s="1475"/>
      <c r="N113" s="1476"/>
      <c r="O113" s="1485"/>
      <c r="P113" s="1486"/>
      <c r="Q113" s="1486"/>
      <c r="R113" s="1486"/>
      <c r="S113" s="1486"/>
      <c r="T113" s="1486"/>
      <c r="U113" s="1486"/>
      <c r="V113" s="1486"/>
      <c r="W113" s="1486"/>
      <c r="X113" s="1486"/>
      <c r="Y113" s="1486"/>
      <c r="Z113" s="1487"/>
    </row>
    <row r="114" spans="2:26" ht="15" customHeight="1">
      <c r="B114" s="1466"/>
      <c r="C114" s="1455" t="s">
        <v>505</v>
      </c>
      <c r="D114" s="1456"/>
      <c r="E114" s="122">
        <v>88</v>
      </c>
      <c r="F114" s="123">
        <f>+(E114-89.9)/89.9</f>
        <v>-2.1134593993325981E-2</v>
      </c>
      <c r="G114" s="122">
        <v>88</v>
      </c>
      <c r="H114" s="123">
        <f>+(G114-89.9)/89.9</f>
        <v>-2.1134593993325981E-2</v>
      </c>
      <c r="I114" s="122">
        <v>88</v>
      </c>
      <c r="J114" s="123">
        <f>+(I114-89.9)/89.9</f>
        <v>-2.1134593993325981E-2</v>
      </c>
      <c r="K114" s="122"/>
      <c r="L114" s="122"/>
      <c r="M114" s="1475"/>
      <c r="N114" s="1476"/>
      <c r="O114" s="1490"/>
      <c r="P114" s="1491"/>
      <c r="Q114" s="1491"/>
      <c r="R114" s="1491"/>
      <c r="S114" s="1491"/>
      <c r="T114" s="1491"/>
      <c r="U114" s="1491"/>
      <c r="V114" s="1491"/>
      <c r="W114" s="1491"/>
      <c r="X114" s="1491"/>
      <c r="Y114" s="1491"/>
      <c r="Z114" s="1492"/>
    </row>
    <row r="115" spans="2:26">
      <c r="B115" s="1466"/>
      <c r="C115" s="1455" t="s">
        <v>507</v>
      </c>
      <c r="D115" s="1456"/>
      <c r="E115" s="122">
        <v>54</v>
      </c>
      <c r="F115" s="123">
        <f>+(E115-58.75)/58.75</f>
        <v>-8.085106382978724E-2</v>
      </c>
      <c r="G115" s="122">
        <v>57</v>
      </c>
      <c r="H115" s="123">
        <f>+(G115-58.75)/58.75</f>
        <v>-2.9787234042553193E-2</v>
      </c>
      <c r="I115" s="122">
        <v>60</v>
      </c>
      <c r="J115" s="123">
        <f>+(I115-58.75)/58.75</f>
        <v>2.1276595744680851E-2</v>
      </c>
      <c r="K115" s="122"/>
      <c r="L115" s="122"/>
      <c r="M115" s="1475"/>
      <c r="N115" s="1476"/>
      <c r="O115" s="1457"/>
      <c r="P115" s="1458"/>
      <c r="Q115" s="1458"/>
      <c r="R115" s="1458"/>
      <c r="S115" s="1458"/>
      <c r="T115" s="1458"/>
      <c r="U115" s="1458"/>
      <c r="V115" s="1458"/>
      <c r="W115" s="1458"/>
      <c r="X115" s="1458"/>
      <c r="Y115" s="1458"/>
      <c r="Z115" s="1459"/>
    </row>
    <row r="116" spans="2:26">
      <c r="B116" s="1467"/>
      <c r="C116" s="1455" t="s">
        <v>508</v>
      </c>
      <c r="D116" s="1456"/>
      <c r="E116" s="122">
        <v>116</v>
      </c>
      <c r="F116" s="123">
        <f>+(E116-120.65)/120.65</f>
        <v>-3.8541234977206844E-2</v>
      </c>
      <c r="G116" s="122">
        <v>118</v>
      </c>
      <c r="H116" s="123">
        <f>+(G116-120.65)/120.65</f>
        <v>-2.1964359718193167E-2</v>
      </c>
      <c r="I116" s="122">
        <v>130</v>
      </c>
      <c r="J116" s="123">
        <f>+(I116-120.65)/120.65</f>
        <v>7.7496891835888884E-2</v>
      </c>
      <c r="K116" s="122"/>
      <c r="L116" s="122"/>
      <c r="M116" s="1477"/>
      <c r="N116" s="1478"/>
      <c r="O116" s="1460"/>
      <c r="P116" s="1461"/>
      <c r="Q116" s="1461"/>
      <c r="R116" s="1461"/>
      <c r="S116" s="1461"/>
      <c r="T116" s="1461"/>
      <c r="U116" s="1461"/>
      <c r="V116" s="1461"/>
      <c r="W116" s="1461"/>
      <c r="X116" s="1461"/>
      <c r="Y116" s="1461"/>
      <c r="Z116" s="1462"/>
    </row>
    <row r="117" spans="2:26">
      <c r="B117" s="1488" t="s">
        <v>36</v>
      </c>
      <c r="C117" s="1488"/>
      <c r="D117" s="1488"/>
      <c r="E117" s="1488"/>
      <c r="F117" s="1488"/>
      <c r="G117" s="1488"/>
      <c r="H117" s="1488"/>
      <c r="I117" s="1488"/>
      <c r="J117" s="1488"/>
      <c r="K117" s="1488"/>
      <c r="L117" s="1488"/>
      <c r="M117" s="1488"/>
      <c r="N117" s="1488"/>
      <c r="O117" s="1488"/>
      <c r="P117" s="1488"/>
      <c r="Q117" s="1488"/>
      <c r="R117" s="1488"/>
      <c r="S117" s="1488"/>
      <c r="T117" s="1488"/>
      <c r="U117" s="1488"/>
      <c r="V117" s="1488"/>
      <c r="W117" s="1488"/>
      <c r="X117" s="1488"/>
      <c r="Y117" s="1488"/>
      <c r="Z117" s="1488"/>
    </row>
    <row r="118" spans="2:26">
      <c r="B118" s="1506" t="s">
        <v>524</v>
      </c>
      <c r="C118" s="1468" t="s">
        <v>497</v>
      </c>
      <c r="D118" s="1474"/>
      <c r="E118" s="1453" t="s">
        <v>525</v>
      </c>
      <c r="F118" s="1453"/>
      <c r="G118" s="1453"/>
      <c r="H118" s="1453"/>
      <c r="I118" s="1453"/>
      <c r="J118" s="1453"/>
      <c r="K118" s="1453"/>
      <c r="L118" s="1453"/>
      <c r="M118" s="1453"/>
      <c r="N118" s="1453"/>
      <c r="O118" s="1453"/>
      <c r="P118" s="1454"/>
      <c r="Q118" s="1473" t="s">
        <v>499</v>
      </c>
      <c r="R118" s="1474"/>
      <c r="S118" s="1479"/>
      <c r="T118" s="1480"/>
      <c r="U118" s="1480"/>
      <c r="V118" s="1480"/>
      <c r="W118" s="1480"/>
      <c r="X118" s="1480"/>
      <c r="Y118" s="1480"/>
      <c r="Z118" s="1493"/>
    </row>
    <row r="119" spans="2:26">
      <c r="B119" s="1506"/>
      <c r="C119" s="1489"/>
      <c r="D119" s="1478"/>
      <c r="E119" s="1453" t="s">
        <v>526</v>
      </c>
      <c r="F119" s="1454"/>
      <c r="G119" s="1453" t="s">
        <v>527</v>
      </c>
      <c r="H119" s="1454"/>
      <c r="I119" s="1453" t="s">
        <v>528</v>
      </c>
      <c r="J119" s="1454"/>
      <c r="K119" s="1453" t="s">
        <v>529</v>
      </c>
      <c r="L119" s="1454"/>
      <c r="M119" s="1453" t="s">
        <v>530</v>
      </c>
      <c r="N119" s="1454"/>
      <c r="O119" s="1453" t="s">
        <v>531</v>
      </c>
      <c r="P119" s="1454"/>
      <c r="Q119" s="1475"/>
      <c r="R119" s="1476"/>
      <c r="S119" s="1482"/>
      <c r="T119" s="1483"/>
      <c r="U119" s="1483"/>
      <c r="V119" s="1483"/>
      <c r="W119" s="1483"/>
      <c r="X119" s="1483"/>
      <c r="Y119" s="1483"/>
      <c r="Z119" s="1494"/>
    </row>
    <row r="120" spans="2:26">
      <c r="B120" s="1506"/>
      <c r="C120" s="124" t="s">
        <v>502</v>
      </c>
      <c r="D120" s="229">
        <v>46147</v>
      </c>
      <c r="E120" s="122" t="s">
        <v>503</v>
      </c>
      <c r="F120" s="122" t="s">
        <v>504</v>
      </c>
      <c r="G120" s="122" t="s">
        <v>503</v>
      </c>
      <c r="H120" s="122" t="s">
        <v>504</v>
      </c>
      <c r="I120" s="122" t="s">
        <v>503</v>
      </c>
      <c r="J120" s="122" t="s">
        <v>504</v>
      </c>
      <c r="K120" s="122" t="s">
        <v>503</v>
      </c>
      <c r="L120" s="122" t="s">
        <v>504</v>
      </c>
      <c r="M120" s="122" t="s">
        <v>503</v>
      </c>
      <c r="N120" s="122" t="s">
        <v>504</v>
      </c>
      <c r="O120" s="122" t="s">
        <v>503</v>
      </c>
      <c r="P120" s="122" t="s">
        <v>504</v>
      </c>
      <c r="Q120" s="1475"/>
      <c r="R120" s="1476"/>
      <c r="S120" s="1495"/>
      <c r="T120" s="1496"/>
      <c r="U120" s="1496"/>
      <c r="V120" s="1496"/>
      <c r="W120" s="1496"/>
      <c r="X120" s="1496"/>
      <c r="Y120" s="1496"/>
      <c r="Z120" s="1497"/>
    </row>
    <row r="121" spans="2:26" ht="15" customHeight="1">
      <c r="B121" s="1506"/>
      <c r="C121" s="1455" t="s">
        <v>505</v>
      </c>
      <c r="D121" s="1456"/>
      <c r="E121" s="122">
        <v>89</v>
      </c>
      <c r="F121" s="123">
        <f>+(E121-89.9)/89.9</f>
        <v>-1.0011123470522866E-2</v>
      </c>
      <c r="G121" s="122">
        <v>90</v>
      </c>
      <c r="H121" s="123">
        <f>+(G121-89.9)/89.9</f>
        <v>1.1123470522802481E-3</v>
      </c>
      <c r="I121" s="122">
        <v>89</v>
      </c>
      <c r="J121" s="123">
        <f>+(I121-89.9)/89.9</f>
        <v>-1.0011123470522866E-2</v>
      </c>
      <c r="K121" s="122">
        <v>88</v>
      </c>
      <c r="L121" s="123">
        <f>+(K121-89.9)/89.9</f>
        <v>-2.1134593993325981E-2</v>
      </c>
      <c r="M121" s="122">
        <v>87</v>
      </c>
      <c r="N121" s="123">
        <f>+(M121-89.9)/89.9</f>
        <v>-3.2258064516129094E-2</v>
      </c>
      <c r="O121" s="122">
        <v>105</v>
      </c>
      <c r="P121" s="123">
        <f>+(O121-89.9)/89.9</f>
        <v>0.16796440489432696</v>
      </c>
      <c r="Q121" s="1475"/>
      <c r="R121" s="1476"/>
      <c r="S121" s="1490"/>
      <c r="T121" s="1491"/>
      <c r="U121" s="1491"/>
      <c r="V121" s="1491"/>
      <c r="W121" s="1491"/>
      <c r="X121" s="1491"/>
      <c r="Y121" s="1491"/>
      <c r="Z121" s="1498"/>
    </row>
    <row r="122" spans="2:26">
      <c r="B122" s="1506"/>
      <c r="C122" s="1455" t="s">
        <v>507</v>
      </c>
      <c r="D122" s="1456"/>
      <c r="E122" s="122">
        <v>58</v>
      </c>
      <c r="F122" s="123">
        <f>+(E122-58.75)/58.75</f>
        <v>-1.276595744680851E-2</v>
      </c>
      <c r="G122" s="122">
        <v>60</v>
      </c>
      <c r="H122" s="123">
        <f>+(G122-58.75)/58.75</f>
        <v>2.1276595744680851E-2</v>
      </c>
      <c r="I122" s="122">
        <v>58</v>
      </c>
      <c r="J122" s="123">
        <f>+(I122-58.75)/58.75</f>
        <v>-1.276595744680851E-2</v>
      </c>
      <c r="K122" s="122">
        <v>57</v>
      </c>
      <c r="L122" s="123">
        <f>+(K122-58.75)/58.75</f>
        <v>-2.9787234042553193E-2</v>
      </c>
      <c r="M122" s="122">
        <v>58</v>
      </c>
      <c r="N122" s="123">
        <f>+(M122-58.75)/58.75</f>
        <v>-1.276595744680851E-2</v>
      </c>
      <c r="O122" s="122">
        <v>54</v>
      </c>
      <c r="P122" s="123">
        <f>+(O122-58.75)/58.75</f>
        <v>-8.085106382978724E-2</v>
      </c>
      <c r="Q122" s="1475"/>
      <c r="R122" s="1476"/>
      <c r="S122" s="1457"/>
      <c r="T122" s="1458"/>
      <c r="U122" s="1458"/>
      <c r="V122" s="1458"/>
      <c r="W122" s="1458"/>
      <c r="X122" s="1458"/>
      <c r="Y122" s="1458"/>
      <c r="Z122" s="1499"/>
    </row>
    <row r="123" spans="2:26">
      <c r="B123" s="1507"/>
      <c r="C123" s="1455" t="s">
        <v>508</v>
      </c>
      <c r="D123" s="1456"/>
      <c r="E123" s="122">
        <v>120</v>
      </c>
      <c r="F123" s="123">
        <f>+(E123-120.65)/120.65</f>
        <v>-5.3874844591794918E-3</v>
      </c>
      <c r="G123" s="122">
        <v>120</v>
      </c>
      <c r="H123" s="123">
        <f>+(G123-120.65)/120.65</f>
        <v>-5.3874844591794918E-3</v>
      </c>
      <c r="I123" s="122">
        <v>126</v>
      </c>
      <c r="J123" s="123">
        <f>+(I123-120.65)/120.65</f>
        <v>4.4343141317861531E-2</v>
      </c>
      <c r="K123" s="122">
        <v>126</v>
      </c>
      <c r="L123" s="123">
        <f>+(K123-120.65)/120.65</f>
        <v>4.4343141317861531E-2</v>
      </c>
      <c r="M123" s="122">
        <v>121</v>
      </c>
      <c r="N123" s="123">
        <f>+(M123-120.65)/120.65</f>
        <v>2.9009531703273459E-3</v>
      </c>
      <c r="O123" s="122">
        <v>120</v>
      </c>
      <c r="P123" s="123">
        <f>+(O123-120.65)/120.65</f>
        <v>-5.3874844591794918E-3</v>
      </c>
      <c r="Q123" s="1477"/>
      <c r="R123" s="1478"/>
      <c r="S123" s="1500"/>
      <c r="T123" s="1501"/>
      <c r="U123" s="1501"/>
      <c r="V123" s="1501"/>
      <c r="W123" s="1501"/>
      <c r="X123" s="1501"/>
      <c r="Y123" s="1501"/>
      <c r="Z123" s="1502"/>
    </row>
    <row r="124" spans="2:26">
      <c r="B124" s="1488" t="s">
        <v>36</v>
      </c>
      <c r="C124" s="1488"/>
      <c r="D124" s="1488"/>
      <c r="E124" s="1488"/>
      <c r="F124" s="1488"/>
      <c r="G124" s="1488"/>
      <c r="H124" s="1488"/>
      <c r="I124" s="1488"/>
      <c r="J124" s="1488"/>
      <c r="K124" s="1488"/>
      <c r="L124" s="1488"/>
      <c r="M124" s="1488"/>
      <c r="N124" s="1488"/>
      <c r="O124" s="1488"/>
      <c r="P124" s="1488"/>
      <c r="Q124" s="1488"/>
      <c r="R124" s="1488"/>
      <c r="S124" s="1488"/>
      <c r="T124" s="1488"/>
      <c r="U124" s="1488"/>
      <c r="V124" s="1488"/>
      <c r="W124" s="1488"/>
      <c r="X124" s="1488"/>
      <c r="Y124" s="1488"/>
      <c r="Z124" s="1488"/>
    </row>
    <row r="125" spans="2:26" ht="15" customHeight="1">
      <c r="B125" s="1466" t="s">
        <v>533</v>
      </c>
      <c r="C125" s="1468" t="s">
        <v>497</v>
      </c>
      <c r="D125" s="1474"/>
      <c r="E125" s="1453" t="s">
        <v>534</v>
      </c>
      <c r="F125" s="1453"/>
      <c r="G125" s="1453"/>
      <c r="H125" s="1453"/>
      <c r="I125" s="1453"/>
      <c r="J125" s="1453"/>
      <c r="K125" s="1453"/>
      <c r="L125" s="1453"/>
      <c r="M125" s="1453"/>
      <c r="N125" s="1472"/>
      <c r="O125" s="1473" t="s">
        <v>499</v>
      </c>
      <c r="P125" s="1474"/>
      <c r="Q125" s="1490"/>
      <c r="R125" s="1491"/>
      <c r="S125" s="1491"/>
      <c r="T125" s="1491"/>
      <c r="U125" s="1491"/>
      <c r="V125" s="1491"/>
      <c r="W125" s="1491"/>
      <c r="X125" s="1491"/>
      <c r="Y125" s="1491"/>
      <c r="Z125" s="1492"/>
    </row>
    <row r="126" spans="2:26">
      <c r="B126" s="1466"/>
      <c r="C126" s="1489"/>
      <c r="D126" s="1478"/>
      <c r="E126" s="1453" t="s">
        <v>526</v>
      </c>
      <c r="F126" s="1454"/>
      <c r="G126" s="1453" t="s">
        <v>527</v>
      </c>
      <c r="H126" s="1454"/>
      <c r="I126" s="1453" t="s">
        <v>528</v>
      </c>
      <c r="J126" s="1454"/>
      <c r="K126" s="1453" t="s">
        <v>529</v>
      </c>
      <c r="L126" s="1454"/>
      <c r="M126" s="1453" t="s">
        <v>530</v>
      </c>
      <c r="N126" s="1454"/>
      <c r="O126" s="1475"/>
      <c r="P126" s="1476"/>
      <c r="Q126" s="1457"/>
      <c r="R126" s="1458"/>
      <c r="S126" s="1458"/>
      <c r="T126" s="1458"/>
      <c r="U126" s="1458"/>
      <c r="V126" s="1458"/>
      <c r="W126" s="1458"/>
      <c r="X126" s="1458"/>
      <c r="Y126" s="1458"/>
      <c r="Z126" s="1459"/>
    </row>
    <row r="127" spans="2:26">
      <c r="B127" s="1466"/>
      <c r="C127" s="124" t="s">
        <v>502</v>
      </c>
      <c r="D127" s="229" t="s">
        <v>553</v>
      </c>
      <c r="E127" s="122" t="s">
        <v>503</v>
      </c>
      <c r="F127" s="122" t="s">
        <v>504</v>
      </c>
      <c r="G127" s="122" t="s">
        <v>503</v>
      </c>
      <c r="H127" s="122" t="s">
        <v>504</v>
      </c>
      <c r="I127" s="122" t="s">
        <v>503</v>
      </c>
      <c r="J127" s="122" t="s">
        <v>504</v>
      </c>
      <c r="K127" s="122" t="s">
        <v>503</v>
      </c>
      <c r="L127" s="122" t="s">
        <v>504</v>
      </c>
      <c r="M127" s="122" t="s">
        <v>503</v>
      </c>
      <c r="N127" s="122" t="s">
        <v>504</v>
      </c>
      <c r="O127" s="1475"/>
      <c r="P127" s="1476"/>
      <c r="Q127" s="1460"/>
      <c r="R127" s="1461"/>
      <c r="S127" s="1461"/>
      <c r="T127" s="1461"/>
      <c r="U127" s="1461"/>
      <c r="V127" s="1461"/>
      <c r="W127" s="1461"/>
      <c r="X127" s="1461"/>
      <c r="Y127" s="1461"/>
      <c r="Z127" s="1462"/>
    </row>
    <row r="128" spans="2:26" ht="15" customHeight="1">
      <c r="B128" s="1466"/>
      <c r="C128" s="1455" t="s">
        <v>505</v>
      </c>
      <c r="D128" s="1456"/>
      <c r="E128" s="122">
        <v>88</v>
      </c>
      <c r="F128" s="123">
        <f>+(E128-89.9)/89.9</f>
        <v>-2.1134593993325981E-2</v>
      </c>
      <c r="G128" s="122">
        <v>88</v>
      </c>
      <c r="H128" s="123">
        <f>+(G128-89.9)/89.9</f>
        <v>-2.1134593993325981E-2</v>
      </c>
      <c r="I128" s="122">
        <v>88</v>
      </c>
      <c r="J128" s="123">
        <f>+(I128-89.9)/89.9</f>
        <v>-2.1134593993325981E-2</v>
      </c>
      <c r="K128" s="122">
        <v>88</v>
      </c>
      <c r="L128" s="123">
        <f>+(K128-89.9)/89.9</f>
        <v>-2.1134593993325981E-2</v>
      </c>
      <c r="M128" s="122">
        <v>88</v>
      </c>
      <c r="N128" s="123">
        <f>+(M128-89.9)/89.9</f>
        <v>-2.1134593993325981E-2</v>
      </c>
      <c r="O128" s="1475"/>
      <c r="P128" s="1476"/>
      <c r="Q128" s="1457"/>
      <c r="R128" s="1458"/>
      <c r="S128" s="1458"/>
      <c r="T128" s="1458"/>
      <c r="U128" s="1458"/>
      <c r="V128" s="1458"/>
      <c r="W128" s="1458"/>
      <c r="X128" s="1458"/>
      <c r="Y128" s="1458"/>
      <c r="Z128" s="1459"/>
    </row>
    <row r="129" spans="2:26">
      <c r="B129" s="1466"/>
      <c r="C129" s="1455" t="s">
        <v>507</v>
      </c>
      <c r="D129" s="1456"/>
      <c r="E129" s="122">
        <v>58</v>
      </c>
      <c r="F129" s="123">
        <f>+(E129-58.75)/58.75</f>
        <v>-1.276595744680851E-2</v>
      </c>
      <c r="G129" s="122">
        <v>53</v>
      </c>
      <c r="H129" s="123">
        <f>+(G129-58.75)/58.75</f>
        <v>-9.7872340425531917E-2</v>
      </c>
      <c r="I129" s="122">
        <v>54</v>
      </c>
      <c r="J129" s="123">
        <f>+(I129-58.75)/58.75</f>
        <v>-8.085106382978724E-2</v>
      </c>
      <c r="K129" s="122">
        <v>51</v>
      </c>
      <c r="L129" s="123">
        <f>+(K129-58.75)/58.75</f>
        <v>-0.13191489361702127</v>
      </c>
      <c r="M129" s="122">
        <v>51</v>
      </c>
      <c r="N129" s="123">
        <f>+(M129-58.75)/58.75</f>
        <v>-0.13191489361702127</v>
      </c>
      <c r="O129" s="1475"/>
      <c r="P129" s="1476"/>
      <c r="Q129" s="1457"/>
      <c r="R129" s="1458"/>
      <c r="S129" s="1458"/>
      <c r="T129" s="1458"/>
      <c r="U129" s="1458"/>
      <c r="V129" s="1458"/>
      <c r="W129" s="1458"/>
      <c r="X129" s="1458"/>
      <c r="Y129" s="1458"/>
      <c r="Z129" s="1459"/>
    </row>
    <row r="130" spans="2:26">
      <c r="B130" s="1467"/>
      <c r="C130" s="1455" t="s">
        <v>508</v>
      </c>
      <c r="D130" s="1456"/>
      <c r="E130" s="122">
        <v>120</v>
      </c>
      <c r="F130" s="123">
        <f>+(E130-120.65)/120.65</f>
        <v>-5.3874844591794918E-3</v>
      </c>
      <c r="G130" s="122">
        <v>120</v>
      </c>
      <c r="H130" s="123">
        <f>+(G130-120.65)/120.65</f>
        <v>-5.3874844591794918E-3</v>
      </c>
      <c r="I130" s="122">
        <v>120</v>
      </c>
      <c r="J130" s="123">
        <f>+(I130-120.65)/120.65</f>
        <v>-5.3874844591794918E-3</v>
      </c>
      <c r="K130" s="122">
        <v>120</v>
      </c>
      <c r="L130" s="123">
        <f>+(K130-120.65)/120.65</f>
        <v>-5.3874844591794918E-3</v>
      </c>
      <c r="M130" s="122">
        <v>125</v>
      </c>
      <c r="N130" s="123">
        <f>+(M130-120.65)/120.65</f>
        <v>3.6054703688354693E-2</v>
      </c>
      <c r="O130" s="1477"/>
      <c r="P130" s="1478"/>
      <c r="Q130" s="1460"/>
      <c r="R130" s="1461"/>
      <c r="S130" s="1461"/>
      <c r="T130" s="1461"/>
      <c r="U130" s="1461"/>
      <c r="V130" s="1461"/>
      <c r="W130" s="1461"/>
      <c r="X130" s="1461"/>
      <c r="Y130" s="1461"/>
      <c r="Z130" s="1462"/>
    </row>
    <row r="131" spans="2:26">
      <c r="B131" s="1488" t="s">
        <v>36</v>
      </c>
      <c r="C131" s="1488"/>
      <c r="D131" s="1488"/>
      <c r="E131" s="1488"/>
      <c r="F131" s="1488"/>
      <c r="G131" s="1488"/>
      <c r="H131" s="1488"/>
      <c r="I131" s="1488"/>
      <c r="J131" s="1488"/>
      <c r="K131" s="1488"/>
      <c r="L131" s="1488"/>
      <c r="M131" s="1488"/>
      <c r="N131" s="1488"/>
      <c r="O131" s="1488"/>
      <c r="P131" s="1488"/>
      <c r="Q131" s="1488"/>
      <c r="R131" s="1488"/>
      <c r="S131" s="1488"/>
      <c r="T131" s="1488"/>
      <c r="U131" s="1488"/>
      <c r="V131" s="1488"/>
      <c r="W131" s="1488"/>
      <c r="X131" s="1488"/>
      <c r="Y131" s="1488"/>
      <c r="Z131" s="1488"/>
    </row>
    <row r="132" spans="2:26">
      <c r="B132" s="1466" t="s">
        <v>538</v>
      </c>
      <c r="C132" s="1468" t="s">
        <v>497</v>
      </c>
      <c r="D132" s="1474"/>
      <c r="E132" s="1453" t="s">
        <v>539</v>
      </c>
      <c r="F132" s="1453"/>
      <c r="G132" s="1453"/>
      <c r="H132" s="1453"/>
      <c r="I132" s="1453"/>
      <c r="J132" s="1453"/>
      <c r="K132" s="1453"/>
      <c r="L132" s="1453"/>
      <c r="M132" s="1453"/>
      <c r="N132" s="1472"/>
      <c r="O132" s="1473" t="s">
        <v>499</v>
      </c>
      <c r="P132" s="1474"/>
      <c r="Q132" s="1479" t="s">
        <v>511</v>
      </c>
      <c r="R132" s="1480"/>
      <c r="S132" s="1480"/>
      <c r="T132" s="1480"/>
      <c r="U132" s="1480"/>
      <c r="V132" s="1480"/>
      <c r="W132" s="1480"/>
      <c r="X132" s="1480"/>
      <c r="Y132" s="1480"/>
      <c r="Z132" s="1481"/>
    </row>
    <row r="133" spans="2:26">
      <c r="B133" s="1466"/>
      <c r="C133" s="1489"/>
      <c r="D133" s="1478"/>
      <c r="E133" s="1453" t="s">
        <v>526</v>
      </c>
      <c r="F133" s="1454"/>
      <c r="G133" s="1453" t="s">
        <v>527</v>
      </c>
      <c r="H133" s="1454"/>
      <c r="I133" s="1453" t="s">
        <v>528</v>
      </c>
      <c r="J133" s="1454"/>
      <c r="K133" s="1453" t="s">
        <v>529</v>
      </c>
      <c r="L133" s="1454"/>
      <c r="M133" s="1453" t="s">
        <v>530</v>
      </c>
      <c r="N133" s="1454"/>
      <c r="O133" s="1475"/>
      <c r="P133" s="1476"/>
      <c r="Q133" s="1482"/>
      <c r="R133" s="1483"/>
      <c r="S133" s="1483"/>
      <c r="T133" s="1483"/>
      <c r="U133" s="1483"/>
      <c r="V133" s="1483"/>
      <c r="W133" s="1483"/>
      <c r="X133" s="1483"/>
      <c r="Y133" s="1483"/>
      <c r="Z133" s="1484"/>
    </row>
    <row r="134" spans="2:26">
      <c r="B134" s="1466"/>
      <c r="C134" s="124" t="s">
        <v>502</v>
      </c>
      <c r="D134" s="229" t="s">
        <v>554</v>
      </c>
      <c r="E134" s="122" t="s">
        <v>503</v>
      </c>
      <c r="F134" s="122" t="s">
        <v>504</v>
      </c>
      <c r="G134" s="122" t="s">
        <v>503</v>
      </c>
      <c r="H134" s="122" t="s">
        <v>504</v>
      </c>
      <c r="I134" s="122" t="s">
        <v>503</v>
      </c>
      <c r="J134" s="122" t="s">
        <v>504</v>
      </c>
      <c r="K134" s="122" t="s">
        <v>503</v>
      </c>
      <c r="L134" s="122" t="s">
        <v>504</v>
      </c>
      <c r="M134" s="122" t="s">
        <v>503</v>
      </c>
      <c r="N134" s="122" t="s">
        <v>504</v>
      </c>
      <c r="O134" s="1475"/>
      <c r="P134" s="1476"/>
      <c r="Q134" s="1485"/>
      <c r="R134" s="1486"/>
      <c r="S134" s="1486"/>
      <c r="T134" s="1486"/>
      <c r="U134" s="1486"/>
      <c r="V134" s="1486"/>
      <c r="W134" s="1486"/>
      <c r="X134" s="1486"/>
      <c r="Y134" s="1486"/>
      <c r="Z134" s="1487"/>
    </row>
    <row r="135" spans="2:26">
      <c r="B135" s="1466"/>
      <c r="C135" s="1455" t="s">
        <v>505</v>
      </c>
      <c r="D135" s="1456"/>
      <c r="E135" s="122"/>
      <c r="F135" s="123"/>
      <c r="G135" s="122"/>
      <c r="H135" s="123"/>
      <c r="I135" s="122"/>
      <c r="J135" s="123"/>
      <c r="K135" s="122"/>
      <c r="L135" s="123"/>
      <c r="M135" s="122"/>
      <c r="N135" s="123"/>
      <c r="O135" s="1475"/>
      <c r="P135" s="1476"/>
      <c r="Q135" s="1457" t="s">
        <v>514</v>
      </c>
      <c r="R135" s="1458"/>
      <c r="S135" s="1458"/>
      <c r="T135" s="1458"/>
      <c r="U135" s="1458"/>
      <c r="V135" s="1458"/>
      <c r="W135" s="1458"/>
      <c r="X135" s="1458"/>
      <c r="Y135" s="1458"/>
      <c r="Z135" s="1459"/>
    </row>
    <row r="136" spans="2:26">
      <c r="B136" s="1466"/>
      <c r="C136" s="1455" t="s">
        <v>507</v>
      </c>
      <c r="D136" s="1456"/>
      <c r="E136" s="122"/>
      <c r="F136" s="123"/>
      <c r="G136" s="122"/>
      <c r="H136" s="123"/>
      <c r="I136" s="122"/>
      <c r="J136" s="123"/>
      <c r="K136" s="122"/>
      <c r="L136" s="123"/>
      <c r="M136" s="122"/>
      <c r="N136" s="123"/>
      <c r="O136" s="1475"/>
      <c r="P136" s="1476"/>
      <c r="Q136" s="1457"/>
      <c r="R136" s="1458"/>
      <c r="S136" s="1458"/>
      <c r="T136" s="1458"/>
      <c r="U136" s="1458"/>
      <c r="V136" s="1458"/>
      <c r="W136" s="1458"/>
      <c r="X136" s="1458"/>
      <c r="Y136" s="1458"/>
      <c r="Z136" s="1459"/>
    </row>
    <row r="137" spans="2:26">
      <c r="B137" s="1467"/>
      <c r="C137" s="1455" t="s">
        <v>508</v>
      </c>
      <c r="D137" s="1456"/>
      <c r="E137" s="122"/>
      <c r="F137" s="123"/>
      <c r="G137" s="122"/>
      <c r="H137" s="123"/>
      <c r="I137" s="122"/>
      <c r="J137" s="123"/>
      <c r="K137" s="122"/>
      <c r="L137" s="123"/>
      <c r="M137" s="122"/>
      <c r="N137" s="123"/>
      <c r="O137" s="1477"/>
      <c r="P137" s="1478"/>
      <c r="Q137" s="1460"/>
      <c r="R137" s="1461"/>
      <c r="S137" s="1461"/>
      <c r="T137" s="1461"/>
      <c r="U137" s="1461"/>
      <c r="V137" s="1461"/>
      <c r="W137" s="1461"/>
      <c r="X137" s="1461"/>
      <c r="Y137" s="1461"/>
      <c r="Z137" s="1462"/>
    </row>
    <row r="138" spans="2:26">
      <c r="B138" s="1488" t="s">
        <v>36</v>
      </c>
      <c r="C138" s="1488"/>
      <c r="D138" s="1488"/>
      <c r="E138" s="1488"/>
      <c r="F138" s="1488"/>
      <c r="G138" s="1488"/>
      <c r="H138" s="1488"/>
      <c r="I138" s="1488"/>
      <c r="J138" s="1488"/>
      <c r="K138" s="1488"/>
      <c r="L138" s="1488"/>
      <c r="M138" s="1488"/>
      <c r="N138" s="1488"/>
      <c r="O138" s="1488"/>
      <c r="P138" s="1488"/>
      <c r="Q138" s="1488"/>
      <c r="R138" s="1488"/>
      <c r="S138" s="1488"/>
      <c r="T138" s="1488"/>
      <c r="U138" s="1488"/>
      <c r="V138" s="1488"/>
      <c r="W138" s="1488"/>
      <c r="X138" s="1488"/>
      <c r="Y138" s="1488"/>
      <c r="Z138" s="1488"/>
    </row>
    <row r="139" spans="2:26" ht="15" customHeight="1">
      <c r="B139" s="1466" t="s">
        <v>541</v>
      </c>
      <c r="C139" s="1468" t="s">
        <v>497</v>
      </c>
      <c r="D139" s="1474"/>
      <c r="E139" s="1453" t="s">
        <v>542</v>
      </c>
      <c r="F139" s="1453"/>
      <c r="G139" s="1453"/>
      <c r="H139" s="1453"/>
      <c r="I139" s="1453"/>
      <c r="J139" s="1453"/>
      <c r="K139" s="1453"/>
      <c r="L139" s="1453"/>
      <c r="M139" s="1453"/>
      <c r="N139" s="1453"/>
      <c r="O139" s="1453"/>
      <c r="P139" s="1454"/>
      <c r="Q139" s="1473" t="s">
        <v>499</v>
      </c>
      <c r="R139" s="1474"/>
      <c r="S139" s="1490"/>
      <c r="T139" s="1491"/>
      <c r="U139" s="1491"/>
      <c r="V139" s="1491"/>
      <c r="W139" s="1491"/>
      <c r="X139" s="1491"/>
      <c r="Y139" s="1491"/>
      <c r="Z139" s="1498"/>
    </row>
    <row r="140" spans="2:26">
      <c r="B140" s="1466"/>
      <c r="C140" s="1489"/>
      <c r="D140" s="1478"/>
      <c r="E140" s="1453" t="s">
        <v>526</v>
      </c>
      <c r="F140" s="1454"/>
      <c r="G140" s="1453" t="s">
        <v>527</v>
      </c>
      <c r="H140" s="1454"/>
      <c r="I140" s="1453" t="s">
        <v>528</v>
      </c>
      <c r="J140" s="1454"/>
      <c r="K140" s="1453" t="s">
        <v>529</v>
      </c>
      <c r="L140" s="1454"/>
      <c r="M140" s="1453" t="s">
        <v>530</v>
      </c>
      <c r="N140" s="1454"/>
      <c r="O140" s="1453" t="s">
        <v>531</v>
      </c>
      <c r="P140" s="1454"/>
      <c r="Q140" s="1475"/>
      <c r="R140" s="1476"/>
      <c r="S140" s="1457"/>
      <c r="T140" s="1458"/>
      <c r="U140" s="1458"/>
      <c r="V140" s="1458"/>
      <c r="W140" s="1458"/>
      <c r="X140" s="1458"/>
      <c r="Y140" s="1458"/>
      <c r="Z140" s="1499"/>
    </row>
    <row r="141" spans="2:26">
      <c r="B141" s="1466"/>
      <c r="C141" s="124" t="s">
        <v>502</v>
      </c>
      <c r="D141" s="229" t="s">
        <v>555</v>
      </c>
      <c r="E141" s="122" t="s">
        <v>503</v>
      </c>
      <c r="F141" s="122" t="s">
        <v>504</v>
      </c>
      <c r="G141" s="122" t="s">
        <v>503</v>
      </c>
      <c r="H141" s="122" t="s">
        <v>504</v>
      </c>
      <c r="I141" s="122" t="s">
        <v>503</v>
      </c>
      <c r="J141" s="122" t="s">
        <v>504</v>
      </c>
      <c r="K141" s="122" t="s">
        <v>503</v>
      </c>
      <c r="L141" s="122" t="s">
        <v>504</v>
      </c>
      <c r="M141" s="122" t="s">
        <v>503</v>
      </c>
      <c r="N141" s="122" t="s">
        <v>504</v>
      </c>
      <c r="O141" s="122" t="s">
        <v>503</v>
      </c>
      <c r="P141" s="122" t="s">
        <v>504</v>
      </c>
      <c r="Q141" s="1475"/>
      <c r="R141" s="1476"/>
      <c r="S141" s="1500"/>
      <c r="T141" s="1501"/>
      <c r="U141" s="1501"/>
      <c r="V141" s="1501"/>
      <c r="W141" s="1501"/>
      <c r="X141" s="1501"/>
      <c r="Y141" s="1501"/>
      <c r="Z141" s="1502"/>
    </row>
    <row r="142" spans="2:26" ht="15" customHeight="1">
      <c r="B142" s="1466"/>
      <c r="C142" s="1455" t="s">
        <v>505</v>
      </c>
      <c r="D142" s="1456"/>
      <c r="E142" s="122"/>
      <c r="F142" s="123"/>
      <c r="G142" s="122"/>
      <c r="H142" s="123"/>
      <c r="I142" s="122"/>
      <c r="J142" s="123"/>
      <c r="K142" s="122"/>
      <c r="L142" s="123"/>
      <c r="M142" s="122"/>
      <c r="N142" s="123"/>
      <c r="O142" s="122"/>
      <c r="P142" s="123"/>
      <c r="Q142" s="1475"/>
      <c r="R142" s="1476"/>
      <c r="S142" s="1490"/>
      <c r="T142" s="1491"/>
      <c r="U142" s="1491"/>
      <c r="V142" s="1491"/>
      <c r="W142" s="1491"/>
      <c r="X142" s="1491"/>
      <c r="Y142" s="1491"/>
      <c r="Z142" s="1498"/>
    </row>
    <row r="143" spans="2:26">
      <c r="B143" s="1466"/>
      <c r="C143" s="1455" t="s">
        <v>507</v>
      </c>
      <c r="D143" s="1456"/>
      <c r="E143" s="122"/>
      <c r="F143" s="123"/>
      <c r="G143" s="122"/>
      <c r="H143" s="123"/>
      <c r="I143" s="122"/>
      <c r="J143" s="123"/>
      <c r="K143" s="122"/>
      <c r="L143" s="123"/>
      <c r="M143" s="122"/>
      <c r="N143" s="123"/>
      <c r="O143" s="122"/>
      <c r="P143" s="123"/>
      <c r="Q143" s="1475"/>
      <c r="R143" s="1476"/>
      <c r="S143" s="1457"/>
      <c r="T143" s="1458"/>
      <c r="U143" s="1458"/>
      <c r="V143" s="1458"/>
      <c r="W143" s="1458"/>
      <c r="X143" s="1458"/>
      <c r="Y143" s="1458"/>
      <c r="Z143" s="1499"/>
    </row>
    <row r="144" spans="2:26">
      <c r="B144" s="1467"/>
      <c r="C144" s="1455" t="s">
        <v>508</v>
      </c>
      <c r="D144" s="1456"/>
      <c r="E144" s="122"/>
      <c r="F144" s="123"/>
      <c r="G144" s="122"/>
      <c r="H144" s="123"/>
      <c r="I144" s="122"/>
      <c r="J144" s="123"/>
      <c r="K144" s="122"/>
      <c r="L144" s="123"/>
      <c r="M144" s="122"/>
      <c r="N144" s="123"/>
      <c r="O144" s="122"/>
      <c r="P144" s="123"/>
      <c r="Q144" s="1477"/>
      <c r="R144" s="1478"/>
      <c r="S144" s="1500"/>
      <c r="T144" s="1501"/>
      <c r="U144" s="1501"/>
      <c r="V144" s="1501"/>
      <c r="W144" s="1501"/>
      <c r="X144" s="1501"/>
      <c r="Y144" s="1501"/>
      <c r="Z144" s="1502"/>
    </row>
    <row r="145" spans="2:26">
      <c r="B145" s="1488" t="s">
        <v>36</v>
      </c>
      <c r="C145" s="1488"/>
      <c r="D145" s="1488"/>
      <c r="E145" s="1488"/>
      <c r="F145" s="1488"/>
      <c r="G145" s="1488"/>
      <c r="H145" s="1488"/>
      <c r="I145" s="1488"/>
      <c r="J145" s="1488"/>
      <c r="K145" s="1488"/>
      <c r="L145" s="1488"/>
      <c r="M145" s="1488"/>
      <c r="N145" s="1488"/>
      <c r="O145" s="1488"/>
      <c r="P145" s="1488"/>
      <c r="Q145" s="1488"/>
      <c r="R145" s="1488"/>
      <c r="S145" s="1488"/>
      <c r="T145" s="1488"/>
      <c r="U145" s="1488"/>
      <c r="V145" s="1488"/>
      <c r="W145" s="1488"/>
      <c r="X145" s="1488"/>
      <c r="Y145" s="1488"/>
      <c r="Z145" s="1488"/>
    </row>
    <row r="146" spans="2:26" ht="15" customHeight="1">
      <c r="B146" s="1466" t="s">
        <v>545</v>
      </c>
      <c r="C146" s="1468" t="s">
        <v>497</v>
      </c>
      <c r="D146" s="1474"/>
      <c r="E146" s="1453" t="s">
        <v>546</v>
      </c>
      <c r="F146" s="1453"/>
      <c r="G146" s="1453"/>
      <c r="H146" s="1453"/>
      <c r="I146" s="1453"/>
      <c r="J146" s="1453"/>
      <c r="K146" s="1453"/>
      <c r="L146" s="1453"/>
      <c r="M146" s="1453"/>
      <c r="N146" s="1453"/>
      <c r="O146" s="1453"/>
      <c r="P146" s="1454"/>
      <c r="Q146" s="1473" t="s">
        <v>499</v>
      </c>
      <c r="R146" s="1474"/>
      <c r="S146" s="1490"/>
      <c r="T146" s="1491"/>
      <c r="U146" s="1491"/>
      <c r="V146" s="1491"/>
      <c r="W146" s="1491"/>
      <c r="X146" s="1491"/>
      <c r="Y146" s="1491"/>
      <c r="Z146" s="1498"/>
    </row>
    <row r="147" spans="2:26">
      <c r="B147" s="1466"/>
      <c r="C147" s="1489"/>
      <c r="D147" s="1478"/>
      <c r="E147" s="1453" t="s">
        <v>526</v>
      </c>
      <c r="F147" s="1454"/>
      <c r="G147" s="1453" t="s">
        <v>527</v>
      </c>
      <c r="H147" s="1454"/>
      <c r="I147" s="1453" t="s">
        <v>528</v>
      </c>
      <c r="J147" s="1454"/>
      <c r="K147" s="1453" t="s">
        <v>529</v>
      </c>
      <c r="L147" s="1454"/>
      <c r="M147" s="1453" t="s">
        <v>530</v>
      </c>
      <c r="N147" s="1454"/>
      <c r="O147" s="1453" t="s">
        <v>531</v>
      </c>
      <c r="P147" s="1454"/>
      <c r="Q147" s="1475"/>
      <c r="R147" s="1476"/>
      <c r="S147" s="1457"/>
      <c r="T147" s="1458"/>
      <c r="U147" s="1458"/>
      <c r="V147" s="1458"/>
      <c r="W147" s="1458"/>
      <c r="X147" s="1458"/>
      <c r="Y147" s="1458"/>
      <c r="Z147" s="1499"/>
    </row>
    <row r="148" spans="2:26">
      <c r="B148" s="1466"/>
      <c r="C148" s="124" t="s">
        <v>502</v>
      </c>
      <c r="D148" s="125"/>
      <c r="E148" s="122" t="s">
        <v>503</v>
      </c>
      <c r="F148" s="122" t="s">
        <v>504</v>
      </c>
      <c r="G148" s="122" t="s">
        <v>503</v>
      </c>
      <c r="H148" s="122" t="s">
        <v>504</v>
      </c>
      <c r="I148" s="122" t="s">
        <v>503</v>
      </c>
      <c r="J148" s="122" t="s">
        <v>504</v>
      </c>
      <c r="K148" s="122" t="s">
        <v>503</v>
      </c>
      <c r="L148" s="122" t="s">
        <v>504</v>
      </c>
      <c r="M148" s="122" t="s">
        <v>503</v>
      </c>
      <c r="N148" s="122" t="s">
        <v>504</v>
      </c>
      <c r="O148" s="122" t="s">
        <v>503</v>
      </c>
      <c r="P148" s="122" t="s">
        <v>504</v>
      </c>
      <c r="Q148" s="1475"/>
      <c r="R148" s="1476"/>
      <c r="S148" s="1500"/>
      <c r="T148" s="1501"/>
      <c r="U148" s="1501"/>
      <c r="V148" s="1501"/>
      <c r="W148" s="1501"/>
      <c r="X148" s="1501"/>
      <c r="Y148" s="1501"/>
      <c r="Z148" s="1502"/>
    </row>
    <row r="149" spans="2:26" ht="15" customHeight="1">
      <c r="B149" s="1466"/>
      <c r="C149" s="1455" t="s">
        <v>505</v>
      </c>
      <c r="D149" s="1456"/>
      <c r="E149" s="122"/>
      <c r="F149" s="123"/>
      <c r="G149" s="122"/>
      <c r="H149" s="123"/>
      <c r="I149" s="122"/>
      <c r="J149" s="123"/>
      <c r="K149" s="122"/>
      <c r="L149" s="123"/>
      <c r="M149" s="122"/>
      <c r="N149" s="123"/>
      <c r="O149" s="122"/>
      <c r="P149" s="123"/>
      <c r="Q149" s="1475"/>
      <c r="R149" s="1476"/>
      <c r="S149" s="1490"/>
      <c r="T149" s="1491"/>
      <c r="U149" s="1491"/>
      <c r="V149" s="1491"/>
      <c r="W149" s="1491"/>
      <c r="X149" s="1491"/>
      <c r="Y149" s="1491"/>
      <c r="Z149" s="1498"/>
    </row>
    <row r="150" spans="2:26">
      <c r="B150" s="1466"/>
      <c r="C150" s="1455" t="s">
        <v>507</v>
      </c>
      <c r="D150" s="1456"/>
      <c r="E150" s="122"/>
      <c r="F150" s="123"/>
      <c r="G150" s="122"/>
      <c r="H150" s="123"/>
      <c r="I150" s="122"/>
      <c r="J150" s="123"/>
      <c r="K150" s="122"/>
      <c r="L150" s="123"/>
      <c r="M150" s="122"/>
      <c r="N150" s="123"/>
      <c r="O150" s="122"/>
      <c r="P150" s="123"/>
      <c r="Q150" s="1475"/>
      <c r="R150" s="1476"/>
      <c r="S150" s="1457"/>
      <c r="T150" s="1458"/>
      <c r="U150" s="1458"/>
      <c r="V150" s="1458"/>
      <c r="W150" s="1458"/>
      <c r="X150" s="1458"/>
      <c r="Y150" s="1458"/>
      <c r="Z150" s="1499"/>
    </row>
    <row r="151" spans="2:26">
      <c r="B151" s="1467"/>
      <c r="C151" s="1455" t="s">
        <v>508</v>
      </c>
      <c r="D151" s="1456"/>
      <c r="E151" s="122"/>
      <c r="F151" s="123"/>
      <c r="G151" s="122"/>
      <c r="H151" s="123"/>
      <c r="I151" s="122"/>
      <c r="J151" s="123"/>
      <c r="K151" s="122"/>
      <c r="L151" s="123"/>
      <c r="M151" s="122"/>
      <c r="N151" s="123"/>
      <c r="O151" s="122"/>
      <c r="P151" s="123"/>
      <c r="Q151" s="1477"/>
      <c r="R151" s="1478"/>
      <c r="S151" s="1500"/>
      <c r="T151" s="1501"/>
      <c r="U151" s="1501"/>
      <c r="V151" s="1501"/>
      <c r="W151" s="1501"/>
      <c r="X151" s="1501"/>
      <c r="Y151" s="1501"/>
      <c r="Z151" s="1502"/>
    </row>
    <row r="152" spans="2:26">
      <c r="B152" s="1488" t="s">
        <v>36</v>
      </c>
      <c r="C152" s="1488"/>
      <c r="D152" s="1488"/>
      <c r="E152" s="1488"/>
      <c r="F152" s="1488"/>
      <c r="G152" s="1488"/>
      <c r="H152" s="1488"/>
      <c r="I152" s="1488"/>
      <c r="J152" s="1488"/>
      <c r="K152" s="1488"/>
      <c r="L152" s="1488"/>
      <c r="M152" s="1488"/>
      <c r="N152" s="1488"/>
      <c r="O152" s="1488"/>
      <c r="P152" s="1488"/>
      <c r="Q152" s="1488"/>
      <c r="R152" s="1488"/>
      <c r="S152" s="1488"/>
      <c r="T152" s="1488"/>
      <c r="U152" s="1488"/>
      <c r="V152" s="1488"/>
      <c r="W152" s="1488"/>
      <c r="X152" s="1488"/>
      <c r="Y152" s="1488"/>
      <c r="Z152" s="1488"/>
    </row>
    <row r="153" spans="2:26">
      <c r="B153" s="1466" t="s">
        <v>549</v>
      </c>
      <c r="C153" s="1468" t="s">
        <v>497</v>
      </c>
      <c r="D153" s="1474"/>
      <c r="E153" s="1453" t="s">
        <v>550</v>
      </c>
      <c r="F153" s="1453"/>
      <c r="G153" s="1453"/>
      <c r="H153" s="1453"/>
      <c r="I153" s="1453"/>
      <c r="J153" s="1453"/>
      <c r="K153" s="1453"/>
      <c r="L153" s="1453"/>
      <c r="M153" s="1453"/>
      <c r="N153" s="1453"/>
      <c r="O153" s="1453"/>
      <c r="P153" s="1454"/>
      <c r="Q153" s="1473" t="s">
        <v>499</v>
      </c>
      <c r="R153" s="1474"/>
      <c r="S153" s="1479"/>
      <c r="T153" s="1480"/>
      <c r="U153" s="1480"/>
      <c r="V153" s="1480"/>
      <c r="W153" s="1480"/>
      <c r="X153" s="1480"/>
      <c r="Y153" s="1480"/>
      <c r="Z153" s="1493"/>
    </row>
    <row r="154" spans="2:26">
      <c r="B154" s="1466"/>
      <c r="C154" s="1489"/>
      <c r="D154" s="1478"/>
      <c r="E154" s="1453" t="s">
        <v>526</v>
      </c>
      <c r="F154" s="1454"/>
      <c r="G154" s="1453" t="s">
        <v>527</v>
      </c>
      <c r="H154" s="1454"/>
      <c r="I154" s="1453" t="s">
        <v>528</v>
      </c>
      <c r="J154" s="1454"/>
      <c r="K154" s="1453" t="s">
        <v>529</v>
      </c>
      <c r="L154" s="1454"/>
      <c r="M154" s="1453" t="s">
        <v>530</v>
      </c>
      <c r="N154" s="1454"/>
      <c r="O154" s="1453" t="s">
        <v>531</v>
      </c>
      <c r="P154" s="1454"/>
      <c r="Q154" s="1475"/>
      <c r="R154" s="1476"/>
      <c r="S154" s="1482"/>
      <c r="T154" s="1483"/>
      <c r="U154" s="1483"/>
      <c r="V154" s="1483"/>
      <c r="W154" s="1483"/>
      <c r="X154" s="1483"/>
      <c r="Y154" s="1483"/>
      <c r="Z154" s="1494"/>
    </row>
    <row r="155" spans="2:26">
      <c r="B155" s="1466"/>
      <c r="C155" s="124" t="s">
        <v>502</v>
      </c>
      <c r="D155" s="227">
        <v>46361</v>
      </c>
      <c r="E155" s="122" t="s">
        <v>503</v>
      </c>
      <c r="F155" s="122" t="s">
        <v>504</v>
      </c>
      <c r="G155" s="122" t="s">
        <v>503</v>
      </c>
      <c r="H155" s="122" t="s">
        <v>504</v>
      </c>
      <c r="I155" s="122" t="s">
        <v>503</v>
      </c>
      <c r="J155" s="122" t="s">
        <v>504</v>
      </c>
      <c r="K155" s="122" t="s">
        <v>503</v>
      </c>
      <c r="L155" s="122" t="s">
        <v>504</v>
      </c>
      <c r="M155" s="122" t="s">
        <v>503</v>
      </c>
      <c r="N155" s="122" t="s">
        <v>504</v>
      </c>
      <c r="O155" s="122" t="s">
        <v>503</v>
      </c>
      <c r="P155" s="122" t="s">
        <v>504</v>
      </c>
      <c r="Q155" s="1475"/>
      <c r="R155" s="1476"/>
      <c r="S155" s="1495"/>
      <c r="T155" s="1496"/>
      <c r="U155" s="1496"/>
      <c r="V155" s="1496"/>
      <c r="W155" s="1496"/>
      <c r="X155" s="1496"/>
      <c r="Y155" s="1496"/>
      <c r="Z155" s="1497"/>
    </row>
    <row r="156" spans="2:26" ht="15" customHeight="1">
      <c r="B156" s="1466"/>
      <c r="C156" s="1455" t="s">
        <v>505</v>
      </c>
      <c r="D156" s="1456"/>
      <c r="E156" s="122">
        <v>85</v>
      </c>
      <c r="F156" s="123">
        <f>+(E156-89.9)/89.9</f>
        <v>-5.450500556173532E-2</v>
      </c>
      <c r="G156" s="122">
        <v>88</v>
      </c>
      <c r="H156" s="123">
        <f>+(G156-89.9)/89.9</f>
        <v>-2.1134593993325981E-2</v>
      </c>
      <c r="I156" s="122">
        <v>86</v>
      </c>
      <c r="J156" s="123">
        <f>+(I156-89.9)/89.9</f>
        <v>-4.338153503893221E-2</v>
      </c>
      <c r="K156" s="122">
        <v>88</v>
      </c>
      <c r="L156" s="123">
        <f>+(K156-89.9)/89.9</f>
        <v>-2.1134593993325981E-2</v>
      </c>
      <c r="M156" s="122">
        <v>88</v>
      </c>
      <c r="N156" s="123">
        <f>+(M156-89.9)/89.9</f>
        <v>-2.1134593993325981E-2</v>
      </c>
      <c r="O156" s="122">
        <v>89</v>
      </c>
      <c r="P156" s="123">
        <f>+(O156-89.9)/89.9</f>
        <v>-1.0011123470522866E-2</v>
      </c>
      <c r="Q156" s="1475"/>
      <c r="R156" s="1476"/>
      <c r="S156" s="1490"/>
      <c r="T156" s="1491"/>
      <c r="U156" s="1491"/>
      <c r="V156" s="1491"/>
      <c r="W156" s="1491"/>
      <c r="X156" s="1491"/>
      <c r="Y156" s="1491"/>
      <c r="Z156" s="1498"/>
    </row>
    <row r="157" spans="2:26">
      <c r="B157" s="1466"/>
      <c r="C157" s="1455" t="s">
        <v>507</v>
      </c>
      <c r="D157" s="1456"/>
      <c r="E157" s="122">
        <v>58</v>
      </c>
      <c r="F157" s="123">
        <f>+(E157-58.75)/58.75</f>
        <v>-1.276595744680851E-2</v>
      </c>
      <c r="G157" s="122">
        <v>59</v>
      </c>
      <c r="H157" s="123">
        <f>+(G157-58.75)/58.75</f>
        <v>4.2553191489361703E-3</v>
      </c>
      <c r="I157" s="122">
        <v>59</v>
      </c>
      <c r="J157" s="123">
        <f>+(I157-58.75)/58.75</f>
        <v>4.2553191489361703E-3</v>
      </c>
      <c r="K157" s="122">
        <v>59</v>
      </c>
      <c r="L157" s="123">
        <f>+(K157-58.75)/58.75</f>
        <v>4.2553191489361703E-3</v>
      </c>
      <c r="M157" s="122">
        <v>60</v>
      </c>
      <c r="N157" s="123">
        <f>+(M157-58.75)/58.75</f>
        <v>2.1276595744680851E-2</v>
      </c>
      <c r="O157" s="122">
        <v>53</v>
      </c>
      <c r="P157" s="123">
        <f>+(O157-58.75)/58.75</f>
        <v>-9.7872340425531917E-2</v>
      </c>
      <c r="Q157" s="1475"/>
      <c r="R157" s="1476"/>
      <c r="S157" s="1457"/>
      <c r="T157" s="1458"/>
      <c r="U157" s="1458"/>
      <c r="V157" s="1458"/>
      <c r="W157" s="1458"/>
      <c r="X157" s="1458"/>
      <c r="Y157" s="1458"/>
      <c r="Z157" s="1499"/>
    </row>
    <row r="158" spans="2:26">
      <c r="B158" s="1467"/>
      <c r="C158" s="1455" t="s">
        <v>508</v>
      </c>
      <c r="D158" s="1456"/>
      <c r="E158" s="122">
        <v>120</v>
      </c>
      <c r="F158" s="123">
        <f>+(E158-120.65)/120.65</f>
        <v>-5.3874844591794918E-3</v>
      </c>
      <c r="G158" s="122">
        <v>120</v>
      </c>
      <c r="H158" s="123">
        <f>+(G158-120.65)/120.65</f>
        <v>-5.3874844591794918E-3</v>
      </c>
      <c r="I158" s="122">
        <v>122</v>
      </c>
      <c r="J158" s="123">
        <f>+(I158-120.65)/120.65</f>
        <v>1.1189390799834184E-2</v>
      </c>
      <c r="K158" s="122">
        <v>125</v>
      </c>
      <c r="L158" s="123">
        <f>+(K158-120.65)/120.65</f>
        <v>3.6054703688354693E-2</v>
      </c>
      <c r="M158" s="122">
        <v>122</v>
      </c>
      <c r="N158" s="123">
        <f>+(M158-120.65)/120.65</f>
        <v>1.1189390799834184E-2</v>
      </c>
      <c r="O158" s="122">
        <v>122</v>
      </c>
      <c r="P158" s="123">
        <f>+(O158-120.65)/120.65</f>
        <v>1.1189390799834184E-2</v>
      </c>
      <c r="Q158" s="1477"/>
      <c r="R158" s="1478"/>
      <c r="S158" s="1500"/>
      <c r="T158" s="1501"/>
      <c r="U158" s="1501"/>
      <c r="V158" s="1501"/>
      <c r="W158" s="1501"/>
      <c r="X158" s="1501"/>
      <c r="Y158" s="1501"/>
      <c r="Z158" s="1502"/>
    </row>
  </sheetData>
  <mergeCells count="311">
    <mergeCell ref="B152:Z152"/>
    <mergeCell ref="B153:B158"/>
    <mergeCell ref="C153:D154"/>
    <mergeCell ref="E153:P153"/>
    <mergeCell ref="Q153:R158"/>
    <mergeCell ref="S153:Z155"/>
    <mergeCell ref="E154:F154"/>
    <mergeCell ref="G154:H154"/>
    <mergeCell ref="I154:J154"/>
    <mergeCell ref="K154:L154"/>
    <mergeCell ref="M154:N154"/>
    <mergeCell ref="O154:P154"/>
    <mergeCell ref="C156:D156"/>
    <mergeCell ref="S156:Z158"/>
    <mergeCell ref="C157:D157"/>
    <mergeCell ref="C158:D158"/>
    <mergeCell ref="B145:Z145"/>
    <mergeCell ref="B146:B151"/>
    <mergeCell ref="C146:D147"/>
    <mergeCell ref="E146:P146"/>
    <mergeCell ref="Q146:R151"/>
    <mergeCell ref="S146:Z148"/>
    <mergeCell ref="E147:F147"/>
    <mergeCell ref="G147:H147"/>
    <mergeCell ref="I147:J147"/>
    <mergeCell ref="K147:L147"/>
    <mergeCell ref="M147:N147"/>
    <mergeCell ref="O147:P147"/>
    <mergeCell ref="C149:D149"/>
    <mergeCell ref="S149:Z151"/>
    <mergeCell ref="C150:D150"/>
    <mergeCell ref="C151:D151"/>
    <mergeCell ref="B138:Z138"/>
    <mergeCell ref="B139:B144"/>
    <mergeCell ref="C139:D140"/>
    <mergeCell ref="E139:P139"/>
    <mergeCell ref="Q139:R144"/>
    <mergeCell ref="S139:Z141"/>
    <mergeCell ref="E140:F140"/>
    <mergeCell ref="G140:H140"/>
    <mergeCell ref="I140:J140"/>
    <mergeCell ref="K140:L140"/>
    <mergeCell ref="M140:N140"/>
    <mergeCell ref="O140:P140"/>
    <mergeCell ref="C142:D142"/>
    <mergeCell ref="S142:Z144"/>
    <mergeCell ref="C143:D143"/>
    <mergeCell ref="C144:D144"/>
    <mergeCell ref="B131:Z131"/>
    <mergeCell ref="B132:B137"/>
    <mergeCell ref="C132:D133"/>
    <mergeCell ref="E132:N132"/>
    <mergeCell ref="O132:P137"/>
    <mergeCell ref="Q132:Z134"/>
    <mergeCell ref="E133:F133"/>
    <mergeCell ref="G133:H133"/>
    <mergeCell ref="I133:J133"/>
    <mergeCell ref="K133:L133"/>
    <mergeCell ref="M133:N133"/>
    <mergeCell ref="C135:D135"/>
    <mergeCell ref="Q135:Z137"/>
    <mergeCell ref="C136:D136"/>
    <mergeCell ref="C137:D137"/>
    <mergeCell ref="B124:Z124"/>
    <mergeCell ref="B125:B130"/>
    <mergeCell ref="C125:D126"/>
    <mergeCell ref="E125:N125"/>
    <mergeCell ref="O125:P130"/>
    <mergeCell ref="Q125:Z127"/>
    <mergeCell ref="E126:F126"/>
    <mergeCell ref="G126:H126"/>
    <mergeCell ref="I126:J126"/>
    <mergeCell ref="K126:L126"/>
    <mergeCell ref="M126:N126"/>
    <mergeCell ref="C128:D128"/>
    <mergeCell ref="Q128:Z130"/>
    <mergeCell ref="C129:D129"/>
    <mergeCell ref="C130:D130"/>
    <mergeCell ref="B117:Z117"/>
    <mergeCell ref="B118:B123"/>
    <mergeCell ref="C118:D119"/>
    <mergeCell ref="E118:P118"/>
    <mergeCell ref="Q118:R123"/>
    <mergeCell ref="S118:Z120"/>
    <mergeCell ref="E119:F119"/>
    <mergeCell ref="G119:H119"/>
    <mergeCell ref="I119:J119"/>
    <mergeCell ref="K119:L119"/>
    <mergeCell ref="M119:N119"/>
    <mergeCell ref="O119:P119"/>
    <mergeCell ref="C121:D121"/>
    <mergeCell ref="S121:Z123"/>
    <mergeCell ref="C122:D122"/>
    <mergeCell ref="C123:D123"/>
    <mergeCell ref="B110:Z110"/>
    <mergeCell ref="B111:B116"/>
    <mergeCell ref="C111:D112"/>
    <mergeCell ref="E111:L111"/>
    <mergeCell ref="M111:N116"/>
    <mergeCell ref="O111:Z113"/>
    <mergeCell ref="E112:F112"/>
    <mergeCell ref="G112:H112"/>
    <mergeCell ref="I112:J112"/>
    <mergeCell ref="K112:L112"/>
    <mergeCell ref="C114:D114"/>
    <mergeCell ref="O114:Z116"/>
    <mergeCell ref="C115:D115"/>
    <mergeCell ref="C116:D116"/>
    <mergeCell ref="B103:Z103"/>
    <mergeCell ref="B104:B109"/>
    <mergeCell ref="C104:D105"/>
    <mergeCell ref="E104:L104"/>
    <mergeCell ref="M104:N109"/>
    <mergeCell ref="O104:Z106"/>
    <mergeCell ref="E105:F105"/>
    <mergeCell ref="G105:H105"/>
    <mergeCell ref="I105:J105"/>
    <mergeCell ref="K105:L105"/>
    <mergeCell ref="C107:D107"/>
    <mergeCell ref="O107:Z109"/>
    <mergeCell ref="C108:D108"/>
    <mergeCell ref="C109:D109"/>
    <mergeCell ref="B96:Z96"/>
    <mergeCell ref="B97:B102"/>
    <mergeCell ref="C97:D98"/>
    <mergeCell ref="E97:L97"/>
    <mergeCell ref="M97:N102"/>
    <mergeCell ref="O97:Z99"/>
    <mergeCell ref="E98:F98"/>
    <mergeCell ref="G98:H98"/>
    <mergeCell ref="I98:J98"/>
    <mergeCell ref="K98:L98"/>
    <mergeCell ref="C100:D100"/>
    <mergeCell ref="O100:Z102"/>
    <mergeCell ref="C101:D101"/>
    <mergeCell ref="C102:D102"/>
    <mergeCell ref="B89:Z89"/>
    <mergeCell ref="B90:B95"/>
    <mergeCell ref="C90:D91"/>
    <mergeCell ref="E90:N90"/>
    <mergeCell ref="O90:P95"/>
    <mergeCell ref="Q90:Z92"/>
    <mergeCell ref="E91:F91"/>
    <mergeCell ref="G91:H91"/>
    <mergeCell ref="I91:J91"/>
    <mergeCell ref="K91:L91"/>
    <mergeCell ref="M91:N91"/>
    <mergeCell ref="C93:D93"/>
    <mergeCell ref="Q93:Z95"/>
    <mergeCell ref="C94:D94"/>
    <mergeCell ref="C95:D95"/>
    <mergeCell ref="M83:N83"/>
    <mergeCell ref="O83:P83"/>
    <mergeCell ref="C85:D85"/>
    <mergeCell ref="S85:Z87"/>
    <mergeCell ref="C86:D86"/>
    <mergeCell ref="C87:D87"/>
    <mergeCell ref="B81:Z81"/>
    <mergeCell ref="B82:B87"/>
    <mergeCell ref="C82:D83"/>
    <mergeCell ref="E82:P82"/>
    <mergeCell ref="Q82:R87"/>
    <mergeCell ref="S82:Z84"/>
    <mergeCell ref="E83:F83"/>
    <mergeCell ref="G83:H83"/>
    <mergeCell ref="I83:J83"/>
    <mergeCell ref="K83:L83"/>
    <mergeCell ref="M76:N76"/>
    <mergeCell ref="O76:P76"/>
    <mergeCell ref="C78:D78"/>
    <mergeCell ref="S78:Z80"/>
    <mergeCell ref="C79:D79"/>
    <mergeCell ref="C80:D80"/>
    <mergeCell ref="B74:Z74"/>
    <mergeCell ref="B75:B80"/>
    <mergeCell ref="C75:D76"/>
    <mergeCell ref="E75:P75"/>
    <mergeCell ref="Q75:R80"/>
    <mergeCell ref="S75:Z77"/>
    <mergeCell ref="E76:F76"/>
    <mergeCell ref="G76:H76"/>
    <mergeCell ref="I76:J76"/>
    <mergeCell ref="K76:L76"/>
    <mergeCell ref="M69:N69"/>
    <mergeCell ref="O69:P69"/>
    <mergeCell ref="C71:D71"/>
    <mergeCell ref="S71:Z73"/>
    <mergeCell ref="C72:D72"/>
    <mergeCell ref="C73:D73"/>
    <mergeCell ref="B67:Z67"/>
    <mergeCell ref="B68:B73"/>
    <mergeCell ref="C68:D69"/>
    <mergeCell ref="E68:P68"/>
    <mergeCell ref="Q68:R73"/>
    <mergeCell ref="S68:Z70"/>
    <mergeCell ref="E69:F69"/>
    <mergeCell ref="G69:H69"/>
    <mergeCell ref="I69:J69"/>
    <mergeCell ref="K69:L69"/>
    <mergeCell ref="G62:H62"/>
    <mergeCell ref="I62:J62"/>
    <mergeCell ref="K62:L62"/>
    <mergeCell ref="M62:N62"/>
    <mergeCell ref="C64:D64"/>
    <mergeCell ref="Q64:Z66"/>
    <mergeCell ref="C65:D65"/>
    <mergeCell ref="C66:D66"/>
    <mergeCell ref="Q57:Z59"/>
    <mergeCell ref="C58:D58"/>
    <mergeCell ref="C59:D59"/>
    <mergeCell ref="B60:Z60"/>
    <mergeCell ref="B61:B66"/>
    <mergeCell ref="C61:D62"/>
    <mergeCell ref="E61:N61"/>
    <mergeCell ref="O61:P66"/>
    <mergeCell ref="Q61:Z63"/>
    <mergeCell ref="E62:F62"/>
    <mergeCell ref="E55:F55"/>
    <mergeCell ref="G55:H55"/>
    <mergeCell ref="I55:J55"/>
    <mergeCell ref="K55:L55"/>
    <mergeCell ref="M55:N55"/>
    <mergeCell ref="C57:D57"/>
    <mergeCell ref="C50:D50"/>
    <mergeCell ref="S50:Z52"/>
    <mergeCell ref="C51:D51"/>
    <mergeCell ref="C52:D52"/>
    <mergeCell ref="B53:Z53"/>
    <mergeCell ref="B54:B59"/>
    <mergeCell ref="C54:D55"/>
    <mergeCell ref="E54:N54"/>
    <mergeCell ref="O54:P59"/>
    <mergeCell ref="Q54:Z56"/>
    <mergeCell ref="E48:F48"/>
    <mergeCell ref="G48:H48"/>
    <mergeCell ref="I48:J48"/>
    <mergeCell ref="K48:L48"/>
    <mergeCell ref="M48:N48"/>
    <mergeCell ref="O48:P48"/>
    <mergeCell ref="C43:D43"/>
    <mergeCell ref="O43:Z45"/>
    <mergeCell ref="C44:D44"/>
    <mergeCell ref="C45:D45"/>
    <mergeCell ref="B46:Z46"/>
    <mergeCell ref="B47:B52"/>
    <mergeCell ref="C47:D48"/>
    <mergeCell ref="E47:P47"/>
    <mergeCell ref="Q47:R52"/>
    <mergeCell ref="S47:Z49"/>
    <mergeCell ref="B39:Z39"/>
    <mergeCell ref="B40:B45"/>
    <mergeCell ref="C40:D41"/>
    <mergeCell ref="E40:L40"/>
    <mergeCell ref="M40:N45"/>
    <mergeCell ref="O40:Z42"/>
    <mergeCell ref="E41:F41"/>
    <mergeCell ref="G41:H41"/>
    <mergeCell ref="I41:J41"/>
    <mergeCell ref="K41:L41"/>
    <mergeCell ref="E34:F34"/>
    <mergeCell ref="G34:H34"/>
    <mergeCell ref="I34:J34"/>
    <mergeCell ref="K34:L34"/>
    <mergeCell ref="C36:D36"/>
    <mergeCell ref="O36:Z38"/>
    <mergeCell ref="C37:D37"/>
    <mergeCell ref="C38:D38"/>
    <mergeCell ref="C29:D29"/>
    <mergeCell ref="O29:Z31"/>
    <mergeCell ref="C30:D30"/>
    <mergeCell ref="C31:D31"/>
    <mergeCell ref="B32:Z32"/>
    <mergeCell ref="B33:B38"/>
    <mergeCell ref="C33:D34"/>
    <mergeCell ref="E33:L33"/>
    <mergeCell ref="M33:N38"/>
    <mergeCell ref="O33:Z35"/>
    <mergeCell ref="B25:Z25"/>
    <mergeCell ref="B26:B31"/>
    <mergeCell ref="C26:D27"/>
    <mergeCell ref="E26:L26"/>
    <mergeCell ref="M26:N31"/>
    <mergeCell ref="O26:Z28"/>
    <mergeCell ref="E27:F27"/>
    <mergeCell ref="G27:H27"/>
    <mergeCell ref="I27:J27"/>
    <mergeCell ref="K27:L27"/>
    <mergeCell ref="C22:D22"/>
    <mergeCell ref="Q22:Z24"/>
    <mergeCell ref="C23:D23"/>
    <mergeCell ref="C24:D24"/>
    <mergeCell ref="B13:C13"/>
    <mergeCell ref="B15:C15"/>
    <mergeCell ref="B16:C16"/>
    <mergeCell ref="B18:Z18"/>
    <mergeCell ref="B19:B24"/>
    <mergeCell ref="C19:D20"/>
    <mergeCell ref="E19:N19"/>
    <mergeCell ref="O19:P24"/>
    <mergeCell ref="Q19:Z21"/>
    <mergeCell ref="E20:F20"/>
    <mergeCell ref="B2:Z2"/>
    <mergeCell ref="B4:D5"/>
    <mergeCell ref="B6:D7"/>
    <mergeCell ref="B9:C9"/>
    <mergeCell ref="B10:C10"/>
    <mergeCell ref="B12:C12"/>
    <mergeCell ref="G20:H20"/>
    <mergeCell ref="I20:J20"/>
    <mergeCell ref="K20:L20"/>
    <mergeCell ref="M20:N2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959AD-2517-4CE7-A89A-8C5E3A319FD4}">
  <sheetPr codeName="Hoja47">
    <tabColor rgb="FFD9D9D9"/>
  </sheetPr>
  <dimension ref="B2:P113"/>
  <sheetViews>
    <sheetView showGridLines="0" zoomScale="70" zoomScaleNormal="70" workbookViewId="0">
      <selection activeCell="J24" sqref="J24"/>
    </sheetView>
  </sheetViews>
  <sheetFormatPr baseColWidth="10" defaultColWidth="9.140625" defaultRowHeight="15"/>
  <cols>
    <col min="2" max="2" width="11.28515625" customWidth="1"/>
    <col min="3" max="3" width="25.140625" customWidth="1"/>
    <col min="4" max="4" width="19.28515625" style="56" customWidth="1"/>
    <col min="5" max="5" width="22" style="56" customWidth="1"/>
    <col min="6" max="6" width="13.85546875" style="54" customWidth="1"/>
    <col min="7" max="7" width="25.42578125" style="56" customWidth="1"/>
    <col min="8" max="8" width="19.140625" style="54" customWidth="1"/>
    <col min="9" max="9" width="15.28515625" style="54" customWidth="1"/>
    <col min="10" max="10" width="39.140625" style="54" customWidth="1"/>
    <col min="11" max="11" width="17.7109375" style="54" customWidth="1"/>
    <col min="12" max="12" width="43.140625" customWidth="1"/>
  </cols>
  <sheetData>
    <row r="2" spans="2:13" ht="21" customHeight="1">
      <c r="B2" s="1525" t="s">
        <v>556</v>
      </c>
      <c r="C2" s="1525"/>
      <c r="D2" s="1525"/>
      <c r="E2" s="1525"/>
      <c r="F2" s="1525"/>
      <c r="G2" s="1525"/>
      <c r="H2" s="1525"/>
      <c r="I2" s="1525"/>
      <c r="J2" s="1525"/>
      <c r="K2" s="1525"/>
      <c r="L2" s="1525"/>
    </row>
    <row r="3" spans="2:13" ht="30">
      <c r="B3" s="260" t="s">
        <v>557</v>
      </c>
      <c r="C3" s="260" t="s">
        <v>558</v>
      </c>
      <c r="D3" s="260" t="s">
        <v>559</v>
      </c>
      <c r="E3" s="260" t="s">
        <v>560</v>
      </c>
      <c r="F3" s="261" t="s">
        <v>561</v>
      </c>
      <c r="G3" s="260" t="s">
        <v>562</v>
      </c>
      <c r="H3" s="261" t="s">
        <v>563</v>
      </c>
      <c r="I3" s="262" t="s">
        <v>564</v>
      </c>
      <c r="J3" s="263" t="s">
        <v>565</v>
      </c>
      <c r="K3" s="264" t="s">
        <v>566</v>
      </c>
      <c r="L3" s="260" t="s">
        <v>567</v>
      </c>
    </row>
    <row r="4" spans="2:13" ht="18.75" customHeight="1">
      <c r="B4" s="273" t="s">
        <v>557</v>
      </c>
      <c r="C4" s="273" t="s">
        <v>558</v>
      </c>
      <c r="D4" s="273" t="s">
        <v>559</v>
      </c>
      <c r="E4" s="273" t="s">
        <v>560</v>
      </c>
      <c r="F4" s="273" t="s">
        <v>568</v>
      </c>
      <c r="G4" s="273" t="s">
        <v>562</v>
      </c>
      <c r="H4" s="273" t="s">
        <v>563</v>
      </c>
      <c r="I4" s="273" t="s">
        <v>564</v>
      </c>
      <c r="J4" s="273" t="s">
        <v>565</v>
      </c>
      <c r="K4" s="273" t="s">
        <v>566</v>
      </c>
      <c r="L4" s="273" t="s">
        <v>567</v>
      </c>
    </row>
    <row r="5" spans="2:13" ht="18.75" customHeight="1">
      <c r="B5" s="1521" t="s">
        <v>259</v>
      </c>
      <c r="C5" s="274" t="s">
        <v>569</v>
      </c>
      <c r="D5" s="276" t="s">
        <v>570</v>
      </c>
      <c r="E5" s="274">
        <v>10008721</v>
      </c>
      <c r="F5" s="274" t="s">
        <v>571</v>
      </c>
      <c r="G5" s="274" t="s">
        <v>572</v>
      </c>
      <c r="H5" s="278" t="s">
        <v>573</v>
      </c>
      <c r="I5" s="274" t="s">
        <v>36</v>
      </c>
      <c r="J5" s="278" t="s">
        <v>36</v>
      </c>
      <c r="K5" s="278" t="s">
        <v>36</v>
      </c>
      <c r="L5" s="1515" t="s">
        <v>574</v>
      </c>
    </row>
    <row r="6" spans="2:13" ht="18.75" customHeight="1">
      <c r="B6" s="1526"/>
      <c r="C6" s="274" t="s">
        <v>575</v>
      </c>
      <c r="D6" s="276" t="s">
        <v>570</v>
      </c>
      <c r="E6" s="274">
        <v>10008722</v>
      </c>
      <c r="F6" s="274" t="s">
        <v>571</v>
      </c>
      <c r="G6" s="274" t="s">
        <v>572</v>
      </c>
      <c r="H6" s="278" t="s">
        <v>573</v>
      </c>
      <c r="I6" s="274" t="s">
        <v>36</v>
      </c>
      <c r="J6" s="278" t="s">
        <v>36</v>
      </c>
      <c r="K6" s="278" t="s">
        <v>36</v>
      </c>
      <c r="L6" s="1517"/>
    </row>
    <row r="7" spans="2:13" ht="18.75" customHeight="1">
      <c r="B7" s="1526"/>
      <c r="C7" s="274" t="s">
        <v>576</v>
      </c>
      <c r="D7" s="276" t="s">
        <v>570</v>
      </c>
      <c r="E7" s="274">
        <v>10008738</v>
      </c>
      <c r="F7" s="274" t="s">
        <v>571</v>
      </c>
      <c r="G7" s="274" t="s">
        <v>572</v>
      </c>
      <c r="H7" s="278" t="s">
        <v>577</v>
      </c>
      <c r="I7" s="274">
        <v>4510009705</v>
      </c>
      <c r="J7" s="278" t="s">
        <v>578</v>
      </c>
      <c r="K7" s="279">
        <v>46065</v>
      </c>
      <c r="L7" s="379" t="s">
        <v>579</v>
      </c>
    </row>
    <row r="8" spans="2:13" ht="15" customHeight="1">
      <c r="B8" s="1522"/>
      <c r="C8" s="274" t="s">
        <v>580</v>
      </c>
      <c r="D8" s="276" t="s">
        <v>570</v>
      </c>
      <c r="E8" s="274">
        <v>10008739</v>
      </c>
      <c r="F8" s="274" t="s">
        <v>571</v>
      </c>
      <c r="G8" s="274" t="s">
        <v>572</v>
      </c>
      <c r="H8" s="278" t="s">
        <v>577</v>
      </c>
      <c r="I8" s="274">
        <v>4510009708</v>
      </c>
      <c r="J8" s="278" t="s">
        <v>578</v>
      </c>
      <c r="K8" s="279">
        <v>46064</v>
      </c>
      <c r="L8" s="379" t="s">
        <v>579</v>
      </c>
    </row>
    <row r="9" spans="2:13" ht="18.75" customHeight="1">
      <c r="B9" s="1521" t="s">
        <v>262</v>
      </c>
      <c r="C9" s="274" t="s">
        <v>569</v>
      </c>
      <c r="D9" s="276" t="s">
        <v>570</v>
      </c>
      <c r="E9" s="274">
        <v>10008727</v>
      </c>
      <c r="F9" s="274" t="s">
        <v>581</v>
      </c>
      <c r="G9" s="274" t="s">
        <v>572</v>
      </c>
      <c r="H9" s="278" t="s">
        <v>582</v>
      </c>
      <c r="I9" s="1521">
        <v>4510010989</v>
      </c>
      <c r="J9" s="1523" t="s">
        <v>583</v>
      </c>
      <c r="K9" s="1527">
        <v>46241</v>
      </c>
      <c r="L9" s="379" t="s">
        <v>36</v>
      </c>
    </row>
    <row r="10" spans="2:13" ht="19.5" customHeight="1">
      <c r="B10" s="1526"/>
      <c r="C10" s="274" t="s">
        <v>575</v>
      </c>
      <c r="D10" s="276" t="s">
        <v>570</v>
      </c>
      <c r="E10" s="274">
        <v>10008728</v>
      </c>
      <c r="F10" s="274" t="s">
        <v>571</v>
      </c>
      <c r="G10" s="274" t="s">
        <v>572</v>
      </c>
      <c r="H10" s="278" t="s">
        <v>582</v>
      </c>
      <c r="I10" s="1522"/>
      <c r="J10" s="1524"/>
      <c r="K10" s="1528"/>
      <c r="L10" s="379" t="s">
        <v>36</v>
      </c>
    </row>
    <row r="11" spans="2:13" ht="18.75" customHeight="1">
      <c r="B11" s="1526"/>
      <c r="C11" s="274" t="s">
        <v>576</v>
      </c>
      <c r="D11" s="276" t="s">
        <v>36</v>
      </c>
      <c r="E11" s="274"/>
      <c r="F11" s="274" t="s">
        <v>36</v>
      </c>
      <c r="G11" s="274" t="s">
        <v>36</v>
      </c>
      <c r="H11" s="278" t="s">
        <v>36</v>
      </c>
      <c r="I11" s="274" t="s">
        <v>36</v>
      </c>
      <c r="J11" s="278" t="s">
        <v>36</v>
      </c>
      <c r="K11" s="278" t="s">
        <v>36</v>
      </c>
      <c r="L11" s="379" t="s">
        <v>36</v>
      </c>
    </row>
    <row r="12" spans="2:13" ht="18.75">
      <c r="B12" s="1522"/>
      <c r="C12" s="274" t="s">
        <v>580</v>
      </c>
      <c r="D12" s="276" t="s">
        <v>36</v>
      </c>
      <c r="E12" s="274"/>
      <c r="F12" s="274" t="s">
        <v>36</v>
      </c>
      <c r="G12" s="274" t="s">
        <v>36</v>
      </c>
      <c r="H12" s="278" t="s">
        <v>36</v>
      </c>
      <c r="I12" s="274" t="s">
        <v>36</v>
      </c>
      <c r="J12" s="278" t="s">
        <v>36</v>
      </c>
      <c r="K12" s="278" t="s">
        <v>36</v>
      </c>
      <c r="L12" s="379" t="s">
        <v>36</v>
      </c>
    </row>
    <row r="13" spans="2:13" ht="18.75" customHeight="1">
      <c r="B13" s="281" t="s">
        <v>276</v>
      </c>
      <c r="C13" s="274" t="s">
        <v>569</v>
      </c>
      <c r="D13" s="277" t="s">
        <v>584</v>
      </c>
      <c r="E13" s="275" t="s">
        <v>584</v>
      </c>
      <c r="F13" s="275" t="s">
        <v>584</v>
      </c>
      <c r="G13" s="275" t="s">
        <v>584</v>
      </c>
      <c r="H13" s="278" t="s">
        <v>577</v>
      </c>
      <c r="I13" s="274" t="s">
        <v>36</v>
      </c>
      <c r="J13" s="278" t="s">
        <v>578</v>
      </c>
      <c r="K13" s="278" t="s">
        <v>36</v>
      </c>
      <c r="L13" s="379" t="s">
        <v>585</v>
      </c>
    </row>
    <row r="14" spans="2:13" ht="18.75" customHeight="1">
      <c r="B14" s="1521" t="s">
        <v>273</v>
      </c>
      <c r="C14" s="274" t="s">
        <v>569</v>
      </c>
      <c r="D14" s="276" t="s">
        <v>570</v>
      </c>
      <c r="E14" s="274">
        <v>10008618</v>
      </c>
      <c r="F14" s="274" t="s">
        <v>586</v>
      </c>
      <c r="G14" s="274" t="s">
        <v>572</v>
      </c>
      <c r="H14" s="278" t="s">
        <v>573</v>
      </c>
      <c r="I14" s="274" t="s">
        <v>36</v>
      </c>
      <c r="J14" s="278" t="s">
        <v>36</v>
      </c>
      <c r="K14" s="278" t="s">
        <v>36</v>
      </c>
      <c r="L14" s="1515" t="s">
        <v>587</v>
      </c>
    </row>
    <row r="15" spans="2:13" ht="18.75" customHeight="1">
      <c r="B15" s="1526"/>
      <c r="C15" s="274" t="s">
        <v>575</v>
      </c>
      <c r="D15" s="276" t="s">
        <v>570</v>
      </c>
      <c r="E15" s="274">
        <v>10008619</v>
      </c>
      <c r="F15" s="274" t="s">
        <v>588</v>
      </c>
      <c r="G15" s="274" t="s">
        <v>572</v>
      </c>
      <c r="H15" s="278" t="s">
        <v>573</v>
      </c>
      <c r="I15" s="274" t="s">
        <v>36</v>
      </c>
      <c r="J15" s="278" t="s">
        <v>36</v>
      </c>
      <c r="K15" s="278" t="s">
        <v>36</v>
      </c>
      <c r="L15" s="1517"/>
      <c r="M15" t="s">
        <v>589</v>
      </c>
    </row>
    <row r="16" spans="2:13" ht="18.75" customHeight="1">
      <c r="B16" s="1526"/>
      <c r="C16" s="274" t="s">
        <v>576</v>
      </c>
      <c r="D16" s="276" t="s">
        <v>36</v>
      </c>
      <c r="E16" s="274"/>
      <c r="F16" s="274" t="s">
        <v>36</v>
      </c>
      <c r="G16" s="274" t="s">
        <v>36</v>
      </c>
      <c r="H16" s="278" t="s">
        <v>36</v>
      </c>
      <c r="I16" s="274" t="s">
        <v>36</v>
      </c>
      <c r="J16" s="278" t="s">
        <v>36</v>
      </c>
      <c r="K16" s="278" t="s">
        <v>36</v>
      </c>
      <c r="L16" s="379" t="s">
        <v>36</v>
      </c>
    </row>
    <row r="17" spans="2:13" ht="18.75">
      <c r="B17" s="1522"/>
      <c r="C17" s="274" t="s">
        <v>580</v>
      </c>
      <c r="D17" s="276" t="s">
        <v>36</v>
      </c>
      <c r="E17" s="274"/>
      <c r="F17" s="274" t="s">
        <v>36</v>
      </c>
      <c r="G17" s="274" t="s">
        <v>36</v>
      </c>
      <c r="H17" s="278" t="s">
        <v>36</v>
      </c>
      <c r="I17" s="274" t="s">
        <v>36</v>
      </c>
      <c r="J17" s="278" t="s">
        <v>36</v>
      </c>
      <c r="K17" s="278" t="s">
        <v>36</v>
      </c>
      <c r="L17" s="379" t="s">
        <v>36</v>
      </c>
    </row>
    <row r="18" spans="2:13" ht="18.75" customHeight="1">
      <c r="B18" s="1521" t="s">
        <v>299</v>
      </c>
      <c r="C18" s="274" t="s">
        <v>569</v>
      </c>
      <c r="D18" s="276" t="s">
        <v>570</v>
      </c>
      <c r="E18" s="274">
        <v>10008741</v>
      </c>
      <c r="F18" s="274" t="s">
        <v>581</v>
      </c>
      <c r="G18" s="274" t="s">
        <v>572</v>
      </c>
      <c r="H18" s="278" t="s">
        <v>573</v>
      </c>
      <c r="I18" s="274" t="s">
        <v>36</v>
      </c>
      <c r="J18" s="278" t="s">
        <v>36</v>
      </c>
      <c r="K18" s="278" t="s">
        <v>36</v>
      </c>
      <c r="L18" s="1515" t="s">
        <v>590</v>
      </c>
    </row>
    <row r="19" spans="2:13" ht="18.75" customHeight="1">
      <c r="B19" s="1526"/>
      <c r="C19" s="274" t="s">
        <v>575</v>
      </c>
      <c r="D19" s="276" t="s">
        <v>570</v>
      </c>
      <c r="E19" s="274">
        <v>10008742</v>
      </c>
      <c r="F19" s="274" t="s">
        <v>586</v>
      </c>
      <c r="G19" s="274" t="s">
        <v>572</v>
      </c>
      <c r="H19" s="278" t="s">
        <v>573</v>
      </c>
      <c r="I19" s="274" t="s">
        <v>36</v>
      </c>
      <c r="J19" s="278" t="s">
        <v>36</v>
      </c>
      <c r="K19" s="278" t="s">
        <v>36</v>
      </c>
      <c r="L19" s="1517"/>
    </row>
    <row r="20" spans="2:13" ht="18.75" customHeight="1">
      <c r="B20" s="1526"/>
      <c r="C20" s="274" t="s">
        <v>576</v>
      </c>
      <c r="D20" s="276" t="s">
        <v>36</v>
      </c>
      <c r="E20" s="282"/>
      <c r="F20" s="282" t="s">
        <v>36</v>
      </c>
      <c r="G20" s="282" t="s">
        <v>36</v>
      </c>
      <c r="H20" s="283" t="s">
        <v>36</v>
      </c>
      <c r="I20" s="282" t="s">
        <v>36</v>
      </c>
      <c r="J20" s="283" t="s">
        <v>36</v>
      </c>
      <c r="K20" s="283" t="s">
        <v>36</v>
      </c>
      <c r="L20" s="379" t="s">
        <v>36</v>
      </c>
    </row>
    <row r="21" spans="2:13" ht="18.75" customHeight="1">
      <c r="B21" s="1526"/>
      <c r="C21" s="282" t="s">
        <v>580</v>
      </c>
      <c r="D21" s="284" t="s">
        <v>36</v>
      </c>
      <c r="E21" s="285"/>
      <c r="F21" s="285" t="s">
        <v>36</v>
      </c>
      <c r="G21" s="285" t="s">
        <v>36</v>
      </c>
      <c r="H21" s="286" t="s">
        <v>36</v>
      </c>
      <c r="I21" s="285" t="s">
        <v>36</v>
      </c>
      <c r="J21" s="286" t="s">
        <v>36</v>
      </c>
      <c r="K21" s="287" t="s">
        <v>36</v>
      </c>
      <c r="L21" s="380" t="s">
        <v>36</v>
      </c>
    </row>
    <row r="22" spans="2:13" ht="21" customHeight="1">
      <c r="B22" s="1529" t="s">
        <v>264</v>
      </c>
      <c r="C22" s="281" t="s">
        <v>569</v>
      </c>
      <c r="D22" s="1530" t="s">
        <v>570</v>
      </c>
      <c r="E22" s="1521">
        <v>10005272</v>
      </c>
      <c r="F22" s="1521" t="s">
        <v>591</v>
      </c>
      <c r="G22" s="1521" t="s">
        <v>572</v>
      </c>
      <c r="H22" s="1523" t="s">
        <v>582</v>
      </c>
      <c r="I22" s="1521">
        <v>4510006698</v>
      </c>
      <c r="J22" s="1523" t="s">
        <v>583</v>
      </c>
      <c r="K22" s="1527" t="s">
        <v>592</v>
      </c>
      <c r="L22" s="1515" t="s">
        <v>593</v>
      </c>
    </row>
    <row r="23" spans="2:13" ht="10.5" customHeight="1">
      <c r="B23" s="1529"/>
      <c r="C23" s="281" t="s">
        <v>575</v>
      </c>
      <c r="D23" s="1531"/>
      <c r="E23" s="1522"/>
      <c r="F23" s="1522"/>
      <c r="G23" s="1522"/>
      <c r="H23" s="1524"/>
      <c r="I23" s="1522"/>
      <c r="J23" s="1524"/>
      <c r="K23" s="1528"/>
      <c r="L23" s="1517"/>
    </row>
    <row r="24" spans="2:13">
      <c r="L24" s="381"/>
    </row>
    <row r="25" spans="2:13" s="170" customFormat="1" ht="18.75">
      <c r="B25" s="281" t="s">
        <v>292</v>
      </c>
      <c r="C25" s="281" t="s">
        <v>569</v>
      </c>
      <c r="D25" s="288" t="s">
        <v>570</v>
      </c>
      <c r="E25" s="281">
        <v>10008808</v>
      </c>
      <c r="F25" s="289" t="s">
        <v>594</v>
      </c>
      <c r="G25" s="281" t="s">
        <v>572</v>
      </c>
      <c r="H25" s="128" t="s">
        <v>582</v>
      </c>
      <c r="I25" s="290">
        <v>4510011229</v>
      </c>
      <c r="J25" s="128" t="s">
        <v>595</v>
      </c>
      <c r="K25" s="128" t="s">
        <v>596</v>
      </c>
      <c r="L25" s="382" t="s">
        <v>36</v>
      </c>
    </row>
    <row r="26" spans="2:13" ht="18.75">
      <c r="B26" s="280" t="s">
        <v>597</v>
      </c>
      <c r="C26" s="274" t="s">
        <v>569</v>
      </c>
      <c r="D26" s="277" t="s">
        <v>584</v>
      </c>
      <c r="E26" s="275" t="s">
        <v>584</v>
      </c>
      <c r="F26" s="275" t="s">
        <v>584</v>
      </c>
      <c r="G26" s="275" t="s">
        <v>584</v>
      </c>
      <c r="H26" s="275" t="s">
        <v>584</v>
      </c>
      <c r="I26" s="275" t="s">
        <v>584</v>
      </c>
      <c r="J26" s="275" t="s">
        <v>584</v>
      </c>
      <c r="K26" s="275" t="s">
        <v>584</v>
      </c>
      <c r="L26" s="379" t="s">
        <v>598</v>
      </c>
    </row>
    <row r="27" spans="2:13" ht="18.75">
      <c r="B27" s="280" t="s">
        <v>599</v>
      </c>
      <c r="C27" s="274" t="s">
        <v>569</v>
      </c>
      <c r="D27" s="277" t="s">
        <v>584</v>
      </c>
      <c r="E27" s="275" t="s">
        <v>584</v>
      </c>
      <c r="F27" s="275" t="s">
        <v>584</v>
      </c>
      <c r="G27" s="275" t="s">
        <v>584</v>
      </c>
      <c r="H27" s="275" t="s">
        <v>584</v>
      </c>
      <c r="I27" s="275" t="s">
        <v>584</v>
      </c>
      <c r="J27" s="275" t="s">
        <v>584</v>
      </c>
      <c r="K27" s="275" t="s">
        <v>584</v>
      </c>
      <c r="L27" s="383" t="s">
        <v>584</v>
      </c>
    </row>
    <row r="28" spans="2:13" ht="18.75">
      <c r="B28" s="280" t="s">
        <v>279</v>
      </c>
      <c r="C28" s="274" t="s">
        <v>569</v>
      </c>
      <c r="D28" s="276" t="s">
        <v>570</v>
      </c>
      <c r="E28" s="274">
        <v>10009210</v>
      </c>
      <c r="F28" s="291" t="s">
        <v>600</v>
      </c>
      <c r="G28" s="281" t="s">
        <v>572</v>
      </c>
      <c r="H28" s="225" t="s">
        <v>573</v>
      </c>
      <c r="I28" s="226" t="s">
        <v>36</v>
      </c>
      <c r="J28" s="225" t="s">
        <v>36</v>
      </c>
      <c r="K28" s="225" t="s">
        <v>36</v>
      </c>
      <c r="L28" s="379" t="s">
        <v>601</v>
      </c>
    </row>
    <row r="29" spans="2:13" ht="18.75">
      <c r="B29" s="280" t="s">
        <v>319</v>
      </c>
      <c r="C29" s="274" t="s">
        <v>569</v>
      </c>
      <c r="D29" s="276" t="s">
        <v>570</v>
      </c>
      <c r="E29" s="274">
        <v>10004301</v>
      </c>
      <c r="F29" s="291" t="s">
        <v>602</v>
      </c>
      <c r="G29" s="281" t="s">
        <v>572</v>
      </c>
      <c r="H29" s="225" t="s">
        <v>582</v>
      </c>
      <c r="I29" s="226">
        <v>4510009513</v>
      </c>
      <c r="J29" s="225" t="s">
        <v>595</v>
      </c>
      <c r="K29" s="292">
        <v>46192</v>
      </c>
      <c r="L29" s="379" t="s">
        <v>598</v>
      </c>
    </row>
    <row r="30" spans="2:13" ht="27.75" customHeight="1">
      <c r="B30" s="280" t="s">
        <v>406</v>
      </c>
      <c r="C30" s="274" t="s">
        <v>569</v>
      </c>
      <c r="D30" s="276" t="s">
        <v>570</v>
      </c>
      <c r="E30" s="274">
        <v>10005875</v>
      </c>
      <c r="F30" s="291" t="s">
        <v>603</v>
      </c>
      <c r="G30" s="281" t="s">
        <v>572</v>
      </c>
      <c r="H30" s="225" t="s">
        <v>582</v>
      </c>
      <c r="I30" s="226">
        <v>4510010031</v>
      </c>
      <c r="J30" s="225" t="s">
        <v>595</v>
      </c>
      <c r="K30" s="292">
        <v>46206</v>
      </c>
      <c r="L30" s="379" t="s">
        <v>604</v>
      </c>
      <c r="M30" t="s">
        <v>605</v>
      </c>
    </row>
    <row r="31" spans="2:13" ht="27" customHeight="1">
      <c r="B31" s="280" t="s">
        <v>294</v>
      </c>
      <c r="C31" s="274" t="s">
        <v>569</v>
      </c>
      <c r="D31" s="276" t="s">
        <v>570</v>
      </c>
      <c r="E31" s="274">
        <v>10008630</v>
      </c>
      <c r="F31" s="291" t="s">
        <v>594</v>
      </c>
      <c r="G31" s="281" t="s">
        <v>572</v>
      </c>
      <c r="H31" s="225" t="s">
        <v>582</v>
      </c>
      <c r="I31" s="226">
        <v>4510011646</v>
      </c>
      <c r="J31" s="225" t="s">
        <v>595</v>
      </c>
      <c r="K31" s="225" t="s">
        <v>606</v>
      </c>
      <c r="L31" s="379" t="s">
        <v>607</v>
      </c>
    </row>
    <row r="32" spans="2:13" ht="32.25" customHeight="1">
      <c r="B32" s="280" t="s">
        <v>301</v>
      </c>
      <c r="C32" s="274" t="s">
        <v>569</v>
      </c>
      <c r="D32" s="276" t="s">
        <v>570</v>
      </c>
      <c r="E32" s="274">
        <v>10008737</v>
      </c>
      <c r="F32" s="291" t="s">
        <v>608</v>
      </c>
      <c r="G32" s="281" t="s">
        <v>572</v>
      </c>
      <c r="H32" s="225" t="s">
        <v>582</v>
      </c>
      <c r="I32" s="226">
        <v>4510011157</v>
      </c>
      <c r="J32" s="225" t="s">
        <v>595</v>
      </c>
      <c r="K32" s="292">
        <v>46213</v>
      </c>
      <c r="L32" s="379" t="s">
        <v>609</v>
      </c>
    </row>
    <row r="33" spans="2:16" ht="15.75" customHeight="1">
      <c r="B33" s="1521" t="s">
        <v>266</v>
      </c>
      <c r="C33" s="1521" t="s">
        <v>569</v>
      </c>
      <c r="D33" s="1530" t="s">
        <v>610</v>
      </c>
      <c r="E33" s="274">
        <v>10010751</v>
      </c>
      <c r="F33" s="291" t="s">
        <v>611</v>
      </c>
      <c r="G33" s="1521" t="s">
        <v>572</v>
      </c>
      <c r="H33" s="1533" t="s">
        <v>582</v>
      </c>
      <c r="I33" s="226">
        <v>4510012802</v>
      </c>
      <c r="J33" s="1533" t="s">
        <v>612</v>
      </c>
      <c r="K33" s="1518">
        <v>46183</v>
      </c>
      <c r="L33" s="1515" t="s">
        <v>613</v>
      </c>
    </row>
    <row r="34" spans="2:16" ht="15.75" customHeight="1">
      <c r="B34" s="1526"/>
      <c r="C34" s="1526"/>
      <c r="D34" s="1532"/>
      <c r="E34" s="274">
        <v>10011283</v>
      </c>
      <c r="F34" s="1536" t="s">
        <v>614</v>
      </c>
      <c r="G34" s="1526"/>
      <c r="H34" s="1534"/>
      <c r="I34" s="226">
        <v>4510012982</v>
      </c>
      <c r="J34" s="1534"/>
      <c r="K34" s="1519"/>
      <c r="L34" s="1516"/>
    </row>
    <row r="35" spans="2:16" ht="18.75" customHeight="1">
      <c r="B35" s="1522"/>
      <c r="C35" s="1522"/>
      <c r="D35" s="1531"/>
      <c r="E35" s="274">
        <v>10011426</v>
      </c>
      <c r="F35" s="1537"/>
      <c r="G35" s="1522"/>
      <c r="H35" s="1535"/>
      <c r="I35" s="226">
        <v>4510013079</v>
      </c>
      <c r="J35" s="1535"/>
      <c r="K35" s="1520"/>
      <c r="L35" s="1517"/>
    </row>
    <row r="36" spans="2:16" ht="18.75" customHeight="1">
      <c r="B36" s="280" t="s">
        <v>298</v>
      </c>
      <c r="C36" s="274" t="s">
        <v>569</v>
      </c>
      <c r="D36" s="276" t="s">
        <v>610</v>
      </c>
      <c r="E36" s="274">
        <v>10010752</v>
      </c>
      <c r="F36" s="291" t="s">
        <v>611</v>
      </c>
      <c r="G36" s="281" t="s">
        <v>572</v>
      </c>
      <c r="H36" s="225" t="s">
        <v>582</v>
      </c>
      <c r="I36" s="226">
        <v>4510012419</v>
      </c>
      <c r="J36" s="225" t="s">
        <v>612</v>
      </c>
      <c r="K36" s="292">
        <v>46218</v>
      </c>
      <c r="L36" s="379"/>
    </row>
    <row r="37" spans="2:16" ht="18.75" customHeight="1"/>
    <row r="38" spans="2:16" ht="18.75" customHeight="1">
      <c r="L38" s="54"/>
      <c r="M38" s="54"/>
      <c r="N38" s="54"/>
    </row>
    <row r="39" spans="2:16" ht="18.75" customHeight="1"/>
    <row r="40" spans="2:16" ht="18.75" customHeight="1">
      <c r="B40" s="1509" t="s">
        <v>615</v>
      </c>
      <c r="C40" s="1510"/>
      <c r="D40" s="1510"/>
      <c r="E40" s="1510"/>
      <c r="F40" s="1510"/>
      <c r="G40" s="1510"/>
      <c r="H40" s="1510"/>
      <c r="I40" s="1510"/>
      <c r="J40" s="1510"/>
      <c r="K40" s="1510"/>
      <c r="L40" s="1510"/>
      <c r="M40" s="1510"/>
      <c r="N40" s="1510"/>
      <c r="O40" s="1510"/>
      <c r="P40" s="1511"/>
    </row>
    <row r="41" spans="2:16" ht="18.75" customHeight="1">
      <c r="B41" s="1512"/>
      <c r="C41" s="1512"/>
      <c r="D41" s="1512"/>
      <c r="E41" s="1512"/>
      <c r="F41" s="1512"/>
      <c r="G41" s="1512"/>
      <c r="H41" s="1512"/>
      <c r="I41" s="1512"/>
      <c r="J41" s="1512"/>
      <c r="K41" s="1512"/>
      <c r="L41" s="1512"/>
      <c r="M41" s="1512"/>
      <c r="N41" s="1512"/>
      <c r="O41" s="1512"/>
      <c r="P41" s="1512"/>
    </row>
    <row r="42" spans="2:16" ht="18.75" customHeight="1">
      <c r="B42" s="345" t="s">
        <v>616</v>
      </c>
      <c r="C42" s="346" t="s">
        <v>617</v>
      </c>
      <c r="D42" s="347" t="s">
        <v>618</v>
      </c>
      <c r="E42" s="348" t="s">
        <v>495</v>
      </c>
      <c r="F42" s="349">
        <v>46079</v>
      </c>
      <c r="G42" s="349">
        <v>46107</v>
      </c>
      <c r="H42" s="348" t="s">
        <v>619</v>
      </c>
      <c r="I42" s="349">
        <v>46168</v>
      </c>
      <c r="J42" s="349">
        <v>46199</v>
      </c>
      <c r="K42" s="349">
        <v>46229</v>
      </c>
      <c r="L42" s="348" t="s">
        <v>620</v>
      </c>
      <c r="M42" s="348" t="s">
        <v>621</v>
      </c>
      <c r="N42" s="349">
        <v>46321</v>
      </c>
      <c r="O42" s="349">
        <v>46352</v>
      </c>
      <c r="P42" s="350" t="s">
        <v>622</v>
      </c>
    </row>
    <row r="43" spans="2:16" ht="15.75" customHeight="1">
      <c r="B43" s="1513" t="s">
        <v>623</v>
      </c>
      <c r="C43" s="351" t="s">
        <v>259</v>
      </c>
      <c r="D43" s="352" t="s">
        <v>624</v>
      </c>
      <c r="E43" s="353" t="s">
        <v>36</v>
      </c>
      <c r="F43" s="354" t="s">
        <v>36</v>
      </c>
      <c r="G43" s="354" t="s">
        <v>36</v>
      </c>
      <c r="H43" s="354" t="s">
        <v>36</v>
      </c>
      <c r="I43" s="354" t="s">
        <v>36</v>
      </c>
      <c r="J43" s="354" t="s">
        <v>36</v>
      </c>
      <c r="K43" s="354" t="s">
        <v>36</v>
      </c>
      <c r="L43" s="354" t="s">
        <v>36</v>
      </c>
      <c r="M43" s="354" t="s">
        <v>36</v>
      </c>
      <c r="N43" s="354" t="s">
        <v>36</v>
      </c>
      <c r="O43" s="354" t="s">
        <v>36</v>
      </c>
      <c r="P43" s="355" t="s">
        <v>36</v>
      </c>
    </row>
    <row r="44" spans="2:16" ht="15.75" customHeight="1">
      <c r="B44" s="1513"/>
      <c r="C44" s="351" t="s">
        <v>262</v>
      </c>
      <c r="D44" s="356">
        <v>46077</v>
      </c>
      <c r="E44" s="357" t="s">
        <v>36</v>
      </c>
      <c r="F44" s="358" t="s">
        <v>36</v>
      </c>
      <c r="G44" s="358" t="s">
        <v>36</v>
      </c>
      <c r="H44" s="358" t="s">
        <v>36</v>
      </c>
      <c r="I44" s="358" t="s">
        <v>36</v>
      </c>
      <c r="J44" s="358" t="s">
        <v>36</v>
      </c>
      <c r="K44" s="358" t="s">
        <v>36</v>
      </c>
      <c r="L44" s="358" t="s">
        <v>36</v>
      </c>
      <c r="M44" s="358" t="s">
        <v>36</v>
      </c>
      <c r="N44" s="358" t="s">
        <v>36</v>
      </c>
      <c r="O44" s="358" t="s">
        <v>36</v>
      </c>
      <c r="P44" s="355" t="s">
        <v>36</v>
      </c>
    </row>
    <row r="45" spans="2:16">
      <c r="B45" s="1513"/>
      <c r="C45" s="351" t="s">
        <v>276</v>
      </c>
      <c r="D45" s="359" t="s">
        <v>625</v>
      </c>
      <c r="E45" s="357" t="s">
        <v>36</v>
      </c>
      <c r="F45" s="358" t="s">
        <v>36</v>
      </c>
      <c r="G45" s="358" t="s">
        <v>36</v>
      </c>
      <c r="H45" s="358" t="s">
        <v>36</v>
      </c>
      <c r="I45" s="358" t="s">
        <v>36</v>
      </c>
      <c r="J45" s="358" t="s">
        <v>36</v>
      </c>
      <c r="K45" s="358" t="s">
        <v>36</v>
      </c>
      <c r="L45" s="358" t="s">
        <v>36</v>
      </c>
      <c r="M45" s="358" t="s">
        <v>36</v>
      </c>
      <c r="N45" s="358" t="s">
        <v>36</v>
      </c>
      <c r="O45" s="358" t="s">
        <v>36</v>
      </c>
      <c r="P45" s="355" t="s">
        <v>36</v>
      </c>
    </row>
    <row r="46" spans="2:16">
      <c r="B46" s="1513"/>
      <c r="C46" s="351" t="s">
        <v>269</v>
      </c>
      <c r="D46" s="356">
        <v>46078</v>
      </c>
      <c r="E46" s="357" t="s">
        <v>36</v>
      </c>
      <c r="F46" s="358" t="s">
        <v>36</v>
      </c>
      <c r="G46" s="358" t="s">
        <v>36</v>
      </c>
      <c r="H46" s="358" t="s">
        <v>36</v>
      </c>
      <c r="I46" s="358" t="s">
        <v>36</v>
      </c>
      <c r="J46" s="358" t="s">
        <v>36</v>
      </c>
      <c r="K46" s="358" t="s">
        <v>36</v>
      </c>
      <c r="L46" s="358" t="s">
        <v>36</v>
      </c>
      <c r="M46" s="358" t="s">
        <v>36</v>
      </c>
      <c r="N46" s="358" t="s">
        <v>36</v>
      </c>
      <c r="O46" s="358" t="s">
        <v>36</v>
      </c>
      <c r="P46" s="355" t="s">
        <v>36</v>
      </c>
    </row>
    <row r="47" spans="2:16">
      <c r="B47" s="1513"/>
      <c r="C47" s="351" t="s">
        <v>271</v>
      </c>
      <c r="D47" s="356">
        <v>46228</v>
      </c>
      <c r="E47" s="357" t="s">
        <v>36</v>
      </c>
      <c r="F47" s="358" t="s">
        <v>36</v>
      </c>
      <c r="G47" s="358" t="s">
        <v>36</v>
      </c>
      <c r="H47" s="358" t="s">
        <v>36</v>
      </c>
      <c r="I47" s="358" t="s">
        <v>36</v>
      </c>
      <c r="J47" s="358" t="s">
        <v>36</v>
      </c>
      <c r="K47" s="358" t="s">
        <v>36</v>
      </c>
      <c r="L47" s="358" t="s">
        <v>36</v>
      </c>
      <c r="M47" s="358" t="s">
        <v>36</v>
      </c>
      <c r="N47" s="358" t="s">
        <v>36</v>
      </c>
      <c r="O47" s="358" t="s">
        <v>36</v>
      </c>
      <c r="P47" s="355" t="s">
        <v>36</v>
      </c>
    </row>
    <row r="48" spans="2:16">
      <c r="B48" s="1513"/>
      <c r="C48" s="351" t="s">
        <v>289</v>
      </c>
      <c r="D48" s="356">
        <v>46228</v>
      </c>
      <c r="E48" s="360" t="s">
        <v>36</v>
      </c>
      <c r="F48" s="358" t="s">
        <v>36</v>
      </c>
      <c r="G48" s="358" t="s">
        <v>36</v>
      </c>
      <c r="H48" s="358" t="s">
        <v>36</v>
      </c>
      <c r="I48" s="358" t="s">
        <v>36</v>
      </c>
      <c r="J48" s="358" t="s">
        <v>36</v>
      </c>
      <c r="K48" s="358" t="s">
        <v>36</v>
      </c>
      <c r="L48" s="358" t="s">
        <v>36</v>
      </c>
      <c r="M48" s="358" t="s">
        <v>36</v>
      </c>
      <c r="N48" s="358" t="s">
        <v>36</v>
      </c>
      <c r="O48" s="358" t="s">
        <v>36</v>
      </c>
      <c r="P48" s="355" t="s">
        <v>36</v>
      </c>
    </row>
    <row r="49" spans="2:16">
      <c r="B49" s="1513"/>
      <c r="C49" s="351" t="s">
        <v>273</v>
      </c>
      <c r="D49" s="356">
        <v>46318</v>
      </c>
      <c r="E49" s="357" t="s">
        <v>36</v>
      </c>
      <c r="F49" s="358" t="s">
        <v>36</v>
      </c>
      <c r="G49" s="358" t="s">
        <v>36</v>
      </c>
      <c r="H49" s="358" t="s">
        <v>36</v>
      </c>
      <c r="I49" s="358" t="s">
        <v>36</v>
      </c>
      <c r="J49" s="358" t="s">
        <v>36</v>
      </c>
      <c r="K49" s="361"/>
      <c r="L49" s="362" t="s">
        <v>36</v>
      </c>
      <c r="M49" s="363" t="s">
        <v>36</v>
      </c>
      <c r="N49" s="358" t="s">
        <v>36</v>
      </c>
      <c r="O49" s="358" t="s">
        <v>36</v>
      </c>
      <c r="P49" s="355" t="s">
        <v>36</v>
      </c>
    </row>
    <row r="50" spans="2:16">
      <c r="B50" s="1513"/>
      <c r="C50" s="351" t="s">
        <v>299</v>
      </c>
      <c r="D50" s="356">
        <v>46106</v>
      </c>
      <c r="E50" s="357" t="s">
        <v>36</v>
      </c>
      <c r="F50" s="358" t="s">
        <v>36</v>
      </c>
      <c r="G50" s="358" t="s">
        <v>36</v>
      </c>
      <c r="H50" s="358" t="s">
        <v>36</v>
      </c>
      <c r="I50" s="358" t="s">
        <v>36</v>
      </c>
      <c r="J50" s="358" t="s">
        <v>36</v>
      </c>
      <c r="K50" s="364" t="s">
        <v>36</v>
      </c>
      <c r="L50" s="358" t="s">
        <v>36</v>
      </c>
      <c r="M50" s="358" t="s">
        <v>36</v>
      </c>
      <c r="N50" s="358" t="s">
        <v>36</v>
      </c>
      <c r="O50" s="358" t="s">
        <v>36</v>
      </c>
      <c r="P50" s="355" t="s">
        <v>36</v>
      </c>
    </row>
    <row r="51" spans="2:16">
      <c r="B51" s="1514"/>
      <c r="C51" s="365" t="s">
        <v>264</v>
      </c>
      <c r="D51" s="366" t="s">
        <v>626</v>
      </c>
      <c r="E51" s="367" t="s">
        <v>36</v>
      </c>
      <c r="F51" s="368" t="s">
        <v>36</v>
      </c>
      <c r="G51" s="368" t="s">
        <v>36</v>
      </c>
      <c r="H51" s="368" t="s">
        <v>36</v>
      </c>
      <c r="I51" s="368" t="s">
        <v>36</v>
      </c>
      <c r="J51" s="368" t="s">
        <v>36</v>
      </c>
      <c r="K51" s="368" t="s">
        <v>36</v>
      </c>
      <c r="L51" s="368" t="s">
        <v>36</v>
      </c>
      <c r="M51" s="368" t="s">
        <v>36</v>
      </c>
      <c r="N51" s="368" t="s">
        <v>36</v>
      </c>
      <c r="O51" s="368" t="s">
        <v>36</v>
      </c>
      <c r="P51" s="369" t="s">
        <v>36</v>
      </c>
    </row>
    <row r="52" spans="2:16">
      <c r="B52" s="370"/>
      <c r="C52" s="361"/>
      <c r="D52" s="361"/>
      <c r="E52" s="361"/>
      <c r="F52" s="361"/>
      <c r="G52" s="361"/>
      <c r="H52" s="361"/>
      <c r="I52" s="361"/>
      <c r="J52" s="361"/>
      <c r="K52" s="361"/>
      <c r="L52" s="361"/>
      <c r="M52" s="361"/>
      <c r="N52" s="361"/>
      <c r="O52" s="361"/>
      <c r="P52" s="361"/>
    </row>
    <row r="53" spans="2:16">
      <c r="B53" s="345" t="s">
        <v>616</v>
      </c>
      <c r="C53" s="346" t="s">
        <v>617</v>
      </c>
      <c r="D53" s="347" t="s">
        <v>36</v>
      </c>
      <c r="E53" s="348" t="s">
        <v>495</v>
      </c>
      <c r="F53" s="349">
        <v>46079</v>
      </c>
      <c r="G53" s="349">
        <v>46107</v>
      </c>
      <c r="H53" s="348" t="s">
        <v>619</v>
      </c>
      <c r="I53" s="349">
        <v>46168</v>
      </c>
      <c r="J53" s="349">
        <v>46199</v>
      </c>
      <c r="K53" s="349">
        <v>46229</v>
      </c>
      <c r="L53" s="348" t="s">
        <v>620</v>
      </c>
      <c r="M53" s="348" t="s">
        <v>621</v>
      </c>
      <c r="N53" s="349">
        <v>46321</v>
      </c>
      <c r="O53" s="349">
        <v>46352</v>
      </c>
      <c r="P53" s="348" t="s">
        <v>622</v>
      </c>
    </row>
    <row r="54" spans="2:16">
      <c r="B54" s="1513" t="s">
        <v>627</v>
      </c>
      <c r="C54" s="777" t="s">
        <v>292</v>
      </c>
      <c r="D54" s="371" t="s">
        <v>628</v>
      </c>
      <c r="E54" s="354" t="s">
        <v>36</v>
      </c>
      <c r="F54" s="354" t="s">
        <v>36</v>
      </c>
      <c r="G54" s="354" t="s">
        <v>36</v>
      </c>
      <c r="H54" s="354" t="s">
        <v>36</v>
      </c>
      <c r="I54" s="354" t="s">
        <v>36</v>
      </c>
      <c r="J54" s="354" t="s">
        <v>36</v>
      </c>
      <c r="K54" s="354" t="s">
        <v>36</v>
      </c>
      <c r="L54" s="354" t="s">
        <v>36</v>
      </c>
      <c r="M54" s="354" t="s">
        <v>36</v>
      </c>
      <c r="N54" s="354" t="s">
        <v>36</v>
      </c>
      <c r="O54" s="354" t="s">
        <v>36</v>
      </c>
      <c r="P54" s="372" t="s">
        <v>36</v>
      </c>
    </row>
    <row r="55" spans="2:16">
      <c r="B55" s="1513"/>
      <c r="C55" s="351" t="s">
        <v>597</v>
      </c>
      <c r="D55" s="373" t="s">
        <v>629</v>
      </c>
      <c r="E55" s="358" t="s">
        <v>36</v>
      </c>
      <c r="F55" s="358" t="s">
        <v>36</v>
      </c>
      <c r="G55" s="358" t="s">
        <v>36</v>
      </c>
      <c r="H55" s="361"/>
      <c r="I55" s="362" t="s">
        <v>36</v>
      </c>
      <c r="J55" s="358" t="s">
        <v>36</v>
      </c>
      <c r="K55" s="358" t="s">
        <v>36</v>
      </c>
      <c r="L55" s="358" t="s">
        <v>36</v>
      </c>
      <c r="M55" s="361"/>
      <c r="N55" s="374" t="s">
        <v>36</v>
      </c>
      <c r="O55" s="358" t="s">
        <v>36</v>
      </c>
      <c r="P55" s="355" t="s">
        <v>36</v>
      </c>
    </row>
    <row r="56" spans="2:16">
      <c r="B56" s="1513"/>
      <c r="C56" s="777" t="s">
        <v>599</v>
      </c>
      <c r="D56" s="375">
        <v>46163</v>
      </c>
      <c r="E56" s="358" t="s">
        <v>36</v>
      </c>
      <c r="F56" s="358" t="s">
        <v>36</v>
      </c>
      <c r="G56" s="358" t="s">
        <v>36</v>
      </c>
      <c r="H56" s="364" t="s">
        <v>36</v>
      </c>
      <c r="I56" s="358" t="s">
        <v>36</v>
      </c>
      <c r="J56" s="358" t="s">
        <v>36</v>
      </c>
      <c r="K56" s="358" t="s">
        <v>36</v>
      </c>
      <c r="L56" s="358" t="s">
        <v>36</v>
      </c>
      <c r="M56" s="364" t="s">
        <v>36</v>
      </c>
      <c r="N56" s="358" t="s">
        <v>36</v>
      </c>
      <c r="O56" s="358" t="s">
        <v>36</v>
      </c>
      <c r="P56" s="355" t="s">
        <v>36</v>
      </c>
    </row>
    <row r="57" spans="2:16">
      <c r="B57" s="1513"/>
      <c r="C57" s="351" t="s">
        <v>279</v>
      </c>
      <c r="D57" s="375">
        <v>46076</v>
      </c>
      <c r="E57" s="358" t="s">
        <v>36</v>
      </c>
      <c r="F57" s="358" t="s">
        <v>36</v>
      </c>
      <c r="G57" s="358" t="s">
        <v>36</v>
      </c>
      <c r="H57" s="358" t="s">
        <v>36</v>
      </c>
      <c r="I57" s="361"/>
      <c r="J57" s="362" t="s">
        <v>36</v>
      </c>
      <c r="K57" s="358" t="s">
        <v>36</v>
      </c>
      <c r="L57" s="358" t="s">
        <v>36</v>
      </c>
      <c r="M57" s="358" t="s">
        <v>36</v>
      </c>
      <c r="N57" s="358" t="s">
        <v>36</v>
      </c>
      <c r="O57" s="361"/>
      <c r="P57" s="376" t="s">
        <v>36</v>
      </c>
    </row>
    <row r="58" spans="2:16">
      <c r="B58" s="1513"/>
      <c r="C58" s="351" t="s">
        <v>319</v>
      </c>
      <c r="D58" s="373" t="s">
        <v>630</v>
      </c>
      <c r="E58" s="361"/>
      <c r="F58" s="362" t="s">
        <v>36</v>
      </c>
      <c r="G58" s="358" t="s">
        <v>36</v>
      </c>
      <c r="H58" s="358" t="s">
        <v>36</v>
      </c>
      <c r="I58" s="364" t="s">
        <v>36</v>
      </c>
      <c r="J58" s="358" t="s">
        <v>36</v>
      </c>
      <c r="K58" s="358" t="s">
        <v>36</v>
      </c>
      <c r="L58" s="377" t="s">
        <v>36</v>
      </c>
      <c r="M58" s="358" t="s">
        <v>36</v>
      </c>
      <c r="N58" s="358" t="s">
        <v>36</v>
      </c>
      <c r="O58" s="364" t="s">
        <v>36</v>
      </c>
      <c r="P58" s="355" t="s">
        <v>36</v>
      </c>
    </row>
    <row r="59" spans="2:16">
      <c r="B59" s="1513"/>
      <c r="C59" s="351" t="s">
        <v>406</v>
      </c>
      <c r="D59" s="375">
        <v>46194</v>
      </c>
      <c r="E59" s="364" t="s">
        <v>36</v>
      </c>
      <c r="F59" s="361"/>
      <c r="G59" s="362" t="s">
        <v>36</v>
      </c>
      <c r="H59" s="358" t="s">
        <v>36</v>
      </c>
      <c r="I59" s="358" t="s">
        <v>36</v>
      </c>
      <c r="J59" s="358" t="s">
        <v>36</v>
      </c>
      <c r="K59" s="358" t="s">
        <v>36</v>
      </c>
      <c r="L59" s="358" t="s">
        <v>36</v>
      </c>
      <c r="M59" s="377" t="s">
        <v>36</v>
      </c>
      <c r="N59" s="358" t="s">
        <v>36</v>
      </c>
      <c r="O59" s="358" t="s">
        <v>36</v>
      </c>
      <c r="P59" s="355" t="s">
        <v>36</v>
      </c>
    </row>
    <row r="60" spans="2:16">
      <c r="B60" s="1513"/>
      <c r="C60" s="776" t="s">
        <v>294</v>
      </c>
      <c r="D60" s="373" t="s">
        <v>631</v>
      </c>
      <c r="E60" s="358" t="s">
        <v>36</v>
      </c>
      <c r="F60" s="364" t="s">
        <v>36</v>
      </c>
      <c r="G60" s="361"/>
      <c r="H60" s="362" t="s">
        <v>36</v>
      </c>
      <c r="I60" s="358" t="s">
        <v>36</v>
      </c>
      <c r="J60" s="358" t="s">
        <v>36</v>
      </c>
      <c r="K60" s="358" t="s">
        <v>36</v>
      </c>
      <c r="L60" s="377" t="s">
        <v>36</v>
      </c>
      <c r="M60" s="358" t="s">
        <v>36</v>
      </c>
      <c r="N60" s="358" t="s">
        <v>36</v>
      </c>
      <c r="O60" s="358" t="s">
        <v>36</v>
      </c>
      <c r="P60" s="355" t="s">
        <v>36</v>
      </c>
    </row>
    <row r="61" spans="2:16">
      <c r="B61" s="1513"/>
      <c r="C61" s="776" t="s">
        <v>301</v>
      </c>
      <c r="D61" s="375">
        <v>46317</v>
      </c>
      <c r="E61" s="358" t="s">
        <v>36</v>
      </c>
      <c r="F61" s="358" t="s">
        <v>36</v>
      </c>
      <c r="G61" s="364" t="s">
        <v>36</v>
      </c>
      <c r="H61" s="358" t="s">
        <v>36</v>
      </c>
      <c r="I61" s="358" t="s">
        <v>36</v>
      </c>
      <c r="J61" s="358" t="s">
        <v>36</v>
      </c>
      <c r="K61" s="358" t="s">
        <v>36</v>
      </c>
      <c r="L61" s="358" t="s">
        <v>36</v>
      </c>
      <c r="M61" s="358" t="s">
        <v>36</v>
      </c>
      <c r="N61" s="358" t="s">
        <v>36</v>
      </c>
      <c r="O61" s="358" t="s">
        <v>36</v>
      </c>
      <c r="P61" s="355" t="s">
        <v>36</v>
      </c>
    </row>
    <row r="62" spans="2:16">
      <c r="B62" s="1513"/>
      <c r="C62" s="776" t="s">
        <v>266</v>
      </c>
      <c r="D62" s="373" t="s">
        <v>632</v>
      </c>
      <c r="E62" s="358" t="s">
        <v>36</v>
      </c>
      <c r="F62" s="358" t="s">
        <v>36</v>
      </c>
      <c r="G62" s="358" t="s">
        <v>36</v>
      </c>
      <c r="H62" s="358" t="s">
        <v>36</v>
      </c>
      <c r="I62" s="358" t="s">
        <v>36</v>
      </c>
      <c r="J62" s="358" t="s">
        <v>36</v>
      </c>
      <c r="K62" s="358" t="s">
        <v>36</v>
      </c>
      <c r="L62" s="358" t="s">
        <v>36</v>
      </c>
      <c r="M62" s="358" t="s">
        <v>36</v>
      </c>
      <c r="N62" s="358" t="s">
        <v>36</v>
      </c>
      <c r="O62" s="358" t="s">
        <v>36</v>
      </c>
      <c r="P62" s="355" t="s">
        <v>36</v>
      </c>
    </row>
    <row r="63" spans="2:16">
      <c r="B63" s="1514"/>
      <c r="C63" s="365" t="s">
        <v>298</v>
      </c>
      <c r="D63" s="378" t="s">
        <v>628</v>
      </c>
      <c r="E63" s="368" t="s">
        <v>36</v>
      </c>
      <c r="F63" s="368" t="s">
        <v>36</v>
      </c>
      <c r="G63" s="368" t="s">
        <v>36</v>
      </c>
      <c r="H63" s="368" t="s">
        <v>36</v>
      </c>
      <c r="I63" s="368" t="s">
        <v>36</v>
      </c>
      <c r="J63" s="368" t="s">
        <v>36</v>
      </c>
      <c r="K63" s="368" t="s">
        <v>36</v>
      </c>
      <c r="L63" s="368" t="s">
        <v>36</v>
      </c>
      <c r="M63" s="368" t="s">
        <v>36</v>
      </c>
      <c r="N63" s="368" t="s">
        <v>36</v>
      </c>
      <c r="O63" s="368" t="s">
        <v>36</v>
      </c>
      <c r="P63" s="369" t="s">
        <v>36</v>
      </c>
    </row>
    <row r="64" spans="2:16">
      <c r="B64" s="339"/>
      <c r="C64" s="337"/>
      <c r="D64" s="337"/>
      <c r="E64" s="337"/>
      <c r="F64" s="337"/>
      <c r="G64" s="337"/>
      <c r="H64" s="337"/>
      <c r="I64" s="337"/>
      <c r="J64" s="337"/>
      <c r="K64" s="337"/>
      <c r="L64" s="337"/>
      <c r="M64" s="337"/>
      <c r="N64" s="337"/>
      <c r="O64" s="337"/>
      <c r="P64" s="337"/>
    </row>
    <row r="65" spans="2:16">
      <c r="B65" s="337"/>
      <c r="C65" s="337"/>
      <c r="D65" s="337"/>
      <c r="E65" s="337"/>
      <c r="F65" s="337"/>
      <c r="G65" s="337"/>
      <c r="H65" s="337"/>
      <c r="I65" s="337"/>
      <c r="J65" s="337"/>
      <c r="K65" s="337"/>
      <c r="L65" s="337"/>
      <c r="M65" s="337"/>
      <c r="N65" s="337"/>
      <c r="O65" s="337"/>
      <c r="P65" s="337"/>
    </row>
    <row r="66" spans="2:16">
      <c r="B66" s="338" t="s">
        <v>633</v>
      </c>
      <c r="C66" s="338"/>
      <c r="D66" s="338"/>
      <c r="E66" s="337"/>
      <c r="F66" s="337"/>
      <c r="G66" s="338" t="s">
        <v>634</v>
      </c>
      <c r="H66" s="338"/>
      <c r="I66" s="338"/>
      <c r="J66" s="337"/>
      <c r="K66" s="337"/>
      <c r="L66" s="337"/>
      <c r="M66" s="338"/>
      <c r="N66" s="337"/>
      <c r="O66" s="337"/>
      <c r="P66" s="337"/>
    </row>
    <row r="67" spans="2:16">
      <c r="B67" s="337" t="s">
        <v>635</v>
      </c>
      <c r="C67" s="337"/>
      <c r="D67" s="340" t="s">
        <v>36</v>
      </c>
      <c r="E67" s="337"/>
      <c r="F67" s="337"/>
      <c r="G67" s="337" t="s">
        <v>636</v>
      </c>
      <c r="H67" s="337"/>
      <c r="I67" s="337"/>
      <c r="J67" s="337"/>
      <c r="K67" s="341" t="s">
        <v>36</v>
      </c>
      <c r="L67" s="337"/>
      <c r="M67" s="337" t="s">
        <v>637</v>
      </c>
      <c r="N67" s="337"/>
      <c r="O67" s="337"/>
      <c r="P67" s="342" t="s">
        <v>36</v>
      </c>
    </row>
    <row r="68" spans="2:16">
      <c r="B68" s="337"/>
      <c r="C68" s="337"/>
      <c r="D68" s="337"/>
      <c r="E68" s="337"/>
      <c r="F68" s="337"/>
      <c r="G68" s="337"/>
      <c r="H68" s="337"/>
      <c r="I68" s="337"/>
      <c r="J68" s="337"/>
      <c r="K68" s="337"/>
      <c r="L68" s="337"/>
      <c r="M68" s="337"/>
      <c r="N68" s="337"/>
      <c r="O68" s="337"/>
      <c r="P68" s="337"/>
    </row>
    <row r="69" spans="2:16">
      <c r="B69" s="337" t="s">
        <v>638</v>
      </c>
      <c r="C69" s="337" t="s">
        <v>639</v>
      </c>
      <c r="D69" s="337"/>
      <c r="E69" s="337"/>
      <c r="F69" s="337"/>
      <c r="G69" s="337" t="s">
        <v>640</v>
      </c>
      <c r="H69" s="337"/>
      <c r="I69" s="337"/>
      <c r="J69" s="337"/>
      <c r="K69" s="343" t="s">
        <v>36</v>
      </c>
      <c r="L69" s="337"/>
      <c r="M69" s="337" t="s">
        <v>638</v>
      </c>
      <c r="N69" s="337" t="s">
        <v>641</v>
      </c>
      <c r="O69" s="337"/>
      <c r="P69" s="337"/>
    </row>
    <row r="70" spans="2:16">
      <c r="B70" s="337"/>
      <c r="C70" s="337"/>
      <c r="D70" s="337"/>
      <c r="E70" s="337"/>
      <c r="F70" s="337"/>
      <c r="G70" s="337"/>
      <c r="H70" s="337"/>
      <c r="I70" s="337"/>
      <c r="J70" s="337"/>
      <c r="K70" s="337"/>
      <c r="L70" s="337"/>
      <c r="M70" s="337"/>
      <c r="N70" s="337"/>
      <c r="O70" s="337"/>
      <c r="P70" s="337"/>
    </row>
    <row r="71" spans="2:16">
      <c r="B71" s="337"/>
      <c r="C71" s="337"/>
      <c r="D71" s="337"/>
      <c r="E71" s="337"/>
      <c r="F71" s="337"/>
      <c r="G71" s="337" t="s">
        <v>642</v>
      </c>
      <c r="H71" s="337"/>
      <c r="I71" s="337"/>
      <c r="J71" s="337"/>
      <c r="K71" s="344" t="s">
        <v>36</v>
      </c>
      <c r="L71" s="337"/>
      <c r="M71" s="337"/>
      <c r="N71" s="337"/>
      <c r="O71" s="337"/>
      <c r="P71" s="337"/>
    </row>
    <row r="72" spans="2:16">
      <c r="B72" s="337"/>
      <c r="C72" s="337"/>
      <c r="D72" s="337"/>
      <c r="E72" s="337"/>
      <c r="F72" s="337"/>
      <c r="G72" s="337"/>
      <c r="H72" s="337"/>
      <c r="I72" s="337"/>
      <c r="J72" s="337"/>
      <c r="K72" s="337"/>
      <c r="L72" s="337"/>
      <c r="M72" s="337"/>
      <c r="N72" s="337"/>
      <c r="O72" s="337"/>
      <c r="P72" s="337"/>
    </row>
    <row r="73" spans="2:16">
      <c r="B73" s="337"/>
      <c r="C73" s="337"/>
      <c r="D73" s="337"/>
      <c r="E73" s="337"/>
      <c r="F73" s="337"/>
      <c r="G73" s="1508" t="s">
        <v>643</v>
      </c>
      <c r="H73" s="1508"/>
      <c r="I73" s="337" t="s">
        <v>644</v>
      </c>
      <c r="J73" s="337"/>
      <c r="K73" s="337"/>
      <c r="L73" s="337"/>
      <c r="M73" s="337"/>
      <c r="N73" s="337"/>
      <c r="O73" s="337"/>
      <c r="P73" s="337"/>
    </row>
    <row r="74" spans="2:16">
      <c r="B74" s="337"/>
      <c r="C74" s="337"/>
      <c r="D74" s="337"/>
      <c r="E74" s="337"/>
      <c r="F74" s="337"/>
      <c r="G74" s="1508" t="s">
        <v>645</v>
      </c>
      <c r="H74" s="1508"/>
      <c r="I74" s="337" t="s">
        <v>646</v>
      </c>
      <c r="J74" s="337"/>
      <c r="K74" s="337"/>
      <c r="L74" s="337"/>
      <c r="M74" s="337"/>
      <c r="N74" s="337"/>
      <c r="O74" s="337"/>
      <c r="P74" s="337"/>
    </row>
    <row r="75" spans="2:16">
      <c r="B75" s="337"/>
      <c r="C75" s="337"/>
      <c r="D75" s="337"/>
      <c r="E75" s="337"/>
      <c r="F75" s="337"/>
      <c r="G75" s="1508" t="s">
        <v>647</v>
      </c>
      <c r="H75" s="1508"/>
      <c r="I75" s="337" t="s">
        <v>648</v>
      </c>
      <c r="J75" s="337"/>
      <c r="K75" s="337"/>
      <c r="L75" s="337"/>
      <c r="M75" s="337"/>
      <c r="N75" s="337"/>
      <c r="O75" s="337"/>
      <c r="P75" s="337"/>
    </row>
    <row r="76" spans="2:16">
      <c r="B76" s="337"/>
      <c r="C76" s="337"/>
      <c r="D76" s="337"/>
      <c r="E76" s="337"/>
      <c r="F76" s="337"/>
      <c r="G76" s="1508" t="s">
        <v>649</v>
      </c>
      <c r="H76" s="1508"/>
      <c r="I76" s="337" t="s">
        <v>650</v>
      </c>
      <c r="J76" s="337"/>
      <c r="K76" s="337"/>
      <c r="L76" s="337"/>
      <c r="M76" s="337"/>
      <c r="N76" s="337"/>
      <c r="O76" s="337"/>
      <c r="P76" s="337"/>
    </row>
    <row r="77" spans="2:16">
      <c r="B77" s="337"/>
      <c r="C77" s="337"/>
      <c r="D77" s="337"/>
      <c r="E77" s="337"/>
      <c r="F77" s="337"/>
      <c r="G77" s="337"/>
      <c r="H77" s="337"/>
      <c r="I77" s="337"/>
      <c r="J77" s="337"/>
      <c r="K77" s="337"/>
      <c r="L77" s="337"/>
      <c r="M77" s="337"/>
      <c r="N77" s="337"/>
      <c r="O77" s="337"/>
      <c r="P77" s="337"/>
    </row>
    <row r="113" spans="2:2">
      <c r="B113" s="96"/>
    </row>
  </sheetData>
  <mergeCells count="38">
    <mergeCell ref="B33:B35"/>
    <mergeCell ref="C33:C35"/>
    <mergeCell ref="L14:L15"/>
    <mergeCell ref="B18:B21"/>
    <mergeCell ref="L18:L19"/>
    <mergeCell ref="B22:B23"/>
    <mergeCell ref="D22:D23"/>
    <mergeCell ref="J22:J23"/>
    <mergeCell ref="K22:K23"/>
    <mergeCell ref="L22:L23"/>
    <mergeCell ref="B14:B17"/>
    <mergeCell ref="D33:D35"/>
    <mergeCell ref="G33:G35"/>
    <mergeCell ref="H33:H35"/>
    <mergeCell ref="F34:F35"/>
    <mergeCell ref="J33:J35"/>
    <mergeCell ref="B2:L2"/>
    <mergeCell ref="B5:B8"/>
    <mergeCell ref="L5:L6"/>
    <mergeCell ref="B9:B12"/>
    <mergeCell ref="I9:I10"/>
    <mergeCell ref="J9:J10"/>
    <mergeCell ref="K9:K10"/>
    <mergeCell ref="L33:L35"/>
    <mergeCell ref="K33:K35"/>
    <mergeCell ref="E22:E23"/>
    <mergeCell ref="F22:F23"/>
    <mergeCell ref="G22:G23"/>
    <mergeCell ref="H22:H23"/>
    <mergeCell ref="I22:I23"/>
    <mergeCell ref="G74:H74"/>
    <mergeCell ref="G75:H75"/>
    <mergeCell ref="G76:H76"/>
    <mergeCell ref="B40:P40"/>
    <mergeCell ref="B41:P41"/>
    <mergeCell ref="B43:B51"/>
    <mergeCell ref="B54:B63"/>
    <mergeCell ref="G73:H73"/>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049FE-C722-4E9F-A14A-AB261C35F72B}">
  <sheetPr codeName="Hoja2">
    <tabColor rgb="FFD9D9D9"/>
  </sheetPr>
  <dimension ref="B2:K1004"/>
  <sheetViews>
    <sheetView workbookViewId="0">
      <selection activeCell="C104" sqref="C104"/>
    </sheetView>
  </sheetViews>
  <sheetFormatPr baseColWidth="10" defaultColWidth="14.42578125" defaultRowHeight="15"/>
  <cols>
    <col min="1" max="1" width="10.7109375" customWidth="1"/>
    <col min="2" max="2" width="17.7109375" customWidth="1"/>
    <col min="3" max="3" width="16.140625" customWidth="1"/>
    <col min="4" max="4" width="40.85546875" customWidth="1"/>
    <col min="5" max="5" width="138.42578125" customWidth="1"/>
    <col min="6" max="6" width="26.140625" customWidth="1"/>
    <col min="7" max="7" width="18.5703125" customWidth="1"/>
    <col min="8" max="8" width="10.7109375" style="54" customWidth="1"/>
    <col min="9" max="10" width="10.7109375" customWidth="1"/>
    <col min="11" max="11" width="26.7109375" customWidth="1"/>
    <col min="12" max="27" width="10.7109375" customWidth="1"/>
  </cols>
  <sheetData>
    <row r="2" spans="2:11">
      <c r="E2" s="762"/>
      <c r="F2" s="762"/>
    </row>
    <row r="3" spans="2:11" ht="27" thickBot="1">
      <c r="B3" s="1538" t="s">
        <v>651</v>
      </c>
      <c r="C3" s="1539"/>
      <c r="D3" s="1539"/>
      <c r="E3" s="1539"/>
      <c r="F3" s="1539"/>
      <c r="G3" s="1539"/>
      <c r="H3" s="1540"/>
    </row>
    <row r="4" spans="2:11" ht="14.25" customHeight="1"/>
    <row r="5" spans="2:11" ht="15.75">
      <c r="B5" s="46" t="s">
        <v>652</v>
      </c>
      <c r="C5" s="42" t="s">
        <v>653</v>
      </c>
      <c r="D5" s="42" t="s">
        <v>254</v>
      </c>
      <c r="E5" s="42" t="s">
        <v>654</v>
      </c>
      <c r="F5" s="42" t="s">
        <v>655</v>
      </c>
      <c r="G5" s="47" t="s">
        <v>384</v>
      </c>
      <c r="H5" s="42" t="s">
        <v>656</v>
      </c>
      <c r="J5" s="20" t="s">
        <v>656</v>
      </c>
    </row>
    <row r="6" spans="2:11">
      <c r="B6" s="21" t="s">
        <v>657</v>
      </c>
      <c r="C6" s="22">
        <v>20005484</v>
      </c>
      <c r="D6" s="23" t="s">
        <v>658</v>
      </c>
      <c r="E6" s="24" t="s">
        <v>659</v>
      </c>
      <c r="F6" s="24" t="s">
        <v>660</v>
      </c>
      <c r="G6" s="23">
        <v>1</v>
      </c>
      <c r="H6" s="50" t="s">
        <v>661</v>
      </c>
      <c r="J6" s="25" t="s">
        <v>526</v>
      </c>
      <c r="K6" s="26" t="s">
        <v>662</v>
      </c>
    </row>
    <row r="7" spans="2:11" ht="14.25" customHeight="1">
      <c r="B7" s="21" t="s">
        <v>657</v>
      </c>
      <c r="C7" s="23">
        <v>10016711</v>
      </c>
      <c r="D7" s="23" t="s">
        <v>663</v>
      </c>
      <c r="E7" s="763" t="s">
        <v>664</v>
      </c>
      <c r="F7" s="763" t="s">
        <v>660</v>
      </c>
      <c r="G7" s="23">
        <v>1</v>
      </c>
      <c r="H7" s="50" t="s">
        <v>528</v>
      </c>
      <c r="J7" s="25" t="s">
        <v>527</v>
      </c>
      <c r="K7" s="26" t="s">
        <v>665</v>
      </c>
    </row>
    <row r="8" spans="2:11" ht="14.25" customHeight="1">
      <c r="B8" s="21" t="s">
        <v>657</v>
      </c>
      <c r="C8" s="23">
        <v>10016712</v>
      </c>
      <c r="D8" s="23" t="s">
        <v>666</v>
      </c>
      <c r="E8" s="27" t="s">
        <v>667</v>
      </c>
      <c r="F8" s="59" t="s">
        <v>660</v>
      </c>
      <c r="G8" s="23">
        <v>1</v>
      </c>
      <c r="H8" s="50" t="s">
        <v>528</v>
      </c>
      <c r="J8" s="25" t="s">
        <v>528</v>
      </c>
      <c r="K8" s="26" t="s">
        <v>668</v>
      </c>
    </row>
    <row r="9" spans="2:11" ht="14.25" customHeight="1">
      <c r="B9" s="23" t="s">
        <v>669</v>
      </c>
      <c r="C9" s="22">
        <v>10016713</v>
      </c>
      <c r="D9" s="23" t="s">
        <v>670</v>
      </c>
      <c r="E9" s="24" t="s">
        <v>671</v>
      </c>
      <c r="F9" s="59" t="s">
        <v>660</v>
      </c>
      <c r="G9" s="23">
        <v>1</v>
      </c>
      <c r="H9" s="50" t="s">
        <v>528</v>
      </c>
      <c r="J9" s="25" t="s">
        <v>661</v>
      </c>
      <c r="K9" s="26" t="s">
        <v>672</v>
      </c>
    </row>
    <row r="10" spans="2:11" ht="14.25" customHeight="1">
      <c r="B10" s="21" t="s">
        <v>669</v>
      </c>
      <c r="C10" s="74">
        <v>10016714</v>
      </c>
      <c r="D10" s="23" t="s">
        <v>673</v>
      </c>
      <c r="E10" s="24" t="s">
        <v>674</v>
      </c>
      <c r="F10" s="24" t="s">
        <v>675</v>
      </c>
      <c r="G10" s="23">
        <v>1</v>
      </c>
      <c r="H10" s="50" t="s">
        <v>528</v>
      </c>
    </row>
    <row r="11" spans="2:11" ht="14.25" customHeight="1">
      <c r="B11" s="21" t="s">
        <v>676</v>
      </c>
      <c r="C11" s="23"/>
      <c r="D11" s="23" t="s">
        <v>677</v>
      </c>
      <c r="E11" s="24" t="s">
        <v>678</v>
      </c>
      <c r="F11" s="59" t="s">
        <v>660</v>
      </c>
      <c r="G11" s="23">
        <v>1</v>
      </c>
      <c r="H11" s="50" t="s">
        <v>527</v>
      </c>
    </row>
    <row r="12" spans="2:11" ht="14.25" customHeight="1">
      <c r="B12" s="21" t="s">
        <v>679</v>
      </c>
      <c r="C12" s="23"/>
      <c r="D12" s="23" t="s">
        <v>680</v>
      </c>
      <c r="E12" s="24" t="s">
        <v>681</v>
      </c>
      <c r="F12" s="24" t="s">
        <v>675</v>
      </c>
      <c r="G12" s="23">
        <v>1</v>
      </c>
      <c r="H12" s="50" t="s">
        <v>528</v>
      </c>
    </row>
    <row r="13" spans="2:11" ht="14.25" customHeight="1">
      <c r="B13" s="21">
        <v>45942</v>
      </c>
      <c r="C13" s="23"/>
      <c r="D13" s="23" t="s">
        <v>682</v>
      </c>
      <c r="E13" s="24" t="s">
        <v>683</v>
      </c>
      <c r="F13" s="59" t="s">
        <v>660</v>
      </c>
      <c r="G13" s="23">
        <v>1</v>
      </c>
      <c r="H13" s="50" t="s">
        <v>528</v>
      </c>
      <c r="J13" s="29" t="s">
        <v>384</v>
      </c>
    </row>
    <row r="14" spans="2:11" ht="14.25" customHeight="1">
      <c r="B14" s="21">
        <v>45942</v>
      </c>
      <c r="C14" s="23"/>
      <c r="D14" s="23" t="s">
        <v>684</v>
      </c>
      <c r="E14" s="24" t="s">
        <v>683</v>
      </c>
      <c r="F14" s="59" t="s">
        <v>660</v>
      </c>
      <c r="G14" s="23">
        <v>1</v>
      </c>
      <c r="H14" s="50" t="s">
        <v>528</v>
      </c>
      <c r="J14" s="6">
        <v>1</v>
      </c>
      <c r="K14" s="6" t="s">
        <v>685</v>
      </c>
    </row>
    <row r="15" spans="2:11" ht="14.25" customHeight="1">
      <c r="B15" s="21">
        <v>45942</v>
      </c>
      <c r="C15" s="23"/>
      <c r="D15" s="23" t="s">
        <v>686</v>
      </c>
      <c r="E15" s="24" t="s">
        <v>683</v>
      </c>
      <c r="F15" s="59" t="s">
        <v>660</v>
      </c>
      <c r="G15" s="23">
        <v>1</v>
      </c>
      <c r="H15" s="50" t="s">
        <v>528</v>
      </c>
    </row>
    <row r="16" spans="2:11" ht="14.25" customHeight="1">
      <c r="B16" s="83">
        <v>45942</v>
      </c>
      <c r="C16" s="50"/>
      <c r="D16" s="50" t="s">
        <v>677</v>
      </c>
      <c r="E16" s="82" t="s">
        <v>683</v>
      </c>
      <c r="F16" s="59" t="s">
        <v>660</v>
      </c>
      <c r="G16" s="50">
        <v>1</v>
      </c>
      <c r="H16" s="50" t="s">
        <v>528</v>
      </c>
    </row>
    <row r="17" spans="2:8" ht="14.25" customHeight="1">
      <c r="B17" s="83">
        <v>45942</v>
      </c>
      <c r="C17" s="50"/>
      <c r="D17" s="50" t="s">
        <v>687</v>
      </c>
      <c r="E17" s="44" t="s">
        <v>688</v>
      </c>
      <c r="F17" s="59" t="s">
        <v>660</v>
      </c>
      <c r="G17" s="50">
        <v>1</v>
      </c>
      <c r="H17" s="50" t="s">
        <v>528</v>
      </c>
    </row>
    <row r="18" spans="2:8" ht="14.25" customHeight="1">
      <c r="B18" s="49">
        <v>46003</v>
      </c>
      <c r="C18" s="50"/>
      <c r="D18" s="50" t="s">
        <v>689</v>
      </c>
      <c r="E18" s="43" t="s">
        <v>690</v>
      </c>
      <c r="F18" s="59" t="s">
        <v>660</v>
      </c>
      <c r="G18" s="50">
        <v>1</v>
      </c>
      <c r="H18" s="50" t="s">
        <v>527</v>
      </c>
    </row>
    <row r="19" spans="2:8" ht="14.25" customHeight="1">
      <c r="B19" s="49" t="s">
        <v>691</v>
      </c>
      <c r="C19" s="50"/>
      <c r="D19" s="50" t="s">
        <v>692</v>
      </c>
      <c r="E19" s="44" t="s">
        <v>693</v>
      </c>
      <c r="F19" s="59" t="s">
        <v>660</v>
      </c>
      <c r="G19" s="50">
        <v>1</v>
      </c>
      <c r="H19" s="50" t="s">
        <v>528</v>
      </c>
    </row>
    <row r="20" spans="2:8" ht="14.25" customHeight="1">
      <c r="B20" s="49" t="s">
        <v>694</v>
      </c>
      <c r="C20" s="50"/>
      <c r="D20" s="50" t="s">
        <v>695</v>
      </c>
      <c r="E20" s="43" t="s">
        <v>696</v>
      </c>
      <c r="F20" s="59" t="s">
        <v>660</v>
      </c>
      <c r="G20" s="50">
        <v>1</v>
      </c>
      <c r="H20" s="50" t="s">
        <v>527</v>
      </c>
    </row>
    <row r="21" spans="2:8" ht="14.25" customHeight="1">
      <c r="B21" s="49" t="s">
        <v>697</v>
      </c>
      <c r="C21" s="50"/>
      <c r="D21" s="50" t="s">
        <v>670</v>
      </c>
      <c r="E21" s="43" t="s">
        <v>698</v>
      </c>
      <c r="F21" s="59" t="s">
        <v>660</v>
      </c>
      <c r="G21" s="50">
        <v>1</v>
      </c>
      <c r="H21" s="50" t="s">
        <v>528</v>
      </c>
    </row>
    <row r="22" spans="2:8" ht="14.25" customHeight="1">
      <c r="B22" s="49" t="s">
        <v>697</v>
      </c>
      <c r="C22" s="50"/>
      <c r="D22" s="50" t="s">
        <v>699</v>
      </c>
      <c r="E22" s="43" t="s">
        <v>700</v>
      </c>
      <c r="F22" s="59" t="s">
        <v>660</v>
      </c>
      <c r="G22" s="50">
        <v>1</v>
      </c>
      <c r="H22" s="50" t="s">
        <v>528</v>
      </c>
    </row>
    <row r="23" spans="2:8" ht="14.25" customHeight="1">
      <c r="B23" s="49" t="s">
        <v>701</v>
      </c>
      <c r="C23" s="51"/>
      <c r="D23" s="50" t="s">
        <v>663</v>
      </c>
      <c r="E23" s="43" t="s">
        <v>702</v>
      </c>
      <c r="F23" s="59" t="s">
        <v>660</v>
      </c>
      <c r="G23" s="50">
        <v>1</v>
      </c>
      <c r="H23" s="50" t="s">
        <v>528</v>
      </c>
    </row>
    <row r="24" spans="2:8" ht="14.25" customHeight="1">
      <c r="B24" s="49" t="s">
        <v>703</v>
      </c>
      <c r="C24" s="51"/>
      <c r="D24" s="50" t="s">
        <v>699</v>
      </c>
      <c r="E24" s="43" t="s">
        <v>704</v>
      </c>
      <c r="F24" s="59" t="s">
        <v>660</v>
      </c>
      <c r="G24" s="50">
        <v>1</v>
      </c>
      <c r="H24" s="50" t="s">
        <v>528</v>
      </c>
    </row>
    <row r="25" spans="2:8" ht="14.25" customHeight="1">
      <c r="B25" s="49" t="s">
        <v>705</v>
      </c>
      <c r="C25" s="51"/>
      <c r="D25" s="50" t="s">
        <v>706</v>
      </c>
      <c r="E25" s="43" t="s">
        <v>707</v>
      </c>
      <c r="F25" s="59" t="s">
        <v>660</v>
      </c>
      <c r="G25" s="50">
        <v>1</v>
      </c>
      <c r="H25" s="50" t="s">
        <v>527</v>
      </c>
    </row>
    <row r="26" spans="2:8" ht="14.25" customHeight="1">
      <c r="B26" s="49" t="s">
        <v>708</v>
      </c>
      <c r="C26" s="51"/>
      <c r="D26" s="50" t="s">
        <v>709</v>
      </c>
      <c r="E26" s="43" t="s">
        <v>710</v>
      </c>
      <c r="F26" s="59" t="s">
        <v>660</v>
      </c>
      <c r="G26" s="50">
        <v>1</v>
      </c>
      <c r="H26" s="50" t="s">
        <v>528</v>
      </c>
    </row>
    <row r="27" spans="2:8" ht="14.25" customHeight="1">
      <c r="B27" s="49" t="s">
        <v>711</v>
      </c>
      <c r="C27" s="51">
        <v>10018489</v>
      </c>
      <c r="D27" s="50" t="s">
        <v>712</v>
      </c>
      <c r="E27" s="43" t="s">
        <v>713</v>
      </c>
      <c r="F27" s="59" t="s">
        <v>660</v>
      </c>
      <c r="G27" s="50">
        <v>1</v>
      </c>
      <c r="H27" s="50" t="s">
        <v>528</v>
      </c>
    </row>
    <row r="28" spans="2:8" ht="14.25" customHeight="1">
      <c r="B28" s="49" t="s">
        <v>714</v>
      </c>
      <c r="C28" s="51"/>
      <c r="D28" s="50" t="s">
        <v>699</v>
      </c>
      <c r="E28" s="44" t="s">
        <v>715</v>
      </c>
      <c r="F28" s="59" t="s">
        <v>660</v>
      </c>
      <c r="G28" s="50">
        <v>1</v>
      </c>
      <c r="H28" s="50" t="s">
        <v>528</v>
      </c>
    </row>
    <row r="29" spans="2:8" ht="14.25" customHeight="1">
      <c r="B29" s="49" t="s">
        <v>714</v>
      </c>
      <c r="C29" s="51"/>
      <c r="D29" s="51" t="s">
        <v>716</v>
      </c>
      <c r="E29" s="43" t="s">
        <v>717</v>
      </c>
      <c r="F29" s="59" t="s">
        <v>660</v>
      </c>
      <c r="G29" s="50">
        <v>1</v>
      </c>
      <c r="H29" s="50" t="s">
        <v>528</v>
      </c>
    </row>
    <row r="30" spans="2:8" ht="14.25" customHeight="1">
      <c r="B30" s="49">
        <v>46024</v>
      </c>
      <c r="C30" s="51"/>
      <c r="D30" s="51" t="s">
        <v>699</v>
      </c>
      <c r="E30" s="43" t="s">
        <v>718</v>
      </c>
      <c r="F30" s="43" t="s">
        <v>675</v>
      </c>
      <c r="G30" s="50">
        <v>1</v>
      </c>
      <c r="H30" s="50" t="s">
        <v>528</v>
      </c>
    </row>
    <row r="31" spans="2:8" ht="14.25" customHeight="1">
      <c r="B31" s="49">
        <v>46024</v>
      </c>
      <c r="C31" s="51"/>
      <c r="D31" s="51" t="s">
        <v>719</v>
      </c>
      <c r="E31" s="43" t="s">
        <v>700</v>
      </c>
      <c r="F31" s="59" t="s">
        <v>660</v>
      </c>
      <c r="G31" s="50">
        <v>1</v>
      </c>
      <c r="H31" s="50" t="s">
        <v>528</v>
      </c>
    </row>
    <row r="32" spans="2:8" ht="14.25" customHeight="1">
      <c r="B32" s="49">
        <v>46024</v>
      </c>
      <c r="C32" s="51"/>
      <c r="D32" s="51" t="s">
        <v>720</v>
      </c>
      <c r="E32" s="43" t="s">
        <v>721</v>
      </c>
      <c r="F32" s="59" t="s">
        <v>660</v>
      </c>
      <c r="G32" s="50">
        <v>1</v>
      </c>
      <c r="H32" s="50" t="s">
        <v>528</v>
      </c>
    </row>
    <row r="33" spans="2:8" ht="14.25" customHeight="1">
      <c r="B33" s="49">
        <v>46025</v>
      </c>
      <c r="C33" s="51"/>
      <c r="D33" s="51" t="s">
        <v>722</v>
      </c>
      <c r="E33" s="43" t="s">
        <v>723</v>
      </c>
      <c r="F33" s="43" t="s">
        <v>724</v>
      </c>
      <c r="G33" s="50">
        <v>1</v>
      </c>
      <c r="H33" s="50" t="s">
        <v>527</v>
      </c>
    </row>
    <row r="34" spans="2:8" ht="14.25" customHeight="1">
      <c r="B34" s="49">
        <v>46026</v>
      </c>
      <c r="C34" s="51"/>
      <c r="D34" s="51" t="s">
        <v>725</v>
      </c>
      <c r="E34" s="43" t="s">
        <v>726</v>
      </c>
      <c r="F34" s="59" t="s">
        <v>660</v>
      </c>
      <c r="G34" s="50">
        <v>1</v>
      </c>
      <c r="H34" s="50" t="s">
        <v>527</v>
      </c>
    </row>
    <row r="35" spans="2:8" ht="14.25" customHeight="1">
      <c r="B35" s="49">
        <v>46027</v>
      </c>
      <c r="C35" s="51"/>
      <c r="D35" s="51" t="s">
        <v>727</v>
      </c>
      <c r="E35" s="44" t="s">
        <v>728</v>
      </c>
      <c r="F35" s="59" t="s">
        <v>660</v>
      </c>
      <c r="G35" s="50">
        <v>1</v>
      </c>
      <c r="H35" s="50" t="s">
        <v>528</v>
      </c>
    </row>
    <row r="36" spans="2:8" ht="14.25" customHeight="1">
      <c r="B36" s="49">
        <v>46028</v>
      </c>
      <c r="C36" s="51"/>
      <c r="D36" s="50" t="s">
        <v>729</v>
      </c>
      <c r="E36" s="44" t="s">
        <v>730</v>
      </c>
      <c r="F36" s="43" t="s">
        <v>675</v>
      </c>
      <c r="G36" s="50">
        <v>1</v>
      </c>
      <c r="H36" s="50" t="s">
        <v>528</v>
      </c>
    </row>
    <row r="37" spans="2:8" ht="14.25" customHeight="1">
      <c r="B37" s="49">
        <v>46029</v>
      </c>
      <c r="C37" s="51"/>
      <c r="D37" s="51" t="s">
        <v>731</v>
      </c>
      <c r="E37" s="43" t="s">
        <v>715</v>
      </c>
      <c r="F37" s="59" t="s">
        <v>660</v>
      </c>
      <c r="G37" s="50">
        <v>1</v>
      </c>
      <c r="H37" s="50" t="s">
        <v>528</v>
      </c>
    </row>
    <row r="38" spans="2:8" ht="14.25" customHeight="1">
      <c r="B38" s="49">
        <v>46029</v>
      </c>
      <c r="C38" s="51"/>
      <c r="D38" s="51" t="s">
        <v>732</v>
      </c>
      <c r="E38" s="43" t="s">
        <v>733</v>
      </c>
      <c r="F38" s="59" t="s">
        <v>660</v>
      </c>
      <c r="G38" s="50">
        <v>1</v>
      </c>
      <c r="H38" s="50" t="s">
        <v>528</v>
      </c>
    </row>
    <row r="39" spans="2:8" ht="14.25" customHeight="1">
      <c r="B39" s="49">
        <v>46029</v>
      </c>
      <c r="C39" s="51"/>
      <c r="D39" s="51" t="s">
        <v>734</v>
      </c>
      <c r="E39" s="43" t="s">
        <v>735</v>
      </c>
      <c r="F39" s="59" t="s">
        <v>660</v>
      </c>
      <c r="G39" s="50">
        <v>1</v>
      </c>
      <c r="H39" s="50" t="s">
        <v>528</v>
      </c>
    </row>
    <row r="40" spans="2:8" ht="14.25" customHeight="1">
      <c r="B40" s="49">
        <v>46030</v>
      </c>
      <c r="C40" s="51"/>
      <c r="D40" s="51" t="s">
        <v>719</v>
      </c>
      <c r="E40" s="43" t="s">
        <v>736</v>
      </c>
      <c r="F40" s="59" t="s">
        <v>660</v>
      </c>
      <c r="G40" s="50">
        <v>1</v>
      </c>
      <c r="H40" s="50" t="s">
        <v>661</v>
      </c>
    </row>
    <row r="41" spans="2:8" ht="14.25" customHeight="1">
      <c r="B41" s="49">
        <v>46030</v>
      </c>
      <c r="C41" s="51"/>
      <c r="D41" s="51" t="s">
        <v>737</v>
      </c>
      <c r="E41" s="43" t="s">
        <v>738</v>
      </c>
      <c r="F41" s="59" t="s">
        <v>660</v>
      </c>
      <c r="G41" s="50">
        <v>1</v>
      </c>
      <c r="H41" s="50" t="s">
        <v>528</v>
      </c>
    </row>
    <row r="42" spans="2:8" ht="14.25" customHeight="1">
      <c r="B42" s="49">
        <v>46031</v>
      </c>
      <c r="C42" s="51"/>
      <c r="D42" s="51" t="s">
        <v>739</v>
      </c>
      <c r="E42" s="43" t="s">
        <v>740</v>
      </c>
      <c r="F42" s="59" t="s">
        <v>660</v>
      </c>
      <c r="G42" s="50">
        <v>1</v>
      </c>
      <c r="H42" s="50" t="s">
        <v>528</v>
      </c>
    </row>
    <row r="43" spans="2:8" ht="14.25" customHeight="1">
      <c r="B43" s="49">
        <v>46032</v>
      </c>
      <c r="C43" s="51"/>
      <c r="D43" s="51" t="s">
        <v>699</v>
      </c>
      <c r="E43" s="43" t="s">
        <v>704</v>
      </c>
      <c r="F43" s="59" t="s">
        <v>660</v>
      </c>
      <c r="G43" s="50">
        <v>1</v>
      </c>
      <c r="H43" s="50" t="s">
        <v>528</v>
      </c>
    </row>
    <row r="44" spans="2:8" ht="14.25" customHeight="1">
      <c r="B44" s="49">
        <v>46032</v>
      </c>
      <c r="C44" s="52"/>
      <c r="D44" s="72" t="s">
        <v>741</v>
      </c>
      <c r="E44" s="52" t="s">
        <v>742</v>
      </c>
      <c r="F44" s="52" t="s">
        <v>743</v>
      </c>
      <c r="G44" s="72">
        <v>1</v>
      </c>
      <c r="H44" s="55" t="s">
        <v>528</v>
      </c>
    </row>
    <row r="45" spans="2:8" ht="14.25" customHeight="1">
      <c r="B45" s="49">
        <v>46034</v>
      </c>
      <c r="C45" s="52"/>
      <c r="D45" s="72" t="s">
        <v>744</v>
      </c>
      <c r="E45" s="52" t="s">
        <v>745</v>
      </c>
      <c r="F45" s="59" t="s">
        <v>660</v>
      </c>
      <c r="G45" s="72">
        <v>1</v>
      </c>
      <c r="H45" s="55" t="s">
        <v>528</v>
      </c>
    </row>
    <row r="46" spans="2:8" ht="14.25" customHeight="1">
      <c r="B46" s="49">
        <v>46035</v>
      </c>
      <c r="C46" s="52"/>
      <c r="D46" s="72" t="s">
        <v>746</v>
      </c>
      <c r="E46" s="52" t="s">
        <v>747</v>
      </c>
      <c r="F46" s="59" t="s">
        <v>660</v>
      </c>
      <c r="G46" s="72">
        <v>1</v>
      </c>
      <c r="H46" s="55" t="s">
        <v>528</v>
      </c>
    </row>
    <row r="47" spans="2:8" ht="14.25" customHeight="1">
      <c r="B47" s="49">
        <v>46036</v>
      </c>
      <c r="C47" s="52"/>
      <c r="D47" s="72" t="s">
        <v>684</v>
      </c>
      <c r="E47" s="52" t="s">
        <v>748</v>
      </c>
      <c r="F47" s="52" t="s">
        <v>743</v>
      </c>
      <c r="G47" s="72">
        <v>1</v>
      </c>
      <c r="H47" s="55" t="s">
        <v>528</v>
      </c>
    </row>
    <row r="48" spans="2:8" ht="14.25" customHeight="1">
      <c r="B48" s="49">
        <v>46036</v>
      </c>
      <c r="C48" s="52"/>
      <c r="D48" s="72" t="s">
        <v>729</v>
      </c>
      <c r="E48" s="52" t="s">
        <v>749</v>
      </c>
      <c r="F48" s="59" t="s">
        <v>660</v>
      </c>
      <c r="G48" s="72">
        <v>1</v>
      </c>
      <c r="H48" s="55" t="s">
        <v>528</v>
      </c>
    </row>
    <row r="49" spans="2:8" ht="14.25" customHeight="1">
      <c r="B49" s="49">
        <v>46036</v>
      </c>
      <c r="C49" s="52"/>
      <c r="D49" s="72" t="s">
        <v>739</v>
      </c>
      <c r="E49" s="52" t="s">
        <v>750</v>
      </c>
      <c r="F49" s="59" t="s">
        <v>660</v>
      </c>
      <c r="G49" s="72">
        <v>1</v>
      </c>
      <c r="H49" s="55" t="s">
        <v>528</v>
      </c>
    </row>
    <row r="50" spans="2:8" ht="14.25" customHeight="1">
      <c r="B50" s="49">
        <v>46037</v>
      </c>
      <c r="C50" s="52"/>
      <c r="D50" s="72" t="s">
        <v>751</v>
      </c>
      <c r="E50" s="52" t="s">
        <v>752</v>
      </c>
      <c r="F50" s="59" t="s">
        <v>660</v>
      </c>
      <c r="G50" s="72">
        <v>1</v>
      </c>
      <c r="H50" s="55" t="s">
        <v>527</v>
      </c>
    </row>
    <row r="51" spans="2:8" ht="14.25" customHeight="1">
      <c r="B51" s="49">
        <v>46038</v>
      </c>
      <c r="C51" s="52"/>
      <c r="D51" s="72" t="s">
        <v>663</v>
      </c>
      <c r="E51" s="52" t="s">
        <v>753</v>
      </c>
      <c r="F51" s="59" t="s">
        <v>660</v>
      </c>
      <c r="G51" s="72">
        <v>1</v>
      </c>
      <c r="H51" s="55" t="s">
        <v>528</v>
      </c>
    </row>
    <row r="52" spans="2:8" ht="14.25" customHeight="1">
      <c r="B52" s="49">
        <v>46039</v>
      </c>
      <c r="C52" s="52"/>
      <c r="D52" s="72" t="s">
        <v>754</v>
      </c>
      <c r="E52" s="52" t="s">
        <v>755</v>
      </c>
      <c r="F52" s="59" t="s">
        <v>660</v>
      </c>
      <c r="G52" s="72">
        <v>1</v>
      </c>
      <c r="H52" s="55" t="s">
        <v>528</v>
      </c>
    </row>
    <row r="53" spans="2:8" ht="14.25" customHeight="1">
      <c r="B53" s="49">
        <v>46041</v>
      </c>
      <c r="C53" s="52"/>
      <c r="D53" s="72" t="s">
        <v>756</v>
      </c>
      <c r="E53" s="52" t="s">
        <v>757</v>
      </c>
      <c r="F53" s="59" t="s">
        <v>660</v>
      </c>
      <c r="G53" s="72">
        <v>1</v>
      </c>
      <c r="H53" s="55" t="s">
        <v>527</v>
      </c>
    </row>
    <row r="54" spans="2:8" ht="14.25" customHeight="1">
      <c r="B54" s="49">
        <v>46042</v>
      </c>
      <c r="C54" s="52"/>
      <c r="D54" s="72" t="s">
        <v>699</v>
      </c>
      <c r="E54" s="52" t="s">
        <v>758</v>
      </c>
      <c r="F54" s="59" t="s">
        <v>660</v>
      </c>
      <c r="G54" s="72">
        <v>1</v>
      </c>
      <c r="H54" s="55" t="s">
        <v>528</v>
      </c>
    </row>
    <row r="55" spans="2:8" ht="14.25" customHeight="1">
      <c r="B55" s="49">
        <v>46044</v>
      </c>
      <c r="C55" s="52"/>
      <c r="D55" s="72" t="s">
        <v>759</v>
      </c>
      <c r="E55" s="52" t="s">
        <v>760</v>
      </c>
      <c r="F55" s="59" t="s">
        <v>660</v>
      </c>
      <c r="G55" s="72">
        <v>1</v>
      </c>
      <c r="H55" s="55" t="s">
        <v>527</v>
      </c>
    </row>
    <row r="56" spans="2:8" ht="14.25" customHeight="1">
      <c r="B56" s="49">
        <v>46044</v>
      </c>
      <c r="C56" s="52"/>
      <c r="D56" s="72" t="s">
        <v>761</v>
      </c>
      <c r="E56" s="52" t="s">
        <v>762</v>
      </c>
      <c r="F56" s="59" t="s">
        <v>660</v>
      </c>
      <c r="G56" s="72">
        <v>1</v>
      </c>
      <c r="H56" s="55" t="s">
        <v>527</v>
      </c>
    </row>
    <row r="57" spans="2:8" ht="14.25" customHeight="1">
      <c r="B57" s="49">
        <v>46045</v>
      </c>
      <c r="C57" s="52"/>
      <c r="D57" s="72" t="s">
        <v>751</v>
      </c>
      <c r="E57" s="52" t="s">
        <v>763</v>
      </c>
      <c r="F57" s="59" t="s">
        <v>660</v>
      </c>
      <c r="G57" s="72">
        <v>1</v>
      </c>
      <c r="H57" s="55" t="s">
        <v>527</v>
      </c>
    </row>
    <row r="58" spans="2:8" ht="14.25" customHeight="1">
      <c r="B58" s="49">
        <v>46046</v>
      </c>
      <c r="C58" s="52"/>
      <c r="D58" s="72" t="s">
        <v>741</v>
      </c>
      <c r="E58" s="77" t="s">
        <v>764</v>
      </c>
      <c r="F58" s="59" t="s">
        <v>660</v>
      </c>
      <c r="G58" s="72">
        <v>1</v>
      </c>
      <c r="H58" s="55" t="s">
        <v>527</v>
      </c>
    </row>
    <row r="59" spans="2:8" ht="14.25" customHeight="1">
      <c r="B59" s="49">
        <v>46048</v>
      </c>
      <c r="C59" s="52"/>
      <c r="D59" s="72" t="s">
        <v>765</v>
      </c>
      <c r="E59" s="52" t="s">
        <v>766</v>
      </c>
      <c r="F59" s="59" t="s">
        <v>660</v>
      </c>
      <c r="G59" s="72">
        <v>1</v>
      </c>
      <c r="H59" s="55" t="s">
        <v>528</v>
      </c>
    </row>
    <row r="60" spans="2:8" ht="14.25" customHeight="1">
      <c r="B60" s="49">
        <v>46049</v>
      </c>
      <c r="C60" s="52"/>
      <c r="D60" s="72" t="s">
        <v>767</v>
      </c>
      <c r="E60" s="52" t="s">
        <v>768</v>
      </c>
      <c r="F60" s="59" t="s">
        <v>660</v>
      </c>
      <c r="G60" s="72">
        <v>1</v>
      </c>
      <c r="H60" s="55" t="s">
        <v>527</v>
      </c>
    </row>
    <row r="61" spans="2:8" ht="14.25" customHeight="1">
      <c r="B61" s="49">
        <v>46050</v>
      </c>
      <c r="C61" s="52"/>
      <c r="D61" s="72" t="s">
        <v>751</v>
      </c>
      <c r="E61" s="52" t="s">
        <v>769</v>
      </c>
      <c r="F61" s="59" t="s">
        <v>660</v>
      </c>
      <c r="G61" s="72">
        <v>1</v>
      </c>
      <c r="H61" s="55" t="s">
        <v>528</v>
      </c>
    </row>
    <row r="62" spans="2:8" ht="14.25" customHeight="1">
      <c r="B62" s="49">
        <v>46050</v>
      </c>
      <c r="C62" s="52"/>
      <c r="D62" s="72" t="s">
        <v>706</v>
      </c>
      <c r="E62" s="52" t="s">
        <v>770</v>
      </c>
      <c r="F62" s="59" t="s">
        <v>660</v>
      </c>
      <c r="G62" s="72">
        <v>1</v>
      </c>
      <c r="H62" s="55" t="s">
        <v>527</v>
      </c>
    </row>
    <row r="63" spans="2:8" ht="14.25" customHeight="1">
      <c r="B63" s="49">
        <v>46051</v>
      </c>
      <c r="C63" s="52"/>
      <c r="D63" s="72" t="s">
        <v>754</v>
      </c>
      <c r="E63" s="52" t="s">
        <v>771</v>
      </c>
      <c r="F63" s="59" t="s">
        <v>660</v>
      </c>
      <c r="G63" s="72">
        <v>1</v>
      </c>
      <c r="H63" s="55" t="s">
        <v>527</v>
      </c>
    </row>
    <row r="64" spans="2:8" ht="14.25" customHeight="1">
      <c r="B64" s="72" t="s">
        <v>772</v>
      </c>
      <c r="C64" s="52"/>
      <c r="D64" s="72" t="s">
        <v>756</v>
      </c>
      <c r="E64" s="52" t="s">
        <v>773</v>
      </c>
      <c r="F64" s="59" t="s">
        <v>660</v>
      </c>
      <c r="G64" s="72">
        <v>1</v>
      </c>
      <c r="H64" s="55" t="s">
        <v>527</v>
      </c>
    </row>
    <row r="65" spans="2:8" ht="14.25" customHeight="1">
      <c r="B65" s="49">
        <v>46055</v>
      </c>
      <c r="C65" s="52"/>
      <c r="D65" s="72" t="s">
        <v>774</v>
      </c>
      <c r="E65" s="52" t="s">
        <v>763</v>
      </c>
      <c r="F65" s="59" t="s">
        <v>660</v>
      </c>
      <c r="G65" s="72">
        <v>1</v>
      </c>
      <c r="H65" s="55" t="s">
        <v>527</v>
      </c>
    </row>
    <row r="66" spans="2:8" ht="14.25" customHeight="1">
      <c r="B66" s="49">
        <v>46056</v>
      </c>
      <c r="C66" s="52"/>
      <c r="D66" s="72" t="s">
        <v>775</v>
      </c>
      <c r="E66" s="52" t="s">
        <v>776</v>
      </c>
      <c r="F66" s="59" t="s">
        <v>660</v>
      </c>
      <c r="G66" s="72">
        <v>1</v>
      </c>
      <c r="H66" s="55" t="s">
        <v>527</v>
      </c>
    </row>
    <row r="67" spans="2:8" ht="14.25" customHeight="1">
      <c r="B67" s="49">
        <v>46057</v>
      </c>
      <c r="C67" s="52"/>
      <c r="D67" s="72" t="s">
        <v>777</v>
      </c>
      <c r="E67" s="52" t="s">
        <v>778</v>
      </c>
      <c r="F67" s="59" t="s">
        <v>660</v>
      </c>
      <c r="G67" s="72">
        <v>1</v>
      </c>
      <c r="H67" s="55" t="s">
        <v>527</v>
      </c>
    </row>
    <row r="68" spans="2:8" ht="14.25" customHeight="1">
      <c r="B68" s="49">
        <v>46059</v>
      </c>
      <c r="C68" s="52"/>
      <c r="D68" s="72" t="s">
        <v>779</v>
      </c>
      <c r="E68" s="52" t="s">
        <v>740</v>
      </c>
      <c r="F68" s="59" t="s">
        <v>660</v>
      </c>
      <c r="G68" s="72">
        <v>1</v>
      </c>
      <c r="H68" s="55" t="s">
        <v>527</v>
      </c>
    </row>
    <row r="69" spans="2:8" ht="14.25" customHeight="1">
      <c r="B69" s="49">
        <v>46060</v>
      </c>
      <c r="C69" s="52"/>
      <c r="D69" s="72" t="s">
        <v>746</v>
      </c>
      <c r="E69" s="52" t="s">
        <v>780</v>
      </c>
      <c r="F69" s="59" t="s">
        <v>660</v>
      </c>
      <c r="G69" s="72">
        <v>1</v>
      </c>
      <c r="H69" s="55" t="s">
        <v>527</v>
      </c>
    </row>
    <row r="70" spans="2:8" ht="14.25" customHeight="1">
      <c r="B70" s="49">
        <v>46063</v>
      </c>
      <c r="C70" s="52"/>
      <c r="D70" s="72" t="s">
        <v>781</v>
      </c>
      <c r="E70" s="52" t="s">
        <v>782</v>
      </c>
      <c r="F70" s="59" t="s">
        <v>660</v>
      </c>
      <c r="G70" s="72">
        <v>1</v>
      </c>
      <c r="H70" s="55" t="s">
        <v>527</v>
      </c>
    </row>
    <row r="71" spans="2:8" ht="14.25" customHeight="1">
      <c r="B71" s="49">
        <v>46072</v>
      </c>
      <c r="C71" s="52"/>
      <c r="D71" s="72" t="s">
        <v>663</v>
      </c>
      <c r="E71" s="52" t="s">
        <v>783</v>
      </c>
      <c r="F71" s="59" t="s">
        <v>660</v>
      </c>
      <c r="G71" s="72">
        <v>1</v>
      </c>
      <c r="H71" s="55" t="s">
        <v>528</v>
      </c>
    </row>
    <row r="72" spans="2:8" ht="14.25" customHeight="1">
      <c r="B72" s="49">
        <v>46078</v>
      </c>
      <c r="C72" s="52"/>
      <c r="D72" s="72" t="s">
        <v>781</v>
      </c>
      <c r="E72" s="52" t="s">
        <v>784</v>
      </c>
      <c r="F72" s="59" t="s">
        <v>660</v>
      </c>
      <c r="G72" s="72">
        <v>1</v>
      </c>
      <c r="H72" s="55" t="s">
        <v>527</v>
      </c>
    </row>
    <row r="73" spans="2:8" ht="14.25" customHeight="1">
      <c r="B73" s="49">
        <v>46083</v>
      </c>
      <c r="C73" s="52"/>
      <c r="D73" s="72" t="s">
        <v>739</v>
      </c>
      <c r="E73" s="52" t="s">
        <v>740</v>
      </c>
      <c r="F73" s="59" t="s">
        <v>660</v>
      </c>
      <c r="G73" s="72">
        <v>1</v>
      </c>
      <c r="H73" s="55" t="s">
        <v>527</v>
      </c>
    </row>
    <row r="74" spans="2:8" ht="14.25" customHeight="1">
      <c r="B74" s="49">
        <v>46084</v>
      </c>
      <c r="C74" s="52"/>
      <c r="D74" s="72" t="s">
        <v>684</v>
      </c>
      <c r="E74" s="52" t="s">
        <v>740</v>
      </c>
      <c r="F74" s="59" t="s">
        <v>660</v>
      </c>
      <c r="G74" s="72">
        <v>1</v>
      </c>
      <c r="H74" s="55" t="s">
        <v>527</v>
      </c>
    </row>
    <row r="75" spans="2:8" ht="14.25" customHeight="1">
      <c r="B75" s="49">
        <v>46085</v>
      </c>
      <c r="C75" s="52"/>
      <c r="D75" s="72" t="s">
        <v>785</v>
      </c>
      <c r="E75" s="52" t="s">
        <v>786</v>
      </c>
      <c r="F75" s="59" t="s">
        <v>660</v>
      </c>
      <c r="G75" s="72">
        <v>1</v>
      </c>
      <c r="H75" s="55" t="s">
        <v>527</v>
      </c>
    </row>
    <row r="76" spans="2:8" ht="14.25" customHeight="1">
      <c r="B76" s="49">
        <v>46087</v>
      </c>
      <c r="C76" s="52"/>
      <c r="D76" s="72" t="s">
        <v>787</v>
      </c>
      <c r="E76" s="52" t="s">
        <v>788</v>
      </c>
      <c r="F76" s="59" t="s">
        <v>660</v>
      </c>
      <c r="G76" s="72">
        <v>1</v>
      </c>
      <c r="H76" s="55" t="s">
        <v>527</v>
      </c>
    </row>
    <row r="77" spans="2:8" ht="14.25" customHeight="1">
      <c r="B77" s="49">
        <v>46094</v>
      </c>
      <c r="C77" s="52"/>
      <c r="D77" s="72" t="s">
        <v>789</v>
      </c>
      <c r="E77" s="52" t="s">
        <v>790</v>
      </c>
      <c r="F77" s="59" t="s">
        <v>660</v>
      </c>
      <c r="G77" s="72">
        <v>1</v>
      </c>
      <c r="H77" s="55" t="s">
        <v>527</v>
      </c>
    </row>
    <row r="78" spans="2:8" ht="14.25" customHeight="1">
      <c r="B78" s="49">
        <v>46102</v>
      </c>
      <c r="C78" s="52"/>
      <c r="D78" s="72" t="s">
        <v>706</v>
      </c>
      <c r="E78" s="52" t="s">
        <v>791</v>
      </c>
      <c r="F78" s="59" t="s">
        <v>660</v>
      </c>
      <c r="G78" s="72">
        <v>1</v>
      </c>
      <c r="H78" s="55" t="s">
        <v>527</v>
      </c>
    </row>
    <row r="79" spans="2:8" ht="14.25" customHeight="1">
      <c r="B79" s="49">
        <v>46104</v>
      </c>
      <c r="C79" s="52"/>
      <c r="D79" s="72" t="s">
        <v>751</v>
      </c>
      <c r="E79" s="52" t="s">
        <v>792</v>
      </c>
      <c r="F79" s="59" t="s">
        <v>660</v>
      </c>
      <c r="G79" s="72">
        <v>1</v>
      </c>
      <c r="H79" s="55" t="s">
        <v>527</v>
      </c>
    </row>
    <row r="80" spans="2:8" ht="14.25" customHeight="1">
      <c r="B80" s="49">
        <v>46123</v>
      </c>
      <c r="C80" s="52"/>
      <c r="D80" s="72" t="s">
        <v>774</v>
      </c>
      <c r="E80" s="52" t="s">
        <v>792</v>
      </c>
      <c r="F80" s="59" t="s">
        <v>660</v>
      </c>
      <c r="G80" s="72">
        <v>1</v>
      </c>
      <c r="H80" s="55" t="s">
        <v>527</v>
      </c>
    </row>
    <row r="81" spans="2:8" ht="14.25" customHeight="1">
      <c r="B81" s="49">
        <v>46150</v>
      </c>
      <c r="C81" s="52"/>
      <c r="D81" s="72" t="s">
        <v>706</v>
      </c>
      <c r="E81" s="52" t="s">
        <v>793</v>
      </c>
      <c r="F81" s="59" t="s">
        <v>660</v>
      </c>
      <c r="G81" s="72">
        <v>1</v>
      </c>
      <c r="H81" s="55" t="s">
        <v>527</v>
      </c>
    </row>
    <row r="82" spans="2:8" ht="14.25" customHeight="1">
      <c r="B82" s="49">
        <v>46151</v>
      </c>
      <c r="C82" s="52"/>
      <c r="D82" s="72" t="s">
        <v>794</v>
      </c>
      <c r="E82" s="52" t="s">
        <v>795</v>
      </c>
      <c r="F82" s="59" t="s">
        <v>660</v>
      </c>
      <c r="G82" s="72">
        <v>1</v>
      </c>
      <c r="H82" s="55" t="s">
        <v>527</v>
      </c>
    </row>
    <row r="83" spans="2:8" ht="14.25" customHeight="1">
      <c r="B83" s="52"/>
      <c r="C83" s="52"/>
      <c r="D83" s="52"/>
      <c r="E83" s="52"/>
      <c r="F83" s="52"/>
      <c r="G83" s="52"/>
      <c r="H83" s="55"/>
    </row>
    <row r="84" spans="2:8" ht="14.25" customHeight="1">
      <c r="B84" s="52"/>
      <c r="C84" s="52"/>
      <c r="D84" s="52"/>
      <c r="E84" s="52"/>
      <c r="F84" s="52"/>
      <c r="G84" s="52"/>
      <c r="H84" s="55"/>
    </row>
    <row r="85" spans="2:8" ht="14.25" customHeight="1">
      <c r="B85" s="52"/>
      <c r="C85" s="52"/>
      <c r="D85" s="52"/>
      <c r="E85" s="52"/>
      <c r="F85" s="52"/>
      <c r="G85" s="52"/>
      <c r="H85" s="55"/>
    </row>
    <row r="86" spans="2:8" ht="14.25" customHeight="1">
      <c r="B86" s="52"/>
      <c r="C86" s="52"/>
      <c r="D86" s="52"/>
      <c r="E86" s="52"/>
      <c r="F86" s="52"/>
      <c r="G86" s="52"/>
      <c r="H86" s="55"/>
    </row>
    <row r="87" spans="2:8" ht="14.25" customHeight="1">
      <c r="B87" s="52"/>
      <c r="C87" s="52"/>
      <c r="D87" s="52"/>
      <c r="E87" s="52"/>
      <c r="F87" s="52"/>
      <c r="G87" s="52"/>
      <c r="H87" s="55"/>
    </row>
    <row r="88" spans="2:8" ht="14.25" customHeight="1">
      <c r="B88" s="52"/>
      <c r="C88" s="52"/>
      <c r="D88" s="52"/>
      <c r="E88" s="52"/>
      <c r="F88" s="52"/>
      <c r="G88" s="52"/>
      <c r="H88" s="55"/>
    </row>
    <row r="89" spans="2:8" ht="14.25" customHeight="1">
      <c r="B89" s="52"/>
      <c r="C89" s="52"/>
      <c r="D89" s="52"/>
      <c r="E89" s="52"/>
      <c r="F89" s="52"/>
      <c r="G89" s="52"/>
      <c r="H89" s="55"/>
    </row>
    <row r="90" spans="2:8" ht="14.25" customHeight="1">
      <c r="B90" s="52"/>
      <c r="C90" s="52"/>
      <c r="D90" s="52"/>
      <c r="E90" s="52"/>
      <c r="F90" s="52"/>
      <c r="G90" s="52"/>
      <c r="H90" s="55"/>
    </row>
    <row r="91" spans="2:8" ht="14.25" customHeight="1">
      <c r="B91" s="52"/>
      <c r="C91" s="52"/>
      <c r="D91" s="52"/>
      <c r="E91" s="52"/>
      <c r="F91" s="52"/>
      <c r="G91" s="52"/>
      <c r="H91" s="55"/>
    </row>
    <row r="92" spans="2:8" ht="14.25" customHeight="1">
      <c r="B92" s="52"/>
      <c r="C92" s="52"/>
      <c r="D92" s="52"/>
      <c r="E92" s="52"/>
      <c r="F92" s="52"/>
      <c r="G92" s="52"/>
      <c r="H92" s="55"/>
    </row>
    <row r="93" spans="2:8" ht="14.25" customHeight="1">
      <c r="B93" s="52"/>
      <c r="C93" s="52"/>
      <c r="D93" s="52"/>
      <c r="E93" s="52"/>
      <c r="F93" s="52"/>
      <c r="G93" s="52"/>
      <c r="H93" s="55"/>
    </row>
    <row r="94" spans="2:8" ht="14.25" customHeight="1">
      <c r="B94" s="52"/>
      <c r="C94" s="52"/>
      <c r="D94" s="52"/>
      <c r="E94" s="52"/>
      <c r="F94" s="52"/>
      <c r="G94" s="52"/>
      <c r="H94" s="55"/>
    </row>
    <row r="95" spans="2:8" ht="14.25" customHeight="1">
      <c r="B95" s="52"/>
      <c r="C95" s="52"/>
      <c r="D95" s="52"/>
      <c r="E95" s="52"/>
      <c r="F95" s="52"/>
      <c r="G95" s="52"/>
      <c r="H95" s="55"/>
    </row>
    <row r="96" spans="2:8" ht="14.25" customHeight="1">
      <c r="B96" s="52"/>
      <c r="C96" s="52"/>
      <c r="D96" s="52"/>
      <c r="E96" s="52"/>
      <c r="F96" s="52"/>
      <c r="G96" s="52"/>
      <c r="H96" s="55"/>
    </row>
    <row r="97" spans="2:8" ht="14.25" customHeight="1">
      <c r="B97" s="52"/>
      <c r="C97" s="52"/>
      <c r="D97" s="52"/>
      <c r="E97" s="52"/>
      <c r="F97" s="52"/>
      <c r="G97" s="52"/>
      <c r="H97" s="55"/>
    </row>
    <row r="98" spans="2:8" ht="14.25" customHeight="1">
      <c r="B98" s="52"/>
      <c r="C98" s="52"/>
      <c r="D98" s="52"/>
      <c r="E98" s="52"/>
      <c r="F98" s="52"/>
      <c r="G98" s="52"/>
      <c r="H98" s="55"/>
    </row>
    <row r="99" spans="2:8" ht="14.25" customHeight="1">
      <c r="B99" s="52"/>
      <c r="C99" s="52"/>
      <c r="D99" s="52"/>
      <c r="E99" s="52"/>
      <c r="F99" s="52"/>
      <c r="G99" s="52"/>
      <c r="H99" s="55"/>
    </row>
    <row r="100" spans="2:8" ht="14.25" customHeight="1">
      <c r="B100" s="52"/>
      <c r="C100" s="52"/>
      <c r="D100" s="52"/>
      <c r="E100" s="52"/>
      <c r="F100" s="52"/>
      <c r="G100" s="52"/>
      <c r="H100" s="55"/>
    </row>
    <row r="101" spans="2:8" ht="14.25" customHeight="1">
      <c r="B101" s="52"/>
      <c r="C101" s="52"/>
      <c r="D101" s="52"/>
      <c r="E101" s="52"/>
      <c r="F101" s="52"/>
      <c r="G101" s="52"/>
      <c r="H101" s="55"/>
    </row>
    <row r="102" spans="2:8" ht="14.25" customHeight="1">
      <c r="B102" s="52"/>
      <c r="C102" s="52"/>
      <c r="D102" s="52"/>
      <c r="E102" s="52"/>
      <c r="F102" s="52"/>
      <c r="G102" s="52"/>
      <c r="H102" s="55"/>
    </row>
    <row r="103" spans="2:8" ht="14.25" customHeight="1">
      <c r="B103" s="52"/>
      <c r="C103" s="52"/>
      <c r="D103" s="52"/>
      <c r="E103" s="52"/>
      <c r="F103" s="52"/>
      <c r="G103" s="52"/>
      <c r="H103" s="55"/>
    </row>
    <row r="104" spans="2:8" ht="14.25" customHeight="1">
      <c r="B104" s="52"/>
      <c r="C104" s="52"/>
      <c r="D104" s="52"/>
      <c r="E104" s="52"/>
      <c r="F104" s="52"/>
      <c r="G104" s="52"/>
      <c r="H104" s="55"/>
    </row>
    <row r="105" spans="2:8" ht="14.25" customHeight="1">
      <c r="B105" s="52"/>
      <c r="C105" s="52"/>
      <c r="D105" s="52"/>
      <c r="E105" s="52"/>
      <c r="F105" s="52"/>
      <c r="G105" s="52"/>
      <c r="H105" s="55"/>
    </row>
    <row r="106" spans="2:8" ht="14.25" customHeight="1">
      <c r="B106" s="52"/>
      <c r="C106" s="52"/>
      <c r="D106" s="52"/>
      <c r="E106" s="52"/>
      <c r="F106" s="52"/>
      <c r="G106" s="52"/>
      <c r="H106" s="55"/>
    </row>
    <row r="107" spans="2:8" ht="14.25" customHeight="1">
      <c r="B107" s="52"/>
      <c r="C107" s="52"/>
      <c r="D107" s="52"/>
      <c r="E107" s="52"/>
      <c r="F107" s="52"/>
      <c r="G107" s="52"/>
      <c r="H107" s="55"/>
    </row>
    <row r="108" spans="2:8" ht="14.25" customHeight="1">
      <c r="B108" s="52"/>
      <c r="C108" s="52"/>
      <c r="D108" s="52"/>
      <c r="E108" s="52"/>
      <c r="F108" s="52"/>
      <c r="G108" s="52"/>
      <c r="H108" s="55"/>
    </row>
    <row r="109" spans="2:8" ht="14.25" customHeight="1">
      <c r="B109" s="52"/>
      <c r="C109" s="52"/>
      <c r="D109" s="52"/>
      <c r="E109" s="52"/>
      <c r="F109" s="52"/>
      <c r="G109" s="52"/>
      <c r="H109" s="55"/>
    </row>
    <row r="110" spans="2:8" ht="14.25" customHeight="1">
      <c r="B110" s="52"/>
      <c r="C110" s="52"/>
      <c r="D110" s="52"/>
      <c r="E110" s="52"/>
      <c r="F110" s="52"/>
      <c r="G110" s="52"/>
      <c r="H110" s="55"/>
    </row>
    <row r="111" spans="2:8" ht="14.25" customHeight="1">
      <c r="B111" s="52"/>
      <c r="C111" s="52"/>
      <c r="D111" s="52"/>
      <c r="E111" s="52"/>
      <c r="F111" s="52"/>
      <c r="G111" s="52"/>
      <c r="H111" s="55"/>
    </row>
    <row r="112" spans="2:8" ht="14.25" customHeight="1">
      <c r="B112" s="52"/>
      <c r="C112" s="52"/>
      <c r="D112" s="52"/>
      <c r="E112" s="52"/>
      <c r="F112" s="52"/>
      <c r="G112" s="52"/>
      <c r="H112" s="55"/>
    </row>
    <row r="113" spans="2:8" ht="14.25" customHeight="1">
      <c r="B113" s="52"/>
      <c r="C113" s="52"/>
      <c r="D113" s="52"/>
      <c r="E113" s="52"/>
      <c r="F113" s="52"/>
      <c r="G113" s="52"/>
      <c r="H113" s="55"/>
    </row>
    <row r="114" spans="2:8" ht="14.25" customHeight="1">
      <c r="B114" s="52"/>
      <c r="C114" s="52"/>
      <c r="D114" s="52"/>
      <c r="E114" s="52"/>
      <c r="F114" s="52"/>
      <c r="G114" s="52"/>
      <c r="H114" s="55"/>
    </row>
    <row r="115" spans="2:8" ht="14.25" customHeight="1">
      <c r="B115" s="52"/>
      <c r="C115" s="52"/>
      <c r="D115" s="52"/>
      <c r="E115" s="52"/>
      <c r="F115" s="52"/>
      <c r="G115" s="52"/>
      <c r="H115" s="55"/>
    </row>
    <row r="116" spans="2:8" ht="14.25" customHeight="1">
      <c r="B116" s="52"/>
      <c r="C116" s="52"/>
      <c r="D116" s="52"/>
      <c r="E116" s="52"/>
      <c r="F116" s="52"/>
      <c r="G116" s="52"/>
      <c r="H116" s="55"/>
    </row>
    <row r="117" spans="2:8" ht="14.25" customHeight="1">
      <c r="B117" s="52"/>
      <c r="C117" s="52"/>
      <c r="D117" s="52"/>
      <c r="E117" s="52"/>
      <c r="F117" s="52"/>
      <c r="G117" s="52"/>
      <c r="H117" s="55"/>
    </row>
    <row r="118" spans="2:8" ht="14.25" customHeight="1">
      <c r="B118" s="52"/>
      <c r="C118" s="52"/>
      <c r="D118" s="52"/>
      <c r="E118" s="52"/>
      <c r="F118" s="52"/>
      <c r="G118" s="52"/>
      <c r="H118" s="55"/>
    </row>
    <row r="119" spans="2:8" ht="14.25" customHeight="1">
      <c r="B119" s="52"/>
      <c r="C119" s="52"/>
      <c r="D119" s="52"/>
      <c r="E119" s="52"/>
      <c r="F119" s="52"/>
      <c r="G119" s="52"/>
      <c r="H119" s="55"/>
    </row>
    <row r="120" spans="2:8" ht="14.25" customHeight="1">
      <c r="B120" s="52"/>
      <c r="C120" s="52"/>
      <c r="D120" s="52"/>
      <c r="E120" s="52"/>
      <c r="F120" s="52"/>
      <c r="G120" s="52"/>
      <c r="H120" s="55"/>
    </row>
    <row r="121" spans="2:8" ht="14.25" customHeight="1">
      <c r="B121" s="52"/>
      <c r="C121" s="52"/>
      <c r="D121" s="52"/>
      <c r="E121" s="52"/>
      <c r="F121" s="52"/>
      <c r="G121" s="52"/>
      <c r="H121" s="55"/>
    </row>
    <row r="122" spans="2:8" ht="14.25" customHeight="1">
      <c r="B122" s="52"/>
      <c r="C122" s="52"/>
      <c r="D122" s="52"/>
      <c r="E122" s="52"/>
      <c r="F122" s="52"/>
      <c r="G122" s="52"/>
      <c r="H122" s="55"/>
    </row>
    <row r="123" spans="2:8" ht="14.25" customHeight="1">
      <c r="B123" s="52"/>
      <c r="C123" s="52"/>
      <c r="D123" s="52"/>
      <c r="E123" s="52"/>
      <c r="F123" s="52"/>
      <c r="G123" s="52"/>
      <c r="H123" s="55"/>
    </row>
    <row r="124" spans="2:8" ht="14.25" customHeight="1">
      <c r="B124" s="52"/>
      <c r="C124" s="52"/>
      <c r="D124" s="52"/>
      <c r="E124" s="52"/>
      <c r="F124" s="52"/>
      <c r="G124" s="52"/>
      <c r="H124" s="55"/>
    </row>
    <row r="125" spans="2:8" ht="14.25" customHeight="1">
      <c r="B125" s="52"/>
      <c r="C125" s="52"/>
      <c r="D125" s="52"/>
      <c r="E125" s="52"/>
      <c r="F125" s="52"/>
      <c r="G125" s="52"/>
      <c r="H125" s="55"/>
    </row>
    <row r="126" spans="2:8" ht="14.25" customHeight="1">
      <c r="B126" s="52"/>
      <c r="C126" s="52"/>
      <c r="D126" s="52"/>
      <c r="E126" s="52"/>
      <c r="F126" s="52"/>
      <c r="G126" s="52"/>
      <c r="H126" s="55"/>
    </row>
    <row r="127" spans="2:8" ht="14.25" customHeight="1">
      <c r="B127" s="52"/>
      <c r="C127" s="52"/>
      <c r="D127" s="52"/>
      <c r="E127" s="52"/>
      <c r="F127" s="52"/>
      <c r="G127" s="52"/>
      <c r="H127" s="55"/>
    </row>
    <row r="128" spans="2:8" ht="14.25" customHeight="1">
      <c r="B128" s="52"/>
      <c r="C128" s="52"/>
      <c r="D128" s="52"/>
      <c r="E128" s="52"/>
      <c r="F128" s="52"/>
      <c r="G128" s="52"/>
      <c r="H128" s="55"/>
    </row>
    <row r="129" spans="2:8" ht="14.25" customHeight="1">
      <c r="B129" s="52"/>
      <c r="C129" s="52"/>
      <c r="D129" s="52"/>
      <c r="E129" s="52"/>
      <c r="F129" s="52"/>
      <c r="G129" s="52"/>
      <c r="H129" s="55"/>
    </row>
    <row r="130" spans="2:8" ht="14.25" customHeight="1">
      <c r="B130" s="52"/>
      <c r="C130" s="52"/>
      <c r="D130" s="52"/>
      <c r="E130" s="52"/>
      <c r="F130" s="52"/>
      <c r="G130" s="52"/>
      <c r="H130" s="55"/>
    </row>
    <row r="131" spans="2:8" ht="14.25" customHeight="1">
      <c r="B131" s="52"/>
      <c r="C131" s="52"/>
      <c r="D131" s="52"/>
      <c r="E131" s="52"/>
      <c r="F131" s="52"/>
      <c r="G131" s="52"/>
      <c r="H131" s="55"/>
    </row>
    <row r="132" spans="2:8" ht="14.25" customHeight="1">
      <c r="B132" s="52"/>
      <c r="C132" s="52"/>
      <c r="D132" s="52"/>
      <c r="E132" s="52"/>
      <c r="F132" s="52"/>
      <c r="G132" s="52"/>
      <c r="H132" s="55"/>
    </row>
    <row r="133" spans="2:8" ht="14.25" customHeight="1">
      <c r="B133" s="52"/>
      <c r="C133" s="52"/>
      <c r="D133" s="52"/>
      <c r="E133" s="52"/>
      <c r="F133" s="52"/>
      <c r="G133" s="52"/>
      <c r="H133" s="55"/>
    </row>
    <row r="134" spans="2:8" ht="14.25" customHeight="1">
      <c r="B134" s="52"/>
      <c r="C134" s="52"/>
      <c r="D134" s="52"/>
      <c r="E134" s="52"/>
      <c r="F134" s="52"/>
      <c r="G134" s="52"/>
      <c r="H134" s="55"/>
    </row>
    <row r="135" spans="2:8" ht="14.25" customHeight="1">
      <c r="B135" s="52"/>
      <c r="C135" s="52"/>
      <c r="D135" s="52"/>
      <c r="E135" s="52"/>
      <c r="F135" s="52"/>
      <c r="G135" s="52"/>
      <c r="H135" s="55"/>
    </row>
    <row r="136" spans="2:8" ht="14.25" customHeight="1">
      <c r="B136" s="52"/>
      <c r="C136" s="52"/>
      <c r="D136" s="52"/>
      <c r="E136" s="52"/>
      <c r="F136" s="52"/>
      <c r="G136" s="52"/>
      <c r="H136" s="55"/>
    </row>
    <row r="137" spans="2:8" ht="14.25" customHeight="1">
      <c r="B137" s="52"/>
      <c r="C137" s="52"/>
      <c r="D137" s="52"/>
      <c r="E137" s="52"/>
      <c r="F137" s="52"/>
      <c r="G137" s="52"/>
      <c r="H137" s="55"/>
    </row>
    <row r="138" spans="2:8" ht="14.25" customHeight="1">
      <c r="B138" s="52"/>
      <c r="C138" s="52"/>
      <c r="D138" s="52"/>
      <c r="E138" s="52"/>
      <c r="F138" s="52"/>
      <c r="G138" s="52"/>
      <c r="H138" s="55"/>
    </row>
    <row r="139" spans="2:8" ht="14.25" customHeight="1">
      <c r="B139" s="52"/>
      <c r="C139" s="52"/>
      <c r="D139" s="52"/>
      <c r="E139" s="52"/>
      <c r="F139" s="52"/>
      <c r="G139" s="52"/>
      <c r="H139" s="55"/>
    </row>
    <row r="140" spans="2:8" ht="14.25" customHeight="1">
      <c r="B140" s="52"/>
      <c r="C140" s="52"/>
      <c r="D140" s="52"/>
      <c r="E140" s="52"/>
      <c r="F140" s="52"/>
      <c r="G140" s="52"/>
      <c r="H140" s="55"/>
    </row>
    <row r="141" spans="2:8" ht="14.25" customHeight="1">
      <c r="B141" s="52"/>
      <c r="C141" s="52"/>
      <c r="D141" s="52"/>
      <c r="E141" s="52"/>
      <c r="F141" s="52"/>
      <c r="G141" s="52"/>
      <c r="H141" s="55"/>
    </row>
    <row r="142" spans="2:8" ht="14.25" customHeight="1">
      <c r="B142" s="52"/>
      <c r="C142" s="52"/>
      <c r="D142" s="52"/>
      <c r="E142" s="52"/>
      <c r="F142" s="52"/>
      <c r="G142" s="52"/>
      <c r="H142" s="55"/>
    </row>
    <row r="143" spans="2:8" ht="14.25" customHeight="1">
      <c r="B143" s="52"/>
      <c r="C143" s="52"/>
      <c r="D143" s="52"/>
      <c r="E143" s="52"/>
      <c r="F143" s="52"/>
      <c r="G143" s="52"/>
      <c r="H143" s="55"/>
    </row>
    <row r="144" spans="2:8" ht="14.25" customHeight="1">
      <c r="B144" s="52"/>
      <c r="C144" s="52"/>
      <c r="D144" s="52"/>
      <c r="E144" s="52"/>
      <c r="F144" s="52"/>
      <c r="G144" s="52"/>
      <c r="H144" s="55"/>
    </row>
    <row r="145" spans="2:8" ht="14.25" customHeight="1">
      <c r="B145" s="52"/>
      <c r="C145" s="52"/>
      <c r="D145" s="52"/>
      <c r="E145" s="52"/>
      <c r="F145" s="52"/>
      <c r="G145" s="52"/>
      <c r="H145" s="55"/>
    </row>
    <row r="146" spans="2:8" ht="14.25" customHeight="1">
      <c r="B146" s="52"/>
      <c r="C146" s="52"/>
      <c r="D146" s="52"/>
      <c r="E146" s="52"/>
      <c r="F146" s="52"/>
      <c r="G146" s="52"/>
      <c r="H146" s="55"/>
    </row>
    <row r="147" spans="2:8" ht="14.25" customHeight="1">
      <c r="B147" s="52"/>
      <c r="C147" s="52"/>
      <c r="D147" s="52"/>
      <c r="E147" s="52"/>
      <c r="F147" s="52"/>
      <c r="G147" s="52"/>
      <c r="H147" s="55"/>
    </row>
    <row r="148" spans="2:8" ht="14.25" customHeight="1">
      <c r="B148" s="52"/>
      <c r="C148" s="52"/>
      <c r="D148" s="52"/>
      <c r="E148" s="52"/>
      <c r="F148" s="52"/>
      <c r="G148" s="52"/>
      <c r="H148" s="55"/>
    </row>
    <row r="149" spans="2:8" ht="14.25" customHeight="1">
      <c r="B149" s="52"/>
      <c r="C149" s="52"/>
      <c r="D149" s="52"/>
      <c r="E149" s="52"/>
      <c r="F149" s="52"/>
      <c r="G149" s="52"/>
      <c r="H149" s="55"/>
    </row>
    <row r="150" spans="2:8" ht="14.25" customHeight="1">
      <c r="B150" s="52"/>
      <c r="C150" s="52"/>
      <c r="D150" s="52"/>
      <c r="E150" s="52"/>
      <c r="F150" s="52"/>
      <c r="G150" s="52"/>
      <c r="H150" s="55"/>
    </row>
    <row r="151" spans="2:8" ht="14.25" customHeight="1">
      <c r="B151" s="52"/>
      <c r="C151" s="52"/>
      <c r="D151" s="52"/>
      <c r="E151" s="52"/>
      <c r="F151" s="52"/>
      <c r="G151" s="52"/>
      <c r="H151" s="55"/>
    </row>
    <row r="152" spans="2:8" ht="14.25" customHeight="1">
      <c r="B152" s="52"/>
      <c r="C152" s="52"/>
      <c r="D152" s="52"/>
      <c r="E152" s="52"/>
      <c r="F152" s="52"/>
      <c r="G152" s="52"/>
      <c r="H152" s="55"/>
    </row>
    <row r="153" spans="2:8" ht="14.25" customHeight="1">
      <c r="B153" s="52"/>
      <c r="C153" s="52"/>
      <c r="D153" s="52"/>
      <c r="E153" s="52"/>
      <c r="F153" s="52"/>
      <c r="G153" s="52"/>
      <c r="H153" s="55"/>
    </row>
    <row r="154" spans="2:8" ht="14.25" customHeight="1"/>
    <row r="155" spans="2:8" ht="14.25" customHeight="1"/>
    <row r="156" spans="2:8" ht="14.25" customHeight="1"/>
    <row r="157" spans="2:8" ht="14.25" customHeight="1"/>
    <row r="158" spans="2:8" ht="14.25" customHeight="1"/>
    <row r="159" spans="2:8" ht="14.25" customHeight="1"/>
    <row r="160" spans="2:8"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row r="1001" ht="14.25" customHeight="1"/>
    <row r="1002" ht="14.25" customHeight="1"/>
    <row r="1003" ht="14.25" customHeight="1"/>
    <row r="1004" ht="14.25" customHeight="1"/>
  </sheetData>
  <mergeCells count="1">
    <mergeCell ref="B3:H3"/>
  </mergeCells>
  <pageMargins left="0.7" right="0.7" top="0.75" bottom="0.75" header="0.3" footer="0.3"/>
  <drawing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8A391-0183-4E83-8FCD-BA868C1ECDC5}">
  <sheetPr codeName="Hoja3">
    <tabColor rgb="FFD9D9D9"/>
  </sheetPr>
  <dimension ref="B1:K299"/>
  <sheetViews>
    <sheetView topLeftCell="A254" zoomScaleNormal="100" workbookViewId="0">
      <selection activeCell="G6" sqref="G6"/>
    </sheetView>
  </sheetViews>
  <sheetFormatPr baseColWidth="10" defaultColWidth="14.42578125" defaultRowHeight="15"/>
  <cols>
    <col min="1" max="1" width="4.42578125" customWidth="1"/>
    <col min="2" max="2" width="17.7109375" style="56" customWidth="1"/>
    <col min="3" max="3" width="16.140625" customWidth="1"/>
    <col min="4" max="4" width="19.42578125" customWidth="1"/>
    <col min="5" max="5" width="76.85546875" customWidth="1"/>
    <col min="6" max="6" width="19.42578125" style="56" customWidth="1"/>
    <col min="7" max="7" width="23.28515625" customWidth="1"/>
    <col min="8" max="8" width="10.7109375" style="54" customWidth="1"/>
    <col min="9" max="10" width="10.7109375" customWidth="1"/>
    <col min="11" max="11" width="26.7109375" customWidth="1"/>
    <col min="12" max="27" width="10.7109375" customWidth="1"/>
  </cols>
  <sheetData>
    <row r="1" spans="2:11">
      <c r="E1" s="762"/>
      <c r="F1" s="764"/>
    </row>
    <row r="2" spans="2:11">
      <c r="E2" s="762"/>
      <c r="F2" s="764"/>
    </row>
    <row r="3" spans="2:11" ht="26.25">
      <c r="B3" s="1538" t="s">
        <v>651</v>
      </c>
      <c r="C3" s="1539"/>
      <c r="D3" s="1539"/>
      <c r="E3" s="1539"/>
      <c r="F3" s="1539"/>
      <c r="G3" s="1539"/>
      <c r="H3" s="1541"/>
    </row>
    <row r="4" spans="2:11" ht="14.25" customHeight="1"/>
    <row r="5" spans="2:11" ht="15.75">
      <c r="B5" s="19" t="s">
        <v>652</v>
      </c>
      <c r="C5" s="18" t="s">
        <v>653</v>
      </c>
      <c r="D5" s="18" t="s">
        <v>254</v>
      </c>
      <c r="E5" s="18" t="s">
        <v>654</v>
      </c>
      <c r="F5" s="42" t="s">
        <v>655</v>
      </c>
      <c r="G5" s="19" t="s">
        <v>384</v>
      </c>
      <c r="H5" s="18" t="s">
        <v>656</v>
      </c>
      <c r="J5" s="20" t="s">
        <v>656</v>
      </c>
    </row>
    <row r="6" spans="2:11">
      <c r="B6" s="21" t="s">
        <v>796</v>
      </c>
      <c r="C6" s="22">
        <v>10016654</v>
      </c>
      <c r="D6" s="23" t="s">
        <v>469</v>
      </c>
      <c r="E6" s="35" t="s">
        <v>797</v>
      </c>
      <c r="F6" s="23" t="s">
        <v>798</v>
      </c>
      <c r="G6" s="40"/>
      <c r="H6" s="40" t="s">
        <v>528</v>
      </c>
      <c r="J6" s="25" t="s">
        <v>526</v>
      </c>
      <c r="K6" s="26" t="s">
        <v>662</v>
      </c>
    </row>
    <row r="7" spans="2:11" ht="14.25" customHeight="1">
      <c r="B7" s="21">
        <v>45972</v>
      </c>
      <c r="C7" s="23">
        <v>10016657</v>
      </c>
      <c r="D7" s="23" t="s">
        <v>799</v>
      </c>
      <c r="E7" s="765" t="s">
        <v>800</v>
      </c>
      <c r="F7" s="23" t="s">
        <v>798</v>
      </c>
      <c r="G7" s="40"/>
      <c r="H7" s="40" t="s">
        <v>528</v>
      </c>
      <c r="J7" s="25" t="s">
        <v>527</v>
      </c>
      <c r="K7" s="26" t="s">
        <v>665</v>
      </c>
    </row>
    <row r="8" spans="2:11" ht="14.25" customHeight="1">
      <c r="B8" s="21">
        <v>45940</v>
      </c>
      <c r="C8" s="23">
        <v>10016658</v>
      </c>
      <c r="D8" s="23" t="s">
        <v>801</v>
      </c>
      <c r="E8" s="36" t="s">
        <v>802</v>
      </c>
      <c r="F8" s="23" t="s">
        <v>798</v>
      </c>
      <c r="G8" s="40"/>
      <c r="H8" s="40" t="s">
        <v>528</v>
      </c>
      <c r="J8" s="25" t="s">
        <v>528</v>
      </c>
      <c r="K8" s="26" t="s">
        <v>668</v>
      </c>
    </row>
    <row r="9" spans="2:11" ht="14.25" customHeight="1">
      <c r="B9" s="23" t="s">
        <v>803</v>
      </c>
      <c r="C9" s="22">
        <v>10016689</v>
      </c>
      <c r="D9" s="23" t="s">
        <v>804</v>
      </c>
      <c r="E9" s="35" t="s">
        <v>805</v>
      </c>
      <c r="F9" s="23" t="s">
        <v>798</v>
      </c>
      <c r="G9" s="40"/>
      <c r="H9" s="40" t="s">
        <v>527</v>
      </c>
      <c r="J9" s="25" t="s">
        <v>661</v>
      </c>
      <c r="K9" s="26" t="s">
        <v>672</v>
      </c>
    </row>
    <row r="10" spans="2:11" ht="14.25" customHeight="1">
      <c r="B10" s="21">
        <v>45971</v>
      </c>
      <c r="C10" s="73">
        <v>10016691</v>
      </c>
      <c r="D10" s="23" t="s">
        <v>806</v>
      </c>
      <c r="E10" s="35" t="s">
        <v>807</v>
      </c>
      <c r="F10" s="23" t="s">
        <v>798</v>
      </c>
      <c r="G10" s="40"/>
      <c r="H10" s="40" t="s">
        <v>528</v>
      </c>
    </row>
    <row r="11" spans="2:11" ht="14.25" customHeight="1">
      <c r="B11" s="21">
        <v>45969</v>
      </c>
      <c r="C11" s="23">
        <v>60006775</v>
      </c>
      <c r="D11" s="23" t="s">
        <v>808</v>
      </c>
      <c r="E11" s="35" t="s">
        <v>809</v>
      </c>
      <c r="F11" s="23" t="s">
        <v>798</v>
      </c>
      <c r="G11" s="40" t="s">
        <v>810</v>
      </c>
      <c r="H11" s="40" t="s">
        <v>528</v>
      </c>
    </row>
    <row r="12" spans="2:11" ht="14.25" customHeight="1">
      <c r="B12" s="21">
        <v>45901</v>
      </c>
      <c r="C12" s="23"/>
      <c r="D12" s="23" t="s">
        <v>808</v>
      </c>
      <c r="E12" s="35" t="s">
        <v>811</v>
      </c>
      <c r="F12" s="23" t="s">
        <v>798</v>
      </c>
      <c r="G12" s="40"/>
      <c r="H12" s="40" t="s">
        <v>528</v>
      </c>
    </row>
    <row r="13" spans="2:11" ht="14.25" customHeight="1">
      <c r="B13" s="21" t="s">
        <v>796</v>
      </c>
      <c r="C13" s="23"/>
      <c r="D13" s="23" t="s">
        <v>812</v>
      </c>
      <c r="E13" s="35" t="s">
        <v>813</v>
      </c>
      <c r="F13" s="23" t="s">
        <v>798</v>
      </c>
      <c r="G13" s="40"/>
      <c r="H13" s="40" t="s">
        <v>527</v>
      </c>
      <c r="J13" s="29" t="s">
        <v>384</v>
      </c>
    </row>
    <row r="14" spans="2:11" ht="14.25" customHeight="1">
      <c r="B14" s="21" t="s">
        <v>796</v>
      </c>
      <c r="C14" s="23"/>
      <c r="D14" s="23" t="s">
        <v>814</v>
      </c>
      <c r="E14" s="35" t="s">
        <v>815</v>
      </c>
      <c r="F14" s="23" t="s">
        <v>798</v>
      </c>
      <c r="G14" s="40"/>
      <c r="H14" s="40" t="s">
        <v>528</v>
      </c>
      <c r="J14" s="6">
        <v>1</v>
      </c>
      <c r="K14" s="6" t="s">
        <v>685</v>
      </c>
    </row>
    <row r="15" spans="2:11" ht="14.25" customHeight="1">
      <c r="B15" s="21">
        <v>45839</v>
      </c>
      <c r="C15" s="23"/>
      <c r="D15" s="23" t="s">
        <v>259</v>
      </c>
      <c r="E15" s="35" t="s">
        <v>816</v>
      </c>
      <c r="F15" s="23" t="s">
        <v>798</v>
      </c>
      <c r="G15" s="40"/>
      <c r="H15" s="40" t="s">
        <v>528</v>
      </c>
    </row>
    <row r="16" spans="2:11" ht="14.25" customHeight="1">
      <c r="B16" s="30" t="s">
        <v>817</v>
      </c>
      <c r="C16" s="16"/>
      <c r="D16" s="16" t="s">
        <v>818</v>
      </c>
      <c r="E16" s="31" t="s">
        <v>819</v>
      </c>
      <c r="F16" s="23" t="s">
        <v>798</v>
      </c>
      <c r="G16" s="41"/>
      <c r="H16" s="41" t="s">
        <v>528</v>
      </c>
    </row>
    <row r="17" spans="2:8" ht="14.25" customHeight="1">
      <c r="B17" s="30" t="s">
        <v>817</v>
      </c>
      <c r="C17" s="16"/>
      <c r="D17" s="16" t="s">
        <v>266</v>
      </c>
      <c r="E17" s="37" t="s">
        <v>820</v>
      </c>
      <c r="F17" s="23" t="s">
        <v>798</v>
      </c>
      <c r="G17" s="41" t="s">
        <v>821</v>
      </c>
      <c r="H17" s="41" t="s">
        <v>528</v>
      </c>
    </row>
    <row r="18" spans="2:8" ht="14.25" customHeight="1">
      <c r="B18" s="30" t="s">
        <v>817</v>
      </c>
      <c r="C18" s="16"/>
      <c r="D18" s="16" t="s">
        <v>822</v>
      </c>
      <c r="E18" s="31" t="s">
        <v>823</v>
      </c>
      <c r="F18" s="23" t="s">
        <v>798</v>
      </c>
      <c r="G18" s="41"/>
      <c r="H18" s="41" t="s">
        <v>527</v>
      </c>
    </row>
    <row r="19" spans="2:8" ht="14.25" customHeight="1">
      <c r="B19" s="30" t="s">
        <v>817</v>
      </c>
      <c r="C19" s="16"/>
      <c r="D19" s="16" t="s">
        <v>824</v>
      </c>
      <c r="E19" s="37" t="s">
        <v>825</v>
      </c>
      <c r="F19" s="23" t="s">
        <v>798</v>
      </c>
      <c r="G19" s="41"/>
      <c r="H19" s="41" t="s">
        <v>528</v>
      </c>
    </row>
    <row r="20" spans="2:8" ht="14.25" customHeight="1">
      <c r="B20" s="30" t="s">
        <v>817</v>
      </c>
      <c r="C20" s="16"/>
      <c r="D20" s="16" t="s">
        <v>826</v>
      </c>
      <c r="E20" s="38" t="s">
        <v>827</v>
      </c>
      <c r="F20" s="23" t="s">
        <v>798</v>
      </c>
      <c r="G20" s="41"/>
      <c r="H20" s="41" t="s">
        <v>528</v>
      </c>
    </row>
    <row r="21" spans="2:8" ht="14.25" customHeight="1">
      <c r="B21" s="30" t="s">
        <v>817</v>
      </c>
      <c r="C21" s="16"/>
      <c r="D21" s="16" t="s">
        <v>828</v>
      </c>
      <c r="E21" s="38" t="s">
        <v>829</v>
      </c>
      <c r="F21" s="23" t="s">
        <v>798</v>
      </c>
      <c r="G21" s="41" t="s">
        <v>830</v>
      </c>
      <c r="H21" s="41" t="s">
        <v>528</v>
      </c>
    </row>
    <row r="22" spans="2:8" ht="14.25" customHeight="1">
      <c r="B22" s="30" t="s">
        <v>817</v>
      </c>
      <c r="C22" s="32"/>
      <c r="D22" s="16" t="s">
        <v>831</v>
      </c>
      <c r="E22" s="38" t="s">
        <v>827</v>
      </c>
      <c r="F22" s="23" t="s">
        <v>798</v>
      </c>
      <c r="G22" s="41"/>
      <c r="H22" s="41" t="s">
        <v>528</v>
      </c>
    </row>
    <row r="23" spans="2:8" ht="14.25" customHeight="1">
      <c r="B23" s="30" t="s">
        <v>817</v>
      </c>
      <c r="C23" s="32"/>
      <c r="D23" s="16" t="s">
        <v>832</v>
      </c>
      <c r="E23" s="38" t="s">
        <v>833</v>
      </c>
      <c r="F23" s="23" t="s">
        <v>798</v>
      </c>
      <c r="G23" s="41"/>
      <c r="H23" s="41" t="s">
        <v>527</v>
      </c>
    </row>
    <row r="24" spans="2:8" ht="14.25" customHeight="1">
      <c r="B24" s="30" t="s">
        <v>817</v>
      </c>
      <c r="C24" s="32"/>
      <c r="D24" s="16" t="s">
        <v>834</v>
      </c>
      <c r="E24" s="38" t="s">
        <v>835</v>
      </c>
      <c r="F24" s="23" t="s">
        <v>798</v>
      </c>
      <c r="G24" s="41"/>
      <c r="H24" s="41" t="s">
        <v>527</v>
      </c>
    </row>
    <row r="25" spans="2:8" ht="14.25" customHeight="1">
      <c r="B25" s="30" t="s">
        <v>817</v>
      </c>
      <c r="C25" s="33"/>
      <c r="D25" s="16" t="s">
        <v>836</v>
      </c>
      <c r="E25" s="37" t="s">
        <v>837</v>
      </c>
      <c r="F25" s="23" t="s">
        <v>798</v>
      </c>
      <c r="G25" s="41">
        <v>1</v>
      </c>
      <c r="H25" s="41" t="s">
        <v>528</v>
      </c>
    </row>
    <row r="26" spans="2:8" ht="14.25" customHeight="1">
      <c r="B26" s="30">
        <v>45982</v>
      </c>
      <c r="C26" s="32"/>
      <c r="D26" s="32" t="s">
        <v>838</v>
      </c>
      <c r="E26" s="38" t="s">
        <v>839</v>
      </c>
      <c r="F26" s="23" t="s">
        <v>798</v>
      </c>
      <c r="G26" s="41"/>
      <c r="H26" s="16" t="s">
        <v>528</v>
      </c>
    </row>
    <row r="27" spans="2:8" ht="14.25" customHeight="1">
      <c r="B27" s="30">
        <v>45982</v>
      </c>
      <c r="C27" s="32"/>
      <c r="D27" s="32" t="s">
        <v>840</v>
      </c>
      <c r="E27" s="35" t="s">
        <v>841</v>
      </c>
      <c r="F27" s="23" t="s">
        <v>798</v>
      </c>
      <c r="G27" s="60" t="s">
        <v>842</v>
      </c>
      <c r="H27" s="16"/>
    </row>
    <row r="28" spans="2:8" ht="14.25" customHeight="1">
      <c r="B28" s="30">
        <v>45982</v>
      </c>
      <c r="C28" s="32">
        <v>10016844</v>
      </c>
      <c r="D28" s="32" t="s">
        <v>843</v>
      </c>
      <c r="E28" s="38" t="s">
        <v>844</v>
      </c>
      <c r="F28" s="23" t="s">
        <v>798</v>
      </c>
      <c r="G28" s="41"/>
      <c r="H28" s="16"/>
    </row>
    <row r="29" spans="2:8" ht="14.25" customHeight="1">
      <c r="B29" s="30" t="s">
        <v>669</v>
      </c>
      <c r="C29" s="32"/>
      <c r="D29" s="32" t="s">
        <v>845</v>
      </c>
      <c r="E29" s="31" t="s">
        <v>846</v>
      </c>
      <c r="F29" s="23" t="s">
        <v>798</v>
      </c>
      <c r="G29" s="41" t="s">
        <v>830</v>
      </c>
      <c r="H29" s="16"/>
    </row>
    <row r="30" spans="2:8" ht="14.25" customHeight="1">
      <c r="B30" s="30" t="s">
        <v>669</v>
      </c>
      <c r="C30" s="32"/>
      <c r="D30" s="32" t="s">
        <v>847</v>
      </c>
      <c r="E30" s="38" t="s">
        <v>848</v>
      </c>
      <c r="F30" s="23" t="s">
        <v>798</v>
      </c>
      <c r="G30" s="41"/>
      <c r="H30" s="16"/>
    </row>
    <row r="31" spans="2:8" ht="14.25" customHeight="1">
      <c r="B31" s="30" t="s">
        <v>669</v>
      </c>
      <c r="C31" s="32">
        <v>60006773</v>
      </c>
      <c r="D31" s="32" t="s">
        <v>849</v>
      </c>
      <c r="E31" s="31" t="s">
        <v>850</v>
      </c>
      <c r="F31" s="75" t="s">
        <v>798</v>
      </c>
      <c r="G31" s="41"/>
      <c r="H31" s="16"/>
    </row>
    <row r="32" spans="2:8" ht="14.25" customHeight="1">
      <c r="B32" s="30" t="s">
        <v>676</v>
      </c>
      <c r="C32" s="32"/>
      <c r="D32" s="32" t="s">
        <v>851</v>
      </c>
      <c r="E32" s="37" t="s">
        <v>852</v>
      </c>
      <c r="F32" s="75" t="s">
        <v>798</v>
      </c>
      <c r="G32" s="41"/>
      <c r="H32" s="16"/>
    </row>
    <row r="33" spans="2:8" ht="14.25" customHeight="1">
      <c r="B33" s="30" t="s">
        <v>676</v>
      </c>
      <c r="C33" s="32"/>
      <c r="D33" s="16" t="s">
        <v>853</v>
      </c>
      <c r="E33" s="37" t="s">
        <v>854</v>
      </c>
      <c r="F33" s="75" t="s">
        <v>798</v>
      </c>
      <c r="G33" s="41"/>
      <c r="H33" s="16"/>
    </row>
    <row r="34" spans="2:8" ht="14.25" customHeight="1">
      <c r="B34" s="30" t="s">
        <v>679</v>
      </c>
      <c r="C34" s="32"/>
      <c r="D34" s="32" t="s">
        <v>855</v>
      </c>
      <c r="E34" s="38" t="s">
        <v>856</v>
      </c>
      <c r="F34" s="75" t="s">
        <v>798</v>
      </c>
      <c r="G34" s="41"/>
      <c r="H34" s="16"/>
    </row>
    <row r="35" spans="2:8" ht="14.25" customHeight="1">
      <c r="B35" s="30"/>
      <c r="C35" s="32"/>
      <c r="D35" s="32" t="s">
        <v>857</v>
      </c>
      <c r="E35" s="38" t="s">
        <v>858</v>
      </c>
      <c r="F35" s="75" t="s">
        <v>798</v>
      </c>
      <c r="G35" s="41"/>
      <c r="H35" s="16"/>
    </row>
    <row r="36" spans="2:8" ht="14.25" customHeight="1">
      <c r="B36" s="30"/>
      <c r="C36" s="33">
        <v>20005542</v>
      </c>
      <c r="D36" s="32" t="s">
        <v>859</v>
      </c>
      <c r="E36" s="38" t="s">
        <v>860</v>
      </c>
      <c r="F36" s="75" t="s">
        <v>798</v>
      </c>
      <c r="G36" s="41"/>
      <c r="H36" s="16"/>
    </row>
    <row r="37" spans="2:8" ht="14.25" customHeight="1">
      <c r="B37" s="30" t="s">
        <v>861</v>
      </c>
      <c r="C37" s="32">
        <v>20005539</v>
      </c>
      <c r="D37" s="32" t="s">
        <v>406</v>
      </c>
      <c r="E37" s="38" t="s">
        <v>862</v>
      </c>
      <c r="F37" s="75" t="s">
        <v>798</v>
      </c>
      <c r="G37" s="41"/>
      <c r="H37" s="16"/>
    </row>
    <row r="38" spans="2:8" ht="14.25" customHeight="1">
      <c r="B38" s="30"/>
      <c r="C38" s="32">
        <v>20005540</v>
      </c>
      <c r="D38" s="32" t="s">
        <v>863</v>
      </c>
      <c r="E38" s="38" t="s">
        <v>864</v>
      </c>
      <c r="F38" s="75" t="s">
        <v>798</v>
      </c>
      <c r="G38" s="41"/>
      <c r="H38" s="16"/>
    </row>
    <row r="39" spans="2:8" ht="14.25" customHeight="1">
      <c r="B39" s="766"/>
      <c r="C39" s="32">
        <v>20005541</v>
      </c>
      <c r="D39" s="32" t="s">
        <v>597</v>
      </c>
      <c r="E39" s="38" t="s">
        <v>865</v>
      </c>
      <c r="F39" s="75" t="s">
        <v>798</v>
      </c>
      <c r="G39" s="41"/>
      <c r="H39" s="16"/>
    </row>
    <row r="40" spans="2:8" ht="14.25" customHeight="1">
      <c r="B40" s="766"/>
      <c r="C40" s="32">
        <v>60006828</v>
      </c>
      <c r="D40" s="32" t="s">
        <v>828</v>
      </c>
      <c r="E40" s="38" t="s">
        <v>866</v>
      </c>
      <c r="F40" s="75" t="s">
        <v>798</v>
      </c>
      <c r="G40" s="41"/>
      <c r="H40" s="16"/>
    </row>
    <row r="41" spans="2:8" ht="14.25" customHeight="1">
      <c r="B41" s="766" t="s">
        <v>867</v>
      </c>
      <c r="C41" s="32"/>
      <c r="D41" s="32"/>
      <c r="E41" s="38" t="s">
        <v>868</v>
      </c>
      <c r="F41" s="75" t="s">
        <v>798</v>
      </c>
      <c r="G41" s="41"/>
      <c r="H41" s="16"/>
    </row>
    <row r="42" spans="2:8" ht="14.25" customHeight="1">
      <c r="B42" s="766"/>
      <c r="C42" s="32"/>
      <c r="D42" s="32"/>
      <c r="E42" s="38" t="s">
        <v>869</v>
      </c>
      <c r="F42" s="75" t="s">
        <v>798</v>
      </c>
      <c r="G42" s="41"/>
      <c r="H42" s="16"/>
    </row>
    <row r="43" spans="2:8" ht="14.25" customHeight="1">
      <c r="B43" s="766">
        <v>45992</v>
      </c>
      <c r="C43" s="32">
        <v>20005587</v>
      </c>
      <c r="D43" s="32" t="s">
        <v>870</v>
      </c>
      <c r="E43" s="38" t="s">
        <v>871</v>
      </c>
      <c r="F43" s="75" t="s">
        <v>798</v>
      </c>
      <c r="G43" s="41"/>
      <c r="H43" s="16"/>
    </row>
    <row r="44" spans="2:8" ht="14.25" customHeight="1">
      <c r="B44" s="766"/>
      <c r="C44" s="32">
        <v>20005588</v>
      </c>
      <c r="D44" s="32" t="s">
        <v>870</v>
      </c>
      <c r="E44" s="38" t="s">
        <v>872</v>
      </c>
      <c r="F44" s="75" t="s">
        <v>798</v>
      </c>
      <c r="G44" s="41"/>
      <c r="H44" s="16"/>
    </row>
    <row r="45" spans="2:8" ht="14.25" customHeight="1">
      <c r="B45" s="766"/>
      <c r="C45" s="32">
        <v>20005589</v>
      </c>
      <c r="D45" s="32" t="s">
        <v>276</v>
      </c>
      <c r="E45" s="38" t="s">
        <v>873</v>
      </c>
      <c r="F45" s="75" t="s">
        <v>798</v>
      </c>
      <c r="G45" s="41"/>
      <c r="H45" s="16"/>
    </row>
    <row r="46" spans="2:8" ht="14.25" customHeight="1">
      <c r="B46" s="766"/>
      <c r="C46" s="32">
        <v>10017106</v>
      </c>
      <c r="D46" s="32" t="s">
        <v>874</v>
      </c>
      <c r="E46" s="38" t="s">
        <v>875</v>
      </c>
      <c r="F46" s="75" t="s">
        <v>798</v>
      </c>
      <c r="G46" s="41"/>
      <c r="H46" s="16"/>
    </row>
    <row r="47" spans="2:8" ht="14.25" customHeight="1">
      <c r="B47" s="766"/>
      <c r="C47" s="32">
        <v>10017108</v>
      </c>
      <c r="D47" s="32" t="s">
        <v>377</v>
      </c>
      <c r="E47" s="38" t="s">
        <v>876</v>
      </c>
      <c r="F47" s="75" t="s">
        <v>798</v>
      </c>
      <c r="G47" s="41"/>
      <c r="H47" s="16"/>
    </row>
    <row r="48" spans="2:8" ht="14.25" customHeight="1">
      <c r="B48" s="766"/>
      <c r="C48" s="32">
        <v>20005598</v>
      </c>
      <c r="D48" s="32" t="s">
        <v>369</v>
      </c>
      <c r="E48" s="38" t="s">
        <v>877</v>
      </c>
      <c r="F48" s="75" t="s">
        <v>798</v>
      </c>
      <c r="G48" s="41"/>
      <c r="H48" s="16"/>
    </row>
    <row r="49" spans="2:8" ht="14.25" customHeight="1">
      <c r="B49" s="766"/>
      <c r="C49" s="32"/>
      <c r="D49" s="32" t="s">
        <v>878</v>
      </c>
      <c r="E49" s="38" t="s">
        <v>879</v>
      </c>
      <c r="F49" s="75" t="s">
        <v>798</v>
      </c>
      <c r="G49" s="41"/>
      <c r="H49" s="16"/>
    </row>
    <row r="50" spans="2:8" ht="14.25" customHeight="1">
      <c r="B50" s="766">
        <v>45993</v>
      </c>
      <c r="C50" s="32">
        <v>10017220</v>
      </c>
      <c r="D50" s="32" t="s">
        <v>880</v>
      </c>
      <c r="E50" s="38" t="s">
        <v>881</v>
      </c>
      <c r="F50" s="75" t="s">
        <v>798</v>
      </c>
      <c r="G50" s="41" t="s">
        <v>882</v>
      </c>
      <c r="H50" s="16" t="s">
        <v>661</v>
      </c>
    </row>
    <row r="51" spans="2:8" ht="14.25" customHeight="1">
      <c r="B51" s="766"/>
      <c r="C51" s="32">
        <v>20005608</v>
      </c>
      <c r="D51" s="32" t="s">
        <v>883</v>
      </c>
      <c r="E51" s="38" t="s">
        <v>884</v>
      </c>
      <c r="F51" s="75" t="s">
        <v>798</v>
      </c>
      <c r="G51" s="41" t="s">
        <v>882</v>
      </c>
      <c r="H51" s="16" t="s">
        <v>661</v>
      </c>
    </row>
    <row r="52" spans="2:8" ht="14.25" customHeight="1">
      <c r="B52" s="766"/>
      <c r="C52" s="32">
        <v>20005610</v>
      </c>
      <c r="D52" s="32" t="s">
        <v>885</v>
      </c>
      <c r="E52" s="38" t="s">
        <v>886</v>
      </c>
      <c r="F52" s="75" t="s">
        <v>798</v>
      </c>
      <c r="G52" s="41" t="s">
        <v>882</v>
      </c>
      <c r="H52" s="16" t="s">
        <v>661</v>
      </c>
    </row>
    <row r="53" spans="2:8" ht="14.25" customHeight="1">
      <c r="B53" s="766"/>
      <c r="C53" s="32">
        <v>20005609</v>
      </c>
      <c r="D53" s="32" t="s">
        <v>378</v>
      </c>
      <c r="E53" s="38" t="s">
        <v>850</v>
      </c>
      <c r="F53" s="75" t="s">
        <v>798</v>
      </c>
      <c r="G53" s="41" t="s">
        <v>882</v>
      </c>
      <c r="H53" s="16" t="s">
        <v>661</v>
      </c>
    </row>
    <row r="54" spans="2:8" ht="14.25" customHeight="1">
      <c r="B54" s="766"/>
      <c r="C54" s="32">
        <v>10017235</v>
      </c>
      <c r="D54" s="32" t="s">
        <v>887</v>
      </c>
      <c r="E54" s="38" t="s">
        <v>888</v>
      </c>
      <c r="F54" s="75" t="s">
        <v>798</v>
      </c>
      <c r="G54" s="41" t="s">
        <v>882</v>
      </c>
      <c r="H54" s="16" t="s">
        <v>661</v>
      </c>
    </row>
    <row r="55" spans="2:8" ht="14.25" customHeight="1">
      <c r="B55" s="766"/>
      <c r="C55" s="32">
        <v>10017312</v>
      </c>
      <c r="D55" s="32" t="s">
        <v>889</v>
      </c>
      <c r="E55" s="38" t="s">
        <v>886</v>
      </c>
      <c r="F55" s="75" t="s">
        <v>798</v>
      </c>
      <c r="G55" s="41" t="s">
        <v>882</v>
      </c>
      <c r="H55" s="16" t="s">
        <v>661</v>
      </c>
    </row>
    <row r="56" spans="2:8" ht="14.25" customHeight="1">
      <c r="B56" s="766">
        <v>45994</v>
      </c>
      <c r="C56" s="32">
        <v>20005685</v>
      </c>
      <c r="D56" s="32" t="s">
        <v>855</v>
      </c>
      <c r="E56" s="38" t="s">
        <v>890</v>
      </c>
      <c r="F56" s="75" t="s">
        <v>798</v>
      </c>
      <c r="G56" s="41" t="s">
        <v>882</v>
      </c>
      <c r="H56" s="16" t="s">
        <v>661</v>
      </c>
    </row>
    <row r="57" spans="2:8" ht="14.25" customHeight="1">
      <c r="B57" s="766"/>
      <c r="C57" s="32">
        <v>20005686</v>
      </c>
      <c r="D57" s="32" t="s">
        <v>264</v>
      </c>
      <c r="E57" s="38" t="s">
        <v>891</v>
      </c>
      <c r="F57" s="75" t="s">
        <v>798</v>
      </c>
      <c r="G57" s="41" t="s">
        <v>882</v>
      </c>
      <c r="H57" s="16" t="s">
        <v>661</v>
      </c>
    </row>
    <row r="58" spans="2:8" ht="14.25" customHeight="1">
      <c r="B58" s="766"/>
      <c r="C58" s="32">
        <v>10017563</v>
      </c>
      <c r="D58" s="32" t="s">
        <v>892</v>
      </c>
      <c r="E58" s="38" t="s">
        <v>827</v>
      </c>
      <c r="F58" s="75" t="s">
        <v>798</v>
      </c>
      <c r="G58" s="41" t="s">
        <v>882</v>
      </c>
      <c r="H58" s="16" t="s">
        <v>661</v>
      </c>
    </row>
    <row r="59" spans="2:8" ht="14.25" customHeight="1">
      <c r="B59" s="766"/>
      <c r="C59" s="32">
        <v>20005687</v>
      </c>
      <c r="D59" s="32" t="s">
        <v>893</v>
      </c>
      <c r="E59" s="38" t="s">
        <v>894</v>
      </c>
      <c r="F59" s="75" t="s">
        <v>798</v>
      </c>
      <c r="G59" s="41" t="s">
        <v>882</v>
      </c>
      <c r="H59" s="16" t="s">
        <v>661</v>
      </c>
    </row>
    <row r="60" spans="2:8" ht="14.25" customHeight="1">
      <c r="B60" s="766">
        <v>45995</v>
      </c>
      <c r="C60" s="32">
        <v>20005690</v>
      </c>
      <c r="D60" s="32" t="s">
        <v>870</v>
      </c>
      <c r="E60" s="38" t="s">
        <v>895</v>
      </c>
      <c r="F60" s="75" t="s">
        <v>798</v>
      </c>
      <c r="G60" s="41" t="s">
        <v>882</v>
      </c>
      <c r="H60" s="16" t="s">
        <v>661</v>
      </c>
    </row>
    <row r="61" spans="2:8" ht="14.25" customHeight="1">
      <c r="B61" s="766"/>
      <c r="C61" s="32">
        <v>10017564</v>
      </c>
      <c r="D61" s="32" t="s">
        <v>896</v>
      </c>
      <c r="E61" s="38" t="s">
        <v>897</v>
      </c>
      <c r="F61" s="75" t="s">
        <v>798</v>
      </c>
      <c r="G61" s="41" t="s">
        <v>882</v>
      </c>
      <c r="H61" s="16" t="s">
        <v>661</v>
      </c>
    </row>
    <row r="62" spans="2:8" ht="14.25" customHeight="1">
      <c r="B62" s="766"/>
      <c r="C62" s="32">
        <v>10017565</v>
      </c>
      <c r="D62" s="32" t="s">
        <v>898</v>
      </c>
      <c r="E62" s="81" t="s">
        <v>899</v>
      </c>
      <c r="F62" s="75" t="s">
        <v>798</v>
      </c>
      <c r="G62" s="41" t="s">
        <v>882</v>
      </c>
      <c r="H62" s="16" t="s">
        <v>661</v>
      </c>
    </row>
    <row r="63" spans="2:8" ht="14.25" customHeight="1">
      <c r="B63" s="766">
        <v>45996</v>
      </c>
      <c r="C63" s="32"/>
      <c r="D63" s="32" t="s">
        <v>900</v>
      </c>
      <c r="E63" s="81" t="s">
        <v>901</v>
      </c>
      <c r="F63" s="75" t="s">
        <v>798</v>
      </c>
      <c r="G63" s="41" t="s">
        <v>882</v>
      </c>
      <c r="H63" s="16" t="s">
        <v>661</v>
      </c>
    </row>
    <row r="64" spans="2:8" ht="14.25" customHeight="1">
      <c r="B64" s="766"/>
      <c r="C64" s="32"/>
      <c r="D64" s="32" t="s">
        <v>870</v>
      </c>
      <c r="E64" s="81" t="s">
        <v>902</v>
      </c>
      <c r="F64" s="75" t="s">
        <v>798</v>
      </c>
      <c r="G64" s="41" t="s">
        <v>882</v>
      </c>
      <c r="H64" s="16" t="s">
        <v>661</v>
      </c>
    </row>
    <row r="65" spans="2:8" ht="14.25" customHeight="1">
      <c r="B65" s="766"/>
      <c r="C65" s="32"/>
      <c r="D65" s="32" t="s">
        <v>259</v>
      </c>
      <c r="E65" s="81" t="s">
        <v>903</v>
      </c>
      <c r="F65" s="75" t="s">
        <v>798</v>
      </c>
      <c r="G65" s="41" t="s">
        <v>882</v>
      </c>
      <c r="H65" s="16" t="s">
        <v>661</v>
      </c>
    </row>
    <row r="66" spans="2:8" ht="14.25" customHeight="1">
      <c r="B66" s="766">
        <v>45997</v>
      </c>
      <c r="C66" s="32"/>
      <c r="D66" s="32" t="s">
        <v>382</v>
      </c>
      <c r="E66" s="81" t="s">
        <v>850</v>
      </c>
      <c r="F66" s="75" t="s">
        <v>798</v>
      </c>
      <c r="G66" s="41" t="s">
        <v>882</v>
      </c>
      <c r="H66" s="16" t="s">
        <v>661</v>
      </c>
    </row>
    <row r="67" spans="2:8" ht="14.25" customHeight="1">
      <c r="B67" s="766"/>
      <c r="C67" s="32"/>
      <c r="D67" s="32" t="s">
        <v>818</v>
      </c>
      <c r="E67" s="81" t="s">
        <v>904</v>
      </c>
      <c r="F67" s="75" t="s">
        <v>798</v>
      </c>
      <c r="G67" s="41" t="s">
        <v>882</v>
      </c>
      <c r="H67" s="16" t="s">
        <v>661</v>
      </c>
    </row>
    <row r="68" spans="2:8" ht="14.25" customHeight="1">
      <c r="B68" s="766"/>
      <c r="C68" s="32"/>
      <c r="D68" s="32" t="s">
        <v>893</v>
      </c>
      <c r="E68" s="81" t="s">
        <v>905</v>
      </c>
      <c r="F68" s="75" t="s">
        <v>798</v>
      </c>
      <c r="G68" s="41" t="s">
        <v>882</v>
      </c>
      <c r="H68" s="16" t="s">
        <v>661</v>
      </c>
    </row>
    <row r="69" spans="2:8" ht="14.25" customHeight="1">
      <c r="B69" s="766">
        <v>46001</v>
      </c>
      <c r="C69" s="32">
        <v>20005699</v>
      </c>
      <c r="D69" s="32" t="s">
        <v>906</v>
      </c>
      <c r="E69" s="38" t="s">
        <v>904</v>
      </c>
      <c r="F69" s="75" t="s">
        <v>798</v>
      </c>
      <c r="G69" s="41" t="s">
        <v>882</v>
      </c>
      <c r="H69" s="16" t="s">
        <v>661</v>
      </c>
    </row>
    <row r="70" spans="2:8" ht="14.25" customHeight="1">
      <c r="B70" s="766"/>
      <c r="C70" s="32">
        <v>20005692</v>
      </c>
      <c r="D70" s="32" t="s">
        <v>907</v>
      </c>
      <c r="E70" s="38" t="s">
        <v>908</v>
      </c>
      <c r="F70" s="75" t="s">
        <v>798</v>
      </c>
      <c r="G70" s="41" t="s">
        <v>882</v>
      </c>
      <c r="H70" s="16" t="s">
        <v>661</v>
      </c>
    </row>
    <row r="71" spans="2:8" ht="14.25" customHeight="1">
      <c r="B71" s="766"/>
      <c r="C71" s="32">
        <v>20005693</v>
      </c>
      <c r="D71" s="32" t="s">
        <v>863</v>
      </c>
      <c r="E71" s="38" t="s">
        <v>909</v>
      </c>
      <c r="F71" s="75" t="s">
        <v>798</v>
      </c>
      <c r="G71" s="41" t="s">
        <v>882</v>
      </c>
      <c r="H71" s="16" t="s">
        <v>661</v>
      </c>
    </row>
    <row r="72" spans="2:8" ht="14.25" customHeight="1">
      <c r="B72" s="766">
        <v>46002</v>
      </c>
      <c r="C72" s="32"/>
      <c r="D72" s="32" t="s">
        <v>910</v>
      </c>
      <c r="E72" s="38" t="s">
        <v>911</v>
      </c>
      <c r="F72" s="75" t="s">
        <v>798</v>
      </c>
      <c r="G72" s="41" t="s">
        <v>882</v>
      </c>
      <c r="H72" s="16" t="s">
        <v>661</v>
      </c>
    </row>
    <row r="73" spans="2:8" ht="14.25" customHeight="1">
      <c r="B73" s="766"/>
      <c r="C73" s="32"/>
      <c r="D73" s="32" t="s">
        <v>299</v>
      </c>
      <c r="E73" s="38" t="s">
        <v>912</v>
      </c>
      <c r="F73" s="75" t="s">
        <v>798</v>
      </c>
      <c r="G73" s="41" t="s">
        <v>882</v>
      </c>
      <c r="H73" s="16" t="s">
        <v>661</v>
      </c>
    </row>
    <row r="74" spans="2:8" ht="14.25" customHeight="1">
      <c r="B74" s="766"/>
      <c r="C74" s="32"/>
      <c r="D74" s="32" t="s">
        <v>472</v>
      </c>
      <c r="E74" s="38" t="s">
        <v>913</v>
      </c>
      <c r="F74" s="75" t="s">
        <v>798</v>
      </c>
      <c r="G74" s="41" t="s">
        <v>882</v>
      </c>
      <c r="H74" s="16" t="s">
        <v>661</v>
      </c>
    </row>
    <row r="75" spans="2:8" ht="14.25" customHeight="1">
      <c r="B75" s="766">
        <v>46003</v>
      </c>
      <c r="C75" s="32"/>
      <c r="D75" s="32" t="s">
        <v>914</v>
      </c>
      <c r="E75" s="38" t="s">
        <v>915</v>
      </c>
      <c r="F75" s="75" t="s">
        <v>798</v>
      </c>
      <c r="G75" s="41" t="s">
        <v>882</v>
      </c>
      <c r="H75" s="16" t="s">
        <v>661</v>
      </c>
    </row>
    <row r="76" spans="2:8" ht="14.25" customHeight="1">
      <c r="B76" s="766"/>
      <c r="C76" s="32"/>
      <c r="D76" s="32" t="s">
        <v>916</v>
      </c>
      <c r="E76" s="38" t="s">
        <v>917</v>
      </c>
      <c r="F76" s="75" t="s">
        <v>798</v>
      </c>
      <c r="G76" s="41" t="s">
        <v>882</v>
      </c>
      <c r="H76" s="16" t="s">
        <v>661</v>
      </c>
    </row>
    <row r="77" spans="2:8" ht="14.25" customHeight="1">
      <c r="B77" s="766"/>
      <c r="C77" s="32"/>
      <c r="D77" s="32" t="s">
        <v>799</v>
      </c>
      <c r="E77" s="38" t="s">
        <v>850</v>
      </c>
      <c r="F77" s="75" t="s">
        <v>798</v>
      </c>
      <c r="G77" s="41" t="s">
        <v>882</v>
      </c>
      <c r="H77" s="16"/>
    </row>
    <row r="78" spans="2:8" ht="14.25" customHeight="1">
      <c r="B78" s="766">
        <v>46004</v>
      </c>
      <c r="C78" s="32"/>
      <c r="D78" s="32"/>
      <c r="E78" s="38"/>
      <c r="F78" s="57"/>
      <c r="G78" s="41"/>
      <c r="H78" s="16"/>
    </row>
    <row r="79" spans="2:8" ht="14.25" customHeight="1">
      <c r="B79" s="766"/>
      <c r="C79" s="32"/>
      <c r="D79" s="32"/>
      <c r="E79" s="38"/>
      <c r="F79" s="57"/>
      <c r="G79" s="41"/>
      <c r="H79" s="16"/>
    </row>
    <row r="80" spans="2:8" ht="14.25" customHeight="1">
      <c r="B80" s="766"/>
      <c r="C80" s="32"/>
      <c r="D80" s="32"/>
      <c r="E80" s="38"/>
      <c r="F80" s="57"/>
      <c r="G80" s="41"/>
      <c r="H80" s="16"/>
    </row>
    <row r="81" spans="2:8" ht="14.25" customHeight="1">
      <c r="B81" s="766">
        <v>46006</v>
      </c>
      <c r="C81" s="32"/>
      <c r="D81" s="32" t="s">
        <v>889</v>
      </c>
      <c r="E81" s="38" t="s">
        <v>918</v>
      </c>
      <c r="F81" s="75" t="s">
        <v>798</v>
      </c>
      <c r="G81" s="41" t="s">
        <v>882</v>
      </c>
      <c r="H81" s="16" t="s">
        <v>661</v>
      </c>
    </row>
    <row r="82" spans="2:8" ht="14.25" customHeight="1">
      <c r="B82" s="766"/>
      <c r="C82" s="32"/>
      <c r="D82" s="32" t="s">
        <v>919</v>
      </c>
      <c r="E82" s="38" t="s">
        <v>920</v>
      </c>
      <c r="F82" s="75" t="s">
        <v>798</v>
      </c>
      <c r="G82" s="41" t="s">
        <v>882</v>
      </c>
      <c r="H82" s="16" t="s">
        <v>661</v>
      </c>
    </row>
    <row r="83" spans="2:8" ht="14.25" customHeight="1">
      <c r="B83" s="766"/>
      <c r="C83" s="32"/>
      <c r="D83" s="32" t="s">
        <v>921</v>
      </c>
      <c r="E83" s="38" t="s">
        <v>922</v>
      </c>
      <c r="F83" s="75" t="s">
        <v>798</v>
      </c>
      <c r="G83" s="41" t="s">
        <v>882</v>
      </c>
      <c r="H83" s="16" t="s">
        <v>661</v>
      </c>
    </row>
    <row r="84" spans="2:8" ht="14.25" customHeight="1">
      <c r="B84" s="766"/>
      <c r="C84" s="32"/>
      <c r="D84" s="32" t="s">
        <v>824</v>
      </c>
      <c r="E84" s="38" t="s">
        <v>923</v>
      </c>
      <c r="F84" s="75" t="s">
        <v>798</v>
      </c>
      <c r="G84" s="41" t="s">
        <v>882</v>
      </c>
      <c r="H84" s="16" t="s">
        <v>661</v>
      </c>
    </row>
    <row r="85" spans="2:8" ht="14.25" customHeight="1">
      <c r="B85" s="766">
        <v>46007</v>
      </c>
      <c r="C85" s="32"/>
      <c r="D85" s="32" t="s">
        <v>369</v>
      </c>
      <c r="E85" s="38" t="s">
        <v>924</v>
      </c>
      <c r="F85" s="75" t="s">
        <v>798</v>
      </c>
      <c r="G85" s="41" t="s">
        <v>882</v>
      </c>
      <c r="H85" s="16" t="s">
        <v>661</v>
      </c>
    </row>
    <row r="86" spans="2:8" ht="14.25" customHeight="1">
      <c r="B86" s="766"/>
      <c r="C86" s="32"/>
      <c r="D86" s="32" t="s">
        <v>381</v>
      </c>
      <c r="E86" s="38" t="s">
        <v>925</v>
      </c>
      <c r="F86" s="75" t="s">
        <v>798</v>
      </c>
      <c r="G86" s="41" t="s">
        <v>882</v>
      </c>
      <c r="H86" s="16" t="s">
        <v>661</v>
      </c>
    </row>
    <row r="87" spans="2:8" ht="14.25" customHeight="1">
      <c r="B87" s="766">
        <v>46008</v>
      </c>
      <c r="C87" s="32"/>
      <c r="D87" s="32" t="s">
        <v>926</v>
      </c>
      <c r="E87" s="38" t="s">
        <v>927</v>
      </c>
      <c r="F87" s="75" t="s">
        <v>798</v>
      </c>
      <c r="G87" s="41" t="s">
        <v>882</v>
      </c>
      <c r="H87" s="16" t="s">
        <v>661</v>
      </c>
    </row>
    <row r="88" spans="2:8" ht="14.25" customHeight="1">
      <c r="B88" s="766"/>
      <c r="C88" s="32"/>
      <c r="D88" s="32" t="s">
        <v>921</v>
      </c>
      <c r="E88" s="38" t="s">
        <v>928</v>
      </c>
      <c r="F88" s="57"/>
      <c r="G88" s="41"/>
      <c r="H88" s="16"/>
    </row>
    <row r="89" spans="2:8" ht="14.25" customHeight="1">
      <c r="B89" s="766"/>
      <c r="C89" s="32"/>
      <c r="D89" s="32" t="s">
        <v>828</v>
      </c>
      <c r="E89" s="38" t="s">
        <v>929</v>
      </c>
      <c r="F89" s="57"/>
      <c r="G89" s="41"/>
      <c r="H89" s="16"/>
    </row>
    <row r="90" spans="2:8" ht="14.25" customHeight="1">
      <c r="B90" s="766" t="s">
        <v>930</v>
      </c>
      <c r="C90" s="32"/>
      <c r="D90" s="32"/>
      <c r="E90" s="38"/>
      <c r="F90" s="57"/>
      <c r="G90" s="41"/>
      <c r="H90" s="16"/>
    </row>
    <row r="91" spans="2:8" ht="14.25" customHeight="1">
      <c r="B91" s="766" t="s">
        <v>931</v>
      </c>
      <c r="C91" s="32"/>
      <c r="D91" s="32" t="s">
        <v>597</v>
      </c>
      <c r="E91" s="38" t="s">
        <v>932</v>
      </c>
      <c r="F91" s="57" t="s">
        <v>798</v>
      </c>
      <c r="G91" s="41" t="s">
        <v>882</v>
      </c>
      <c r="H91" s="16" t="s">
        <v>661</v>
      </c>
    </row>
    <row r="92" spans="2:8" ht="14.25" customHeight="1">
      <c r="B92" s="766"/>
      <c r="C92" s="32"/>
      <c r="D92" s="32" t="s">
        <v>933</v>
      </c>
      <c r="E92" s="38" t="s">
        <v>934</v>
      </c>
      <c r="F92" s="57" t="s">
        <v>798</v>
      </c>
      <c r="G92" s="41" t="s">
        <v>935</v>
      </c>
      <c r="H92" s="16"/>
    </row>
    <row r="93" spans="2:8" ht="14.25" customHeight="1">
      <c r="B93" s="766"/>
      <c r="C93" s="32"/>
      <c r="D93" s="32" t="s">
        <v>900</v>
      </c>
      <c r="E93" s="38" t="s">
        <v>905</v>
      </c>
      <c r="F93" s="57" t="s">
        <v>798</v>
      </c>
      <c r="G93" s="41" t="s">
        <v>935</v>
      </c>
      <c r="H93" s="16"/>
    </row>
    <row r="94" spans="2:8" ht="14.25" customHeight="1">
      <c r="B94" s="766"/>
      <c r="C94" s="32"/>
      <c r="D94" s="32" t="s">
        <v>910</v>
      </c>
      <c r="E94" s="38" t="s">
        <v>936</v>
      </c>
      <c r="F94" s="57" t="s">
        <v>798</v>
      </c>
      <c r="G94" s="41" t="s">
        <v>882</v>
      </c>
      <c r="H94" s="16"/>
    </row>
    <row r="95" spans="2:8" ht="14.25" customHeight="1">
      <c r="B95" s="766" t="s">
        <v>937</v>
      </c>
      <c r="C95" s="32"/>
      <c r="D95" s="32" t="s">
        <v>870</v>
      </c>
      <c r="E95" s="38" t="s">
        <v>938</v>
      </c>
      <c r="F95" s="57" t="s">
        <v>798</v>
      </c>
      <c r="G95" s="41" t="s">
        <v>935</v>
      </c>
      <c r="H95" s="16"/>
    </row>
    <row r="96" spans="2:8" ht="14.25" customHeight="1">
      <c r="B96" s="766"/>
      <c r="C96" s="32"/>
      <c r="D96" s="32" t="s">
        <v>818</v>
      </c>
      <c r="E96" s="38" t="s">
        <v>939</v>
      </c>
      <c r="F96" s="57" t="s">
        <v>798</v>
      </c>
      <c r="G96" s="41" t="s">
        <v>935</v>
      </c>
      <c r="H96" s="16"/>
    </row>
    <row r="97" spans="2:8" ht="14.25" customHeight="1">
      <c r="B97" s="766"/>
      <c r="C97" s="32"/>
      <c r="D97" s="32" t="s">
        <v>940</v>
      </c>
      <c r="E97" s="38" t="s">
        <v>941</v>
      </c>
      <c r="F97" s="57" t="s">
        <v>798</v>
      </c>
      <c r="G97" s="41" t="s">
        <v>882</v>
      </c>
      <c r="H97" s="16"/>
    </row>
    <row r="98" spans="2:8" ht="14.25" customHeight="1">
      <c r="B98" s="766"/>
      <c r="C98" s="32"/>
      <c r="D98" s="32" t="s">
        <v>940</v>
      </c>
      <c r="E98" s="38" t="s">
        <v>942</v>
      </c>
      <c r="F98" s="57" t="s">
        <v>943</v>
      </c>
      <c r="G98" s="41" t="s">
        <v>882</v>
      </c>
      <c r="H98" s="16"/>
    </row>
    <row r="99" spans="2:8" ht="14.25" customHeight="1">
      <c r="B99" s="766"/>
      <c r="C99" s="32"/>
      <c r="D99" s="32" t="s">
        <v>944</v>
      </c>
      <c r="E99" s="38" t="s">
        <v>945</v>
      </c>
      <c r="F99" s="57" t="s">
        <v>798</v>
      </c>
      <c r="G99" s="41" t="s">
        <v>882</v>
      </c>
      <c r="H99" s="16"/>
    </row>
    <row r="100" spans="2:8" ht="14.25" customHeight="1">
      <c r="B100" s="766"/>
      <c r="C100" s="32"/>
      <c r="D100" s="32"/>
      <c r="E100" s="38"/>
      <c r="F100" s="57"/>
      <c r="G100" s="41"/>
      <c r="H100" s="16"/>
    </row>
    <row r="101" spans="2:8" ht="14.25" customHeight="1">
      <c r="B101" s="766"/>
      <c r="C101" s="32"/>
      <c r="D101" s="32"/>
      <c r="E101" s="38"/>
      <c r="F101" s="57"/>
      <c r="G101" s="41"/>
      <c r="H101" s="16"/>
    </row>
    <row r="102" spans="2:8" ht="14.25" customHeight="1">
      <c r="B102" s="766" t="s">
        <v>697</v>
      </c>
      <c r="C102" s="32"/>
      <c r="D102" s="32" t="s">
        <v>806</v>
      </c>
      <c r="E102" s="38" t="s">
        <v>946</v>
      </c>
      <c r="F102" s="57" t="s">
        <v>798</v>
      </c>
      <c r="G102" s="41" t="s">
        <v>882</v>
      </c>
      <c r="H102" s="16"/>
    </row>
    <row r="103" spans="2:8" ht="14.25" customHeight="1">
      <c r="B103" s="766"/>
      <c r="C103" s="32"/>
      <c r="D103" s="32" t="s">
        <v>259</v>
      </c>
      <c r="E103" s="38" t="s">
        <v>903</v>
      </c>
      <c r="F103" s="57" t="s">
        <v>798</v>
      </c>
      <c r="G103" s="41" t="s">
        <v>882</v>
      </c>
      <c r="H103" s="16"/>
    </row>
    <row r="104" spans="2:8" ht="14.25" customHeight="1">
      <c r="B104" s="766"/>
      <c r="C104" s="32"/>
      <c r="D104" s="32" t="s">
        <v>822</v>
      </c>
      <c r="E104" s="38" t="s">
        <v>922</v>
      </c>
      <c r="F104" s="57" t="s">
        <v>798</v>
      </c>
      <c r="G104" s="41" t="s">
        <v>882</v>
      </c>
      <c r="H104" s="16"/>
    </row>
    <row r="105" spans="2:8" ht="14.25" customHeight="1">
      <c r="B105" s="766" t="s">
        <v>701</v>
      </c>
      <c r="C105" s="32"/>
      <c r="D105" s="32" t="s">
        <v>893</v>
      </c>
      <c r="E105" s="38" t="s">
        <v>947</v>
      </c>
      <c r="F105" s="57" t="s">
        <v>798</v>
      </c>
      <c r="G105" s="41" t="s">
        <v>935</v>
      </c>
      <c r="H105" s="16"/>
    </row>
    <row r="106" spans="2:8" ht="14.25" customHeight="1">
      <c r="B106" s="766"/>
      <c r="C106" s="32"/>
      <c r="D106" s="32" t="s">
        <v>259</v>
      </c>
      <c r="E106" s="38" t="s">
        <v>903</v>
      </c>
      <c r="F106" s="57" t="s">
        <v>798</v>
      </c>
      <c r="G106" s="41" t="s">
        <v>882</v>
      </c>
      <c r="H106" s="16"/>
    </row>
    <row r="107" spans="2:8" ht="14.25" customHeight="1">
      <c r="B107" s="766"/>
      <c r="C107" s="32"/>
      <c r="D107" s="32" t="s">
        <v>276</v>
      </c>
      <c r="E107" s="38" t="s">
        <v>903</v>
      </c>
      <c r="F107" s="57" t="s">
        <v>798</v>
      </c>
      <c r="G107" s="41" t="s">
        <v>882</v>
      </c>
      <c r="H107" s="16"/>
    </row>
    <row r="108" spans="2:8" ht="14.25" customHeight="1">
      <c r="B108" s="766"/>
      <c r="C108" s="32"/>
      <c r="D108" s="32" t="s">
        <v>948</v>
      </c>
      <c r="E108" s="38" t="s">
        <v>949</v>
      </c>
      <c r="F108" s="57" t="s">
        <v>798</v>
      </c>
      <c r="G108" s="41" t="s">
        <v>882</v>
      </c>
      <c r="H108" s="16"/>
    </row>
    <row r="109" spans="2:8" ht="14.25" customHeight="1">
      <c r="B109" s="766"/>
      <c r="C109" s="32"/>
      <c r="D109" s="32" t="s">
        <v>878</v>
      </c>
      <c r="E109" s="38" t="s">
        <v>950</v>
      </c>
      <c r="F109" s="57" t="s">
        <v>798</v>
      </c>
      <c r="G109" s="41" t="s">
        <v>882</v>
      </c>
      <c r="H109" s="16"/>
    </row>
    <row r="110" spans="2:8" ht="14.25" customHeight="1">
      <c r="B110" s="766"/>
      <c r="C110" s="32"/>
      <c r="D110" s="32" t="s">
        <v>289</v>
      </c>
      <c r="E110" s="38" t="s">
        <v>951</v>
      </c>
      <c r="F110" s="57" t="s">
        <v>798</v>
      </c>
      <c r="G110" s="41" t="s">
        <v>882</v>
      </c>
      <c r="H110" s="16"/>
    </row>
    <row r="111" spans="2:8" ht="14.25" customHeight="1">
      <c r="B111" s="766" t="s">
        <v>703</v>
      </c>
      <c r="C111" s="32"/>
      <c r="D111" s="32" t="s">
        <v>822</v>
      </c>
      <c r="E111" s="38" t="s">
        <v>952</v>
      </c>
      <c r="F111" s="57" t="s">
        <v>798</v>
      </c>
      <c r="G111" s="41" t="s">
        <v>935</v>
      </c>
      <c r="H111" s="16"/>
    </row>
    <row r="112" spans="2:8" ht="14.25" customHeight="1">
      <c r="B112" s="766"/>
      <c r="C112" s="32"/>
      <c r="D112" s="32" t="s">
        <v>818</v>
      </c>
      <c r="E112" s="38" t="s">
        <v>950</v>
      </c>
      <c r="F112" s="57" t="s">
        <v>798</v>
      </c>
      <c r="G112" s="41" t="s">
        <v>882</v>
      </c>
      <c r="H112" s="16"/>
    </row>
    <row r="113" spans="2:8" ht="14.25" customHeight="1">
      <c r="B113" s="766"/>
      <c r="C113" s="32"/>
      <c r="D113" s="32" t="s">
        <v>799</v>
      </c>
      <c r="E113" s="38" t="s">
        <v>953</v>
      </c>
      <c r="F113" s="57" t="s">
        <v>943</v>
      </c>
      <c r="G113" s="41" t="s">
        <v>935</v>
      </c>
      <c r="H113" s="16"/>
    </row>
    <row r="114" spans="2:8" ht="14.25" customHeight="1">
      <c r="B114" s="766"/>
      <c r="C114" s="32"/>
      <c r="D114" s="32" t="s">
        <v>269</v>
      </c>
      <c r="E114" s="38" t="s">
        <v>954</v>
      </c>
      <c r="F114" s="57" t="s">
        <v>955</v>
      </c>
      <c r="G114" s="41" t="s">
        <v>935</v>
      </c>
      <c r="H114" s="16"/>
    </row>
    <row r="115" spans="2:8" ht="14.25" customHeight="1">
      <c r="B115" s="766"/>
      <c r="C115" s="32"/>
      <c r="D115" s="32" t="s">
        <v>878</v>
      </c>
      <c r="E115" s="38" t="s">
        <v>827</v>
      </c>
      <c r="F115" s="57" t="s">
        <v>798</v>
      </c>
      <c r="G115" s="41" t="s">
        <v>935</v>
      </c>
      <c r="H115" s="16"/>
    </row>
    <row r="116" spans="2:8" ht="14.25" customHeight="1">
      <c r="B116" s="766"/>
      <c r="C116" s="32"/>
      <c r="D116" s="32" t="s">
        <v>956</v>
      </c>
      <c r="E116" s="38" t="s">
        <v>957</v>
      </c>
      <c r="F116" s="57" t="s">
        <v>798</v>
      </c>
      <c r="G116" s="41" t="s">
        <v>882</v>
      </c>
      <c r="H116" s="16"/>
    </row>
    <row r="117" spans="2:8" ht="14.25" customHeight="1">
      <c r="B117" s="766" t="s">
        <v>705</v>
      </c>
      <c r="C117" s="32"/>
      <c r="D117" s="32" t="s">
        <v>958</v>
      </c>
      <c r="E117" s="38" t="s">
        <v>959</v>
      </c>
      <c r="F117" s="57" t="s">
        <v>798</v>
      </c>
      <c r="G117" s="41" t="s">
        <v>882</v>
      </c>
      <c r="H117" s="16"/>
    </row>
    <row r="118" spans="2:8" ht="14.25" customHeight="1">
      <c r="B118" s="766"/>
      <c r="C118" s="32"/>
      <c r="D118" s="32" t="s">
        <v>822</v>
      </c>
      <c r="E118" s="38" t="s">
        <v>960</v>
      </c>
      <c r="F118" s="57" t="s">
        <v>798</v>
      </c>
      <c r="G118" s="41" t="s">
        <v>882</v>
      </c>
      <c r="H118" s="16"/>
    </row>
    <row r="119" spans="2:8" ht="14.25" customHeight="1">
      <c r="B119" s="766"/>
      <c r="C119" s="32"/>
      <c r="D119" s="32" t="s">
        <v>880</v>
      </c>
      <c r="E119" s="38" t="s">
        <v>961</v>
      </c>
      <c r="F119" s="57" t="s">
        <v>798</v>
      </c>
      <c r="G119" s="41" t="s">
        <v>882</v>
      </c>
      <c r="H119" s="16"/>
    </row>
    <row r="120" spans="2:8" ht="14.25" customHeight="1">
      <c r="B120" s="766"/>
      <c r="C120" s="32"/>
      <c r="D120" s="32" t="s">
        <v>962</v>
      </c>
      <c r="E120" s="38" t="s">
        <v>963</v>
      </c>
      <c r="F120" s="57" t="s">
        <v>798</v>
      </c>
      <c r="G120" s="41" t="s">
        <v>882</v>
      </c>
      <c r="H120" s="16"/>
    </row>
    <row r="121" spans="2:8" ht="14.25" customHeight="1">
      <c r="B121" s="766" t="s">
        <v>711</v>
      </c>
      <c r="C121" s="32"/>
      <c r="D121" s="32" t="s">
        <v>964</v>
      </c>
      <c r="E121" s="38" t="s">
        <v>922</v>
      </c>
      <c r="F121" s="57" t="s">
        <v>798</v>
      </c>
      <c r="G121" s="41" t="s">
        <v>882</v>
      </c>
      <c r="H121" s="16"/>
    </row>
    <row r="122" spans="2:8" ht="14.25" customHeight="1">
      <c r="B122" s="766"/>
      <c r="C122" s="32"/>
      <c r="D122" s="32" t="s">
        <v>965</v>
      </c>
      <c r="E122" s="38" t="s">
        <v>922</v>
      </c>
      <c r="F122" s="57" t="s">
        <v>798</v>
      </c>
      <c r="G122" s="41" t="s">
        <v>882</v>
      </c>
      <c r="H122" s="16"/>
    </row>
    <row r="123" spans="2:8" ht="14.25" customHeight="1">
      <c r="B123" s="766"/>
      <c r="C123" s="32"/>
      <c r="D123" s="32" t="s">
        <v>966</v>
      </c>
      <c r="E123" s="38" t="s">
        <v>967</v>
      </c>
      <c r="F123" s="57" t="s">
        <v>798</v>
      </c>
      <c r="G123" s="41" t="s">
        <v>882</v>
      </c>
      <c r="H123" s="16"/>
    </row>
    <row r="124" spans="2:8" ht="14.25" customHeight="1">
      <c r="B124" s="766"/>
      <c r="C124" s="32"/>
      <c r="D124" s="32" t="s">
        <v>381</v>
      </c>
      <c r="E124" s="38" t="s">
        <v>968</v>
      </c>
      <c r="F124" s="57" t="s">
        <v>798</v>
      </c>
      <c r="G124" s="41" t="s">
        <v>882</v>
      </c>
      <c r="H124" s="16"/>
    </row>
    <row r="125" spans="2:8" ht="14.25" customHeight="1">
      <c r="B125" s="766"/>
      <c r="C125" s="32"/>
      <c r="D125" s="32" t="s">
        <v>878</v>
      </c>
      <c r="E125" s="38" t="s">
        <v>969</v>
      </c>
      <c r="F125" s="57" t="s">
        <v>798</v>
      </c>
      <c r="G125" s="41" t="s">
        <v>882</v>
      </c>
      <c r="H125" s="16"/>
    </row>
    <row r="126" spans="2:8" ht="14.25" customHeight="1">
      <c r="B126" s="766" t="s">
        <v>714</v>
      </c>
      <c r="C126" s="32"/>
      <c r="D126" s="32" t="s">
        <v>964</v>
      </c>
      <c r="E126" s="38" t="s">
        <v>970</v>
      </c>
      <c r="F126" s="57" t="s">
        <v>798</v>
      </c>
      <c r="G126" s="41" t="s">
        <v>882</v>
      </c>
      <c r="H126" s="16"/>
    </row>
    <row r="127" spans="2:8" ht="14.25" customHeight="1">
      <c r="B127" s="766"/>
      <c r="C127" s="32"/>
      <c r="D127" s="32" t="s">
        <v>971</v>
      </c>
      <c r="E127" s="38" t="s">
        <v>972</v>
      </c>
      <c r="F127" s="57" t="s">
        <v>798</v>
      </c>
      <c r="G127" s="41" t="s">
        <v>935</v>
      </c>
      <c r="H127" s="16"/>
    </row>
    <row r="128" spans="2:8" ht="14.25" customHeight="1">
      <c r="B128" s="766"/>
      <c r="C128" s="32"/>
      <c r="D128" s="32" t="s">
        <v>799</v>
      </c>
      <c r="E128" s="38" t="s">
        <v>973</v>
      </c>
      <c r="F128" s="57" t="s">
        <v>943</v>
      </c>
      <c r="G128" s="41" t="s">
        <v>882</v>
      </c>
      <c r="H128" s="16"/>
    </row>
    <row r="129" spans="2:8" ht="14.25" customHeight="1">
      <c r="B129" s="766"/>
      <c r="C129" s="32"/>
      <c r="D129" s="32" t="s">
        <v>940</v>
      </c>
      <c r="E129" s="38" t="s">
        <v>974</v>
      </c>
      <c r="F129" s="57" t="s">
        <v>943</v>
      </c>
      <c r="G129" s="41" t="s">
        <v>882</v>
      </c>
      <c r="H129" s="16"/>
    </row>
    <row r="130" spans="2:8" ht="14.25" customHeight="1">
      <c r="B130" s="766"/>
      <c r="C130" s="32"/>
      <c r="D130" s="32" t="s">
        <v>597</v>
      </c>
      <c r="E130" s="38" t="s">
        <v>975</v>
      </c>
      <c r="F130" s="57" t="s">
        <v>798</v>
      </c>
      <c r="G130" s="41" t="s">
        <v>935</v>
      </c>
      <c r="H130" s="16"/>
    </row>
    <row r="131" spans="2:8" ht="14.25" customHeight="1">
      <c r="B131" s="766"/>
      <c r="C131" s="32"/>
      <c r="D131" s="32" t="s">
        <v>406</v>
      </c>
      <c r="E131" s="38" t="s">
        <v>976</v>
      </c>
      <c r="F131" s="57" t="s">
        <v>798</v>
      </c>
      <c r="G131" s="41" t="s">
        <v>935</v>
      </c>
      <c r="H131" s="16"/>
    </row>
    <row r="132" spans="2:8" ht="14.25" customHeight="1">
      <c r="B132" s="766"/>
      <c r="C132" s="32"/>
      <c r="D132" s="32" t="s">
        <v>301</v>
      </c>
      <c r="E132" s="38" t="s">
        <v>977</v>
      </c>
      <c r="F132" s="57" t="s">
        <v>943</v>
      </c>
      <c r="G132" s="41" t="s">
        <v>935</v>
      </c>
      <c r="H132" s="16"/>
    </row>
    <row r="133" spans="2:8" ht="14.25" customHeight="1">
      <c r="B133" s="766"/>
      <c r="C133" s="32"/>
      <c r="D133" s="32" t="s">
        <v>269</v>
      </c>
      <c r="E133" s="38" t="s">
        <v>978</v>
      </c>
      <c r="F133" s="57" t="s">
        <v>798</v>
      </c>
      <c r="G133" s="41" t="s">
        <v>935</v>
      </c>
      <c r="H133" s="16"/>
    </row>
    <row r="134" spans="2:8" ht="14.25" customHeight="1">
      <c r="B134" s="766"/>
      <c r="C134" s="32"/>
      <c r="D134" s="32" t="s">
        <v>279</v>
      </c>
      <c r="E134" s="38" t="s">
        <v>979</v>
      </c>
      <c r="F134" s="57" t="s">
        <v>798</v>
      </c>
      <c r="G134" s="41" t="s">
        <v>935</v>
      </c>
      <c r="H134" s="16"/>
    </row>
    <row r="135" spans="2:8" ht="14.25" customHeight="1">
      <c r="B135" s="766"/>
      <c r="C135" s="32"/>
      <c r="D135" s="32" t="s">
        <v>262</v>
      </c>
      <c r="E135" s="38" t="s">
        <v>980</v>
      </c>
      <c r="F135" s="57" t="s">
        <v>798</v>
      </c>
      <c r="G135" s="41" t="s">
        <v>935</v>
      </c>
      <c r="H135" s="16"/>
    </row>
    <row r="136" spans="2:8" ht="14.25" customHeight="1">
      <c r="B136" s="766"/>
      <c r="C136" s="32"/>
      <c r="D136" s="32" t="s">
        <v>266</v>
      </c>
      <c r="E136" s="38" t="s">
        <v>981</v>
      </c>
      <c r="F136" s="57" t="s">
        <v>798</v>
      </c>
      <c r="G136" s="41" t="s">
        <v>935</v>
      </c>
      <c r="H136" s="16"/>
    </row>
    <row r="137" spans="2:8" ht="14.25" customHeight="1">
      <c r="B137" s="766"/>
      <c r="C137" s="32"/>
      <c r="D137" s="32" t="s">
        <v>271</v>
      </c>
      <c r="E137" s="38" t="s">
        <v>982</v>
      </c>
      <c r="F137" s="57" t="s">
        <v>798</v>
      </c>
      <c r="G137" s="41" t="s">
        <v>935</v>
      </c>
      <c r="H137" s="16"/>
    </row>
    <row r="138" spans="2:8" ht="14.25" customHeight="1">
      <c r="B138" s="766"/>
      <c r="C138" s="32"/>
      <c r="D138" s="32" t="s">
        <v>481</v>
      </c>
      <c r="E138" s="38" t="s">
        <v>983</v>
      </c>
      <c r="F138" s="57" t="s">
        <v>943</v>
      </c>
      <c r="G138" s="41" t="s">
        <v>935</v>
      </c>
      <c r="H138" s="16"/>
    </row>
    <row r="139" spans="2:8" ht="14.25" hidden="1" customHeight="1">
      <c r="B139" s="766" t="s">
        <v>984</v>
      </c>
      <c r="C139" s="32"/>
      <c r="D139" s="32" t="s">
        <v>597</v>
      </c>
      <c r="E139" s="38" t="s">
        <v>975</v>
      </c>
      <c r="F139" s="57" t="s">
        <v>798</v>
      </c>
      <c r="G139" s="41">
        <v>1</v>
      </c>
      <c r="H139" s="16" t="s">
        <v>661</v>
      </c>
    </row>
    <row r="140" spans="2:8" ht="14.25" customHeight="1">
      <c r="B140" s="766"/>
      <c r="C140" s="32"/>
      <c r="D140" s="32" t="s">
        <v>381</v>
      </c>
      <c r="E140" s="38" t="s">
        <v>985</v>
      </c>
      <c r="F140" s="57" t="s">
        <v>798</v>
      </c>
      <c r="G140" s="41" t="s">
        <v>935</v>
      </c>
      <c r="H140" s="16" t="s">
        <v>528</v>
      </c>
    </row>
    <row r="141" spans="2:8" ht="14.25" customHeight="1">
      <c r="B141" s="766"/>
      <c r="C141" s="32"/>
      <c r="D141" s="32" t="s">
        <v>889</v>
      </c>
      <c r="E141" s="38" t="s">
        <v>986</v>
      </c>
      <c r="F141" s="57" t="s">
        <v>943</v>
      </c>
      <c r="G141" s="41" t="s">
        <v>882</v>
      </c>
      <c r="H141" s="16" t="s">
        <v>528</v>
      </c>
    </row>
    <row r="142" spans="2:8" ht="14.25" customHeight="1">
      <c r="B142" s="766"/>
      <c r="C142" s="32"/>
      <c r="D142" s="32" t="s">
        <v>887</v>
      </c>
      <c r="E142" s="38" t="s">
        <v>987</v>
      </c>
      <c r="F142" s="57" t="s">
        <v>798</v>
      </c>
      <c r="G142" s="41" t="s">
        <v>882</v>
      </c>
      <c r="H142" s="16" t="s">
        <v>527</v>
      </c>
    </row>
    <row r="143" spans="2:8" ht="14.25" customHeight="1">
      <c r="B143" s="766"/>
      <c r="C143" s="32"/>
      <c r="D143" s="32" t="s">
        <v>988</v>
      </c>
      <c r="E143" s="38" t="s">
        <v>989</v>
      </c>
      <c r="F143" s="57" t="s">
        <v>798</v>
      </c>
      <c r="G143" s="41" t="s">
        <v>935</v>
      </c>
      <c r="H143" s="16" t="s">
        <v>527</v>
      </c>
    </row>
    <row r="144" spans="2:8" ht="14.25" customHeight="1">
      <c r="B144" s="766">
        <v>46024</v>
      </c>
      <c r="C144" s="32"/>
      <c r="D144" s="32" t="s">
        <v>990</v>
      </c>
      <c r="E144" s="38" t="s">
        <v>970</v>
      </c>
      <c r="F144" s="57" t="s">
        <v>798</v>
      </c>
      <c r="G144" s="41" t="s">
        <v>935</v>
      </c>
      <c r="H144" s="16" t="s">
        <v>528</v>
      </c>
    </row>
    <row r="145" spans="2:8" ht="14.25" customHeight="1">
      <c r="B145" s="766"/>
      <c r="C145" s="32"/>
      <c r="D145" s="32" t="s">
        <v>878</v>
      </c>
      <c r="E145" s="38" t="s">
        <v>991</v>
      </c>
      <c r="F145" s="57" t="s">
        <v>798</v>
      </c>
      <c r="G145" s="41" t="s">
        <v>882</v>
      </c>
      <c r="H145" s="16" t="s">
        <v>528</v>
      </c>
    </row>
    <row r="146" spans="2:8" ht="14.25" customHeight="1">
      <c r="B146" s="766">
        <v>46025</v>
      </c>
      <c r="C146" s="32"/>
      <c r="D146" s="32" t="s">
        <v>990</v>
      </c>
      <c r="E146" s="38" t="s">
        <v>992</v>
      </c>
      <c r="F146" s="57" t="s">
        <v>943</v>
      </c>
      <c r="G146" s="41" t="s">
        <v>882</v>
      </c>
      <c r="H146" s="16" t="s">
        <v>528</v>
      </c>
    </row>
    <row r="147" spans="2:8" ht="14.25" customHeight="1">
      <c r="B147" s="766"/>
      <c r="C147" s="32"/>
      <c r="D147" s="32" t="s">
        <v>799</v>
      </c>
      <c r="E147" s="38" t="s">
        <v>993</v>
      </c>
      <c r="F147" s="57" t="s">
        <v>943</v>
      </c>
      <c r="G147" s="41" t="s">
        <v>882</v>
      </c>
      <c r="H147" s="16" t="s">
        <v>528</v>
      </c>
    </row>
    <row r="148" spans="2:8" ht="14.25" customHeight="1">
      <c r="B148" s="766"/>
      <c r="C148" s="32"/>
      <c r="D148" s="32" t="s">
        <v>368</v>
      </c>
      <c r="E148" s="38" t="s">
        <v>994</v>
      </c>
      <c r="F148" s="57" t="s">
        <v>798</v>
      </c>
      <c r="G148" s="41" t="s">
        <v>935</v>
      </c>
      <c r="H148" s="16" t="s">
        <v>527</v>
      </c>
    </row>
    <row r="149" spans="2:8" ht="14.25" customHeight="1">
      <c r="B149" s="766">
        <v>46143</v>
      </c>
      <c r="C149" s="32"/>
      <c r="D149" s="32" t="s">
        <v>995</v>
      </c>
      <c r="E149" s="38" t="s">
        <v>996</v>
      </c>
      <c r="F149" s="57" t="s">
        <v>798</v>
      </c>
      <c r="G149" s="41" t="s">
        <v>935</v>
      </c>
      <c r="H149" s="16" t="s">
        <v>527</v>
      </c>
    </row>
    <row r="150" spans="2:8" ht="14.25" customHeight="1">
      <c r="B150" s="766"/>
      <c r="C150" s="32"/>
      <c r="D150" s="32" t="s">
        <v>259</v>
      </c>
      <c r="E150" s="38" t="s">
        <v>997</v>
      </c>
      <c r="F150" s="57" t="s">
        <v>798</v>
      </c>
      <c r="G150" s="41" t="s">
        <v>935</v>
      </c>
      <c r="H150" s="16" t="s">
        <v>527</v>
      </c>
    </row>
    <row r="151" spans="2:8" ht="14.25" customHeight="1">
      <c r="B151" s="766"/>
      <c r="C151" s="32"/>
      <c r="D151" s="32" t="s">
        <v>990</v>
      </c>
      <c r="E151" s="38" t="s">
        <v>922</v>
      </c>
      <c r="F151" s="57" t="s">
        <v>798</v>
      </c>
      <c r="G151" s="41" t="s">
        <v>935</v>
      </c>
      <c r="H151" s="16" t="s">
        <v>527</v>
      </c>
    </row>
    <row r="152" spans="2:8" ht="14.25" customHeight="1">
      <c r="B152" s="766"/>
      <c r="C152" s="32"/>
      <c r="D152" s="32" t="s">
        <v>808</v>
      </c>
      <c r="E152" s="38" t="s">
        <v>998</v>
      </c>
      <c r="F152" s="57" t="s">
        <v>798</v>
      </c>
      <c r="G152" s="41" t="s">
        <v>882</v>
      </c>
      <c r="H152" s="16" t="s">
        <v>528</v>
      </c>
    </row>
    <row r="153" spans="2:8" ht="14.25" customHeight="1">
      <c r="B153" s="766"/>
      <c r="C153" s="32"/>
      <c r="D153" s="32" t="s">
        <v>262</v>
      </c>
      <c r="E153" s="38" t="s">
        <v>999</v>
      </c>
      <c r="F153" s="57" t="s">
        <v>798</v>
      </c>
      <c r="G153" s="41" t="s">
        <v>935</v>
      </c>
      <c r="H153" s="16" t="s">
        <v>528</v>
      </c>
    </row>
    <row r="154" spans="2:8" ht="14.25" customHeight="1">
      <c r="B154" s="766">
        <v>45663</v>
      </c>
      <c r="C154" s="32"/>
      <c r="D154" s="32" t="s">
        <v>921</v>
      </c>
      <c r="E154" s="38" t="s">
        <v>1000</v>
      </c>
      <c r="F154" s="57" t="s">
        <v>798</v>
      </c>
      <c r="G154" s="41" t="s">
        <v>882</v>
      </c>
      <c r="H154" s="16" t="s">
        <v>528</v>
      </c>
    </row>
    <row r="155" spans="2:8" ht="14.25" customHeight="1">
      <c r="B155" s="766"/>
      <c r="C155" s="32"/>
      <c r="D155" s="32" t="s">
        <v>900</v>
      </c>
      <c r="E155" s="38" t="s">
        <v>1001</v>
      </c>
      <c r="F155" s="57" t="s">
        <v>798</v>
      </c>
      <c r="G155" s="41" t="s">
        <v>935</v>
      </c>
      <c r="H155" s="16" t="s">
        <v>528</v>
      </c>
    </row>
    <row r="156" spans="2:8" ht="14.25" customHeight="1">
      <c r="B156" s="767">
        <v>46029</v>
      </c>
      <c r="C156" s="103"/>
      <c r="D156" s="103" t="s">
        <v>921</v>
      </c>
      <c r="E156" s="104" t="s">
        <v>1002</v>
      </c>
      <c r="F156" s="105" t="s">
        <v>798</v>
      </c>
      <c r="G156" s="106" t="s">
        <v>882</v>
      </c>
      <c r="H156" s="91" t="s">
        <v>528</v>
      </c>
    </row>
    <row r="157" spans="2:8" ht="14.25" customHeight="1">
      <c r="B157" s="69"/>
      <c r="C157" s="70"/>
      <c r="D157" s="32" t="s">
        <v>971</v>
      </c>
      <c r="E157" s="70" t="s">
        <v>1003</v>
      </c>
      <c r="F157" s="69" t="s">
        <v>798</v>
      </c>
      <c r="G157" s="70" t="s">
        <v>935</v>
      </c>
      <c r="H157" s="98" t="s">
        <v>528</v>
      </c>
    </row>
    <row r="158" spans="2:8" ht="14.25" customHeight="1">
      <c r="B158" s="69"/>
      <c r="C158" s="70"/>
      <c r="D158" s="98" t="s">
        <v>990</v>
      </c>
      <c r="E158" s="70" t="s">
        <v>1004</v>
      </c>
      <c r="F158" s="69" t="s">
        <v>798</v>
      </c>
      <c r="G158" s="70" t="s">
        <v>882</v>
      </c>
      <c r="H158" s="98" t="s">
        <v>528</v>
      </c>
    </row>
    <row r="159" spans="2:8" ht="14.25" customHeight="1">
      <c r="B159" s="69"/>
      <c r="C159" s="70"/>
      <c r="D159" s="98" t="s">
        <v>289</v>
      </c>
      <c r="E159" s="70" t="s">
        <v>1005</v>
      </c>
      <c r="F159" s="69" t="s">
        <v>798</v>
      </c>
      <c r="G159" s="70" t="s">
        <v>935</v>
      </c>
      <c r="H159" s="98" t="s">
        <v>527</v>
      </c>
    </row>
    <row r="160" spans="2:8" ht="14.25" customHeight="1">
      <c r="B160" s="69"/>
      <c r="C160" s="70"/>
      <c r="D160" s="98" t="s">
        <v>1006</v>
      </c>
      <c r="E160" s="70" t="s">
        <v>1007</v>
      </c>
      <c r="F160" s="69" t="s">
        <v>798</v>
      </c>
      <c r="G160" s="70" t="s">
        <v>935</v>
      </c>
      <c r="H160" s="98" t="s">
        <v>527</v>
      </c>
    </row>
    <row r="161" spans="2:8" ht="14.25" customHeight="1">
      <c r="B161" s="108">
        <v>46235</v>
      </c>
      <c r="C161" s="70"/>
      <c r="D161" s="98" t="s">
        <v>971</v>
      </c>
      <c r="E161" s="70" t="s">
        <v>1008</v>
      </c>
      <c r="F161" s="69" t="s">
        <v>798</v>
      </c>
      <c r="G161" s="70" t="s">
        <v>882</v>
      </c>
      <c r="H161" s="98" t="s">
        <v>528</v>
      </c>
    </row>
    <row r="162" spans="2:8" ht="14.25" customHeight="1">
      <c r="B162" s="69"/>
      <c r="C162" s="70"/>
      <c r="D162" s="98" t="s">
        <v>832</v>
      </c>
      <c r="E162" s="70" t="s">
        <v>1009</v>
      </c>
      <c r="F162" s="69" t="s">
        <v>1010</v>
      </c>
      <c r="G162" s="70" t="s">
        <v>935</v>
      </c>
      <c r="H162" s="98" t="s">
        <v>527</v>
      </c>
    </row>
    <row r="163" spans="2:8" ht="14.25" customHeight="1">
      <c r="B163" s="69"/>
      <c r="C163" s="70"/>
      <c r="D163" s="98" t="s">
        <v>1011</v>
      </c>
      <c r="E163" s="70" t="s">
        <v>1012</v>
      </c>
      <c r="F163" s="69" t="s">
        <v>943</v>
      </c>
      <c r="G163" s="70" t="s">
        <v>882</v>
      </c>
      <c r="H163" s="98" t="s">
        <v>528</v>
      </c>
    </row>
    <row r="164" spans="2:8" ht="14.25" customHeight="1">
      <c r="B164" s="69"/>
      <c r="C164" s="70"/>
      <c r="D164" s="98" t="s">
        <v>990</v>
      </c>
      <c r="E164" s="70" t="s">
        <v>960</v>
      </c>
      <c r="F164" s="69" t="s">
        <v>798</v>
      </c>
      <c r="G164" s="70" t="s">
        <v>882</v>
      </c>
      <c r="H164" s="98" t="s">
        <v>528</v>
      </c>
    </row>
    <row r="165" spans="2:8" ht="14.25" customHeight="1">
      <c r="B165" s="69"/>
      <c r="C165" s="70"/>
      <c r="D165" s="98" t="s">
        <v>301</v>
      </c>
      <c r="E165" s="70" t="s">
        <v>1013</v>
      </c>
      <c r="F165" s="69" t="s">
        <v>798</v>
      </c>
      <c r="G165" s="70" t="s">
        <v>935</v>
      </c>
      <c r="H165" s="98" t="s">
        <v>527</v>
      </c>
    </row>
    <row r="166" spans="2:8" ht="14.25" customHeight="1">
      <c r="B166" s="108">
        <v>46266</v>
      </c>
      <c r="C166" s="70"/>
      <c r="D166" s="98" t="s">
        <v>808</v>
      </c>
      <c r="E166" s="70" t="s">
        <v>1014</v>
      </c>
      <c r="F166" s="69" t="s">
        <v>798</v>
      </c>
      <c r="G166" s="70" t="s">
        <v>935</v>
      </c>
      <c r="H166" s="98" t="s">
        <v>527</v>
      </c>
    </row>
    <row r="167" spans="2:8" ht="14.25" customHeight="1">
      <c r="B167" s="69"/>
      <c r="C167" s="70"/>
      <c r="D167" s="98" t="s">
        <v>887</v>
      </c>
      <c r="E167" s="70" t="s">
        <v>1015</v>
      </c>
      <c r="F167" s="69" t="s">
        <v>798</v>
      </c>
      <c r="G167" s="70" t="s">
        <v>882</v>
      </c>
      <c r="H167" s="98" t="s">
        <v>528</v>
      </c>
    </row>
    <row r="168" spans="2:8" ht="14.25" customHeight="1">
      <c r="B168" s="69"/>
      <c r="C168" s="70"/>
      <c r="D168" s="98" t="s">
        <v>995</v>
      </c>
      <c r="E168" s="70" t="s">
        <v>1016</v>
      </c>
      <c r="F168" s="69" t="s">
        <v>798</v>
      </c>
      <c r="G168" s="70" t="s">
        <v>935</v>
      </c>
      <c r="H168" s="98" t="s">
        <v>527</v>
      </c>
    </row>
    <row r="169" spans="2:8" ht="14.25" customHeight="1">
      <c r="B169" s="69"/>
      <c r="C169" s="70"/>
      <c r="D169" s="98" t="s">
        <v>289</v>
      </c>
      <c r="E169" s="70" t="s">
        <v>1017</v>
      </c>
      <c r="F169" s="69" t="s">
        <v>798</v>
      </c>
      <c r="G169" s="70" t="s">
        <v>935</v>
      </c>
      <c r="H169" s="98" t="s">
        <v>527</v>
      </c>
    </row>
    <row r="170" spans="2:8" ht="14.25" customHeight="1">
      <c r="B170" s="108">
        <v>46296</v>
      </c>
      <c r="C170" s="70"/>
      <c r="D170" s="98" t="s">
        <v>1011</v>
      </c>
      <c r="E170" s="70" t="s">
        <v>1012</v>
      </c>
      <c r="F170" s="69" t="s">
        <v>943</v>
      </c>
      <c r="G170" s="70" t="s">
        <v>935</v>
      </c>
      <c r="H170" s="98" t="s">
        <v>527</v>
      </c>
    </row>
    <row r="171" spans="2:8" ht="14.25" customHeight="1">
      <c r="B171" s="69"/>
      <c r="C171" s="70"/>
      <c r="D171" s="98" t="s">
        <v>1018</v>
      </c>
      <c r="E171" s="70" t="s">
        <v>1019</v>
      </c>
      <c r="F171" s="69" t="s">
        <v>798</v>
      </c>
      <c r="G171" s="70" t="s">
        <v>935</v>
      </c>
      <c r="H171" s="98" t="s">
        <v>528</v>
      </c>
    </row>
    <row r="172" spans="2:8" ht="14.25" customHeight="1">
      <c r="B172" s="69"/>
      <c r="C172" s="70"/>
      <c r="D172" s="98" t="s">
        <v>299</v>
      </c>
      <c r="E172" s="70" t="s">
        <v>1020</v>
      </c>
      <c r="F172" s="69" t="s">
        <v>798</v>
      </c>
      <c r="G172" s="70" t="s">
        <v>882</v>
      </c>
      <c r="H172" s="98" t="s">
        <v>527</v>
      </c>
    </row>
    <row r="173" spans="2:8" ht="14.25" customHeight="1">
      <c r="B173" s="69"/>
      <c r="C173" s="70"/>
      <c r="D173" s="98" t="s">
        <v>1021</v>
      </c>
      <c r="E173" s="70" t="s">
        <v>1022</v>
      </c>
      <c r="F173" s="69" t="s">
        <v>798</v>
      </c>
      <c r="G173" s="70" t="s">
        <v>882</v>
      </c>
      <c r="H173" s="98" t="s">
        <v>528</v>
      </c>
    </row>
    <row r="174" spans="2:8" ht="14.25" customHeight="1">
      <c r="B174" s="69"/>
      <c r="C174" s="70"/>
      <c r="D174" s="98" t="s">
        <v>1023</v>
      </c>
      <c r="E174" s="70" t="s">
        <v>1024</v>
      </c>
      <c r="F174" s="69" t="s">
        <v>955</v>
      </c>
      <c r="G174" s="70" t="s">
        <v>882</v>
      </c>
      <c r="H174" s="98" t="s">
        <v>527</v>
      </c>
    </row>
    <row r="175" spans="2:8" ht="14.25" customHeight="1">
      <c r="B175" s="113">
        <v>46357</v>
      </c>
      <c r="C175" s="99"/>
      <c r="D175" s="100" t="s">
        <v>1025</v>
      </c>
      <c r="E175" s="99" t="s">
        <v>1026</v>
      </c>
      <c r="F175" s="101" t="s">
        <v>798</v>
      </c>
      <c r="G175" s="99" t="s">
        <v>935</v>
      </c>
      <c r="H175" s="100" t="s">
        <v>527</v>
      </c>
    </row>
    <row r="176" spans="2:8" ht="14.25" customHeight="1">
      <c r="B176" s="69"/>
      <c r="C176" s="70"/>
      <c r="D176" s="69" t="s">
        <v>269</v>
      </c>
      <c r="E176" s="70" t="s">
        <v>903</v>
      </c>
      <c r="F176" s="101" t="s">
        <v>798</v>
      </c>
      <c r="G176" s="70" t="s">
        <v>935</v>
      </c>
      <c r="H176" s="98" t="s">
        <v>528</v>
      </c>
    </row>
    <row r="177" spans="2:8" ht="14.25" customHeight="1">
      <c r="B177" s="69"/>
      <c r="C177" s="70"/>
      <c r="D177" s="69" t="s">
        <v>262</v>
      </c>
      <c r="E177" s="70" t="s">
        <v>1027</v>
      </c>
      <c r="F177" s="101" t="s">
        <v>798</v>
      </c>
      <c r="G177" s="70" t="s">
        <v>935</v>
      </c>
      <c r="H177" s="98" t="s">
        <v>528</v>
      </c>
    </row>
    <row r="178" spans="2:8" ht="14.25" customHeight="1">
      <c r="B178" s="69"/>
      <c r="C178" s="70"/>
      <c r="D178" s="69" t="s">
        <v>292</v>
      </c>
      <c r="E178" s="70" t="s">
        <v>976</v>
      </c>
      <c r="F178" s="101" t="s">
        <v>798</v>
      </c>
      <c r="G178" s="70" t="s">
        <v>935</v>
      </c>
      <c r="H178" s="98" t="s">
        <v>528</v>
      </c>
    </row>
    <row r="179" spans="2:8" ht="14.25" customHeight="1">
      <c r="B179" s="101"/>
      <c r="C179" s="99"/>
      <c r="D179" s="101" t="s">
        <v>958</v>
      </c>
      <c r="E179" s="112" t="s">
        <v>1028</v>
      </c>
      <c r="F179" s="101" t="s">
        <v>798</v>
      </c>
      <c r="G179" s="79" t="s">
        <v>935</v>
      </c>
      <c r="H179" s="100" t="s">
        <v>527</v>
      </c>
    </row>
    <row r="180" spans="2:8" ht="14.25" customHeight="1">
      <c r="B180" s="108" t="s">
        <v>1029</v>
      </c>
      <c r="C180" s="70"/>
      <c r="D180" s="70" t="s">
        <v>259</v>
      </c>
      <c r="E180" s="70" t="s">
        <v>1030</v>
      </c>
      <c r="F180" s="101" t="s">
        <v>798</v>
      </c>
      <c r="G180" s="70" t="s">
        <v>935</v>
      </c>
      <c r="H180" s="98" t="s">
        <v>528</v>
      </c>
    </row>
    <row r="181" spans="2:8" ht="14.25" customHeight="1">
      <c r="B181" s="69"/>
      <c r="C181" s="70"/>
      <c r="D181" s="70" t="s">
        <v>900</v>
      </c>
      <c r="E181" s="70" t="s">
        <v>1001</v>
      </c>
      <c r="F181" s="101" t="s">
        <v>798</v>
      </c>
      <c r="G181" s="70" t="s">
        <v>935</v>
      </c>
      <c r="H181" s="98" t="s">
        <v>527</v>
      </c>
    </row>
    <row r="182" spans="2:8" ht="14.25" customHeight="1">
      <c r="B182" s="69"/>
      <c r="C182" s="70"/>
      <c r="D182" s="70" t="s">
        <v>1031</v>
      </c>
      <c r="E182" s="70" t="s">
        <v>1001</v>
      </c>
      <c r="F182" s="101" t="s">
        <v>798</v>
      </c>
      <c r="G182" s="70" t="s">
        <v>935</v>
      </c>
      <c r="H182" s="98" t="s">
        <v>527</v>
      </c>
    </row>
    <row r="183" spans="2:8" ht="14.25" customHeight="1">
      <c r="B183" s="69"/>
      <c r="C183" s="70"/>
      <c r="D183" s="70" t="s">
        <v>1032</v>
      </c>
      <c r="E183" s="70" t="s">
        <v>1033</v>
      </c>
      <c r="F183" s="101" t="s">
        <v>798</v>
      </c>
      <c r="G183" s="70" t="s">
        <v>935</v>
      </c>
      <c r="H183" s="98" t="s">
        <v>527</v>
      </c>
    </row>
    <row r="184" spans="2:8" ht="14.25" customHeight="1">
      <c r="B184" s="69"/>
      <c r="C184" s="70"/>
      <c r="D184" s="70" t="s">
        <v>294</v>
      </c>
      <c r="E184" s="70" t="s">
        <v>1034</v>
      </c>
      <c r="F184" s="101" t="s">
        <v>798</v>
      </c>
      <c r="G184" s="70" t="s">
        <v>935</v>
      </c>
      <c r="H184" s="98" t="s">
        <v>527</v>
      </c>
    </row>
    <row r="185" spans="2:8" ht="14.25" customHeight="1">
      <c r="B185" s="101"/>
      <c r="C185" s="99"/>
      <c r="D185" s="99" t="s">
        <v>1035</v>
      </c>
      <c r="E185" s="99" t="s">
        <v>1036</v>
      </c>
      <c r="F185" s="101" t="s">
        <v>798</v>
      </c>
      <c r="G185" s="99" t="s">
        <v>935</v>
      </c>
      <c r="H185" s="100" t="s">
        <v>528</v>
      </c>
    </row>
    <row r="186" spans="2:8" ht="14.25" customHeight="1">
      <c r="B186" s="69" t="s">
        <v>1037</v>
      </c>
      <c r="C186" s="70"/>
      <c r="D186" s="70" t="s">
        <v>1038</v>
      </c>
      <c r="E186" s="70" t="s">
        <v>1039</v>
      </c>
      <c r="F186" s="69" t="s">
        <v>798</v>
      </c>
      <c r="G186" s="70" t="s">
        <v>882</v>
      </c>
      <c r="H186" s="98" t="s">
        <v>528</v>
      </c>
    </row>
    <row r="187" spans="2:8" ht="14.25" customHeight="1">
      <c r="B187" s="69"/>
      <c r="C187" s="70"/>
      <c r="D187" s="70" t="s">
        <v>1040</v>
      </c>
      <c r="E187" s="70" t="s">
        <v>1041</v>
      </c>
      <c r="F187" s="69" t="s">
        <v>798</v>
      </c>
      <c r="G187" s="70" t="s">
        <v>882</v>
      </c>
      <c r="H187" s="98" t="s">
        <v>527</v>
      </c>
    </row>
    <row r="188" spans="2:8" ht="14.25" customHeight="1">
      <c r="B188" s="69"/>
      <c r="C188" s="70"/>
      <c r="D188" s="70" t="s">
        <v>887</v>
      </c>
      <c r="E188" s="70" t="s">
        <v>987</v>
      </c>
      <c r="F188" s="69" t="s">
        <v>798</v>
      </c>
      <c r="G188" s="70" t="s">
        <v>882</v>
      </c>
      <c r="H188" s="98" t="s">
        <v>528</v>
      </c>
    </row>
    <row r="189" spans="2:8" ht="14.25" customHeight="1">
      <c r="B189" s="69"/>
      <c r="C189" s="70"/>
      <c r="D189" s="70" t="s">
        <v>271</v>
      </c>
      <c r="E189" s="70" t="s">
        <v>1042</v>
      </c>
      <c r="F189" s="69" t="s">
        <v>798</v>
      </c>
      <c r="G189" s="70" t="s">
        <v>882</v>
      </c>
      <c r="H189" s="98" t="s">
        <v>528</v>
      </c>
    </row>
    <row r="190" spans="2:8" ht="14.25" customHeight="1">
      <c r="B190" s="69" t="s">
        <v>1043</v>
      </c>
      <c r="C190" s="70"/>
      <c r="D190" s="70" t="s">
        <v>799</v>
      </c>
      <c r="E190" s="70" t="s">
        <v>1044</v>
      </c>
      <c r="F190" s="69" t="s">
        <v>798</v>
      </c>
      <c r="G190" s="70" t="s">
        <v>882</v>
      </c>
      <c r="H190" s="98" t="s">
        <v>528</v>
      </c>
    </row>
    <row r="191" spans="2:8" ht="14.25" customHeight="1">
      <c r="B191" s="101"/>
      <c r="C191" s="99"/>
      <c r="D191" s="99" t="s">
        <v>1045</v>
      </c>
      <c r="E191" s="99" t="s">
        <v>1022</v>
      </c>
      <c r="F191" s="101" t="s">
        <v>798</v>
      </c>
      <c r="G191" s="99" t="s">
        <v>882</v>
      </c>
      <c r="H191" s="100" t="s">
        <v>527</v>
      </c>
    </row>
    <row r="192" spans="2:8" ht="14.25" customHeight="1">
      <c r="B192" s="69"/>
      <c r="C192" s="70"/>
      <c r="D192" s="70"/>
      <c r="E192" s="70"/>
      <c r="F192" s="69"/>
      <c r="G192" s="70"/>
      <c r="H192" s="98"/>
    </row>
    <row r="193" spans="2:9" ht="14.25" customHeight="1">
      <c r="B193" s="69" t="s">
        <v>551</v>
      </c>
      <c r="C193" s="70"/>
      <c r="D193" s="70" t="s">
        <v>990</v>
      </c>
      <c r="E193" s="70" t="s">
        <v>970</v>
      </c>
      <c r="F193" s="101" t="s">
        <v>798</v>
      </c>
      <c r="G193" s="99" t="s">
        <v>882</v>
      </c>
      <c r="H193" s="98" t="s">
        <v>528</v>
      </c>
    </row>
    <row r="194" spans="2:9" ht="14.25" customHeight="1">
      <c r="B194" s="69"/>
      <c r="C194" s="70"/>
      <c r="D194" s="70" t="s">
        <v>1046</v>
      </c>
      <c r="E194" s="70" t="s">
        <v>1047</v>
      </c>
      <c r="F194" s="101" t="s">
        <v>798</v>
      </c>
      <c r="G194" s="99" t="s">
        <v>882</v>
      </c>
      <c r="H194" s="98" t="s">
        <v>527</v>
      </c>
    </row>
    <row r="195" spans="2:9" ht="14.25" customHeight="1">
      <c r="B195" s="101"/>
      <c r="C195" s="99"/>
      <c r="D195" s="99" t="s">
        <v>289</v>
      </c>
      <c r="E195" s="99" t="s">
        <v>1048</v>
      </c>
      <c r="F195" s="101" t="s">
        <v>798</v>
      </c>
      <c r="G195" s="99" t="s">
        <v>882</v>
      </c>
      <c r="H195" s="100" t="s">
        <v>527</v>
      </c>
    </row>
    <row r="196" spans="2:9" ht="14.25" customHeight="1">
      <c r="B196" s="69"/>
      <c r="C196" s="70"/>
      <c r="D196" s="70" t="s">
        <v>847</v>
      </c>
      <c r="E196" s="70" t="s">
        <v>1049</v>
      </c>
      <c r="F196" s="101" t="s">
        <v>798</v>
      </c>
      <c r="G196" s="99" t="s">
        <v>882</v>
      </c>
      <c r="H196" s="98" t="s">
        <v>527</v>
      </c>
      <c r="I196" s="70"/>
    </row>
    <row r="197" spans="2:9" ht="14.25" customHeight="1">
      <c r="B197" s="69" t="s">
        <v>1050</v>
      </c>
      <c r="C197" s="70"/>
      <c r="D197" s="70" t="s">
        <v>799</v>
      </c>
      <c r="E197" s="70" t="s">
        <v>1051</v>
      </c>
      <c r="F197" s="101" t="s">
        <v>798</v>
      </c>
      <c r="G197" s="99" t="s">
        <v>882</v>
      </c>
      <c r="H197" s="98" t="s">
        <v>528</v>
      </c>
      <c r="I197" s="70"/>
    </row>
    <row r="198" spans="2:9" ht="14.25" customHeight="1">
      <c r="B198" s="69"/>
      <c r="C198" s="70"/>
      <c r="D198" s="70" t="s">
        <v>1052</v>
      </c>
      <c r="E198" s="70" t="s">
        <v>968</v>
      </c>
      <c r="F198" s="101" t="s">
        <v>798</v>
      </c>
      <c r="G198" s="99" t="s">
        <v>882</v>
      </c>
      <c r="H198" s="98" t="s">
        <v>527</v>
      </c>
      <c r="I198" s="70"/>
    </row>
    <row r="199" spans="2:9" ht="14.25" customHeight="1">
      <c r="B199" s="69"/>
      <c r="C199" s="70"/>
      <c r="D199" s="70" t="s">
        <v>1038</v>
      </c>
      <c r="E199" s="70" t="s">
        <v>1053</v>
      </c>
      <c r="F199" s="101" t="s">
        <v>798</v>
      </c>
      <c r="G199" s="99" t="s">
        <v>882</v>
      </c>
      <c r="H199" s="98" t="s">
        <v>528</v>
      </c>
      <c r="I199" s="70"/>
    </row>
    <row r="200" spans="2:9" ht="14.25" customHeight="1">
      <c r="B200" s="69"/>
      <c r="C200" s="70"/>
      <c r="D200" s="70" t="s">
        <v>599</v>
      </c>
      <c r="E200" s="70" t="s">
        <v>1013</v>
      </c>
      <c r="F200" s="69" t="s">
        <v>798</v>
      </c>
      <c r="G200" s="70" t="s">
        <v>935</v>
      </c>
      <c r="H200" s="98" t="s">
        <v>528</v>
      </c>
      <c r="I200" s="70"/>
    </row>
    <row r="201" spans="2:9" ht="14.25" customHeight="1">
      <c r="B201" s="69"/>
      <c r="C201" s="70"/>
      <c r="D201" s="70" t="s">
        <v>818</v>
      </c>
      <c r="E201" s="70" t="s">
        <v>1054</v>
      </c>
      <c r="F201" s="69" t="s">
        <v>798</v>
      </c>
      <c r="G201" s="70" t="s">
        <v>882</v>
      </c>
      <c r="H201" s="98" t="s">
        <v>527</v>
      </c>
      <c r="I201" s="70"/>
    </row>
    <row r="202" spans="2:9" ht="14.25" customHeight="1">
      <c r="B202" s="69" t="s">
        <v>1055</v>
      </c>
      <c r="C202" s="70"/>
      <c r="D202" s="70" t="s">
        <v>376</v>
      </c>
      <c r="E202" s="70" t="s">
        <v>1056</v>
      </c>
      <c r="F202" s="69" t="s">
        <v>798</v>
      </c>
      <c r="G202" s="70" t="s">
        <v>935</v>
      </c>
      <c r="H202" s="98" t="s">
        <v>527</v>
      </c>
      <c r="I202" s="70"/>
    </row>
    <row r="203" spans="2:9" ht="14.25" customHeight="1">
      <c r="B203" s="69"/>
      <c r="C203" s="70"/>
      <c r="D203" s="70" t="s">
        <v>406</v>
      </c>
      <c r="E203" s="70" t="s">
        <v>1057</v>
      </c>
      <c r="F203" s="69" t="s">
        <v>798</v>
      </c>
      <c r="G203" s="70" t="s">
        <v>882</v>
      </c>
      <c r="H203" s="98" t="s">
        <v>528</v>
      </c>
      <c r="I203" s="70"/>
    </row>
    <row r="204" spans="2:9" ht="14.25" customHeight="1">
      <c r="B204" s="101"/>
      <c r="C204" s="99"/>
      <c r="D204" s="99" t="s">
        <v>885</v>
      </c>
      <c r="E204" s="99" t="s">
        <v>1058</v>
      </c>
      <c r="F204" s="101" t="s">
        <v>798</v>
      </c>
      <c r="G204" s="99" t="s">
        <v>882</v>
      </c>
      <c r="H204" s="100" t="s">
        <v>527</v>
      </c>
      <c r="I204" s="99"/>
    </row>
    <row r="205" spans="2:9" ht="14.25" customHeight="1">
      <c r="B205" s="69" t="s">
        <v>1059</v>
      </c>
      <c r="C205" s="70"/>
      <c r="D205" s="70" t="s">
        <v>995</v>
      </c>
      <c r="E205" s="70" t="s">
        <v>780</v>
      </c>
      <c r="F205" s="69" t="s">
        <v>798</v>
      </c>
      <c r="G205" s="70" t="s">
        <v>935</v>
      </c>
      <c r="H205" s="98" t="s">
        <v>528</v>
      </c>
      <c r="I205" s="70"/>
    </row>
    <row r="206" spans="2:9" ht="14.25" customHeight="1">
      <c r="B206" s="69"/>
      <c r="C206" s="70"/>
      <c r="D206" s="70" t="s">
        <v>1060</v>
      </c>
      <c r="E206" s="70" t="s">
        <v>1061</v>
      </c>
      <c r="F206" s="69" t="s">
        <v>798</v>
      </c>
      <c r="G206" s="70" t="s">
        <v>935</v>
      </c>
      <c r="H206" s="98" t="s">
        <v>528</v>
      </c>
      <c r="I206" s="70"/>
    </row>
    <row r="207" spans="2:9" ht="14.25" customHeight="1">
      <c r="B207" s="69"/>
      <c r="C207" s="70"/>
      <c r="D207" s="70" t="s">
        <v>880</v>
      </c>
      <c r="E207" s="70" t="s">
        <v>1062</v>
      </c>
      <c r="F207" s="69" t="s">
        <v>798</v>
      </c>
      <c r="G207" s="70" t="s">
        <v>882</v>
      </c>
      <c r="H207" s="98" t="s">
        <v>527</v>
      </c>
      <c r="I207" s="70"/>
    </row>
    <row r="208" spans="2:9" ht="14.25" customHeight="1">
      <c r="B208" s="69"/>
      <c r="C208" s="70"/>
      <c r="D208" s="70" t="s">
        <v>1063</v>
      </c>
      <c r="E208" s="70" t="s">
        <v>1064</v>
      </c>
      <c r="F208" s="69" t="s">
        <v>798</v>
      </c>
      <c r="G208" s="70" t="s">
        <v>935</v>
      </c>
      <c r="H208" s="98" t="s">
        <v>527</v>
      </c>
      <c r="I208" s="70"/>
    </row>
    <row r="209" spans="2:9" ht="14.25" customHeight="1">
      <c r="B209" s="69"/>
      <c r="C209" s="70"/>
      <c r="D209" s="70" t="s">
        <v>863</v>
      </c>
      <c r="E209" s="70" t="s">
        <v>1065</v>
      </c>
      <c r="F209" s="69" t="s">
        <v>798</v>
      </c>
      <c r="G209" s="70" t="s">
        <v>882</v>
      </c>
      <c r="H209" s="98" t="s">
        <v>527</v>
      </c>
      <c r="I209" s="70"/>
    </row>
    <row r="210" spans="2:9" ht="14.25" customHeight="1">
      <c r="B210" s="69" t="s">
        <v>1066</v>
      </c>
      <c r="C210" s="70"/>
      <c r="D210" s="70" t="s">
        <v>1067</v>
      </c>
      <c r="E210" s="70" t="s">
        <v>1068</v>
      </c>
      <c r="F210" s="69" t="s">
        <v>798</v>
      </c>
      <c r="G210" s="70" t="s">
        <v>882</v>
      </c>
      <c r="H210" s="98" t="s">
        <v>527</v>
      </c>
      <c r="I210" s="70"/>
    </row>
    <row r="211" spans="2:9" ht="14.25" customHeight="1">
      <c r="B211" s="69"/>
      <c r="C211" s="70"/>
      <c r="D211" s="70" t="s">
        <v>1069</v>
      </c>
      <c r="E211" s="70" t="s">
        <v>1070</v>
      </c>
      <c r="F211" s="69" t="s">
        <v>798</v>
      </c>
      <c r="G211" s="70" t="s">
        <v>882</v>
      </c>
      <c r="H211" s="98" t="s">
        <v>528</v>
      </c>
      <c r="I211" s="70"/>
    </row>
    <row r="212" spans="2:9" ht="14.25" customHeight="1">
      <c r="B212" s="69"/>
      <c r="C212" s="70"/>
      <c r="D212" s="70" t="s">
        <v>367</v>
      </c>
      <c r="E212" s="70" t="s">
        <v>1071</v>
      </c>
      <c r="F212" s="69" t="s">
        <v>798</v>
      </c>
      <c r="G212" s="70" t="s">
        <v>882</v>
      </c>
      <c r="H212" s="98" t="s">
        <v>527</v>
      </c>
      <c r="I212" s="70"/>
    </row>
    <row r="213" spans="2:9" ht="14.25" customHeight="1">
      <c r="B213" s="69"/>
      <c r="C213" s="70"/>
      <c r="D213" s="70" t="s">
        <v>1072</v>
      </c>
      <c r="E213" s="70" t="s">
        <v>1065</v>
      </c>
      <c r="F213" s="69" t="s">
        <v>798</v>
      </c>
      <c r="G213" s="70" t="s">
        <v>882</v>
      </c>
      <c r="H213" s="98" t="s">
        <v>527</v>
      </c>
      <c r="I213" s="70"/>
    </row>
    <row r="214" spans="2:9" ht="14.25" customHeight="1">
      <c r="B214" s="69"/>
      <c r="C214" s="70"/>
      <c r="D214" s="70" t="s">
        <v>1060</v>
      </c>
      <c r="E214" s="70" t="s">
        <v>1073</v>
      </c>
      <c r="F214" s="69" t="s">
        <v>798</v>
      </c>
      <c r="G214" s="70" t="s">
        <v>882</v>
      </c>
      <c r="H214" s="98" t="s">
        <v>527</v>
      </c>
      <c r="I214" s="70"/>
    </row>
    <row r="215" spans="2:9" ht="14.25" customHeight="1">
      <c r="B215" s="69" t="s">
        <v>1074</v>
      </c>
      <c r="C215" s="70"/>
      <c r="D215" s="70" t="s">
        <v>1075</v>
      </c>
      <c r="E215" s="70" t="s">
        <v>1076</v>
      </c>
      <c r="F215" s="69" t="s">
        <v>798</v>
      </c>
      <c r="G215" s="70" t="s">
        <v>882</v>
      </c>
      <c r="H215" s="98" t="s">
        <v>527</v>
      </c>
      <c r="I215" s="70"/>
    </row>
    <row r="216" spans="2:9" ht="14.25" customHeight="1">
      <c r="B216" s="69"/>
      <c r="C216" s="70"/>
      <c r="D216" s="70" t="s">
        <v>294</v>
      </c>
      <c r="E216" s="70" t="s">
        <v>1013</v>
      </c>
      <c r="F216" s="69" t="s">
        <v>798</v>
      </c>
      <c r="G216" s="70" t="s">
        <v>882</v>
      </c>
      <c r="H216" s="98" t="s">
        <v>527</v>
      </c>
      <c r="I216" s="70"/>
    </row>
    <row r="217" spans="2:9" ht="14.25" customHeight="1">
      <c r="B217" s="69"/>
      <c r="C217" s="70"/>
      <c r="D217" s="70" t="s">
        <v>1077</v>
      </c>
      <c r="E217" s="70" t="s">
        <v>827</v>
      </c>
      <c r="F217" s="69" t="s">
        <v>798</v>
      </c>
      <c r="G217" s="70" t="s">
        <v>882</v>
      </c>
      <c r="H217" s="98" t="s">
        <v>527</v>
      </c>
      <c r="I217" s="70"/>
    </row>
    <row r="218" spans="2:9" ht="14.25" customHeight="1">
      <c r="B218" s="69" t="s">
        <v>1078</v>
      </c>
      <c r="C218" s="70"/>
      <c r="D218" s="70" t="s">
        <v>406</v>
      </c>
      <c r="E218" s="70" t="s">
        <v>1079</v>
      </c>
      <c r="F218" s="69" t="s">
        <v>798</v>
      </c>
      <c r="G218" s="70" t="s">
        <v>935</v>
      </c>
      <c r="H218" s="98" t="s">
        <v>528</v>
      </c>
      <c r="I218" s="70"/>
    </row>
    <row r="219" spans="2:9" ht="14.25" customHeight="1">
      <c r="B219" s="69"/>
      <c r="C219" s="70"/>
      <c r="D219" s="70" t="s">
        <v>294</v>
      </c>
      <c r="E219" s="70" t="s">
        <v>1080</v>
      </c>
      <c r="F219" s="69" t="s">
        <v>798</v>
      </c>
      <c r="G219" s="70" t="s">
        <v>935</v>
      </c>
      <c r="H219" s="98" t="s">
        <v>528</v>
      </c>
      <c r="I219" s="70"/>
    </row>
    <row r="220" spans="2:9" ht="14.25" customHeight="1">
      <c r="B220" s="69"/>
      <c r="C220" s="70"/>
      <c r="D220" s="70" t="s">
        <v>889</v>
      </c>
      <c r="E220" s="70" t="s">
        <v>1012</v>
      </c>
      <c r="F220" s="69" t="s">
        <v>943</v>
      </c>
      <c r="G220" s="70" t="s">
        <v>882</v>
      </c>
      <c r="H220" s="98" t="s">
        <v>528</v>
      </c>
      <c r="I220" s="70"/>
    </row>
    <row r="221" spans="2:9" ht="14.25" customHeight="1">
      <c r="B221" s="69" t="s">
        <v>1081</v>
      </c>
      <c r="C221" s="70"/>
      <c r="D221" s="70" t="s">
        <v>380</v>
      </c>
      <c r="E221" s="70" t="s">
        <v>1082</v>
      </c>
      <c r="F221" s="69" t="s">
        <v>798</v>
      </c>
      <c r="G221" s="70" t="s">
        <v>935</v>
      </c>
      <c r="H221" s="98" t="s">
        <v>527</v>
      </c>
      <c r="I221" s="70"/>
    </row>
    <row r="222" spans="2:9" ht="14.25" customHeight="1">
      <c r="B222" s="69"/>
      <c r="C222" s="70"/>
      <c r="D222" s="70" t="s">
        <v>1083</v>
      </c>
      <c r="E222" s="70" t="s">
        <v>1084</v>
      </c>
      <c r="F222" s="69" t="s">
        <v>798</v>
      </c>
      <c r="G222" s="70" t="s">
        <v>935</v>
      </c>
      <c r="H222" s="98" t="s">
        <v>527</v>
      </c>
      <c r="I222" s="70"/>
    </row>
    <row r="223" spans="2:9" ht="14.25" customHeight="1">
      <c r="B223" s="69"/>
      <c r="C223" s="70"/>
      <c r="D223" s="70" t="s">
        <v>597</v>
      </c>
      <c r="E223" s="70" t="s">
        <v>1085</v>
      </c>
      <c r="F223" s="69" t="s">
        <v>1086</v>
      </c>
      <c r="G223" s="70" t="s">
        <v>935</v>
      </c>
      <c r="H223" s="98" t="s">
        <v>527</v>
      </c>
      <c r="I223" s="70"/>
    </row>
    <row r="224" spans="2:9" ht="14.25" customHeight="1">
      <c r="B224" s="69" t="s">
        <v>1087</v>
      </c>
      <c r="C224" s="70"/>
      <c r="D224" s="70" t="s">
        <v>1088</v>
      </c>
      <c r="E224" s="70" t="s">
        <v>827</v>
      </c>
      <c r="F224" s="69" t="s">
        <v>798</v>
      </c>
      <c r="G224" s="70" t="s">
        <v>882</v>
      </c>
      <c r="H224" s="98" t="s">
        <v>528</v>
      </c>
      <c r="I224" s="70"/>
    </row>
    <row r="225" spans="2:9" ht="14.25" customHeight="1">
      <c r="B225" s="69"/>
      <c r="C225" s="70"/>
      <c r="D225" s="70" t="s">
        <v>822</v>
      </c>
      <c r="E225" s="70" t="s">
        <v>827</v>
      </c>
      <c r="F225" s="69" t="s">
        <v>798</v>
      </c>
      <c r="G225" s="70" t="s">
        <v>935</v>
      </c>
      <c r="H225" s="98" t="s">
        <v>528</v>
      </c>
      <c r="I225" s="70"/>
    </row>
    <row r="226" spans="2:9" ht="14.25" customHeight="1">
      <c r="B226" s="69"/>
      <c r="C226" s="70"/>
      <c r="D226" s="70" t="s">
        <v>294</v>
      </c>
      <c r="E226" s="70" t="s">
        <v>1080</v>
      </c>
      <c r="F226" s="69" t="s">
        <v>798</v>
      </c>
      <c r="G226" s="70" t="s">
        <v>935</v>
      </c>
      <c r="H226" s="98" t="s">
        <v>528</v>
      </c>
      <c r="I226" s="70"/>
    </row>
    <row r="227" spans="2:9" ht="14.25" customHeight="1">
      <c r="B227" s="69"/>
      <c r="C227" s="70"/>
      <c r="D227" s="70" t="s">
        <v>266</v>
      </c>
      <c r="E227" s="70" t="s">
        <v>1013</v>
      </c>
      <c r="F227" s="69" t="s">
        <v>798</v>
      </c>
      <c r="G227" s="70" t="s">
        <v>935</v>
      </c>
      <c r="H227" s="98" t="s">
        <v>528</v>
      </c>
      <c r="I227" s="70"/>
    </row>
    <row r="228" spans="2:9" ht="14.25" customHeight="1">
      <c r="B228" s="101"/>
      <c r="C228" s="99"/>
      <c r="D228" s="99" t="s">
        <v>597</v>
      </c>
      <c r="E228" s="99" t="s">
        <v>1013</v>
      </c>
      <c r="F228" s="69" t="s">
        <v>798</v>
      </c>
      <c r="G228" s="99" t="s">
        <v>935</v>
      </c>
      <c r="H228" s="100" t="s">
        <v>528</v>
      </c>
      <c r="I228" s="99"/>
    </row>
    <row r="229" spans="2:9" ht="14.25" customHeight="1">
      <c r="B229" s="69"/>
      <c r="C229" s="70"/>
      <c r="D229" s="70" t="s">
        <v>863</v>
      </c>
      <c r="E229" s="70" t="s">
        <v>1065</v>
      </c>
      <c r="F229" s="69" t="s">
        <v>798</v>
      </c>
      <c r="G229" s="70" t="s">
        <v>935</v>
      </c>
      <c r="H229" s="98" t="s">
        <v>527</v>
      </c>
      <c r="I229" s="70"/>
    </row>
    <row r="230" spans="2:9" ht="14.25" customHeight="1">
      <c r="B230" s="69" t="s">
        <v>536</v>
      </c>
      <c r="C230" s="70"/>
      <c r="D230" s="70" t="s">
        <v>855</v>
      </c>
      <c r="E230" s="70" t="s">
        <v>1065</v>
      </c>
      <c r="F230" s="69" t="s">
        <v>798</v>
      </c>
      <c r="G230" s="70" t="s">
        <v>935</v>
      </c>
      <c r="H230" s="98" t="s">
        <v>527</v>
      </c>
      <c r="I230" s="70"/>
    </row>
    <row r="231" spans="2:9" ht="14.25" customHeight="1">
      <c r="B231" s="69"/>
      <c r="C231" s="70"/>
      <c r="D231" s="70" t="s">
        <v>1089</v>
      </c>
      <c r="E231" s="70" t="s">
        <v>1090</v>
      </c>
      <c r="F231" s="69" t="s">
        <v>943</v>
      </c>
      <c r="G231" s="70" t="s">
        <v>935</v>
      </c>
      <c r="H231" s="98" t="s">
        <v>528</v>
      </c>
      <c r="I231" s="70"/>
    </row>
    <row r="232" spans="2:9" ht="14.25" customHeight="1">
      <c r="B232" s="69"/>
      <c r="C232" s="70"/>
      <c r="D232" s="70" t="s">
        <v>1091</v>
      </c>
      <c r="E232" s="70" t="s">
        <v>1092</v>
      </c>
      <c r="F232" s="69" t="s">
        <v>798</v>
      </c>
      <c r="G232" s="70" t="s">
        <v>882</v>
      </c>
      <c r="H232" s="98" t="s">
        <v>527</v>
      </c>
      <c r="I232" s="70"/>
    </row>
    <row r="233" spans="2:9" ht="14.25" customHeight="1">
      <c r="B233" s="69"/>
      <c r="C233" s="70"/>
      <c r="D233" s="70" t="s">
        <v>262</v>
      </c>
      <c r="E233" s="70" t="s">
        <v>1093</v>
      </c>
      <c r="F233" s="69" t="s">
        <v>798</v>
      </c>
      <c r="G233" s="70" t="s">
        <v>935</v>
      </c>
      <c r="H233" s="98" t="s">
        <v>527</v>
      </c>
      <c r="I233" s="70"/>
    </row>
    <row r="234" spans="2:9" ht="14.25" customHeight="1">
      <c r="B234" s="69" t="s">
        <v>1094</v>
      </c>
      <c r="C234" s="70"/>
      <c r="D234" s="70" t="s">
        <v>1095</v>
      </c>
      <c r="E234" s="70" t="s">
        <v>1096</v>
      </c>
      <c r="F234" s="69" t="s">
        <v>798</v>
      </c>
      <c r="G234" s="70" t="s">
        <v>935</v>
      </c>
      <c r="H234" s="98" t="s">
        <v>528</v>
      </c>
      <c r="I234" s="70"/>
    </row>
    <row r="235" spans="2:9" ht="14.25" customHeight="1">
      <c r="B235" s="69"/>
      <c r="C235" s="70"/>
      <c r="D235" s="70" t="s">
        <v>294</v>
      </c>
      <c r="E235" s="70" t="s">
        <v>1097</v>
      </c>
      <c r="F235" s="69" t="s">
        <v>798</v>
      </c>
      <c r="G235" s="70" t="s">
        <v>935</v>
      </c>
      <c r="H235" s="98" t="s">
        <v>527</v>
      </c>
      <c r="I235" s="70"/>
    </row>
    <row r="236" spans="2:9" ht="14.25" customHeight="1">
      <c r="B236" s="69"/>
      <c r="C236" s="70"/>
      <c r="D236" s="70" t="s">
        <v>1098</v>
      </c>
      <c r="E236" s="70" t="s">
        <v>1073</v>
      </c>
      <c r="F236" s="69" t="s">
        <v>798</v>
      </c>
      <c r="G236" s="70" t="s">
        <v>935</v>
      </c>
      <c r="H236" s="98" t="s">
        <v>527</v>
      </c>
      <c r="I236" s="70"/>
    </row>
    <row r="237" spans="2:9" ht="14.25" customHeight="1">
      <c r="B237" s="69"/>
      <c r="C237" s="70"/>
      <c r="D237" s="70" t="s">
        <v>921</v>
      </c>
      <c r="E237" s="70" t="s">
        <v>1099</v>
      </c>
      <c r="F237" s="69" t="s">
        <v>798</v>
      </c>
      <c r="G237" s="70" t="s">
        <v>935</v>
      </c>
      <c r="H237" s="98" t="s">
        <v>527</v>
      </c>
      <c r="I237" s="70"/>
    </row>
    <row r="238" spans="2:9" ht="14.25" customHeight="1">
      <c r="B238" s="69" t="s">
        <v>1100</v>
      </c>
      <c r="C238" s="70"/>
      <c r="D238" s="70" t="s">
        <v>271</v>
      </c>
      <c r="E238" s="70" t="s">
        <v>1101</v>
      </c>
      <c r="F238" s="69" t="s">
        <v>798</v>
      </c>
      <c r="G238" s="70" t="s">
        <v>882</v>
      </c>
      <c r="H238" s="98" t="s">
        <v>527</v>
      </c>
      <c r="I238" s="70"/>
    </row>
    <row r="239" spans="2:9" ht="14.25" customHeight="1">
      <c r="B239" s="69"/>
      <c r="C239" s="70"/>
      <c r="D239" s="70" t="s">
        <v>1102</v>
      </c>
      <c r="E239" s="70" t="s">
        <v>1103</v>
      </c>
      <c r="F239" s="69" t="s">
        <v>798</v>
      </c>
      <c r="G239" s="70" t="s">
        <v>935</v>
      </c>
      <c r="H239" s="98" t="s">
        <v>527</v>
      </c>
      <c r="I239" s="70"/>
    </row>
    <row r="240" spans="2:9" ht="14.25" customHeight="1">
      <c r="B240" s="69"/>
      <c r="C240" s="70"/>
      <c r="D240" s="70" t="s">
        <v>826</v>
      </c>
      <c r="E240" s="70" t="s">
        <v>1073</v>
      </c>
      <c r="F240" s="69" t="s">
        <v>798</v>
      </c>
      <c r="G240" s="70" t="s">
        <v>882</v>
      </c>
      <c r="H240" s="98" t="s">
        <v>527</v>
      </c>
      <c r="I240" s="70"/>
    </row>
    <row r="241" spans="2:9" ht="14.25" customHeight="1">
      <c r="B241" s="69"/>
      <c r="C241" s="70"/>
      <c r="D241" s="70" t="s">
        <v>1038</v>
      </c>
      <c r="E241" s="70" t="s">
        <v>1073</v>
      </c>
      <c r="F241" s="69" t="s">
        <v>798</v>
      </c>
      <c r="G241" s="70" t="s">
        <v>882</v>
      </c>
      <c r="H241" s="98" t="s">
        <v>527</v>
      </c>
      <c r="I241" s="70"/>
    </row>
    <row r="242" spans="2:9" ht="14.25" customHeight="1">
      <c r="B242" s="69" t="s">
        <v>1104</v>
      </c>
      <c r="C242" s="70"/>
      <c r="D242" s="70" t="s">
        <v>921</v>
      </c>
      <c r="E242" s="70" t="s">
        <v>1105</v>
      </c>
      <c r="F242" s="69" t="s">
        <v>798</v>
      </c>
      <c r="G242" s="70" t="s">
        <v>882</v>
      </c>
      <c r="H242" s="98" t="s">
        <v>528</v>
      </c>
      <c r="I242" s="70"/>
    </row>
    <row r="243" spans="2:9" ht="14.25" customHeight="1">
      <c r="B243" s="69"/>
      <c r="C243" s="70"/>
      <c r="D243" s="70" t="s">
        <v>1106</v>
      </c>
      <c r="E243" s="70" t="s">
        <v>1107</v>
      </c>
      <c r="F243" s="69" t="s">
        <v>798</v>
      </c>
      <c r="G243" s="70" t="s">
        <v>882</v>
      </c>
      <c r="H243" s="98" t="s">
        <v>528</v>
      </c>
      <c r="I243" s="70"/>
    </row>
    <row r="244" spans="2:9" ht="14.25" customHeight="1">
      <c r="B244" s="101"/>
      <c r="C244" s="99"/>
      <c r="D244" s="99" t="s">
        <v>885</v>
      </c>
      <c r="E244" s="99" t="s">
        <v>1108</v>
      </c>
      <c r="F244" s="101" t="s">
        <v>798</v>
      </c>
      <c r="G244" s="99" t="s">
        <v>882</v>
      </c>
      <c r="H244" s="100" t="s">
        <v>527</v>
      </c>
      <c r="I244" s="99"/>
    </row>
    <row r="245" spans="2:9" ht="14.25" customHeight="1">
      <c r="B245" s="69"/>
      <c r="C245" s="70"/>
      <c r="D245" s="70" t="s">
        <v>1098</v>
      </c>
      <c r="E245" s="70" t="s">
        <v>1109</v>
      </c>
      <c r="F245" s="69" t="s">
        <v>798</v>
      </c>
      <c r="G245" s="70" t="s">
        <v>935</v>
      </c>
      <c r="H245" s="98" t="s">
        <v>528</v>
      </c>
      <c r="I245" s="70"/>
    </row>
    <row r="246" spans="2:9" ht="14.25" customHeight="1">
      <c r="B246" s="69" t="s">
        <v>1110</v>
      </c>
      <c r="C246" s="70"/>
      <c r="D246" s="70" t="s">
        <v>958</v>
      </c>
      <c r="E246" s="70" t="s">
        <v>1111</v>
      </c>
      <c r="F246" s="69" t="s">
        <v>798</v>
      </c>
      <c r="G246" s="70" t="s">
        <v>935</v>
      </c>
      <c r="H246" s="98" t="s">
        <v>527</v>
      </c>
      <c r="I246" s="70"/>
    </row>
    <row r="247" spans="2:9" ht="14.25" customHeight="1">
      <c r="B247" s="69"/>
      <c r="C247" s="70"/>
      <c r="D247" s="70" t="s">
        <v>264</v>
      </c>
      <c r="E247" s="70" t="s">
        <v>1112</v>
      </c>
      <c r="F247" s="69" t="s">
        <v>798</v>
      </c>
      <c r="G247" s="70" t="s">
        <v>935</v>
      </c>
      <c r="H247" s="98" t="s">
        <v>527</v>
      </c>
      <c r="I247" s="70"/>
    </row>
    <row r="248" spans="2:9" ht="14.25" customHeight="1">
      <c r="B248" s="69"/>
      <c r="C248" s="70"/>
      <c r="D248" s="70" t="s">
        <v>1113</v>
      </c>
      <c r="E248" s="70" t="s">
        <v>1114</v>
      </c>
      <c r="F248" s="69" t="s">
        <v>798</v>
      </c>
      <c r="G248" s="70" t="s">
        <v>935</v>
      </c>
      <c r="H248" s="98" t="s">
        <v>527</v>
      </c>
      <c r="I248" s="70"/>
    </row>
    <row r="249" spans="2:9" ht="14.25" customHeight="1">
      <c r="B249" s="69"/>
      <c r="C249" s="70"/>
      <c r="D249" s="70" t="s">
        <v>1113</v>
      </c>
      <c r="E249" s="70" t="s">
        <v>1099</v>
      </c>
      <c r="F249" s="69" t="s">
        <v>798</v>
      </c>
      <c r="G249" s="70" t="s">
        <v>935</v>
      </c>
      <c r="H249" s="98" t="s">
        <v>527</v>
      </c>
      <c r="I249" s="70"/>
    </row>
    <row r="250" spans="2:9" ht="14.25" customHeight="1">
      <c r="B250" s="69"/>
      <c r="C250" s="70"/>
      <c r="D250" s="70" t="s">
        <v>1075</v>
      </c>
      <c r="E250" s="70" t="s">
        <v>1115</v>
      </c>
      <c r="F250" s="69" t="s">
        <v>798</v>
      </c>
      <c r="G250" s="70" t="s">
        <v>882</v>
      </c>
      <c r="H250" s="98" t="s">
        <v>527</v>
      </c>
      <c r="I250" s="70"/>
    </row>
    <row r="251" spans="2:9" ht="14.25" customHeight="1">
      <c r="B251" s="69"/>
      <c r="C251" s="70"/>
      <c r="D251" s="70" t="s">
        <v>818</v>
      </c>
      <c r="E251" s="70" t="s">
        <v>827</v>
      </c>
      <c r="F251" s="69" t="s">
        <v>798</v>
      </c>
      <c r="G251" s="70" t="s">
        <v>935</v>
      </c>
      <c r="H251" s="98" t="s">
        <v>527</v>
      </c>
      <c r="I251" s="70"/>
    </row>
    <row r="252" spans="2:9" ht="14.25" customHeight="1">
      <c r="B252" s="69"/>
      <c r="C252" s="70"/>
      <c r="D252" s="70" t="s">
        <v>1106</v>
      </c>
      <c r="E252" s="70" t="s">
        <v>1116</v>
      </c>
      <c r="F252" s="69" t="s">
        <v>798</v>
      </c>
      <c r="G252" s="70" t="s">
        <v>882</v>
      </c>
      <c r="H252" s="98" t="s">
        <v>527</v>
      </c>
      <c r="I252" s="70"/>
    </row>
    <row r="253" spans="2:9" ht="14.25" customHeight="1">
      <c r="B253" s="69"/>
      <c r="C253" s="70"/>
      <c r="D253" s="70" t="s">
        <v>910</v>
      </c>
      <c r="E253" s="70" t="s">
        <v>1117</v>
      </c>
      <c r="F253" s="69" t="s">
        <v>798</v>
      </c>
      <c r="G253" s="70" t="s">
        <v>935</v>
      </c>
      <c r="H253" s="98" t="s">
        <v>528</v>
      </c>
      <c r="I253" s="70"/>
    </row>
    <row r="254" spans="2:9" ht="14.25" customHeight="1">
      <c r="B254" s="108">
        <v>46055</v>
      </c>
      <c r="C254" s="70"/>
      <c r="D254" s="70" t="s">
        <v>1040</v>
      </c>
      <c r="E254" s="70" t="s">
        <v>1118</v>
      </c>
      <c r="F254" s="69" t="s">
        <v>798</v>
      </c>
      <c r="G254" s="70" t="s">
        <v>882</v>
      </c>
      <c r="H254" s="98" t="s">
        <v>527</v>
      </c>
      <c r="I254" s="70"/>
    </row>
    <row r="255" spans="2:9" ht="14.25" customHeight="1">
      <c r="B255" s="69"/>
      <c r="C255" s="70"/>
      <c r="D255" s="70" t="s">
        <v>995</v>
      </c>
      <c r="E255" s="70" t="s">
        <v>1119</v>
      </c>
      <c r="F255" s="69" t="s">
        <v>798</v>
      </c>
      <c r="G255" s="70" t="s">
        <v>882</v>
      </c>
      <c r="H255" s="98" t="s">
        <v>528</v>
      </c>
      <c r="I255" s="70"/>
    </row>
    <row r="256" spans="2:9" ht="14.25" customHeight="1">
      <c r="B256" s="69"/>
      <c r="C256" s="70"/>
      <c r="D256" s="70" t="s">
        <v>1120</v>
      </c>
      <c r="E256" s="70" t="s">
        <v>1121</v>
      </c>
      <c r="F256" s="69" t="s">
        <v>798</v>
      </c>
      <c r="G256" s="70" t="s">
        <v>935</v>
      </c>
      <c r="H256" s="98" t="s">
        <v>527</v>
      </c>
      <c r="I256" s="70"/>
    </row>
    <row r="257" spans="2:9" ht="14.25" customHeight="1">
      <c r="B257" s="69"/>
      <c r="C257" s="70"/>
      <c r="D257" s="70" t="s">
        <v>1122</v>
      </c>
      <c r="E257" s="70" t="s">
        <v>1123</v>
      </c>
      <c r="F257" s="69" t="s">
        <v>798</v>
      </c>
      <c r="G257" s="70" t="s">
        <v>882</v>
      </c>
      <c r="H257" s="98" t="s">
        <v>527</v>
      </c>
      <c r="I257" s="70"/>
    </row>
    <row r="258" spans="2:9" ht="14.25" customHeight="1">
      <c r="B258" s="69"/>
      <c r="C258" s="70"/>
      <c r="D258" s="70" t="s">
        <v>1124</v>
      </c>
      <c r="E258" s="70" t="s">
        <v>1125</v>
      </c>
      <c r="F258" s="69" t="s">
        <v>798</v>
      </c>
      <c r="G258" s="70" t="s">
        <v>935</v>
      </c>
      <c r="H258" s="98" t="s">
        <v>527</v>
      </c>
      <c r="I258" s="70"/>
    </row>
    <row r="259" spans="2:9" ht="14.25" customHeight="1">
      <c r="B259" s="69"/>
      <c r="C259" s="70"/>
      <c r="D259" s="70" t="s">
        <v>298</v>
      </c>
      <c r="E259" s="70" t="s">
        <v>1126</v>
      </c>
      <c r="F259" s="69" t="s">
        <v>798</v>
      </c>
      <c r="G259" s="70" t="s">
        <v>935</v>
      </c>
      <c r="H259" s="98" t="s">
        <v>527</v>
      </c>
      <c r="I259" s="70"/>
    </row>
    <row r="260" spans="2:9" ht="14.25" customHeight="1">
      <c r="B260" s="69"/>
      <c r="C260" s="70"/>
      <c r="D260" s="70" t="s">
        <v>266</v>
      </c>
      <c r="E260" s="70" t="s">
        <v>1127</v>
      </c>
      <c r="F260" s="69" t="s">
        <v>798</v>
      </c>
      <c r="G260" s="70" t="s">
        <v>935</v>
      </c>
      <c r="H260" s="98" t="s">
        <v>527</v>
      </c>
      <c r="I260" s="70"/>
    </row>
    <row r="261" spans="2:9" ht="14.25" customHeight="1">
      <c r="B261" s="108">
        <v>46083</v>
      </c>
      <c r="C261" s="70"/>
      <c r="D261" s="70" t="s">
        <v>995</v>
      </c>
      <c r="E261" s="70" t="s">
        <v>1119</v>
      </c>
      <c r="F261" s="69" t="s">
        <v>798</v>
      </c>
      <c r="G261" s="70" t="s">
        <v>882</v>
      </c>
      <c r="H261" s="98" t="s">
        <v>528</v>
      </c>
      <c r="I261" s="70"/>
    </row>
    <row r="262" spans="2:9" ht="14.25" customHeight="1">
      <c r="B262" s="69"/>
      <c r="C262" s="70"/>
      <c r="D262" s="70" t="s">
        <v>838</v>
      </c>
      <c r="E262" s="99" t="s">
        <v>1128</v>
      </c>
      <c r="F262" s="69" t="s">
        <v>798</v>
      </c>
      <c r="G262" s="70" t="s">
        <v>882</v>
      </c>
      <c r="H262" s="98" t="s">
        <v>528</v>
      </c>
      <c r="I262" s="70"/>
    </row>
    <row r="263" spans="2:9" ht="14.25" customHeight="1">
      <c r="B263" s="69"/>
      <c r="C263" s="70"/>
      <c r="E263" s="70"/>
      <c r="G263" s="70"/>
      <c r="H263" s="98"/>
      <c r="I263" s="70"/>
    </row>
    <row r="264" spans="2:9" ht="14.25" customHeight="1">
      <c r="B264" s="113">
        <v>46114</v>
      </c>
      <c r="C264" s="99"/>
      <c r="D264" s="70" t="s">
        <v>1098</v>
      </c>
      <c r="E264" s="102" t="s">
        <v>1129</v>
      </c>
      <c r="F264" s="69" t="s">
        <v>798</v>
      </c>
      <c r="G264" s="99" t="s">
        <v>882</v>
      </c>
      <c r="H264" s="100" t="s">
        <v>528</v>
      </c>
      <c r="I264" s="99"/>
    </row>
    <row r="265" spans="2:9" ht="14.25" customHeight="1">
      <c r="B265" s="69"/>
      <c r="C265" s="70"/>
      <c r="D265" s="70" t="s">
        <v>1130</v>
      </c>
      <c r="E265" s="70" t="s">
        <v>1065</v>
      </c>
      <c r="F265" s="69" t="s">
        <v>798</v>
      </c>
      <c r="G265" s="70" t="s">
        <v>935</v>
      </c>
      <c r="H265" s="98" t="s">
        <v>527</v>
      </c>
      <c r="I265" s="70"/>
    </row>
    <row r="266" spans="2:9" ht="14.25" customHeight="1">
      <c r="B266" s="69"/>
      <c r="C266" s="70"/>
      <c r="D266" s="70" t="s">
        <v>958</v>
      </c>
      <c r="E266" s="70" t="s">
        <v>1065</v>
      </c>
      <c r="F266" s="69" t="s">
        <v>798</v>
      </c>
      <c r="G266" s="70" t="s">
        <v>935</v>
      </c>
      <c r="H266" s="98" t="s">
        <v>527</v>
      </c>
      <c r="I266" s="70"/>
    </row>
    <row r="267" spans="2:9" ht="14.25" customHeight="1">
      <c r="B267" s="108">
        <v>46297</v>
      </c>
      <c r="C267" s="70"/>
      <c r="D267" s="70" t="s">
        <v>971</v>
      </c>
      <c r="E267" s="70" t="s">
        <v>1131</v>
      </c>
      <c r="F267" s="69" t="s">
        <v>798</v>
      </c>
      <c r="G267" s="70" t="s">
        <v>935</v>
      </c>
      <c r="H267" s="98" t="s">
        <v>527</v>
      </c>
      <c r="I267" s="70"/>
    </row>
    <row r="268" spans="2:9" ht="14.25" customHeight="1">
      <c r="B268" s="69"/>
      <c r="C268" s="70"/>
      <c r="D268" s="70" t="s">
        <v>910</v>
      </c>
      <c r="E268" s="70" t="s">
        <v>1132</v>
      </c>
      <c r="F268" s="69" t="s">
        <v>798</v>
      </c>
      <c r="G268" s="70" t="s">
        <v>935</v>
      </c>
      <c r="H268" s="98" t="s">
        <v>528</v>
      </c>
      <c r="I268" s="70"/>
    </row>
    <row r="269" spans="2:9" ht="14.25" customHeight="1">
      <c r="B269" s="69"/>
      <c r="C269" s="70"/>
      <c r="D269" s="70" t="s">
        <v>799</v>
      </c>
      <c r="E269" s="70" t="s">
        <v>1133</v>
      </c>
      <c r="F269" s="69" t="s">
        <v>798</v>
      </c>
      <c r="G269" s="70" t="s">
        <v>935</v>
      </c>
      <c r="H269" s="98" t="s">
        <v>527</v>
      </c>
      <c r="I269" s="70"/>
    </row>
    <row r="270" spans="2:9" ht="14.25" customHeight="1">
      <c r="B270" s="69"/>
      <c r="C270" s="70"/>
      <c r="D270" s="70" t="s">
        <v>1098</v>
      </c>
      <c r="E270" s="70" t="s">
        <v>1073</v>
      </c>
      <c r="F270" s="69" t="s">
        <v>798</v>
      </c>
      <c r="G270" s="70" t="s">
        <v>935</v>
      </c>
      <c r="H270" s="98" t="s">
        <v>527</v>
      </c>
      <c r="I270" s="70"/>
    </row>
    <row r="271" spans="2:9" ht="14.25" customHeight="1">
      <c r="B271" s="108">
        <v>46328</v>
      </c>
      <c r="C271" s="70"/>
      <c r="D271" s="70" t="s">
        <v>376</v>
      </c>
      <c r="E271" s="70" t="s">
        <v>1134</v>
      </c>
      <c r="F271" s="69" t="s">
        <v>798</v>
      </c>
      <c r="G271" s="70" t="s">
        <v>935</v>
      </c>
      <c r="H271" s="98" t="s">
        <v>527</v>
      </c>
      <c r="I271" s="70"/>
    </row>
    <row r="272" spans="2:9" ht="14.25" customHeight="1">
      <c r="B272" s="69"/>
      <c r="C272" s="70"/>
      <c r="D272" s="70" t="s">
        <v>1135</v>
      </c>
      <c r="E272" s="70" t="s">
        <v>1136</v>
      </c>
      <c r="F272" s="69" t="s">
        <v>798</v>
      </c>
      <c r="G272" s="70" t="s">
        <v>935</v>
      </c>
      <c r="H272" s="98" t="s">
        <v>527</v>
      </c>
      <c r="I272" s="70"/>
    </row>
    <row r="273" spans="2:9" ht="14.25" customHeight="1">
      <c r="B273" s="69"/>
      <c r="C273" s="70"/>
      <c r="D273" s="70" t="s">
        <v>262</v>
      </c>
      <c r="E273" s="70" t="s">
        <v>1137</v>
      </c>
      <c r="F273" s="69" t="s">
        <v>798</v>
      </c>
      <c r="G273" s="70" t="s">
        <v>935</v>
      </c>
      <c r="H273" s="98" t="s">
        <v>527</v>
      </c>
      <c r="I273" s="70"/>
    </row>
    <row r="274" spans="2:9" ht="14.25" customHeight="1">
      <c r="B274" s="69"/>
      <c r="C274" s="70"/>
      <c r="D274" s="70" t="s">
        <v>1138</v>
      </c>
      <c r="E274" s="70" t="s">
        <v>1139</v>
      </c>
      <c r="F274" s="69" t="s">
        <v>798</v>
      </c>
      <c r="G274" s="70" t="s">
        <v>935</v>
      </c>
      <c r="H274" s="98" t="s">
        <v>527</v>
      </c>
      <c r="I274" s="70"/>
    </row>
    <row r="275" spans="2:9" ht="14.25" customHeight="1">
      <c r="B275" s="108">
        <v>46358</v>
      </c>
      <c r="C275" s="70"/>
      <c r="D275" s="70" t="s">
        <v>995</v>
      </c>
      <c r="E275" s="70" t="s">
        <v>1140</v>
      </c>
      <c r="F275" s="69" t="s">
        <v>798</v>
      </c>
      <c r="G275" s="70"/>
      <c r="H275" s="98"/>
      <c r="I275" s="70"/>
    </row>
    <row r="276" spans="2:9" ht="14.25" customHeight="1">
      <c r="B276" s="69"/>
      <c r="C276" s="70"/>
      <c r="D276" s="70" t="s">
        <v>1106</v>
      </c>
      <c r="E276" s="70" t="s">
        <v>986</v>
      </c>
      <c r="F276" s="69" t="s">
        <v>943</v>
      </c>
      <c r="G276" s="70"/>
      <c r="H276" s="98"/>
      <c r="I276" s="70"/>
    </row>
    <row r="277" spans="2:9" ht="14.25" customHeight="1">
      <c r="B277" s="69"/>
      <c r="C277" s="70"/>
      <c r="D277" s="70" t="s">
        <v>319</v>
      </c>
      <c r="E277" s="70" t="s">
        <v>1141</v>
      </c>
      <c r="F277" s="69" t="s">
        <v>798</v>
      </c>
      <c r="G277" s="70"/>
      <c r="H277" s="98"/>
      <c r="I277" s="70"/>
    </row>
    <row r="278" spans="2:9" ht="14.25" customHeight="1">
      <c r="B278" s="69"/>
      <c r="C278" s="70"/>
      <c r="D278" s="70" t="s">
        <v>301</v>
      </c>
      <c r="E278" s="70" t="s">
        <v>1142</v>
      </c>
      <c r="F278" s="69" t="s">
        <v>798</v>
      </c>
      <c r="G278" s="70"/>
      <c r="H278" s="98"/>
      <c r="I278" s="70"/>
    </row>
    <row r="279" spans="2:9" ht="14.25" customHeight="1">
      <c r="B279" s="69"/>
      <c r="C279" s="70"/>
      <c r="D279" s="70" t="s">
        <v>597</v>
      </c>
      <c r="E279" s="70" t="s">
        <v>1143</v>
      </c>
      <c r="F279" s="69" t="s">
        <v>798</v>
      </c>
      <c r="G279" s="70"/>
      <c r="H279" s="98"/>
      <c r="I279" s="70"/>
    </row>
    <row r="280" spans="2:9" ht="14.25" customHeight="1">
      <c r="B280" s="101"/>
      <c r="C280" s="99"/>
      <c r="D280" s="99" t="s">
        <v>1120</v>
      </c>
      <c r="E280" s="99" t="s">
        <v>1144</v>
      </c>
      <c r="F280" s="101" t="s">
        <v>943</v>
      </c>
      <c r="G280" s="99"/>
      <c r="H280" s="100"/>
      <c r="I280" s="99"/>
    </row>
    <row r="281" spans="2:9" ht="14.25" customHeight="1">
      <c r="B281" s="69"/>
      <c r="C281" s="70"/>
      <c r="D281" s="70" t="s">
        <v>1145</v>
      </c>
      <c r="E281" s="70" t="s">
        <v>1146</v>
      </c>
      <c r="F281" s="69" t="s">
        <v>798</v>
      </c>
      <c r="G281" s="70"/>
      <c r="H281" s="98"/>
      <c r="I281" s="70"/>
    </row>
    <row r="282" spans="2:9" ht="14.25" customHeight="1">
      <c r="B282" s="69"/>
      <c r="C282" s="70"/>
      <c r="D282" s="70" t="s">
        <v>1147</v>
      </c>
      <c r="E282" s="70" t="s">
        <v>1148</v>
      </c>
      <c r="F282" s="69" t="s">
        <v>798</v>
      </c>
      <c r="G282" s="70"/>
      <c r="H282" s="98"/>
      <c r="I282" s="70"/>
    </row>
    <row r="283" spans="2:9" ht="14.25" customHeight="1">
      <c r="B283" s="69" t="s">
        <v>1149</v>
      </c>
      <c r="C283" s="70"/>
      <c r="D283" s="70" t="s">
        <v>855</v>
      </c>
      <c r="E283" s="70" t="s">
        <v>1146</v>
      </c>
      <c r="F283" s="69"/>
      <c r="G283" s="70"/>
      <c r="H283" s="98"/>
      <c r="I283" s="70"/>
    </row>
    <row r="284" spans="2:9" ht="14.25" customHeight="1">
      <c r="B284" s="69"/>
      <c r="C284" s="70"/>
      <c r="D284" s="70" t="s">
        <v>273</v>
      </c>
      <c r="E284" s="70" t="s">
        <v>1150</v>
      </c>
      <c r="F284" s="69"/>
      <c r="G284" s="70"/>
      <c r="H284" s="98"/>
      <c r="I284" s="70"/>
    </row>
    <row r="285" spans="2:9" ht="14.25" customHeight="1">
      <c r="B285" s="69"/>
      <c r="C285" s="70"/>
      <c r="D285" s="70" t="s">
        <v>262</v>
      </c>
      <c r="E285" s="70" t="s">
        <v>1151</v>
      </c>
      <c r="F285" s="69"/>
      <c r="G285" s="70"/>
      <c r="H285" s="98"/>
      <c r="I285" s="70"/>
    </row>
    <row r="286" spans="2:9" ht="14.25" customHeight="1">
      <c r="B286" s="69"/>
      <c r="C286" s="70"/>
      <c r="D286" s="70" t="s">
        <v>1152</v>
      </c>
      <c r="E286" s="70" t="s">
        <v>1153</v>
      </c>
      <c r="F286" s="69"/>
      <c r="G286" s="70"/>
      <c r="H286" s="98"/>
      <c r="I286" s="70"/>
    </row>
    <row r="287" spans="2:9" ht="14.25" customHeight="1">
      <c r="B287" s="69"/>
      <c r="C287" s="70"/>
      <c r="D287" t="s">
        <v>319</v>
      </c>
      <c r="E287" s="70" t="s">
        <v>1154</v>
      </c>
      <c r="F287" s="69"/>
      <c r="G287" s="70"/>
      <c r="H287" s="98"/>
      <c r="I287" s="70"/>
    </row>
    <row r="288" spans="2:9" ht="14.25" customHeight="1">
      <c r="B288" s="69"/>
      <c r="C288" s="70"/>
      <c r="D288" s="70"/>
      <c r="E288" s="70"/>
      <c r="F288" s="69"/>
      <c r="G288" s="70"/>
      <c r="H288" s="98"/>
      <c r="I288" s="70"/>
    </row>
    <row r="289" spans="2:9" ht="14.25" customHeight="1">
      <c r="B289" s="69"/>
      <c r="C289" s="70"/>
      <c r="D289" s="70"/>
      <c r="E289" s="70"/>
      <c r="F289" s="69"/>
      <c r="G289" s="70"/>
      <c r="H289" s="98"/>
      <c r="I289" s="70"/>
    </row>
    <row r="290" spans="2:9" ht="14.25" customHeight="1">
      <c r="B290" s="69"/>
      <c r="C290" s="70"/>
      <c r="D290" s="70"/>
      <c r="E290" s="70"/>
      <c r="F290" s="69"/>
      <c r="G290" s="70"/>
      <c r="H290" s="98"/>
      <c r="I290" s="70"/>
    </row>
    <row r="291" spans="2:9" ht="14.25" customHeight="1">
      <c r="B291" s="69"/>
      <c r="C291" s="70"/>
      <c r="D291" s="70"/>
      <c r="E291" s="70"/>
      <c r="F291" s="69"/>
      <c r="G291" s="70"/>
      <c r="H291" s="98"/>
      <c r="I291" s="70"/>
    </row>
    <row r="292" spans="2:9" ht="14.25" customHeight="1">
      <c r="B292" s="69"/>
      <c r="C292" s="70"/>
      <c r="D292" s="70"/>
      <c r="E292" s="70"/>
      <c r="F292" s="69"/>
      <c r="G292" s="70"/>
      <c r="H292" s="98"/>
      <c r="I292" s="70"/>
    </row>
    <row r="293" spans="2:9" ht="14.25" customHeight="1">
      <c r="B293" s="69"/>
      <c r="C293" s="70"/>
      <c r="D293" s="70"/>
      <c r="E293" s="70"/>
      <c r="F293" s="69"/>
      <c r="G293" s="70"/>
      <c r="H293" s="98"/>
      <c r="I293" s="70"/>
    </row>
    <row r="294" spans="2:9" ht="14.25" customHeight="1">
      <c r="B294" s="69"/>
      <c r="C294" s="70"/>
      <c r="D294" s="70"/>
      <c r="E294" s="70"/>
      <c r="F294" s="69"/>
      <c r="G294" s="70"/>
      <c r="H294" s="98"/>
      <c r="I294" s="70"/>
    </row>
    <row r="295" spans="2:9" ht="14.25" customHeight="1">
      <c r="B295" s="69"/>
      <c r="C295" s="70"/>
      <c r="D295" s="70"/>
      <c r="E295" s="70"/>
      <c r="F295" s="69"/>
      <c r="G295" s="70"/>
      <c r="H295" s="98"/>
      <c r="I295" s="70"/>
    </row>
    <row r="296" spans="2:9" ht="14.25" customHeight="1">
      <c r="B296" s="69"/>
      <c r="C296" s="70"/>
      <c r="D296" s="70"/>
      <c r="E296" s="70"/>
      <c r="F296" s="69"/>
      <c r="G296" s="70"/>
      <c r="H296" s="98"/>
      <c r="I296" s="70"/>
    </row>
    <row r="297" spans="2:9" ht="14.25" customHeight="1">
      <c r="B297" s="69"/>
      <c r="C297" s="70"/>
      <c r="D297" s="70"/>
      <c r="E297" s="70"/>
      <c r="F297" s="69"/>
      <c r="G297" s="70"/>
      <c r="H297" s="98"/>
      <c r="I297" s="70"/>
    </row>
    <row r="298" spans="2:9" ht="14.25" customHeight="1">
      <c r="B298" s="69"/>
      <c r="C298" s="70"/>
      <c r="D298" s="70"/>
      <c r="E298" s="70"/>
      <c r="F298" s="69"/>
      <c r="G298" s="70"/>
      <c r="H298" s="98"/>
      <c r="I298" s="70"/>
    </row>
    <row r="299" spans="2:9" ht="14.25" customHeight="1">
      <c r="B299" s="69"/>
      <c r="C299" s="70"/>
      <c r="D299" s="70"/>
      <c r="E299" s="70"/>
      <c r="F299" s="69"/>
      <c r="G299" s="70"/>
      <c r="H299" s="98"/>
      <c r="I299" s="70"/>
    </row>
  </sheetData>
  <autoFilter ref="B5:H78" xr:uid="{D298A391-0183-4E83-8FCD-BA868C1ECDC5}"/>
  <mergeCells count="1">
    <mergeCell ref="B3:H3"/>
  </mergeCells>
  <pageMargins left="0.7" right="0.7" top="0.75" bottom="0.75" header="0.3" footer="0.3"/>
  <drawing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A296BB-29D1-4AEA-935C-F23797972B4C}">
  <sheetPr codeName="Hoja4">
    <tabColor rgb="FFD9D9D9"/>
  </sheetPr>
  <dimension ref="B1:K987"/>
  <sheetViews>
    <sheetView workbookViewId="0">
      <selection activeCell="I14" sqref="I14"/>
    </sheetView>
  </sheetViews>
  <sheetFormatPr baseColWidth="10" defaultColWidth="14.42578125" defaultRowHeight="15"/>
  <cols>
    <col min="1" max="1" width="10.7109375" customWidth="1"/>
    <col min="2" max="2" width="17.7109375" customWidth="1"/>
    <col min="3" max="3" width="19.85546875" customWidth="1"/>
    <col min="4" max="4" width="14.7109375" customWidth="1"/>
    <col min="5" max="5" width="138.42578125" customWidth="1"/>
    <col min="6" max="6" width="19.42578125" customWidth="1"/>
    <col min="7" max="7" width="18.5703125" customWidth="1"/>
    <col min="8" max="8" width="11.28515625" customWidth="1"/>
    <col min="9" max="10" width="10.7109375" customWidth="1"/>
    <col min="11" max="11" width="26.7109375" customWidth="1"/>
    <col min="12" max="27" width="10.7109375" customWidth="1"/>
  </cols>
  <sheetData>
    <row r="1" spans="2:11">
      <c r="E1" s="762"/>
      <c r="F1" s="762"/>
    </row>
    <row r="2" spans="2:11" ht="15.75" thickBot="1">
      <c r="E2" s="762"/>
      <c r="F2" s="762"/>
    </row>
    <row r="3" spans="2:11" ht="27" thickBot="1">
      <c r="B3" s="1542" t="s">
        <v>651</v>
      </c>
      <c r="C3" s="1543"/>
      <c r="D3" s="1543"/>
      <c r="E3" s="1543"/>
      <c r="F3" s="1543"/>
      <c r="G3" s="1543"/>
      <c r="H3" s="1544"/>
    </row>
    <row r="4" spans="2:11" ht="14.25" customHeight="1"/>
    <row r="5" spans="2:11" ht="15.75">
      <c r="B5" s="17" t="s">
        <v>652</v>
      </c>
      <c r="C5" s="18" t="s">
        <v>653</v>
      </c>
      <c r="D5" s="18" t="s">
        <v>254</v>
      </c>
      <c r="E5" s="34" t="s">
        <v>654</v>
      </c>
      <c r="F5" s="42" t="s">
        <v>655</v>
      </c>
      <c r="G5" s="39" t="s">
        <v>384</v>
      </c>
      <c r="H5" s="18" t="s">
        <v>656</v>
      </c>
      <c r="J5" s="20" t="s">
        <v>656</v>
      </c>
    </row>
    <row r="6" spans="2:11" ht="18" customHeight="1">
      <c r="B6" s="21">
        <v>45952</v>
      </c>
      <c r="C6" s="45" t="s">
        <v>1155</v>
      </c>
      <c r="D6" s="768" t="s">
        <v>1156</v>
      </c>
      <c r="E6" s="35" t="s">
        <v>1157</v>
      </c>
      <c r="F6" s="768" t="s">
        <v>1158</v>
      </c>
      <c r="G6" s="40">
        <v>1</v>
      </c>
      <c r="H6" s="5" t="s">
        <v>668</v>
      </c>
      <c r="J6" s="25" t="s">
        <v>526</v>
      </c>
      <c r="K6" s="26" t="s">
        <v>662</v>
      </c>
    </row>
    <row r="7" spans="2:11" ht="14.25" customHeight="1">
      <c r="B7" s="21">
        <v>45955</v>
      </c>
      <c r="C7" s="23">
        <v>10014879</v>
      </c>
      <c r="D7" s="768" t="s">
        <v>1159</v>
      </c>
      <c r="E7" s="765" t="s">
        <v>1160</v>
      </c>
      <c r="F7" s="769" t="s">
        <v>1161</v>
      </c>
      <c r="G7" s="40">
        <v>1</v>
      </c>
      <c r="H7" s="5" t="s">
        <v>668</v>
      </c>
      <c r="J7" s="25" t="s">
        <v>527</v>
      </c>
      <c r="K7" s="26" t="s">
        <v>665</v>
      </c>
    </row>
    <row r="8" spans="2:11" ht="24" customHeight="1">
      <c r="B8" s="21">
        <v>45595</v>
      </c>
      <c r="C8" s="23">
        <v>10014604</v>
      </c>
      <c r="D8" s="768" t="s">
        <v>1162</v>
      </c>
      <c r="E8" s="36" t="s">
        <v>1163</v>
      </c>
      <c r="F8" s="769" t="s">
        <v>1158</v>
      </c>
      <c r="G8" s="40" t="s">
        <v>1164</v>
      </c>
      <c r="H8" s="5" t="s">
        <v>668</v>
      </c>
      <c r="J8" s="25" t="s">
        <v>528</v>
      </c>
      <c r="K8" s="26" t="s">
        <v>668</v>
      </c>
    </row>
    <row r="9" spans="2:11" ht="25.5" customHeight="1">
      <c r="B9" s="21">
        <v>45939</v>
      </c>
      <c r="C9" s="22" t="s">
        <v>1165</v>
      </c>
      <c r="D9" s="768" t="s">
        <v>1166</v>
      </c>
      <c r="E9" s="35" t="s">
        <v>1167</v>
      </c>
      <c r="F9" s="768" t="s">
        <v>1158</v>
      </c>
      <c r="G9" s="40">
        <v>1</v>
      </c>
      <c r="H9" s="5" t="s">
        <v>668</v>
      </c>
      <c r="J9" s="25" t="s">
        <v>661</v>
      </c>
      <c r="K9" s="26" t="s">
        <v>672</v>
      </c>
    </row>
    <row r="10" spans="2:11" ht="14.25" customHeight="1">
      <c r="B10" s="21">
        <v>45953</v>
      </c>
      <c r="C10" s="28"/>
      <c r="D10" s="768" t="s">
        <v>1168</v>
      </c>
      <c r="E10" s="35" t="s">
        <v>1169</v>
      </c>
      <c r="F10" s="768" t="s">
        <v>1170</v>
      </c>
      <c r="G10" s="40">
        <v>1</v>
      </c>
      <c r="H10" s="5" t="s">
        <v>665</v>
      </c>
    </row>
    <row r="11" spans="2:11" ht="14.25" customHeight="1">
      <c r="B11" s="21">
        <v>45880</v>
      </c>
      <c r="C11" s="23">
        <v>10010264</v>
      </c>
      <c r="D11" s="768" t="s">
        <v>1171</v>
      </c>
      <c r="E11" s="770" t="s">
        <v>1172</v>
      </c>
      <c r="F11" s="768" t="s">
        <v>1158</v>
      </c>
      <c r="G11" s="40" t="s">
        <v>1173</v>
      </c>
      <c r="H11" s="5" t="s">
        <v>668</v>
      </c>
    </row>
    <row r="12" spans="2:11" ht="14.25" customHeight="1">
      <c r="B12" s="21">
        <v>45880</v>
      </c>
      <c r="C12" s="23">
        <v>10010260</v>
      </c>
      <c r="D12" s="768" t="s">
        <v>1174</v>
      </c>
      <c r="E12" s="770" t="s">
        <v>1175</v>
      </c>
      <c r="F12" s="768" t="s">
        <v>1158</v>
      </c>
      <c r="G12" s="40" t="s">
        <v>1173</v>
      </c>
      <c r="H12" s="5" t="s">
        <v>668</v>
      </c>
    </row>
    <row r="13" spans="2:11" ht="14.25" customHeight="1">
      <c r="B13" s="21">
        <v>45880</v>
      </c>
      <c r="C13" s="23">
        <v>10010261</v>
      </c>
      <c r="D13" s="768" t="s">
        <v>1176</v>
      </c>
      <c r="E13" s="770" t="s">
        <v>1177</v>
      </c>
      <c r="F13" s="768" t="s">
        <v>1158</v>
      </c>
      <c r="G13" s="40" t="s">
        <v>1173</v>
      </c>
      <c r="H13" s="5" t="s">
        <v>668</v>
      </c>
      <c r="J13" s="29" t="s">
        <v>384</v>
      </c>
    </row>
    <row r="14" spans="2:11" ht="14.25" customHeight="1">
      <c r="B14" s="21">
        <v>45880</v>
      </c>
      <c r="C14" s="23">
        <v>10010262</v>
      </c>
      <c r="D14" s="768" t="s">
        <v>1178</v>
      </c>
      <c r="E14" s="770" t="s">
        <v>1179</v>
      </c>
      <c r="F14" s="768" t="s">
        <v>1158</v>
      </c>
      <c r="G14" s="40" t="s">
        <v>1173</v>
      </c>
      <c r="H14" s="5" t="s">
        <v>668</v>
      </c>
      <c r="J14" s="6">
        <v>1</v>
      </c>
      <c r="K14" s="6" t="s">
        <v>685</v>
      </c>
    </row>
    <row r="15" spans="2:11" ht="14.25" customHeight="1">
      <c r="B15" s="21">
        <v>45880</v>
      </c>
      <c r="C15" s="23">
        <v>10010263</v>
      </c>
      <c r="D15" s="768" t="s">
        <v>1180</v>
      </c>
      <c r="E15" s="770" t="s">
        <v>1181</v>
      </c>
      <c r="F15" s="768" t="s">
        <v>1158</v>
      </c>
      <c r="G15" s="771" t="s">
        <v>1173</v>
      </c>
      <c r="H15" s="5" t="s">
        <v>668</v>
      </c>
    </row>
    <row r="16" spans="2:11" ht="14.25" customHeight="1">
      <c r="B16" s="30">
        <v>45967</v>
      </c>
      <c r="C16" s="16">
        <v>30002679</v>
      </c>
      <c r="D16" s="16" t="s">
        <v>1182</v>
      </c>
      <c r="E16" s="31" t="s">
        <v>1183</v>
      </c>
      <c r="F16" s="51" t="s">
        <v>1170</v>
      </c>
      <c r="G16" s="41">
        <v>1</v>
      </c>
      <c r="H16" s="41" t="s">
        <v>665</v>
      </c>
    </row>
    <row r="17" spans="2:8" ht="14.25" customHeight="1">
      <c r="B17" s="94" t="s">
        <v>676</v>
      </c>
      <c r="C17" s="91"/>
      <c r="D17" s="91" t="s">
        <v>1184</v>
      </c>
      <c r="E17" s="90" t="s">
        <v>1185</v>
      </c>
      <c r="F17" s="51" t="s">
        <v>1170</v>
      </c>
      <c r="G17" s="41">
        <v>1</v>
      </c>
      <c r="H17" s="5" t="s">
        <v>668</v>
      </c>
    </row>
    <row r="18" spans="2:8" ht="14.25" customHeight="1">
      <c r="B18" s="94" t="s">
        <v>930</v>
      </c>
      <c r="C18" s="91"/>
      <c r="D18" s="91" t="s">
        <v>1186</v>
      </c>
      <c r="E18" s="90" t="s">
        <v>1187</v>
      </c>
      <c r="F18" s="93" t="s">
        <v>1161</v>
      </c>
      <c r="G18" s="41">
        <v>1</v>
      </c>
      <c r="H18" s="5" t="s">
        <v>668</v>
      </c>
    </row>
    <row r="19" spans="2:8" ht="14.25" customHeight="1">
      <c r="B19" s="30" t="s">
        <v>930</v>
      </c>
      <c r="C19" s="16"/>
      <c r="D19" s="16" t="s">
        <v>1159</v>
      </c>
      <c r="E19" s="61" t="s">
        <v>1188</v>
      </c>
      <c r="F19" s="93" t="s">
        <v>1170</v>
      </c>
      <c r="G19" s="41">
        <v>1</v>
      </c>
      <c r="H19" s="5" t="s">
        <v>668</v>
      </c>
    </row>
    <row r="20" spans="2:8" ht="14.25" customHeight="1">
      <c r="B20" s="95" t="s">
        <v>937</v>
      </c>
      <c r="C20" s="92"/>
      <c r="D20" s="92" t="s">
        <v>1189</v>
      </c>
      <c r="E20" s="31" t="s">
        <v>1190</v>
      </c>
      <c r="F20" s="51" t="s">
        <v>1170</v>
      </c>
      <c r="G20" s="41">
        <v>1</v>
      </c>
      <c r="H20" s="5" t="s">
        <v>665</v>
      </c>
    </row>
    <row r="21" spans="2:8" ht="14.25" customHeight="1">
      <c r="B21" s="30">
        <v>46082</v>
      </c>
      <c r="C21" s="33"/>
      <c r="D21" s="16" t="s">
        <v>1191</v>
      </c>
      <c r="E21" s="37" t="s">
        <v>1192</v>
      </c>
      <c r="F21" s="50" t="s">
        <v>1158</v>
      </c>
      <c r="G21" s="41">
        <v>1</v>
      </c>
      <c r="H21" s="5" t="s">
        <v>668</v>
      </c>
    </row>
    <row r="22" spans="2:8" ht="14.25" customHeight="1">
      <c r="B22" s="30">
        <v>46034</v>
      </c>
      <c r="C22" s="32"/>
      <c r="D22" s="32" t="s">
        <v>1156</v>
      </c>
      <c r="E22" s="38" t="s">
        <v>1193</v>
      </c>
      <c r="F22" s="51" t="s">
        <v>1158</v>
      </c>
      <c r="G22" s="41">
        <v>1</v>
      </c>
      <c r="H22" s="5" t="s">
        <v>668</v>
      </c>
    </row>
    <row r="23" spans="2:8" ht="14.25" customHeight="1">
      <c r="B23" s="30">
        <v>46055</v>
      </c>
      <c r="C23" s="32"/>
      <c r="D23" s="32" t="s">
        <v>1194</v>
      </c>
      <c r="E23" s="38" t="s">
        <v>1195</v>
      </c>
      <c r="F23" s="51" t="s">
        <v>1158</v>
      </c>
      <c r="G23" s="41">
        <v>1</v>
      </c>
      <c r="H23" s="5" t="s">
        <v>668</v>
      </c>
    </row>
    <row r="24" spans="2:8" ht="14.25" customHeight="1">
      <c r="B24" s="30">
        <v>46065</v>
      </c>
      <c r="C24" s="32"/>
      <c r="D24" s="32" t="s">
        <v>1196</v>
      </c>
      <c r="E24" s="38" t="s">
        <v>1197</v>
      </c>
      <c r="F24" s="51" t="s">
        <v>1158</v>
      </c>
      <c r="G24" s="41">
        <v>1</v>
      </c>
      <c r="H24" s="5" t="s">
        <v>668</v>
      </c>
    </row>
    <row r="25" spans="2:8" ht="14.25" customHeight="1">
      <c r="B25" s="766">
        <v>46097</v>
      </c>
      <c r="C25" s="32"/>
      <c r="D25" s="32" t="s">
        <v>1198</v>
      </c>
      <c r="E25" s="38" t="s">
        <v>1199</v>
      </c>
      <c r="F25" s="93" t="s">
        <v>1170</v>
      </c>
      <c r="G25" s="41">
        <v>1</v>
      </c>
      <c r="H25" s="5" t="s">
        <v>1200</v>
      </c>
    </row>
    <row r="26" spans="2:8" ht="14.25" customHeight="1">
      <c r="B26" s="766">
        <v>46108</v>
      </c>
      <c r="C26" s="32"/>
      <c r="D26" s="32" t="s">
        <v>1201</v>
      </c>
      <c r="E26" s="38" t="s">
        <v>1202</v>
      </c>
      <c r="F26" s="43" t="s">
        <v>1161</v>
      </c>
      <c r="G26" s="41" t="s">
        <v>1164</v>
      </c>
      <c r="H26" s="5" t="s">
        <v>668</v>
      </c>
    </row>
    <row r="27" spans="2:8" ht="14.25" customHeight="1">
      <c r="B27" s="766">
        <v>46132</v>
      </c>
      <c r="C27" s="32"/>
      <c r="D27" s="32" t="s">
        <v>1203</v>
      </c>
      <c r="E27" s="38" t="s">
        <v>1204</v>
      </c>
      <c r="F27" s="43" t="s">
        <v>1161</v>
      </c>
      <c r="G27" s="41">
        <v>1</v>
      </c>
      <c r="H27" s="5" t="s">
        <v>668</v>
      </c>
    </row>
    <row r="28" spans="2:8" ht="14.25" customHeight="1">
      <c r="B28" s="766">
        <v>46156</v>
      </c>
      <c r="C28" s="32"/>
      <c r="D28" s="32" t="s">
        <v>1205</v>
      </c>
      <c r="E28" s="38" t="s">
        <v>1206</v>
      </c>
      <c r="F28" s="75" t="s">
        <v>1158</v>
      </c>
      <c r="G28" s="41">
        <v>1</v>
      </c>
      <c r="H28" s="5" t="s">
        <v>668</v>
      </c>
    </row>
    <row r="29" spans="2:8" ht="14.25" customHeight="1">
      <c r="B29" s="766">
        <v>46171</v>
      </c>
      <c r="C29" s="32"/>
      <c r="D29" s="32" t="s">
        <v>1196</v>
      </c>
      <c r="E29" s="38" t="s">
        <v>1207</v>
      </c>
      <c r="F29" s="43" t="s">
        <v>1158</v>
      </c>
      <c r="G29" s="41">
        <v>1</v>
      </c>
      <c r="H29" s="5" t="s">
        <v>668</v>
      </c>
    </row>
    <row r="30" spans="2:8" ht="14.25" customHeight="1">
      <c r="B30" s="766">
        <v>46182</v>
      </c>
      <c r="C30" s="32"/>
      <c r="D30" s="32" t="s">
        <v>1208</v>
      </c>
      <c r="E30" s="38" t="s">
        <v>1209</v>
      </c>
      <c r="F30" s="43" t="s">
        <v>1161</v>
      </c>
      <c r="G30" s="41" t="s">
        <v>1164</v>
      </c>
      <c r="H30" s="5" t="s">
        <v>668</v>
      </c>
    </row>
    <row r="31" spans="2:8" ht="14.25" customHeight="1">
      <c r="B31" s="766"/>
      <c r="C31" s="32"/>
      <c r="D31" s="32"/>
      <c r="E31" s="38"/>
      <c r="F31" s="43"/>
      <c r="G31" s="41"/>
      <c r="H31" s="5"/>
    </row>
    <row r="32" spans="2:8" ht="14.25" customHeight="1">
      <c r="B32" s="766"/>
      <c r="C32" s="32"/>
      <c r="D32" s="32"/>
      <c r="E32" s="38"/>
      <c r="F32" s="43"/>
      <c r="G32" s="41"/>
      <c r="H32" s="5"/>
    </row>
    <row r="33" spans="2:8" ht="14.25" customHeight="1">
      <c r="B33" s="766"/>
      <c r="C33" s="32"/>
      <c r="D33" s="32"/>
      <c r="E33" s="38"/>
      <c r="F33" s="43"/>
      <c r="G33" s="41"/>
      <c r="H33" s="5"/>
    </row>
    <row r="34" spans="2:8" ht="14.25" customHeight="1">
      <c r="B34" s="766"/>
      <c r="C34" s="32"/>
      <c r="D34" s="32"/>
      <c r="E34" s="38"/>
      <c r="F34" s="43"/>
      <c r="G34" s="41"/>
      <c r="H34" s="5"/>
    </row>
    <row r="35" spans="2:8" ht="14.25" customHeight="1">
      <c r="B35" s="766"/>
      <c r="C35" s="32"/>
      <c r="D35" s="32"/>
      <c r="E35" s="38"/>
      <c r="F35" s="43"/>
      <c r="G35" s="41"/>
      <c r="H35" s="5"/>
    </row>
    <row r="36" spans="2:8" ht="14.25" customHeight="1">
      <c r="B36" s="766"/>
      <c r="C36" s="32"/>
      <c r="D36" s="32"/>
      <c r="E36" s="38"/>
      <c r="F36" s="43"/>
      <c r="G36" s="41"/>
      <c r="H36" s="5"/>
    </row>
    <row r="37" spans="2:8" ht="14.25" customHeight="1">
      <c r="B37" s="766"/>
      <c r="C37" s="32"/>
      <c r="D37" s="32"/>
      <c r="E37" s="38"/>
      <c r="F37" s="43"/>
      <c r="G37" s="41"/>
      <c r="H37" s="5"/>
    </row>
    <row r="38" spans="2:8" ht="14.25" customHeight="1">
      <c r="B38" s="766"/>
      <c r="C38" s="32"/>
      <c r="D38" s="32"/>
      <c r="E38" s="38"/>
      <c r="F38" s="43"/>
      <c r="G38" s="41"/>
      <c r="H38" s="5"/>
    </row>
    <row r="39" spans="2:8" ht="14.25" customHeight="1">
      <c r="B39" s="766"/>
      <c r="C39" s="32"/>
      <c r="D39" s="32"/>
      <c r="E39" s="38"/>
      <c r="F39" s="43"/>
      <c r="G39" s="41"/>
      <c r="H39" s="5"/>
    </row>
    <row r="40" spans="2:8" ht="14.25" customHeight="1">
      <c r="B40" s="766"/>
      <c r="C40" s="32"/>
      <c r="D40" s="32"/>
      <c r="E40" s="38"/>
      <c r="F40" s="43"/>
      <c r="G40" s="41"/>
      <c r="H40" s="5"/>
    </row>
    <row r="41" spans="2:8" ht="14.25" customHeight="1">
      <c r="B41" s="766"/>
      <c r="C41" s="32"/>
      <c r="D41" s="32"/>
      <c r="E41" s="38"/>
      <c r="F41" s="43"/>
      <c r="G41" s="41"/>
      <c r="H41" s="5"/>
    </row>
    <row r="42" spans="2:8" ht="14.25" customHeight="1">
      <c r="B42" s="766"/>
      <c r="C42" s="32"/>
      <c r="D42" s="32"/>
      <c r="E42" s="38"/>
      <c r="F42" s="43"/>
      <c r="G42" s="41"/>
      <c r="H42" s="5"/>
    </row>
    <row r="43" spans="2:8" ht="14.25" customHeight="1">
      <c r="B43" s="766"/>
      <c r="C43" s="32"/>
      <c r="D43" s="32"/>
      <c r="E43" s="38"/>
      <c r="F43" s="43"/>
      <c r="G43" s="41"/>
      <c r="H43" s="5"/>
    </row>
    <row r="44" spans="2:8" ht="14.25" customHeight="1">
      <c r="B44" s="766"/>
      <c r="C44" s="32"/>
      <c r="D44" s="32"/>
      <c r="E44" s="38"/>
      <c r="F44" s="43"/>
      <c r="G44" s="41"/>
      <c r="H44" s="5"/>
    </row>
    <row r="45" spans="2:8" ht="14.25" customHeight="1">
      <c r="B45" s="766"/>
      <c r="C45" s="32"/>
      <c r="D45" s="32"/>
      <c r="E45" s="38"/>
      <c r="F45" s="43"/>
      <c r="G45" s="41"/>
      <c r="H45" s="5"/>
    </row>
    <row r="46" spans="2:8" ht="14.25" customHeight="1">
      <c r="B46" s="766"/>
      <c r="C46" s="32"/>
      <c r="D46" s="32"/>
      <c r="E46" s="38"/>
      <c r="F46" s="43"/>
      <c r="G46" s="41"/>
      <c r="H46" s="5"/>
    </row>
    <row r="47" spans="2:8" ht="14.25" customHeight="1">
      <c r="B47" s="766"/>
      <c r="C47" s="32"/>
      <c r="D47" s="32"/>
      <c r="E47" s="38"/>
      <c r="F47" s="43"/>
      <c r="G47" s="41"/>
      <c r="H47" s="5"/>
    </row>
    <row r="48" spans="2:8" ht="14.25" customHeight="1">
      <c r="B48" s="766"/>
      <c r="C48" s="32"/>
      <c r="D48" s="32"/>
      <c r="E48" s="38"/>
      <c r="F48" s="43"/>
      <c r="G48" s="41"/>
      <c r="H48" s="5"/>
    </row>
    <row r="49" spans="2:8" ht="14.25" customHeight="1">
      <c r="B49" s="766"/>
      <c r="C49" s="32"/>
      <c r="D49" s="32"/>
      <c r="E49" s="38"/>
      <c r="F49" s="43"/>
      <c r="G49" s="41"/>
      <c r="H49" s="5"/>
    </row>
    <row r="50" spans="2:8" ht="14.25" customHeight="1">
      <c r="B50" s="766"/>
      <c r="C50" s="32"/>
      <c r="D50" s="32"/>
      <c r="E50" s="38"/>
      <c r="F50" s="43"/>
      <c r="G50" s="41"/>
      <c r="H50" s="5"/>
    </row>
    <row r="51" spans="2:8" ht="14.25" customHeight="1">
      <c r="B51" s="766"/>
      <c r="C51" s="32"/>
      <c r="D51" s="32"/>
      <c r="E51" s="38"/>
      <c r="F51" s="43"/>
      <c r="G51" s="41"/>
      <c r="H51" s="5"/>
    </row>
    <row r="52" spans="2:8" ht="14.25" customHeight="1">
      <c r="B52" s="766"/>
      <c r="C52" s="32"/>
      <c r="D52" s="32"/>
      <c r="E52" s="38"/>
      <c r="F52" s="43"/>
      <c r="G52" s="41"/>
      <c r="H52" s="5"/>
    </row>
    <row r="53" spans="2:8" ht="14.25" customHeight="1">
      <c r="B53" s="766"/>
      <c r="C53" s="32"/>
      <c r="D53" s="32"/>
      <c r="E53" s="38"/>
      <c r="F53" s="43"/>
      <c r="G53" s="41"/>
      <c r="H53" s="5"/>
    </row>
    <row r="54" spans="2:8" ht="14.25" customHeight="1">
      <c r="B54" s="766"/>
      <c r="C54" s="32"/>
      <c r="D54" s="32"/>
      <c r="E54" s="38"/>
      <c r="F54" s="43"/>
      <c r="G54" s="41"/>
      <c r="H54" s="5"/>
    </row>
    <row r="55" spans="2:8" ht="14.25" customHeight="1">
      <c r="B55" s="766"/>
      <c r="C55" s="32"/>
      <c r="D55" s="32"/>
      <c r="E55" s="38"/>
      <c r="F55" s="43"/>
      <c r="G55" s="41"/>
      <c r="H55" s="5"/>
    </row>
    <row r="56" spans="2:8" ht="14.25" customHeight="1">
      <c r="B56" s="766"/>
      <c r="C56" s="32"/>
      <c r="D56" s="32"/>
      <c r="E56" s="38"/>
      <c r="F56" s="43"/>
      <c r="G56" s="41"/>
      <c r="H56" s="5"/>
    </row>
    <row r="57" spans="2:8" ht="14.25" customHeight="1">
      <c r="B57" s="766"/>
      <c r="C57" s="32"/>
      <c r="D57" s="32"/>
      <c r="E57" s="38"/>
      <c r="F57" s="43"/>
      <c r="G57" s="41"/>
      <c r="H57" s="5"/>
    </row>
    <row r="58" spans="2:8" ht="14.25" customHeight="1">
      <c r="B58" s="766"/>
      <c r="C58" s="32"/>
      <c r="D58" s="32"/>
      <c r="E58" s="38"/>
      <c r="F58" s="43"/>
      <c r="G58" s="41"/>
      <c r="H58" s="5"/>
    </row>
    <row r="59" spans="2:8" ht="14.25" customHeight="1">
      <c r="B59" s="766"/>
      <c r="C59" s="32"/>
      <c r="D59" s="32"/>
      <c r="E59" s="38"/>
      <c r="F59" s="43"/>
      <c r="G59" s="41"/>
      <c r="H59" s="5"/>
    </row>
    <row r="60" spans="2:8" ht="14.25" customHeight="1">
      <c r="B60" s="766"/>
      <c r="C60" s="32"/>
      <c r="D60" s="32"/>
      <c r="E60" s="38"/>
      <c r="F60" s="43"/>
      <c r="G60" s="41"/>
      <c r="H60" s="5"/>
    </row>
    <row r="61" spans="2:8" ht="14.25" customHeight="1">
      <c r="B61" s="766"/>
      <c r="C61" s="32"/>
      <c r="D61" s="32"/>
      <c r="E61" s="38"/>
      <c r="F61" s="43"/>
      <c r="G61" s="41"/>
      <c r="H61" s="5"/>
    </row>
    <row r="62" spans="2:8" ht="14.25" customHeight="1">
      <c r="B62" s="766"/>
      <c r="C62" s="32"/>
      <c r="D62" s="32"/>
      <c r="E62" s="38"/>
      <c r="F62" s="43"/>
      <c r="G62" s="41"/>
      <c r="H62" s="5"/>
    </row>
    <row r="63" spans="2:8" ht="14.25" customHeight="1">
      <c r="B63" s="766"/>
      <c r="C63" s="32"/>
      <c r="D63" s="32"/>
      <c r="E63" s="38"/>
      <c r="F63" s="43"/>
      <c r="G63" s="41"/>
      <c r="H63" s="5"/>
    </row>
    <row r="64" spans="2:8" ht="14.25" customHeight="1">
      <c r="B64" s="766"/>
      <c r="C64" s="32"/>
      <c r="D64" s="32"/>
      <c r="E64" s="38"/>
      <c r="F64" s="43"/>
      <c r="G64" s="41"/>
      <c r="H64" s="5"/>
    </row>
    <row r="65" spans="2:8" ht="14.25" customHeight="1">
      <c r="B65" s="766"/>
      <c r="C65" s="32"/>
      <c r="D65" s="32"/>
      <c r="E65" s="38"/>
      <c r="F65" s="43"/>
      <c r="G65" s="41"/>
      <c r="H65" s="5"/>
    </row>
    <row r="66" spans="2:8" ht="14.25" customHeight="1">
      <c r="B66" s="766"/>
      <c r="C66" s="32"/>
      <c r="D66" s="32"/>
      <c r="E66" s="38"/>
      <c r="F66" s="43"/>
      <c r="G66" s="41"/>
      <c r="H66" s="5"/>
    </row>
    <row r="67" spans="2:8" ht="14.25" customHeight="1">
      <c r="B67" s="766"/>
      <c r="C67" s="32"/>
      <c r="D67" s="32"/>
      <c r="E67" s="38"/>
      <c r="F67" s="43"/>
      <c r="G67" s="41"/>
      <c r="H67" s="5"/>
    </row>
    <row r="68" spans="2:8" ht="14.25" customHeight="1">
      <c r="B68" s="766"/>
      <c r="C68" s="32"/>
      <c r="D68" s="32"/>
      <c r="E68" s="38"/>
      <c r="F68" s="43"/>
      <c r="G68" s="41"/>
      <c r="H68" s="5"/>
    </row>
    <row r="69" spans="2:8" ht="14.25" customHeight="1">
      <c r="B69" s="766"/>
      <c r="C69" s="32"/>
      <c r="D69" s="32"/>
      <c r="E69" s="38"/>
      <c r="F69" s="43"/>
      <c r="G69" s="41"/>
      <c r="H69" s="5"/>
    </row>
    <row r="70" spans="2:8" ht="14.25" customHeight="1">
      <c r="B70" s="766"/>
      <c r="C70" s="32"/>
      <c r="D70" s="32"/>
      <c r="E70" s="38"/>
      <c r="F70" s="43"/>
      <c r="G70" s="41"/>
      <c r="H70" s="5"/>
    </row>
    <row r="71" spans="2:8" ht="14.25" customHeight="1">
      <c r="B71" s="766"/>
      <c r="C71" s="32"/>
      <c r="D71" s="32"/>
      <c r="E71" s="38"/>
      <c r="F71" s="43"/>
      <c r="G71" s="41"/>
      <c r="H71" s="5"/>
    </row>
    <row r="72" spans="2:8" ht="14.25" customHeight="1">
      <c r="B72" s="766"/>
      <c r="C72" s="32"/>
      <c r="D72" s="32"/>
      <c r="E72" s="38"/>
      <c r="F72" s="43"/>
      <c r="G72" s="41"/>
      <c r="H72" s="5"/>
    </row>
    <row r="73" spans="2:8" ht="14.25" customHeight="1">
      <c r="B73" s="766"/>
      <c r="C73" s="32"/>
      <c r="D73" s="32"/>
      <c r="E73" s="38"/>
      <c r="F73" s="43"/>
      <c r="G73" s="41"/>
      <c r="H73" s="5"/>
    </row>
    <row r="74" spans="2:8" ht="14.25" customHeight="1">
      <c r="B74" s="766"/>
      <c r="C74" s="32"/>
      <c r="D74" s="32"/>
      <c r="E74" s="38"/>
      <c r="F74" s="43"/>
      <c r="G74" s="41"/>
      <c r="H74" s="5"/>
    </row>
    <row r="75" spans="2:8" ht="14.25" customHeight="1">
      <c r="B75" s="766"/>
      <c r="C75" s="32"/>
      <c r="D75" s="32"/>
      <c r="E75" s="38"/>
      <c r="F75" s="43"/>
      <c r="G75" s="41"/>
      <c r="H75" s="5"/>
    </row>
    <row r="76" spans="2:8" ht="14.25" customHeight="1">
      <c r="B76" s="766"/>
      <c r="C76" s="32"/>
      <c r="D76" s="32"/>
      <c r="E76" s="38"/>
      <c r="F76" s="43"/>
      <c r="G76" s="41"/>
      <c r="H76" s="5"/>
    </row>
    <row r="77" spans="2:8" ht="14.25" customHeight="1">
      <c r="B77" s="766"/>
      <c r="C77" s="32"/>
      <c r="D77" s="32"/>
      <c r="E77" s="38"/>
      <c r="F77" s="43"/>
      <c r="G77" s="41"/>
      <c r="H77" s="5"/>
    </row>
    <row r="78" spans="2:8" ht="14.25" customHeight="1">
      <c r="B78" s="766"/>
      <c r="C78" s="32"/>
      <c r="D78" s="32"/>
      <c r="E78" s="38"/>
      <c r="F78" s="43"/>
      <c r="G78" s="41"/>
      <c r="H78" s="5"/>
    </row>
    <row r="79" spans="2:8" ht="14.25" customHeight="1">
      <c r="B79" s="766"/>
      <c r="C79" s="32"/>
      <c r="D79" s="32"/>
      <c r="E79" s="38"/>
      <c r="F79" s="43"/>
      <c r="G79" s="41"/>
      <c r="H79" s="5"/>
    </row>
    <row r="80" spans="2:8" ht="14.25" customHeight="1">
      <c r="B80" s="766"/>
      <c r="C80" s="32"/>
      <c r="D80" s="32"/>
      <c r="E80" s="38"/>
      <c r="F80" s="43"/>
      <c r="G80" s="41"/>
      <c r="H80" s="5"/>
    </row>
    <row r="81" spans="2:8" ht="14.25" customHeight="1">
      <c r="B81" s="766"/>
      <c r="C81" s="32"/>
      <c r="D81" s="32"/>
      <c r="E81" s="38"/>
      <c r="F81" s="43"/>
      <c r="G81" s="41"/>
      <c r="H81" s="5"/>
    </row>
    <row r="82" spans="2:8" ht="14.25" customHeight="1">
      <c r="B82" s="766"/>
      <c r="C82" s="32"/>
      <c r="D82" s="32"/>
      <c r="E82" s="38"/>
      <c r="F82" s="43"/>
      <c r="G82" s="41"/>
      <c r="H82" s="5"/>
    </row>
    <row r="83" spans="2:8" ht="14.25" customHeight="1">
      <c r="B83" s="766"/>
      <c r="C83" s="32"/>
      <c r="D83" s="32"/>
      <c r="E83" s="38"/>
      <c r="F83" s="43"/>
      <c r="G83" s="41"/>
      <c r="H83" s="5"/>
    </row>
    <row r="84" spans="2:8" ht="14.25" customHeight="1">
      <c r="B84" s="766"/>
      <c r="C84" s="32"/>
      <c r="D84" s="32"/>
      <c r="E84" s="38"/>
      <c r="F84" s="43"/>
      <c r="G84" s="41"/>
      <c r="H84" s="5"/>
    </row>
    <row r="85" spans="2:8" ht="14.25" customHeight="1">
      <c r="B85" s="766"/>
      <c r="C85" s="32"/>
      <c r="D85" s="32"/>
      <c r="E85" s="38"/>
      <c r="F85" s="43"/>
      <c r="G85" s="41"/>
      <c r="H85" s="5"/>
    </row>
    <row r="86" spans="2:8" ht="14.25" customHeight="1">
      <c r="B86" s="766"/>
      <c r="C86" s="32"/>
      <c r="D86" s="32"/>
      <c r="E86" s="38"/>
      <c r="F86" s="43"/>
      <c r="G86" s="41"/>
      <c r="H86" s="5"/>
    </row>
    <row r="87" spans="2:8" ht="14.25" customHeight="1">
      <c r="B87" s="766"/>
      <c r="C87" s="32"/>
      <c r="D87" s="32"/>
      <c r="E87" s="38"/>
      <c r="F87" s="43"/>
      <c r="G87" s="41"/>
      <c r="H87" s="5"/>
    </row>
    <row r="88" spans="2:8" ht="14.25" customHeight="1">
      <c r="B88" s="766"/>
      <c r="C88" s="32"/>
      <c r="D88" s="32"/>
      <c r="E88" s="38"/>
      <c r="F88" s="43"/>
      <c r="G88" s="41"/>
      <c r="H88" s="5"/>
    </row>
    <row r="89" spans="2:8" ht="14.25" customHeight="1">
      <c r="B89" s="766"/>
      <c r="C89" s="32"/>
      <c r="D89" s="32"/>
      <c r="E89" s="38"/>
      <c r="F89" s="43"/>
      <c r="G89" s="41"/>
      <c r="H89" s="5"/>
    </row>
    <row r="90" spans="2:8" ht="14.25" customHeight="1">
      <c r="B90" s="766"/>
      <c r="C90" s="32"/>
      <c r="D90" s="32"/>
      <c r="E90" s="38"/>
      <c r="F90" s="43"/>
      <c r="G90" s="41"/>
      <c r="H90" s="5"/>
    </row>
    <row r="91" spans="2:8" ht="14.25" customHeight="1">
      <c r="B91" s="766"/>
      <c r="C91" s="32"/>
      <c r="D91" s="32"/>
      <c r="E91" s="38"/>
      <c r="F91" s="43"/>
      <c r="G91" s="41"/>
      <c r="H91" s="5"/>
    </row>
    <row r="92" spans="2:8" ht="14.25" customHeight="1">
      <c r="B92" s="766"/>
      <c r="C92" s="32"/>
      <c r="D92" s="32"/>
      <c r="E92" s="38"/>
      <c r="F92" s="43"/>
      <c r="G92" s="41"/>
      <c r="H92" s="5"/>
    </row>
    <row r="93" spans="2:8" ht="14.25" customHeight="1">
      <c r="B93" s="766"/>
      <c r="C93" s="32"/>
      <c r="D93" s="32"/>
      <c r="E93" s="38"/>
      <c r="F93" s="43"/>
      <c r="G93" s="41"/>
      <c r="H93" s="5"/>
    </row>
    <row r="94" spans="2:8" ht="14.25" customHeight="1">
      <c r="B94" s="766"/>
      <c r="C94" s="32"/>
      <c r="D94" s="32"/>
      <c r="E94" s="38"/>
      <c r="F94" s="43"/>
      <c r="G94" s="41"/>
      <c r="H94" s="5"/>
    </row>
    <row r="95" spans="2:8" ht="14.25" customHeight="1">
      <c r="B95" s="766"/>
      <c r="C95" s="32"/>
      <c r="D95" s="32"/>
      <c r="E95" s="38"/>
      <c r="F95" s="43"/>
      <c r="G95" s="41"/>
      <c r="H95" s="5"/>
    </row>
    <row r="96" spans="2:8" ht="14.25" customHeight="1">
      <c r="B96" s="766"/>
      <c r="C96" s="32"/>
      <c r="D96" s="32"/>
      <c r="E96" s="38"/>
      <c r="F96" s="43"/>
      <c r="G96" s="41"/>
      <c r="H96" s="5"/>
    </row>
    <row r="97" spans="2:8" ht="14.25" customHeight="1">
      <c r="B97" s="766"/>
      <c r="C97" s="32"/>
      <c r="D97" s="32"/>
      <c r="E97" s="38"/>
      <c r="F97" s="43"/>
      <c r="G97" s="41"/>
      <c r="H97" s="5"/>
    </row>
    <row r="98" spans="2:8" ht="14.25" customHeight="1">
      <c r="B98" s="766"/>
      <c r="C98" s="32"/>
      <c r="D98" s="32"/>
      <c r="E98" s="38"/>
      <c r="F98" s="43"/>
      <c r="G98" s="41"/>
      <c r="H98" s="5"/>
    </row>
    <row r="99" spans="2:8" ht="14.25" customHeight="1">
      <c r="B99" s="766"/>
      <c r="C99" s="32"/>
      <c r="D99" s="32"/>
      <c r="E99" s="38"/>
      <c r="F99" s="43"/>
      <c r="G99" s="41"/>
      <c r="H99" s="5"/>
    </row>
    <row r="100" spans="2:8" ht="14.25" customHeight="1">
      <c r="B100" s="766"/>
      <c r="C100" s="32"/>
      <c r="D100" s="32"/>
      <c r="E100" s="38"/>
      <c r="F100" s="43"/>
      <c r="G100" s="41"/>
      <c r="H100" s="5"/>
    </row>
    <row r="101" spans="2:8" ht="14.25" customHeight="1">
      <c r="B101" s="766"/>
      <c r="C101" s="32"/>
      <c r="D101" s="32"/>
      <c r="E101" s="38"/>
      <c r="F101" s="43"/>
      <c r="G101" s="41"/>
      <c r="H101" s="5"/>
    </row>
    <row r="102" spans="2:8" ht="14.25" customHeight="1">
      <c r="B102" s="766"/>
      <c r="C102" s="32"/>
      <c r="D102" s="32"/>
      <c r="E102" s="38"/>
      <c r="F102" s="43"/>
      <c r="G102" s="41"/>
      <c r="H102" s="5"/>
    </row>
    <row r="103" spans="2:8" ht="14.25" customHeight="1">
      <c r="B103" s="766"/>
      <c r="C103" s="32"/>
      <c r="D103" s="32"/>
      <c r="E103" s="38"/>
      <c r="F103" s="43"/>
      <c r="G103" s="41"/>
      <c r="H103" s="5"/>
    </row>
    <row r="104" spans="2:8" ht="14.25" customHeight="1">
      <c r="B104" s="766"/>
      <c r="C104" s="32"/>
      <c r="D104" s="32"/>
      <c r="E104" s="38"/>
      <c r="F104" s="43"/>
      <c r="G104" s="41"/>
      <c r="H104" s="5"/>
    </row>
    <row r="105" spans="2:8" ht="14.25" customHeight="1">
      <c r="B105" s="766"/>
      <c r="C105" s="32"/>
      <c r="D105" s="32"/>
      <c r="E105" s="38"/>
      <c r="F105" s="43"/>
      <c r="G105" s="41"/>
      <c r="H105" s="5"/>
    </row>
    <row r="106" spans="2:8" ht="14.25" customHeight="1">
      <c r="B106" s="766"/>
      <c r="C106" s="32"/>
      <c r="D106" s="32"/>
      <c r="E106" s="38"/>
      <c r="F106" s="43"/>
      <c r="G106" s="41"/>
      <c r="H106" s="5"/>
    </row>
    <row r="107" spans="2:8" ht="14.25" customHeight="1">
      <c r="B107" s="766"/>
      <c r="C107" s="32"/>
      <c r="D107" s="32"/>
      <c r="E107" s="38"/>
      <c r="F107" s="43"/>
      <c r="G107" s="41"/>
      <c r="H107" s="5"/>
    </row>
    <row r="108" spans="2:8" ht="14.25" customHeight="1">
      <c r="B108" s="766"/>
      <c r="C108" s="32"/>
      <c r="D108" s="32"/>
      <c r="E108" s="38"/>
      <c r="F108" s="43"/>
      <c r="G108" s="41"/>
      <c r="H108" s="5"/>
    </row>
    <row r="109" spans="2:8" ht="14.25" customHeight="1">
      <c r="B109" s="766"/>
      <c r="C109" s="32"/>
      <c r="D109" s="32"/>
      <c r="E109" s="38"/>
      <c r="F109" s="43"/>
      <c r="G109" s="41"/>
      <c r="H109" s="5"/>
    </row>
    <row r="110" spans="2:8" ht="14.25" customHeight="1">
      <c r="B110" s="766"/>
      <c r="C110" s="32"/>
      <c r="D110" s="32"/>
      <c r="E110" s="38"/>
      <c r="F110" s="43"/>
      <c r="G110" s="41"/>
      <c r="H110" s="5"/>
    </row>
    <row r="111" spans="2:8" ht="14.25" customHeight="1">
      <c r="B111" s="766"/>
      <c r="C111" s="32"/>
      <c r="D111" s="32"/>
      <c r="E111" s="38"/>
      <c r="F111" s="43"/>
      <c r="G111" s="41"/>
      <c r="H111" s="5"/>
    </row>
    <row r="112" spans="2:8" ht="14.25" customHeight="1">
      <c r="B112" s="766"/>
      <c r="C112" s="32"/>
      <c r="D112" s="32"/>
      <c r="E112" s="38"/>
      <c r="F112" s="43"/>
      <c r="G112" s="41"/>
      <c r="H112" s="5"/>
    </row>
    <row r="113" spans="2:8" ht="14.25" customHeight="1">
      <c r="B113" s="766"/>
      <c r="C113" s="32"/>
      <c r="D113" s="32"/>
      <c r="E113" s="38"/>
      <c r="F113" s="43"/>
      <c r="G113" s="41"/>
      <c r="H113" s="5"/>
    </row>
    <row r="114" spans="2:8" ht="14.25" customHeight="1">
      <c r="B114" s="766"/>
      <c r="C114" s="32"/>
      <c r="D114" s="32"/>
      <c r="E114" s="38"/>
      <c r="F114" s="43"/>
      <c r="G114" s="41"/>
      <c r="H114" s="5"/>
    </row>
    <row r="115" spans="2:8" ht="14.25" customHeight="1">
      <c r="B115" s="766"/>
      <c r="C115" s="32"/>
      <c r="D115" s="32"/>
      <c r="E115" s="38"/>
      <c r="F115" s="43"/>
      <c r="G115" s="41"/>
      <c r="H115" s="5"/>
    </row>
    <row r="116" spans="2:8" ht="14.25" customHeight="1">
      <c r="B116" s="766"/>
      <c r="C116" s="32"/>
      <c r="D116" s="32"/>
      <c r="E116" s="38"/>
      <c r="F116" s="43"/>
      <c r="G116" s="41"/>
      <c r="H116" s="5"/>
    </row>
    <row r="117" spans="2:8" ht="14.25" customHeight="1">
      <c r="B117" s="766"/>
      <c r="C117" s="32"/>
      <c r="D117" s="32"/>
      <c r="E117" s="38"/>
      <c r="F117" s="43"/>
      <c r="G117" s="41"/>
      <c r="H117" s="5"/>
    </row>
    <row r="118" spans="2:8" ht="14.25" customHeight="1">
      <c r="B118" s="766"/>
      <c r="C118" s="32"/>
      <c r="D118" s="32"/>
      <c r="E118" s="38"/>
      <c r="F118" s="43"/>
      <c r="G118" s="41"/>
      <c r="H118" s="5"/>
    </row>
    <row r="119" spans="2:8" ht="14.25" customHeight="1">
      <c r="B119" s="766"/>
      <c r="C119" s="32"/>
      <c r="D119" s="32"/>
      <c r="E119" s="38"/>
      <c r="F119" s="43"/>
      <c r="G119" s="41"/>
      <c r="H119" s="5"/>
    </row>
    <row r="120" spans="2:8" ht="14.25" customHeight="1">
      <c r="B120" s="766"/>
      <c r="C120" s="32"/>
      <c r="D120" s="32"/>
      <c r="E120" s="38"/>
      <c r="F120" s="43"/>
      <c r="G120" s="41"/>
      <c r="H120" s="5"/>
    </row>
    <row r="121" spans="2:8" ht="14.25" customHeight="1">
      <c r="B121" s="766"/>
      <c r="C121" s="32"/>
      <c r="D121" s="32"/>
      <c r="E121" s="38"/>
      <c r="F121" s="43"/>
      <c r="G121" s="41"/>
      <c r="H121" s="5"/>
    </row>
    <row r="122" spans="2:8" ht="14.25" customHeight="1">
      <c r="B122" s="766"/>
      <c r="C122" s="32"/>
      <c r="D122" s="32"/>
      <c r="E122" s="38"/>
      <c r="F122" s="43"/>
      <c r="G122" s="41"/>
      <c r="H122" s="5"/>
    </row>
    <row r="123" spans="2:8" ht="14.25" customHeight="1">
      <c r="B123" s="766"/>
      <c r="C123" s="32"/>
      <c r="D123" s="32"/>
      <c r="E123" s="38"/>
      <c r="F123" s="43"/>
      <c r="G123" s="41"/>
      <c r="H123" s="5"/>
    </row>
    <row r="124" spans="2:8" ht="14.25" customHeight="1">
      <c r="B124" s="766"/>
      <c r="C124" s="32"/>
      <c r="D124" s="32"/>
      <c r="E124" s="38"/>
      <c r="F124" s="43"/>
      <c r="G124" s="41"/>
      <c r="H124" s="5"/>
    </row>
    <row r="125" spans="2:8" ht="14.25" customHeight="1">
      <c r="B125" s="766"/>
      <c r="C125" s="32"/>
      <c r="D125" s="32"/>
      <c r="E125" s="38"/>
      <c r="F125" s="43"/>
      <c r="G125" s="41"/>
      <c r="H125" s="5"/>
    </row>
    <row r="126" spans="2:8" ht="14.25" customHeight="1">
      <c r="B126" s="766"/>
      <c r="C126" s="32"/>
      <c r="D126" s="32"/>
      <c r="E126" s="38"/>
      <c r="F126" s="43"/>
      <c r="G126" s="41"/>
      <c r="H126" s="5"/>
    </row>
    <row r="127" spans="2:8" ht="14.25" customHeight="1">
      <c r="B127" s="766"/>
      <c r="C127" s="32"/>
      <c r="D127" s="32"/>
      <c r="E127" s="38"/>
      <c r="F127" s="43"/>
      <c r="G127" s="41"/>
      <c r="H127" s="5"/>
    </row>
    <row r="128" spans="2:8" ht="14.25" customHeight="1">
      <c r="B128" s="766"/>
      <c r="C128" s="32"/>
      <c r="D128" s="32"/>
      <c r="E128" s="38"/>
      <c r="F128" s="43"/>
      <c r="G128" s="41"/>
      <c r="H128" s="5"/>
    </row>
    <row r="129" spans="2:8" ht="14.25" customHeight="1">
      <c r="B129" s="766"/>
      <c r="C129" s="32"/>
      <c r="D129" s="32"/>
      <c r="E129" s="38"/>
      <c r="F129" s="43"/>
      <c r="G129" s="41"/>
      <c r="H129" s="5"/>
    </row>
    <row r="130" spans="2:8" ht="14.25" customHeight="1">
      <c r="B130" s="766"/>
      <c r="C130" s="32"/>
      <c r="D130" s="32"/>
      <c r="E130" s="38"/>
      <c r="F130" s="43"/>
      <c r="G130" s="41"/>
      <c r="H130" s="5"/>
    </row>
    <row r="131" spans="2:8" ht="14.25" customHeight="1">
      <c r="B131" s="766"/>
      <c r="C131" s="32"/>
      <c r="D131" s="32"/>
      <c r="E131" s="38"/>
      <c r="F131" s="43"/>
      <c r="G131" s="41"/>
      <c r="H131" s="5"/>
    </row>
    <row r="132" spans="2:8" ht="14.25" customHeight="1">
      <c r="B132" s="766"/>
      <c r="C132" s="32"/>
      <c r="D132" s="32"/>
      <c r="E132" s="38"/>
      <c r="F132" s="43"/>
      <c r="G132" s="41"/>
      <c r="H132" s="5"/>
    </row>
    <row r="133" spans="2:8" ht="14.25" customHeight="1">
      <c r="B133" s="766"/>
      <c r="C133" s="32"/>
      <c r="D133" s="32"/>
      <c r="E133" s="38"/>
      <c r="F133" s="43"/>
      <c r="G133" s="41"/>
      <c r="H133" s="5"/>
    </row>
    <row r="134" spans="2:8" ht="14.25" customHeight="1">
      <c r="B134" s="766"/>
      <c r="C134" s="32"/>
      <c r="D134" s="32"/>
      <c r="E134" s="38"/>
      <c r="F134" s="43"/>
      <c r="G134" s="41"/>
      <c r="H134" s="5"/>
    </row>
    <row r="135" spans="2:8" ht="14.25" customHeight="1">
      <c r="B135" s="766"/>
      <c r="C135" s="32"/>
      <c r="D135" s="32"/>
      <c r="E135" s="38"/>
      <c r="F135" s="43"/>
      <c r="G135" s="41"/>
      <c r="H135" s="5"/>
    </row>
    <row r="136" spans="2:8" ht="14.25" customHeight="1">
      <c r="B136" s="766"/>
      <c r="C136" s="32"/>
      <c r="D136" s="32"/>
      <c r="E136" s="38"/>
      <c r="F136" s="43"/>
      <c r="G136" s="41"/>
      <c r="H136" s="5"/>
    </row>
    <row r="137" spans="2:8" ht="14.25" customHeight="1">
      <c r="B137" s="766"/>
      <c r="C137" s="32"/>
      <c r="D137" s="32"/>
      <c r="E137" s="38"/>
      <c r="F137" s="43"/>
      <c r="G137" s="41"/>
      <c r="H137" s="5"/>
    </row>
    <row r="138" spans="2:8" ht="14.25" customHeight="1">
      <c r="B138" s="766"/>
      <c r="C138" s="32"/>
      <c r="D138" s="32"/>
      <c r="E138" s="38"/>
      <c r="F138" s="43"/>
      <c r="G138" s="41"/>
      <c r="H138" s="5"/>
    </row>
    <row r="139" spans="2:8" ht="14.25" customHeight="1">
      <c r="B139" s="766"/>
      <c r="C139" s="32"/>
      <c r="D139" s="32"/>
      <c r="E139" s="38"/>
      <c r="F139" s="43"/>
      <c r="G139" s="41"/>
      <c r="H139" s="5"/>
    </row>
    <row r="140" spans="2:8" ht="14.25" customHeight="1">
      <c r="B140" s="766"/>
      <c r="C140" s="32"/>
      <c r="D140" s="32"/>
      <c r="E140" s="38"/>
      <c r="F140" s="43"/>
      <c r="G140" s="41"/>
      <c r="H140" s="5"/>
    </row>
    <row r="141" spans="2:8" ht="14.25" customHeight="1">
      <c r="B141" s="766"/>
      <c r="C141" s="32"/>
      <c r="D141" s="32"/>
      <c r="E141" s="38"/>
      <c r="F141" s="43"/>
      <c r="G141" s="41"/>
      <c r="H141" s="5"/>
    </row>
    <row r="142" spans="2:8" ht="14.25" customHeight="1">
      <c r="B142" s="766"/>
      <c r="C142" s="32"/>
      <c r="D142" s="32"/>
      <c r="E142" s="38"/>
      <c r="F142" s="43"/>
      <c r="G142" s="41"/>
      <c r="H142" s="5"/>
    </row>
    <row r="143" spans="2:8" ht="14.25" customHeight="1">
      <c r="B143" s="766"/>
      <c r="C143" s="32"/>
      <c r="D143" s="32"/>
      <c r="E143" s="38"/>
      <c r="F143" s="43"/>
      <c r="G143" s="41"/>
      <c r="H143" s="5"/>
    </row>
    <row r="144" spans="2:8" ht="14.25" customHeight="1">
      <c r="B144" s="766"/>
      <c r="C144" s="32"/>
      <c r="D144" s="32"/>
      <c r="E144" s="38"/>
      <c r="F144" s="43"/>
      <c r="G144" s="41"/>
      <c r="H144" s="5"/>
    </row>
    <row r="145" spans="2:8" ht="14.25" customHeight="1">
      <c r="B145" s="766"/>
      <c r="C145" s="32"/>
      <c r="D145" s="32"/>
      <c r="E145" s="38"/>
      <c r="F145" s="43"/>
      <c r="G145" s="41"/>
      <c r="H145" s="5"/>
    </row>
    <row r="146" spans="2:8" ht="14.25" customHeight="1">
      <c r="B146" s="766"/>
      <c r="C146" s="32"/>
      <c r="D146" s="32"/>
      <c r="E146" s="38"/>
      <c r="F146" s="43"/>
      <c r="G146" s="41"/>
      <c r="H146" s="5"/>
    </row>
    <row r="147" spans="2:8" ht="14.25" customHeight="1">
      <c r="B147" s="766"/>
      <c r="C147" s="32"/>
      <c r="D147" s="32"/>
      <c r="E147" s="38"/>
      <c r="F147" s="43"/>
      <c r="G147" s="41"/>
      <c r="H147" s="5"/>
    </row>
    <row r="148" spans="2:8" ht="14.25" customHeight="1">
      <c r="B148" s="766"/>
      <c r="C148" s="32"/>
      <c r="D148" s="32"/>
      <c r="E148" s="38"/>
      <c r="F148" s="43"/>
      <c r="G148" s="41"/>
      <c r="H148" s="5"/>
    </row>
    <row r="149" spans="2:8" ht="14.25" customHeight="1">
      <c r="B149" s="766"/>
      <c r="C149" s="32"/>
      <c r="D149" s="32"/>
      <c r="E149" s="38"/>
      <c r="F149" s="43"/>
      <c r="G149" s="41"/>
      <c r="H149" s="5"/>
    </row>
    <row r="150" spans="2:8" ht="14.25" customHeight="1">
      <c r="B150" s="766"/>
      <c r="C150" s="32"/>
      <c r="D150" s="32"/>
      <c r="E150" s="38"/>
      <c r="F150" s="43"/>
      <c r="G150" s="41"/>
      <c r="H150" s="5"/>
    </row>
    <row r="151" spans="2:8" ht="14.25" customHeight="1">
      <c r="B151" s="766"/>
      <c r="C151" s="32"/>
      <c r="D151" s="32"/>
      <c r="E151" s="38"/>
      <c r="F151" s="43"/>
      <c r="G151" s="41"/>
      <c r="H151" s="5"/>
    </row>
    <row r="152" spans="2:8" ht="14.25" customHeight="1"/>
    <row r="153" spans="2:8" ht="14.25" customHeight="1"/>
    <row r="154" spans="2:8" ht="14.25" customHeight="1"/>
    <row r="155" spans="2:8" ht="14.25" customHeight="1"/>
    <row r="156" spans="2:8" ht="14.25" customHeight="1"/>
    <row r="157" spans="2:8" ht="14.25" customHeight="1"/>
    <row r="158" spans="2:8" ht="14.25" customHeight="1"/>
    <row r="159" spans="2:8" ht="14.25" customHeight="1"/>
    <row r="160" spans="2:8"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sheetData>
  <autoFilter ref="B5:H5" xr:uid="{72A296BB-29D1-4AEA-935C-F23797972B4C}"/>
  <mergeCells count="1">
    <mergeCell ref="B3:H3"/>
  </mergeCells>
  <pageMargins left="0.7" right="0.7" top="0.75" bottom="0.75" header="0.3" footer="0.3"/>
  <drawing r:id="rId1"/>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5104F-0591-4421-9602-94318FF6D5DB}">
  <sheetPr codeName="Hoja26">
    <tabColor rgb="FFD9D9D9"/>
  </sheetPr>
  <dimension ref="B3:K998"/>
  <sheetViews>
    <sheetView topLeftCell="A19" workbookViewId="0">
      <selection activeCell="I14" sqref="I14"/>
    </sheetView>
  </sheetViews>
  <sheetFormatPr baseColWidth="10" defaultColWidth="14.42578125" defaultRowHeight="15"/>
  <cols>
    <col min="1" max="1" width="10.7109375" customWidth="1"/>
    <col min="2" max="2" width="17.7109375" customWidth="1"/>
    <col min="3" max="3" width="16.140625" customWidth="1"/>
    <col min="4" max="4" width="14.42578125" style="56" customWidth="1"/>
    <col min="5" max="5" width="111.140625" customWidth="1"/>
    <col min="6" max="6" width="42.5703125" bestFit="1" customWidth="1"/>
    <col min="7" max="7" width="18.5703125" customWidth="1"/>
    <col min="8" max="10" width="10.7109375" customWidth="1"/>
    <col min="11" max="11" width="26.7109375" customWidth="1"/>
    <col min="12" max="27" width="10.7109375" customWidth="1"/>
  </cols>
  <sheetData>
    <row r="3" spans="2:11" ht="26.25">
      <c r="B3" s="1538" t="s">
        <v>651</v>
      </c>
      <c r="C3" s="1539"/>
      <c r="D3" s="1539"/>
      <c r="E3" s="1539"/>
      <c r="F3" s="1539"/>
      <c r="G3" s="1539"/>
      <c r="H3" s="1540"/>
    </row>
    <row r="4" spans="2:11" ht="14.25" customHeight="1"/>
    <row r="5" spans="2:11" ht="14.25" customHeight="1">
      <c r="B5" s="63" t="s">
        <v>652</v>
      </c>
      <c r="C5" s="64" t="s">
        <v>653</v>
      </c>
      <c r="D5" s="64" t="s">
        <v>254</v>
      </c>
      <c r="E5" s="64" t="s">
        <v>654</v>
      </c>
      <c r="F5" s="64" t="s">
        <v>655</v>
      </c>
      <c r="G5" s="47" t="s">
        <v>384</v>
      </c>
      <c r="H5" s="42" t="s">
        <v>656</v>
      </c>
      <c r="J5" s="20"/>
    </row>
    <row r="6" spans="2:11" ht="14.25" customHeight="1">
      <c r="B6" s="68">
        <v>45931</v>
      </c>
      <c r="C6" s="69">
        <v>20005447</v>
      </c>
      <c r="D6" s="69" t="s">
        <v>1210</v>
      </c>
      <c r="E6" s="70" t="s">
        <v>1211</v>
      </c>
      <c r="F6" s="70" t="s">
        <v>1212</v>
      </c>
      <c r="G6" s="71">
        <v>1</v>
      </c>
      <c r="H6" s="52" t="s">
        <v>526</v>
      </c>
      <c r="J6" s="25" t="s">
        <v>528</v>
      </c>
      <c r="K6" s="26" t="s">
        <v>662</v>
      </c>
    </row>
    <row r="7" spans="2:11" ht="14.25" customHeight="1">
      <c r="B7" s="68">
        <v>45974</v>
      </c>
      <c r="C7" s="69">
        <v>20005448</v>
      </c>
      <c r="D7" s="69" t="s">
        <v>1213</v>
      </c>
      <c r="E7" s="70" t="s">
        <v>1214</v>
      </c>
      <c r="F7" s="70" t="s">
        <v>1212</v>
      </c>
      <c r="G7" s="71">
        <v>1</v>
      </c>
      <c r="H7" s="52" t="s">
        <v>526</v>
      </c>
      <c r="J7" s="25" t="s">
        <v>527</v>
      </c>
      <c r="K7" s="26" t="s">
        <v>665</v>
      </c>
    </row>
    <row r="8" spans="2:11" ht="14.25" customHeight="1">
      <c r="B8" s="68">
        <v>45931</v>
      </c>
      <c r="C8" s="69">
        <v>10016649</v>
      </c>
      <c r="D8" s="69" t="s">
        <v>1215</v>
      </c>
      <c r="E8" s="70" t="s">
        <v>1216</v>
      </c>
      <c r="F8" s="70" t="s">
        <v>1212</v>
      </c>
      <c r="G8" s="71"/>
      <c r="H8" s="52" t="s">
        <v>526</v>
      </c>
      <c r="J8" s="25" t="s">
        <v>526</v>
      </c>
      <c r="K8" s="26" t="s">
        <v>668</v>
      </c>
    </row>
    <row r="9" spans="2:11" ht="14.25" customHeight="1">
      <c r="B9" s="68">
        <v>45971</v>
      </c>
      <c r="C9" s="69">
        <v>20005449</v>
      </c>
      <c r="D9" s="69" t="s">
        <v>1217</v>
      </c>
      <c r="E9" s="70" t="s">
        <v>1218</v>
      </c>
      <c r="F9" s="70" t="s">
        <v>1212</v>
      </c>
      <c r="G9" s="71"/>
      <c r="H9" s="52" t="s">
        <v>526</v>
      </c>
      <c r="J9" s="25" t="s">
        <v>661</v>
      </c>
      <c r="K9" s="26" t="s">
        <v>672</v>
      </c>
    </row>
    <row r="10" spans="2:11" ht="14.25" customHeight="1">
      <c r="B10" s="68">
        <v>45934</v>
      </c>
      <c r="C10" s="69">
        <v>60005423</v>
      </c>
      <c r="D10" s="69" t="s">
        <v>1219</v>
      </c>
      <c r="E10" s="70" t="s">
        <v>1220</v>
      </c>
      <c r="F10" s="70" t="s">
        <v>1221</v>
      </c>
      <c r="G10" s="71">
        <v>1</v>
      </c>
      <c r="H10" s="52" t="s">
        <v>527</v>
      </c>
    </row>
    <row r="11" spans="2:11" ht="14.25" customHeight="1">
      <c r="B11" s="68">
        <v>45931</v>
      </c>
      <c r="C11" s="69">
        <v>10016650</v>
      </c>
      <c r="D11" s="69" t="s">
        <v>1222</v>
      </c>
      <c r="E11" s="70" t="s">
        <v>1223</v>
      </c>
      <c r="F11" s="70" t="s">
        <v>1212</v>
      </c>
      <c r="G11" s="71"/>
      <c r="H11" s="52" t="s">
        <v>526</v>
      </c>
    </row>
    <row r="12" spans="2:11" ht="14.25" customHeight="1">
      <c r="B12" s="68">
        <v>45931</v>
      </c>
      <c r="C12" s="69">
        <v>20005450</v>
      </c>
      <c r="D12" s="69" t="s">
        <v>1224</v>
      </c>
      <c r="E12" s="70" t="s">
        <v>1225</v>
      </c>
      <c r="F12" s="70" t="s">
        <v>1212</v>
      </c>
      <c r="G12" s="71"/>
      <c r="H12" s="52" t="s">
        <v>526</v>
      </c>
    </row>
    <row r="13" spans="2:11" ht="14.25" customHeight="1">
      <c r="B13" s="68">
        <v>45973</v>
      </c>
      <c r="C13" s="69">
        <v>20005451</v>
      </c>
      <c r="D13" s="69" t="s">
        <v>1226</v>
      </c>
      <c r="E13" s="70" t="s">
        <v>1227</v>
      </c>
      <c r="F13" s="70" t="s">
        <v>1212</v>
      </c>
      <c r="G13" s="71"/>
      <c r="H13" s="52" t="s">
        <v>527</v>
      </c>
      <c r="J13" s="29" t="s">
        <v>384</v>
      </c>
    </row>
    <row r="14" spans="2:11" ht="14.25" customHeight="1">
      <c r="B14" s="68">
        <v>45975</v>
      </c>
      <c r="C14" s="69">
        <v>20005452</v>
      </c>
      <c r="D14" s="69" t="s">
        <v>1228</v>
      </c>
      <c r="E14" s="70" t="s">
        <v>1229</v>
      </c>
      <c r="F14" s="70" t="s">
        <v>1212</v>
      </c>
      <c r="G14" s="71">
        <v>1</v>
      </c>
      <c r="H14" s="52" t="s">
        <v>661</v>
      </c>
      <c r="J14" s="6">
        <v>1</v>
      </c>
      <c r="K14" s="6" t="s">
        <v>685</v>
      </c>
    </row>
    <row r="15" spans="2:11" ht="14.25" customHeight="1">
      <c r="B15" s="68">
        <v>45976</v>
      </c>
      <c r="C15" s="69">
        <v>10016686</v>
      </c>
      <c r="D15" s="69" t="s">
        <v>1230</v>
      </c>
      <c r="E15" s="70" t="s">
        <v>1223</v>
      </c>
      <c r="F15" s="70" t="s">
        <v>1212</v>
      </c>
      <c r="G15" s="71"/>
      <c r="H15" s="52" t="s">
        <v>526</v>
      </c>
    </row>
    <row r="16" spans="2:11" ht="14.25" customHeight="1">
      <c r="B16" s="68">
        <v>45931</v>
      </c>
      <c r="C16" s="69">
        <v>10016687</v>
      </c>
      <c r="D16" s="69" t="s">
        <v>1231</v>
      </c>
      <c r="E16" s="70" t="s">
        <v>1223</v>
      </c>
      <c r="F16" s="70" t="s">
        <v>1212</v>
      </c>
      <c r="G16" s="71"/>
      <c r="H16" s="52" t="s">
        <v>526</v>
      </c>
    </row>
    <row r="17" spans="2:8" ht="14.25" customHeight="1">
      <c r="B17" s="68">
        <v>45978</v>
      </c>
      <c r="C17" s="69">
        <v>20005477</v>
      </c>
      <c r="D17" s="69" t="s">
        <v>1232</v>
      </c>
      <c r="E17" s="70" t="s">
        <v>1233</v>
      </c>
      <c r="F17" s="70" t="s">
        <v>1234</v>
      </c>
      <c r="G17" s="71">
        <v>1</v>
      </c>
      <c r="H17" s="52" t="s">
        <v>527</v>
      </c>
    </row>
    <row r="18" spans="2:8" ht="14.25" customHeight="1">
      <c r="B18" s="68">
        <v>45977</v>
      </c>
      <c r="C18" s="69">
        <v>20005478</v>
      </c>
      <c r="D18" s="69" t="s">
        <v>1235</v>
      </c>
      <c r="E18" s="70" t="s">
        <v>1236</v>
      </c>
      <c r="F18" s="70" t="s">
        <v>1212</v>
      </c>
      <c r="G18" s="71">
        <v>1</v>
      </c>
      <c r="H18" s="52" t="s">
        <v>526</v>
      </c>
    </row>
    <row r="19" spans="2:8" ht="14.25" customHeight="1">
      <c r="B19" s="68">
        <v>45968</v>
      </c>
      <c r="C19" s="69">
        <v>30002407</v>
      </c>
      <c r="D19" s="69" t="s">
        <v>1237</v>
      </c>
      <c r="E19" s="70" t="s">
        <v>1238</v>
      </c>
      <c r="F19" s="70" t="s">
        <v>1221</v>
      </c>
      <c r="G19" s="71">
        <v>1</v>
      </c>
      <c r="H19" s="52" t="s">
        <v>526</v>
      </c>
    </row>
    <row r="20" spans="2:8" ht="14.25" customHeight="1">
      <c r="B20" s="68">
        <v>45924</v>
      </c>
      <c r="C20" s="69">
        <v>20004584</v>
      </c>
      <c r="D20" s="69" t="s">
        <v>1237</v>
      </c>
      <c r="E20" s="70" t="s">
        <v>1239</v>
      </c>
      <c r="F20" s="70" t="s">
        <v>1221</v>
      </c>
      <c r="G20" s="71">
        <v>1</v>
      </c>
      <c r="H20" s="52" t="s">
        <v>526</v>
      </c>
    </row>
    <row r="21" spans="2:8" ht="14.25" customHeight="1">
      <c r="B21" s="68">
        <v>45871</v>
      </c>
      <c r="C21" s="69">
        <v>30001567</v>
      </c>
      <c r="D21" s="69" t="s">
        <v>1240</v>
      </c>
      <c r="E21" s="70" t="s">
        <v>1241</v>
      </c>
      <c r="F21" s="70" t="s">
        <v>1221</v>
      </c>
      <c r="G21" s="71"/>
      <c r="H21" s="52" t="s">
        <v>528</v>
      </c>
    </row>
    <row r="22" spans="2:8" ht="14.25" customHeight="1">
      <c r="B22" s="68">
        <v>45931</v>
      </c>
      <c r="C22" s="69">
        <v>20005479</v>
      </c>
      <c r="D22" s="69" t="s">
        <v>1242</v>
      </c>
      <c r="E22" s="70" t="s">
        <v>1243</v>
      </c>
      <c r="F22" s="70" t="s">
        <v>1212</v>
      </c>
      <c r="G22" s="71"/>
      <c r="H22" s="52" t="s">
        <v>526</v>
      </c>
    </row>
    <row r="23" spans="2:8" ht="14.25" customHeight="1">
      <c r="B23" s="68">
        <v>45979</v>
      </c>
      <c r="C23" s="69">
        <v>30002517</v>
      </c>
      <c r="D23" s="69" t="s">
        <v>1244</v>
      </c>
      <c r="E23" s="70" t="s">
        <v>1245</v>
      </c>
      <c r="F23" s="70" t="s">
        <v>1212</v>
      </c>
      <c r="G23" s="71"/>
      <c r="H23" s="52" t="s">
        <v>528</v>
      </c>
    </row>
    <row r="24" spans="2:8" ht="14.25" customHeight="1">
      <c r="B24" s="68">
        <v>45842</v>
      </c>
      <c r="C24" s="69">
        <v>20005480</v>
      </c>
      <c r="D24" s="69" t="s">
        <v>1244</v>
      </c>
      <c r="E24" s="70" t="s">
        <v>1246</v>
      </c>
      <c r="F24" s="70" t="s">
        <v>1212</v>
      </c>
      <c r="G24" s="71">
        <v>1</v>
      </c>
      <c r="H24" s="52" t="s">
        <v>661</v>
      </c>
    </row>
    <row r="25" spans="2:8" ht="14.25" customHeight="1">
      <c r="B25" s="68">
        <v>45979</v>
      </c>
      <c r="C25" s="69">
        <v>10016690</v>
      </c>
      <c r="D25" s="69" t="s">
        <v>1247</v>
      </c>
      <c r="E25" s="70" t="s">
        <v>1248</v>
      </c>
      <c r="F25" s="70" t="s">
        <v>1249</v>
      </c>
      <c r="G25" s="71">
        <v>1</v>
      </c>
      <c r="H25" s="52" t="s">
        <v>527</v>
      </c>
    </row>
    <row r="26" spans="2:8" ht="14.25" customHeight="1">
      <c r="B26" s="68">
        <v>45958</v>
      </c>
      <c r="C26" s="69">
        <v>30002545</v>
      </c>
      <c r="D26" s="69" t="s">
        <v>1250</v>
      </c>
      <c r="E26" s="70" t="s">
        <v>1251</v>
      </c>
      <c r="F26" s="70" t="s">
        <v>1212</v>
      </c>
      <c r="G26" s="71">
        <v>1</v>
      </c>
      <c r="H26" s="52" t="s">
        <v>661</v>
      </c>
    </row>
    <row r="27" spans="2:8" ht="14.25" customHeight="1">
      <c r="B27" s="30">
        <v>45982</v>
      </c>
      <c r="C27" s="32">
        <v>20005481</v>
      </c>
      <c r="D27" s="32" t="s">
        <v>1252</v>
      </c>
      <c r="E27" s="61" t="s">
        <v>1253</v>
      </c>
      <c r="F27" s="61" t="s">
        <v>1212</v>
      </c>
      <c r="G27" s="62">
        <v>1</v>
      </c>
      <c r="H27" s="48" t="s">
        <v>527</v>
      </c>
    </row>
    <row r="28" spans="2:8" ht="14.25" customHeight="1">
      <c r="B28" s="65">
        <v>45982</v>
      </c>
      <c r="C28" s="66">
        <v>20005482</v>
      </c>
      <c r="D28" s="66" t="s">
        <v>1254</v>
      </c>
      <c r="E28" s="67" t="s">
        <v>1255</v>
      </c>
      <c r="F28" s="67" t="s">
        <v>1212</v>
      </c>
      <c r="G28" s="50">
        <v>1</v>
      </c>
      <c r="H28" s="48" t="s">
        <v>526</v>
      </c>
    </row>
    <row r="29" spans="2:8" ht="14.25" customHeight="1">
      <c r="B29" s="49">
        <v>45985</v>
      </c>
      <c r="C29" s="51">
        <v>20005525</v>
      </c>
      <c r="D29" s="51" t="s">
        <v>1256</v>
      </c>
      <c r="E29" s="43" t="s">
        <v>1257</v>
      </c>
      <c r="F29" s="43" t="s">
        <v>1212</v>
      </c>
      <c r="G29" s="50">
        <v>1</v>
      </c>
      <c r="H29" s="48" t="s">
        <v>527</v>
      </c>
    </row>
    <row r="30" spans="2:8" ht="14.25" customHeight="1">
      <c r="B30" s="49">
        <v>45993</v>
      </c>
      <c r="C30" s="51">
        <v>20005599</v>
      </c>
      <c r="D30" s="51" t="s">
        <v>1258</v>
      </c>
      <c r="E30" s="70" t="s">
        <v>1220</v>
      </c>
      <c r="F30" s="43" t="s">
        <v>1221</v>
      </c>
      <c r="G30" s="50">
        <v>1</v>
      </c>
      <c r="H30" s="48" t="s">
        <v>526</v>
      </c>
    </row>
    <row r="31" spans="2:8" ht="14.25" customHeight="1">
      <c r="B31" s="49">
        <v>45993</v>
      </c>
      <c r="C31" s="51">
        <v>20005600</v>
      </c>
      <c r="D31" s="51" t="s">
        <v>1259</v>
      </c>
      <c r="E31" s="70" t="s">
        <v>1220</v>
      </c>
      <c r="F31" s="44" t="s">
        <v>1221</v>
      </c>
      <c r="G31" s="50">
        <v>1</v>
      </c>
      <c r="H31" s="48" t="s">
        <v>526</v>
      </c>
    </row>
    <row r="32" spans="2:8" ht="14.25" customHeight="1">
      <c r="B32" s="49">
        <v>45993</v>
      </c>
      <c r="C32" s="51">
        <v>20005481</v>
      </c>
      <c r="D32" s="50" t="s">
        <v>1252</v>
      </c>
      <c r="E32" s="44" t="s">
        <v>1260</v>
      </c>
      <c r="F32" s="44" t="s">
        <v>1212</v>
      </c>
      <c r="G32" s="50">
        <v>1</v>
      </c>
      <c r="H32" s="48" t="s">
        <v>526</v>
      </c>
    </row>
    <row r="33" spans="2:8" ht="14.25" customHeight="1">
      <c r="B33" s="49">
        <v>45993</v>
      </c>
      <c r="C33" s="51">
        <v>10013889</v>
      </c>
      <c r="D33" s="51" t="s">
        <v>1261</v>
      </c>
      <c r="E33" s="43" t="s">
        <v>1262</v>
      </c>
      <c r="F33" s="43" t="s">
        <v>1212</v>
      </c>
      <c r="G33" s="50">
        <v>1</v>
      </c>
      <c r="H33" s="48" t="s">
        <v>526</v>
      </c>
    </row>
    <row r="34" spans="2:8" ht="14.25" customHeight="1">
      <c r="B34" s="49" t="s">
        <v>1263</v>
      </c>
      <c r="C34" s="51">
        <v>20005753</v>
      </c>
      <c r="D34" s="51" t="s">
        <v>1237</v>
      </c>
      <c r="E34" s="43" t="s">
        <v>1264</v>
      </c>
      <c r="F34" s="43" t="s">
        <v>1221</v>
      </c>
      <c r="G34" s="50">
        <v>1</v>
      </c>
      <c r="H34" s="48" t="s">
        <v>526</v>
      </c>
    </row>
    <row r="35" spans="2:8" ht="14.25" customHeight="1">
      <c r="B35" s="49" t="s">
        <v>937</v>
      </c>
      <c r="C35" s="51">
        <v>10017851</v>
      </c>
      <c r="D35" s="51" t="s">
        <v>1265</v>
      </c>
      <c r="E35" s="43" t="s">
        <v>1266</v>
      </c>
      <c r="F35" s="43" t="s">
        <v>1212</v>
      </c>
      <c r="G35" s="50">
        <v>1</v>
      </c>
      <c r="H35" s="48" t="s">
        <v>526</v>
      </c>
    </row>
    <row r="36" spans="2:8" ht="14.25" customHeight="1">
      <c r="B36" s="58">
        <v>46018</v>
      </c>
      <c r="C36" s="51">
        <v>20005908</v>
      </c>
      <c r="D36" s="51" t="s">
        <v>1267</v>
      </c>
      <c r="E36" s="43" t="s">
        <v>1268</v>
      </c>
      <c r="F36" s="43" t="s">
        <v>1212</v>
      </c>
      <c r="G36" s="50">
        <v>1</v>
      </c>
      <c r="H36" s="48" t="s">
        <v>526</v>
      </c>
    </row>
    <row r="37" spans="2:8" ht="14.25" customHeight="1">
      <c r="B37" s="58">
        <v>46018</v>
      </c>
      <c r="C37" s="51">
        <v>20005909</v>
      </c>
      <c r="D37" s="51" t="s">
        <v>1269</v>
      </c>
      <c r="E37" s="43" t="s">
        <v>1268</v>
      </c>
      <c r="F37" s="43" t="s">
        <v>1212</v>
      </c>
      <c r="G37" s="50">
        <v>1</v>
      </c>
      <c r="H37" s="48" t="s">
        <v>526</v>
      </c>
    </row>
    <row r="38" spans="2:8" ht="14.25" customHeight="1">
      <c r="B38" s="58">
        <v>45666</v>
      </c>
      <c r="C38" s="51">
        <v>10019032</v>
      </c>
      <c r="D38" s="51" t="s">
        <v>1222</v>
      </c>
      <c r="E38" s="43" t="s">
        <v>1270</v>
      </c>
      <c r="F38" s="43" t="s">
        <v>1212</v>
      </c>
      <c r="G38" s="50"/>
      <c r="H38" s="48" t="s">
        <v>526</v>
      </c>
    </row>
    <row r="39" spans="2:8" ht="14.25" customHeight="1">
      <c r="B39" s="58">
        <v>45666</v>
      </c>
      <c r="C39" s="51">
        <v>10019025</v>
      </c>
      <c r="D39" s="51" t="s">
        <v>1244</v>
      </c>
      <c r="E39" s="43" t="s">
        <v>1271</v>
      </c>
      <c r="F39" s="43" t="s">
        <v>1221</v>
      </c>
      <c r="G39" s="50"/>
      <c r="H39" s="48" t="s">
        <v>526</v>
      </c>
    </row>
    <row r="40" spans="2:8" ht="14.25" customHeight="1">
      <c r="B40" s="58">
        <v>46043</v>
      </c>
      <c r="C40" s="72">
        <v>10019721</v>
      </c>
      <c r="D40" s="72" t="s">
        <v>1272</v>
      </c>
      <c r="E40" s="116" t="s">
        <v>1273</v>
      </c>
      <c r="F40" s="43" t="s">
        <v>1221</v>
      </c>
      <c r="G40" s="72">
        <v>1</v>
      </c>
      <c r="H40" s="117" t="s">
        <v>526</v>
      </c>
    </row>
    <row r="41" spans="2:8" ht="14.25" customHeight="1">
      <c r="B41" s="107"/>
      <c r="C41" s="52"/>
      <c r="D41" s="72"/>
      <c r="E41" s="52"/>
      <c r="F41" s="52"/>
      <c r="G41" s="52"/>
      <c r="H41" s="52"/>
    </row>
    <row r="42" spans="2:8" ht="14.25" customHeight="1">
      <c r="B42" s="52"/>
      <c r="C42" s="52"/>
      <c r="D42" s="72"/>
      <c r="E42" s="52"/>
      <c r="F42" s="52"/>
      <c r="G42" s="52"/>
      <c r="H42" s="52"/>
    </row>
    <row r="43" spans="2:8" ht="14.25" customHeight="1">
      <c r="B43" s="52"/>
      <c r="C43" s="52"/>
      <c r="D43" s="72"/>
      <c r="E43" s="52"/>
      <c r="F43" s="52"/>
      <c r="G43" s="52"/>
      <c r="H43" s="52"/>
    </row>
    <row r="44" spans="2:8" ht="14.25" customHeight="1">
      <c r="B44" s="52"/>
      <c r="C44" s="52"/>
      <c r="D44" s="72"/>
      <c r="E44" s="52"/>
      <c r="F44" s="52"/>
      <c r="G44" s="52"/>
      <c r="H44" s="52"/>
    </row>
    <row r="45" spans="2:8" ht="14.25" customHeight="1">
      <c r="B45" s="52"/>
      <c r="C45" s="52"/>
      <c r="D45" s="72"/>
      <c r="E45" s="52"/>
      <c r="F45" s="52"/>
      <c r="G45" s="52"/>
      <c r="H45" s="52"/>
    </row>
    <row r="46" spans="2:8" ht="14.25" customHeight="1">
      <c r="B46" s="52"/>
      <c r="C46" s="52"/>
      <c r="D46" s="72"/>
      <c r="E46" s="52"/>
      <c r="F46" s="52"/>
      <c r="G46" s="52"/>
      <c r="H46" s="52"/>
    </row>
    <row r="47" spans="2:8" ht="14.25" customHeight="1">
      <c r="B47" s="52"/>
      <c r="C47" s="52"/>
      <c r="D47" s="72"/>
      <c r="E47" s="52"/>
      <c r="F47" s="52"/>
      <c r="G47" s="52"/>
      <c r="H47" s="52"/>
    </row>
    <row r="48" spans="2:8" ht="14.25" customHeight="1">
      <c r="B48" s="52"/>
      <c r="C48" s="52"/>
      <c r="D48" s="72"/>
      <c r="E48" s="52"/>
      <c r="F48" s="52"/>
      <c r="G48" s="52"/>
      <c r="H48" s="52"/>
    </row>
    <row r="49" spans="2:8" ht="14.25" customHeight="1">
      <c r="B49" s="52"/>
      <c r="C49" s="52"/>
      <c r="D49" s="72"/>
      <c r="E49" s="52"/>
      <c r="F49" s="52"/>
      <c r="G49" s="52"/>
      <c r="H49" s="52"/>
    </row>
    <row r="50" spans="2:8" ht="14.25" customHeight="1">
      <c r="B50" s="52"/>
      <c r="C50" s="52"/>
      <c r="D50" s="72"/>
      <c r="E50" s="52"/>
      <c r="F50" s="52"/>
      <c r="G50" s="52"/>
      <c r="H50" s="52"/>
    </row>
    <row r="51" spans="2:8" ht="14.25" customHeight="1">
      <c r="B51" s="52"/>
      <c r="C51" s="52"/>
      <c r="D51" s="72"/>
      <c r="E51" s="52"/>
      <c r="F51" s="52"/>
      <c r="G51" s="52"/>
      <c r="H51" s="52"/>
    </row>
    <row r="52" spans="2:8" ht="14.25" customHeight="1">
      <c r="B52" s="52"/>
      <c r="C52" s="52"/>
      <c r="D52" s="72"/>
      <c r="E52" s="52"/>
      <c r="F52" s="52"/>
      <c r="G52" s="52"/>
      <c r="H52" s="52"/>
    </row>
    <row r="53" spans="2:8" ht="14.25" customHeight="1">
      <c r="B53" s="52"/>
      <c r="C53" s="52"/>
      <c r="D53" s="72"/>
      <c r="E53" s="52"/>
      <c r="F53" s="52"/>
      <c r="G53" s="52"/>
      <c r="H53" s="52"/>
    </row>
    <row r="54" spans="2:8" ht="14.25" customHeight="1">
      <c r="B54" s="52"/>
      <c r="C54" s="52"/>
      <c r="D54" s="72"/>
      <c r="E54" s="52"/>
      <c r="F54" s="52"/>
      <c r="G54" s="52"/>
      <c r="H54" s="52"/>
    </row>
    <row r="55" spans="2:8" ht="14.25" customHeight="1">
      <c r="B55" s="52"/>
      <c r="C55" s="52"/>
      <c r="D55" s="72"/>
      <c r="E55" s="52"/>
      <c r="F55" s="52"/>
      <c r="G55" s="52"/>
      <c r="H55" s="52"/>
    </row>
    <row r="56" spans="2:8" ht="14.25" customHeight="1">
      <c r="B56" s="52"/>
      <c r="C56" s="52"/>
      <c r="D56" s="72"/>
      <c r="E56" s="52"/>
      <c r="F56" s="52"/>
      <c r="G56" s="52"/>
      <c r="H56" s="52"/>
    </row>
    <row r="57" spans="2:8" ht="14.25" customHeight="1">
      <c r="B57" s="52"/>
      <c r="C57" s="52"/>
      <c r="D57" s="72"/>
      <c r="E57" s="52"/>
      <c r="F57" s="52"/>
      <c r="G57" s="52"/>
      <c r="H57" s="52"/>
    </row>
    <row r="58" spans="2:8" ht="14.25" customHeight="1">
      <c r="B58" s="52"/>
      <c r="C58" s="52"/>
      <c r="D58" s="72"/>
      <c r="E58" s="52"/>
      <c r="F58" s="52"/>
      <c r="G58" s="52"/>
      <c r="H58" s="52"/>
    </row>
    <row r="59" spans="2:8" ht="14.25" customHeight="1">
      <c r="B59" s="52"/>
      <c r="C59" s="52"/>
      <c r="D59" s="72"/>
      <c r="E59" s="52"/>
      <c r="F59" s="52"/>
      <c r="G59" s="52"/>
      <c r="H59" s="52"/>
    </row>
    <row r="60" spans="2:8" ht="14.25" customHeight="1">
      <c r="B60" s="52"/>
      <c r="C60" s="52"/>
      <c r="D60" s="72"/>
      <c r="E60" s="52"/>
      <c r="F60" s="52"/>
      <c r="G60" s="52"/>
      <c r="H60" s="52"/>
    </row>
    <row r="61" spans="2:8" ht="14.25" customHeight="1">
      <c r="B61" s="52"/>
      <c r="C61" s="52"/>
      <c r="D61" s="72"/>
      <c r="E61" s="52"/>
      <c r="F61" s="52"/>
      <c r="G61" s="52"/>
      <c r="H61" s="52"/>
    </row>
    <row r="62" spans="2:8" ht="14.25" customHeight="1">
      <c r="B62" s="52"/>
      <c r="C62" s="52"/>
      <c r="D62" s="72"/>
      <c r="E62" s="52"/>
      <c r="F62" s="52"/>
      <c r="G62" s="52"/>
      <c r="H62" s="52"/>
    </row>
    <row r="63" spans="2:8" ht="14.25" customHeight="1">
      <c r="B63" s="52"/>
      <c r="C63" s="52"/>
      <c r="D63" s="72"/>
      <c r="E63" s="52"/>
      <c r="F63" s="52"/>
      <c r="G63" s="52"/>
      <c r="H63" s="52"/>
    </row>
    <row r="64" spans="2:8" ht="14.25" customHeight="1">
      <c r="B64" s="52"/>
      <c r="C64" s="52"/>
      <c r="D64" s="72"/>
      <c r="E64" s="52"/>
      <c r="F64" s="52"/>
      <c r="G64" s="52"/>
      <c r="H64" s="52"/>
    </row>
    <row r="65" spans="2:8" ht="14.25" customHeight="1">
      <c r="B65" s="52"/>
      <c r="C65" s="52"/>
      <c r="D65" s="72"/>
      <c r="E65" s="52"/>
      <c r="F65" s="52"/>
      <c r="G65" s="52"/>
      <c r="H65" s="52"/>
    </row>
    <row r="66" spans="2:8" ht="14.25" customHeight="1">
      <c r="B66" s="52"/>
      <c r="C66" s="52"/>
      <c r="D66" s="72"/>
      <c r="E66" s="52"/>
      <c r="F66" s="52"/>
      <c r="G66" s="52"/>
      <c r="H66" s="52"/>
    </row>
    <row r="67" spans="2:8" ht="14.25" customHeight="1">
      <c r="B67" s="52"/>
      <c r="C67" s="52"/>
      <c r="D67" s="72"/>
      <c r="E67" s="52"/>
      <c r="F67" s="52"/>
      <c r="G67" s="52"/>
      <c r="H67" s="52"/>
    </row>
    <row r="68" spans="2:8" ht="14.25" customHeight="1">
      <c r="B68" s="52"/>
      <c r="C68" s="52"/>
      <c r="D68" s="72"/>
      <c r="E68" s="52"/>
      <c r="F68" s="52"/>
      <c r="G68" s="52"/>
      <c r="H68" s="52"/>
    </row>
    <row r="69" spans="2:8" ht="14.25" customHeight="1">
      <c r="B69" s="52"/>
      <c r="C69" s="52"/>
      <c r="D69" s="72"/>
      <c r="E69" s="52"/>
      <c r="F69" s="52"/>
      <c r="G69" s="52"/>
      <c r="H69" s="52"/>
    </row>
    <row r="70" spans="2:8" ht="14.25" customHeight="1">
      <c r="B70" s="52"/>
      <c r="C70" s="52"/>
      <c r="D70" s="72"/>
      <c r="E70" s="52"/>
      <c r="F70" s="52"/>
      <c r="G70" s="52"/>
      <c r="H70" s="52"/>
    </row>
    <row r="71" spans="2:8" ht="14.25" customHeight="1">
      <c r="B71" s="52"/>
      <c r="C71" s="52"/>
      <c r="D71" s="72"/>
      <c r="E71" s="52"/>
      <c r="F71" s="52"/>
      <c r="G71" s="52"/>
      <c r="H71" s="52"/>
    </row>
    <row r="72" spans="2:8" ht="14.25" customHeight="1">
      <c r="B72" s="52"/>
      <c r="C72" s="52"/>
      <c r="D72" s="72"/>
      <c r="E72" s="52"/>
      <c r="F72" s="52"/>
      <c r="G72" s="52"/>
      <c r="H72" s="52"/>
    </row>
    <row r="73" spans="2:8" ht="14.25" customHeight="1">
      <c r="B73" s="52"/>
      <c r="C73" s="52"/>
      <c r="D73" s="72"/>
      <c r="E73" s="52"/>
      <c r="F73" s="52"/>
      <c r="G73" s="52"/>
      <c r="H73" s="52"/>
    </row>
    <row r="74" spans="2:8" ht="14.25" customHeight="1">
      <c r="B74" s="52"/>
      <c r="C74" s="52"/>
      <c r="D74" s="72"/>
      <c r="E74" s="52"/>
      <c r="F74" s="52"/>
      <c r="G74" s="52"/>
      <c r="H74" s="52"/>
    </row>
    <row r="75" spans="2:8" ht="14.25" customHeight="1">
      <c r="B75" s="52"/>
      <c r="C75" s="52"/>
      <c r="D75" s="72"/>
      <c r="E75" s="52"/>
      <c r="F75" s="52"/>
      <c r="G75" s="52"/>
      <c r="H75" s="52"/>
    </row>
    <row r="76" spans="2:8" ht="14.25" customHeight="1">
      <c r="B76" s="52"/>
      <c r="C76" s="52"/>
      <c r="D76" s="72"/>
      <c r="E76" s="52"/>
      <c r="F76" s="52"/>
      <c r="G76" s="52"/>
      <c r="H76" s="52"/>
    </row>
    <row r="77" spans="2:8" ht="14.25" customHeight="1">
      <c r="B77" s="52"/>
      <c r="C77" s="52"/>
      <c r="D77" s="72"/>
      <c r="E77" s="52"/>
      <c r="F77" s="52"/>
      <c r="G77" s="52"/>
      <c r="H77" s="52"/>
    </row>
    <row r="78" spans="2:8" ht="14.25" customHeight="1">
      <c r="B78" s="52"/>
      <c r="C78" s="52"/>
      <c r="D78" s="72"/>
      <c r="E78" s="52"/>
      <c r="F78" s="52"/>
      <c r="G78" s="52"/>
      <c r="H78" s="52"/>
    </row>
    <row r="79" spans="2:8" ht="14.25" customHeight="1">
      <c r="B79" s="52"/>
      <c r="C79" s="52"/>
      <c r="D79" s="72"/>
      <c r="E79" s="52"/>
      <c r="F79" s="52"/>
      <c r="G79" s="52"/>
      <c r="H79" s="52"/>
    </row>
    <row r="80" spans="2:8" ht="14.25" customHeight="1">
      <c r="B80" s="52"/>
      <c r="C80" s="52"/>
      <c r="D80" s="72"/>
      <c r="E80" s="52"/>
      <c r="F80" s="52"/>
      <c r="G80" s="52"/>
      <c r="H80" s="52"/>
    </row>
    <row r="81" spans="2:8" ht="14.25" customHeight="1">
      <c r="B81" s="52"/>
      <c r="C81" s="52"/>
      <c r="D81" s="72"/>
      <c r="E81" s="52"/>
      <c r="F81" s="52"/>
      <c r="G81" s="52"/>
      <c r="H81" s="52"/>
    </row>
    <row r="82" spans="2:8" ht="14.25" customHeight="1">
      <c r="B82" s="52"/>
      <c r="C82" s="52"/>
      <c r="D82" s="72"/>
      <c r="E82" s="52"/>
      <c r="F82" s="52"/>
      <c r="G82" s="52"/>
      <c r="H82" s="52"/>
    </row>
    <row r="83" spans="2:8" ht="14.25" customHeight="1">
      <c r="B83" s="52"/>
      <c r="C83" s="52"/>
      <c r="D83" s="72"/>
      <c r="E83" s="52"/>
      <c r="F83" s="52"/>
      <c r="G83" s="52"/>
      <c r="H83" s="52"/>
    </row>
    <row r="84" spans="2:8" ht="14.25" customHeight="1">
      <c r="B84" s="52"/>
      <c r="C84" s="52"/>
      <c r="D84" s="72"/>
      <c r="E84" s="52"/>
      <c r="F84" s="52"/>
      <c r="G84" s="52"/>
      <c r="H84" s="52"/>
    </row>
    <row r="85" spans="2:8" ht="14.25" customHeight="1">
      <c r="B85" s="52"/>
      <c r="C85" s="52"/>
      <c r="D85" s="72"/>
      <c r="E85" s="52"/>
      <c r="F85" s="52"/>
      <c r="G85" s="52"/>
      <c r="H85" s="52"/>
    </row>
    <row r="86" spans="2:8" ht="14.25" customHeight="1">
      <c r="B86" s="52"/>
      <c r="C86" s="52"/>
      <c r="D86" s="72"/>
      <c r="E86" s="52"/>
      <c r="F86" s="52"/>
      <c r="G86" s="52"/>
      <c r="H86" s="52"/>
    </row>
    <row r="87" spans="2:8" ht="14.25" customHeight="1">
      <c r="B87" s="52"/>
      <c r="C87" s="52"/>
      <c r="D87" s="72"/>
      <c r="E87" s="52"/>
      <c r="F87" s="52"/>
      <c r="G87" s="52"/>
      <c r="H87" s="52"/>
    </row>
    <row r="88" spans="2:8" ht="14.25" customHeight="1">
      <c r="B88" s="52"/>
      <c r="C88" s="52"/>
      <c r="D88" s="72"/>
      <c r="E88" s="52"/>
      <c r="F88" s="52"/>
      <c r="G88" s="52"/>
      <c r="H88" s="52"/>
    </row>
    <row r="89" spans="2:8" ht="14.25" customHeight="1">
      <c r="B89" s="52"/>
      <c r="C89" s="52"/>
      <c r="D89" s="72"/>
      <c r="E89" s="52"/>
      <c r="F89" s="52"/>
      <c r="G89" s="52"/>
      <c r="H89" s="52"/>
    </row>
    <row r="90" spans="2:8" ht="14.25" customHeight="1">
      <c r="B90" s="52"/>
      <c r="C90" s="52"/>
      <c r="D90" s="72"/>
      <c r="E90" s="52"/>
      <c r="F90" s="52"/>
      <c r="G90" s="52"/>
      <c r="H90" s="52"/>
    </row>
    <row r="91" spans="2:8" ht="14.25" customHeight="1">
      <c r="B91" s="52"/>
      <c r="C91" s="52"/>
      <c r="D91" s="72"/>
      <c r="E91" s="52"/>
      <c r="F91" s="52"/>
      <c r="G91" s="52"/>
      <c r="H91" s="52"/>
    </row>
    <row r="92" spans="2:8" ht="14.25" customHeight="1">
      <c r="B92" s="52"/>
      <c r="C92" s="52"/>
      <c r="D92" s="72"/>
      <c r="E92" s="52"/>
      <c r="F92" s="52"/>
      <c r="G92" s="52"/>
      <c r="H92" s="52"/>
    </row>
    <row r="93" spans="2:8" ht="14.25" customHeight="1">
      <c r="B93" s="52"/>
      <c r="C93" s="52"/>
      <c r="D93" s="72"/>
      <c r="E93" s="52"/>
      <c r="F93" s="52"/>
      <c r="G93" s="52"/>
      <c r="H93" s="52"/>
    </row>
    <row r="94" spans="2:8" ht="14.25" customHeight="1">
      <c r="B94" s="52"/>
      <c r="C94" s="52"/>
      <c r="D94" s="72"/>
      <c r="E94" s="52"/>
      <c r="F94" s="52"/>
      <c r="G94" s="52"/>
      <c r="H94" s="52"/>
    </row>
    <row r="95" spans="2:8" ht="14.25" customHeight="1">
      <c r="B95" s="52"/>
      <c r="C95" s="52"/>
      <c r="D95" s="72"/>
      <c r="E95" s="52"/>
      <c r="F95" s="52"/>
      <c r="G95" s="52"/>
      <c r="H95" s="52"/>
    </row>
    <row r="96" spans="2:8" ht="14.25" customHeight="1">
      <c r="B96" s="52"/>
      <c r="C96" s="52"/>
      <c r="D96" s="72"/>
      <c r="E96" s="52"/>
      <c r="F96" s="52"/>
      <c r="G96" s="52"/>
      <c r="H96" s="52"/>
    </row>
    <row r="97" spans="2:8" ht="14.25" customHeight="1">
      <c r="B97" s="52"/>
      <c r="C97" s="52"/>
      <c r="D97" s="72"/>
      <c r="E97" s="52"/>
      <c r="F97" s="52"/>
      <c r="G97" s="52"/>
      <c r="H97" s="52"/>
    </row>
    <row r="98" spans="2:8" ht="14.25" customHeight="1">
      <c r="B98" s="52"/>
      <c r="C98" s="52"/>
      <c r="D98" s="72"/>
      <c r="E98" s="52"/>
      <c r="F98" s="52"/>
      <c r="G98" s="52"/>
      <c r="H98" s="52"/>
    </row>
    <row r="99" spans="2:8" ht="14.25" customHeight="1">
      <c r="B99" s="52"/>
      <c r="C99" s="52"/>
      <c r="D99" s="72"/>
      <c r="E99" s="52"/>
      <c r="F99" s="52"/>
      <c r="G99" s="52"/>
      <c r="H99" s="52"/>
    </row>
    <row r="100" spans="2:8" ht="14.25" customHeight="1">
      <c r="B100" s="52"/>
      <c r="C100" s="52"/>
      <c r="D100" s="72"/>
      <c r="E100" s="52"/>
      <c r="F100" s="52"/>
      <c r="G100" s="52"/>
      <c r="H100" s="52"/>
    </row>
    <row r="101" spans="2:8" ht="14.25" customHeight="1">
      <c r="B101" s="52"/>
      <c r="C101" s="52"/>
      <c r="D101" s="72"/>
      <c r="E101" s="52"/>
      <c r="F101" s="52"/>
      <c r="G101" s="52"/>
      <c r="H101" s="52"/>
    </row>
    <row r="102" spans="2:8" ht="14.25" customHeight="1">
      <c r="B102" s="52"/>
      <c r="C102" s="52"/>
      <c r="D102" s="72"/>
      <c r="E102" s="52"/>
      <c r="F102" s="52"/>
      <c r="G102" s="52"/>
      <c r="H102" s="52"/>
    </row>
    <row r="103" spans="2:8" ht="14.25" customHeight="1">
      <c r="B103" s="52"/>
      <c r="C103" s="52"/>
      <c r="D103" s="72"/>
      <c r="E103" s="52"/>
      <c r="F103" s="52"/>
      <c r="G103" s="52"/>
      <c r="H103" s="52"/>
    </row>
    <row r="104" spans="2:8" ht="14.25" customHeight="1">
      <c r="B104" s="52"/>
      <c r="C104" s="52"/>
      <c r="D104" s="72"/>
      <c r="E104" s="52"/>
      <c r="F104" s="52"/>
      <c r="G104" s="52"/>
      <c r="H104" s="52"/>
    </row>
    <row r="105" spans="2:8" ht="14.25" customHeight="1">
      <c r="B105" s="52"/>
      <c r="C105" s="52"/>
      <c r="D105" s="72"/>
      <c r="E105" s="52"/>
      <c r="F105" s="52"/>
      <c r="G105" s="52"/>
      <c r="H105" s="52"/>
    </row>
    <row r="106" spans="2:8" ht="14.25" customHeight="1">
      <c r="B106" s="52"/>
      <c r="C106" s="52"/>
      <c r="D106" s="72"/>
      <c r="E106" s="52"/>
      <c r="F106" s="52"/>
      <c r="G106" s="52"/>
      <c r="H106" s="52"/>
    </row>
    <row r="107" spans="2:8" ht="14.25" customHeight="1">
      <c r="B107" s="52"/>
      <c r="C107" s="52"/>
      <c r="D107" s="72"/>
      <c r="E107" s="52"/>
      <c r="F107" s="52"/>
      <c r="G107" s="52"/>
      <c r="H107" s="52"/>
    </row>
    <row r="108" spans="2:8" ht="14.25" customHeight="1">
      <c r="B108" s="52"/>
      <c r="C108" s="52"/>
      <c r="D108" s="72"/>
      <c r="E108" s="52"/>
      <c r="F108" s="52"/>
      <c r="G108" s="52"/>
      <c r="H108" s="52"/>
    </row>
    <row r="109" spans="2:8" ht="14.25" customHeight="1">
      <c r="B109" s="52"/>
      <c r="C109" s="52"/>
      <c r="D109" s="72"/>
      <c r="E109" s="52"/>
      <c r="F109" s="52"/>
      <c r="G109" s="52"/>
      <c r="H109" s="52"/>
    </row>
    <row r="110" spans="2:8" ht="14.25" customHeight="1">
      <c r="B110" s="52"/>
      <c r="C110" s="52"/>
      <c r="D110" s="72"/>
      <c r="E110" s="52"/>
      <c r="F110" s="52"/>
      <c r="G110" s="52"/>
      <c r="H110" s="52"/>
    </row>
    <row r="111" spans="2:8" ht="14.25" customHeight="1">
      <c r="B111" s="52"/>
      <c r="C111" s="52"/>
      <c r="D111" s="72"/>
      <c r="E111" s="52"/>
      <c r="F111" s="52"/>
      <c r="G111" s="52"/>
      <c r="H111" s="52"/>
    </row>
    <row r="112" spans="2:8" ht="14.25" customHeight="1">
      <c r="B112" s="52"/>
      <c r="C112" s="52"/>
      <c r="D112" s="72"/>
      <c r="E112" s="52"/>
      <c r="F112" s="52"/>
      <c r="G112" s="52"/>
      <c r="H112" s="52"/>
    </row>
    <row r="113" spans="2:8" ht="14.25" customHeight="1">
      <c r="B113" s="52"/>
      <c r="C113" s="52"/>
      <c r="D113" s="72"/>
      <c r="E113" s="52"/>
      <c r="F113" s="52"/>
      <c r="G113" s="52"/>
      <c r="H113" s="52"/>
    </row>
    <row r="114" spans="2:8" ht="14.25" customHeight="1">
      <c r="B114" s="52"/>
      <c r="C114" s="52"/>
      <c r="D114" s="72"/>
      <c r="E114" s="52"/>
      <c r="F114" s="52"/>
      <c r="G114" s="52"/>
      <c r="H114" s="52"/>
    </row>
    <row r="115" spans="2:8" ht="14.25" customHeight="1">
      <c r="B115" s="52"/>
      <c r="C115" s="52"/>
      <c r="D115" s="72"/>
      <c r="E115" s="52"/>
      <c r="F115" s="52"/>
      <c r="G115" s="52"/>
      <c r="H115" s="52"/>
    </row>
    <row r="116" spans="2:8" ht="14.25" customHeight="1">
      <c r="B116" s="52"/>
      <c r="C116" s="52"/>
      <c r="D116" s="72"/>
      <c r="E116" s="52"/>
      <c r="F116" s="52"/>
      <c r="G116" s="52"/>
      <c r="H116" s="52"/>
    </row>
    <row r="117" spans="2:8" ht="14.25" customHeight="1">
      <c r="B117" s="52"/>
      <c r="C117" s="52"/>
      <c r="D117" s="72"/>
      <c r="E117" s="52"/>
      <c r="F117" s="52"/>
      <c r="G117" s="52"/>
      <c r="H117" s="52"/>
    </row>
    <row r="118" spans="2:8" ht="14.25" customHeight="1">
      <c r="B118" s="52"/>
      <c r="C118" s="52"/>
      <c r="D118" s="72"/>
      <c r="E118" s="52"/>
      <c r="F118" s="52"/>
      <c r="G118" s="52"/>
      <c r="H118" s="52"/>
    </row>
    <row r="119" spans="2:8" ht="14.25" customHeight="1">
      <c r="B119" s="52"/>
      <c r="C119" s="52"/>
      <c r="D119" s="72"/>
      <c r="E119" s="52"/>
      <c r="F119" s="52"/>
      <c r="G119" s="52"/>
      <c r="H119" s="52"/>
    </row>
    <row r="120" spans="2:8" ht="14.25" customHeight="1">
      <c r="B120" s="52"/>
      <c r="C120" s="52"/>
      <c r="D120" s="72"/>
      <c r="E120" s="52"/>
      <c r="F120" s="52"/>
      <c r="G120" s="52"/>
      <c r="H120" s="52"/>
    </row>
    <row r="121" spans="2:8" ht="14.25" customHeight="1">
      <c r="B121" s="52"/>
      <c r="C121" s="52"/>
      <c r="D121" s="72"/>
      <c r="E121" s="52"/>
      <c r="F121" s="52"/>
      <c r="G121" s="52"/>
      <c r="H121" s="52"/>
    </row>
    <row r="122" spans="2:8" ht="14.25" customHeight="1">
      <c r="B122" s="52"/>
      <c r="C122" s="52"/>
      <c r="D122" s="72"/>
      <c r="E122" s="52"/>
      <c r="F122" s="52"/>
      <c r="G122" s="52"/>
      <c r="H122" s="52"/>
    </row>
    <row r="123" spans="2:8" ht="14.25" customHeight="1">
      <c r="B123" s="52"/>
      <c r="C123" s="52"/>
      <c r="D123" s="72"/>
      <c r="E123" s="52"/>
      <c r="F123" s="52"/>
      <c r="G123" s="52"/>
      <c r="H123" s="52"/>
    </row>
    <row r="124" spans="2:8" ht="14.25" customHeight="1">
      <c r="B124" s="52"/>
      <c r="C124" s="52"/>
      <c r="D124" s="72"/>
      <c r="E124" s="52"/>
      <c r="F124" s="52"/>
      <c r="G124" s="52"/>
      <c r="H124" s="52"/>
    </row>
    <row r="125" spans="2:8" ht="14.25" customHeight="1">
      <c r="B125" s="52"/>
      <c r="C125" s="52"/>
      <c r="D125" s="72"/>
      <c r="E125" s="52"/>
      <c r="F125" s="52"/>
      <c r="G125" s="52"/>
      <c r="H125" s="52"/>
    </row>
    <row r="126" spans="2:8" ht="14.25" customHeight="1">
      <c r="B126" s="52"/>
      <c r="C126" s="52"/>
      <c r="D126" s="72"/>
      <c r="E126" s="52"/>
      <c r="F126" s="52"/>
      <c r="G126" s="52"/>
      <c r="H126" s="52"/>
    </row>
    <row r="127" spans="2:8" ht="14.25" customHeight="1">
      <c r="B127" s="52"/>
      <c r="C127" s="52"/>
      <c r="D127" s="72"/>
      <c r="E127" s="52"/>
      <c r="F127" s="52"/>
      <c r="G127" s="52"/>
      <c r="H127" s="52"/>
    </row>
    <row r="128" spans="2:8" ht="14.25" customHeight="1">
      <c r="B128" s="52"/>
      <c r="C128" s="52"/>
      <c r="D128" s="72"/>
      <c r="E128" s="52"/>
      <c r="F128" s="52"/>
      <c r="G128" s="52"/>
      <c r="H128" s="52"/>
    </row>
    <row r="129" spans="2:8" ht="14.25" customHeight="1">
      <c r="B129" s="52"/>
      <c r="C129" s="52"/>
      <c r="D129" s="72"/>
      <c r="E129" s="52"/>
      <c r="F129" s="52"/>
      <c r="G129" s="52"/>
      <c r="H129" s="52"/>
    </row>
    <row r="130" spans="2:8" ht="14.25" customHeight="1">
      <c r="B130" s="52"/>
      <c r="C130" s="52"/>
      <c r="D130" s="72"/>
      <c r="E130" s="52"/>
      <c r="F130" s="52"/>
      <c r="G130" s="52"/>
      <c r="H130" s="52"/>
    </row>
    <row r="131" spans="2:8" ht="14.25" customHeight="1">
      <c r="B131" s="52"/>
      <c r="C131" s="52"/>
      <c r="D131" s="72"/>
      <c r="E131" s="52"/>
      <c r="F131" s="52"/>
      <c r="G131" s="52"/>
      <c r="H131" s="52"/>
    </row>
    <row r="132" spans="2:8" ht="14.25" customHeight="1">
      <c r="B132" s="52"/>
      <c r="C132" s="52"/>
      <c r="D132" s="72"/>
      <c r="E132" s="52"/>
      <c r="F132" s="52"/>
      <c r="G132" s="52"/>
      <c r="H132" s="52"/>
    </row>
    <row r="133" spans="2:8" ht="14.25" customHeight="1">
      <c r="B133" s="52"/>
      <c r="C133" s="52"/>
      <c r="D133" s="72"/>
      <c r="E133" s="52"/>
      <c r="F133" s="52"/>
      <c r="G133" s="52"/>
      <c r="H133" s="52"/>
    </row>
    <row r="134" spans="2:8" ht="14.25" customHeight="1">
      <c r="B134" s="52"/>
      <c r="C134" s="52"/>
      <c r="D134" s="72"/>
      <c r="E134" s="52"/>
      <c r="F134" s="52"/>
      <c r="G134" s="52"/>
      <c r="H134" s="52"/>
    </row>
    <row r="135" spans="2:8" ht="14.25" customHeight="1">
      <c r="B135" s="52"/>
      <c r="C135" s="52"/>
      <c r="D135" s="72"/>
      <c r="E135" s="52"/>
      <c r="F135" s="52"/>
      <c r="G135" s="52"/>
      <c r="H135" s="52"/>
    </row>
    <row r="136" spans="2:8" ht="14.25" customHeight="1">
      <c r="B136" s="52"/>
      <c r="C136" s="52"/>
      <c r="D136" s="72"/>
      <c r="E136" s="52"/>
      <c r="F136" s="52"/>
      <c r="G136" s="52"/>
      <c r="H136" s="52"/>
    </row>
    <row r="137" spans="2:8" ht="14.25" customHeight="1">
      <c r="B137" s="52"/>
      <c r="C137" s="52"/>
      <c r="D137" s="72"/>
      <c r="E137" s="52"/>
      <c r="F137" s="52"/>
      <c r="G137" s="52"/>
      <c r="H137" s="52"/>
    </row>
    <row r="138" spans="2:8" ht="14.25" customHeight="1">
      <c r="B138" s="52"/>
      <c r="C138" s="52"/>
      <c r="D138" s="72"/>
      <c r="E138" s="52"/>
      <c r="F138" s="52"/>
      <c r="G138" s="52"/>
      <c r="H138" s="52"/>
    </row>
    <row r="139" spans="2:8" ht="14.25" customHeight="1">
      <c r="B139" s="52"/>
      <c r="C139" s="52"/>
      <c r="D139" s="72"/>
      <c r="E139" s="52"/>
      <c r="F139" s="52"/>
      <c r="G139" s="52"/>
      <c r="H139" s="52"/>
    </row>
    <row r="140" spans="2:8" ht="14.25" customHeight="1">
      <c r="B140" s="52"/>
      <c r="C140" s="52"/>
      <c r="D140" s="72"/>
      <c r="E140" s="52"/>
      <c r="F140" s="52"/>
      <c r="G140" s="52"/>
      <c r="H140" s="52"/>
    </row>
    <row r="141" spans="2:8" ht="14.25" customHeight="1">
      <c r="B141" s="52"/>
      <c r="C141" s="52"/>
      <c r="D141" s="72"/>
      <c r="E141" s="52"/>
      <c r="F141" s="52"/>
      <c r="G141" s="52"/>
      <c r="H141" s="52"/>
    </row>
    <row r="142" spans="2:8" ht="14.25" customHeight="1">
      <c r="B142" s="52"/>
      <c r="C142" s="52"/>
      <c r="D142" s="72"/>
      <c r="E142" s="52"/>
      <c r="F142" s="52"/>
      <c r="G142" s="52"/>
      <c r="H142" s="52"/>
    </row>
    <row r="143" spans="2:8" ht="14.25" customHeight="1">
      <c r="B143" s="52"/>
      <c r="C143" s="52"/>
      <c r="D143" s="72"/>
      <c r="E143" s="52"/>
      <c r="F143" s="52"/>
      <c r="G143" s="52"/>
      <c r="H143" s="52"/>
    </row>
    <row r="144" spans="2:8" ht="14.25" customHeight="1">
      <c r="B144" s="52"/>
      <c r="C144" s="52"/>
      <c r="D144" s="72"/>
      <c r="E144" s="52"/>
      <c r="F144" s="52"/>
      <c r="G144" s="52"/>
      <c r="H144" s="52"/>
    </row>
    <row r="145" spans="2:8" ht="14.25" customHeight="1">
      <c r="B145" s="52"/>
      <c r="C145" s="52"/>
      <c r="D145" s="72"/>
      <c r="E145" s="52"/>
      <c r="F145" s="52"/>
      <c r="G145" s="52"/>
      <c r="H145" s="52"/>
    </row>
    <row r="146" spans="2:8" ht="14.25" customHeight="1">
      <c r="B146" s="52"/>
      <c r="C146" s="52"/>
      <c r="D146" s="72"/>
      <c r="E146" s="52"/>
      <c r="F146" s="52"/>
      <c r="G146" s="52"/>
      <c r="H146" s="52"/>
    </row>
    <row r="147" spans="2:8" ht="14.25" customHeight="1">
      <c r="B147" s="52"/>
      <c r="C147" s="52"/>
      <c r="D147" s="72"/>
      <c r="E147" s="52"/>
      <c r="F147" s="52"/>
      <c r="G147" s="52"/>
      <c r="H147" s="52"/>
    </row>
    <row r="148" spans="2:8" ht="14.25" customHeight="1">
      <c r="B148" s="52"/>
      <c r="C148" s="52"/>
      <c r="D148" s="72"/>
      <c r="E148" s="52"/>
      <c r="F148" s="52"/>
      <c r="G148" s="52"/>
      <c r="H148" s="52"/>
    </row>
    <row r="149" spans="2:8" ht="14.25" customHeight="1"/>
    <row r="150" spans="2:8" ht="14.25" customHeight="1"/>
    <row r="151" spans="2:8" ht="14.25" customHeight="1"/>
    <row r="152" spans="2:8" ht="14.25" customHeight="1"/>
    <row r="153" spans="2:8" ht="14.25" customHeight="1"/>
    <row r="154" spans="2:8" ht="14.25" customHeight="1"/>
    <row r="155" spans="2:8" ht="14.25" customHeight="1"/>
    <row r="156" spans="2:8" ht="14.25" customHeight="1"/>
    <row r="157" spans="2:8" ht="14.25" customHeight="1"/>
    <row r="158" spans="2:8" ht="14.25" customHeight="1"/>
    <row r="159" spans="2:8" ht="14.25" customHeight="1"/>
    <row r="160" spans="2:8"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sheetData>
  <autoFilter ref="B5:H5" xr:uid="{B90C75E5-BDB6-4E20-ADFA-E064C1FE0D58}"/>
  <mergeCells count="1">
    <mergeCell ref="B3:H3"/>
  </mergeCells>
  <dataValidations count="1">
    <dataValidation type="list" allowBlank="1" showInputMessage="1" showErrorMessage="1" sqref="F6:F26" xr:uid="{0BD25F6E-0422-43EA-8EA6-8AE2E4292844}">
      <formula1>"MANTTO. MECÁNICO PLANTA RELAVES,FACILIDADES GENERALES,MANTTO. ELÉCTRICO,INSTRUMENTACIÓN"</formula1>
    </dataValidation>
  </dataValidations>
  <pageMargins left="0.7" right="0.7" top="0.75" bottom="0.75" header="0.3" footer="0.3"/>
  <drawing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C75E5-BDB6-4E20-ADFA-E064C1FE0D58}">
  <sheetPr codeName="Hoja5">
    <tabColor rgb="FFD9D9D9"/>
  </sheetPr>
  <dimension ref="B1:K1041"/>
  <sheetViews>
    <sheetView topLeftCell="A13" workbookViewId="0">
      <selection activeCell="I14" sqref="I14"/>
    </sheetView>
  </sheetViews>
  <sheetFormatPr baseColWidth="10" defaultColWidth="14.42578125" defaultRowHeight="15"/>
  <cols>
    <col min="1" max="1" width="10.7109375" customWidth="1"/>
    <col min="2" max="2" width="17.7109375" customWidth="1"/>
    <col min="3" max="3" width="16.140625" customWidth="1"/>
    <col min="4" max="4" width="30.28515625" customWidth="1"/>
    <col min="5" max="5" width="111.140625" customWidth="1"/>
    <col min="6" max="6" width="25.140625" customWidth="1"/>
    <col min="7" max="7" width="18.5703125" customWidth="1"/>
    <col min="8" max="10" width="10.7109375" customWidth="1"/>
    <col min="11" max="11" width="26.7109375" customWidth="1"/>
    <col min="12" max="27" width="10.7109375" customWidth="1"/>
  </cols>
  <sheetData>
    <row r="1" spans="2:11" ht="15.75">
      <c r="J1" s="20"/>
    </row>
    <row r="2" spans="2:11">
      <c r="J2" s="25"/>
      <c r="K2" s="26" t="s">
        <v>662</v>
      </c>
    </row>
    <row r="3" spans="2:11">
      <c r="J3" s="25"/>
      <c r="K3" s="26" t="s">
        <v>665</v>
      </c>
    </row>
    <row r="4" spans="2:11">
      <c r="E4" s="762"/>
      <c r="F4" s="762"/>
      <c r="J4" s="25"/>
      <c r="K4" s="26" t="s">
        <v>668</v>
      </c>
    </row>
    <row r="5" spans="2:11">
      <c r="E5" s="762"/>
      <c r="F5" s="762"/>
      <c r="J5" s="25"/>
      <c r="K5" s="26" t="s">
        <v>672</v>
      </c>
    </row>
    <row r="6" spans="2:11" ht="27" thickBot="1">
      <c r="B6" s="1538" t="s">
        <v>651</v>
      </c>
      <c r="C6" s="1538"/>
      <c r="D6" s="1538"/>
      <c r="E6" s="1538"/>
      <c r="F6" s="1538"/>
      <c r="G6" s="1538"/>
      <c r="H6" s="1538"/>
    </row>
    <row r="7" spans="2:11" ht="14.25" customHeight="1"/>
    <row r="8" spans="2:11" ht="14.25" customHeight="1">
      <c r="B8" s="46" t="s">
        <v>652</v>
      </c>
      <c r="C8" s="42" t="s">
        <v>653</v>
      </c>
      <c r="D8" s="42" t="s">
        <v>254</v>
      </c>
      <c r="E8" s="42" t="s">
        <v>654</v>
      </c>
      <c r="F8" s="42" t="s">
        <v>655</v>
      </c>
      <c r="G8" s="47" t="s">
        <v>384</v>
      </c>
      <c r="H8" s="42" t="s">
        <v>656</v>
      </c>
      <c r="J8" s="6">
        <v>1</v>
      </c>
      <c r="K8" s="6" t="s">
        <v>685</v>
      </c>
    </row>
    <row r="9" spans="2:11" ht="14.25" customHeight="1">
      <c r="B9" s="84">
        <v>46357</v>
      </c>
      <c r="C9" s="85">
        <v>10019198</v>
      </c>
      <c r="D9" s="85" t="s">
        <v>1274</v>
      </c>
      <c r="E9" s="86" t="s">
        <v>1275</v>
      </c>
      <c r="F9" s="86" t="s">
        <v>1276</v>
      </c>
      <c r="G9" s="85" t="s">
        <v>1277</v>
      </c>
      <c r="H9" s="87" t="s">
        <v>1278</v>
      </c>
    </row>
    <row r="10" spans="2:11" ht="14.25" customHeight="1">
      <c r="B10" s="49">
        <v>46003</v>
      </c>
      <c r="C10" s="50">
        <v>10019442</v>
      </c>
      <c r="D10" s="50" t="s">
        <v>1274</v>
      </c>
      <c r="E10" s="44" t="s">
        <v>1279</v>
      </c>
      <c r="F10" s="129" t="s">
        <v>1276</v>
      </c>
      <c r="G10" s="50" t="s">
        <v>1277</v>
      </c>
      <c r="H10" s="48" t="s">
        <v>665</v>
      </c>
    </row>
    <row r="11" spans="2:11" ht="14.25" customHeight="1">
      <c r="B11" s="49" t="s">
        <v>551</v>
      </c>
      <c r="C11" s="50">
        <v>10019443</v>
      </c>
      <c r="D11" s="50" t="s">
        <v>1274</v>
      </c>
      <c r="E11" s="44" t="s">
        <v>1280</v>
      </c>
      <c r="F11" s="129" t="s">
        <v>1276</v>
      </c>
      <c r="G11" s="50" t="s">
        <v>1277</v>
      </c>
      <c r="H11" s="48" t="s">
        <v>672</v>
      </c>
    </row>
    <row r="12" spans="2:11" ht="14.25" customHeight="1">
      <c r="B12" s="49" t="s">
        <v>1281</v>
      </c>
      <c r="C12" s="50">
        <v>10019878</v>
      </c>
      <c r="D12" s="50" t="s">
        <v>1274</v>
      </c>
      <c r="E12" s="44" t="s">
        <v>1282</v>
      </c>
      <c r="F12" s="129" t="s">
        <v>1276</v>
      </c>
      <c r="G12" s="50" t="s">
        <v>1277</v>
      </c>
      <c r="H12" s="48" t="s">
        <v>665</v>
      </c>
    </row>
    <row r="13" spans="2:11" ht="14.25" customHeight="1">
      <c r="B13" s="49" t="s">
        <v>1149</v>
      </c>
      <c r="C13" s="50">
        <v>10021173</v>
      </c>
      <c r="D13" s="50" t="s">
        <v>1274</v>
      </c>
      <c r="E13" s="44" t="s">
        <v>1283</v>
      </c>
      <c r="F13" s="44" t="s">
        <v>1234</v>
      </c>
      <c r="G13" s="50" t="s">
        <v>1277</v>
      </c>
      <c r="H13" s="48" t="s">
        <v>665</v>
      </c>
    </row>
    <row r="14" spans="2:11" ht="14.25" customHeight="1">
      <c r="B14" s="49" t="s">
        <v>705</v>
      </c>
      <c r="C14" s="50">
        <v>20005892</v>
      </c>
      <c r="D14" s="50" t="s">
        <v>1274</v>
      </c>
      <c r="E14" s="44" t="s">
        <v>1284</v>
      </c>
      <c r="F14" s="44" t="s">
        <v>1285</v>
      </c>
      <c r="G14" s="50" t="s">
        <v>1277</v>
      </c>
      <c r="H14" s="48" t="s">
        <v>665</v>
      </c>
    </row>
    <row r="15" spans="2:11" ht="14.25" customHeight="1">
      <c r="B15" s="49" t="s">
        <v>705</v>
      </c>
      <c r="C15" s="50">
        <v>20005893</v>
      </c>
      <c r="D15" s="50" t="s">
        <v>1274</v>
      </c>
      <c r="E15" s="43" t="s">
        <v>1286</v>
      </c>
      <c r="F15" s="129" t="s">
        <v>1276</v>
      </c>
      <c r="G15" s="50" t="s">
        <v>1277</v>
      </c>
      <c r="H15" s="48" t="s">
        <v>662</v>
      </c>
    </row>
    <row r="16" spans="2:11" ht="14.25" customHeight="1">
      <c r="B16" s="49" t="s">
        <v>1287</v>
      </c>
      <c r="C16" s="50">
        <v>20006305</v>
      </c>
      <c r="D16" s="50" t="s">
        <v>1274</v>
      </c>
      <c r="E16" s="43" t="s">
        <v>1288</v>
      </c>
      <c r="F16" s="43" t="s">
        <v>1285</v>
      </c>
      <c r="G16" s="50" t="s">
        <v>1277</v>
      </c>
      <c r="H16" s="48" t="s">
        <v>665</v>
      </c>
    </row>
    <row r="17" spans="2:8" ht="14.25" customHeight="1">
      <c r="B17" s="49">
        <v>46083</v>
      </c>
      <c r="C17" s="50">
        <v>30003044</v>
      </c>
      <c r="D17" s="50" t="s">
        <v>1274</v>
      </c>
      <c r="E17" s="129" t="s">
        <v>1289</v>
      </c>
      <c r="F17" s="129" t="s">
        <v>1285</v>
      </c>
      <c r="G17" s="50" t="s">
        <v>1277</v>
      </c>
      <c r="H17" s="48" t="s">
        <v>665</v>
      </c>
    </row>
    <row r="18" spans="2:8" ht="14.25" customHeight="1">
      <c r="B18" s="49" t="s">
        <v>697</v>
      </c>
      <c r="C18" s="50">
        <v>60007566</v>
      </c>
      <c r="D18" s="50" t="s">
        <v>1274</v>
      </c>
      <c r="E18" s="129" t="s">
        <v>1290</v>
      </c>
      <c r="F18" s="129" t="s">
        <v>1291</v>
      </c>
      <c r="G18" s="50" t="s">
        <v>1277</v>
      </c>
      <c r="H18" s="48" t="s">
        <v>662</v>
      </c>
    </row>
    <row r="19" spans="2:8" ht="14.25" customHeight="1">
      <c r="B19" s="49">
        <v>46113</v>
      </c>
      <c r="C19" s="50">
        <v>60007833</v>
      </c>
      <c r="D19" s="50" t="s">
        <v>1274</v>
      </c>
      <c r="E19" s="129" t="s">
        <v>1292</v>
      </c>
      <c r="F19" s="129" t="s">
        <v>1234</v>
      </c>
      <c r="G19" s="50" t="s">
        <v>1277</v>
      </c>
      <c r="H19" s="48" t="s">
        <v>665</v>
      </c>
    </row>
    <row r="20" spans="2:8" ht="14.25" customHeight="1">
      <c r="B20" s="49">
        <v>46113</v>
      </c>
      <c r="C20" s="50">
        <v>60007834</v>
      </c>
      <c r="D20" s="50" t="s">
        <v>1274</v>
      </c>
      <c r="E20" s="129" t="s">
        <v>1293</v>
      </c>
      <c r="F20" s="129" t="s">
        <v>1234</v>
      </c>
      <c r="G20" s="50" t="s">
        <v>1277</v>
      </c>
      <c r="H20" s="48" t="s">
        <v>665</v>
      </c>
    </row>
    <row r="21" spans="2:8" ht="14.25" customHeight="1">
      <c r="B21" s="49">
        <v>46113</v>
      </c>
      <c r="C21" s="50">
        <v>60007835</v>
      </c>
      <c r="D21" s="50" t="s">
        <v>1274</v>
      </c>
      <c r="E21" s="129" t="s">
        <v>1294</v>
      </c>
      <c r="F21" s="129" t="s">
        <v>1234</v>
      </c>
      <c r="G21" s="50" t="s">
        <v>1277</v>
      </c>
      <c r="H21" s="48" t="s">
        <v>665</v>
      </c>
    </row>
    <row r="22" spans="2:8" ht="14.25" customHeight="1">
      <c r="B22" s="49" t="s">
        <v>551</v>
      </c>
      <c r="C22" s="50">
        <v>60008124</v>
      </c>
      <c r="D22" s="50" t="s">
        <v>1274</v>
      </c>
      <c r="E22" s="129" t="s">
        <v>1295</v>
      </c>
      <c r="F22" s="129" t="s">
        <v>1276</v>
      </c>
      <c r="G22" s="50" t="s">
        <v>1277</v>
      </c>
      <c r="H22" s="48" t="s">
        <v>672</v>
      </c>
    </row>
    <row r="23" spans="2:8" ht="14.25" customHeight="1">
      <c r="B23" s="84" t="s">
        <v>1281</v>
      </c>
      <c r="C23" s="85">
        <v>60008338</v>
      </c>
      <c r="D23" s="85" t="s">
        <v>1274</v>
      </c>
      <c r="E23" s="88" t="s">
        <v>1296</v>
      </c>
      <c r="F23" s="88" t="s">
        <v>1234</v>
      </c>
      <c r="G23" s="85" t="s">
        <v>1277</v>
      </c>
      <c r="H23" s="87" t="s">
        <v>1278</v>
      </c>
    </row>
    <row r="24" spans="2:8" ht="14.25" customHeight="1">
      <c r="B24" s="49">
        <v>46144</v>
      </c>
      <c r="C24" s="50">
        <v>10020702</v>
      </c>
      <c r="D24" s="50" t="s">
        <v>1297</v>
      </c>
      <c r="E24" s="129" t="s">
        <v>1298</v>
      </c>
      <c r="F24" s="129" t="s">
        <v>1276</v>
      </c>
      <c r="G24" s="50" t="s">
        <v>1277</v>
      </c>
      <c r="H24" s="48" t="s">
        <v>665</v>
      </c>
    </row>
    <row r="25" spans="2:8" ht="14.25" customHeight="1">
      <c r="B25" s="49">
        <v>45686</v>
      </c>
      <c r="C25" s="50">
        <v>10001125</v>
      </c>
      <c r="D25" s="50" t="s">
        <v>1297</v>
      </c>
      <c r="E25" s="43" t="s">
        <v>1299</v>
      </c>
      <c r="F25" s="43" t="s">
        <v>1285</v>
      </c>
      <c r="G25" s="50" t="s">
        <v>1277</v>
      </c>
      <c r="H25" s="48" t="s">
        <v>662</v>
      </c>
    </row>
    <row r="26" spans="2:8" ht="14.25" customHeight="1">
      <c r="B26" s="84">
        <v>45828</v>
      </c>
      <c r="C26" s="85">
        <v>60002646</v>
      </c>
      <c r="D26" s="85" t="s">
        <v>1297</v>
      </c>
      <c r="E26" s="88" t="s">
        <v>1300</v>
      </c>
      <c r="F26" s="88" t="s">
        <v>1276</v>
      </c>
      <c r="G26" s="85" t="s">
        <v>1277</v>
      </c>
      <c r="H26" s="87" t="s">
        <v>668</v>
      </c>
    </row>
    <row r="27" spans="2:8" ht="14.25" customHeight="1">
      <c r="B27" s="49">
        <v>45690</v>
      </c>
      <c r="C27" s="50">
        <v>10001382</v>
      </c>
      <c r="D27" s="50" t="s">
        <v>1297</v>
      </c>
      <c r="E27" s="44" t="s">
        <v>1301</v>
      </c>
      <c r="F27" s="129" t="s">
        <v>1276</v>
      </c>
      <c r="G27" s="50" t="s">
        <v>1277</v>
      </c>
      <c r="H27" s="48" t="s">
        <v>665</v>
      </c>
    </row>
    <row r="28" spans="2:8" ht="14.25" customHeight="1">
      <c r="B28" s="84">
        <v>45956</v>
      </c>
      <c r="C28" s="85">
        <v>10014914</v>
      </c>
      <c r="D28" s="85" t="s">
        <v>1302</v>
      </c>
      <c r="E28" s="88" t="s">
        <v>1303</v>
      </c>
      <c r="F28" s="88" t="s">
        <v>1276</v>
      </c>
      <c r="G28" s="85" t="s">
        <v>1277</v>
      </c>
      <c r="H28" s="87" t="s">
        <v>1278</v>
      </c>
    </row>
    <row r="29" spans="2:8" ht="14.25" customHeight="1">
      <c r="B29" s="49">
        <v>45858</v>
      </c>
      <c r="C29" s="50">
        <v>60003290</v>
      </c>
      <c r="D29" s="50" t="s">
        <v>1302</v>
      </c>
      <c r="E29" s="44" t="s">
        <v>1301</v>
      </c>
      <c r="F29" s="44" t="s">
        <v>1276</v>
      </c>
      <c r="G29" s="50" t="s">
        <v>1277</v>
      </c>
      <c r="H29" s="48" t="s">
        <v>665</v>
      </c>
    </row>
    <row r="30" spans="2:8" ht="14.25" customHeight="1">
      <c r="B30" s="49">
        <v>45900</v>
      </c>
      <c r="C30" s="50">
        <v>30001820</v>
      </c>
      <c r="D30" s="50" t="s">
        <v>1302</v>
      </c>
      <c r="E30" s="43" t="s">
        <v>1304</v>
      </c>
      <c r="F30" s="43" t="s">
        <v>1305</v>
      </c>
      <c r="G30" s="50" t="s">
        <v>1277</v>
      </c>
      <c r="H30" s="48" t="s">
        <v>662</v>
      </c>
    </row>
    <row r="31" spans="2:8" ht="14.25" customHeight="1">
      <c r="B31" s="131">
        <v>45871</v>
      </c>
      <c r="C31" s="132">
        <v>20003714</v>
      </c>
      <c r="D31" s="132" t="s">
        <v>1302</v>
      </c>
      <c r="E31" s="133" t="s">
        <v>1306</v>
      </c>
      <c r="F31" s="133" t="s">
        <v>1285</v>
      </c>
      <c r="G31" s="132" t="s">
        <v>1277</v>
      </c>
      <c r="H31" s="134" t="s">
        <v>662</v>
      </c>
    </row>
    <row r="32" spans="2:8" ht="14.25" customHeight="1">
      <c r="B32" s="161" t="s">
        <v>1307</v>
      </c>
      <c r="C32" s="161">
        <v>20006304</v>
      </c>
      <c r="D32" s="16" t="s">
        <v>1308</v>
      </c>
      <c r="E32" s="163" t="s">
        <v>1309</v>
      </c>
      <c r="F32" s="163" t="s">
        <v>1310</v>
      </c>
      <c r="G32" s="130" t="s">
        <v>1277</v>
      </c>
      <c r="H32" s="163" t="s">
        <v>1278</v>
      </c>
    </row>
    <row r="33" spans="2:8" ht="14.25" customHeight="1">
      <c r="B33" s="69" t="s">
        <v>551</v>
      </c>
      <c r="C33" s="69">
        <v>30002936</v>
      </c>
      <c r="D33" s="16" t="s">
        <v>1308</v>
      </c>
      <c r="E33" s="70" t="s">
        <v>1311</v>
      </c>
      <c r="F33" s="70" t="s">
        <v>1276</v>
      </c>
      <c r="G33" s="16" t="s">
        <v>1277</v>
      </c>
      <c r="H33" s="70"/>
    </row>
    <row r="34" spans="2:8" ht="14.25" customHeight="1">
      <c r="B34" s="161" t="s">
        <v>551</v>
      </c>
      <c r="C34" s="161">
        <v>30002938</v>
      </c>
      <c r="D34" s="16" t="s">
        <v>1308</v>
      </c>
      <c r="E34" s="163" t="s">
        <v>1312</v>
      </c>
      <c r="F34" s="163" t="s">
        <v>1285</v>
      </c>
      <c r="G34" s="130" t="s">
        <v>1277</v>
      </c>
      <c r="H34" s="163" t="s">
        <v>1278</v>
      </c>
    </row>
    <row r="35" spans="2:8" ht="14.25" customHeight="1">
      <c r="B35" s="69" t="s">
        <v>1287</v>
      </c>
      <c r="C35" s="69">
        <v>30003107</v>
      </c>
      <c r="D35" s="16" t="s">
        <v>1308</v>
      </c>
      <c r="E35" s="70" t="s">
        <v>1313</v>
      </c>
      <c r="F35" s="70" t="s">
        <v>1276</v>
      </c>
      <c r="G35" s="16" t="s">
        <v>1277</v>
      </c>
      <c r="H35" s="70"/>
    </row>
    <row r="36" spans="2:8" ht="14.25" customHeight="1">
      <c r="B36" s="30">
        <v>45963</v>
      </c>
      <c r="C36" s="32">
        <v>30002330</v>
      </c>
      <c r="D36" s="16" t="s">
        <v>1308</v>
      </c>
      <c r="E36" s="61" t="s">
        <v>1314</v>
      </c>
      <c r="F36" s="61" t="s">
        <v>1305</v>
      </c>
      <c r="G36" s="16" t="s">
        <v>1277</v>
      </c>
      <c r="H36" s="5" t="s">
        <v>662</v>
      </c>
    </row>
    <row r="37" spans="2:8" ht="14.25" customHeight="1">
      <c r="B37" s="94">
        <v>45848</v>
      </c>
      <c r="C37" s="103">
        <v>10008433</v>
      </c>
      <c r="D37" s="91" t="s">
        <v>1308</v>
      </c>
      <c r="E37" s="140" t="s">
        <v>1301</v>
      </c>
      <c r="F37" s="140" t="s">
        <v>1276</v>
      </c>
      <c r="G37" s="91" t="s">
        <v>1277</v>
      </c>
      <c r="H37" s="141" t="s">
        <v>665</v>
      </c>
    </row>
    <row r="38" spans="2:8" ht="14.25" customHeight="1">
      <c r="B38" s="32" t="s">
        <v>1100</v>
      </c>
      <c r="C38" s="32">
        <v>30003022</v>
      </c>
      <c r="D38" s="32" t="s">
        <v>1315</v>
      </c>
      <c r="E38" s="15" t="s">
        <v>1316</v>
      </c>
      <c r="F38" s="15" t="s">
        <v>1276</v>
      </c>
      <c r="G38" s="16" t="s">
        <v>1277</v>
      </c>
      <c r="H38" s="5" t="s">
        <v>665</v>
      </c>
    </row>
    <row r="39" spans="2:8" ht="14.25" customHeight="1">
      <c r="B39" s="142" t="s">
        <v>1287</v>
      </c>
      <c r="C39" s="142">
        <v>20006306</v>
      </c>
      <c r="D39" s="136" t="s">
        <v>1315</v>
      </c>
      <c r="E39" s="135" t="s">
        <v>1317</v>
      </c>
      <c r="F39" s="137" t="s">
        <v>1234</v>
      </c>
      <c r="G39" s="130" t="s">
        <v>1277</v>
      </c>
      <c r="H39" s="135" t="s">
        <v>1278</v>
      </c>
    </row>
    <row r="40" spans="2:8" ht="14.25" customHeight="1">
      <c r="B40" s="128" t="s">
        <v>984</v>
      </c>
      <c r="C40" s="128">
        <v>20005920</v>
      </c>
      <c r="D40" s="32" t="s">
        <v>1315</v>
      </c>
      <c r="E40" s="78" t="s">
        <v>1318</v>
      </c>
      <c r="F40" s="15" t="s">
        <v>1276</v>
      </c>
      <c r="G40" s="16" t="s">
        <v>1277</v>
      </c>
      <c r="H40" s="5" t="s">
        <v>665</v>
      </c>
    </row>
    <row r="41" spans="2:8" ht="14.25" customHeight="1">
      <c r="B41" s="143">
        <v>46297</v>
      </c>
      <c r="C41" s="128">
        <v>20006261</v>
      </c>
      <c r="D41" s="32" t="s">
        <v>1315</v>
      </c>
      <c r="E41" s="78" t="s">
        <v>1319</v>
      </c>
      <c r="F41" s="15" t="s">
        <v>1276</v>
      </c>
      <c r="G41" s="16" t="s">
        <v>1277</v>
      </c>
      <c r="H41" s="5" t="s">
        <v>665</v>
      </c>
    </row>
    <row r="42" spans="2:8" ht="14.25" customHeight="1">
      <c r="B42" s="138">
        <v>45956</v>
      </c>
      <c r="C42" s="136">
        <v>60005941</v>
      </c>
      <c r="D42" s="136" t="s">
        <v>1315</v>
      </c>
      <c r="E42" s="139" t="s">
        <v>1320</v>
      </c>
      <c r="F42" s="139" t="s">
        <v>1276</v>
      </c>
      <c r="G42" s="130" t="s">
        <v>1277</v>
      </c>
      <c r="H42" s="135" t="s">
        <v>668</v>
      </c>
    </row>
    <row r="43" spans="2:8" ht="14.25" customHeight="1">
      <c r="B43" s="30">
        <v>45956</v>
      </c>
      <c r="C43" s="32">
        <v>60005936</v>
      </c>
      <c r="D43" s="32" t="s">
        <v>1315</v>
      </c>
      <c r="E43" s="61" t="s">
        <v>1321</v>
      </c>
      <c r="F43" s="61" t="s">
        <v>1276</v>
      </c>
      <c r="G43" s="16" t="s">
        <v>1277</v>
      </c>
      <c r="H43" s="5" t="s">
        <v>665</v>
      </c>
    </row>
    <row r="44" spans="2:8" ht="14.25" customHeight="1">
      <c r="B44" s="94">
        <v>45956</v>
      </c>
      <c r="C44" s="103">
        <v>60005937</v>
      </c>
      <c r="D44" s="103" t="s">
        <v>1315</v>
      </c>
      <c r="E44" s="145" t="s">
        <v>1322</v>
      </c>
      <c r="F44" s="145" t="s">
        <v>1276</v>
      </c>
      <c r="G44" s="91" t="s">
        <v>1277</v>
      </c>
      <c r="H44" s="141" t="s">
        <v>665</v>
      </c>
    </row>
    <row r="45" spans="2:8" ht="14.25" customHeight="1">
      <c r="B45" s="128" t="s">
        <v>1323</v>
      </c>
      <c r="C45" s="128">
        <v>10019541</v>
      </c>
      <c r="D45" s="69" t="s">
        <v>1324</v>
      </c>
      <c r="E45" s="78" t="s">
        <v>1325</v>
      </c>
      <c r="F45" s="70" t="s">
        <v>1310</v>
      </c>
      <c r="G45" s="70" t="s">
        <v>1326</v>
      </c>
      <c r="H45" s="70" t="s">
        <v>665</v>
      </c>
    </row>
    <row r="46" spans="2:8" ht="14.25" customHeight="1">
      <c r="B46" s="138">
        <v>45939</v>
      </c>
      <c r="C46" s="136">
        <v>20004830</v>
      </c>
      <c r="D46" s="136" t="s">
        <v>1324</v>
      </c>
      <c r="E46" s="139" t="s">
        <v>1327</v>
      </c>
      <c r="F46" s="139" t="s">
        <v>1234</v>
      </c>
      <c r="G46" s="130" t="s">
        <v>1277</v>
      </c>
      <c r="H46" s="135" t="s">
        <v>668</v>
      </c>
    </row>
    <row r="47" spans="2:8" ht="14.25" customHeight="1">
      <c r="B47" s="138">
        <v>45956</v>
      </c>
      <c r="C47" s="136">
        <v>60005942</v>
      </c>
      <c r="D47" s="136" t="s">
        <v>1324</v>
      </c>
      <c r="E47" s="139" t="s">
        <v>1320</v>
      </c>
      <c r="F47" s="139" t="s">
        <v>1276</v>
      </c>
      <c r="G47" s="130" t="s">
        <v>1277</v>
      </c>
      <c r="H47" s="135" t="s">
        <v>668</v>
      </c>
    </row>
    <row r="48" spans="2:8" ht="14.25" customHeight="1">
      <c r="B48" s="147" t="s">
        <v>1281</v>
      </c>
      <c r="C48" s="103">
        <v>30003000</v>
      </c>
      <c r="D48" s="103" t="s">
        <v>1324</v>
      </c>
      <c r="E48" s="145" t="s">
        <v>1328</v>
      </c>
      <c r="F48" s="145" t="s">
        <v>1285</v>
      </c>
      <c r="G48" s="148" t="s">
        <v>1277</v>
      </c>
      <c r="H48" s="149" t="s">
        <v>665</v>
      </c>
    </row>
    <row r="49" spans="2:8" ht="14.25" customHeight="1">
      <c r="B49" s="143">
        <v>46297</v>
      </c>
      <c r="C49" s="128">
        <v>30003087</v>
      </c>
      <c r="D49" s="32" t="s">
        <v>1329</v>
      </c>
      <c r="E49" s="78" t="s">
        <v>1330</v>
      </c>
      <c r="F49" s="61" t="s">
        <v>1276</v>
      </c>
      <c r="G49" s="144" t="s">
        <v>1277</v>
      </c>
      <c r="H49" s="78" t="s">
        <v>665</v>
      </c>
    </row>
    <row r="50" spans="2:8" ht="14.25" customHeight="1">
      <c r="B50" s="128" t="s">
        <v>1287</v>
      </c>
      <c r="C50" s="128">
        <v>30003109</v>
      </c>
      <c r="D50" s="32" t="s">
        <v>1329</v>
      </c>
      <c r="E50" s="78" t="s">
        <v>1331</v>
      </c>
      <c r="F50" s="61" t="s">
        <v>1276</v>
      </c>
      <c r="G50" s="144" t="s">
        <v>1277</v>
      </c>
      <c r="H50" s="78" t="s">
        <v>665</v>
      </c>
    </row>
    <row r="51" spans="2:8" ht="14.25" customHeight="1">
      <c r="B51" s="142" t="s">
        <v>1287</v>
      </c>
      <c r="C51" s="142">
        <v>60008903</v>
      </c>
      <c r="D51" s="136" t="s">
        <v>1329</v>
      </c>
      <c r="E51" s="135" t="s">
        <v>1332</v>
      </c>
      <c r="F51" s="139" t="s">
        <v>1285</v>
      </c>
      <c r="G51" s="130" t="s">
        <v>1277</v>
      </c>
      <c r="H51" s="135" t="s">
        <v>1278</v>
      </c>
    </row>
    <row r="52" spans="2:8" ht="14.25" customHeight="1">
      <c r="B52" s="146">
        <v>46357</v>
      </c>
      <c r="C52" s="142">
        <v>30002912</v>
      </c>
      <c r="D52" s="136" t="s">
        <v>1329</v>
      </c>
      <c r="E52" s="135" t="s">
        <v>1333</v>
      </c>
      <c r="F52" s="139" t="s">
        <v>1276</v>
      </c>
      <c r="G52" s="130" t="s">
        <v>1277</v>
      </c>
      <c r="H52" s="135" t="s">
        <v>1278</v>
      </c>
    </row>
    <row r="53" spans="2:8" ht="14.25" customHeight="1">
      <c r="B53" s="128" t="s">
        <v>1287</v>
      </c>
      <c r="C53" s="128">
        <v>10021174</v>
      </c>
      <c r="D53" s="32" t="s">
        <v>1329</v>
      </c>
      <c r="E53" s="78" t="s">
        <v>1334</v>
      </c>
      <c r="F53" s="61" t="s">
        <v>1276</v>
      </c>
      <c r="G53" s="144" t="s">
        <v>1277</v>
      </c>
      <c r="H53" s="78" t="s">
        <v>665</v>
      </c>
    </row>
    <row r="54" spans="2:8" ht="14.25" customHeight="1">
      <c r="B54" s="128" t="s">
        <v>1059</v>
      </c>
      <c r="C54" s="128">
        <v>20006082</v>
      </c>
      <c r="D54" s="32" t="s">
        <v>1329</v>
      </c>
      <c r="E54" s="78" t="s">
        <v>1335</v>
      </c>
      <c r="F54" s="61" t="s">
        <v>1276</v>
      </c>
      <c r="G54" s="144" t="s">
        <v>1277</v>
      </c>
      <c r="H54" s="78" t="s">
        <v>665</v>
      </c>
    </row>
    <row r="55" spans="2:8" ht="14.25" customHeight="1">
      <c r="B55" s="30">
        <v>45721</v>
      </c>
      <c r="C55" s="32">
        <v>10003043</v>
      </c>
      <c r="D55" s="32" t="s">
        <v>1329</v>
      </c>
      <c r="E55" s="61" t="s">
        <v>1336</v>
      </c>
      <c r="F55" s="61" t="s">
        <v>1276</v>
      </c>
      <c r="G55" s="16" t="s">
        <v>1277</v>
      </c>
      <c r="H55" s="5" t="s">
        <v>665</v>
      </c>
    </row>
    <row r="56" spans="2:8" ht="14.25" customHeight="1">
      <c r="B56" s="94">
        <v>45864</v>
      </c>
      <c r="C56" s="103">
        <v>60003292</v>
      </c>
      <c r="D56" s="103" t="s">
        <v>1329</v>
      </c>
      <c r="E56" s="140" t="s">
        <v>1301</v>
      </c>
      <c r="F56" s="140" t="s">
        <v>1276</v>
      </c>
      <c r="G56" s="91" t="s">
        <v>1277</v>
      </c>
      <c r="H56" s="141" t="s">
        <v>665</v>
      </c>
    </row>
    <row r="57" spans="2:8" ht="14.25" customHeight="1">
      <c r="B57" s="146">
        <v>46358</v>
      </c>
      <c r="C57" s="142">
        <v>10021175</v>
      </c>
      <c r="D57" s="161" t="s">
        <v>1337</v>
      </c>
      <c r="E57" s="135" t="s">
        <v>1338</v>
      </c>
      <c r="F57" s="137" t="s">
        <v>1310</v>
      </c>
      <c r="G57" s="130" t="s">
        <v>1326</v>
      </c>
      <c r="H57" s="135" t="s">
        <v>1278</v>
      </c>
    </row>
    <row r="58" spans="2:8" ht="14.25" customHeight="1">
      <c r="B58" s="146">
        <v>46297</v>
      </c>
      <c r="C58" s="142">
        <v>20006263</v>
      </c>
      <c r="D58" s="161" t="s">
        <v>1337</v>
      </c>
      <c r="E58" s="135" t="s">
        <v>1339</v>
      </c>
      <c r="F58" s="137" t="s">
        <v>1310</v>
      </c>
      <c r="G58" s="130" t="s">
        <v>1277</v>
      </c>
      <c r="H58" s="135" t="s">
        <v>1278</v>
      </c>
    </row>
    <row r="59" spans="2:8" ht="14.25" customHeight="1">
      <c r="B59" s="143">
        <v>46328</v>
      </c>
      <c r="C59" s="128">
        <v>20006266</v>
      </c>
      <c r="D59" s="161" t="s">
        <v>1337</v>
      </c>
      <c r="E59" s="78" t="s">
        <v>1340</v>
      </c>
      <c r="F59" s="15" t="s">
        <v>1276</v>
      </c>
      <c r="G59" s="16" t="s">
        <v>1277</v>
      </c>
      <c r="H59" s="5" t="s">
        <v>665</v>
      </c>
    </row>
    <row r="60" spans="2:8" ht="14.25" customHeight="1">
      <c r="B60" s="128" t="s">
        <v>1307</v>
      </c>
      <c r="C60" s="128">
        <v>20006303</v>
      </c>
      <c r="D60" s="161" t="s">
        <v>1337</v>
      </c>
      <c r="E60" s="78" t="s">
        <v>1341</v>
      </c>
      <c r="F60" s="15" t="s">
        <v>1234</v>
      </c>
      <c r="G60" s="16" t="s">
        <v>1277</v>
      </c>
      <c r="H60" s="5" t="s">
        <v>665</v>
      </c>
    </row>
    <row r="61" spans="2:8" ht="14.25" customHeight="1">
      <c r="B61" s="128" t="s">
        <v>1100</v>
      </c>
      <c r="C61" s="128">
        <v>30003018</v>
      </c>
      <c r="D61" s="161" t="s">
        <v>1337</v>
      </c>
      <c r="E61" s="78" t="s">
        <v>1342</v>
      </c>
      <c r="F61" s="15" t="s">
        <v>1276</v>
      </c>
      <c r="G61" s="16" t="s">
        <v>1277</v>
      </c>
      <c r="H61" s="5" t="s">
        <v>665</v>
      </c>
    </row>
    <row r="62" spans="2:8" ht="14.25" customHeight="1">
      <c r="B62" s="143">
        <v>46267</v>
      </c>
      <c r="C62" s="128">
        <v>30003085</v>
      </c>
      <c r="D62" s="161" t="s">
        <v>1337</v>
      </c>
      <c r="E62" s="78" t="s">
        <v>1343</v>
      </c>
      <c r="F62" s="15" t="s">
        <v>1276</v>
      </c>
      <c r="G62" s="16" t="s">
        <v>1326</v>
      </c>
      <c r="H62" s="5" t="s">
        <v>665</v>
      </c>
    </row>
    <row r="63" spans="2:8" ht="14.25" customHeight="1">
      <c r="B63" s="150">
        <v>46083</v>
      </c>
      <c r="C63" s="151">
        <v>60008557</v>
      </c>
      <c r="D63" s="167" t="s">
        <v>1337</v>
      </c>
      <c r="E63" s="149" t="s">
        <v>1344</v>
      </c>
      <c r="F63" s="140" t="s">
        <v>1276</v>
      </c>
      <c r="G63" s="91" t="s">
        <v>1277</v>
      </c>
      <c r="H63" s="141" t="s">
        <v>665</v>
      </c>
    </row>
    <row r="64" spans="2:8" ht="14.25" customHeight="1">
      <c r="B64" s="30">
        <v>56658</v>
      </c>
      <c r="C64" s="32">
        <v>10002015</v>
      </c>
      <c r="D64" s="16" t="s">
        <v>1345</v>
      </c>
      <c r="E64" s="15" t="s">
        <v>1346</v>
      </c>
      <c r="F64" s="15" t="s">
        <v>1276</v>
      </c>
      <c r="G64" s="16" t="s">
        <v>1277</v>
      </c>
      <c r="H64" s="5" t="s">
        <v>665</v>
      </c>
    </row>
    <row r="65" spans="2:8" ht="14.25" customHeight="1">
      <c r="B65" s="30">
        <v>45905</v>
      </c>
      <c r="C65" s="32">
        <v>20004284</v>
      </c>
      <c r="D65" s="32" t="s">
        <v>1345</v>
      </c>
      <c r="E65" s="61" t="s">
        <v>1347</v>
      </c>
      <c r="F65" s="61" t="s">
        <v>1276</v>
      </c>
      <c r="G65" s="16" t="s">
        <v>1277</v>
      </c>
      <c r="H65" s="5" t="s">
        <v>665</v>
      </c>
    </row>
    <row r="66" spans="2:8" ht="14.25" customHeight="1">
      <c r="B66" s="94">
        <v>45942</v>
      </c>
      <c r="C66" s="103">
        <v>30002156</v>
      </c>
      <c r="D66" s="103" t="s">
        <v>1345</v>
      </c>
      <c r="E66" s="145" t="s">
        <v>1348</v>
      </c>
      <c r="F66" s="145" t="s">
        <v>1276</v>
      </c>
      <c r="G66" s="91" t="s">
        <v>1277</v>
      </c>
      <c r="H66" s="141" t="s">
        <v>665</v>
      </c>
    </row>
    <row r="67" spans="2:8" ht="14.25" customHeight="1">
      <c r="B67" s="130" t="s">
        <v>1100</v>
      </c>
      <c r="C67" s="130">
        <v>30003016</v>
      </c>
      <c r="D67" s="168" t="s">
        <v>1349</v>
      </c>
      <c r="E67" s="135" t="s">
        <v>1350</v>
      </c>
      <c r="F67" s="137" t="s">
        <v>1276</v>
      </c>
      <c r="G67" s="130" t="s">
        <v>1277</v>
      </c>
      <c r="H67" s="135" t="s">
        <v>1278</v>
      </c>
    </row>
    <row r="68" spans="2:8" ht="14.25" customHeight="1">
      <c r="B68" s="130" t="s">
        <v>1100</v>
      </c>
      <c r="C68" s="130">
        <v>30003017</v>
      </c>
      <c r="D68" s="168" t="s">
        <v>1349</v>
      </c>
      <c r="E68" s="135" t="s">
        <v>1351</v>
      </c>
      <c r="F68" s="137" t="s">
        <v>1276</v>
      </c>
      <c r="G68" s="130" t="s">
        <v>1277</v>
      </c>
      <c r="H68" s="135" t="s">
        <v>1278</v>
      </c>
    </row>
    <row r="69" spans="2:8" ht="14.25" customHeight="1">
      <c r="B69" s="152">
        <v>46357</v>
      </c>
      <c r="C69" s="144">
        <v>10019186</v>
      </c>
      <c r="D69" s="98" t="s">
        <v>1349</v>
      </c>
      <c r="E69" s="78" t="s">
        <v>1352</v>
      </c>
      <c r="F69" s="15" t="s">
        <v>1310</v>
      </c>
      <c r="G69" s="16" t="s">
        <v>1326</v>
      </c>
      <c r="H69" s="5" t="s">
        <v>665</v>
      </c>
    </row>
    <row r="70" spans="2:8" ht="14.25" customHeight="1">
      <c r="B70" s="153" t="s">
        <v>1281</v>
      </c>
      <c r="C70" s="154">
        <v>20006144</v>
      </c>
      <c r="D70" s="154" t="s">
        <v>1349</v>
      </c>
      <c r="E70" s="155" t="s">
        <v>1353</v>
      </c>
      <c r="F70" s="155" t="s">
        <v>1285</v>
      </c>
      <c r="G70" s="156" t="s">
        <v>1277</v>
      </c>
      <c r="H70" s="157" t="s">
        <v>1278</v>
      </c>
    </row>
    <row r="71" spans="2:8" ht="14.25" customHeight="1">
      <c r="B71" s="84">
        <v>45977</v>
      </c>
      <c r="C71" s="89">
        <v>1000</v>
      </c>
      <c r="D71" s="89" t="s">
        <v>1345</v>
      </c>
      <c r="E71" s="88" t="s">
        <v>1354</v>
      </c>
      <c r="F71" s="88" t="s">
        <v>1276</v>
      </c>
      <c r="G71" s="85" t="s">
        <v>1277</v>
      </c>
      <c r="H71" s="87" t="s">
        <v>668</v>
      </c>
    </row>
    <row r="72" spans="2:8" ht="14.25" customHeight="1">
      <c r="B72" s="84">
        <v>45938</v>
      </c>
      <c r="C72" s="89">
        <v>10013905</v>
      </c>
      <c r="D72" s="89" t="s">
        <v>1355</v>
      </c>
      <c r="E72" s="88" t="s">
        <v>1356</v>
      </c>
      <c r="F72" s="88" t="s">
        <v>1276</v>
      </c>
      <c r="G72" s="85" t="s">
        <v>1277</v>
      </c>
      <c r="H72" s="87" t="s">
        <v>668</v>
      </c>
    </row>
    <row r="73" spans="2:8" ht="14.25" customHeight="1">
      <c r="B73" s="131" t="s">
        <v>1357</v>
      </c>
      <c r="C73" s="164">
        <v>30002339</v>
      </c>
      <c r="D73" s="164" t="s">
        <v>1355</v>
      </c>
      <c r="E73" s="133" t="s">
        <v>1358</v>
      </c>
      <c r="F73" s="133" t="s">
        <v>1276</v>
      </c>
      <c r="G73" s="132" t="s">
        <v>1277</v>
      </c>
      <c r="H73" s="134" t="s">
        <v>665</v>
      </c>
    </row>
    <row r="74" spans="2:8" ht="14.25" customHeight="1">
      <c r="B74" s="138">
        <v>45973</v>
      </c>
      <c r="C74" s="136">
        <v>10017615</v>
      </c>
      <c r="D74" s="136" t="s">
        <v>1359</v>
      </c>
      <c r="E74" s="139" t="s">
        <v>1360</v>
      </c>
      <c r="F74" s="139" t="s">
        <v>1310</v>
      </c>
      <c r="G74" s="130" t="s">
        <v>1277</v>
      </c>
      <c r="H74" s="135" t="s">
        <v>668</v>
      </c>
    </row>
    <row r="75" spans="2:8" ht="14.25" customHeight="1">
      <c r="B75" s="142" t="s">
        <v>1287</v>
      </c>
      <c r="C75" s="142">
        <v>20006308</v>
      </c>
      <c r="D75" s="136" t="s">
        <v>1361</v>
      </c>
      <c r="E75" s="135" t="s">
        <v>1362</v>
      </c>
      <c r="F75" s="163" t="s">
        <v>1285</v>
      </c>
      <c r="G75" s="163" t="s">
        <v>1277</v>
      </c>
      <c r="H75" s="163" t="s">
        <v>1278</v>
      </c>
    </row>
    <row r="76" spans="2:8" ht="14.25" customHeight="1">
      <c r="B76" s="142" t="s">
        <v>1287</v>
      </c>
      <c r="C76" s="142">
        <v>20006309</v>
      </c>
      <c r="D76" s="136" t="s">
        <v>1361</v>
      </c>
      <c r="E76" s="135" t="s">
        <v>1363</v>
      </c>
      <c r="F76" s="163" t="s">
        <v>1285</v>
      </c>
      <c r="G76" s="163" t="s">
        <v>1277</v>
      </c>
      <c r="H76" s="163" t="s">
        <v>1278</v>
      </c>
    </row>
    <row r="77" spans="2:8" ht="14.25" customHeight="1">
      <c r="B77" s="158">
        <v>45847</v>
      </c>
      <c r="C77" s="136">
        <v>60002955</v>
      </c>
      <c r="D77" s="136" t="s">
        <v>1361</v>
      </c>
      <c r="E77" s="139" t="s">
        <v>1364</v>
      </c>
      <c r="F77" s="139" t="s">
        <v>1234</v>
      </c>
      <c r="G77" s="130" t="s">
        <v>1277</v>
      </c>
      <c r="H77" s="135" t="s">
        <v>668</v>
      </c>
    </row>
    <row r="78" spans="2:8" ht="14.25" customHeight="1">
      <c r="B78" s="159" t="s">
        <v>1078</v>
      </c>
      <c r="C78" s="32">
        <v>30002996</v>
      </c>
      <c r="D78" s="32" t="s">
        <v>1361</v>
      </c>
      <c r="E78" s="61" t="s">
        <v>1365</v>
      </c>
      <c r="F78" s="61" t="s">
        <v>1305</v>
      </c>
      <c r="G78" s="144" t="s">
        <v>1277</v>
      </c>
      <c r="H78" s="78" t="s">
        <v>665</v>
      </c>
    </row>
    <row r="79" spans="2:8" ht="14.25" customHeight="1">
      <c r="B79" s="158" t="s">
        <v>1281</v>
      </c>
      <c r="C79" s="136">
        <v>60008342</v>
      </c>
      <c r="D79" s="136" t="s">
        <v>1361</v>
      </c>
      <c r="E79" s="139" t="s">
        <v>1366</v>
      </c>
      <c r="F79" s="139" t="s">
        <v>1276</v>
      </c>
      <c r="G79" s="130" t="s">
        <v>1277</v>
      </c>
      <c r="H79" s="135" t="s">
        <v>1278</v>
      </c>
    </row>
    <row r="80" spans="2:8" ht="14.25" customHeight="1">
      <c r="B80" s="160">
        <v>45973</v>
      </c>
      <c r="C80" s="161">
        <v>10017616</v>
      </c>
      <c r="D80" s="162" t="s">
        <v>1367</v>
      </c>
      <c r="E80" s="163" t="s">
        <v>1368</v>
      </c>
      <c r="F80" s="163" t="s">
        <v>1310</v>
      </c>
      <c r="G80" s="161" t="s">
        <v>1277</v>
      </c>
      <c r="H80" s="163" t="s">
        <v>668</v>
      </c>
    </row>
    <row r="81" spans="2:8" ht="14.25" customHeight="1">
      <c r="B81" s="160">
        <v>45973</v>
      </c>
      <c r="C81" s="162">
        <v>10017617</v>
      </c>
      <c r="D81" s="162" t="s">
        <v>1361</v>
      </c>
      <c r="E81" s="163" t="s">
        <v>1369</v>
      </c>
      <c r="F81" s="163" t="s">
        <v>1234</v>
      </c>
      <c r="G81" s="161" t="s">
        <v>1277</v>
      </c>
      <c r="H81" s="163" t="s">
        <v>668</v>
      </c>
    </row>
    <row r="82" spans="2:8" ht="14.25" customHeight="1">
      <c r="B82" s="160">
        <v>45973</v>
      </c>
      <c r="C82" s="162">
        <v>10017618</v>
      </c>
      <c r="D82" s="162" t="s">
        <v>1361</v>
      </c>
      <c r="E82" s="137" t="s">
        <v>1370</v>
      </c>
      <c r="F82" s="163" t="s">
        <v>1234</v>
      </c>
      <c r="G82" s="161" t="s">
        <v>1277</v>
      </c>
      <c r="H82" s="163" t="s">
        <v>668</v>
      </c>
    </row>
    <row r="83" spans="2:8" ht="14.25" customHeight="1">
      <c r="B83" s="160">
        <v>45973</v>
      </c>
      <c r="C83" s="162">
        <v>30002714</v>
      </c>
      <c r="D83" s="162" t="s">
        <v>1361</v>
      </c>
      <c r="E83" s="163" t="s">
        <v>1371</v>
      </c>
      <c r="F83" s="163" t="s">
        <v>1276</v>
      </c>
      <c r="G83" s="161" t="s">
        <v>1277</v>
      </c>
      <c r="H83" s="163" t="s">
        <v>668</v>
      </c>
    </row>
    <row r="84" spans="2:8" ht="14.25" customHeight="1">
      <c r="B84" s="70"/>
      <c r="C84" s="70"/>
      <c r="D84" s="70"/>
      <c r="E84" s="70"/>
      <c r="F84" s="70"/>
      <c r="G84" s="70"/>
      <c r="H84" s="70"/>
    </row>
    <row r="85" spans="2:8" ht="14.25" customHeight="1">
      <c r="B85" s="165"/>
      <c r="C85" s="165"/>
      <c r="D85" s="165"/>
      <c r="E85" s="165"/>
      <c r="F85" s="165"/>
      <c r="G85" s="165"/>
      <c r="H85" s="165"/>
    </row>
    <row r="86" spans="2:8" ht="14.25" customHeight="1">
      <c r="B86" s="52"/>
      <c r="C86" s="52"/>
      <c r="D86" s="52"/>
      <c r="E86" s="52"/>
      <c r="F86" s="52"/>
      <c r="G86" s="52"/>
      <c r="H86" s="52"/>
    </row>
    <row r="87" spans="2:8" ht="14.25" customHeight="1">
      <c r="B87" s="52"/>
      <c r="C87" s="52"/>
      <c r="D87" s="52"/>
      <c r="E87" s="52"/>
      <c r="F87" s="52"/>
      <c r="G87" s="52"/>
      <c r="H87" s="52"/>
    </row>
    <row r="88" spans="2:8" ht="14.25" customHeight="1">
      <c r="B88" s="52"/>
      <c r="C88" s="52"/>
      <c r="D88" s="52"/>
      <c r="E88" s="52"/>
      <c r="F88" s="52"/>
      <c r="G88" s="52"/>
      <c r="H88" s="52"/>
    </row>
    <row r="89" spans="2:8" ht="14.25" customHeight="1">
      <c r="B89" s="52"/>
      <c r="C89" s="52"/>
      <c r="D89" s="52"/>
      <c r="E89" s="52"/>
      <c r="F89" s="52"/>
      <c r="G89" s="52"/>
      <c r="H89" s="52"/>
    </row>
    <row r="90" spans="2:8" ht="14.25" customHeight="1">
      <c r="B90" s="52"/>
      <c r="C90" s="52"/>
      <c r="D90" s="52"/>
      <c r="E90" s="52"/>
      <c r="F90" s="52"/>
      <c r="G90" s="52"/>
      <c r="H90" s="52"/>
    </row>
    <row r="91" spans="2:8" ht="14.25" customHeight="1">
      <c r="B91" s="52"/>
      <c r="C91" s="52"/>
      <c r="D91" s="52"/>
      <c r="E91" s="52"/>
      <c r="F91" s="52"/>
      <c r="G91" s="52"/>
      <c r="H91" s="52"/>
    </row>
    <row r="92" spans="2:8" ht="14.25" customHeight="1">
      <c r="B92" s="52"/>
      <c r="C92" s="52"/>
      <c r="D92" s="52"/>
      <c r="E92" s="52"/>
      <c r="F92" s="52"/>
      <c r="G92" s="52"/>
      <c r="H92" s="52"/>
    </row>
    <row r="93" spans="2:8" ht="14.25" customHeight="1">
      <c r="B93" s="52"/>
      <c r="C93" s="52"/>
      <c r="D93" s="52"/>
      <c r="E93" s="52"/>
      <c r="F93" s="52"/>
      <c r="G93" s="52"/>
      <c r="H93" s="52"/>
    </row>
    <row r="94" spans="2:8" ht="14.25" customHeight="1">
      <c r="B94" s="52"/>
      <c r="C94" s="52"/>
      <c r="D94" s="52"/>
      <c r="E94" s="52"/>
      <c r="F94" s="52"/>
      <c r="G94" s="52"/>
      <c r="H94" s="52"/>
    </row>
    <row r="95" spans="2:8" ht="14.25" customHeight="1">
      <c r="B95" s="52"/>
      <c r="C95" s="52"/>
      <c r="D95" s="52"/>
      <c r="E95" s="52"/>
      <c r="F95" s="52"/>
      <c r="G95" s="52"/>
      <c r="H95" s="52"/>
    </row>
    <row r="96" spans="2:8" ht="14.25" customHeight="1">
      <c r="B96" s="52"/>
      <c r="C96" s="52"/>
      <c r="D96" s="52"/>
      <c r="E96" s="52"/>
      <c r="F96" s="52"/>
      <c r="G96" s="52"/>
      <c r="H96" s="52"/>
    </row>
    <row r="97" spans="2:8" ht="14.25" customHeight="1">
      <c r="B97" s="52"/>
      <c r="C97" s="52"/>
      <c r="D97" s="52"/>
      <c r="E97" s="52"/>
      <c r="F97" s="52"/>
      <c r="G97" s="52"/>
      <c r="H97" s="52"/>
    </row>
    <row r="98" spans="2:8" ht="14.25" customHeight="1">
      <c r="B98" s="52"/>
      <c r="C98" s="52"/>
      <c r="D98" s="52"/>
      <c r="E98" s="52"/>
      <c r="F98" s="52"/>
      <c r="G98" s="52"/>
      <c r="H98" s="52"/>
    </row>
    <row r="99" spans="2:8" ht="14.25" customHeight="1">
      <c r="B99" s="52"/>
      <c r="C99" s="52"/>
      <c r="D99" s="52"/>
      <c r="E99" s="52"/>
      <c r="F99" s="52"/>
      <c r="G99" s="52"/>
      <c r="H99" s="52"/>
    </row>
    <row r="100" spans="2:8" ht="14.25" customHeight="1">
      <c r="B100" s="52"/>
      <c r="C100" s="52"/>
      <c r="D100" s="52"/>
      <c r="E100" s="52"/>
      <c r="F100" s="52"/>
      <c r="G100" s="52"/>
      <c r="H100" s="52"/>
    </row>
    <row r="101" spans="2:8" ht="14.25" customHeight="1">
      <c r="B101" s="52"/>
      <c r="C101" s="52"/>
      <c r="D101" s="52"/>
      <c r="E101" s="52"/>
      <c r="F101" s="52"/>
      <c r="G101" s="52"/>
      <c r="H101" s="52"/>
    </row>
    <row r="102" spans="2:8" ht="14.25" customHeight="1">
      <c r="B102" s="52"/>
      <c r="C102" s="52"/>
      <c r="D102" s="52"/>
      <c r="E102" s="52"/>
      <c r="F102" s="52"/>
      <c r="G102" s="52"/>
      <c r="H102" s="52"/>
    </row>
    <row r="103" spans="2:8" ht="14.25" customHeight="1">
      <c r="B103" s="52"/>
      <c r="C103" s="52"/>
      <c r="D103" s="52"/>
      <c r="E103" s="52"/>
      <c r="F103" s="52"/>
      <c r="G103" s="52"/>
      <c r="H103" s="52"/>
    </row>
    <row r="104" spans="2:8" ht="14.25" customHeight="1">
      <c r="B104" s="52"/>
      <c r="C104" s="52"/>
      <c r="D104" s="52"/>
      <c r="E104" s="52"/>
      <c r="F104" s="52"/>
      <c r="G104" s="52"/>
      <c r="H104" s="52"/>
    </row>
    <row r="105" spans="2:8" ht="14.25" customHeight="1">
      <c r="B105" s="52"/>
      <c r="C105" s="52"/>
      <c r="D105" s="52"/>
      <c r="E105" s="52"/>
      <c r="F105" s="52"/>
      <c r="G105" s="52"/>
      <c r="H105" s="52"/>
    </row>
    <row r="106" spans="2:8" ht="14.25" customHeight="1">
      <c r="B106" s="52"/>
      <c r="C106" s="52"/>
      <c r="D106" s="52"/>
      <c r="E106" s="52"/>
      <c r="F106" s="52"/>
      <c r="G106" s="52"/>
      <c r="H106" s="52"/>
    </row>
    <row r="107" spans="2:8" ht="14.25" customHeight="1">
      <c r="B107" s="52"/>
      <c r="C107" s="52"/>
      <c r="D107" s="52"/>
      <c r="E107" s="52"/>
      <c r="F107" s="52"/>
      <c r="G107" s="52"/>
      <c r="H107" s="52"/>
    </row>
    <row r="108" spans="2:8" ht="14.25" customHeight="1">
      <c r="B108" s="52"/>
      <c r="C108" s="52"/>
      <c r="D108" s="52"/>
      <c r="E108" s="52"/>
      <c r="F108" s="52"/>
      <c r="G108" s="52"/>
      <c r="H108" s="52"/>
    </row>
    <row r="109" spans="2:8" ht="14.25" customHeight="1">
      <c r="B109" s="52"/>
      <c r="C109" s="52"/>
      <c r="D109" s="52"/>
      <c r="E109" s="52"/>
      <c r="F109" s="52"/>
      <c r="G109" s="52"/>
      <c r="H109" s="52"/>
    </row>
    <row r="110" spans="2:8" ht="14.25" customHeight="1">
      <c r="B110" s="52"/>
      <c r="C110" s="52"/>
      <c r="D110" s="52"/>
      <c r="E110" s="52"/>
      <c r="F110" s="52"/>
      <c r="G110" s="52"/>
      <c r="H110" s="52"/>
    </row>
    <row r="111" spans="2:8" ht="14.25" customHeight="1">
      <c r="B111" s="52"/>
      <c r="C111" s="52"/>
      <c r="D111" s="52"/>
      <c r="E111" s="52"/>
      <c r="F111" s="52"/>
      <c r="G111" s="52"/>
      <c r="H111" s="52"/>
    </row>
    <row r="112" spans="2:8" ht="14.25" customHeight="1">
      <c r="B112" s="52"/>
      <c r="C112" s="52"/>
      <c r="D112" s="52"/>
      <c r="E112" s="52"/>
      <c r="F112" s="52"/>
      <c r="G112" s="52"/>
      <c r="H112" s="52"/>
    </row>
    <row r="113" spans="2:8" ht="14.25" customHeight="1">
      <c r="B113" s="52"/>
      <c r="C113" s="52"/>
      <c r="D113" s="52"/>
      <c r="E113" s="52"/>
      <c r="F113" s="52"/>
      <c r="G113" s="52"/>
      <c r="H113" s="52"/>
    </row>
    <row r="114" spans="2:8" ht="14.25" customHeight="1">
      <c r="B114" s="52"/>
      <c r="C114" s="52"/>
      <c r="D114" s="52"/>
      <c r="E114" s="52"/>
      <c r="F114" s="52"/>
      <c r="G114" s="52"/>
      <c r="H114" s="52"/>
    </row>
    <row r="115" spans="2:8" ht="14.25" customHeight="1">
      <c r="B115" s="52"/>
      <c r="C115" s="52"/>
      <c r="D115" s="52"/>
      <c r="E115" s="52"/>
      <c r="F115" s="52"/>
      <c r="G115" s="52"/>
      <c r="H115" s="52"/>
    </row>
    <row r="116" spans="2:8" ht="14.25" customHeight="1">
      <c r="B116" s="52"/>
      <c r="C116" s="52"/>
      <c r="D116" s="52"/>
      <c r="E116" s="52"/>
      <c r="F116" s="52"/>
      <c r="G116" s="52"/>
      <c r="H116" s="52"/>
    </row>
    <row r="117" spans="2:8" ht="14.25" customHeight="1">
      <c r="B117" s="52"/>
      <c r="C117" s="52"/>
      <c r="D117" s="52"/>
      <c r="E117" s="52"/>
      <c r="F117" s="52"/>
      <c r="G117" s="52"/>
      <c r="H117" s="52"/>
    </row>
    <row r="118" spans="2:8" ht="14.25" customHeight="1">
      <c r="B118" s="52"/>
      <c r="C118" s="52"/>
      <c r="D118" s="52"/>
      <c r="E118" s="52"/>
      <c r="F118" s="52"/>
      <c r="G118" s="52"/>
      <c r="H118" s="52"/>
    </row>
    <row r="119" spans="2:8" ht="14.25" customHeight="1">
      <c r="B119" s="52"/>
      <c r="C119" s="52"/>
      <c r="D119" s="52"/>
      <c r="E119" s="52"/>
      <c r="F119" s="52"/>
      <c r="G119" s="52"/>
      <c r="H119" s="52"/>
    </row>
    <row r="120" spans="2:8" ht="14.25" customHeight="1">
      <c r="B120" s="52"/>
      <c r="C120" s="52"/>
      <c r="D120" s="52"/>
      <c r="E120" s="52"/>
      <c r="F120" s="52"/>
      <c r="G120" s="52"/>
      <c r="H120" s="52"/>
    </row>
    <row r="121" spans="2:8" ht="14.25" customHeight="1">
      <c r="B121" s="52"/>
      <c r="C121" s="52"/>
      <c r="D121" s="52"/>
      <c r="E121" s="52"/>
      <c r="F121" s="52"/>
      <c r="G121" s="52"/>
      <c r="H121" s="52"/>
    </row>
    <row r="122" spans="2:8" ht="14.25" customHeight="1">
      <c r="B122" s="52"/>
      <c r="C122" s="52"/>
      <c r="D122" s="52"/>
      <c r="E122" s="52"/>
      <c r="F122" s="52"/>
      <c r="G122" s="52"/>
      <c r="H122" s="52"/>
    </row>
    <row r="123" spans="2:8" ht="14.25" customHeight="1">
      <c r="B123" s="52"/>
      <c r="C123" s="52"/>
      <c r="D123" s="52"/>
      <c r="E123" s="52"/>
      <c r="F123" s="52"/>
      <c r="G123" s="52"/>
      <c r="H123" s="52"/>
    </row>
    <row r="124" spans="2:8" ht="14.25" customHeight="1">
      <c r="B124" s="52"/>
      <c r="C124" s="52"/>
      <c r="D124" s="52"/>
      <c r="E124" s="52"/>
      <c r="F124" s="52"/>
      <c r="G124" s="52"/>
      <c r="H124" s="52"/>
    </row>
    <row r="125" spans="2:8" ht="14.25" customHeight="1">
      <c r="B125" s="52"/>
      <c r="C125" s="52"/>
      <c r="D125" s="52"/>
      <c r="E125" s="52"/>
      <c r="F125" s="52"/>
      <c r="G125" s="52"/>
      <c r="H125" s="52"/>
    </row>
    <row r="126" spans="2:8" ht="14.25" customHeight="1">
      <c r="B126" s="52"/>
      <c r="C126" s="52"/>
      <c r="D126" s="52"/>
      <c r="E126" s="52"/>
      <c r="F126" s="52"/>
      <c r="G126" s="52"/>
      <c r="H126" s="52"/>
    </row>
    <row r="127" spans="2:8" ht="14.25" customHeight="1">
      <c r="B127" s="52"/>
      <c r="C127" s="52"/>
      <c r="D127" s="52"/>
      <c r="E127" s="52"/>
      <c r="F127" s="52"/>
      <c r="G127" s="52"/>
      <c r="H127" s="52"/>
    </row>
    <row r="128" spans="2:8" ht="14.25" customHeight="1">
      <c r="B128" s="52"/>
      <c r="C128" s="52"/>
      <c r="D128" s="52"/>
      <c r="E128" s="52"/>
      <c r="F128" s="52"/>
      <c r="G128" s="52"/>
      <c r="H128" s="52"/>
    </row>
    <row r="129" spans="2:8" ht="14.25" customHeight="1">
      <c r="B129" s="52"/>
      <c r="C129" s="52"/>
      <c r="D129" s="52"/>
      <c r="E129" s="52"/>
      <c r="F129" s="52"/>
      <c r="G129" s="52"/>
      <c r="H129" s="52"/>
    </row>
    <row r="130" spans="2:8" ht="14.25" customHeight="1">
      <c r="B130" s="52"/>
      <c r="C130" s="52"/>
      <c r="D130" s="52"/>
      <c r="E130" s="52"/>
      <c r="F130" s="52"/>
      <c r="G130" s="52"/>
      <c r="H130" s="52"/>
    </row>
    <row r="131" spans="2:8" ht="14.25" customHeight="1">
      <c r="B131" s="52"/>
      <c r="C131" s="52"/>
      <c r="D131" s="52"/>
      <c r="E131" s="52"/>
      <c r="F131" s="52"/>
      <c r="G131" s="52"/>
      <c r="H131" s="52"/>
    </row>
    <row r="132" spans="2:8" ht="14.25" customHeight="1">
      <c r="B132" s="52"/>
      <c r="C132" s="52"/>
      <c r="D132" s="52"/>
      <c r="E132" s="52"/>
      <c r="F132" s="52"/>
      <c r="G132" s="52"/>
      <c r="H132" s="52"/>
    </row>
    <row r="133" spans="2:8" ht="14.25" customHeight="1">
      <c r="B133" s="52"/>
      <c r="C133" s="52"/>
      <c r="D133" s="52"/>
      <c r="E133" s="52"/>
      <c r="F133" s="52"/>
      <c r="G133" s="52"/>
      <c r="H133" s="52"/>
    </row>
    <row r="134" spans="2:8" ht="14.25" customHeight="1">
      <c r="B134" s="52"/>
      <c r="C134" s="52"/>
      <c r="D134" s="52"/>
      <c r="E134" s="52"/>
      <c r="F134" s="52"/>
      <c r="G134" s="52"/>
      <c r="H134" s="52"/>
    </row>
    <row r="135" spans="2:8" ht="14.25" customHeight="1">
      <c r="B135" s="52"/>
      <c r="C135" s="52"/>
      <c r="D135" s="52"/>
      <c r="E135" s="52"/>
      <c r="F135" s="52"/>
      <c r="G135" s="52"/>
      <c r="H135" s="52"/>
    </row>
    <row r="136" spans="2:8" ht="14.25" customHeight="1">
      <c r="B136" s="52"/>
      <c r="C136" s="52"/>
      <c r="D136" s="52"/>
      <c r="E136" s="52"/>
      <c r="F136" s="52"/>
      <c r="G136" s="52"/>
      <c r="H136" s="52"/>
    </row>
    <row r="137" spans="2:8" ht="14.25" customHeight="1">
      <c r="B137" s="52"/>
      <c r="C137" s="52"/>
      <c r="D137" s="52"/>
      <c r="E137" s="52"/>
      <c r="F137" s="52"/>
      <c r="G137" s="52"/>
      <c r="H137" s="52"/>
    </row>
    <row r="138" spans="2:8" ht="14.25" customHeight="1">
      <c r="B138" s="52"/>
      <c r="C138" s="52"/>
      <c r="D138" s="52"/>
      <c r="E138" s="52"/>
      <c r="F138" s="52"/>
      <c r="G138" s="52"/>
      <c r="H138" s="52"/>
    </row>
    <row r="139" spans="2:8" ht="14.25" customHeight="1">
      <c r="B139" s="52"/>
      <c r="C139" s="52"/>
      <c r="D139" s="52"/>
      <c r="E139" s="52"/>
      <c r="F139" s="52"/>
      <c r="G139" s="52"/>
      <c r="H139" s="52"/>
    </row>
    <row r="140" spans="2:8" ht="14.25" customHeight="1">
      <c r="B140" s="52"/>
      <c r="C140" s="52"/>
      <c r="D140" s="52"/>
      <c r="E140" s="52"/>
      <c r="F140" s="52"/>
      <c r="G140" s="52"/>
      <c r="H140" s="52"/>
    </row>
    <row r="141" spans="2:8" ht="14.25" customHeight="1">
      <c r="B141" s="52"/>
      <c r="C141" s="52"/>
      <c r="D141" s="52"/>
      <c r="E141" s="52"/>
      <c r="F141" s="52"/>
      <c r="G141" s="52"/>
      <c r="H141" s="52"/>
    </row>
    <row r="142" spans="2:8" ht="14.25" customHeight="1">
      <c r="B142" s="52"/>
      <c r="C142" s="52"/>
      <c r="D142" s="52"/>
      <c r="E142" s="52"/>
      <c r="F142" s="52"/>
      <c r="G142" s="52"/>
      <c r="H142" s="52"/>
    </row>
    <row r="143" spans="2:8" ht="14.25" customHeight="1">
      <c r="B143" s="52"/>
      <c r="C143" s="52"/>
      <c r="D143" s="52"/>
      <c r="E143" s="52"/>
      <c r="F143" s="52"/>
      <c r="G143" s="52"/>
      <c r="H143" s="52"/>
    </row>
    <row r="144" spans="2:8" ht="14.25" customHeight="1">
      <c r="B144" s="52"/>
      <c r="C144" s="52"/>
      <c r="D144" s="52"/>
      <c r="E144" s="52"/>
      <c r="F144" s="52"/>
      <c r="G144" s="52"/>
      <c r="H144" s="52"/>
    </row>
    <row r="145" spans="2:8" ht="14.25" customHeight="1">
      <c r="B145" s="52"/>
      <c r="C145" s="52"/>
      <c r="D145" s="52"/>
      <c r="E145" s="52"/>
      <c r="F145" s="52"/>
      <c r="G145" s="52"/>
      <c r="H145" s="52"/>
    </row>
    <row r="146" spans="2:8" ht="14.25" customHeight="1">
      <c r="B146" s="52"/>
      <c r="C146" s="52"/>
      <c r="D146" s="52"/>
      <c r="E146" s="52"/>
      <c r="F146" s="52"/>
      <c r="G146" s="52"/>
      <c r="H146" s="52"/>
    </row>
    <row r="147" spans="2:8" ht="14.25" customHeight="1">
      <c r="B147" s="52"/>
      <c r="C147" s="52"/>
      <c r="D147" s="52"/>
      <c r="E147" s="52"/>
      <c r="F147" s="52"/>
      <c r="G147" s="52"/>
      <c r="H147" s="52"/>
    </row>
    <row r="148" spans="2:8" ht="14.25" customHeight="1">
      <c r="B148" s="52"/>
      <c r="C148" s="52"/>
      <c r="D148" s="52"/>
      <c r="E148" s="52"/>
      <c r="F148" s="52"/>
      <c r="G148" s="52"/>
      <c r="H148" s="52"/>
    </row>
    <row r="149" spans="2:8" ht="14.25" customHeight="1">
      <c r="B149" s="52"/>
      <c r="C149" s="52"/>
      <c r="D149" s="52"/>
      <c r="E149" s="52"/>
      <c r="F149" s="52"/>
      <c r="G149" s="52"/>
      <c r="H149" s="52"/>
    </row>
    <row r="150" spans="2:8" ht="14.25" customHeight="1">
      <c r="B150" s="52"/>
      <c r="C150" s="52"/>
      <c r="D150" s="52"/>
      <c r="E150" s="52"/>
      <c r="F150" s="52"/>
      <c r="G150" s="52"/>
      <c r="H150" s="52"/>
    </row>
    <row r="151" spans="2:8" ht="14.25" customHeight="1">
      <c r="B151" s="52"/>
      <c r="C151" s="52"/>
      <c r="D151" s="52"/>
      <c r="E151" s="52"/>
      <c r="F151" s="52"/>
      <c r="G151" s="52"/>
      <c r="H151" s="52"/>
    </row>
    <row r="152" spans="2:8" ht="14.25" customHeight="1">
      <c r="B152" s="52"/>
      <c r="C152" s="52"/>
      <c r="D152" s="52"/>
      <c r="E152" s="52"/>
      <c r="F152" s="52"/>
      <c r="G152" s="52"/>
      <c r="H152" s="52"/>
    </row>
    <row r="153" spans="2:8" ht="14.25" customHeight="1">
      <c r="B153" s="52"/>
      <c r="C153" s="52"/>
      <c r="D153" s="52"/>
      <c r="E153" s="52"/>
      <c r="F153" s="52"/>
      <c r="G153" s="52"/>
      <c r="H153" s="52"/>
    </row>
    <row r="154" spans="2:8" ht="14.25" customHeight="1">
      <c r="B154" s="52"/>
      <c r="C154" s="52"/>
      <c r="D154" s="52"/>
      <c r="E154" s="52"/>
      <c r="F154" s="52"/>
      <c r="G154" s="52"/>
      <c r="H154" s="52"/>
    </row>
    <row r="155" spans="2:8" ht="14.25" customHeight="1">
      <c r="B155" s="52"/>
      <c r="C155" s="52"/>
      <c r="D155" s="52"/>
      <c r="E155" s="52"/>
      <c r="F155" s="52"/>
      <c r="G155" s="52"/>
      <c r="H155" s="52"/>
    </row>
    <row r="156" spans="2:8" ht="14.25" customHeight="1">
      <c r="B156" s="52"/>
      <c r="C156" s="52"/>
      <c r="D156" s="52"/>
      <c r="E156" s="52"/>
      <c r="F156" s="52"/>
      <c r="G156" s="52"/>
      <c r="H156" s="52"/>
    </row>
    <row r="157" spans="2:8" ht="14.25" customHeight="1">
      <c r="B157" s="52"/>
      <c r="C157" s="52"/>
      <c r="D157" s="52"/>
      <c r="E157" s="52"/>
      <c r="F157" s="52"/>
      <c r="G157" s="52"/>
      <c r="H157" s="52"/>
    </row>
    <row r="158" spans="2:8" ht="14.25" customHeight="1">
      <c r="B158" s="52"/>
      <c r="C158" s="52"/>
      <c r="D158" s="52"/>
      <c r="E158" s="52"/>
      <c r="F158" s="52"/>
      <c r="G158" s="52"/>
      <c r="H158" s="52"/>
    </row>
    <row r="159" spans="2:8" ht="14.25" customHeight="1">
      <c r="B159" s="52"/>
      <c r="C159" s="52"/>
      <c r="D159" s="52"/>
      <c r="E159" s="52"/>
      <c r="F159" s="52"/>
      <c r="G159" s="52"/>
      <c r="H159" s="52"/>
    </row>
    <row r="160" spans="2:8" ht="14.25" customHeight="1">
      <c r="B160" s="52"/>
      <c r="C160" s="52"/>
      <c r="D160" s="52"/>
      <c r="E160" s="52"/>
      <c r="F160" s="52"/>
      <c r="G160" s="52"/>
      <c r="H160" s="52"/>
    </row>
    <row r="161" spans="2:8" ht="14.25" customHeight="1">
      <c r="B161" s="52"/>
      <c r="C161" s="52"/>
      <c r="D161" s="52"/>
      <c r="E161" s="52"/>
      <c r="F161" s="52"/>
      <c r="G161" s="52"/>
      <c r="H161" s="52"/>
    </row>
    <row r="162" spans="2:8" ht="14.25" customHeight="1">
      <c r="B162" s="52"/>
      <c r="C162" s="52"/>
      <c r="D162" s="52"/>
      <c r="E162" s="52"/>
      <c r="F162" s="52"/>
      <c r="G162" s="52"/>
      <c r="H162" s="52"/>
    </row>
    <row r="163" spans="2:8" ht="14.25" customHeight="1">
      <c r="B163" s="52"/>
      <c r="C163" s="52"/>
      <c r="D163" s="52"/>
      <c r="E163" s="52"/>
      <c r="F163" s="52"/>
      <c r="G163" s="52"/>
      <c r="H163" s="52"/>
    </row>
    <row r="164" spans="2:8" ht="14.25" customHeight="1">
      <c r="B164" s="52"/>
      <c r="C164" s="52"/>
      <c r="D164" s="52"/>
      <c r="E164" s="52"/>
      <c r="F164" s="52"/>
      <c r="G164" s="52"/>
      <c r="H164" s="52"/>
    </row>
    <row r="165" spans="2:8" ht="14.25" customHeight="1">
      <c r="B165" s="52"/>
      <c r="C165" s="52"/>
      <c r="D165" s="52"/>
      <c r="E165" s="52"/>
      <c r="F165" s="52"/>
      <c r="G165" s="52"/>
      <c r="H165" s="52"/>
    </row>
    <row r="166" spans="2:8" ht="14.25" customHeight="1">
      <c r="B166" s="52"/>
      <c r="C166" s="52"/>
      <c r="D166" s="52"/>
      <c r="E166" s="52"/>
      <c r="F166" s="52"/>
      <c r="G166" s="52"/>
      <c r="H166" s="52"/>
    </row>
    <row r="167" spans="2:8" ht="14.25" customHeight="1">
      <c r="B167" s="52"/>
      <c r="C167" s="52"/>
      <c r="D167" s="52"/>
      <c r="E167" s="52"/>
      <c r="F167" s="52"/>
      <c r="G167" s="52"/>
      <c r="H167" s="52"/>
    </row>
    <row r="168" spans="2:8" ht="14.25" customHeight="1">
      <c r="B168" s="52"/>
      <c r="C168" s="52"/>
      <c r="D168" s="52"/>
      <c r="E168" s="52"/>
      <c r="F168" s="52"/>
      <c r="G168" s="52"/>
      <c r="H168" s="52"/>
    </row>
    <row r="169" spans="2:8" ht="14.25" customHeight="1">
      <c r="B169" s="52"/>
      <c r="C169" s="52"/>
      <c r="D169" s="52"/>
      <c r="E169" s="52"/>
      <c r="F169" s="52"/>
      <c r="G169" s="52"/>
      <c r="H169" s="52"/>
    </row>
    <row r="170" spans="2:8" ht="14.25" customHeight="1">
      <c r="B170" s="52"/>
      <c r="C170" s="52"/>
      <c r="D170" s="52"/>
      <c r="E170" s="52"/>
      <c r="F170" s="52"/>
      <c r="G170" s="52"/>
      <c r="H170" s="52"/>
    </row>
    <row r="171" spans="2:8" ht="14.25" customHeight="1">
      <c r="B171" s="52"/>
      <c r="C171" s="52"/>
      <c r="D171" s="52"/>
      <c r="E171" s="52"/>
      <c r="F171" s="52"/>
      <c r="G171" s="52"/>
      <c r="H171" s="52"/>
    </row>
    <row r="172" spans="2:8" ht="14.25" customHeight="1">
      <c r="B172" s="52"/>
      <c r="C172" s="52"/>
      <c r="D172" s="52"/>
      <c r="E172" s="52"/>
      <c r="F172" s="52"/>
      <c r="G172" s="52"/>
      <c r="H172" s="52"/>
    </row>
    <row r="173" spans="2:8" ht="14.25" customHeight="1">
      <c r="B173" s="52"/>
      <c r="C173" s="52"/>
      <c r="D173" s="52"/>
      <c r="E173" s="52"/>
      <c r="F173" s="52"/>
      <c r="G173" s="52"/>
      <c r="H173" s="52"/>
    </row>
    <row r="174" spans="2:8" ht="14.25" customHeight="1">
      <c r="B174" s="52"/>
      <c r="C174" s="52"/>
      <c r="D174" s="52"/>
      <c r="E174" s="52"/>
      <c r="F174" s="52"/>
      <c r="G174" s="52"/>
      <c r="H174" s="52"/>
    </row>
    <row r="175" spans="2:8" ht="14.25" customHeight="1">
      <c r="B175" s="52"/>
      <c r="C175" s="52"/>
      <c r="D175" s="52"/>
      <c r="E175" s="52"/>
      <c r="F175" s="52"/>
      <c r="G175" s="52"/>
      <c r="H175" s="52"/>
    </row>
    <row r="176" spans="2:8" ht="14.25" customHeight="1">
      <c r="B176" s="52"/>
      <c r="C176" s="52"/>
      <c r="D176" s="52"/>
      <c r="E176" s="52"/>
      <c r="F176" s="52"/>
      <c r="G176" s="52"/>
      <c r="H176" s="52"/>
    </row>
    <row r="177" spans="2:8" ht="14.25" customHeight="1">
      <c r="B177" s="52"/>
      <c r="C177" s="52"/>
      <c r="D177" s="52"/>
      <c r="E177" s="52"/>
      <c r="F177" s="52"/>
      <c r="G177" s="52"/>
      <c r="H177" s="52"/>
    </row>
    <row r="178" spans="2:8" ht="14.25" customHeight="1">
      <c r="B178" s="52"/>
      <c r="C178" s="52"/>
      <c r="D178" s="52"/>
      <c r="E178" s="52"/>
      <c r="F178" s="52"/>
      <c r="G178" s="52"/>
      <c r="H178" s="52"/>
    </row>
    <row r="179" spans="2:8" ht="14.25" customHeight="1">
      <c r="B179" s="52"/>
      <c r="C179" s="52"/>
      <c r="D179" s="52"/>
      <c r="E179" s="52"/>
      <c r="F179" s="52"/>
      <c r="G179" s="52"/>
      <c r="H179" s="52"/>
    </row>
    <row r="180" spans="2:8" ht="14.25" customHeight="1">
      <c r="B180" s="52"/>
      <c r="C180" s="52"/>
      <c r="D180" s="52"/>
      <c r="E180" s="52"/>
      <c r="F180" s="52"/>
      <c r="G180" s="52"/>
      <c r="H180" s="52"/>
    </row>
    <row r="181" spans="2:8" ht="14.25" customHeight="1">
      <c r="B181" s="52"/>
      <c r="C181" s="52"/>
      <c r="D181" s="52"/>
      <c r="E181" s="52"/>
      <c r="F181" s="52"/>
      <c r="G181" s="52"/>
      <c r="H181" s="52"/>
    </row>
    <row r="182" spans="2:8" ht="14.25" customHeight="1">
      <c r="B182" s="52"/>
      <c r="C182" s="52"/>
      <c r="D182" s="52"/>
      <c r="E182" s="52"/>
      <c r="F182" s="52"/>
      <c r="G182" s="52"/>
      <c r="H182" s="52"/>
    </row>
    <row r="183" spans="2:8" ht="14.25" customHeight="1">
      <c r="B183" s="52"/>
      <c r="C183" s="52"/>
      <c r="D183" s="52"/>
      <c r="E183" s="52"/>
      <c r="F183" s="52"/>
      <c r="G183" s="52"/>
      <c r="H183" s="52"/>
    </row>
    <row r="184" spans="2:8" ht="14.25" customHeight="1">
      <c r="B184" s="52"/>
      <c r="C184" s="52"/>
      <c r="D184" s="52"/>
      <c r="E184" s="52"/>
      <c r="F184" s="52"/>
      <c r="G184" s="52"/>
      <c r="H184" s="52"/>
    </row>
    <row r="185" spans="2:8" ht="14.25" customHeight="1">
      <c r="B185" s="52"/>
      <c r="C185" s="52"/>
      <c r="D185" s="52"/>
      <c r="E185" s="52"/>
      <c r="F185" s="52"/>
      <c r="G185" s="52"/>
      <c r="H185" s="52"/>
    </row>
    <row r="186" spans="2:8" ht="14.25" customHeight="1">
      <c r="B186" s="52"/>
      <c r="C186" s="52"/>
      <c r="D186" s="52"/>
      <c r="E186" s="52"/>
      <c r="F186" s="52"/>
      <c r="G186" s="52"/>
      <c r="H186" s="52"/>
    </row>
    <row r="187" spans="2:8" ht="14.25" customHeight="1">
      <c r="B187" s="52"/>
      <c r="C187" s="52"/>
      <c r="D187" s="52"/>
      <c r="E187" s="52"/>
      <c r="F187" s="52"/>
      <c r="G187" s="52"/>
      <c r="H187" s="52"/>
    </row>
    <row r="188" spans="2:8" ht="14.25" customHeight="1">
      <c r="B188" s="52"/>
      <c r="C188" s="52"/>
      <c r="D188" s="52"/>
      <c r="E188" s="52"/>
      <c r="F188" s="52"/>
      <c r="G188" s="52"/>
      <c r="H188" s="52"/>
    </row>
    <row r="189" spans="2:8" ht="14.25" customHeight="1">
      <c r="B189" s="52"/>
      <c r="C189" s="52"/>
      <c r="D189" s="52"/>
      <c r="E189" s="52"/>
      <c r="F189" s="52"/>
      <c r="G189" s="52"/>
      <c r="H189" s="52"/>
    </row>
    <row r="190" spans="2:8" ht="14.25" customHeight="1">
      <c r="B190" s="52"/>
      <c r="C190" s="52"/>
      <c r="D190" s="52"/>
      <c r="E190" s="52"/>
      <c r="F190" s="52"/>
      <c r="G190" s="52"/>
      <c r="H190" s="52"/>
    </row>
    <row r="191" spans="2:8" ht="14.25" customHeight="1"/>
    <row r="192" spans="2:8"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row r="1001" ht="14.25" customHeight="1"/>
    <row r="1002" ht="14.25" customHeight="1"/>
    <row r="1003" ht="14.25" customHeight="1"/>
    <row r="1004" ht="14.25" customHeight="1"/>
    <row r="1005" ht="14.25" customHeight="1"/>
    <row r="1006" ht="14.25" customHeight="1"/>
    <row r="1007" ht="14.25" customHeight="1"/>
    <row r="1008" ht="14.25" customHeight="1"/>
    <row r="1009" ht="14.25" customHeight="1"/>
    <row r="1010" ht="14.25" customHeight="1"/>
    <row r="1011" ht="14.25" customHeight="1"/>
    <row r="1012" ht="14.25" customHeight="1"/>
    <row r="1013" ht="14.25" customHeight="1"/>
    <row r="1014" ht="14.25" customHeight="1"/>
    <row r="1015" ht="14.25" customHeight="1"/>
    <row r="1016" ht="14.25" customHeight="1"/>
    <row r="1017" ht="14.25" customHeight="1"/>
    <row r="1018" ht="14.25" customHeight="1"/>
    <row r="1019" ht="14.25" customHeight="1"/>
    <row r="1020" ht="14.25" customHeight="1"/>
    <row r="1021" ht="14.25" customHeight="1"/>
    <row r="1022" ht="14.25" customHeight="1"/>
    <row r="1023" ht="14.25" customHeight="1"/>
    <row r="1024" ht="14.25" customHeight="1"/>
    <row r="1025" ht="14.25" customHeight="1"/>
    <row r="1026" ht="14.25" customHeight="1"/>
    <row r="1027" ht="14.25" customHeight="1"/>
    <row r="1028" ht="14.25" customHeight="1"/>
    <row r="1029" ht="14.25" customHeight="1"/>
    <row r="1030" ht="14.25" customHeight="1"/>
    <row r="1031" ht="14.25" customHeight="1"/>
    <row r="1032" ht="14.25" customHeight="1"/>
    <row r="1033" ht="14.25" customHeight="1"/>
    <row r="1034" ht="14.25" customHeight="1"/>
    <row r="1035" ht="14.25" customHeight="1"/>
    <row r="1036" ht="14.25" customHeight="1"/>
    <row r="1037" ht="14.25" customHeight="1"/>
    <row r="1038" ht="14.25" customHeight="1"/>
    <row r="1039" ht="14.25" customHeight="1"/>
    <row r="1040" ht="14.25" customHeight="1"/>
    <row r="1041" ht="14.25" customHeight="1"/>
  </sheetData>
  <autoFilter ref="B8:H8" xr:uid="{B90C75E5-BDB6-4E20-ADFA-E064C1FE0D58}"/>
  <mergeCells count="1">
    <mergeCell ref="B6:H6"/>
  </mergeCells>
  <pageMargins left="0.7" right="0.7" top="0.75" bottom="0.75" header="0.3" footer="0.3"/>
  <drawing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2830D-611E-43B6-B85B-75189252436D}">
  <sheetPr codeName="Hoja20">
    <tabColor rgb="FF1F3864"/>
    <pageSetUpPr fitToPage="1"/>
  </sheetPr>
  <dimension ref="B1:AA697"/>
  <sheetViews>
    <sheetView showGridLines="0" workbookViewId="0">
      <pane xSplit="5" ySplit="4" topLeftCell="F5" activePane="bottomRight" state="frozen"/>
      <selection pane="topRight" activeCell="F1" sqref="F1"/>
      <selection pane="bottomLeft" activeCell="A5" sqref="A5"/>
      <selection pane="bottomRight" activeCell="B4" sqref="B4:AA526"/>
    </sheetView>
  </sheetViews>
  <sheetFormatPr baseColWidth="10" defaultRowHeight="15"/>
  <cols>
    <col min="1" max="1" width="2.85546875" customWidth="1"/>
    <col min="2" max="2" width="14.28515625" customWidth="1"/>
    <col min="3" max="5" width="12.42578125" customWidth="1"/>
    <col min="6" max="17" width="14.85546875" customWidth="1"/>
    <col min="18" max="18" width="16.140625" customWidth="1"/>
    <col min="19" max="20" width="41.85546875" customWidth="1"/>
    <col min="21" max="22" width="18.140625" customWidth="1"/>
    <col min="23" max="27" width="13.28515625" customWidth="1"/>
  </cols>
  <sheetData>
    <row r="1" spans="2:27" ht="18.75">
      <c r="B1" s="948" t="s">
        <v>9320</v>
      </c>
    </row>
    <row r="2" spans="2:27">
      <c r="B2" s="949" t="s">
        <v>9321</v>
      </c>
    </row>
    <row r="4" spans="2:27" ht="45" customHeight="1">
      <c r="B4" s="977" t="s">
        <v>9322</v>
      </c>
      <c r="C4" s="977" t="s">
        <v>3</v>
      </c>
      <c r="D4" s="977" t="s">
        <v>9323</v>
      </c>
      <c r="E4" s="977" t="s">
        <v>9324</v>
      </c>
      <c r="F4" s="977" t="s">
        <v>9292</v>
      </c>
      <c r="G4" s="977" t="s">
        <v>33</v>
      </c>
      <c r="H4" s="977" t="s">
        <v>38</v>
      </c>
      <c r="I4" s="977" t="s">
        <v>9300</v>
      </c>
      <c r="J4" s="977" t="s">
        <v>9303</v>
      </c>
      <c r="K4" s="977" t="s">
        <v>9306</v>
      </c>
      <c r="L4" s="977" t="s">
        <v>9309</v>
      </c>
      <c r="M4" s="977" t="s">
        <v>11</v>
      </c>
      <c r="N4" s="977" t="s">
        <v>12</v>
      </c>
      <c r="O4" s="977" t="s">
        <v>13</v>
      </c>
      <c r="P4" s="977" t="s">
        <v>14</v>
      </c>
      <c r="Q4" s="977" t="s">
        <v>9318</v>
      </c>
      <c r="R4" s="977" t="s">
        <v>9255</v>
      </c>
      <c r="S4" s="977" t="s">
        <v>9325</v>
      </c>
      <c r="T4" s="977" t="s">
        <v>9326</v>
      </c>
      <c r="U4" s="977" t="s">
        <v>9327</v>
      </c>
      <c r="V4" s="977" t="s">
        <v>9328</v>
      </c>
      <c r="W4" s="977" t="s">
        <v>9329</v>
      </c>
      <c r="X4" s="977" t="s">
        <v>9330</v>
      </c>
      <c r="Y4" s="977" t="s">
        <v>9331</v>
      </c>
      <c r="Z4" s="977" t="s">
        <v>34</v>
      </c>
      <c r="AA4" s="977" t="s">
        <v>9332</v>
      </c>
    </row>
    <row r="5" spans="2:27">
      <c r="B5" s="976">
        <f>(YEAR(tblConcentrado[[#This Row],[Fecha]])*10000+MONTH(tblConcentrado[[#This Row],[Fecha]])*100+DAY(tblConcentrado[[#This Row],[Fecha]]))*100+tblConcentrado[[#This Row],[N° hora]]</f>
        <v>2026090101</v>
      </c>
      <c r="C5" s="871">
        <v>46266</v>
      </c>
      <c r="D5">
        <v>1</v>
      </c>
      <c r="E5" s="952">
        <v>0.375</v>
      </c>
      <c r="F5" s="256">
        <v>1565</v>
      </c>
      <c r="G5" s="256">
        <v>1029</v>
      </c>
      <c r="H5" s="970">
        <v>0.17699999999999999</v>
      </c>
      <c r="I5" s="970">
        <v>0.73599999999999999</v>
      </c>
      <c r="J5" s="970">
        <v>0.44</v>
      </c>
      <c r="K5" s="970">
        <v>0.877</v>
      </c>
      <c r="L5" s="970">
        <v>0.49</v>
      </c>
      <c r="M5" s="971">
        <v>25.4</v>
      </c>
      <c r="N5" s="971">
        <v>12.3</v>
      </c>
      <c r="O5" s="971">
        <v>2</v>
      </c>
      <c r="P5" s="971">
        <v>1.6</v>
      </c>
      <c r="Q5" s="971">
        <v>8.1999999999999993</v>
      </c>
      <c r="R5" t="s">
        <v>9258</v>
      </c>
      <c r="U5" t="s">
        <v>9333</v>
      </c>
      <c r="V5" s="871">
        <v>46293</v>
      </c>
      <c r="W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17.54</v>
      </c>
      <c r="X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1.76</v>
      </c>
      <c r="Y5" s="974">
        <f>IFERROR(tblConcentrado[[#This Row],[Concentrado (TMS)]]/tblConcentrado[[#This Row],[Mineral (TMS)]],"")</f>
        <v>0.65750798722044723</v>
      </c>
      <c r="Z5" s="973">
        <f>IFERROR(1/tblConcentrado[[#This Row],[% Recup.]],0)</f>
        <v>1.5208940719144801</v>
      </c>
      <c r="AA5" s="975" t="str">
        <f>IF(COUNTIFS(tblConcentrado[ID],tblConcentrado[[#This Row],[ID]])&gt;1,"Duplicado","")</f>
        <v/>
      </c>
    </row>
    <row r="6" spans="2:27">
      <c r="B6" s="976">
        <f>(YEAR(tblConcentrado[[#This Row],[Fecha]])*10000+MONTH(tblConcentrado[[#This Row],[Fecha]])*100+DAY(tblConcentrado[[#This Row],[Fecha]]))*100+tblConcentrado[[#This Row],[N° hora]]</f>
        <v>2026090102</v>
      </c>
      <c r="C6" s="871">
        <v>46266</v>
      </c>
      <c r="D6">
        <v>2</v>
      </c>
      <c r="E6" s="952">
        <v>0.41666666666666702</v>
      </c>
      <c r="F6" s="256">
        <v>1586</v>
      </c>
      <c r="G6" s="256">
        <v>1072</v>
      </c>
      <c r="H6" s="970"/>
      <c r="I6" s="970"/>
      <c r="J6" s="970"/>
      <c r="K6" s="970"/>
      <c r="L6" s="970"/>
      <c r="M6" s="971"/>
      <c r="N6" s="971"/>
      <c r="O6" s="971"/>
      <c r="P6" s="971"/>
      <c r="Q6" s="971"/>
      <c r="R6" t="s">
        <v>9258</v>
      </c>
      <c r="U6" t="s">
        <v>9333</v>
      </c>
      <c r="V6" s="871">
        <v>46293</v>
      </c>
      <c r="W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 s="974">
        <f>IFERROR(tblConcentrado[[#This Row],[Concentrado (TMS)]]/tblConcentrado[[#This Row],[Mineral (TMS)]],"")</f>
        <v>0.67591424968474145</v>
      </c>
      <c r="Z6" s="973">
        <f>IFERROR(1/tblConcentrado[[#This Row],[% Recup.]],0)</f>
        <v>1.4794776119402986</v>
      </c>
      <c r="AA6" s="975" t="str">
        <f>IF(COUNTIFS(tblConcentrado[ID],tblConcentrado[[#This Row],[ID]])&gt;1,"Duplicado","")</f>
        <v/>
      </c>
    </row>
    <row r="7" spans="2:27">
      <c r="B7" s="976">
        <f>(YEAR(tblConcentrado[[#This Row],[Fecha]])*10000+MONTH(tblConcentrado[[#This Row],[Fecha]])*100+DAY(tblConcentrado[[#This Row],[Fecha]]))*100+tblConcentrado[[#This Row],[N° hora]]</f>
        <v>2026090103</v>
      </c>
      <c r="C7" s="871">
        <v>46266</v>
      </c>
      <c r="D7">
        <v>3</v>
      </c>
      <c r="E7" s="952">
        <v>0.45833333333333298</v>
      </c>
      <c r="F7" s="256">
        <v>1562</v>
      </c>
      <c r="G7" s="256">
        <v>938</v>
      </c>
      <c r="H7" s="970">
        <v>0.17199999999999999</v>
      </c>
      <c r="I7" s="970">
        <v>0.77800000000000002</v>
      </c>
      <c r="J7" s="970">
        <v>0.45</v>
      </c>
      <c r="K7" s="970">
        <v>0.871</v>
      </c>
      <c r="L7" s="970">
        <v>0.49</v>
      </c>
      <c r="M7" s="971">
        <v>25.5</v>
      </c>
      <c r="N7" s="971">
        <v>14</v>
      </c>
      <c r="O7" s="971">
        <v>2.5</v>
      </c>
      <c r="P7" s="971">
        <v>2.2000000000000002</v>
      </c>
      <c r="Q7" s="971">
        <v>8.6</v>
      </c>
      <c r="R7" t="s">
        <v>9258</v>
      </c>
      <c r="U7" t="s">
        <v>9333</v>
      </c>
      <c r="V7" s="871">
        <v>46293</v>
      </c>
      <c r="W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18.600000000000001</v>
      </c>
      <c r="X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2.3200000000000003</v>
      </c>
      <c r="Y7" s="974">
        <f>IFERROR(tblConcentrado[[#This Row],[Concentrado (TMS)]]/tblConcentrado[[#This Row],[Mineral (TMS)]],"")</f>
        <v>0.60051216389244555</v>
      </c>
      <c r="Z7" s="973">
        <f>IFERROR(1/tblConcentrado[[#This Row],[% Recup.]],0)</f>
        <v>1.6652452025586355</v>
      </c>
      <c r="AA7" s="975" t="str">
        <f>IF(COUNTIFS(tblConcentrado[ID],tblConcentrado[[#This Row],[ID]])&gt;1,"Duplicado","")</f>
        <v/>
      </c>
    </row>
    <row r="8" spans="2:27">
      <c r="B8" s="976">
        <f>(YEAR(tblConcentrado[[#This Row],[Fecha]])*10000+MONTH(tblConcentrado[[#This Row],[Fecha]])*100+DAY(tblConcentrado[[#This Row],[Fecha]]))*100+tblConcentrado[[#This Row],[N° hora]]</f>
        <v>2026090104</v>
      </c>
      <c r="C8" s="871">
        <v>46266</v>
      </c>
      <c r="D8">
        <v>4</v>
      </c>
      <c r="E8" s="952">
        <v>0.5</v>
      </c>
      <c r="F8" s="256">
        <v>1559</v>
      </c>
      <c r="G8" s="256">
        <v>1015</v>
      </c>
      <c r="H8" s="970"/>
      <c r="I8" s="970"/>
      <c r="J8" s="970"/>
      <c r="K8" s="970"/>
      <c r="L8" s="970"/>
      <c r="M8" s="971"/>
      <c r="N8" s="971"/>
      <c r="O8" s="971"/>
      <c r="P8" s="971"/>
      <c r="Q8" s="971"/>
      <c r="R8" t="s">
        <v>9258</v>
      </c>
      <c r="U8" t="s">
        <v>9333</v>
      </c>
      <c r="V8" s="871">
        <v>46293</v>
      </c>
      <c r="W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8" s="974">
        <f>IFERROR(tblConcentrado[[#This Row],[Concentrado (TMS)]]/tblConcentrado[[#This Row],[Mineral (TMS)]],"")</f>
        <v>0.65105837075048112</v>
      </c>
      <c r="Z8" s="973">
        <f>IFERROR(1/tblConcentrado[[#This Row],[% Recup.]],0)</f>
        <v>1.5359605911330048</v>
      </c>
      <c r="AA8" s="975" t="str">
        <f>IF(COUNTIFS(tblConcentrado[ID],tblConcentrado[[#This Row],[ID]])&gt;1,"Duplicado","")</f>
        <v/>
      </c>
    </row>
    <row r="9" spans="2:27">
      <c r="B9" s="976">
        <f>(YEAR(tblConcentrado[[#This Row],[Fecha]])*10000+MONTH(tblConcentrado[[#This Row],[Fecha]])*100+DAY(tblConcentrado[[#This Row],[Fecha]]))*100+tblConcentrado[[#This Row],[N° hora]]</f>
        <v>2026090105</v>
      </c>
      <c r="C9" s="871">
        <v>46266</v>
      </c>
      <c r="D9">
        <v>5</v>
      </c>
      <c r="E9" s="952">
        <v>0.54166666666666696</v>
      </c>
      <c r="F9" s="256">
        <v>1570</v>
      </c>
      <c r="G9" s="256">
        <v>1003</v>
      </c>
      <c r="H9" s="970">
        <v>0.19400000000000001</v>
      </c>
      <c r="I9" s="970">
        <v>0.76600000000000001</v>
      </c>
      <c r="J9" s="970">
        <v>0.44</v>
      </c>
      <c r="K9" s="970">
        <v>0.73799999999999999</v>
      </c>
      <c r="L9" s="970">
        <v>0.42</v>
      </c>
      <c r="M9" s="971">
        <v>29.4</v>
      </c>
      <c r="N9" s="971">
        <v>14.5</v>
      </c>
      <c r="O9" s="971">
        <v>3.2</v>
      </c>
      <c r="P9" s="971">
        <v>2.4</v>
      </c>
      <c r="Q9" s="971">
        <v>8.3000000000000007</v>
      </c>
      <c r="R9" t="s">
        <v>9258</v>
      </c>
      <c r="U9" t="s">
        <v>9333</v>
      </c>
      <c r="V9" s="871">
        <v>46293</v>
      </c>
      <c r="W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20.46</v>
      </c>
      <c r="X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2.72</v>
      </c>
      <c r="Y9" s="974">
        <f>IFERROR(tblConcentrado[[#This Row],[Concentrado (TMS)]]/tblConcentrado[[#This Row],[Mineral (TMS)]],"")</f>
        <v>0.63885350318471334</v>
      </c>
      <c r="Z9" s="973">
        <f>IFERROR(1/tblConcentrado[[#This Row],[% Recup.]],0)</f>
        <v>1.5653040877367896</v>
      </c>
      <c r="AA9" s="975" t="str">
        <f>IF(COUNTIFS(tblConcentrado[ID],tblConcentrado[[#This Row],[ID]])&gt;1,"Duplicado","")</f>
        <v/>
      </c>
    </row>
    <row r="10" spans="2:27">
      <c r="B10" s="976">
        <f>(YEAR(tblConcentrado[[#This Row],[Fecha]])*10000+MONTH(tblConcentrado[[#This Row],[Fecha]])*100+DAY(tblConcentrado[[#This Row],[Fecha]]))*100+tblConcentrado[[#This Row],[N° hora]]</f>
        <v>2026090106</v>
      </c>
      <c r="C10" s="871">
        <v>46266</v>
      </c>
      <c r="D10">
        <v>6</v>
      </c>
      <c r="E10" s="952">
        <v>0.58333333333333304</v>
      </c>
      <c r="F10" s="256">
        <v>1583</v>
      </c>
      <c r="G10" s="256">
        <v>1033</v>
      </c>
      <c r="H10" s="970"/>
      <c r="I10" s="970"/>
      <c r="J10" s="970"/>
      <c r="K10" s="970"/>
      <c r="L10" s="970"/>
      <c r="M10" s="971"/>
      <c r="N10" s="971"/>
      <c r="O10" s="971"/>
      <c r="P10" s="971"/>
      <c r="Q10" s="971"/>
      <c r="R10" t="s">
        <v>9258</v>
      </c>
      <c r="U10" t="s">
        <v>9333</v>
      </c>
      <c r="V10" s="871">
        <v>46293</v>
      </c>
      <c r="W1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0" s="974">
        <f>IFERROR(tblConcentrado[[#This Row],[Concentrado (TMS)]]/tblConcentrado[[#This Row],[Mineral (TMS)]],"")</f>
        <v>0.65255843335439034</v>
      </c>
      <c r="Z10" s="973">
        <f>IFERROR(1/tblConcentrado[[#This Row],[% Recup.]],0)</f>
        <v>1.5324298160697001</v>
      </c>
      <c r="AA10" s="975" t="str">
        <f>IF(COUNTIFS(tblConcentrado[ID],tblConcentrado[[#This Row],[ID]])&gt;1,"Duplicado","")</f>
        <v/>
      </c>
    </row>
    <row r="11" spans="2:27">
      <c r="B11" s="976">
        <f>(YEAR(tblConcentrado[[#This Row],[Fecha]])*10000+MONTH(tblConcentrado[[#This Row],[Fecha]])*100+DAY(tblConcentrado[[#This Row],[Fecha]]))*100+tblConcentrado[[#This Row],[N° hora]]</f>
        <v>2026090107</v>
      </c>
      <c r="C11" s="871">
        <v>46266</v>
      </c>
      <c r="D11">
        <v>7</v>
      </c>
      <c r="E11" s="952">
        <v>0.625</v>
      </c>
      <c r="F11" s="256">
        <v>1594</v>
      </c>
      <c r="G11" s="256">
        <v>1004</v>
      </c>
      <c r="H11" s="970">
        <v>0.17</v>
      </c>
      <c r="I11" s="970">
        <v>0.70299999999999996</v>
      </c>
      <c r="J11" s="970">
        <v>0.4</v>
      </c>
      <c r="K11" s="970">
        <v>0.93</v>
      </c>
      <c r="L11" s="970">
        <v>0.5</v>
      </c>
      <c r="M11" s="971">
        <v>24.2</v>
      </c>
      <c r="N11" s="971">
        <v>13.2</v>
      </c>
      <c r="O11" s="971">
        <v>1.6</v>
      </c>
      <c r="P11" s="971">
        <v>2.1</v>
      </c>
      <c r="Q11" s="971">
        <v>8.4</v>
      </c>
      <c r="R11" t="s">
        <v>9258</v>
      </c>
      <c r="U11" t="s">
        <v>9333</v>
      </c>
      <c r="V11" s="871">
        <v>46293</v>
      </c>
      <c r="W1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17.599999999999998</v>
      </c>
      <c r="X1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1.9000000000000001</v>
      </c>
      <c r="Y11" s="974">
        <f>IFERROR(tblConcentrado[[#This Row],[Concentrado (TMS)]]/tblConcentrado[[#This Row],[Mineral (TMS)]],"")</f>
        <v>0.62986198243412794</v>
      </c>
      <c r="Z11" s="973">
        <f>IFERROR(1/tblConcentrado[[#This Row],[% Recup.]],0)</f>
        <v>1.5876494023904384</v>
      </c>
      <c r="AA11" s="975" t="str">
        <f>IF(COUNTIFS(tblConcentrado[ID],tblConcentrado[[#This Row],[ID]])&gt;1,"Duplicado","")</f>
        <v/>
      </c>
    </row>
    <row r="12" spans="2:27">
      <c r="B12" s="976">
        <f>(YEAR(tblConcentrado[[#This Row],[Fecha]])*10000+MONTH(tblConcentrado[[#This Row],[Fecha]])*100+DAY(tblConcentrado[[#This Row],[Fecha]]))*100+tblConcentrado[[#This Row],[N° hora]]</f>
        <v>2026090108</v>
      </c>
      <c r="C12" s="871">
        <v>46266</v>
      </c>
      <c r="D12">
        <v>8</v>
      </c>
      <c r="E12" s="952">
        <v>0.66666666666666696</v>
      </c>
      <c r="F12" s="256">
        <v>1558</v>
      </c>
      <c r="G12" s="256">
        <v>991</v>
      </c>
      <c r="H12" s="970"/>
      <c r="I12" s="970"/>
      <c r="J12" s="970"/>
      <c r="K12" s="970"/>
      <c r="L12" s="970"/>
      <c r="M12" s="971"/>
      <c r="N12" s="971"/>
      <c r="O12" s="971"/>
      <c r="P12" s="971"/>
      <c r="Q12" s="971"/>
      <c r="R12" t="s">
        <v>9258</v>
      </c>
      <c r="U12" t="s">
        <v>9333</v>
      </c>
      <c r="V12" s="871">
        <v>46293</v>
      </c>
      <c r="W1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2" s="974">
        <f>IFERROR(tblConcentrado[[#This Row],[Concentrado (TMS)]]/tblConcentrado[[#This Row],[Mineral (TMS)]],"")</f>
        <v>0.63607188703465978</v>
      </c>
      <c r="Z12" s="973">
        <f>IFERROR(1/tblConcentrado[[#This Row],[% Recup.]],0)</f>
        <v>1.5721493440968719</v>
      </c>
      <c r="AA12" s="975" t="str">
        <f>IF(COUNTIFS(tblConcentrado[ID],tblConcentrado[[#This Row],[ID]])&gt;1,"Duplicado","")</f>
        <v/>
      </c>
    </row>
    <row r="13" spans="2:27">
      <c r="B13" s="976">
        <f>(YEAR(tblConcentrado[[#This Row],[Fecha]])*10000+MONTH(tblConcentrado[[#This Row],[Fecha]])*100+DAY(tblConcentrado[[#This Row],[Fecha]]))*100+tblConcentrado[[#This Row],[N° hora]]</f>
        <v>2026090109</v>
      </c>
      <c r="C13" s="871">
        <v>46266</v>
      </c>
      <c r="D13">
        <v>9</v>
      </c>
      <c r="E13" s="952">
        <v>0.70833333333333304</v>
      </c>
      <c r="F13" s="256">
        <v>1575</v>
      </c>
      <c r="G13" s="256">
        <v>1071</v>
      </c>
      <c r="H13" s="970">
        <v>0.16600000000000001</v>
      </c>
      <c r="I13" s="970">
        <v>0.82899999999999996</v>
      </c>
      <c r="J13" s="970">
        <v>0.46</v>
      </c>
      <c r="K13" s="970">
        <v>0.81299999999999994</v>
      </c>
      <c r="L13" s="970">
        <v>0.47</v>
      </c>
      <c r="M13" s="971">
        <v>24.9</v>
      </c>
      <c r="N13" s="971">
        <v>15.1</v>
      </c>
      <c r="O13" s="971">
        <v>1.9</v>
      </c>
      <c r="P13" s="971">
        <v>2.2999999999999998</v>
      </c>
      <c r="Q13" s="971">
        <v>8.3000000000000007</v>
      </c>
      <c r="R13" t="s">
        <v>9258</v>
      </c>
      <c r="U13" t="s">
        <v>9333</v>
      </c>
      <c r="V13" s="871">
        <v>46293</v>
      </c>
      <c r="W1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19.02</v>
      </c>
      <c r="X1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2.1399999999999997</v>
      </c>
      <c r="Y13" s="974">
        <f>IFERROR(tblConcentrado[[#This Row],[Concentrado (TMS)]]/tblConcentrado[[#This Row],[Mineral (TMS)]],"")</f>
        <v>0.68</v>
      </c>
      <c r="Z13" s="973">
        <f>IFERROR(1/tblConcentrado[[#This Row],[% Recup.]],0)</f>
        <v>1.4705882352941175</v>
      </c>
      <c r="AA13" s="975" t="str">
        <f>IF(COUNTIFS(tblConcentrado[ID],tblConcentrado[[#This Row],[ID]])&gt;1,"Duplicado","")</f>
        <v/>
      </c>
    </row>
    <row r="14" spans="2:27">
      <c r="B14" s="976">
        <f>(YEAR(tblConcentrado[[#This Row],[Fecha]])*10000+MONTH(tblConcentrado[[#This Row],[Fecha]])*100+DAY(tblConcentrado[[#This Row],[Fecha]]))*100+tblConcentrado[[#This Row],[N° hora]]</f>
        <v>2026090110</v>
      </c>
      <c r="C14" s="871">
        <v>46266</v>
      </c>
      <c r="D14">
        <v>10</v>
      </c>
      <c r="E14" s="952">
        <v>0.75</v>
      </c>
      <c r="F14" s="256">
        <v>1653</v>
      </c>
      <c r="G14" s="256">
        <v>1143</v>
      </c>
      <c r="H14" s="970"/>
      <c r="I14" s="970"/>
      <c r="J14" s="970"/>
      <c r="K14" s="970"/>
      <c r="L14" s="970"/>
      <c r="M14" s="971"/>
      <c r="N14" s="971"/>
      <c r="O14" s="971"/>
      <c r="P14" s="971"/>
      <c r="Q14" s="971"/>
      <c r="R14" t="s">
        <v>9258</v>
      </c>
      <c r="U14" t="s">
        <v>9333</v>
      </c>
      <c r="V14" s="871">
        <v>46293</v>
      </c>
      <c r="W1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4" s="974">
        <f>IFERROR(tblConcentrado[[#This Row],[Concentrado (TMS)]]/tblConcentrado[[#This Row],[Mineral (TMS)]],"")</f>
        <v>0.69147005444646104</v>
      </c>
      <c r="Z14" s="973">
        <f>IFERROR(1/tblConcentrado[[#This Row],[% Recup.]],0)</f>
        <v>1.4461942257217846</v>
      </c>
      <c r="AA14" s="975" t="str">
        <f>IF(COUNTIFS(tblConcentrado[ID],tblConcentrado[[#This Row],[ID]])&gt;1,"Duplicado","")</f>
        <v/>
      </c>
    </row>
    <row r="15" spans="2:27">
      <c r="B15" s="976">
        <f>(YEAR(tblConcentrado[[#This Row],[Fecha]])*10000+MONTH(tblConcentrado[[#This Row],[Fecha]])*100+DAY(tblConcentrado[[#This Row],[Fecha]]))*100+tblConcentrado[[#This Row],[N° hora]]</f>
        <v>2026090111</v>
      </c>
      <c r="C15" s="871">
        <v>46266</v>
      </c>
      <c r="D15">
        <v>11</v>
      </c>
      <c r="E15" s="952">
        <v>0.79166666666666696</v>
      </c>
      <c r="F15" s="256">
        <v>1583</v>
      </c>
      <c r="G15" s="256">
        <v>903</v>
      </c>
      <c r="H15" s="970">
        <v>0.161</v>
      </c>
      <c r="I15" s="970">
        <v>0.82699999999999996</v>
      </c>
      <c r="J15" s="970">
        <v>0.45</v>
      </c>
      <c r="K15" s="970">
        <v>0.86499999999999999</v>
      </c>
      <c r="L15" s="970">
        <v>0.47</v>
      </c>
      <c r="M15" s="971">
        <v>31.8</v>
      </c>
      <c r="N15" s="971">
        <v>15.8</v>
      </c>
      <c r="O15" s="971">
        <v>2.4</v>
      </c>
      <c r="P15" s="971">
        <v>2.4</v>
      </c>
      <c r="Q15" s="971">
        <v>8.1999999999999993</v>
      </c>
      <c r="R15" t="s">
        <v>9258</v>
      </c>
      <c r="U15" t="s">
        <v>9333</v>
      </c>
      <c r="V15" s="871">
        <v>46293</v>
      </c>
      <c r="W1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22.200000000000003</v>
      </c>
      <c r="X1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v>
      </c>
      <c r="Y15" s="974">
        <f>IFERROR(tblConcentrado[[#This Row],[Concentrado (TMS)]]/tblConcentrado[[#This Row],[Mineral (TMS)]],"")</f>
        <v>0.57043588123815536</v>
      </c>
      <c r="Z15" s="973">
        <f>IFERROR(1/tblConcentrado[[#This Row],[% Recup.]],0)</f>
        <v>1.7530454042081951</v>
      </c>
      <c r="AA15" s="975" t="str">
        <f>IF(COUNTIFS(tblConcentrado[ID],tblConcentrado[[#This Row],[ID]])&gt;1,"Duplicado","")</f>
        <v/>
      </c>
    </row>
    <row r="16" spans="2:27">
      <c r="B16" s="976">
        <f>(YEAR(tblConcentrado[[#This Row],[Fecha]])*10000+MONTH(tblConcentrado[[#This Row],[Fecha]])*100+DAY(tblConcentrado[[#This Row],[Fecha]]))*100+tblConcentrado[[#This Row],[N° hora]]</f>
        <v>2026090112</v>
      </c>
      <c r="C16" s="871">
        <v>46266</v>
      </c>
      <c r="D16">
        <v>12</v>
      </c>
      <c r="E16" s="952">
        <v>0.83333333333333304</v>
      </c>
      <c r="F16" s="256">
        <v>1581</v>
      </c>
      <c r="G16" s="256">
        <v>1076</v>
      </c>
      <c r="H16" s="970"/>
      <c r="I16" s="970"/>
      <c r="J16" s="970"/>
      <c r="K16" s="970"/>
      <c r="L16" s="970"/>
      <c r="M16" s="971"/>
      <c r="N16" s="971"/>
      <c r="O16" s="971"/>
      <c r="P16" s="971"/>
      <c r="Q16" s="971"/>
      <c r="R16" t="s">
        <v>9258</v>
      </c>
      <c r="S16" t="s">
        <v>88</v>
      </c>
      <c r="U16" t="s">
        <v>9333</v>
      </c>
      <c r="V16" s="871">
        <v>46293</v>
      </c>
      <c r="W1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6" s="974">
        <f>IFERROR(tblConcentrado[[#This Row],[Concentrado (TMS)]]/tblConcentrado[[#This Row],[Mineral (TMS)]],"")</f>
        <v>0.68058191018342817</v>
      </c>
      <c r="Z16" s="973">
        <f>IFERROR(1/tblConcentrado[[#This Row],[% Recup.]],0)</f>
        <v>1.4693308550185875</v>
      </c>
      <c r="AA16" s="975" t="str">
        <f>IF(COUNTIFS(tblConcentrado[ID],tblConcentrado[[#This Row],[ID]])&gt;1,"Duplicado","")</f>
        <v/>
      </c>
    </row>
    <row r="17" spans="2:27">
      <c r="B17" s="976">
        <f>(YEAR(tblConcentrado[[#This Row],[Fecha]])*10000+MONTH(tblConcentrado[[#This Row],[Fecha]])*100+DAY(tblConcentrado[[#This Row],[Fecha]]))*100+tblConcentrado[[#This Row],[N° hora]]</f>
        <v>2026090113</v>
      </c>
      <c r="C17" s="871">
        <v>46266</v>
      </c>
      <c r="D17">
        <v>13</v>
      </c>
      <c r="E17" s="952">
        <v>0.875</v>
      </c>
      <c r="F17" s="256">
        <v>1588</v>
      </c>
      <c r="G17" s="256">
        <v>1183</v>
      </c>
      <c r="H17" s="970">
        <v>0.17899999999999999</v>
      </c>
      <c r="I17" s="970">
        <v>0.72</v>
      </c>
      <c r="J17" s="970">
        <v>0.44</v>
      </c>
      <c r="K17" s="970">
        <v>0.53100000000000003</v>
      </c>
      <c r="L17" s="970">
        <v>0.36</v>
      </c>
      <c r="M17" s="971">
        <v>22.2</v>
      </c>
      <c r="N17" s="971">
        <v>15.9</v>
      </c>
      <c r="O17" s="971">
        <v>2.1</v>
      </c>
      <c r="P17" s="971">
        <v>2</v>
      </c>
      <c r="Q17" s="971">
        <v>8.4</v>
      </c>
      <c r="R17" t="s">
        <v>9258</v>
      </c>
      <c r="S17" t="s">
        <v>89</v>
      </c>
      <c r="T17" t="s">
        <v>90</v>
      </c>
      <c r="U17" t="s">
        <v>9333</v>
      </c>
      <c r="V17" s="871">
        <v>46293</v>
      </c>
      <c r="W1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18.420000000000002</v>
      </c>
      <c r="X1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2.04</v>
      </c>
      <c r="Y17" s="974">
        <f>IFERROR(tblConcentrado[[#This Row],[Concentrado (TMS)]]/tblConcentrado[[#This Row],[Mineral (TMS)]],"")</f>
        <v>0.74496221662468509</v>
      </c>
      <c r="Z17" s="973">
        <f>IFERROR(1/tblConcentrado[[#This Row],[% Recup.]],0)</f>
        <v>1.3423499577345732</v>
      </c>
      <c r="AA17" s="975" t="str">
        <f>IF(COUNTIFS(tblConcentrado[ID],tblConcentrado[[#This Row],[ID]])&gt;1,"Duplicado","")</f>
        <v/>
      </c>
    </row>
    <row r="18" spans="2:27">
      <c r="B18" s="976">
        <f>(YEAR(tblConcentrado[[#This Row],[Fecha]])*10000+MONTH(tblConcentrado[[#This Row],[Fecha]])*100+DAY(tblConcentrado[[#This Row],[Fecha]]))*100+tblConcentrado[[#This Row],[N° hora]]</f>
        <v>2026090114</v>
      </c>
      <c r="C18" s="871">
        <v>46266</v>
      </c>
      <c r="D18">
        <v>14</v>
      </c>
      <c r="E18" s="952">
        <v>0.91666666666666696</v>
      </c>
      <c r="F18" s="256">
        <v>1460</v>
      </c>
      <c r="G18" s="256">
        <v>1101</v>
      </c>
      <c r="H18" s="970"/>
      <c r="I18" s="970"/>
      <c r="J18" s="970"/>
      <c r="K18" s="970"/>
      <c r="L18" s="970"/>
      <c r="M18" s="971"/>
      <c r="N18" s="971"/>
      <c r="O18" s="971"/>
      <c r="P18" s="971"/>
      <c r="Q18" s="971"/>
      <c r="R18" t="s">
        <v>9258</v>
      </c>
      <c r="S18" t="s">
        <v>91</v>
      </c>
      <c r="U18" t="s">
        <v>9333</v>
      </c>
      <c r="V18" s="871">
        <v>46293</v>
      </c>
      <c r="W1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8" s="974">
        <f>IFERROR(tblConcentrado[[#This Row],[Concentrado (TMS)]]/tblConcentrado[[#This Row],[Mineral (TMS)]],"")</f>
        <v>0.75410958904109593</v>
      </c>
      <c r="Z18" s="973">
        <f>IFERROR(1/tblConcentrado[[#This Row],[% Recup.]],0)</f>
        <v>1.3260672116257948</v>
      </c>
      <c r="AA18" s="975" t="str">
        <f>IF(COUNTIFS(tblConcentrado[ID],tblConcentrado[[#This Row],[ID]])&gt;1,"Duplicado","")</f>
        <v/>
      </c>
    </row>
    <row r="19" spans="2:27">
      <c r="B19" s="976">
        <f>(YEAR(tblConcentrado[[#This Row],[Fecha]])*10000+MONTH(tblConcentrado[[#This Row],[Fecha]])*100+DAY(tblConcentrado[[#This Row],[Fecha]]))*100+tblConcentrado[[#This Row],[N° hora]]</f>
        <v>2026090115</v>
      </c>
      <c r="C19" s="871">
        <v>46266</v>
      </c>
      <c r="D19">
        <v>15</v>
      </c>
      <c r="E19" s="952">
        <v>0.95833333333333304</v>
      </c>
      <c r="F19" s="256">
        <v>1320</v>
      </c>
      <c r="G19" s="256">
        <v>1146</v>
      </c>
      <c r="H19" s="970">
        <v>0.16800000000000001</v>
      </c>
      <c r="I19" s="970">
        <v>0.82299999999999995</v>
      </c>
      <c r="J19" s="970">
        <v>0.46</v>
      </c>
      <c r="K19" s="970">
        <v>0.60499999999999998</v>
      </c>
      <c r="L19" s="970">
        <v>0.37</v>
      </c>
      <c r="M19" s="971">
        <v>24.2</v>
      </c>
      <c r="N19" s="971">
        <v>15.6</v>
      </c>
      <c r="O19" s="971">
        <v>2.2000000000000002</v>
      </c>
      <c r="P19" s="971">
        <v>2.6</v>
      </c>
      <c r="Q19" s="971">
        <v>8.4</v>
      </c>
      <c r="R19" t="s">
        <v>9258</v>
      </c>
      <c r="S19" t="s">
        <v>92</v>
      </c>
      <c r="T19" t="s">
        <v>93</v>
      </c>
      <c r="U19" t="s">
        <v>9333</v>
      </c>
      <c r="V19" s="871">
        <v>46293</v>
      </c>
      <c r="W1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19.04</v>
      </c>
      <c r="X1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2.4400000000000004</v>
      </c>
      <c r="Y19" s="974">
        <f>IFERROR(tblConcentrado[[#This Row],[Concentrado (TMS)]]/tblConcentrado[[#This Row],[Mineral (TMS)]],"")</f>
        <v>0.86818181818181817</v>
      </c>
      <c r="Z19" s="973">
        <f>IFERROR(1/tblConcentrado[[#This Row],[% Recup.]],0)</f>
        <v>1.1518324607329844</v>
      </c>
      <c r="AA19" s="975" t="str">
        <f>IF(COUNTIFS(tblConcentrado[ID],tblConcentrado[[#This Row],[ID]])&gt;1,"Duplicado","")</f>
        <v/>
      </c>
    </row>
    <row r="20" spans="2:27">
      <c r="B20" s="976">
        <f>(YEAR(tblConcentrado[[#This Row],[Fecha]])*10000+MONTH(tblConcentrado[[#This Row],[Fecha]])*100+DAY(tblConcentrado[[#This Row],[Fecha]]))*100+tblConcentrado[[#This Row],[N° hora]]</f>
        <v>2026090116</v>
      </c>
      <c r="C20" s="871">
        <v>46266</v>
      </c>
      <c r="D20">
        <v>16</v>
      </c>
      <c r="E20" s="952">
        <v>0</v>
      </c>
      <c r="F20" s="256">
        <v>1492</v>
      </c>
      <c r="G20" s="256">
        <v>1007</v>
      </c>
      <c r="H20" s="970"/>
      <c r="I20" s="970"/>
      <c r="J20" s="970"/>
      <c r="K20" s="970"/>
      <c r="L20" s="970"/>
      <c r="M20" s="971"/>
      <c r="N20" s="971"/>
      <c r="O20" s="971"/>
      <c r="P20" s="971"/>
      <c r="Q20" s="971"/>
      <c r="R20" t="s">
        <v>9258</v>
      </c>
      <c r="S20" t="s">
        <v>94</v>
      </c>
      <c r="U20" t="s">
        <v>9333</v>
      </c>
      <c r="V20" s="871">
        <v>46293</v>
      </c>
      <c r="W2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0" s="974">
        <f>IFERROR(tblConcentrado[[#This Row],[Concentrado (TMS)]]/tblConcentrado[[#This Row],[Mineral (TMS)]],"")</f>
        <v>0.67493297587131362</v>
      </c>
      <c r="Z20" s="973">
        <f>IFERROR(1/tblConcentrado[[#This Row],[% Recup.]],0)</f>
        <v>1.4816285998013903</v>
      </c>
      <c r="AA20" s="975" t="str">
        <f>IF(COUNTIFS(tblConcentrado[ID],tblConcentrado[[#This Row],[ID]])&gt;1,"Duplicado","")</f>
        <v/>
      </c>
    </row>
    <row r="21" spans="2:27">
      <c r="B21" s="976">
        <f>(YEAR(tblConcentrado[[#This Row],[Fecha]])*10000+MONTH(tblConcentrado[[#This Row],[Fecha]])*100+DAY(tblConcentrado[[#This Row],[Fecha]]))*100+tblConcentrado[[#This Row],[N° hora]]</f>
        <v>2026090117</v>
      </c>
      <c r="C21" s="871">
        <v>46266</v>
      </c>
      <c r="D21">
        <v>17</v>
      </c>
      <c r="E21" s="952">
        <v>4.1666666666666699E-2</v>
      </c>
      <c r="F21" s="256">
        <v>1585</v>
      </c>
      <c r="G21" s="256">
        <v>1079</v>
      </c>
      <c r="H21" s="970">
        <v>0.187</v>
      </c>
      <c r="I21" s="970">
        <v>0.96299999999999997</v>
      </c>
      <c r="J21" s="970">
        <v>0.56000000000000005</v>
      </c>
      <c r="K21" s="970">
        <v>0.78200000000000003</v>
      </c>
      <c r="L21" s="970">
        <v>0.47</v>
      </c>
      <c r="M21" s="971">
        <v>34.299999999999997</v>
      </c>
      <c r="N21" s="971">
        <v>15.2</v>
      </c>
      <c r="O21" s="971">
        <v>3.4</v>
      </c>
      <c r="P21" s="971">
        <v>2.4</v>
      </c>
      <c r="Q21" s="971">
        <v>8.1</v>
      </c>
      <c r="R21" t="s">
        <v>9258</v>
      </c>
      <c r="S21" t="s">
        <v>95</v>
      </c>
      <c r="U21" t="s">
        <v>9333</v>
      </c>
      <c r="V21" s="871">
        <v>46293</v>
      </c>
      <c r="W2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22.839999999999996</v>
      </c>
      <c r="X2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2.8</v>
      </c>
      <c r="Y21" s="974">
        <f>IFERROR(tblConcentrado[[#This Row],[Concentrado (TMS)]]/tblConcentrado[[#This Row],[Mineral (TMS)]],"")</f>
        <v>0.68075709779179816</v>
      </c>
      <c r="Z21" s="973">
        <f>IFERROR(1/tblConcentrado[[#This Row],[% Recup.]],0)</f>
        <v>1.4689527340129749</v>
      </c>
      <c r="AA21" s="975" t="str">
        <f>IF(COUNTIFS(tblConcentrado[ID],tblConcentrado[[#This Row],[ID]])&gt;1,"Duplicado","")</f>
        <v/>
      </c>
    </row>
    <row r="22" spans="2:27">
      <c r="B22" s="976">
        <f>(YEAR(tblConcentrado[[#This Row],[Fecha]])*10000+MONTH(tblConcentrado[[#This Row],[Fecha]])*100+DAY(tblConcentrado[[#This Row],[Fecha]]))*100+tblConcentrado[[#This Row],[N° hora]]</f>
        <v>2026090118</v>
      </c>
      <c r="C22" s="871">
        <v>46266</v>
      </c>
      <c r="D22">
        <v>18</v>
      </c>
      <c r="E22" s="952">
        <v>8.3333333333333301E-2</v>
      </c>
      <c r="F22" s="256">
        <v>1578</v>
      </c>
      <c r="G22" s="256">
        <v>874</v>
      </c>
      <c r="H22" s="970"/>
      <c r="I22" s="970"/>
      <c r="J22" s="970"/>
      <c r="K22" s="970"/>
      <c r="L22" s="970"/>
      <c r="M22" s="971"/>
      <c r="N22" s="971"/>
      <c r="O22" s="971"/>
      <c r="P22" s="971"/>
      <c r="Q22" s="971"/>
      <c r="R22" t="s">
        <v>9258</v>
      </c>
      <c r="S22" t="s">
        <v>96</v>
      </c>
      <c r="U22" t="s">
        <v>9333</v>
      </c>
      <c r="V22" s="871">
        <v>46293</v>
      </c>
      <c r="W2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2" s="974">
        <f>IFERROR(tblConcentrado[[#This Row],[Concentrado (TMS)]]/tblConcentrado[[#This Row],[Mineral (TMS)]],"")</f>
        <v>0.55386565272496835</v>
      </c>
      <c r="Z22" s="973">
        <f>IFERROR(1/tblConcentrado[[#This Row],[% Recup.]],0)</f>
        <v>1.8054919908466818</v>
      </c>
      <c r="AA22" s="975" t="str">
        <f>IF(COUNTIFS(tblConcentrado[ID],tblConcentrado[[#This Row],[ID]])&gt;1,"Duplicado","")</f>
        <v/>
      </c>
    </row>
    <row r="23" spans="2:27">
      <c r="B23" s="976">
        <f>(YEAR(tblConcentrado[[#This Row],[Fecha]])*10000+MONTH(tblConcentrado[[#This Row],[Fecha]])*100+DAY(tblConcentrado[[#This Row],[Fecha]]))*100+tblConcentrado[[#This Row],[N° hora]]</f>
        <v>2026090119</v>
      </c>
      <c r="C23" s="871">
        <v>46266</v>
      </c>
      <c r="D23">
        <v>19</v>
      </c>
      <c r="E23" s="952">
        <v>0.125</v>
      </c>
      <c r="F23" s="256">
        <v>1555</v>
      </c>
      <c r="G23" s="256">
        <v>811</v>
      </c>
      <c r="H23" s="970">
        <v>0.20300000000000001</v>
      </c>
      <c r="I23" s="970">
        <v>0.78700000000000003</v>
      </c>
      <c r="J23" s="970">
        <v>0.46</v>
      </c>
      <c r="K23" s="970">
        <v>0.70499999999999996</v>
      </c>
      <c r="L23" s="970">
        <v>0.43</v>
      </c>
      <c r="M23" s="971">
        <v>32.200000000000003</v>
      </c>
      <c r="N23" s="971">
        <v>20.100000000000001</v>
      </c>
      <c r="O23" s="971">
        <v>4.4000000000000004</v>
      </c>
      <c r="P23" s="971">
        <v>4.5</v>
      </c>
      <c r="Q23" s="971">
        <v>8.1</v>
      </c>
      <c r="R23" t="s">
        <v>9258</v>
      </c>
      <c r="S23" t="s">
        <v>97</v>
      </c>
      <c r="U23" t="s">
        <v>9333</v>
      </c>
      <c r="V23" s="871">
        <v>46293</v>
      </c>
      <c r="W2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24.940000000000005</v>
      </c>
      <c r="X2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4.46</v>
      </c>
      <c r="Y23" s="974">
        <f>IFERROR(tblConcentrado[[#This Row],[Concentrado (TMS)]]/tblConcentrado[[#This Row],[Mineral (TMS)]],"")</f>
        <v>0.52154340836012858</v>
      </c>
      <c r="Z23" s="973">
        <f>IFERROR(1/tblConcentrado[[#This Row],[% Recup.]],0)</f>
        <v>1.9173859432799014</v>
      </c>
      <c r="AA23" s="975" t="str">
        <f>IF(COUNTIFS(tblConcentrado[ID],tblConcentrado[[#This Row],[ID]])&gt;1,"Duplicado","")</f>
        <v/>
      </c>
    </row>
    <row r="24" spans="2:27">
      <c r="B24" s="976">
        <f>(YEAR(tblConcentrado[[#This Row],[Fecha]])*10000+MONTH(tblConcentrado[[#This Row],[Fecha]])*100+DAY(tblConcentrado[[#This Row],[Fecha]]))*100+tblConcentrado[[#This Row],[N° hora]]</f>
        <v>2026090120</v>
      </c>
      <c r="C24" s="871">
        <v>46266</v>
      </c>
      <c r="D24">
        <v>20</v>
      </c>
      <c r="E24" s="952">
        <v>0.16666666666666699</v>
      </c>
      <c r="F24" s="256">
        <v>1390</v>
      </c>
      <c r="G24" s="256">
        <v>794</v>
      </c>
      <c r="H24" s="970"/>
      <c r="I24" s="970"/>
      <c r="J24" s="970"/>
      <c r="K24" s="970"/>
      <c r="L24" s="970"/>
      <c r="M24" s="971"/>
      <c r="N24" s="971"/>
      <c r="O24" s="971"/>
      <c r="P24" s="971"/>
      <c r="Q24" s="971"/>
      <c r="R24" t="s">
        <v>9258</v>
      </c>
      <c r="S24" t="s">
        <v>98</v>
      </c>
      <c r="U24" t="s">
        <v>9333</v>
      </c>
      <c r="V24" s="871">
        <v>46293</v>
      </c>
      <c r="W2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4" s="974">
        <f>IFERROR(tblConcentrado[[#This Row],[Concentrado (TMS)]]/tblConcentrado[[#This Row],[Mineral (TMS)]],"")</f>
        <v>0.57122302158273386</v>
      </c>
      <c r="Z24" s="973">
        <f>IFERROR(1/tblConcentrado[[#This Row],[% Recup.]],0)</f>
        <v>1.7506297229219143</v>
      </c>
      <c r="AA24" s="975" t="str">
        <f>IF(COUNTIFS(tblConcentrado[ID],tblConcentrado[[#This Row],[ID]])&gt;1,"Duplicado","")</f>
        <v/>
      </c>
    </row>
    <row r="25" spans="2:27">
      <c r="B25" s="976">
        <f>(YEAR(tblConcentrado[[#This Row],[Fecha]])*10000+MONTH(tblConcentrado[[#This Row],[Fecha]])*100+DAY(tblConcentrado[[#This Row],[Fecha]]))*100+tblConcentrado[[#This Row],[N° hora]]</f>
        <v>2026090121</v>
      </c>
      <c r="C25" s="871">
        <v>46266</v>
      </c>
      <c r="D25">
        <v>21</v>
      </c>
      <c r="E25" s="952">
        <v>0.20833333333333301</v>
      </c>
      <c r="F25" s="256">
        <v>1525</v>
      </c>
      <c r="G25" s="256">
        <v>1045</v>
      </c>
      <c r="H25" s="970">
        <v>0.2</v>
      </c>
      <c r="I25" s="970">
        <v>0.84099999999999997</v>
      </c>
      <c r="J25" s="970">
        <v>0.47</v>
      </c>
      <c r="K25" s="970">
        <v>0.91500000000000004</v>
      </c>
      <c r="L25" s="970">
        <v>0.52</v>
      </c>
      <c r="M25" s="971">
        <v>29.3</v>
      </c>
      <c r="N25" s="971">
        <v>19.2</v>
      </c>
      <c r="O25" s="971">
        <v>2.9</v>
      </c>
      <c r="P25" s="971">
        <v>3.5</v>
      </c>
      <c r="Q25" s="971">
        <v>8</v>
      </c>
      <c r="R25" t="s">
        <v>9258</v>
      </c>
      <c r="U25" t="s">
        <v>9333</v>
      </c>
      <c r="V25" s="871">
        <v>46293</v>
      </c>
      <c r="W2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23.240000000000002</v>
      </c>
      <c r="X2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3.26</v>
      </c>
      <c r="Y25" s="974">
        <f>IFERROR(tblConcentrado[[#This Row],[Concentrado (TMS)]]/tblConcentrado[[#This Row],[Mineral (TMS)]],"")</f>
        <v>0.68524590163934429</v>
      </c>
      <c r="Z25" s="973">
        <f>IFERROR(1/tblConcentrado[[#This Row],[% Recup.]],0)</f>
        <v>1.4593301435406698</v>
      </c>
      <c r="AA25" s="975" t="str">
        <f>IF(COUNTIFS(tblConcentrado[ID],tblConcentrado[[#This Row],[ID]])&gt;1,"Duplicado","")</f>
        <v/>
      </c>
    </row>
    <row r="26" spans="2:27">
      <c r="B26" s="976">
        <f>(YEAR(tblConcentrado[[#This Row],[Fecha]])*10000+MONTH(tblConcentrado[[#This Row],[Fecha]])*100+DAY(tblConcentrado[[#This Row],[Fecha]]))*100+tblConcentrado[[#This Row],[N° hora]]</f>
        <v>2026090122</v>
      </c>
      <c r="C26" s="871">
        <v>46266</v>
      </c>
      <c r="D26">
        <v>22</v>
      </c>
      <c r="E26" s="952">
        <v>0.25</v>
      </c>
      <c r="F26" s="256">
        <v>1548</v>
      </c>
      <c r="G26" s="256">
        <v>994</v>
      </c>
      <c r="H26" s="970"/>
      <c r="I26" s="970"/>
      <c r="J26" s="970"/>
      <c r="K26" s="970"/>
      <c r="L26" s="970"/>
      <c r="M26" s="971"/>
      <c r="N26" s="971"/>
      <c r="O26" s="971"/>
      <c r="P26" s="971"/>
      <c r="Q26" s="971"/>
      <c r="R26" t="s">
        <v>9258</v>
      </c>
      <c r="S26" t="s">
        <v>99</v>
      </c>
      <c r="U26" t="s">
        <v>9333</v>
      </c>
      <c r="V26" s="871">
        <v>46293</v>
      </c>
      <c r="W2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6" s="974">
        <f>IFERROR(tblConcentrado[[#This Row],[Concentrado (TMS)]]/tblConcentrado[[#This Row],[Mineral (TMS)]],"")</f>
        <v>0.6421188630490956</v>
      </c>
      <c r="Z26" s="973">
        <f>IFERROR(1/tblConcentrado[[#This Row],[% Recup.]],0)</f>
        <v>1.5573440643863179</v>
      </c>
      <c r="AA26" s="975" t="str">
        <f>IF(COUNTIFS(tblConcentrado[ID],tblConcentrado[[#This Row],[ID]])&gt;1,"Duplicado","")</f>
        <v/>
      </c>
    </row>
    <row r="27" spans="2:27">
      <c r="B27" s="976">
        <f>(YEAR(tblConcentrado[[#This Row],[Fecha]])*10000+MONTH(tblConcentrado[[#This Row],[Fecha]])*100+DAY(tblConcentrado[[#This Row],[Fecha]]))*100+tblConcentrado[[#This Row],[N° hora]]</f>
        <v>2026090123</v>
      </c>
      <c r="C27" s="871">
        <v>46266</v>
      </c>
      <c r="D27">
        <v>23</v>
      </c>
      <c r="E27" s="952">
        <v>0.29166666666666702</v>
      </c>
      <c r="F27" s="256">
        <v>1551</v>
      </c>
      <c r="G27" s="256">
        <v>936</v>
      </c>
      <c r="H27" s="970">
        <v>0.20300000000000001</v>
      </c>
      <c r="I27" s="970">
        <v>0.78100000000000003</v>
      </c>
      <c r="J27" s="970">
        <v>0.44</v>
      </c>
      <c r="K27" s="970">
        <v>0.84599999999999997</v>
      </c>
      <c r="L27" s="970">
        <v>0.47</v>
      </c>
      <c r="M27" s="971">
        <v>26.5</v>
      </c>
      <c r="N27" s="971">
        <v>18.2</v>
      </c>
      <c r="O27" s="971">
        <v>2.6</v>
      </c>
      <c r="P27" s="971">
        <v>2.8</v>
      </c>
      <c r="Q27" s="971">
        <v>8.4</v>
      </c>
      <c r="R27" t="s">
        <v>9258</v>
      </c>
      <c r="U27" t="s">
        <v>9333</v>
      </c>
      <c r="V27" s="871">
        <v>46293</v>
      </c>
      <c r="W2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21.520000000000003</v>
      </c>
      <c r="X2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2.7199999999999998</v>
      </c>
      <c r="Y27" s="974">
        <f>IFERROR(tblConcentrado[[#This Row],[Concentrado (TMS)]]/tblConcentrado[[#This Row],[Mineral (TMS)]],"")</f>
        <v>0.60348162475822054</v>
      </c>
      <c r="Z27" s="973">
        <f>IFERROR(1/tblConcentrado[[#This Row],[% Recup.]],0)</f>
        <v>1.6570512820512819</v>
      </c>
      <c r="AA27" s="975" t="str">
        <f>IF(COUNTIFS(tblConcentrado[ID],tblConcentrado[[#This Row],[ID]])&gt;1,"Duplicado","")</f>
        <v/>
      </c>
    </row>
    <row r="28" spans="2:27">
      <c r="B28" s="976">
        <f>(YEAR(tblConcentrado[[#This Row],[Fecha]])*10000+MONTH(tblConcentrado[[#This Row],[Fecha]])*100+DAY(tblConcentrado[[#This Row],[Fecha]]))*100+tblConcentrado[[#This Row],[N° hora]]</f>
        <v>2026090124</v>
      </c>
      <c r="C28" s="871">
        <v>46266</v>
      </c>
      <c r="D28">
        <v>24</v>
      </c>
      <c r="E28" s="952">
        <v>0.33333333333333298</v>
      </c>
      <c r="F28" s="256">
        <v>1588</v>
      </c>
      <c r="G28" s="256">
        <v>996</v>
      </c>
      <c r="H28" s="970"/>
      <c r="I28" s="970"/>
      <c r="J28" s="970"/>
      <c r="K28" s="970"/>
      <c r="L28" s="970"/>
      <c r="M28" s="971"/>
      <c r="N28" s="971"/>
      <c r="O28" s="971"/>
      <c r="P28" s="971"/>
      <c r="Q28" s="971"/>
      <c r="R28" t="s">
        <v>9258</v>
      </c>
      <c r="U28" t="s">
        <v>9333</v>
      </c>
      <c r="V28" s="871">
        <v>46293</v>
      </c>
      <c r="W2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8" s="974">
        <f>IFERROR(tblConcentrado[[#This Row],[Concentrado (TMS)]]/tblConcentrado[[#This Row],[Mineral (TMS)]],"")</f>
        <v>0.62720403022670024</v>
      </c>
      <c r="Z28" s="973">
        <f>IFERROR(1/tblConcentrado[[#This Row],[% Recup.]],0)</f>
        <v>1.5943775100401607</v>
      </c>
      <c r="AA28" s="975" t="str">
        <f>IF(COUNTIFS(tblConcentrado[ID],tblConcentrado[[#This Row],[ID]])&gt;1,"Duplicado","")</f>
        <v/>
      </c>
    </row>
    <row r="29" spans="2:27">
      <c r="B29" s="976">
        <f>(YEAR(tblConcentrado[[#This Row],[Fecha]])*10000+MONTH(tblConcentrado[[#This Row],[Fecha]])*100+DAY(tblConcentrado[[#This Row],[Fecha]]))*100+tblConcentrado[[#This Row],[N° hora]]</f>
        <v>2026090201</v>
      </c>
      <c r="C29" s="871">
        <v>46267</v>
      </c>
      <c r="D29">
        <v>1</v>
      </c>
      <c r="E29" s="952">
        <v>0.375</v>
      </c>
      <c r="F29" s="256">
        <v>1631</v>
      </c>
      <c r="G29" s="256">
        <v>1143</v>
      </c>
      <c r="H29" s="970">
        <v>0.19900000000000001</v>
      </c>
      <c r="I29" s="970">
        <v>0.99099999999999999</v>
      </c>
      <c r="J29" s="970">
        <v>0.53</v>
      </c>
      <c r="K29" s="970">
        <v>0.81799999999999995</v>
      </c>
      <c r="L29" s="970">
        <v>0.46</v>
      </c>
      <c r="M29" s="971">
        <v>29.6</v>
      </c>
      <c r="N29" s="971">
        <v>13.4</v>
      </c>
      <c r="O29" s="971">
        <v>2.6</v>
      </c>
      <c r="P29" s="971">
        <v>1.7</v>
      </c>
      <c r="Q29" s="971">
        <v>8.4</v>
      </c>
      <c r="R29" t="s">
        <v>9258</v>
      </c>
      <c r="U29" t="s">
        <v>9333</v>
      </c>
      <c r="V29" s="871">
        <v>46293</v>
      </c>
      <c r="W2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19.880000000000003</v>
      </c>
      <c r="X2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2.06</v>
      </c>
      <c r="Y29" s="974">
        <f>IFERROR(tblConcentrado[[#This Row],[Concentrado (TMS)]]/tblConcentrado[[#This Row],[Mineral (TMS)]],"")</f>
        <v>0.70079705702023298</v>
      </c>
      <c r="Z29" s="973">
        <f>IFERROR(1/tblConcentrado[[#This Row],[% Recup.]],0)</f>
        <v>1.4269466316710411</v>
      </c>
      <c r="AA29" s="975" t="str">
        <f>IF(COUNTIFS(tblConcentrado[ID],tblConcentrado[[#This Row],[ID]])&gt;1,"Duplicado","")</f>
        <v/>
      </c>
    </row>
    <row r="30" spans="2:27">
      <c r="B30" s="976">
        <f>(YEAR(tblConcentrado[[#This Row],[Fecha]])*10000+MONTH(tblConcentrado[[#This Row],[Fecha]])*100+DAY(tblConcentrado[[#This Row],[Fecha]]))*100+tblConcentrado[[#This Row],[N° hora]]</f>
        <v>2026090202</v>
      </c>
      <c r="C30" s="871">
        <v>46267</v>
      </c>
      <c r="D30">
        <v>2</v>
      </c>
      <c r="E30" s="952">
        <v>0.41666666666666702</v>
      </c>
      <c r="F30" s="256">
        <v>1603</v>
      </c>
      <c r="G30" s="256">
        <v>1084</v>
      </c>
      <c r="H30" s="970"/>
      <c r="I30" s="970"/>
      <c r="J30" s="970"/>
      <c r="K30" s="970"/>
      <c r="L30" s="970"/>
      <c r="M30" s="971"/>
      <c r="N30" s="971"/>
      <c r="O30" s="971"/>
      <c r="P30" s="971"/>
      <c r="Q30" s="971"/>
      <c r="R30" t="s">
        <v>9258</v>
      </c>
      <c r="U30" t="s">
        <v>9333</v>
      </c>
      <c r="V30" s="871">
        <v>46293</v>
      </c>
      <c r="W3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0" s="974">
        <f>IFERROR(tblConcentrado[[#This Row],[Concentrado (TMS)]]/tblConcentrado[[#This Row],[Mineral (TMS)]],"")</f>
        <v>0.67623206487835308</v>
      </c>
      <c r="Z30" s="973">
        <f>IFERROR(1/tblConcentrado[[#This Row],[% Recup.]],0)</f>
        <v>1.4787822878228782</v>
      </c>
      <c r="AA30" s="975" t="str">
        <f>IF(COUNTIFS(tblConcentrado[ID],tblConcentrado[[#This Row],[ID]])&gt;1,"Duplicado","")</f>
        <v/>
      </c>
    </row>
    <row r="31" spans="2:27">
      <c r="B31" s="976">
        <f>(YEAR(tblConcentrado[[#This Row],[Fecha]])*10000+MONTH(tblConcentrado[[#This Row],[Fecha]])*100+DAY(tblConcentrado[[#This Row],[Fecha]]))*100+tblConcentrado[[#This Row],[N° hora]]</f>
        <v>2026090203</v>
      </c>
      <c r="C31" s="871">
        <v>46267</v>
      </c>
      <c r="D31">
        <v>3</v>
      </c>
      <c r="E31" s="952">
        <v>0.45833333333333298</v>
      </c>
      <c r="F31" s="256">
        <v>1615</v>
      </c>
      <c r="G31" s="256">
        <v>922</v>
      </c>
      <c r="H31" s="970">
        <v>0.191</v>
      </c>
      <c r="I31" s="970">
        <v>0.78700000000000003</v>
      </c>
      <c r="J31" s="970">
        <v>0.44</v>
      </c>
      <c r="K31" s="970">
        <v>0.73</v>
      </c>
      <c r="L31" s="970">
        <v>0.43</v>
      </c>
      <c r="M31" s="971">
        <v>29.3</v>
      </c>
      <c r="N31" s="971">
        <v>15.9</v>
      </c>
      <c r="O31" s="971">
        <v>2.7</v>
      </c>
      <c r="P31" s="971">
        <v>2.5</v>
      </c>
      <c r="Q31" s="971">
        <v>8.4</v>
      </c>
      <c r="R31" t="s">
        <v>9258</v>
      </c>
      <c r="U31" t="s">
        <v>9333</v>
      </c>
      <c r="V31" s="871">
        <v>46293</v>
      </c>
      <c r="W3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21.259999999999998</v>
      </c>
      <c r="X3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2.58</v>
      </c>
      <c r="Y31" s="974">
        <f>IFERROR(tblConcentrado[[#This Row],[Concentrado (TMS)]]/tblConcentrado[[#This Row],[Mineral (TMS)]],"")</f>
        <v>0.57089783281733741</v>
      </c>
      <c r="Z31" s="973">
        <f>IFERROR(1/tblConcentrado[[#This Row],[% Recup.]],0)</f>
        <v>1.7516268980477225</v>
      </c>
      <c r="AA31" s="975" t="str">
        <f>IF(COUNTIFS(tblConcentrado[ID],tblConcentrado[[#This Row],[ID]])&gt;1,"Duplicado","")</f>
        <v/>
      </c>
    </row>
    <row r="32" spans="2:27">
      <c r="B32" s="976">
        <f>(YEAR(tblConcentrado[[#This Row],[Fecha]])*10000+MONTH(tblConcentrado[[#This Row],[Fecha]])*100+DAY(tblConcentrado[[#This Row],[Fecha]]))*100+tblConcentrado[[#This Row],[N° hora]]</f>
        <v>2026090204</v>
      </c>
      <c r="C32" s="871">
        <v>46267</v>
      </c>
      <c r="D32">
        <v>4</v>
      </c>
      <c r="E32" s="952">
        <v>0.5</v>
      </c>
      <c r="F32" s="256">
        <v>1608</v>
      </c>
      <c r="G32" s="256">
        <v>1044</v>
      </c>
      <c r="H32" s="970"/>
      <c r="I32" s="970"/>
      <c r="J32" s="970"/>
      <c r="K32" s="970"/>
      <c r="L32" s="970"/>
      <c r="M32" s="971"/>
      <c r="N32" s="971"/>
      <c r="O32" s="971"/>
      <c r="P32" s="971"/>
      <c r="Q32" s="971"/>
      <c r="R32" t="s">
        <v>9258</v>
      </c>
      <c r="U32" t="s">
        <v>9333</v>
      </c>
      <c r="V32" s="871">
        <v>46293</v>
      </c>
      <c r="W3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2" s="974">
        <f>IFERROR(tblConcentrado[[#This Row],[Concentrado (TMS)]]/tblConcentrado[[#This Row],[Mineral (TMS)]],"")</f>
        <v>0.64925373134328357</v>
      </c>
      <c r="Z32" s="973">
        <f>IFERROR(1/tblConcentrado[[#This Row],[% Recup.]],0)</f>
        <v>1.5402298850574714</v>
      </c>
      <c r="AA32" s="975" t="str">
        <f>IF(COUNTIFS(tblConcentrado[ID],tblConcentrado[[#This Row],[ID]])&gt;1,"Duplicado","")</f>
        <v/>
      </c>
    </row>
    <row r="33" spans="2:27">
      <c r="B33" s="976">
        <f>(YEAR(tblConcentrado[[#This Row],[Fecha]])*10000+MONTH(tblConcentrado[[#This Row],[Fecha]])*100+DAY(tblConcentrado[[#This Row],[Fecha]]))*100+tblConcentrado[[#This Row],[N° hora]]</f>
        <v>2026090205</v>
      </c>
      <c r="C33" s="871">
        <v>46267</v>
      </c>
      <c r="D33">
        <v>5</v>
      </c>
      <c r="E33" s="952">
        <v>0.54166666666666696</v>
      </c>
      <c r="F33" s="256">
        <v>1612</v>
      </c>
      <c r="G33" s="256">
        <v>1030</v>
      </c>
      <c r="H33" s="970">
        <v>0.20200000000000001</v>
      </c>
      <c r="I33" s="970">
        <v>0.73</v>
      </c>
      <c r="J33" s="970">
        <v>0.46</v>
      </c>
      <c r="K33" s="970">
        <v>0.56499999999999995</v>
      </c>
      <c r="L33" s="970">
        <v>0.39</v>
      </c>
      <c r="M33" s="971">
        <v>29.8</v>
      </c>
      <c r="N33" s="971">
        <v>15.5</v>
      </c>
      <c r="O33" s="971">
        <v>2.9</v>
      </c>
      <c r="P33" s="971">
        <v>2.2999999999999998</v>
      </c>
      <c r="Q33" s="971">
        <v>8.1</v>
      </c>
      <c r="R33" t="s">
        <v>9258</v>
      </c>
      <c r="U33" t="s">
        <v>9333</v>
      </c>
      <c r="V33" s="871">
        <v>46293</v>
      </c>
      <c r="W3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21.22</v>
      </c>
      <c r="X3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2.54</v>
      </c>
      <c r="Y33" s="974">
        <f>IFERROR(tblConcentrado[[#This Row],[Concentrado (TMS)]]/tblConcentrado[[#This Row],[Mineral (TMS)]],"")</f>
        <v>0.63895781637717119</v>
      </c>
      <c r="Z33" s="973">
        <f>IFERROR(1/tblConcentrado[[#This Row],[% Recup.]],0)</f>
        <v>1.5650485436893204</v>
      </c>
      <c r="AA33" s="975" t="str">
        <f>IF(COUNTIFS(tblConcentrado[ID],tblConcentrado[[#This Row],[ID]])&gt;1,"Duplicado","")</f>
        <v/>
      </c>
    </row>
    <row r="34" spans="2:27">
      <c r="B34" s="976">
        <f>(YEAR(tblConcentrado[[#This Row],[Fecha]])*10000+MONTH(tblConcentrado[[#This Row],[Fecha]])*100+DAY(tblConcentrado[[#This Row],[Fecha]]))*100+tblConcentrado[[#This Row],[N° hora]]</f>
        <v>2026090206</v>
      </c>
      <c r="C34" s="871">
        <v>46267</v>
      </c>
      <c r="D34">
        <v>6</v>
      </c>
      <c r="E34" s="952">
        <v>0.58333333333333304</v>
      </c>
      <c r="F34" s="256">
        <v>1606</v>
      </c>
      <c r="G34" s="256">
        <v>1083</v>
      </c>
      <c r="H34" s="970"/>
      <c r="I34" s="970"/>
      <c r="J34" s="970"/>
      <c r="K34" s="970"/>
      <c r="L34" s="970"/>
      <c r="M34" s="971"/>
      <c r="N34" s="971"/>
      <c r="O34" s="971"/>
      <c r="P34" s="971"/>
      <c r="Q34" s="971"/>
      <c r="R34" t="s">
        <v>9258</v>
      </c>
      <c r="U34" t="s">
        <v>9333</v>
      </c>
      <c r="V34" s="871">
        <v>46293</v>
      </c>
      <c r="W3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4" s="974">
        <f>IFERROR(tblConcentrado[[#This Row],[Concentrado (TMS)]]/tblConcentrado[[#This Row],[Mineral (TMS)]],"")</f>
        <v>0.67434620174346205</v>
      </c>
      <c r="Z34" s="973">
        <f>IFERROR(1/tblConcentrado[[#This Row],[% Recup.]],0)</f>
        <v>1.4829178208679592</v>
      </c>
      <c r="AA34" s="975" t="str">
        <f>IF(COUNTIFS(tblConcentrado[ID],tblConcentrado[[#This Row],[ID]])&gt;1,"Duplicado","")</f>
        <v/>
      </c>
    </row>
    <row r="35" spans="2:27">
      <c r="B35" s="976">
        <f>(YEAR(tblConcentrado[[#This Row],[Fecha]])*10000+MONTH(tblConcentrado[[#This Row],[Fecha]])*100+DAY(tblConcentrado[[#This Row],[Fecha]]))*100+tblConcentrado[[#This Row],[N° hora]]</f>
        <v>2026090207</v>
      </c>
      <c r="C35" s="871">
        <v>46267</v>
      </c>
      <c r="D35">
        <v>7</v>
      </c>
      <c r="E35" s="952">
        <v>0.625</v>
      </c>
      <c r="F35" s="256">
        <v>1562</v>
      </c>
      <c r="G35" s="256">
        <v>1090</v>
      </c>
      <c r="H35" s="970">
        <v>0.219</v>
      </c>
      <c r="I35" s="970">
        <v>0.66900000000000004</v>
      </c>
      <c r="J35" s="970">
        <v>0.4</v>
      </c>
      <c r="K35" s="970">
        <v>0.57499999999999996</v>
      </c>
      <c r="L35" s="970">
        <v>0.41</v>
      </c>
      <c r="M35" s="971">
        <v>29.6</v>
      </c>
      <c r="N35" s="971">
        <v>16.8</v>
      </c>
      <c r="O35" s="971">
        <v>2.8</v>
      </c>
      <c r="P35" s="971">
        <v>2.5</v>
      </c>
      <c r="Q35" s="971">
        <v>8.1999999999999993</v>
      </c>
      <c r="R35" t="s">
        <v>9258</v>
      </c>
      <c r="U35" t="s">
        <v>9333</v>
      </c>
      <c r="V35" s="871">
        <v>46293</v>
      </c>
      <c r="W3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21.92</v>
      </c>
      <c r="X3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2.62</v>
      </c>
      <c r="Y35" s="974">
        <f>IFERROR(tblConcentrado[[#This Row],[Concentrado (TMS)]]/tblConcentrado[[#This Row],[Mineral (TMS)]],"")</f>
        <v>0.6978233034571063</v>
      </c>
      <c r="Z35" s="973">
        <f>IFERROR(1/tblConcentrado[[#This Row],[% Recup.]],0)</f>
        <v>1.4330275229357798</v>
      </c>
      <c r="AA35" s="975" t="str">
        <f>IF(COUNTIFS(tblConcentrado[ID],tblConcentrado[[#This Row],[ID]])&gt;1,"Duplicado","")</f>
        <v/>
      </c>
    </row>
    <row r="36" spans="2:27">
      <c r="B36" s="976">
        <f>(YEAR(tblConcentrado[[#This Row],[Fecha]])*10000+MONTH(tblConcentrado[[#This Row],[Fecha]])*100+DAY(tblConcentrado[[#This Row],[Fecha]]))*100+tblConcentrado[[#This Row],[N° hora]]</f>
        <v>2026090208</v>
      </c>
      <c r="C36" s="871">
        <v>46267</v>
      </c>
      <c r="D36">
        <v>8</v>
      </c>
      <c r="E36" s="952">
        <v>0.66666666666666696</v>
      </c>
      <c r="F36" s="256">
        <v>1550</v>
      </c>
      <c r="G36" s="256">
        <v>1081</v>
      </c>
      <c r="H36" s="970"/>
      <c r="I36" s="970"/>
      <c r="J36" s="970"/>
      <c r="K36" s="970"/>
      <c r="L36" s="970"/>
      <c r="M36" s="971"/>
      <c r="N36" s="971"/>
      <c r="O36" s="971"/>
      <c r="P36" s="971"/>
      <c r="Q36" s="971"/>
      <c r="R36" t="s">
        <v>9258</v>
      </c>
      <c r="U36" t="s">
        <v>9333</v>
      </c>
      <c r="V36" s="871">
        <v>46293</v>
      </c>
      <c r="W3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6" s="974">
        <f>IFERROR(tblConcentrado[[#This Row],[Concentrado (TMS)]]/tblConcentrado[[#This Row],[Mineral (TMS)]],"")</f>
        <v>0.69741935483870965</v>
      </c>
      <c r="Z36" s="973">
        <f>IFERROR(1/tblConcentrado[[#This Row],[% Recup.]],0)</f>
        <v>1.4338575393154487</v>
      </c>
      <c r="AA36" s="975" t="str">
        <f>IF(COUNTIFS(tblConcentrado[ID],tblConcentrado[[#This Row],[ID]])&gt;1,"Duplicado","")</f>
        <v/>
      </c>
    </row>
    <row r="37" spans="2:27">
      <c r="B37" s="976">
        <f>(YEAR(tblConcentrado[[#This Row],[Fecha]])*10000+MONTH(tblConcentrado[[#This Row],[Fecha]])*100+DAY(tblConcentrado[[#This Row],[Fecha]]))*100+tblConcentrado[[#This Row],[N° hora]]</f>
        <v>2026090209</v>
      </c>
      <c r="C37" s="871">
        <v>46267</v>
      </c>
      <c r="D37">
        <v>9</v>
      </c>
      <c r="E37" s="952">
        <v>0.70833333333333304</v>
      </c>
      <c r="F37" s="256">
        <v>1610</v>
      </c>
      <c r="G37" s="256">
        <v>1104</v>
      </c>
      <c r="H37" s="970">
        <v>0.18</v>
      </c>
      <c r="I37" s="970">
        <v>0.68899999999999995</v>
      </c>
      <c r="J37" s="970">
        <v>0.41</v>
      </c>
      <c r="K37" s="970">
        <v>0.7</v>
      </c>
      <c r="L37" s="970">
        <v>0.43</v>
      </c>
      <c r="M37" s="971">
        <v>26.1</v>
      </c>
      <c r="N37" s="971">
        <v>14.3</v>
      </c>
      <c r="O37" s="971">
        <v>2.1</v>
      </c>
      <c r="P37" s="971">
        <v>1.6</v>
      </c>
      <c r="Q37" s="971">
        <v>8.3000000000000007</v>
      </c>
      <c r="R37" t="s">
        <v>9258</v>
      </c>
      <c r="U37" t="s">
        <v>9333</v>
      </c>
      <c r="V37" s="871">
        <v>46293</v>
      </c>
      <c r="W3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19.020000000000003</v>
      </c>
      <c r="X3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1.8</v>
      </c>
      <c r="Y37" s="974">
        <f>IFERROR(tblConcentrado[[#This Row],[Concentrado (TMS)]]/tblConcentrado[[#This Row],[Mineral (TMS)]],"")</f>
        <v>0.68571428571428572</v>
      </c>
      <c r="Z37" s="973">
        <f>IFERROR(1/tblConcentrado[[#This Row],[% Recup.]],0)</f>
        <v>1.4583333333333333</v>
      </c>
      <c r="AA37" s="975" t="str">
        <f>IF(COUNTIFS(tblConcentrado[ID],tblConcentrado[[#This Row],[ID]])&gt;1,"Duplicado","")</f>
        <v/>
      </c>
    </row>
    <row r="38" spans="2:27">
      <c r="B38" s="976">
        <f>(YEAR(tblConcentrado[[#This Row],[Fecha]])*10000+MONTH(tblConcentrado[[#This Row],[Fecha]])*100+DAY(tblConcentrado[[#This Row],[Fecha]]))*100+tblConcentrado[[#This Row],[N° hora]]</f>
        <v>2026090210</v>
      </c>
      <c r="C38" s="871">
        <v>46267</v>
      </c>
      <c r="D38">
        <v>10</v>
      </c>
      <c r="E38" s="952">
        <v>0.75</v>
      </c>
      <c r="F38" s="256">
        <v>1605</v>
      </c>
      <c r="G38" s="256">
        <v>1055</v>
      </c>
      <c r="H38" s="970"/>
      <c r="I38" s="970"/>
      <c r="J38" s="970"/>
      <c r="K38" s="970"/>
      <c r="L38" s="970"/>
      <c r="M38" s="971"/>
      <c r="N38" s="971"/>
      <c r="O38" s="971"/>
      <c r="P38" s="971"/>
      <c r="Q38" s="971"/>
      <c r="R38" t="s">
        <v>9258</v>
      </c>
      <c r="U38" t="s">
        <v>9333</v>
      </c>
      <c r="V38" s="871">
        <v>46293</v>
      </c>
      <c r="W3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8" s="974">
        <f>IFERROR(tblConcentrado[[#This Row],[Concentrado (TMS)]]/tblConcentrado[[#This Row],[Mineral (TMS)]],"")</f>
        <v>0.65732087227414326</v>
      </c>
      <c r="Z38" s="973">
        <f>IFERROR(1/tblConcentrado[[#This Row],[% Recup.]],0)</f>
        <v>1.5213270142180095</v>
      </c>
      <c r="AA38" s="975" t="str">
        <f>IF(COUNTIFS(tblConcentrado[ID],tblConcentrado[[#This Row],[ID]])&gt;1,"Duplicado","")</f>
        <v/>
      </c>
    </row>
    <row r="39" spans="2:27">
      <c r="B39" s="976">
        <f>(YEAR(tblConcentrado[[#This Row],[Fecha]])*10000+MONTH(tblConcentrado[[#This Row],[Fecha]])*100+DAY(tblConcentrado[[#This Row],[Fecha]]))*100+tblConcentrado[[#This Row],[N° hora]]</f>
        <v>2026090211</v>
      </c>
      <c r="C39" s="871">
        <v>46267</v>
      </c>
      <c r="D39">
        <v>11</v>
      </c>
      <c r="E39" s="952">
        <v>0.79166666666666696</v>
      </c>
      <c r="F39" s="256">
        <v>1597</v>
      </c>
      <c r="G39" s="256">
        <v>1067</v>
      </c>
      <c r="H39" s="970">
        <v>0.2</v>
      </c>
      <c r="I39" s="970">
        <v>0.77300000000000002</v>
      </c>
      <c r="J39" s="970">
        <v>0.44</v>
      </c>
      <c r="K39" s="970">
        <v>0.60499999999999998</v>
      </c>
      <c r="L39" s="970">
        <v>0.4</v>
      </c>
      <c r="M39" s="971">
        <v>27.9</v>
      </c>
      <c r="N39" s="971">
        <v>18.100000000000001</v>
      </c>
      <c r="O39" s="971">
        <v>2.4</v>
      </c>
      <c r="P39" s="971">
        <v>2</v>
      </c>
      <c r="Q39" s="971">
        <v>8.6</v>
      </c>
      <c r="R39" t="s">
        <v>9258</v>
      </c>
      <c r="U39" t="s">
        <v>9333</v>
      </c>
      <c r="V39" s="871">
        <v>46293</v>
      </c>
      <c r="W3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22.020000000000003</v>
      </c>
      <c r="X3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2.16</v>
      </c>
      <c r="Y39" s="974">
        <f>IFERROR(tblConcentrado[[#This Row],[Concentrado (TMS)]]/tblConcentrado[[#This Row],[Mineral (TMS)]],"")</f>
        <v>0.66812773951158422</v>
      </c>
      <c r="Z39" s="973">
        <f>IFERROR(1/tblConcentrado[[#This Row],[% Recup.]],0)</f>
        <v>1.4967197750702905</v>
      </c>
      <c r="AA39" s="975" t="str">
        <f>IF(COUNTIFS(tblConcentrado[ID],tblConcentrado[[#This Row],[ID]])&gt;1,"Duplicado","")</f>
        <v/>
      </c>
    </row>
    <row r="40" spans="2:27">
      <c r="B40" s="976">
        <f>(YEAR(tblConcentrado[[#This Row],[Fecha]])*10000+MONTH(tblConcentrado[[#This Row],[Fecha]])*100+DAY(tblConcentrado[[#This Row],[Fecha]]))*100+tblConcentrado[[#This Row],[N° hora]]</f>
        <v>2026090212</v>
      </c>
      <c r="C40" s="871">
        <v>46267</v>
      </c>
      <c r="D40">
        <v>12</v>
      </c>
      <c r="E40" s="952">
        <v>0.83333333333333304</v>
      </c>
      <c r="F40" s="256">
        <v>1587</v>
      </c>
      <c r="G40" s="256">
        <v>977</v>
      </c>
      <c r="H40" s="970"/>
      <c r="I40" s="970"/>
      <c r="J40" s="970"/>
      <c r="K40" s="970"/>
      <c r="L40" s="970"/>
      <c r="M40" s="971"/>
      <c r="N40" s="971"/>
      <c r="O40" s="971"/>
      <c r="P40" s="971"/>
      <c r="Q40" s="971"/>
      <c r="R40" t="s">
        <v>9258</v>
      </c>
      <c r="U40" t="s">
        <v>9333</v>
      </c>
      <c r="V40" s="871">
        <v>46293</v>
      </c>
      <c r="W4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0" s="974">
        <f>IFERROR(tblConcentrado[[#This Row],[Concentrado (TMS)]]/tblConcentrado[[#This Row],[Mineral (TMS)]],"")</f>
        <v>0.61562696912413362</v>
      </c>
      <c r="Z40" s="973">
        <f>IFERROR(1/tblConcentrado[[#This Row],[% Recup.]],0)</f>
        <v>1.6243602865916069</v>
      </c>
      <c r="AA40" s="975" t="str">
        <f>IF(COUNTIFS(tblConcentrado[ID],tblConcentrado[[#This Row],[ID]])&gt;1,"Duplicado","")</f>
        <v/>
      </c>
    </row>
    <row r="41" spans="2:27">
      <c r="B41" s="976">
        <f>(YEAR(tblConcentrado[[#This Row],[Fecha]])*10000+MONTH(tblConcentrado[[#This Row],[Fecha]])*100+DAY(tblConcentrado[[#This Row],[Fecha]]))*100+tblConcentrado[[#This Row],[N° hora]]</f>
        <v>2026090213</v>
      </c>
      <c r="C41" s="871">
        <v>46267</v>
      </c>
      <c r="D41">
        <v>13</v>
      </c>
      <c r="E41" s="952">
        <v>0.875</v>
      </c>
      <c r="F41" s="256">
        <v>1590</v>
      </c>
      <c r="G41" s="256">
        <v>1067</v>
      </c>
      <c r="H41" s="970">
        <v>0.20100000000000001</v>
      </c>
      <c r="I41" s="970">
        <v>0.81200000000000006</v>
      </c>
      <c r="J41" s="970">
        <v>0.47</v>
      </c>
      <c r="K41" s="970">
        <v>0.60899999999999999</v>
      </c>
      <c r="L41" s="970">
        <v>0.43</v>
      </c>
      <c r="M41" s="971">
        <v>22.4</v>
      </c>
      <c r="N41" s="971">
        <v>15.1</v>
      </c>
      <c r="O41" s="971">
        <v>1.8</v>
      </c>
      <c r="P41" s="971">
        <v>2.1</v>
      </c>
      <c r="Q41" s="971">
        <v>8.1</v>
      </c>
      <c r="R41" t="s">
        <v>9258</v>
      </c>
      <c r="U41" t="s">
        <v>9333</v>
      </c>
      <c r="V41" s="871">
        <v>46293</v>
      </c>
      <c r="W4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18.019999999999996</v>
      </c>
      <c r="X4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1.98</v>
      </c>
      <c r="Y41" s="974">
        <f>IFERROR(tblConcentrado[[#This Row],[Concentrado (TMS)]]/tblConcentrado[[#This Row],[Mineral (TMS)]],"")</f>
        <v>0.67106918238993707</v>
      </c>
      <c r="Z41" s="973">
        <f>IFERROR(1/tblConcentrado[[#This Row],[% Recup.]],0)</f>
        <v>1.4901593252108716</v>
      </c>
      <c r="AA41" s="975" t="str">
        <f>IF(COUNTIFS(tblConcentrado[ID],tblConcentrado[[#This Row],[ID]])&gt;1,"Duplicado","")</f>
        <v/>
      </c>
    </row>
    <row r="42" spans="2:27">
      <c r="B42" s="976">
        <f>(YEAR(tblConcentrado[[#This Row],[Fecha]])*10000+MONTH(tblConcentrado[[#This Row],[Fecha]])*100+DAY(tblConcentrado[[#This Row],[Fecha]]))*100+tblConcentrado[[#This Row],[N° hora]]</f>
        <v>2026090214</v>
      </c>
      <c r="C42" s="871">
        <v>46267</v>
      </c>
      <c r="D42">
        <v>14</v>
      </c>
      <c r="E42" s="952">
        <v>0.91666666666666696</v>
      </c>
      <c r="F42" s="256">
        <v>1588</v>
      </c>
      <c r="G42" s="256">
        <v>1031</v>
      </c>
      <c r="H42" s="970"/>
      <c r="I42" s="970"/>
      <c r="J42" s="970"/>
      <c r="K42" s="970"/>
      <c r="L42" s="970"/>
      <c r="M42" s="971"/>
      <c r="N42" s="971"/>
      <c r="O42" s="971"/>
      <c r="P42" s="971"/>
      <c r="Q42" s="971"/>
      <c r="R42" t="s">
        <v>9258</v>
      </c>
      <c r="U42" t="s">
        <v>9333</v>
      </c>
      <c r="V42" s="871">
        <v>46293</v>
      </c>
      <c r="W4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2" s="974">
        <f>IFERROR(tblConcentrado[[#This Row],[Concentrado (TMS)]]/tblConcentrado[[#This Row],[Mineral (TMS)]],"")</f>
        <v>0.64924433249370272</v>
      </c>
      <c r="Z42" s="973">
        <f>IFERROR(1/tblConcentrado[[#This Row],[% Recup.]],0)</f>
        <v>1.5402521823472357</v>
      </c>
      <c r="AA42" s="975" t="str">
        <f>IF(COUNTIFS(tblConcentrado[ID],tblConcentrado[[#This Row],[ID]])&gt;1,"Duplicado","")</f>
        <v/>
      </c>
    </row>
    <row r="43" spans="2:27">
      <c r="B43" s="976">
        <f>(YEAR(tblConcentrado[[#This Row],[Fecha]])*10000+MONTH(tblConcentrado[[#This Row],[Fecha]])*100+DAY(tblConcentrado[[#This Row],[Fecha]]))*100+tblConcentrado[[#This Row],[N° hora]]</f>
        <v>2026090215</v>
      </c>
      <c r="C43" s="871">
        <v>46267</v>
      </c>
      <c r="D43">
        <v>15</v>
      </c>
      <c r="E43" s="952">
        <v>0.95833333333333304</v>
      </c>
      <c r="F43" s="256">
        <v>1596</v>
      </c>
      <c r="G43" s="256">
        <v>1100</v>
      </c>
      <c r="H43" s="970">
        <v>0.19800000000000001</v>
      </c>
      <c r="I43" s="970">
        <v>0.751</v>
      </c>
      <c r="J43" s="970">
        <v>0.41</v>
      </c>
      <c r="K43" s="970">
        <v>0.58299999999999996</v>
      </c>
      <c r="L43" s="970">
        <v>0.38</v>
      </c>
      <c r="M43" s="971">
        <v>24.7</v>
      </c>
      <c r="N43" s="971">
        <v>14.8</v>
      </c>
      <c r="O43" s="971">
        <v>2.8</v>
      </c>
      <c r="P43" s="971">
        <v>2</v>
      </c>
      <c r="Q43" s="971">
        <v>8.1</v>
      </c>
      <c r="R43" t="s">
        <v>9258</v>
      </c>
      <c r="U43" t="s">
        <v>9333</v>
      </c>
      <c r="V43" s="871">
        <v>46293</v>
      </c>
      <c r="W4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18.760000000000002</v>
      </c>
      <c r="X4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2.3199999999999998</v>
      </c>
      <c r="Y43" s="974">
        <f>IFERROR(tblConcentrado[[#This Row],[Concentrado (TMS)]]/tblConcentrado[[#This Row],[Mineral (TMS)]],"")</f>
        <v>0.68922305764411029</v>
      </c>
      <c r="Z43" s="973">
        <f>IFERROR(1/tblConcentrado[[#This Row],[% Recup.]],0)</f>
        <v>1.4509090909090909</v>
      </c>
      <c r="AA43" s="975" t="str">
        <f>IF(COUNTIFS(tblConcentrado[ID],tblConcentrado[[#This Row],[ID]])&gt;1,"Duplicado","")</f>
        <v/>
      </c>
    </row>
    <row r="44" spans="2:27">
      <c r="B44" s="976">
        <f>(YEAR(tblConcentrado[[#This Row],[Fecha]])*10000+MONTH(tblConcentrado[[#This Row],[Fecha]])*100+DAY(tblConcentrado[[#This Row],[Fecha]]))*100+tblConcentrado[[#This Row],[N° hora]]</f>
        <v>2026090216</v>
      </c>
      <c r="C44" s="871">
        <v>46267</v>
      </c>
      <c r="D44">
        <v>16</v>
      </c>
      <c r="E44" s="952">
        <v>0</v>
      </c>
      <c r="F44" s="256">
        <v>1544</v>
      </c>
      <c r="G44" s="256">
        <v>1101</v>
      </c>
      <c r="H44" s="970"/>
      <c r="I44" s="970"/>
      <c r="J44" s="970"/>
      <c r="K44" s="970"/>
      <c r="L44" s="970"/>
      <c r="M44" s="971"/>
      <c r="N44" s="971"/>
      <c r="O44" s="971"/>
      <c r="P44" s="971"/>
      <c r="Q44" s="971"/>
      <c r="R44" t="s">
        <v>9258</v>
      </c>
      <c r="T44" t="s">
        <v>9337</v>
      </c>
      <c r="U44" t="s">
        <v>9333</v>
      </c>
      <c r="V44" s="871">
        <v>46293</v>
      </c>
      <c r="W4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4" s="974">
        <f>IFERROR(tblConcentrado[[#This Row],[Concentrado (TMS)]]/tblConcentrado[[#This Row],[Mineral (TMS)]],"")</f>
        <v>0.71308290155440412</v>
      </c>
      <c r="Z44" s="973">
        <f>IFERROR(1/tblConcentrado[[#This Row],[% Recup.]],0)</f>
        <v>1.4023614895549501</v>
      </c>
      <c r="AA44" s="975" t="str">
        <f>IF(COUNTIFS(tblConcentrado[ID],tblConcentrado[[#This Row],[ID]])&gt;1,"Duplicado","")</f>
        <v/>
      </c>
    </row>
    <row r="45" spans="2:27">
      <c r="B45" s="976">
        <f>(YEAR(tblConcentrado[[#This Row],[Fecha]])*10000+MONTH(tblConcentrado[[#This Row],[Fecha]])*100+DAY(tblConcentrado[[#This Row],[Fecha]]))*100+tblConcentrado[[#This Row],[N° hora]]</f>
        <v>2026090217</v>
      </c>
      <c r="C45" s="871">
        <v>46267</v>
      </c>
      <c r="D45">
        <v>17</v>
      </c>
      <c r="E45" s="952">
        <v>4.1666666666666699E-2</v>
      </c>
      <c r="F45" s="256">
        <v>1580</v>
      </c>
      <c r="G45" s="256">
        <v>997</v>
      </c>
      <c r="H45" s="970">
        <v>0.20599999999999999</v>
      </c>
      <c r="I45" s="970">
        <v>0.70899999999999996</v>
      </c>
      <c r="J45" s="970">
        <v>0.38</v>
      </c>
      <c r="K45" s="970">
        <v>0.64400000000000002</v>
      </c>
      <c r="L45" s="970">
        <v>0.4</v>
      </c>
      <c r="M45" s="971">
        <v>23.4</v>
      </c>
      <c r="N45" s="971">
        <v>20.8</v>
      </c>
      <c r="O45" s="971">
        <v>2.8</v>
      </c>
      <c r="P45" s="971">
        <v>4.3</v>
      </c>
      <c r="Q45" s="971">
        <v>8.1</v>
      </c>
      <c r="R45" t="s">
        <v>9258</v>
      </c>
      <c r="U45" t="s">
        <v>9333</v>
      </c>
      <c r="V45" s="871">
        <v>46293</v>
      </c>
      <c r="W4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21.84</v>
      </c>
      <c r="X4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3.6999999999999993</v>
      </c>
      <c r="Y45" s="974">
        <f>IFERROR(tblConcentrado[[#This Row],[Concentrado (TMS)]]/tblConcentrado[[#This Row],[Mineral (TMS)]],"")</f>
        <v>0.63101265822784813</v>
      </c>
      <c r="Z45" s="973">
        <f>IFERROR(1/tblConcentrado[[#This Row],[% Recup.]],0)</f>
        <v>1.5847542627883651</v>
      </c>
      <c r="AA45" s="975" t="str">
        <f>IF(COUNTIFS(tblConcentrado[ID],tblConcentrado[[#This Row],[ID]])&gt;1,"Duplicado","")</f>
        <v/>
      </c>
    </row>
    <row r="46" spans="2:27">
      <c r="B46" s="976">
        <f>(YEAR(tblConcentrado[[#This Row],[Fecha]])*10000+MONTH(tblConcentrado[[#This Row],[Fecha]])*100+DAY(tblConcentrado[[#This Row],[Fecha]]))*100+tblConcentrado[[#This Row],[N° hora]]</f>
        <v>2026090218</v>
      </c>
      <c r="C46" s="871">
        <v>46267</v>
      </c>
      <c r="D46">
        <v>18</v>
      </c>
      <c r="E46" s="952">
        <v>8.3333333333333301E-2</v>
      </c>
      <c r="F46" s="256">
        <v>1586</v>
      </c>
      <c r="G46" s="256">
        <v>957</v>
      </c>
      <c r="H46" s="970"/>
      <c r="I46" s="970"/>
      <c r="J46" s="970"/>
      <c r="K46" s="970"/>
      <c r="L46" s="970"/>
      <c r="M46" s="971"/>
      <c r="N46" s="971"/>
      <c r="O46" s="971"/>
      <c r="P46" s="971"/>
      <c r="Q46" s="971"/>
      <c r="R46" t="s">
        <v>9258</v>
      </c>
      <c r="U46" t="s">
        <v>9333</v>
      </c>
      <c r="V46" s="871">
        <v>46293</v>
      </c>
      <c r="W4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6" s="974">
        <f>IFERROR(tblConcentrado[[#This Row],[Concentrado (TMS)]]/tblConcentrado[[#This Row],[Mineral (TMS)]],"")</f>
        <v>0.60340479192938212</v>
      </c>
      <c r="Z46" s="973">
        <f>IFERROR(1/tblConcentrado[[#This Row],[% Recup.]],0)</f>
        <v>1.657262277951933</v>
      </c>
      <c r="AA46" s="975" t="str">
        <f>IF(COUNTIFS(tblConcentrado[ID],tblConcentrado[[#This Row],[ID]])&gt;1,"Duplicado","")</f>
        <v/>
      </c>
    </row>
    <row r="47" spans="2:27">
      <c r="B47" s="976">
        <f>(YEAR(tblConcentrado[[#This Row],[Fecha]])*10000+MONTH(tblConcentrado[[#This Row],[Fecha]])*100+DAY(tblConcentrado[[#This Row],[Fecha]]))*100+tblConcentrado[[#This Row],[N° hora]]</f>
        <v>2026090219</v>
      </c>
      <c r="C47" s="871">
        <v>46267</v>
      </c>
      <c r="D47">
        <v>19</v>
      </c>
      <c r="E47" s="952">
        <v>0.125</v>
      </c>
      <c r="F47" s="256">
        <v>1582</v>
      </c>
      <c r="G47" s="256">
        <v>1053</v>
      </c>
      <c r="H47" s="970">
        <v>0.21</v>
      </c>
      <c r="I47" s="970">
        <v>0.65</v>
      </c>
      <c r="J47" s="970">
        <v>0.34</v>
      </c>
      <c r="K47" s="970">
        <v>0.76100000000000001</v>
      </c>
      <c r="L47" s="970">
        <v>0.43</v>
      </c>
      <c r="M47" s="971">
        <v>22.5</v>
      </c>
      <c r="N47" s="971">
        <v>15.2</v>
      </c>
      <c r="O47" s="971">
        <v>2.2000000000000002</v>
      </c>
      <c r="P47" s="971">
        <v>2.2999999999999998</v>
      </c>
      <c r="Q47" s="971">
        <v>8</v>
      </c>
      <c r="R47" t="s">
        <v>9258</v>
      </c>
      <c r="U47" t="s">
        <v>9333</v>
      </c>
      <c r="V47" s="871">
        <v>46293</v>
      </c>
      <c r="W4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18.119999999999997</v>
      </c>
      <c r="X4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2.2599999999999998</v>
      </c>
      <c r="Y47" s="974">
        <f>IFERROR(tblConcentrado[[#This Row],[Concentrado (TMS)]]/tblConcentrado[[#This Row],[Mineral (TMS)]],"")</f>
        <v>0.66561314791403292</v>
      </c>
      <c r="Z47" s="973">
        <f>IFERROR(1/tblConcentrado[[#This Row],[% Recup.]],0)</f>
        <v>1.5023741690408356</v>
      </c>
      <c r="AA47" s="975" t="str">
        <f>IF(COUNTIFS(tblConcentrado[ID],tblConcentrado[[#This Row],[ID]])&gt;1,"Duplicado","")</f>
        <v/>
      </c>
    </row>
    <row r="48" spans="2:27">
      <c r="B48" s="976">
        <f>(YEAR(tblConcentrado[[#This Row],[Fecha]])*10000+MONTH(tblConcentrado[[#This Row],[Fecha]])*100+DAY(tblConcentrado[[#This Row],[Fecha]]))*100+tblConcentrado[[#This Row],[N° hora]]</f>
        <v>2026090220</v>
      </c>
      <c r="C48" s="871">
        <v>46267</v>
      </c>
      <c r="D48">
        <v>20</v>
      </c>
      <c r="E48" s="952">
        <v>0.16666666666666699</v>
      </c>
      <c r="F48" s="256">
        <v>1599</v>
      </c>
      <c r="G48" s="256">
        <v>1039</v>
      </c>
      <c r="H48" s="970"/>
      <c r="I48" s="970"/>
      <c r="J48" s="970"/>
      <c r="K48" s="970"/>
      <c r="L48" s="970"/>
      <c r="M48" s="971"/>
      <c r="N48" s="971"/>
      <c r="O48" s="971"/>
      <c r="P48" s="971"/>
      <c r="Q48" s="971"/>
      <c r="R48" t="s">
        <v>9258</v>
      </c>
      <c r="U48" t="s">
        <v>9333</v>
      </c>
      <c r="V48" s="871">
        <v>46293</v>
      </c>
      <c r="W4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8" s="974">
        <f>IFERROR(tblConcentrado[[#This Row],[Concentrado (TMS)]]/tblConcentrado[[#This Row],[Mineral (TMS)]],"")</f>
        <v>0.64978111319574738</v>
      </c>
      <c r="Z48" s="973">
        <f>IFERROR(1/tblConcentrado[[#This Row],[% Recup.]],0)</f>
        <v>1.5389797882579401</v>
      </c>
      <c r="AA48" s="975" t="str">
        <f>IF(COUNTIFS(tblConcentrado[ID],tblConcentrado[[#This Row],[ID]])&gt;1,"Duplicado","")</f>
        <v/>
      </c>
    </row>
    <row r="49" spans="2:27">
      <c r="B49" s="976">
        <f>(YEAR(tblConcentrado[[#This Row],[Fecha]])*10000+MONTH(tblConcentrado[[#This Row],[Fecha]])*100+DAY(tblConcentrado[[#This Row],[Fecha]]))*100+tblConcentrado[[#This Row],[N° hora]]</f>
        <v>2026090221</v>
      </c>
      <c r="C49" s="871">
        <v>46267</v>
      </c>
      <c r="D49">
        <v>21</v>
      </c>
      <c r="E49" s="952">
        <v>0.20833333333333301</v>
      </c>
      <c r="F49" s="256">
        <v>1589</v>
      </c>
      <c r="G49" s="256">
        <v>1091</v>
      </c>
      <c r="H49" s="970">
        <v>0.188</v>
      </c>
      <c r="I49" s="970">
        <v>0.747</v>
      </c>
      <c r="J49" s="970">
        <v>0.4</v>
      </c>
      <c r="K49" s="970">
        <v>0.53200000000000003</v>
      </c>
      <c r="L49" s="970">
        <v>0.33</v>
      </c>
      <c r="M49" s="971">
        <v>25.3</v>
      </c>
      <c r="N49" s="971">
        <v>18.399999999999999</v>
      </c>
      <c r="O49" s="971">
        <v>3</v>
      </c>
      <c r="P49" s="971">
        <v>2.2999999999999998</v>
      </c>
      <c r="Q49" s="971">
        <v>8.1</v>
      </c>
      <c r="R49" t="s">
        <v>9258</v>
      </c>
      <c r="U49" t="s">
        <v>9333</v>
      </c>
      <c r="V49" s="871">
        <v>46293</v>
      </c>
      <c r="W4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21.16</v>
      </c>
      <c r="X4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2.58</v>
      </c>
      <c r="Y49" s="974">
        <f>IFERROR(tblConcentrado[[#This Row],[Concentrado (TMS)]]/tblConcentrado[[#This Row],[Mineral (TMS)]],"")</f>
        <v>0.68659534298300817</v>
      </c>
      <c r="Z49" s="973">
        <f>IFERROR(1/tblConcentrado[[#This Row],[% Recup.]],0)</f>
        <v>1.4564619615032082</v>
      </c>
      <c r="AA49" s="975" t="str">
        <f>IF(COUNTIFS(tblConcentrado[ID],tblConcentrado[[#This Row],[ID]])&gt;1,"Duplicado","")</f>
        <v/>
      </c>
    </row>
    <row r="50" spans="2:27">
      <c r="B50" s="976">
        <f>(YEAR(tblConcentrado[[#This Row],[Fecha]])*10000+MONTH(tblConcentrado[[#This Row],[Fecha]])*100+DAY(tblConcentrado[[#This Row],[Fecha]]))*100+tblConcentrado[[#This Row],[N° hora]]</f>
        <v>2026090222</v>
      </c>
      <c r="C50" s="871">
        <v>46267</v>
      </c>
      <c r="D50">
        <v>22</v>
      </c>
      <c r="E50" s="952">
        <v>0.25</v>
      </c>
      <c r="F50" s="256">
        <v>1600</v>
      </c>
      <c r="G50" s="256">
        <v>925</v>
      </c>
      <c r="H50" s="970"/>
      <c r="I50" s="970"/>
      <c r="J50" s="970"/>
      <c r="K50" s="970"/>
      <c r="L50" s="970"/>
      <c r="M50" s="971"/>
      <c r="N50" s="971"/>
      <c r="O50" s="971"/>
      <c r="P50" s="971"/>
      <c r="Q50" s="971"/>
      <c r="R50" t="s">
        <v>9258</v>
      </c>
      <c r="U50" t="s">
        <v>9333</v>
      </c>
      <c r="V50" s="871">
        <v>46293</v>
      </c>
      <c r="W5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0" s="974">
        <f>IFERROR(tblConcentrado[[#This Row],[Concentrado (TMS)]]/tblConcentrado[[#This Row],[Mineral (TMS)]],"")</f>
        <v>0.578125</v>
      </c>
      <c r="Z50" s="973">
        <f>IFERROR(1/tblConcentrado[[#This Row],[% Recup.]],0)</f>
        <v>1.7297297297297298</v>
      </c>
      <c r="AA50" s="975" t="str">
        <f>IF(COUNTIFS(tblConcentrado[ID],tblConcentrado[[#This Row],[ID]])&gt;1,"Duplicado","")</f>
        <v/>
      </c>
    </row>
    <row r="51" spans="2:27">
      <c r="B51" s="976">
        <f>(YEAR(tblConcentrado[[#This Row],[Fecha]])*10000+MONTH(tblConcentrado[[#This Row],[Fecha]])*100+DAY(tblConcentrado[[#This Row],[Fecha]]))*100+tblConcentrado[[#This Row],[N° hora]]</f>
        <v>2026090223</v>
      </c>
      <c r="C51" s="871">
        <v>46267</v>
      </c>
      <c r="D51">
        <v>23</v>
      </c>
      <c r="E51" s="952">
        <v>0.29166666666666702</v>
      </c>
      <c r="F51" s="256">
        <v>1605</v>
      </c>
      <c r="G51" s="256">
        <v>1041</v>
      </c>
      <c r="H51" s="970">
        <v>0.17399999999999999</v>
      </c>
      <c r="I51" s="970">
        <v>0.99299999999999999</v>
      </c>
      <c r="J51" s="970">
        <v>0.57999999999999996</v>
      </c>
      <c r="K51" s="970">
        <v>0.77400000000000002</v>
      </c>
      <c r="L51" s="970">
        <v>0.44</v>
      </c>
      <c r="M51" s="971">
        <v>24.5</v>
      </c>
      <c r="N51" s="971">
        <v>15.7</v>
      </c>
      <c r="O51" s="971">
        <v>3</v>
      </c>
      <c r="P51" s="971">
        <v>2.4</v>
      </c>
      <c r="Q51" s="971">
        <v>8</v>
      </c>
      <c r="R51" t="s">
        <v>9258</v>
      </c>
      <c r="U51" t="s">
        <v>9333</v>
      </c>
      <c r="V51" s="871">
        <v>46293</v>
      </c>
      <c r="W5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19.22</v>
      </c>
      <c r="X5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2.64</v>
      </c>
      <c r="Y51" s="974">
        <f>IFERROR(tblConcentrado[[#This Row],[Concentrado (TMS)]]/tblConcentrado[[#This Row],[Mineral (TMS)]],"")</f>
        <v>0.6485981308411215</v>
      </c>
      <c r="Z51" s="973">
        <f>IFERROR(1/tblConcentrado[[#This Row],[% Recup.]],0)</f>
        <v>1.5417867435158501</v>
      </c>
      <c r="AA51" s="975" t="str">
        <f>IF(COUNTIFS(tblConcentrado[ID],tblConcentrado[[#This Row],[ID]])&gt;1,"Duplicado","")</f>
        <v/>
      </c>
    </row>
    <row r="52" spans="2:27">
      <c r="B52" s="976">
        <f>(YEAR(tblConcentrado[[#This Row],[Fecha]])*10000+MONTH(tblConcentrado[[#This Row],[Fecha]])*100+DAY(tblConcentrado[[#This Row],[Fecha]]))*100+tblConcentrado[[#This Row],[N° hora]]</f>
        <v>2026090224</v>
      </c>
      <c r="C52" s="871">
        <v>46267</v>
      </c>
      <c r="D52">
        <v>24</v>
      </c>
      <c r="E52" s="952">
        <v>0.33333333333333298</v>
      </c>
      <c r="F52" s="256">
        <v>1395</v>
      </c>
      <c r="G52" s="256">
        <v>730</v>
      </c>
      <c r="H52" s="970"/>
      <c r="I52" s="970"/>
      <c r="J52" s="970"/>
      <c r="K52" s="970"/>
      <c r="L52" s="970"/>
      <c r="M52" s="971"/>
      <c r="N52" s="971"/>
      <c r="O52" s="971"/>
      <c r="P52" s="971"/>
      <c r="Q52" s="971"/>
      <c r="R52" t="s">
        <v>9258</v>
      </c>
      <c r="U52" t="s">
        <v>9333</v>
      </c>
      <c r="V52" s="871">
        <v>46293</v>
      </c>
      <c r="W5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2" s="974">
        <f>IFERROR(tblConcentrado[[#This Row],[Concentrado (TMS)]]/tblConcentrado[[#This Row],[Mineral (TMS)]],"")</f>
        <v>0.52329749103942658</v>
      </c>
      <c r="Z52" s="973">
        <f>IFERROR(1/tblConcentrado[[#This Row],[% Recup.]],0)</f>
        <v>1.9109589041095889</v>
      </c>
      <c r="AA52" s="975" t="str">
        <f>IF(COUNTIFS(tblConcentrado[ID],tblConcentrado[[#This Row],[ID]])&gt;1,"Duplicado","")</f>
        <v/>
      </c>
    </row>
    <row r="53" spans="2:27">
      <c r="B53" s="976">
        <f>(YEAR(tblConcentrado[[#This Row],[Fecha]])*10000+MONTH(tblConcentrado[[#This Row],[Fecha]])*100+DAY(tblConcentrado[[#This Row],[Fecha]]))*100+tblConcentrado[[#This Row],[N° hora]]</f>
        <v>2026090301</v>
      </c>
      <c r="C53" s="871">
        <v>46268</v>
      </c>
      <c r="D53">
        <v>1</v>
      </c>
      <c r="E53" s="952">
        <v>0.375</v>
      </c>
      <c r="F53" s="256">
        <v>1399</v>
      </c>
      <c r="G53" s="256">
        <v>911</v>
      </c>
      <c r="H53" s="970">
        <v>0.17799999999999999</v>
      </c>
      <c r="I53" s="970">
        <v>0.70599999999999996</v>
      </c>
      <c r="J53" s="970">
        <v>0.41</v>
      </c>
      <c r="K53" s="970">
        <v>0.61499999999999999</v>
      </c>
      <c r="L53" s="970">
        <v>0.39</v>
      </c>
      <c r="M53" s="971">
        <v>28.8</v>
      </c>
      <c r="N53" s="971">
        <v>13</v>
      </c>
      <c r="O53" s="971">
        <v>2.6</v>
      </c>
      <c r="P53" s="971">
        <v>1.3</v>
      </c>
      <c r="Q53" s="971">
        <v>8.3000000000000007</v>
      </c>
      <c r="R53" t="s">
        <v>9258</v>
      </c>
      <c r="T53" t="s">
        <v>100</v>
      </c>
      <c r="U53" t="s">
        <v>9333</v>
      </c>
      <c r="V53" s="871">
        <v>46293</v>
      </c>
      <c r="W5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19.32</v>
      </c>
      <c r="X5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1.82</v>
      </c>
      <c r="Y53" s="974">
        <f>IFERROR(tblConcentrado[[#This Row],[Concentrado (TMS)]]/tblConcentrado[[#This Row],[Mineral (TMS)]],"")</f>
        <v>0.65117941386704792</v>
      </c>
      <c r="Z53" s="973">
        <f>IFERROR(1/tblConcentrado[[#This Row],[% Recup.]],0)</f>
        <v>1.535675082327113</v>
      </c>
      <c r="AA53" s="975" t="str">
        <f>IF(COUNTIFS(tblConcentrado[ID],tblConcentrado[[#This Row],[ID]])&gt;1,"Duplicado","")</f>
        <v/>
      </c>
    </row>
    <row r="54" spans="2:27">
      <c r="B54" s="976">
        <f>(YEAR(tblConcentrado[[#This Row],[Fecha]])*10000+MONTH(tblConcentrado[[#This Row],[Fecha]])*100+DAY(tblConcentrado[[#This Row],[Fecha]]))*100+tblConcentrado[[#This Row],[N° hora]]</f>
        <v>2026090302</v>
      </c>
      <c r="C54" s="871">
        <v>46268</v>
      </c>
      <c r="D54">
        <v>2</v>
      </c>
      <c r="E54" s="952">
        <v>0.41666666666666702</v>
      </c>
      <c r="F54" s="256">
        <v>1324</v>
      </c>
      <c r="G54" s="256">
        <v>802</v>
      </c>
      <c r="H54" s="970"/>
      <c r="I54" s="970"/>
      <c r="J54" s="970"/>
      <c r="K54" s="970"/>
      <c r="L54" s="970"/>
      <c r="M54" s="971"/>
      <c r="N54" s="971"/>
      <c r="O54" s="971"/>
      <c r="P54" s="971"/>
      <c r="Q54" s="971"/>
      <c r="R54" t="s">
        <v>9258</v>
      </c>
      <c r="U54" t="s">
        <v>9333</v>
      </c>
      <c r="V54" s="871">
        <v>46293</v>
      </c>
      <c r="W5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4" s="974">
        <f>IFERROR(tblConcentrado[[#This Row],[Concentrado (TMS)]]/tblConcentrado[[#This Row],[Mineral (TMS)]],"")</f>
        <v>0.60574018126888218</v>
      </c>
      <c r="Z54" s="973">
        <f>IFERROR(1/tblConcentrado[[#This Row],[% Recup.]],0)</f>
        <v>1.6508728179551122</v>
      </c>
      <c r="AA54" s="975" t="str">
        <f>IF(COUNTIFS(tblConcentrado[ID],tblConcentrado[[#This Row],[ID]])&gt;1,"Duplicado","")</f>
        <v/>
      </c>
    </row>
    <row r="55" spans="2:27">
      <c r="B55" s="976">
        <f>(YEAR(tblConcentrado[[#This Row],[Fecha]])*10000+MONTH(tblConcentrado[[#This Row],[Fecha]])*100+DAY(tblConcentrado[[#This Row],[Fecha]]))*100+tblConcentrado[[#This Row],[N° hora]]</f>
        <v>2026090303</v>
      </c>
      <c r="C55" s="871">
        <v>46268</v>
      </c>
      <c r="D55">
        <v>3</v>
      </c>
      <c r="E55" s="952">
        <v>0.45833333333333298</v>
      </c>
      <c r="F55" s="256">
        <v>1374</v>
      </c>
      <c r="G55" s="256">
        <v>899</v>
      </c>
      <c r="H55" s="970">
        <v>0.17100000000000001</v>
      </c>
      <c r="I55" s="970">
        <v>0.70599999999999996</v>
      </c>
      <c r="J55" s="970">
        <v>0.41</v>
      </c>
      <c r="K55" s="970">
        <v>0.73</v>
      </c>
      <c r="L55" s="970">
        <v>0.44</v>
      </c>
      <c r="M55" s="971">
        <v>23.9</v>
      </c>
      <c r="N55" s="971">
        <v>16.399999999999999</v>
      </c>
      <c r="O55" s="971">
        <v>2.5</v>
      </c>
      <c r="P55" s="971">
        <v>1</v>
      </c>
      <c r="Q55" s="971">
        <v>8.1</v>
      </c>
      <c r="R55" t="s">
        <v>9258</v>
      </c>
      <c r="U55" t="s">
        <v>9333</v>
      </c>
      <c r="V55" s="871">
        <v>46293</v>
      </c>
      <c r="W5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19.399999999999999</v>
      </c>
      <c r="X5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1.6</v>
      </c>
      <c r="Y55" s="974">
        <f>IFERROR(tblConcentrado[[#This Row],[Concentrado (TMS)]]/tblConcentrado[[#This Row],[Mineral (TMS)]],"")</f>
        <v>0.65429403202328962</v>
      </c>
      <c r="Z55" s="973">
        <f>IFERROR(1/tblConcentrado[[#This Row],[% Recup.]],0)</f>
        <v>1.5283648498331481</v>
      </c>
      <c r="AA55" s="975" t="str">
        <f>IF(COUNTIFS(tblConcentrado[ID],tblConcentrado[[#This Row],[ID]])&gt;1,"Duplicado","")</f>
        <v/>
      </c>
    </row>
    <row r="56" spans="2:27">
      <c r="B56" s="976">
        <f>(YEAR(tblConcentrado[[#This Row],[Fecha]])*10000+MONTH(tblConcentrado[[#This Row],[Fecha]])*100+DAY(tblConcentrado[[#This Row],[Fecha]]))*100+tblConcentrado[[#This Row],[N° hora]]</f>
        <v>2026090304</v>
      </c>
      <c r="C56" s="871">
        <v>46268</v>
      </c>
      <c r="D56">
        <v>4</v>
      </c>
      <c r="E56" s="952">
        <v>0.5</v>
      </c>
      <c r="F56" s="256">
        <v>1364</v>
      </c>
      <c r="G56" s="256">
        <v>941</v>
      </c>
      <c r="H56" s="970"/>
      <c r="I56" s="970"/>
      <c r="J56" s="970"/>
      <c r="K56" s="970"/>
      <c r="L56" s="970"/>
      <c r="M56" s="971"/>
      <c r="N56" s="971"/>
      <c r="O56" s="971"/>
      <c r="P56" s="971"/>
      <c r="Q56" s="971"/>
      <c r="R56" t="s">
        <v>9258</v>
      </c>
      <c r="U56" t="s">
        <v>9333</v>
      </c>
      <c r="V56" s="871">
        <v>46293</v>
      </c>
      <c r="W5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6" s="974">
        <f>IFERROR(tblConcentrado[[#This Row],[Concentrado (TMS)]]/tblConcentrado[[#This Row],[Mineral (TMS)]],"")</f>
        <v>0.68988269794721413</v>
      </c>
      <c r="Z56" s="973">
        <f>IFERROR(1/tblConcentrado[[#This Row],[% Recup.]],0)</f>
        <v>1.4495217853347502</v>
      </c>
      <c r="AA56" s="975" t="str">
        <f>IF(COUNTIFS(tblConcentrado[ID],tblConcentrado[[#This Row],[ID]])&gt;1,"Duplicado","")</f>
        <v/>
      </c>
    </row>
    <row r="57" spans="2:27">
      <c r="B57" s="976">
        <f>(YEAR(tblConcentrado[[#This Row],[Fecha]])*10000+MONTH(tblConcentrado[[#This Row],[Fecha]])*100+DAY(tblConcentrado[[#This Row],[Fecha]]))*100+tblConcentrado[[#This Row],[N° hora]]</f>
        <v>2026090305</v>
      </c>
      <c r="C57" s="871">
        <v>46268</v>
      </c>
      <c r="D57">
        <v>5</v>
      </c>
      <c r="E57" s="952">
        <v>0.54166666666666696</v>
      </c>
      <c r="F57" s="256">
        <v>1356</v>
      </c>
      <c r="G57" s="256">
        <v>918</v>
      </c>
      <c r="H57" s="970">
        <v>0.16400000000000001</v>
      </c>
      <c r="I57" s="970">
        <v>0.65600000000000003</v>
      </c>
      <c r="J57" s="970">
        <v>0.4</v>
      </c>
      <c r="K57" s="970">
        <v>0.7</v>
      </c>
      <c r="L57" s="970">
        <v>0.43</v>
      </c>
      <c r="M57" s="971">
        <v>26.3</v>
      </c>
      <c r="N57" s="971">
        <v>16.5</v>
      </c>
      <c r="O57" s="971">
        <v>2.6</v>
      </c>
      <c r="P57" s="971">
        <v>2.2999999999999998</v>
      </c>
      <c r="Q57" s="971">
        <v>8.1</v>
      </c>
      <c r="R57" t="s">
        <v>9258</v>
      </c>
      <c r="U57" t="s">
        <v>9333</v>
      </c>
      <c r="V57" s="871">
        <v>46293</v>
      </c>
      <c r="W5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20.420000000000002</v>
      </c>
      <c r="X5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2.42</v>
      </c>
      <c r="Y57" s="974">
        <f>IFERROR(tblConcentrado[[#This Row],[Concentrado (TMS)]]/tblConcentrado[[#This Row],[Mineral (TMS)]],"")</f>
        <v>0.67699115044247793</v>
      </c>
      <c r="Z57" s="973">
        <f>IFERROR(1/tblConcentrado[[#This Row],[% Recup.]],0)</f>
        <v>1.4771241830065358</v>
      </c>
      <c r="AA57" s="975" t="str">
        <f>IF(COUNTIFS(tblConcentrado[ID],tblConcentrado[[#This Row],[ID]])&gt;1,"Duplicado","")</f>
        <v/>
      </c>
    </row>
    <row r="58" spans="2:27">
      <c r="B58" s="976">
        <f>(YEAR(tblConcentrado[[#This Row],[Fecha]])*10000+MONTH(tblConcentrado[[#This Row],[Fecha]])*100+DAY(tblConcentrado[[#This Row],[Fecha]]))*100+tblConcentrado[[#This Row],[N° hora]]</f>
        <v>2026090306</v>
      </c>
      <c r="C58" s="871">
        <v>46268</v>
      </c>
      <c r="D58">
        <v>6</v>
      </c>
      <c r="E58" s="952">
        <v>0.58333333333333304</v>
      </c>
      <c r="F58" s="256">
        <v>1381</v>
      </c>
      <c r="G58" s="256">
        <v>949</v>
      </c>
      <c r="H58" s="970"/>
      <c r="I58" s="970"/>
      <c r="J58" s="970"/>
      <c r="K58" s="970"/>
      <c r="L58" s="970"/>
      <c r="M58" s="971"/>
      <c r="N58" s="971"/>
      <c r="O58" s="971"/>
      <c r="P58" s="971"/>
      <c r="Q58" s="971"/>
      <c r="R58" t="s">
        <v>9258</v>
      </c>
      <c r="U58" t="s">
        <v>9333</v>
      </c>
      <c r="V58" s="871">
        <v>46293</v>
      </c>
      <c r="W5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8" s="974">
        <f>IFERROR(tblConcentrado[[#This Row],[Concentrado (TMS)]]/tblConcentrado[[#This Row],[Mineral (TMS)]],"")</f>
        <v>0.68718320057929039</v>
      </c>
      <c r="Z58" s="973">
        <f>IFERROR(1/tblConcentrado[[#This Row],[% Recup.]],0)</f>
        <v>1.4552160168598525</v>
      </c>
      <c r="AA58" s="975" t="str">
        <f>IF(COUNTIFS(tblConcentrado[ID],tblConcentrado[[#This Row],[ID]])&gt;1,"Duplicado","")</f>
        <v/>
      </c>
    </row>
    <row r="59" spans="2:27">
      <c r="B59" s="976">
        <f>(YEAR(tblConcentrado[[#This Row],[Fecha]])*10000+MONTH(tblConcentrado[[#This Row],[Fecha]])*100+DAY(tblConcentrado[[#This Row],[Fecha]]))*100+tblConcentrado[[#This Row],[N° hora]]</f>
        <v>2026090307</v>
      </c>
      <c r="C59" s="871">
        <v>46268</v>
      </c>
      <c r="D59">
        <v>7</v>
      </c>
      <c r="E59" s="952">
        <v>0.625</v>
      </c>
      <c r="F59" s="256">
        <v>1378</v>
      </c>
      <c r="G59" s="256">
        <v>981</v>
      </c>
      <c r="H59" s="970">
        <v>0.16600000000000001</v>
      </c>
      <c r="I59" s="970">
        <v>0.80400000000000005</v>
      </c>
      <c r="J59" s="970">
        <v>0.47</v>
      </c>
      <c r="K59" s="970">
        <v>0.68300000000000005</v>
      </c>
      <c r="L59" s="970">
        <v>0.41</v>
      </c>
      <c r="M59" s="971">
        <v>24.1</v>
      </c>
      <c r="N59" s="971">
        <v>14.2</v>
      </c>
      <c r="O59" s="971">
        <v>5.6</v>
      </c>
      <c r="P59" s="971">
        <v>2.2000000000000002</v>
      </c>
      <c r="Q59" s="971">
        <v>8.1</v>
      </c>
      <c r="R59" t="s">
        <v>9258</v>
      </c>
      <c r="U59" t="s">
        <v>9333</v>
      </c>
      <c r="V59" s="871">
        <v>46293</v>
      </c>
      <c r="W5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18.16</v>
      </c>
      <c r="X5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3.5599999999999996</v>
      </c>
      <c r="Y59" s="974">
        <f>IFERROR(tblConcentrado[[#This Row],[Concentrado (TMS)]]/tblConcentrado[[#This Row],[Mineral (TMS)]],"")</f>
        <v>0.71190130624092884</v>
      </c>
      <c r="Z59" s="973">
        <f>IFERROR(1/tblConcentrado[[#This Row],[% Recup.]],0)</f>
        <v>1.4046890927624873</v>
      </c>
      <c r="AA59" s="975" t="str">
        <f>IF(COUNTIFS(tblConcentrado[ID],tblConcentrado[[#This Row],[ID]])&gt;1,"Duplicado","")</f>
        <v/>
      </c>
    </row>
    <row r="60" spans="2:27">
      <c r="B60" s="976">
        <f>(YEAR(tblConcentrado[[#This Row],[Fecha]])*10000+MONTH(tblConcentrado[[#This Row],[Fecha]])*100+DAY(tblConcentrado[[#This Row],[Fecha]]))*100+tblConcentrado[[#This Row],[N° hora]]</f>
        <v>2026090308</v>
      </c>
      <c r="C60" s="871">
        <v>46268</v>
      </c>
      <c r="D60">
        <v>8</v>
      </c>
      <c r="E60" s="952">
        <v>0.66666666666666696</v>
      </c>
      <c r="F60" s="256">
        <v>1361</v>
      </c>
      <c r="G60" s="256">
        <v>1194</v>
      </c>
      <c r="H60" s="970"/>
      <c r="I60" s="970"/>
      <c r="J60" s="970"/>
      <c r="K60" s="970"/>
      <c r="L60" s="970"/>
      <c r="M60" s="971"/>
      <c r="N60" s="971"/>
      <c r="O60" s="971"/>
      <c r="P60" s="971"/>
      <c r="Q60" s="971"/>
      <c r="R60" t="s">
        <v>9258</v>
      </c>
      <c r="U60" t="s">
        <v>9333</v>
      </c>
      <c r="V60" s="871">
        <v>46293</v>
      </c>
      <c r="W6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0" s="974">
        <f>IFERROR(tblConcentrado[[#This Row],[Concentrado (TMS)]]/tblConcentrado[[#This Row],[Mineral (TMS)]],"")</f>
        <v>0.87729610580455553</v>
      </c>
      <c r="Z60" s="973">
        <f>IFERROR(1/tblConcentrado[[#This Row],[% Recup.]],0)</f>
        <v>1.1398659966499163</v>
      </c>
      <c r="AA60" s="975" t="str">
        <f>IF(COUNTIFS(tblConcentrado[ID],tblConcentrado[[#This Row],[ID]])&gt;1,"Duplicado","")</f>
        <v/>
      </c>
    </row>
    <row r="61" spans="2:27">
      <c r="B61" s="976">
        <f>(YEAR(tblConcentrado[[#This Row],[Fecha]])*10000+MONTH(tblConcentrado[[#This Row],[Fecha]])*100+DAY(tblConcentrado[[#This Row],[Fecha]]))*100+tblConcentrado[[#This Row],[N° hora]]</f>
        <v>2026090309</v>
      </c>
      <c r="C61" s="871">
        <v>46268</v>
      </c>
      <c r="D61">
        <v>9</v>
      </c>
      <c r="E61" s="952">
        <v>0.70833333333333304</v>
      </c>
      <c r="F61" s="256">
        <v>1388</v>
      </c>
      <c r="G61" s="256">
        <v>1167</v>
      </c>
      <c r="H61" s="970">
        <v>0.16</v>
      </c>
      <c r="I61" s="970">
        <v>0.81</v>
      </c>
      <c r="J61" s="970">
        <v>0.49</v>
      </c>
      <c r="K61" s="970">
        <v>0.81799999999999995</v>
      </c>
      <c r="L61" s="970">
        <v>0.46</v>
      </c>
      <c r="M61" s="971">
        <v>23</v>
      </c>
      <c r="N61" s="971">
        <v>14.4</v>
      </c>
      <c r="O61" s="971">
        <v>2.5</v>
      </c>
      <c r="P61" s="971">
        <v>2.1</v>
      </c>
      <c r="Q61" s="971">
        <v>8.1999999999999993</v>
      </c>
      <c r="R61" t="s">
        <v>9258</v>
      </c>
      <c r="U61" t="s">
        <v>9333</v>
      </c>
      <c r="V61" s="871">
        <v>46293</v>
      </c>
      <c r="W6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17.840000000000003</v>
      </c>
      <c r="X6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2.2599999999999998</v>
      </c>
      <c r="Y61" s="974">
        <f>IFERROR(tblConcentrado[[#This Row],[Concentrado (TMS)]]/tblConcentrado[[#This Row],[Mineral (TMS)]],"")</f>
        <v>0.84077809798270897</v>
      </c>
      <c r="Z61" s="973">
        <f>IFERROR(1/tblConcentrado[[#This Row],[% Recup.]],0)</f>
        <v>1.1893744644387316</v>
      </c>
      <c r="AA61" s="975" t="str">
        <f>IF(COUNTIFS(tblConcentrado[ID],tblConcentrado[[#This Row],[ID]])&gt;1,"Duplicado","")</f>
        <v/>
      </c>
    </row>
    <row r="62" spans="2:27">
      <c r="B62" s="976">
        <f>(YEAR(tblConcentrado[[#This Row],[Fecha]])*10000+MONTH(tblConcentrado[[#This Row],[Fecha]])*100+DAY(tblConcentrado[[#This Row],[Fecha]]))*100+tblConcentrado[[#This Row],[N° hora]]</f>
        <v>2026090310</v>
      </c>
      <c r="C62" s="871">
        <v>46268</v>
      </c>
      <c r="D62">
        <v>10</v>
      </c>
      <c r="E62" s="952">
        <v>0.75</v>
      </c>
      <c r="F62" s="256">
        <v>1252</v>
      </c>
      <c r="G62" s="256">
        <v>931</v>
      </c>
      <c r="H62" s="970"/>
      <c r="I62" s="970"/>
      <c r="J62" s="970"/>
      <c r="K62" s="970"/>
      <c r="L62" s="970"/>
      <c r="M62" s="971"/>
      <c r="N62" s="971"/>
      <c r="O62" s="971"/>
      <c r="P62" s="971"/>
      <c r="Q62" s="971"/>
      <c r="R62" t="s">
        <v>9258</v>
      </c>
      <c r="S62" t="s">
        <v>101</v>
      </c>
      <c r="U62" t="s">
        <v>9333</v>
      </c>
      <c r="V62" s="871">
        <v>46293</v>
      </c>
      <c r="W6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2" s="974">
        <f>IFERROR(tblConcentrado[[#This Row],[Concentrado (TMS)]]/tblConcentrado[[#This Row],[Mineral (TMS)]],"")</f>
        <v>0.74361022364217255</v>
      </c>
      <c r="Z62" s="973">
        <f>IFERROR(1/tblConcentrado[[#This Row],[% Recup.]],0)</f>
        <v>1.3447905477980666</v>
      </c>
      <c r="AA62" s="975" t="str">
        <f>IF(COUNTIFS(tblConcentrado[ID],tblConcentrado[[#This Row],[ID]])&gt;1,"Duplicado","")</f>
        <v/>
      </c>
    </row>
    <row r="63" spans="2:27">
      <c r="B63" s="976">
        <f>(YEAR(tblConcentrado[[#This Row],[Fecha]])*10000+MONTH(tblConcentrado[[#This Row],[Fecha]])*100+DAY(tblConcentrado[[#This Row],[Fecha]]))*100+tblConcentrado[[#This Row],[N° hora]]</f>
        <v>2026090311</v>
      </c>
      <c r="C63" s="871">
        <v>46268</v>
      </c>
      <c r="D63">
        <v>11</v>
      </c>
      <c r="E63" s="952">
        <v>0.79166666666666696</v>
      </c>
      <c r="F63" s="256">
        <v>1177</v>
      </c>
      <c r="G63" s="256">
        <v>939</v>
      </c>
      <c r="H63" s="970">
        <v>0.16800000000000001</v>
      </c>
      <c r="I63" s="970">
        <v>0.99199999999999999</v>
      </c>
      <c r="J63" s="970">
        <v>0.56000000000000005</v>
      </c>
      <c r="K63" s="970">
        <v>0.81100000000000005</v>
      </c>
      <c r="L63" s="970">
        <v>0.49</v>
      </c>
      <c r="M63" s="971">
        <v>22.9</v>
      </c>
      <c r="N63" s="971">
        <v>14.2</v>
      </c>
      <c r="O63" s="971">
        <v>2.4</v>
      </c>
      <c r="P63" s="971">
        <v>2</v>
      </c>
      <c r="Q63" s="971">
        <v>8.1999999999999993</v>
      </c>
      <c r="R63" t="s">
        <v>9258</v>
      </c>
      <c r="S63" t="s">
        <v>102</v>
      </c>
      <c r="U63" t="s">
        <v>9333</v>
      </c>
      <c r="V63" s="871">
        <v>46293</v>
      </c>
      <c r="W6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17.68</v>
      </c>
      <c r="X6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2.16</v>
      </c>
      <c r="Y63" s="974">
        <f>IFERROR(tblConcentrado[[#This Row],[Concentrado (TMS)]]/tblConcentrado[[#This Row],[Mineral (TMS)]],"")</f>
        <v>0.79779099405267628</v>
      </c>
      <c r="Z63" s="973">
        <f>IFERROR(1/tblConcentrado[[#This Row],[% Recup.]],0)</f>
        <v>1.25346112886049</v>
      </c>
      <c r="AA63" s="975" t="str">
        <f>IF(COUNTIFS(tblConcentrado[ID],tblConcentrado[[#This Row],[ID]])&gt;1,"Duplicado","")</f>
        <v/>
      </c>
    </row>
    <row r="64" spans="2:27">
      <c r="B64" s="976">
        <f>(YEAR(tblConcentrado[[#This Row],[Fecha]])*10000+MONTH(tblConcentrado[[#This Row],[Fecha]])*100+DAY(tblConcentrado[[#This Row],[Fecha]]))*100+tblConcentrado[[#This Row],[N° hora]]</f>
        <v>2026090312</v>
      </c>
      <c r="C64" s="871">
        <v>46268</v>
      </c>
      <c r="D64">
        <v>12</v>
      </c>
      <c r="E64" s="952">
        <v>0.83333333333333304</v>
      </c>
      <c r="F64" s="256">
        <v>1230</v>
      </c>
      <c r="G64" s="256">
        <v>885</v>
      </c>
      <c r="H64" s="970"/>
      <c r="I64" s="970"/>
      <c r="J64" s="970"/>
      <c r="K64" s="970"/>
      <c r="L64" s="970"/>
      <c r="M64" s="971"/>
      <c r="N64" s="971"/>
      <c r="O64" s="971"/>
      <c r="P64" s="971"/>
      <c r="Q64" s="971"/>
      <c r="R64" t="s">
        <v>9258</v>
      </c>
      <c r="S64" t="s">
        <v>103</v>
      </c>
      <c r="U64" t="s">
        <v>9333</v>
      </c>
      <c r="V64" s="871">
        <v>46293</v>
      </c>
      <c r="W6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4" s="974">
        <f>IFERROR(tblConcentrado[[#This Row],[Concentrado (TMS)]]/tblConcentrado[[#This Row],[Mineral (TMS)]],"")</f>
        <v>0.71951219512195119</v>
      </c>
      <c r="Z64" s="973">
        <f>IFERROR(1/tblConcentrado[[#This Row],[% Recup.]],0)</f>
        <v>1.3898305084745763</v>
      </c>
      <c r="AA64" s="975" t="str">
        <f>IF(COUNTIFS(tblConcentrado[ID],tblConcentrado[[#This Row],[ID]])&gt;1,"Duplicado","")</f>
        <v/>
      </c>
    </row>
    <row r="65" spans="2:27">
      <c r="B65" s="976">
        <f>(YEAR(tblConcentrado[[#This Row],[Fecha]])*10000+MONTH(tblConcentrado[[#This Row],[Fecha]])*100+DAY(tblConcentrado[[#This Row],[Fecha]]))*100+tblConcentrado[[#This Row],[N° hora]]</f>
        <v>2026090313</v>
      </c>
      <c r="C65" s="871">
        <v>46268</v>
      </c>
      <c r="D65">
        <v>13</v>
      </c>
      <c r="E65" s="952">
        <v>0.875</v>
      </c>
      <c r="F65" s="256">
        <v>1206</v>
      </c>
      <c r="G65" s="256">
        <v>839</v>
      </c>
      <c r="H65" s="970">
        <v>0.16500000000000001</v>
      </c>
      <c r="I65" s="970">
        <v>0.75</v>
      </c>
      <c r="J65" s="970">
        <v>0.44</v>
      </c>
      <c r="K65" s="970">
        <v>0.90800000000000003</v>
      </c>
      <c r="L65" s="970">
        <v>0.55000000000000004</v>
      </c>
      <c r="M65" s="971">
        <v>21.9</v>
      </c>
      <c r="N65" s="971">
        <v>14.9</v>
      </c>
      <c r="O65" s="971">
        <v>2.9</v>
      </c>
      <c r="P65" s="971">
        <v>2.7</v>
      </c>
      <c r="Q65" s="971">
        <v>8.1</v>
      </c>
      <c r="R65" t="s">
        <v>9258</v>
      </c>
      <c r="S65" t="s">
        <v>99</v>
      </c>
      <c r="U65" t="s">
        <v>9333</v>
      </c>
      <c r="V65" s="871">
        <v>46293</v>
      </c>
      <c r="W6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17.7</v>
      </c>
      <c r="X6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2.7800000000000002</v>
      </c>
      <c r="Y65" s="974">
        <f>IFERROR(tblConcentrado[[#This Row],[Concentrado (TMS)]]/tblConcentrado[[#This Row],[Mineral (TMS)]],"")</f>
        <v>0.69568822553897181</v>
      </c>
      <c r="Z65" s="973">
        <f>IFERROR(1/tblConcentrado[[#This Row],[% Recup.]],0)</f>
        <v>1.4374255065554231</v>
      </c>
      <c r="AA65" s="975" t="str">
        <f>IF(COUNTIFS(tblConcentrado[ID],tblConcentrado[[#This Row],[ID]])&gt;1,"Duplicado","")</f>
        <v/>
      </c>
    </row>
    <row r="66" spans="2:27">
      <c r="B66" s="976">
        <f>(YEAR(tblConcentrado[[#This Row],[Fecha]])*10000+MONTH(tblConcentrado[[#This Row],[Fecha]])*100+DAY(tblConcentrado[[#This Row],[Fecha]]))*100+tblConcentrado[[#This Row],[N° hora]]</f>
        <v>2026090314</v>
      </c>
      <c r="C66" s="871">
        <v>46268</v>
      </c>
      <c r="D66">
        <v>14</v>
      </c>
      <c r="E66" s="952">
        <v>0.91666666666666696</v>
      </c>
      <c r="F66" s="256">
        <v>1211</v>
      </c>
      <c r="G66" s="256">
        <v>811</v>
      </c>
      <c r="H66" s="970"/>
      <c r="I66" s="970"/>
      <c r="J66" s="970"/>
      <c r="K66" s="970"/>
      <c r="L66" s="970"/>
      <c r="M66" s="971"/>
      <c r="N66" s="971"/>
      <c r="O66" s="971"/>
      <c r="P66" s="971"/>
      <c r="Q66" s="971"/>
      <c r="R66" t="s">
        <v>9258</v>
      </c>
      <c r="S66" t="s">
        <v>104</v>
      </c>
      <c r="U66" t="s">
        <v>9333</v>
      </c>
      <c r="V66" s="871">
        <v>46293</v>
      </c>
      <c r="W6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6" s="974">
        <f>IFERROR(tblConcentrado[[#This Row],[Concentrado (TMS)]]/tblConcentrado[[#This Row],[Mineral (TMS)]],"")</f>
        <v>0.66969446738232863</v>
      </c>
      <c r="Z66" s="973">
        <f>IFERROR(1/tblConcentrado[[#This Row],[% Recup.]],0)</f>
        <v>1.4932182490752159</v>
      </c>
      <c r="AA66" s="975" t="str">
        <f>IF(COUNTIFS(tblConcentrado[ID],tblConcentrado[[#This Row],[ID]])&gt;1,"Duplicado","")</f>
        <v/>
      </c>
    </row>
    <row r="67" spans="2:27">
      <c r="B67" s="976">
        <f>(YEAR(tblConcentrado[[#This Row],[Fecha]])*10000+MONTH(tblConcentrado[[#This Row],[Fecha]])*100+DAY(tblConcentrado[[#This Row],[Fecha]]))*100+tblConcentrado[[#This Row],[N° hora]]</f>
        <v>2026090315</v>
      </c>
      <c r="C67" s="871">
        <v>46268</v>
      </c>
      <c r="D67">
        <v>15</v>
      </c>
      <c r="E67" s="952">
        <v>0.95833333333333304</v>
      </c>
      <c r="F67" s="256">
        <v>1418</v>
      </c>
      <c r="G67" s="256">
        <v>761</v>
      </c>
      <c r="H67" s="970">
        <v>0.18</v>
      </c>
      <c r="I67" s="970">
        <v>0.752</v>
      </c>
      <c r="J67" s="970">
        <v>0.44</v>
      </c>
      <c r="K67" s="970">
        <v>0.78100000000000003</v>
      </c>
      <c r="L67" s="970">
        <v>0.47</v>
      </c>
      <c r="M67" s="971">
        <v>21.5</v>
      </c>
      <c r="N67" s="971">
        <v>14.3</v>
      </c>
      <c r="O67" s="971">
        <v>2.1</v>
      </c>
      <c r="P67" s="971">
        <v>2</v>
      </c>
      <c r="Q67" s="971">
        <v>8</v>
      </c>
      <c r="R67" t="s">
        <v>9258</v>
      </c>
      <c r="U67" t="s">
        <v>9333</v>
      </c>
      <c r="V67" s="871">
        <v>46293</v>
      </c>
      <c r="W6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17.18</v>
      </c>
      <c r="X6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2.04</v>
      </c>
      <c r="Y67" s="974">
        <f>IFERROR(tblConcentrado[[#This Row],[Concentrado (TMS)]]/tblConcentrado[[#This Row],[Mineral (TMS)]],"")</f>
        <v>0.53667136812411853</v>
      </c>
      <c r="Z67" s="973">
        <f>IFERROR(1/tblConcentrado[[#This Row],[% Recup.]],0)</f>
        <v>1.8633377135348224</v>
      </c>
      <c r="AA67" s="975" t="str">
        <f>IF(COUNTIFS(tblConcentrado[ID],tblConcentrado[[#This Row],[ID]])&gt;1,"Duplicado","")</f>
        <v/>
      </c>
    </row>
    <row r="68" spans="2:27">
      <c r="B68" s="976">
        <f>(YEAR(tblConcentrado[[#This Row],[Fecha]])*10000+MONTH(tblConcentrado[[#This Row],[Fecha]])*100+DAY(tblConcentrado[[#This Row],[Fecha]]))*100+tblConcentrado[[#This Row],[N° hora]]</f>
        <v>2026090316</v>
      </c>
      <c r="C68" s="871">
        <v>46268</v>
      </c>
      <c r="D68">
        <v>16</v>
      </c>
      <c r="E68" s="952">
        <v>0</v>
      </c>
      <c r="F68" s="256">
        <v>1405</v>
      </c>
      <c r="G68" s="256">
        <v>771</v>
      </c>
      <c r="H68" s="970"/>
      <c r="I68" s="970"/>
      <c r="J68" s="970"/>
      <c r="K68" s="970"/>
      <c r="L68" s="970"/>
      <c r="M68" s="971"/>
      <c r="N68" s="971"/>
      <c r="O68" s="971"/>
      <c r="P68" s="971"/>
      <c r="Q68" s="971"/>
      <c r="R68" t="s">
        <v>9258</v>
      </c>
      <c r="U68" t="s">
        <v>9333</v>
      </c>
      <c r="V68" s="871">
        <v>46293</v>
      </c>
      <c r="W6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8" s="974">
        <f>IFERROR(tblConcentrado[[#This Row],[Concentrado (TMS)]]/tblConcentrado[[#This Row],[Mineral (TMS)]],"")</f>
        <v>0.54875444839857657</v>
      </c>
      <c r="Z68" s="973">
        <f>IFERROR(1/tblConcentrado[[#This Row],[% Recup.]],0)</f>
        <v>1.8223086900129699</v>
      </c>
      <c r="AA68" s="975" t="str">
        <f>IF(COUNTIFS(tblConcentrado[ID],tblConcentrado[[#This Row],[ID]])&gt;1,"Duplicado","")</f>
        <v/>
      </c>
    </row>
    <row r="69" spans="2:27">
      <c r="B69" s="976">
        <f>(YEAR(tblConcentrado[[#This Row],[Fecha]])*10000+MONTH(tblConcentrado[[#This Row],[Fecha]])*100+DAY(tblConcentrado[[#This Row],[Fecha]]))*100+tblConcentrado[[#This Row],[N° hora]]</f>
        <v>2026090317</v>
      </c>
      <c r="C69" s="871">
        <v>46268</v>
      </c>
      <c r="D69">
        <v>17</v>
      </c>
      <c r="E69" s="952">
        <v>4.1666666666666699E-2</v>
      </c>
      <c r="F69" s="256">
        <v>1437</v>
      </c>
      <c r="G69" s="256">
        <v>914</v>
      </c>
      <c r="H69" s="970">
        <v>0.188</v>
      </c>
      <c r="I69" s="970">
        <v>0.72599999999999998</v>
      </c>
      <c r="J69" s="970">
        <v>0.41</v>
      </c>
      <c r="K69" s="970">
        <v>0.77200000000000002</v>
      </c>
      <c r="L69" s="970">
        <v>0.43</v>
      </c>
      <c r="M69" s="971">
        <v>32.5</v>
      </c>
      <c r="N69" s="971">
        <v>13.4</v>
      </c>
      <c r="O69" s="971">
        <v>3.1</v>
      </c>
      <c r="P69" s="971">
        <v>2</v>
      </c>
      <c r="Q69" s="971">
        <v>8</v>
      </c>
      <c r="R69" t="s">
        <v>9258</v>
      </c>
      <c r="U69" t="s">
        <v>9333</v>
      </c>
      <c r="V69" s="871">
        <v>46293</v>
      </c>
      <c r="W6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21.04</v>
      </c>
      <c r="X6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2.4400000000000004</v>
      </c>
      <c r="Y69" s="974">
        <f>IFERROR(tblConcentrado[[#This Row],[Concentrado (TMS)]]/tblConcentrado[[#This Row],[Mineral (TMS)]],"")</f>
        <v>0.63604732080723725</v>
      </c>
      <c r="Z69" s="973">
        <f>IFERROR(1/tblConcentrado[[#This Row],[% Recup.]],0)</f>
        <v>1.5722100656455142</v>
      </c>
      <c r="AA69" s="975" t="str">
        <f>IF(COUNTIFS(tblConcentrado[ID],tblConcentrado[[#This Row],[ID]])&gt;1,"Duplicado","")</f>
        <v/>
      </c>
    </row>
    <row r="70" spans="2:27">
      <c r="B70" s="976">
        <f>(YEAR(tblConcentrado[[#This Row],[Fecha]])*10000+MONTH(tblConcentrado[[#This Row],[Fecha]])*100+DAY(tblConcentrado[[#This Row],[Fecha]]))*100+tblConcentrado[[#This Row],[N° hora]]</f>
        <v>2026090318</v>
      </c>
      <c r="C70" s="871">
        <v>46268</v>
      </c>
      <c r="D70">
        <v>18</v>
      </c>
      <c r="E70" s="952">
        <v>8.3333333333333301E-2</v>
      </c>
      <c r="F70" s="256">
        <v>1403</v>
      </c>
      <c r="G70" s="256">
        <v>736</v>
      </c>
      <c r="H70" s="970"/>
      <c r="I70" s="970"/>
      <c r="J70" s="970"/>
      <c r="K70" s="970"/>
      <c r="L70" s="970"/>
      <c r="M70" s="971"/>
      <c r="N70" s="971"/>
      <c r="O70" s="971"/>
      <c r="P70" s="971"/>
      <c r="Q70" s="971"/>
      <c r="R70" t="s">
        <v>9258</v>
      </c>
      <c r="U70" t="s">
        <v>9333</v>
      </c>
      <c r="V70" s="871">
        <v>46293</v>
      </c>
      <c r="W7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7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70" s="974">
        <f>IFERROR(tblConcentrado[[#This Row],[Concentrado (TMS)]]/tblConcentrado[[#This Row],[Mineral (TMS)]],"")</f>
        <v>0.52459016393442626</v>
      </c>
      <c r="Z70" s="973">
        <f>IFERROR(1/tblConcentrado[[#This Row],[% Recup.]],0)</f>
        <v>1.90625</v>
      </c>
      <c r="AA70" s="975" t="str">
        <f>IF(COUNTIFS(tblConcentrado[ID],tblConcentrado[[#This Row],[ID]])&gt;1,"Duplicado","")</f>
        <v/>
      </c>
    </row>
    <row r="71" spans="2:27">
      <c r="B71" s="976">
        <f>(YEAR(tblConcentrado[[#This Row],[Fecha]])*10000+MONTH(tblConcentrado[[#This Row],[Fecha]])*100+DAY(tblConcentrado[[#This Row],[Fecha]]))*100+tblConcentrado[[#This Row],[N° hora]]</f>
        <v>2026090319</v>
      </c>
      <c r="C71" s="871">
        <v>46268</v>
      </c>
      <c r="D71">
        <v>19</v>
      </c>
      <c r="E71" s="952">
        <v>0.125</v>
      </c>
      <c r="F71" s="256">
        <v>1421</v>
      </c>
      <c r="G71" s="256">
        <v>982</v>
      </c>
      <c r="H71" s="970">
        <v>0.184</v>
      </c>
      <c r="I71" s="970">
        <v>0.65100000000000002</v>
      </c>
      <c r="J71" s="970">
        <v>0.38</v>
      </c>
      <c r="K71" s="970">
        <v>0.61899999999999999</v>
      </c>
      <c r="L71" s="970">
        <v>0.36</v>
      </c>
      <c r="M71" s="971">
        <v>24.3</v>
      </c>
      <c r="N71" s="971">
        <v>14.5</v>
      </c>
      <c r="O71" s="971">
        <v>2.4</v>
      </c>
      <c r="P71" s="971">
        <v>2.2999999999999998</v>
      </c>
      <c r="Q71" s="971">
        <v>8</v>
      </c>
      <c r="R71" t="s">
        <v>9258</v>
      </c>
      <c r="U71" t="s">
        <v>9333</v>
      </c>
      <c r="V71" s="871">
        <v>46293</v>
      </c>
      <c r="W7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18.420000000000002</v>
      </c>
      <c r="X7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2.34</v>
      </c>
      <c r="Y71" s="974">
        <f>IFERROR(tblConcentrado[[#This Row],[Concentrado (TMS)]]/tblConcentrado[[#This Row],[Mineral (TMS)]],"")</f>
        <v>0.69106263194933149</v>
      </c>
      <c r="Z71" s="973">
        <f>IFERROR(1/tblConcentrado[[#This Row],[% Recup.]],0)</f>
        <v>1.4470468431771895</v>
      </c>
      <c r="AA71" s="975" t="str">
        <f>IF(COUNTIFS(tblConcentrado[ID],tblConcentrado[[#This Row],[ID]])&gt;1,"Duplicado","")</f>
        <v/>
      </c>
    </row>
    <row r="72" spans="2:27">
      <c r="B72" s="976">
        <f>(YEAR(tblConcentrado[[#This Row],[Fecha]])*10000+MONTH(tblConcentrado[[#This Row],[Fecha]])*100+DAY(tblConcentrado[[#This Row],[Fecha]]))*100+tblConcentrado[[#This Row],[N° hora]]</f>
        <v>2026090320</v>
      </c>
      <c r="C72" s="871">
        <v>46268</v>
      </c>
      <c r="D72">
        <v>20</v>
      </c>
      <c r="E72" s="952">
        <v>0.16666666666666699</v>
      </c>
      <c r="F72" s="256">
        <v>1358</v>
      </c>
      <c r="G72" s="256">
        <v>845</v>
      </c>
      <c r="H72" s="970"/>
      <c r="I72" s="970"/>
      <c r="J72" s="970"/>
      <c r="K72" s="970"/>
      <c r="L72" s="970"/>
      <c r="M72" s="971"/>
      <c r="N72" s="971"/>
      <c r="O72" s="971"/>
      <c r="P72" s="971"/>
      <c r="Q72" s="971"/>
      <c r="R72" t="s">
        <v>9258</v>
      </c>
      <c r="U72" t="s">
        <v>9333</v>
      </c>
      <c r="V72" s="871">
        <v>46293</v>
      </c>
      <c r="W7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7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72" s="974">
        <f>IFERROR(tblConcentrado[[#This Row],[Concentrado (TMS)]]/tblConcentrado[[#This Row],[Mineral (TMS)]],"")</f>
        <v>0.62223858615611194</v>
      </c>
      <c r="Z72" s="973">
        <f>IFERROR(1/tblConcentrado[[#This Row],[% Recup.]],0)</f>
        <v>1.6071005917159764</v>
      </c>
      <c r="AA72" s="975" t="str">
        <f>IF(COUNTIFS(tblConcentrado[ID],tblConcentrado[[#This Row],[ID]])&gt;1,"Duplicado","")</f>
        <v/>
      </c>
    </row>
    <row r="73" spans="2:27">
      <c r="B73" s="976">
        <f>(YEAR(tblConcentrado[[#This Row],[Fecha]])*10000+MONTH(tblConcentrado[[#This Row],[Fecha]])*100+DAY(tblConcentrado[[#This Row],[Fecha]]))*100+tblConcentrado[[#This Row],[N° hora]]</f>
        <v>2026090321</v>
      </c>
      <c r="C73" s="871">
        <v>46268</v>
      </c>
      <c r="D73">
        <v>21</v>
      </c>
      <c r="E73" s="952">
        <v>0.20833333333333301</v>
      </c>
      <c r="F73" s="256">
        <v>1402</v>
      </c>
      <c r="G73" s="256">
        <v>924</v>
      </c>
      <c r="H73" s="970">
        <v>0.17899999999999999</v>
      </c>
      <c r="I73" s="970">
        <v>0.78800000000000003</v>
      </c>
      <c r="J73" s="970">
        <v>0.43</v>
      </c>
      <c r="K73" s="970">
        <v>0.64900000000000002</v>
      </c>
      <c r="L73" s="970">
        <v>0.38</v>
      </c>
      <c r="M73" s="971">
        <v>25</v>
      </c>
      <c r="N73" s="971">
        <v>13.8</v>
      </c>
      <c r="O73" s="971">
        <v>2.6</v>
      </c>
      <c r="P73" s="971">
        <v>2</v>
      </c>
      <c r="Q73" s="971">
        <v>8</v>
      </c>
      <c r="R73" t="s">
        <v>9258</v>
      </c>
      <c r="U73" t="s">
        <v>9333</v>
      </c>
      <c r="V73" s="871">
        <v>46293</v>
      </c>
      <c r="W7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18.28</v>
      </c>
      <c r="X7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2.2400000000000002</v>
      </c>
      <c r="Y73" s="974">
        <f>IFERROR(tblConcentrado[[#This Row],[Concentrado (TMS)]]/tblConcentrado[[#This Row],[Mineral (TMS)]],"")</f>
        <v>0.65905848787446508</v>
      </c>
      <c r="Z73" s="973">
        <f>IFERROR(1/tblConcentrado[[#This Row],[% Recup.]],0)</f>
        <v>1.5173160173160172</v>
      </c>
      <c r="AA73" s="975" t="str">
        <f>IF(COUNTIFS(tblConcentrado[ID],tblConcentrado[[#This Row],[ID]])&gt;1,"Duplicado","")</f>
        <v/>
      </c>
    </row>
    <row r="74" spans="2:27">
      <c r="B74" s="976">
        <f>(YEAR(tblConcentrado[[#This Row],[Fecha]])*10000+MONTH(tblConcentrado[[#This Row],[Fecha]])*100+DAY(tblConcentrado[[#This Row],[Fecha]]))*100+tblConcentrado[[#This Row],[N° hora]]</f>
        <v>2026090322</v>
      </c>
      <c r="C74" s="871">
        <v>46268</v>
      </c>
      <c r="D74">
        <v>22</v>
      </c>
      <c r="E74" s="952">
        <v>0.25</v>
      </c>
      <c r="F74" s="256">
        <v>1439</v>
      </c>
      <c r="G74" s="256">
        <v>761</v>
      </c>
      <c r="H74" s="970"/>
      <c r="I74" s="970"/>
      <c r="J74" s="970"/>
      <c r="K74" s="970"/>
      <c r="L74" s="970"/>
      <c r="M74" s="971"/>
      <c r="N74" s="971"/>
      <c r="O74" s="971"/>
      <c r="P74" s="971"/>
      <c r="Q74" s="971"/>
      <c r="R74" t="s">
        <v>9258</v>
      </c>
      <c r="U74" t="s">
        <v>9333</v>
      </c>
      <c r="V74" s="871">
        <v>46293</v>
      </c>
      <c r="W7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7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74" s="974">
        <f>IFERROR(tblConcentrado[[#This Row],[Concentrado (TMS)]]/tblConcentrado[[#This Row],[Mineral (TMS)]],"")</f>
        <v>0.52883947185545521</v>
      </c>
      <c r="Z74" s="973">
        <f>IFERROR(1/tblConcentrado[[#This Row],[% Recup.]],0)</f>
        <v>1.8909329829172141</v>
      </c>
      <c r="AA74" s="975" t="str">
        <f>IF(COUNTIFS(tblConcentrado[ID],tblConcentrado[[#This Row],[ID]])&gt;1,"Duplicado","")</f>
        <v/>
      </c>
    </row>
    <row r="75" spans="2:27">
      <c r="B75" s="976">
        <f>(YEAR(tblConcentrado[[#This Row],[Fecha]])*10000+MONTH(tblConcentrado[[#This Row],[Fecha]])*100+DAY(tblConcentrado[[#This Row],[Fecha]]))*100+tblConcentrado[[#This Row],[N° hora]]</f>
        <v>2026090323</v>
      </c>
      <c r="C75" s="871">
        <v>46268</v>
      </c>
      <c r="D75">
        <v>23</v>
      </c>
      <c r="E75" s="952">
        <v>0.29166666666666702</v>
      </c>
      <c r="F75" s="256">
        <v>1423</v>
      </c>
      <c r="G75" s="256">
        <v>1031</v>
      </c>
      <c r="H75" s="970">
        <v>0.189</v>
      </c>
      <c r="I75" s="970">
        <v>0.62</v>
      </c>
      <c r="J75" s="970"/>
      <c r="K75" s="970">
        <v>0.63700000000000001</v>
      </c>
      <c r="L75" s="970"/>
      <c r="M75" s="971"/>
      <c r="N75" s="971"/>
      <c r="O75" s="971">
        <v>2.7</v>
      </c>
      <c r="P75" s="971">
        <v>2.2000000000000002</v>
      </c>
      <c r="Q75" s="971">
        <v>8.1</v>
      </c>
      <c r="R75" t="s">
        <v>9258</v>
      </c>
      <c r="U75" t="s">
        <v>9333</v>
      </c>
      <c r="V75" s="871">
        <v>46293</v>
      </c>
      <c r="W75"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7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2.4000000000000004</v>
      </c>
      <c r="Y75" s="974">
        <f>IFERROR(tblConcentrado[[#This Row],[Concentrado (TMS)]]/tblConcentrado[[#This Row],[Mineral (TMS)]],"")</f>
        <v>0.72452565003513703</v>
      </c>
      <c r="Z75" s="973">
        <f>IFERROR(1/tblConcentrado[[#This Row],[% Recup.]],0)</f>
        <v>1.3802133850630456</v>
      </c>
      <c r="AA75" s="975" t="str">
        <f>IF(COUNTIFS(tblConcentrado[ID],tblConcentrado[[#This Row],[ID]])&gt;1,"Duplicado","")</f>
        <v/>
      </c>
    </row>
    <row r="76" spans="2:27">
      <c r="B76" s="976">
        <f>(YEAR(tblConcentrado[[#This Row],[Fecha]])*10000+MONTH(tblConcentrado[[#This Row],[Fecha]])*100+DAY(tblConcentrado[[#This Row],[Fecha]]))*100+tblConcentrado[[#This Row],[N° hora]]</f>
        <v>2026090324</v>
      </c>
      <c r="C76" s="871">
        <v>46268</v>
      </c>
      <c r="D76">
        <v>24</v>
      </c>
      <c r="E76" s="952">
        <v>0.33333333333333298</v>
      </c>
      <c r="F76" s="256">
        <v>1401</v>
      </c>
      <c r="G76" s="256">
        <v>889</v>
      </c>
      <c r="H76" s="970"/>
      <c r="I76" s="970"/>
      <c r="J76" s="970"/>
      <c r="K76" s="970"/>
      <c r="L76" s="970"/>
      <c r="M76" s="971"/>
      <c r="N76" s="971"/>
      <c r="O76" s="971"/>
      <c r="P76" s="971"/>
      <c r="Q76" s="971"/>
      <c r="R76" t="s">
        <v>9258</v>
      </c>
      <c r="U76" t="s">
        <v>9333</v>
      </c>
      <c r="V76" s="871">
        <v>46293</v>
      </c>
      <c r="W7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7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76" s="974">
        <f>IFERROR(tblConcentrado[[#This Row],[Concentrado (TMS)]]/tblConcentrado[[#This Row],[Mineral (TMS)]],"")</f>
        <v>0.63454675231977165</v>
      </c>
      <c r="Z76" s="973">
        <f>IFERROR(1/tblConcentrado[[#This Row],[% Recup.]],0)</f>
        <v>1.575928008998875</v>
      </c>
      <c r="AA76" s="975" t="str">
        <f>IF(COUNTIFS(tblConcentrado[ID],tblConcentrado[[#This Row],[ID]])&gt;1,"Duplicado","")</f>
        <v/>
      </c>
    </row>
    <row r="77" spans="2:27">
      <c r="B77" s="976">
        <f>(YEAR(tblConcentrado[[#This Row],[Fecha]])*10000+MONTH(tblConcentrado[[#This Row],[Fecha]])*100+DAY(tblConcentrado[[#This Row],[Fecha]]))*100+tblConcentrado[[#This Row],[N° hora]]</f>
        <v>2026090401</v>
      </c>
      <c r="C77" s="871">
        <v>46269</v>
      </c>
      <c r="D77">
        <v>1</v>
      </c>
      <c r="E77" s="952">
        <v>0.375</v>
      </c>
      <c r="F77" s="256">
        <v>1441</v>
      </c>
      <c r="G77" s="256">
        <v>1028</v>
      </c>
      <c r="H77" s="970">
        <v>0.17399999999999999</v>
      </c>
      <c r="I77" s="970">
        <v>0.35799999999999998</v>
      </c>
      <c r="J77" s="970">
        <v>0.3</v>
      </c>
      <c r="K77" s="970">
        <v>0.46100000000000002</v>
      </c>
      <c r="L77" s="970">
        <v>0.34</v>
      </c>
      <c r="M77" s="971">
        <v>29.8</v>
      </c>
      <c r="N77" s="971">
        <v>13.9</v>
      </c>
      <c r="O77" s="971">
        <v>3.2</v>
      </c>
      <c r="P77" s="971">
        <v>2</v>
      </c>
      <c r="Q77" s="971">
        <v>8.4</v>
      </c>
      <c r="R77" t="s">
        <v>9258</v>
      </c>
      <c r="U77" t="s">
        <v>9333</v>
      </c>
      <c r="V77" s="871">
        <v>46293</v>
      </c>
      <c r="W7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20.260000000000002</v>
      </c>
      <c r="X7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2.4800000000000004</v>
      </c>
      <c r="Y77" s="974">
        <f>IFERROR(tblConcentrado[[#This Row],[Concentrado (TMS)]]/tblConcentrado[[#This Row],[Mineral (TMS)]],"")</f>
        <v>0.7133934767522554</v>
      </c>
      <c r="Z77" s="973">
        <f>IFERROR(1/tblConcentrado[[#This Row],[% Recup.]],0)</f>
        <v>1.4017509727626458</v>
      </c>
      <c r="AA77" s="975" t="str">
        <f>IF(COUNTIFS(tblConcentrado[ID],tblConcentrado[[#This Row],[ID]])&gt;1,"Duplicado","")</f>
        <v/>
      </c>
    </row>
    <row r="78" spans="2:27">
      <c r="B78" s="976">
        <f>(YEAR(tblConcentrado[[#This Row],[Fecha]])*10000+MONTH(tblConcentrado[[#This Row],[Fecha]])*100+DAY(tblConcentrado[[#This Row],[Fecha]]))*100+tblConcentrado[[#This Row],[N° hora]]</f>
        <v>2026090402</v>
      </c>
      <c r="C78" s="871">
        <v>46269</v>
      </c>
      <c r="D78">
        <v>2</v>
      </c>
      <c r="E78" s="952">
        <v>0.41666666666666702</v>
      </c>
      <c r="F78" s="256">
        <v>1357</v>
      </c>
      <c r="G78" s="256">
        <v>697</v>
      </c>
      <c r="H78" s="970"/>
      <c r="I78" s="970"/>
      <c r="J78" s="970"/>
      <c r="K78" s="970"/>
      <c r="L78" s="970"/>
      <c r="M78" s="971"/>
      <c r="N78" s="971"/>
      <c r="O78" s="971"/>
      <c r="P78" s="971"/>
      <c r="Q78" s="971"/>
      <c r="R78" t="s">
        <v>9258</v>
      </c>
      <c r="T78" t="s">
        <v>105</v>
      </c>
      <c r="U78" t="s">
        <v>9333</v>
      </c>
      <c r="V78" s="871">
        <v>46293</v>
      </c>
      <c r="W7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7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78" s="974">
        <f>IFERROR(tblConcentrado[[#This Row],[Concentrado (TMS)]]/tblConcentrado[[#This Row],[Mineral (TMS)]],"")</f>
        <v>0.51363301400147388</v>
      </c>
      <c r="Z78" s="973">
        <f>IFERROR(1/tblConcentrado[[#This Row],[% Recup.]],0)</f>
        <v>1.9469153515064561</v>
      </c>
      <c r="AA78" s="975" t="str">
        <f>IF(COUNTIFS(tblConcentrado[ID],tblConcentrado[[#This Row],[ID]])&gt;1,"Duplicado","")</f>
        <v/>
      </c>
    </row>
    <row r="79" spans="2:27">
      <c r="B79" s="976">
        <f>(YEAR(tblConcentrado[[#This Row],[Fecha]])*10000+MONTH(tblConcentrado[[#This Row],[Fecha]])*100+DAY(tblConcentrado[[#This Row],[Fecha]]))*100+tblConcentrado[[#This Row],[N° hora]]</f>
        <v>2026090403</v>
      </c>
      <c r="C79" s="871">
        <v>46269</v>
      </c>
      <c r="D79">
        <v>3</v>
      </c>
      <c r="E79" s="952">
        <v>0.45833333333333298</v>
      </c>
      <c r="F79" s="256">
        <v>1343</v>
      </c>
      <c r="G79" s="256">
        <v>824</v>
      </c>
      <c r="H79" s="970">
        <v>0.16</v>
      </c>
      <c r="I79" s="970">
        <v>0.439</v>
      </c>
      <c r="J79" s="970">
        <v>0.33</v>
      </c>
      <c r="K79" s="970">
        <v>0.438</v>
      </c>
      <c r="L79" s="970">
        <v>0.34</v>
      </c>
      <c r="M79" s="971">
        <v>26.5</v>
      </c>
      <c r="N79" s="971">
        <v>16.600000000000001</v>
      </c>
      <c r="O79" s="971">
        <v>2.8</v>
      </c>
      <c r="P79" s="971">
        <v>3.2</v>
      </c>
      <c r="Q79" s="971">
        <v>8.3000000000000007</v>
      </c>
      <c r="R79" t="s">
        <v>9258</v>
      </c>
      <c r="U79" t="s">
        <v>9333</v>
      </c>
      <c r="V79" s="871">
        <v>46293</v>
      </c>
      <c r="W7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20.560000000000002</v>
      </c>
      <c r="X7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3.04</v>
      </c>
      <c r="Y79" s="974">
        <f>IFERROR(tblConcentrado[[#This Row],[Concentrado (TMS)]]/tblConcentrado[[#This Row],[Mineral (TMS)]],"")</f>
        <v>0.61355174981384963</v>
      </c>
      <c r="Z79" s="973">
        <f>IFERROR(1/tblConcentrado[[#This Row],[% Recup.]],0)</f>
        <v>1.6298543689320386</v>
      </c>
      <c r="AA79" s="975" t="str">
        <f>IF(COUNTIFS(tblConcentrado[ID],tblConcentrado[[#This Row],[ID]])&gt;1,"Duplicado","")</f>
        <v/>
      </c>
    </row>
    <row r="80" spans="2:27">
      <c r="B80" s="976">
        <f>(YEAR(tblConcentrado[[#This Row],[Fecha]])*10000+MONTH(tblConcentrado[[#This Row],[Fecha]])*100+DAY(tblConcentrado[[#This Row],[Fecha]]))*100+tblConcentrado[[#This Row],[N° hora]]</f>
        <v>2026090404</v>
      </c>
      <c r="C80" s="871">
        <v>46269</v>
      </c>
      <c r="D80">
        <v>4</v>
      </c>
      <c r="E80" s="952">
        <v>0.5</v>
      </c>
      <c r="F80" s="256">
        <v>1387</v>
      </c>
      <c r="G80" s="256">
        <v>684</v>
      </c>
      <c r="H80" s="970"/>
      <c r="I80" s="970"/>
      <c r="J80" s="970"/>
      <c r="K80" s="970"/>
      <c r="L80" s="970"/>
      <c r="M80" s="971"/>
      <c r="N80" s="971"/>
      <c r="O80" s="971"/>
      <c r="P80" s="971"/>
      <c r="Q80" s="971"/>
      <c r="R80" t="s">
        <v>9258</v>
      </c>
      <c r="U80" t="s">
        <v>9333</v>
      </c>
      <c r="V80" s="871">
        <v>46293</v>
      </c>
      <c r="W8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8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80" s="974">
        <f>IFERROR(tblConcentrado[[#This Row],[Concentrado (TMS)]]/tblConcentrado[[#This Row],[Mineral (TMS)]],"")</f>
        <v>0.49315068493150682</v>
      </c>
      <c r="Z80" s="973">
        <f>IFERROR(1/tblConcentrado[[#This Row],[% Recup.]],0)</f>
        <v>2.0277777777777777</v>
      </c>
      <c r="AA80" s="975" t="str">
        <f>IF(COUNTIFS(tblConcentrado[ID],tblConcentrado[[#This Row],[ID]])&gt;1,"Duplicado","")</f>
        <v/>
      </c>
    </row>
    <row r="81" spans="2:27">
      <c r="B81" s="976">
        <f>(YEAR(tblConcentrado[[#This Row],[Fecha]])*10000+MONTH(tblConcentrado[[#This Row],[Fecha]])*100+DAY(tblConcentrado[[#This Row],[Fecha]]))*100+tblConcentrado[[#This Row],[N° hora]]</f>
        <v>2026090405</v>
      </c>
      <c r="C81" s="871">
        <v>46269</v>
      </c>
      <c r="D81">
        <v>5</v>
      </c>
      <c r="E81" s="952">
        <v>0.54166666666666696</v>
      </c>
      <c r="F81" s="256">
        <v>1411</v>
      </c>
      <c r="G81" s="256">
        <v>724</v>
      </c>
      <c r="H81" s="970">
        <v>0.159</v>
      </c>
      <c r="I81" s="970">
        <v>0.40600000000000003</v>
      </c>
      <c r="J81" s="970">
        <v>0.31</v>
      </c>
      <c r="K81" s="970">
        <v>0.46100000000000002</v>
      </c>
      <c r="L81" s="970">
        <v>0.33</v>
      </c>
      <c r="M81" s="971">
        <v>28.2</v>
      </c>
      <c r="N81" s="971">
        <v>15.3</v>
      </c>
      <c r="O81" s="971">
        <v>3.2</v>
      </c>
      <c r="P81" s="971">
        <v>2.6</v>
      </c>
      <c r="Q81" s="971">
        <v>8.1</v>
      </c>
      <c r="R81" t="s">
        <v>9258</v>
      </c>
      <c r="U81" t="s">
        <v>9333</v>
      </c>
      <c r="V81" s="871">
        <v>46293</v>
      </c>
      <c r="W8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20.46</v>
      </c>
      <c r="X8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2.8400000000000003</v>
      </c>
      <c r="Y81" s="974">
        <f>IFERROR(tblConcentrado[[#This Row],[Concentrado (TMS)]]/tblConcentrado[[#This Row],[Mineral (TMS)]],"")</f>
        <v>0.51311126860382705</v>
      </c>
      <c r="Z81" s="973">
        <f>IFERROR(1/tblConcentrado[[#This Row],[% Recup.]],0)</f>
        <v>1.9488950276243096</v>
      </c>
      <c r="AA81" s="975" t="str">
        <f>IF(COUNTIFS(tblConcentrado[ID],tblConcentrado[[#This Row],[ID]])&gt;1,"Duplicado","")</f>
        <v/>
      </c>
    </row>
    <row r="82" spans="2:27">
      <c r="B82" s="976">
        <f>(YEAR(tblConcentrado[[#This Row],[Fecha]])*10000+MONTH(tblConcentrado[[#This Row],[Fecha]])*100+DAY(tblConcentrado[[#This Row],[Fecha]]))*100+tblConcentrado[[#This Row],[N° hora]]</f>
        <v>2026090406</v>
      </c>
      <c r="C82" s="871">
        <v>46269</v>
      </c>
      <c r="D82">
        <v>6</v>
      </c>
      <c r="E82" s="952">
        <v>0.58333333333333304</v>
      </c>
      <c r="F82" s="256">
        <v>1416</v>
      </c>
      <c r="G82" s="256">
        <v>981</v>
      </c>
      <c r="H82" s="970"/>
      <c r="I82" s="970"/>
      <c r="J82" s="970"/>
      <c r="K82" s="970"/>
      <c r="L82" s="970"/>
      <c r="M82" s="971"/>
      <c r="N82" s="971"/>
      <c r="O82" s="971"/>
      <c r="P82" s="971"/>
      <c r="Q82" s="971"/>
      <c r="R82" t="s">
        <v>9258</v>
      </c>
      <c r="U82" t="s">
        <v>9333</v>
      </c>
      <c r="V82" s="871">
        <v>46293</v>
      </c>
      <c r="W8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8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82" s="974">
        <f>IFERROR(tblConcentrado[[#This Row],[Concentrado (TMS)]]/tblConcentrado[[#This Row],[Mineral (TMS)]],"")</f>
        <v>0.69279661016949157</v>
      </c>
      <c r="Z82" s="973">
        <f>IFERROR(1/tblConcentrado[[#This Row],[% Recup.]],0)</f>
        <v>1.4434250764525993</v>
      </c>
      <c r="AA82" s="975" t="str">
        <f>IF(COUNTIFS(tblConcentrado[ID],tblConcentrado[[#This Row],[ID]])&gt;1,"Duplicado","")</f>
        <v/>
      </c>
    </row>
    <row r="83" spans="2:27">
      <c r="B83" s="976">
        <f>(YEAR(tblConcentrado[[#This Row],[Fecha]])*10000+MONTH(tblConcentrado[[#This Row],[Fecha]])*100+DAY(tblConcentrado[[#This Row],[Fecha]]))*100+tblConcentrado[[#This Row],[N° hora]]</f>
        <v>2026090407</v>
      </c>
      <c r="C83" s="871">
        <v>46269</v>
      </c>
      <c r="D83">
        <v>7</v>
      </c>
      <c r="E83" s="952">
        <v>0.625</v>
      </c>
      <c r="F83" s="256">
        <v>1414</v>
      </c>
      <c r="G83" s="256">
        <v>827</v>
      </c>
      <c r="H83" s="970">
        <v>0.16</v>
      </c>
      <c r="I83" s="970">
        <v>0.48899999999999999</v>
      </c>
      <c r="J83" s="970">
        <v>0.33</v>
      </c>
      <c r="K83" s="970">
        <v>0.53400000000000003</v>
      </c>
      <c r="L83" s="970">
        <v>0.36</v>
      </c>
      <c r="M83" s="971">
        <v>25.5</v>
      </c>
      <c r="N83" s="971">
        <v>14</v>
      </c>
      <c r="O83" s="971">
        <v>3.3</v>
      </c>
      <c r="P83" s="971">
        <v>1.6</v>
      </c>
      <c r="Q83" s="971">
        <v>8.4</v>
      </c>
      <c r="R83" t="s">
        <v>9258</v>
      </c>
      <c r="U83" t="s">
        <v>9333</v>
      </c>
      <c r="V83" s="871">
        <v>46293</v>
      </c>
      <c r="W8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18.600000000000001</v>
      </c>
      <c r="X8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2.2800000000000002</v>
      </c>
      <c r="Y83" s="974">
        <f>IFERROR(tblConcentrado[[#This Row],[Concentrado (TMS)]]/tblConcentrado[[#This Row],[Mineral (TMS)]],"")</f>
        <v>0.58486562942008491</v>
      </c>
      <c r="Z83" s="973">
        <f>IFERROR(1/tblConcentrado[[#This Row],[% Recup.]],0)</f>
        <v>1.7097944377267229</v>
      </c>
      <c r="AA83" s="975" t="str">
        <f>IF(COUNTIFS(tblConcentrado[ID],tblConcentrado[[#This Row],[ID]])&gt;1,"Duplicado","")</f>
        <v/>
      </c>
    </row>
    <row r="84" spans="2:27">
      <c r="B84" s="976">
        <f>(YEAR(tblConcentrado[[#This Row],[Fecha]])*10000+MONTH(tblConcentrado[[#This Row],[Fecha]])*100+DAY(tblConcentrado[[#This Row],[Fecha]]))*100+tblConcentrado[[#This Row],[N° hora]]</f>
        <v>2026090408</v>
      </c>
      <c r="C84" s="871">
        <v>46269</v>
      </c>
      <c r="D84">
        <v>8</v>
      </c>
      <c r="E84" s="952">
        <v>0.66666666666666696</v>
      </c>
      <c r="F84" s="256">
        <v>1261</v>
      </c>
      <c r="G84" s="256">
        <v>863</v>
      </c>
      <c r="H84" s="970"/>
      <c r="I84" s="970"/>
      <c r="J84" s="970"/>
      <c r="K84" s="970"/>
      <c r="L84" s="970"/>
      <c r="M84" s="971"/>
      <c r="N84" s="971"/>
      <c r="O84" s="971"/>
      <c r="P84" s="971"/>
      <c r="Q84" s="971"/>
      <c r="R84" t="s">
        <v>9258</v>
      </c>
      <c r="S84" t="s">
        <v>106</v>
      </c>
      <c r="U84" t="s">
        <v>9333</v>
      </c>
      <c r="V84" s="871">
        <v>46293</v>
      </c>
      <c r="W8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8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84" s="974">
        <f>IFERROR(tblConcentrado[[#This Row],[Concentrado (TMS)]]/tblConcentrado[[#This Row],[Mineral (TMS)]],"")</f>
        <v>0.68437747819191119</v>
      </c>
      <c r="Z84" s="973">
        <f>IFERROR(1/tblConcentrado[[#This Row],[% Recup.]],0)</f>
        <v>1.4611819235225956</v>
      </c>
      <c r="AA84" s="975" t="str">
        <f>IF(COUNTIFS(tblConcentrado[ID],tblConcentrado[[#This Row],[ID]])&gt;1,"Duplicado","")</f>
        <v/>
      </c>
    </row>
    <row r="85" spans="2:27">
      <c r="B85" s="976">
        <f>(YEAR(tblConcentrado[[#This Row],[Fecha]])*10000+MONTH(tblConcentrado[[#This Row],[Fecha]])*100+DAY(tblConcentrado[[#This Row],[Fecha]]))*100+tblConcentrado[[#This Row],[N° hora]]</f>
        <v>2026090409</v>
      </c>
      <c r="C85" s="871">
        <v>46269</v>
      </c>
      <c r="D85">
        <v>9</v>
      </c>
      <c r="E85" s="952">
        <v>0.70833333333333304</v>
      </c>
      <c r="F85" s="256">
        <v>1350</v>
      </c>
      <c r="G85" s="256">
        <v>1026</v>
      </c>
      <c r="H85" s="970">
        <v>0.13600000000000001</v>
      </c>
      <c r="I85" s="970">
        <v>0.51600000000000001</v>
      </c>
      <c r="J85" s="970">
        <v>0.34</v>
      </c>
      <c r="K85" s="970">
        <v>0.72</v>
      </c>
      <c r="L85" s="970">
        <v>0.4</v>
      </c>
      <c r="M85" s="971">
        <v>26.3</v>
      </c>
      <c r="N85" s="971">
        <v>14.1</v>
      </c>
      <c r="O85" s="971">
        <v>3.5</v>
      </c>
      <c r="P85" s="971">
        <v>1.7</v>
      </c>
      <c r="Q85" s="971">
        <v>8</v>
      </c>
      <c r="R85" t="s">
        <v>9258</v>
      </c>
      <c r="U85" t="s">
        <v>9333</v>
      </c>
      <c r="V85" s="871">
        <v>46293</v>
      </c>
      <c r="W8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18.98</v>
      </c>
      <c r="X8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2.42</v>
      </c>
      <c r="Y85" s="974">
        <f>IFERROR(tblConcentrado[[#This Row],[Concentrado (TMS)]]/tblConcentrado[[#This Row],[Mineral (TMS)]],"")</f>
        <v>0.76</v>
      </c>
      <c r="Z85" s="973">
        <f>IFERROR(1/tblConcentrado[[#This Row],[% Recup.]],0)</f>
        <v>1.3157894736842106</v>
      </c>
      <c r="AA85" s="975" t="str">
        <f>IF(COUNTIFS(tblConcentrado[ID],tblConcentrado[[#This Row],[ID]])&gt;1,"Duplicado","")</f>
        <v/>
      </c>
    </row>
    <row r="86" spans="2:27">
      <c r="B86" s="976">
        <f>(YEAR(tblConcentrado[[#This Row],[Fecha]])*10000+MONTH(tblConcentrado[[#This Row],[Fecha]])*100+DAY(tblConcentrado[[#This Row],[Fecha]]))*100+tblConcentrado[[#This Row],[N° hora]]</f>
        <v>2026090410</v>
      </c>
      <c r="C86" s="871">
        <v>46269</v>
      </c>
      <c r="D86">
        <v>10</v>
      </c>
      <c r="E86" s="952">
        <v>0.75</v>
      </c>
      <c r="F86" s="256">
        <v>1325</v>
      </c>
      <c r="G86" s="256">
        <v>1067</v>
      </c>
      <c r="H86" s="970"/>
      <c r="I86" s="970"/>
      <c r="J86" s="970"/>
      <c r="K86" s="970"/>
      <c r="L86" s="970"/>
      <c r="M86" s="971"/>
      <c r="N86" s="971"/>
      <c r="O86" s="971"/>
      <c r="P86" s="971"/>
      <c r="Q86" s="971"/>
      <c r="R86" t="s">
        <v>9258</v>
      </c>
      <c r="S86" t="s">
        <v>107</v>
      </c>
      <c r="U86" t="s">
        <v>9333</v>
      </c>
      <c r="V86" s="871">
        <v>46293</v>
      </c>
      <c r="W8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8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86" s="974">
        <f>IFERROR(tblConcentrado[[#This Row],[Concentrado (TMS)]]/tblConcentrado[[#This Row],[Mineral (TMS)]],"")</f>
        <v>0.80528301886792453</v>
      </c>
      <c r="Z86" s="973">
        <f>IFERROR(1/tblConcentrado[[#This Row],[% Recup.]],0)</f>
        <v>1.2417994376757264</v>
      </c>
      <c r="AA86" s="975" t="str">
        <f>IF(COUNTIFS(tblConcentrado[ID],tblConcentrado[[#This Row],[ID]])&gt;1,"Duplicado","")</f>
        <v/>
      </c>
    </row>
    <row r="87" spans="2:27">
      <c r="B87" s="976">
        <f>(YEAR(tblConcentrado[[#This Row],[Fecha]])*10000+MONTH(tblConcentrado[[#This Row],[Fecha]])*100+DAY(tblConcentrado[[#This Row],[Fecha]]))*100+tblConcentrado[[#This Row],[N° hora]]</f>
        <v>2026090411</v>
      </c>
      <c r="C87" s="871">
        <v>46269</v>
      </c>
      <c r="D87">
        <v>11</v>
      </c>
      <c r="E87" s="952">
        <v>0.79166666666666696</v>
      </c>
      <c r="F87" s="256">
        <v>1288</v>
      </c>
      <c r="G87" s="256">
        <v>935</v>
      </c>
      <c r="H87" s="970">
        <v>0.13800000000000001</v>
      </c>
      <c r="I87" s="970">
        <v>1.0549999999999999</v>
      </c>
      <c r="J87" s="970">
        <v>0.89</v>
      </c>
      <c r="K87" s="970">
        <v>1.0609999999999999</v>
      </c>
      <c r="L87" s="970">
        <v>0.86</v>
      </c>
      <c r="M87" s="971">
        <v>24.9</v>
      </c>
      <c r="N87" s="971">
        <v>16.399999999999999</v>
      </c>
      <c r="O87" s="971">
        <v>3.3</v>
      </c>
      <c r="P87" s="971">
        <v>2.2000000000000002</v>
      </c>
      <c r="Q87" s="971">
        <v>8.3000000000000007</v>
      </c>
      <c r="R87" t="s">
        <v>9258</v>
      </c>
      <c r="S87" t="s">
        <v>108</v>
      </c>
      <c r="U87" t="s">
        <v>9333</v>
      </c>
      <c r="V87" s="871">
        <v>46293</v>
      </c>
      <c r="W8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19.799999999999997</v>
      </c>
      <c r="X8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2.64</v>
      </c>
      <c r="Y87" s="974">
        <f>IFERROR(tblConcentrado[[#This Row],[Concentrado (TMS)]]/tblConcentrado[[#This Row],[Mineral (TMS)]],"")</f>
        <v>0.72593167701863359</v>
      </c>
      <c r="Z87" s="973">
        <f>IFERROR(1/tblConcentrado[[#This Row],[% Recup.]],0)</f>
        <v>1.3775401069518716</v>
      </c>
      <c r="AA87" s="975" t="str">
        <f>IF(COUNTIFS(tblConcentrado[ID],tblConcentrado[[#This Row],[ID]])&gt;1,"Duplicado","")</f>
        <v/>
      </c>
    </row>
    <row r="88" spans="2:27">
      <c r="B88" s="976">
        <f>(YEAR(tblConcentrado[[#This Row],[Fecha]])*10000+MONTH(tblConcentrado[[#This Row],[Fecha]])*100+DAY(tblConcentrado[[#This Row],[Fecha]]))*100+tblConcentrado[[#This Row],[N° hora]]</f>
        <v>2026090412</v>
      </c>
      <c r="C88" s="871">
        <v>46269</v>
      </c>
      <c r="D88">
        <v>12</v>
      </c>
      <c r="E88" s="952">
        <v>0.83333333333333304</v>
      </c>
      <c r="F88" s="256">
        <v>1430</v>
      </c>
      <c r="G88" s="256">
        <v>922</v>
      </c>
      <c r="H88" s="970"/>
      <c r="I88" s="970"/>
      <c r="J88" s="970"/>
      <c r="K88" s="970"/>
      <c r="L88" s="970"/>
      <c r="M88" s="971"/>
      <c r="N88" s="971"/>
      <c r="O88" s="971"/>
      <c r="P88" s="971"/>
      <c r="Q88" s="971"/>
      <c r="R88" t="s">
        <v>9258</v>
      </c>
      <c r="S88" t="s">
        <v>109</v>
      </c>
      <c r="T88" t="s">
        <v>110</v>
      </c>
      <c r="U88" t="s">
        <v>9333</v>
      </c>
      <c r="V88" s="871">
        <v>46293</v>
      </c>
      <c r="W8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8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88" s="974">
        <f>IFERROR(tblConcentrado[[#This Row],[Concentrado (TMS)]]/tblConcentrado[[#This Row],[Mineral (TMS)]],"")</f>
        <v>0.64475524475524471</v>
      </c>
      <c r="Z88" s="973">
        <f>IFERROR(1/tblConcentrado[[#This Row],[% Recup.]],0)</f>
        <v>1.5509761388286336</v>
      </c>
      <c r="AA88" s="975" t="str">
        <f>IF(COUNTIFS(tblConcentrado[ID],tblConcentrado[[#This Row],[ID]])&gt;1,"Duplicado","")</f>
        <v/>
      </c>
    </row>
    <row r="89" spans="2:27">
      <c r="B89" s="976">
        <f>(YEAR(tblConcentrado[[#This Row],[Fecha]])*10000+MONTH(tblConcentrado[[#This Row],[Fecha]])*100+DAY(tblConcentrado[[#This Row],[Fecha]]))*100+tblConcentrado[[#This Row],[N° hora]]</f>
        <v>2026090413</v>
      </c>
      <c r="C89" s="871">
        <v>46269</v>
      </c>
      <c r="D89">
        <v>13</v>
      </c>
      <c r="E89" s="952">
        <v>0.875</v>
      </c>
      <c r="F89" s="256">
        <v>1427</v>
      </c>
      <c r="G89" s="256">
        <v>618</v>
      </c>
      <c r="H89" s="970">
        <v>0.129</v>
      </c>
      <c r="I89" s="970">
        <v>0.60399999999999998</v>
      </c>
      <c r="J89" s="970">
        <v>0.44</v>
      </c>
      <c r="K89" s="970">
        <v>0.47699999999999998</v>
      </c>
      <c r="L89" s="970">
        <v>0.34</v>
      </c>
      <c r="M89" s="971">
        <v>27.4</v>
      </c>
      <c r="N89" s="971">
        <v>14.5</v>
      </c>
      <c r="O89" s="971">
        <v>3.4</v>
      </c>
      <c r="P89" s="971">
        <v>2.2999999999999998</v>
      </c>
      <c r="Q89" s="971">
        <v>8</v>
      </c>
      <c r="R89" t="s">
        <v>9258</v>
      </c>
      <c r="S89" t="s">
        <v>111</v>
      </c>
      <c r="T89" t="s">
        <v>112</v>
      </c>
      <c r="U89" t="s">
        <v>9333</v>
      </c>
      <c r="V89" s="871">
        <v>46293</v>
      </c>
      <c r="W8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19.66</v>
      </c>
      <c r="X8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2.74</v>
      </c>
      <c r="Y89" s="974">
        <f>IFERROR(tblConcentrado[[#This Row],[Concentrado (TMS)]]/tblConcentrado[[#This Row],[Mineral (TMS)]],"")</f>
        <v>0.43307638402242465</v>
      </c>
      <c r="Z89" s="973">
        <f>IFERROR(1/tblConcentrado[[#This Row],[% Recup.]],0)</f>
        <v>2.3090614886731391</v>
      </c>
      <c r="AA89" s="975" t="str">
        <f>IF(COUNTIFS(tblConcentrado[ID],tblConcentrado[[#This Row],[ID]])&gt;1,"Duplicado","")</f>
        <v/>
      </c>
    </row>
    <row r="90" spans="2:27">
      <c r="B90" s="976">
        <f>(YEAR(tblConcentrado[[#This Row],[Fecha]])*10000+MONTH(tblConcentrado[[#This Row],[Fecha]])*100+DAY(tblConcentrado[[#This Row],[Fecha]]))*100+tblConcentrado[[#This Row],[N° hora]]</f>
        <v>2026090414</v>
      </c>
      <c r="C90" s="871">
        <v>46269</v>
      </c>
      <c r="D90">
        <v>14</v>
      </c>
      <c r="E90" s="952">
        <v>0.91666666666666696</v>
      </c>
      <c r="F90" s="256">
        <v>1441</v>
      </c>
      <c r="G90" s="256">
        <v>891</v>
      </c>
      <c r="H90" s="970"/>
      <c r="I90" s="970"/>
      <c r="J90" s="970"/>
      <c r="K90" s="970"/>
      <c r="L90" s="970"/>
      <c r="M90" s="971"/>
      <c r="N90" s="971"/>
      <c r="O90" s="971"/>
      <c r="P90" s="971"/>
      <c r="Q90" s="971"/>
      <c r="R90" t="s">
        <v>9258</v>
      </c>
      <c r="S90" t="s">
        <v>113</v>
      </c>
      <c r="T90" t="s">
        <v>114</v>
      </c>
      <c r="U90" t="s">
        <v>9333</v>
      </c>
      <c r="V90" s="871">
        <v>46293</v>
      </c>
      <c r="W9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9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90" s="974">
        <f>IFERROR(tblConcentrado[[#This Row],[Concentrado (TMS)]]/tblConcentrado[[#This Row],[Mineral (TMS)]],"")</f>
        <v>0.61832061068702293</v>
      </c>
      <c r="Z90" s="973">
        <f>IFERROR(1/tblConcentrado[[#This Row],[% Recup.]],0)</f>
        <v>1.6172839506172838</v>
      </c>
      <c r="AA90" s="975" t="str">
        <f>IF(COUNTIFS(tblConcentrado[ID],tblConcentrado[[#This Row],[ID]])&gt;1,"Duplicado","")</f>
        <v/>
      </c>
    </row>
    <row r="91" spans="2:27">
      <c r="B91" s="976">
        <f>(YEAR(tblConcentrado[[#This Row],[Fecha]])*10000+MONTH(tblConcentrado[[#This Row],[Fecha]])*100+DAY(tblConcentrado[[#This Row],[Fecha]]))*100+tblConcentrado[[#This Row],[N° hora]]</f>
        <v>2026090415</v>
      </c>
      <c r="C91" s="871">
        <v>46269</v>
      </c>
      <c r="D91">
        <v>15</v>
      </c>
      <c r="E91" s="952">
        <v>0.95833333333333304</v>
      </c>
      <c r="F91" s="256">
        <v>1438</v>
      </c>
      <c r="G91" s="256">
        <v>1270</v>
      </c>
      <c r="H91" s="970">
        <v>0.13800000000000001</v>
      </c>
      <c r="I91" s="970">
        <v>0.44500000000000001</v>
      </c>
      <c r="J91" s="970">
        <v>0.33</v>
      </c>
      <c r="K91" s="970">
        <v>0.41399999999999998</v>
      </c>
      <c r="L91" s="970">
        <v>0.34</v>
      </c>
      <c r="M91" s="971">
        <v>27.6</v>
      </c>
      <c r="N91" s="971">
        <v>15.1</v>
      </c>
      <c r="O91" s="971">
        <v>3.5</v>
      </c>
      <c r="P91" s="971">
        <v>2.7</v>
      </c>
      <c r="Q91" s="971">
        <v>8.6</v>
      </c>
      <c r="R91" t="s">
        <v>9258</v>
      </c>
      <c r="S91" t="s">
        <v>115</v>
      </c>
      <c r="U91" t="s">
        <v>9333</v>
      </c>
      <c r="V91" s="871">
        <v>46293</v>
      </c>
      <c r="W9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20.100000000000001</v>
      </c>
      <c r="X9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3.0200000000000005</v>
      </c>
      <c r="Y91" s="974">
        <f>IFERROR(tblConcentrado[[#This Row],[Concentrado (TMS)]]/tblConcentrado[[#This Row],[Mineral (TMS)]],"")</f>
        <v>0.88317107093184977</v>
      </c>
      <c r="Z91" s="973">
        <f>IFERROR(1/tblConcentrado[[#This Row],[% Recup.]],0)</f>
        <v>1.1322834645669291</v>
      </c>
      <c r="AA91" s="975" t="str">
        <f>IF(COUNTIFS(tblConcentrado[ID],tblConcentrado[[#This Row],[ID]])&gt;1,"Duplicado","")</f>
        <v/>
      </c>
    </row>
    <row r="92" spans="2:27">
      <c r="B92" s="976">
        <f>(YEAR(tblConcentrado[[#This Row],[Fecha]])*10000+MONTH(tblConcentrado[[#This Row],[Fecha]])*100+DAY(tblConcentrado[[#This Row],[Fecha]]))*100+tblConcentrado[[#This Row],[N° hora]]</f>
        <v>2026090416</v>
      </c>
      <c r="C92" s="871">
        <v>46269</v>
      </c>
      <c r="D92">
        <v>16</v>
      </c>
      <c r="E92" s="952">
        <v>0</v>
      </c>
      <c r="F92" s="256">
        <v>1445</v>
      </c>
      <c r="G92" s="256">
        <v>790</v>
      </c>
      <c r="H92" s="970"/>
      <c r="I92" s="970"/>
      <c r="J92" s="970"/>
      <c r="K92" s="970"/>
      <c r="L92" s="970"/>
      <c r="M92" s="971"/>
      <c r="N92" s="971"/>
      <c r="O92" s="971"/>
      <c r="P92" s="971"/>
      <c r="Q92" s="971"/>
      <c r="R92" t="s">
        <v>9258</v>
      </c>
      <c r="U92" t="s">
        <v>9333</v>
      </c>
      <c r="V92" s="871">
        <v>46293</v>
      </c>
      <c r="W9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9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92" s="974">
        <f>IFERROR(tblConcentrado[[#This Row],[Concentrado (TMS)]]/tblConcentrado[[#This Row],[Mineral (TMS)]],"")</f>
        <v>0.54671280276816614</v>
      </c>
      <c r="Z92" s="973">
        <f>IFERROR(1/tblConcentrado[[#This Row],[% Recup.]],0)</f>
        <v>1.8291139240506327</v>
      </c>
      <c r="AA92" s="975" t="str">
        <f>IF(COUNTIFS(tblConcentrado[ID],tblConcentrado[[#This Row],[ID]])&gt;1,"Duplicado","")</f>
        <v/>
      </c>
    </row>
    <row r="93" spans="2:27">
      <c r="B93" s="976">
        <f>(YEAR(tblConcentrado[[#This Row],[Fecha]])*10000+MONTH(tblConcentrado[[#This Row],[Fecha]])*100+DAY(tblConcentrado[[#This Row],[Fecha]]))*100+tblConcentrado[[#This Row],[N° hora]]</f>
        <v>2026090417</v>
      </c>
      <c r="C93" s="871">
        <v>46269</v>
      </c>
      <c r="D93">
        <v>17</v>
      </c>
      <c r="E93" s="952">
        <v>4.1666666666666699E-2</v>
      </c>
      <c r="F93" s="256">
        <v>1454</v>
      </c>
      <c r="G93" s="256">
        <v>1174</v>
      </c>
      <c r="H93" s="970">
        <v>0.151</v>
      </c>
      <c r="I93" s="970">
        <v>0.44500000000000001</v>
      </c>
      <c r="J93" s="970">
        <v>0.32</v>
      </c>
      <c r="K93" s="970">
        <v>0.47399999999999998</v>
      </c>
      <c r="L93" s="970">
        <v>0.36</v>
      </c>
      <c r="M93" s="971">
        <v>30.5</v>
      </c>
      <c r="N93" s="971">
        <v>15.3</v>
      </c>
      <c r="O93" s="971">
        <v>3</v>
      </c>
      <c r="P93" s="971">
        <v>2.1</v>
      </c>
      <c r="Q93" s="971">
        <v>8.1999999999999993</v>
      </c>
      <c r="R93" t="s">
        <v>9258</v>
      </c>
      <c r="U93" t="s">
        <v>9333</v>
      </c>
      <c r="V93" s="871">
        <v>46293</v>
      </c>
      <c r="W9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21.380000000000003</v>
      </c>
      <c r="X9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2.46</v>
      </c>
      <c r="Y93" s="974">
        <f>IFERROR(tblConcentrado[[#This Row],[Concentrado (TMS)]]/tblConcentrado[[#This Row],[Mineral (TMS)]],"")</f>
        <v>0.80742778541953231</v>
      </c>
      <c r="Z93" s="973">
        <f>IFERROR(1/tblConcentrado[[#This Row],[% Recup.]],0)</f>
        <v>1.2385008517887564</v>
      </c>
      <c r="AA93" s="975" t="str">
        <f>IF(COUNTIFS(tblConcentrado[ID],tblConcentrado[[#This Row],[ID]])&gt;1,"Duplicado","")</f>
        <v/>
      </c>
    </row>
    <row r="94" spans="2:27">
      <c r="B94" s="976">
        <f>(YEAR(tblConcentrado[[#This Row],[Fecha]])*10000+MONTH(tblConcentrado[[#This Row],[Fecha]])*100+DAY(tblConcentrado[[#This Row],[Fecha]]))*100+tblConcentrado[[#This Row],[N° hora]]</f>
        <v>2026090418</v>
      </c>
      <c r="C94" s="871">
        <v>46269</v>
      </c>
      <c r="D94">
        <v>18</v>
      </c>
      <c r="E94" s="952">
        <v>8.3333333333333301E-2</v>
      </c>
      <c r="F94" s="256">
        <v>1470</v>
      </c>
      <c r="G94" s="256">
        <v>760</v>
      </c>
      <c r="H94" s="970"/>
      <c r="I94" s="970"/>
      <c r="J94" s="970"/>
      <c r="K94" s="970"/>
      <c r="L94" s="970"/>
      <c r="M94" s="971"/>
      <c r="N94" s="971"/>
      <c r="O94" s="971"/>
      <c r="P94" s="971"/>
      <c r="Q94" s="971"/>
      <c r="R94" t="s">
        <v>9258</v>
      </c>
      <c r="U94" t="s">
        <v>9333</v>
      </c>
      <c r="V94" s="871">
        <v>46293</v>
      </c>
      <c r="W9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9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94" s="974">
        <f>IFERROR(tblConcentrado[[#This Row],[Concentrado (TMS)]]/tblConcentrado[[#This Row],[Mineral (TMS)]],"")</f>
        <v>0.51700680272108845</v>
      </c>
      <c r="Z94" s="973">
        <f>IFERROR(1/tblConcentrado[[#This Row],[% Recup.]],0)</f>
        <v>1.9342105263157894</v>
      </c>
      <c r="AA94" s="975" t="str">
        <f>IF(COUNTIFS(tblConcentrado[ID],tblConcentrado[[#This Row],[ID]])&gt;1,"Duplicado","")</f>
        <v/>
      </c>
    </row>
    <row r="95" spans="2:27">
      <c r="B95" s="976">
        <f>(YEAR(tblConcentrado[[#This Row],[Fecha]])*10000+MONTH(tblConcentrado[[#This Row],[Fecha]])*100+DAY(tblConcentrado[[#This Row],[Fecha]]))*100+tblConcentrado[[#This Row],[N° hora]]</f>
        <v>2026090419</v>
      </c>
      <c r="C95" s="871">
        <v>46269</v>
      </c>
      <c r="D95">
        <v>19</v>
      </c>
      <c r="E95" s="952">
        <v>0.125</v>
      </c>
      <c r="F95" s="256">
        <v>1418</v>
      </c>
      <c r="G95" s="256">
        <v>1125</v>
      </c>
      <c r="H95" s="970">
        <v>0.154</v>
      </c>
      <c r="I95" s="970">
        <v>0.40600000000000003</v>
      </c>
      <c r="J95" s="970">
        <v>0.3</v>
      </c>
      <c r="K95" s="970">
        <v>0.59699999999999998</v>
      </c>
      <c r="L95" s="970">
        <v>0.41</v>
      </c>
      <c r="M95" s="971">
        <v>27.1</v>
      </c>
      <c r="N95" s="971">
        <v>15.6</v>
      </c>
      <c r="O95" s="971">
        <v>2.7</v>
      </c>
      <c r="P95" s="971">
        <v>2.2999999999999998</v>
      </c>
      <c r="Q95" s="971">
        <v>8.1</v>
      </c>
      <c r="R95" t="s">
        <v>9258</v>
      </c>
      <c r="S95" t="s">
        <v>116</v>
      </c>
      <c r="U95" t="s">
        <v>9333</v>
      </c>
      <c r="V95" s="871">
        <v>46293</v>
      </c>
      <c r="W9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20.200000000000003</v>
      </c>
      <c r="X9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2.46</v>
      </c>
      <c r="Y95" s="974">
        <f>IFERROR(tblConcentrado[[#This Row],[Concentrado (TMS)]]/tblConcentrado[[#This Row],[Mineral (TMS)]],"")</f>
        <v>0.7933709449929478</v>
      </c>
      <c r="Z95" s="973">
        <f>IFERROR(1/tblConcentrado[[#This Row],[% Recup.]],0)</f>
        <v>1.2604444444444445</v>
      </c>
      <c r="AA95" s="975" t="str">
        <f>IF(COUNTIFS(tblConcentrado[ID],tblConcentrado[[#This Row],[ID]])&gt;1,"Duplicado","")</f>
        <v/>
      </c>
    </row>
    <row r="96" spans="2:27">
      <c r="B96" s="976">
        <f>(YEAR(tblConcentrado[[#This Row],[Fecha]])*10000+MONTH(tblConcentrado[[#This Row],[Fecha]])*100+DAY(tblConcentrado[[#This Row],[Fecha]]))*100+tblConcentrado[[#This Row],[N° hora]]</f>
        <v>2026090420</v>
      </c>
      <c r="C96" s="871">
        <v>46269</v>
      </c>
      <c r="D96">
        <v>20</v>
      </c>
      <c r="E96" s="952">
        <v>0.16666666666666699</v>
      </c>
      <c r="F96" s="256">
        <v>1398</v>
      </c>
      <c r="G96" s="256">
        <v>935</v>
      </c>
      <c r="H96" s="970"/>
      <c r="I96" s="970"/>
      <c r="J96" s="970"/>
      <c r="K96" s="970"/>
      <c r="L96" s="970"/>
      <c r="M96" s="971"/>
      <c r="N96" s="971"/>
      <c r="O96" s="971"/>
      <c r="P96" s="971"/>
      <c r="Q96" s="971"/>
      <c r="R96" t="s">
        <v>9258</v>
      </c>
      <c r="U96" t="s">
        <v>9333</v>
      </c>
      <c r="V96" s="871">
        <v>46293</v>
      </c>
      <c r="W9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9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96" s="974">
        <f>IFERROR(tblConcentrado[[#This Row],[Concentrado (TMS)]]/tblConcentrado[[#This Row],[Mineral (TMS)]],"")</f>
        <v>0.66881258941344779</v>
      </c>
      <c r="Z96" s="973">
        <f>IFERROR(1/tblConcentrado[[#This Row],[% Recup.]],0)</f>
        <v>1.495187165775401</v>
      </c>
      <c r="AA96" s="975" t="str">
        <f>IF(COUNTIFS(tblConcentrado[ID],tblConcentrado[[#This Row],[ID]])&gt;1,"Duplicado","")</f>
        <v/>
      </c>
    </row>
    <row r="97" spans="2:27">
      <c r="B97" s="976">
        <f>(YEAR(tblConcentrado[[#This Row],[Fecha]])*10000+MONTH(tblConcentrado[[#This Row],[Fecha]])*100+DAY(tblConcentrado[[#This Row],[Fecha]]))*100+tblConcentrado[[#This Row],[N° hora]]</f>
        <v>2026090421</v>
      </c>
      <c r="C97" s="871">
        <v>46269</v>
      </c>
      <c r="D97">
        <v>21</v>
      </c>
      <c r="E97" s="952">
        <v>0.20833333333333301</v>
      </c>
      <c r="F97" s="256">
        <v>1412</v>
      </c>
      <c r="G97" s="256">
        <v>1032</v>
      </c>
      <c r="H97" s="970">
        <v>0.16500000000000001</v>
      </c>
      <c r="I97" s="970">
        <v>0.433</v>
      </c>
      <c r="J97" s="970">
        <v>0.37</v>
      </c>
      <c r="K97" s="970">
        <v>0.51100000000000001</v>
      </c>
      <c r="L97" s="970">
        <v>0.38</v>
      </c>
      <c r="M97" s="971">
        <v>27</v>
      </c>
      <c r="N97" s="971">
        <v>14.6</v>
      </c>
      <c r="O97" s="971">
        <v>2.8</v>
      </c>
      <c r="P97" s="971">
        <v>2.2000000000000002</v>
      </c>
      <c r="Q97" s="971">
        <v>8.4</v>
      </c>
      <c r="R97" t="s">
        <v>9258</v>
      </c>
      <c r="U97" t="s">
        <v>9333</v>
      </c>
      <c r="V97" s="871">
        <v>46293</v>
      </c>
      <c r="W9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19.560000000000002</v>
      </c>
      <c r="X9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2.44</v>
      </c>
      <c r="Y97" s="974">
        <f>IFERROR(tblConcentrado[[#This Row],[Concentrado (TMS)]]/tblConcentrado[[#This Row],[Mineral (TMS)]],"")</f>
        <v>0.73087818696883855</v>
      </c>
      <c r="Z97" s="973">
        <f>IFERROR(1/tblConcentrado[[#This Row],[% Recup.]],0)</f>
        <v>1.3682170542635659</v>
      </c>
      <c r="AA97" s="975" t="str">
        <f>IF(COUNTIFS(tblConcentrado[ID],tblConcentrado[[#This Row],[ID]])&gt;1,"Duplicado","")</f>
        <v/>
      </c>
    </row>
    <row r="98" spans="2:27">
      <c r="B98" s="976">
        <f>(YEAR(tblConcentrado[[#This Row],[Fecha]])*10000+MONTH(tblConcentrado[[#This Row],[Fecha]])*100+DAY(tblConcentrado[[#This Row],[Fecha]]))*100+tblConcentrado[[#This Row],[N° hora]]</f>
        <v>2026090422</v>
      </c>
      <c r="C98" s="871">
        <v>46269</v>
      </c>
      <c r="D98">
        <v>22</v>
      </c>
      <c r="E98" s="952">
        <v>0.25</v>
      </c>
      <c r="F98" s="256">
        <v>1401</v>
      </c>
      <c r="G98" s="256">
        <v>919</v>
      </c>
      <c r="H98" s="970"/>
      <c r="I98" s="970"/>
      <c r="J98" s="970"/>
      <c r="K98" s="970"/>
      <c r="L98" s="970"/>
      <c r="M98" s="971"/>
      <c r="N98" s="971"/>
      <c r="O98" s="971"/>
      <c r="P98" s="971"/>
      <c r="Q98" s="971"/>
      <c r="R98" t="s">
        <v>9258</v>
      </c>
      <c r="U98" t="s">
        <v>9333</v>
      </c>
      <c r="V98" s="871">
        <v>46293</v>
      </c>
      <c r="W9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9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98" s="974">
        <f>IFERROR(tblConcentrado[[#This Row],[Concentrado (TMS)]]/tblConcentrado[[#This Row],[Mineral (TMS)]],"")</f>
        <v>0.65596002855103497</v>
      </c>
      <c r="Z98" s="973">
        <f>IFERROR(1/tblConcentrado[[#This Row],[% Recup.]],0)</f>
        <v>1.5244831338411318</v>
      </c>
      <c r="AA98" s="975" t="str">
        <f>IF(COUNTIFS(tblConcentrado[ID],tblConcentrado[[#This Row],[ID]])&gt;1,"Duplicado","")</f>
        <v/>
      </c>
    </row>
    <row r="99" spans="2:27">
      <c r="B99" s="976">
        <f>(YEAR(tblConcentrado[[#This Row],[Fecha]])*10000+MONTH(tblConcentrado[[#This Row],[Fecha]])*100+DAY(tblConcentrado[[#This Row],[Fecha]]))*100+tblConcentrado[[#This Row],[N° hora]]</f>
        <v>2026090423</v>
      </c>
      <c r="C99" s="871">
        <v>46269</v>
      </c>
      <c r="D99">
        <v>23</v>
      </c>
      <c r="E99" s="952">
        <v>0.29166666666666702</v>
      </c>
      <c r="F99" s="256">
        <v>1405</v>
      </c>
      <c r="G99" s="256">
        <v>973</v>
      </c>
      <c r="H99" s="970">
        <v>0.159</v>
      </c>
      <c r="I99" s="970">
        <v>0.438</v>
      </c>
      <c r="J99" s="970">
        <v>0.4</v>
      </c>
      <c r="K99" s="970">
        <v>0.54600000000000004</v>
      </c>
      <c r="L99" s="970">
        <v>0.43</v>
      </c>
      <c r="M99" s="971">
        <v>27</v>
      </c>
      <c r="N99" s="971">
        <v>14.3</v>
      </c>
      <c r="O99" s="971">
        <v>2.9</v>
      </c>
      <c r="P99" s="971">
        <v>2</v>
      </c>
      <c r="Q99" s="971">
        <v>8.3000000000000007</v>
      </c>
      <c r="R99" t="s">
        <v>9258</v>
      </c>
      <c r="U99" t="s">
        <v>9333</v>
      </c>
      <c r="V99" s="871">
        <v>46293</v>
      </c>
      <c r="W9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19.380000000000003</v>
      </c>
      <c r="X9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2.36</v>
      </c>
      <c r="Y99" s="974">
        <f>IFERROR(tblConcentrado[[#This Row],[Concentrado (TMS)]]/tblConcentrado[[#This Row],[Mineral (TMS)]],"")</f>
        <v>0.69252669039145909</v>
      </c>
      <c r="Z99" s="973">
        <f>IFERROR(1/tblConcentrado[[#This Row],[% Recup.]],0)</f>
        <v>1.4439876670092497</v>
      </c>
      <c r="AA99" s="975" t="str">
        <f>IF(COUNTIFS(tblConcentrado[ID],tblConcentrado[[#This Row],[ID]])&gt;1,"Duplicado","")</f>
        <v/>
      </c>
    </row>
    <row r="100" spans="2:27">
      <c r="B100" s="976">
        <f>(YEAR(tblConcentrado[[#This Row],[Fecha]])*10000+MONTH(tblConcentrado[[#This Row],[Fecha]])*100+DAY(tblConcentrado[[#This Row],[Fecha]]))*100+tblConcentrado[[#This Row],[N° hora]]</f>
        <v>2026090424</v>
      </c>
      <c r="C100" s="871">
        <v>46269</v>
      </c>
      <c r="D100">
        <v>24</v>
      </c>
      <c r="E100" s="952">
        <v>0.33333333333333298</v>
      </c>
      <c r="F100" s="256">
        <v>1391</v>
      </c>
      <c r="G100" s="256">
        <v>666</v>
      </c>
      <c r="H100" s="970"/>
      <c r="I100" s="970"/>
      <c r="J100" s="970"/>
      <c r="K100" s="970"/>
      <c r="L100" s="970"/>
      <c r="M100" s="971"/>
      <c r="N100" s="971"/>
      <c r="O100" s="971"/>
      <c r="P100" s="971"/>
      <c r="Q100" s="971"/>
      <c r="R100" t="s">
        <v>9258</v>
      </c>
      <c r="U100" t="s">
        <v>9333</v>
      </c>
      <c r="V100" s="871">
        <v>46293</v>
      </c>
      <c r="W10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0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00" s="974">
        <f>IFERROR(tblConcentrado[[#This Row],[Concentrado (TMS)]]/tblConcentrado[[#This Row],[Mineral (TMS)]],"")</f>
        <v>0.47879223580158159</v>
      </c>
      <c r="Z100" s="973">
        <f>IFERROR(1/tblConcentrado[[#This Row],[% Recup.]],0)</f>
        <v>2.0885885885885886</v>
      </c>
      <c r="AA100" s="975" t="str">
        <f>IF(COUNTIFS(tblConcentrado[ID],tblConcentrado[[#This Row],[ID]])&gt;1,"Duplicado","")</f>
        <v/>
      </c>
    </row>
    <row r="101" spans="2:27">
      <c r="B101" s="976">
        <f>(YEAR(tblConcentrado[[#This Row],[Fecha]])*10000+MONTH(tblConcentrado[[#This Row],[Fecha]])*100+DAY(tblConcentrado[[#This Row],[Fecha]]))*100+tblConcentrado[[#This Row],[N° hora]]</f>
        <v>2026090501</v>
      </c>
      <c r="C101" s="871">
        <v>46270</v>
      </c>
      <c r="D101">
        <v>1</v>
      </c>
      <c r="E101" s="952">
        <v>0.375</v>
      </c>
      <c r="F101" s="256">
        <v>1430</v>
      </c>
      <c r="G101" s="256">
        <v>923</v>
      </c>
      <c r="H101" s="970">
        <v>0.182</v>
      </c>
      <c r="I101" s="970">
        <v>0.89800000000000002</v>
      </c>
      <c r="J101" s="970">
        <v>0.43</v>
      </c>
      <c r="K101" s="970">
        <v>0.92700000000000005</v>
      </c>
      <c r="L101" s="970">
        <v>0.46</v>
      </c>
      <c r="M101" s="971">
        <v>25</v>
      </c>
      <c r="N101" s="971">
        <v>17</v>
      </c>
      <c r="O101" s="971">
        <v>3.2</v>
      </c>
      <c r="P101" s="971">
        <v>2.9</v>
      </c>
      <c r="Q101" s="971">
        <v>8.3000000000000007</v>
      </c>
      <c r="R101" t="s">
        <v>9258</v>
      </c>
      <c r="U101" t="s">
        <v>9333</v>
      </c>
      <c r="V101" s="871">
        <v>46293</v>
      </c>
      <c r="W10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20.2</v>
      </c>
      <c r="X10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3.0200000000000005</v>
      </c>
      <c r="Y101" s="974">
        <f>IFERROR(tblConcentrado[[#This Row],[Concentrado (TMS)]]/tblConcentrado[[#This Row],[Mineral (TMS)]],"")</f>
        <v>0.6454545454545455</v>
      </c>
      <c r="Z101" s="973">
        <f>IFERROR(1/tblConcentrado[[#This Row],[% Recup.]],0)</f>
        <v>1.5492957746478873</v>
      </c>
      <c r="AA101" s="975" t="str">
        <f>IF(COUNTIFS(tblConcentrado[ID],tblConcentrado[[#This Row],[ID]])&gt;1,"Duplicado","")</f>
        <v/>
      </c>
    </row>
    <row r="102" spans="2:27">
      <c r="B102" s="976">
        <f>(YEAR(tblConcentrado[[#This Row],[Fecha]])*10000+MONTH(tblConcentrado[[#This Row],[Fecha]])*100+DAY(tblConcentrado[[#This Row],[Fecha]]))*100+tblConcentrado[[#This Row],[N° hora]]</f>
        <v>2026090502</v>
      </c>
      <c r="C102" s="871">
        <v>46270</v>
      </c>
      <c r="D102">
        <v>2</v>
      </c>
      <c r="E102" s="952">
        <v>0.41666666666666702</v>
      </c>
      <c r="F102" s="256">
        <v>1406</v>
      </c>
      <c r="G102" s="256">
        <v>573</v>
      </c>
      <c r="H102" s="970"/>
      <c r="I102" s="970"/>
      <c r="J102" s="970"/>
      <c r="K102" s="970"/>
      <c r="L102" s="970"/>
      <c r="M102" s="971"/>
      <c r="N102" s="971"/>
      <c r="O102" s="971"/>
      <c r="P102" s="971"/>
      <c r="Q102" s="971"/>
      <c r="R102" t="s">
        <v>9258</v>
      </c>
      <c r="T102" t="s">
        <v>117</v>
      </c>
      <c r="U102" t="s">
        <v>9333</v>
      </c>
      <c r="V102" s="871">
        <v>46293</v>
      </c>
      <c r="W10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0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02" s="974">
        <f>IFERROR(tblConcentrado[[#This Row],[Concentrado (TMS)]]/tblConcentrado[[#This Row],[Mineral (TMS)]],"")</f>
        <v>0.40753911806543386</v>
      </c>
      <c r="Z102" s="973">
        <f>IFERROR(1/tblConcentrado[[#This Row],[% Recup.]],0)</f>
        <v>2.4537521815008727</v>
      </c>
      <c r="AA102" s="975" t="str">
        <f>IF(COUNTIFS(tblConcentrado[ID],tblConcentrado[[#This Row],[ID]])&gt;1,"Duplicado","")</f>
        <v/>
      </c>
    </row>
    <row r="103" spans="2:27">
      <c r="B103" s="976">
        <f>(YEAR(tblConcentrado[[#This Row],[Fecha]])*10000+MONTH(tblConcentrado[[#This Row],[Fecha]])*100+DAY(tblConcentrado[[#This Row],[Fecha]]))*100+tblConcentrado[[#This Row],[N° hora]]</f>
        <v>2026090503</v>
      </c>
      <c r="C103" s="871">
        <v>46270</v>
      </c>
      <c r="D103">
        <v>3</v>
      </c>
      <c r="E103" s="952">
        <v>0.45833333333333298</v>
      </c>
      <c r="F103" s="256">
        <v>1411</v>
      </c>
      <c r="G103" s="256">
        <v>1115</v>
      </c>
      <c r="H103" s="970">
        <v>0.189</v>
      </c>
      <c r="I103" s="970">
        <v>0.73699999999999999</v>
      </c>
      <c r="J103" s="970">
        <v>0.41</v>
      </c>
      <c r="K103" s="970">
        <v>0.66800000000000004</v>
      </c>
      <c r="L103" s="970">
        <v>0.4</v>
      </c>
      <c r="M103" s="971">
        <v>30.1</v>
      </c>
      <c r="N103" s="971">
        <v>18</v>
      </c>
      <c r="O103" s="971">
        <v>3.5</v>
      </c>
      <c r="P103" s="971">
        <v>2.9</v>
      </c>
      <c r="Q103" s="971">
        <v>8.1999999999999993</v>
      </c>
      <c r="R103" t="s">
        <v>9258</v>
      </c>
      <c r="U103" t="s">
        <v>9333</v>
      </c>
      <c r="V103" s="871">
        <v>46293</v>
      </c>
      <c r="W10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22.84</v>
      </c>
      <c r="X10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3.14</v>
      </c>
      <c r="Y103" s="974">
        <f>IFERROR(tblConcentrado[[#This Row],[Concentrado (TMS)]]/tblConcentrado[[#This Row],[Mineral (TMS)]],"")</f>
        <v>0.79021970233876682</v>
      </c>
      <c r="Z103" s="973">
        <f>IFERROR(1/tblConcentrado[[#This Row],[% Recup.]],0)</f>
        <v>1.2654708520179372</v>
      </c>
      <c r="AA103" s="975" t="str">
        <f>IF(COUNTIFS(tblConcentrado[ID],tblConcentrado[[#This Row],[ID]])&gt;1,"Duplicado","")</f>
        <v/>
      </c>
    </row>
    <row r="104" spans="2:27">
      <c r="B104" s="976">
        <f>(YEAR(tblConcentrado[[#This Row],[Fecha]])*10000+MONTH(tblConcentrado[[#This Row],[Fecha]])*100+DAY(tblConcentrado[[#This Row],[Fecha]]))*100+tblConcentrado[[#This Row],[N° hora]]</f>
        <v>2026090504</v>
      </c>
      <c r="C104" s="871">
        <v>46270</v>
      </c>
      <c r="D104">
        <v>4</v>
      </c>
      <c r="E104" s="952">
        <v>0.5</v>
      </c>
      <c r="F104" s="256">
        <v>1419</v>
      </c>
      <c r="G104" s="256">
        <v>1013</v>
      </c>
      <c r="H104" s="970"/>
      <c r="I104" s="970"/>
      <c r="J104" s="970"/>
      <c r="K104" s="970"/>
      <c r="L104" s="970"/>
      <c r="M104" s="971"/>
      <c r="N104" s="971"/>
      <c r="O104" s="971"/>
      <c r="P104" s="971"/>
      <c r="Q104" s="971"/>
      <c r="R104" t="s">
        <v>9258</v>
      </c>
      <c r="U104" t="s">
        <v>9333</v>
      </c>
      <c r="V104" s="871">
        <v>46293</v>
      </c>
      <c r="W10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0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04" s="974">
        <f>IFERROR(tblConcentrado[[#This Row],[Concentrado (TMS)]]/tblConcentrado[[#This Row],[Mineral (TMS)]],"")</f>
        <v>0.71388301620859762</v>
      </c>
      <c r="Z104" s="973">
        <f>IFERROR(1/tblConcentrado[[#This Row],[% Recup.]],0)</f>
        <v>1.4007897334649555</v>
      </c>
      <c r="AA104" s="975" t="str">
        <f>IF(COUNTIFS(tblConcentrado[ID],tblConcentrado[[#This Row],[ID]])&gt;1,"Duplicado","")</f>
        <v/>
      </c>
    </row>
    <row r="105" spans="2:27">
      <c r="B105" s="976">
        <f>(YEAR(tblConcentrado[[#This Row],[Fecha]])*10000+MONTH(tblConcentrado[[#This Row],[Fecha]])*100+DAY(tblConcentrado[[#This Row],[Fecha]]))*100+tblConcentrado[[#This Row],[N° hora]]</f>
        <v>2026090505</v>
      </c>
      <c r="C105" s="871">
        <v>46270</v>
      </c>
      <c r="D105">
        <v>5</v>
      </c>
      <c r="E105" s="952">
        <v>0.54166666666666696</v>
      </c>
      <c r="F105" s="256">
        <v>1404</v>
      </c>
      <c r="G105" s="256">
        <v>1012</v>
      </c>
      <c r="H105" s="970">
        <v>0.17799999999999999</v>
      </c>
      <c r="I105" s="970">
        <v>0.69399999999999995</v>
      </c>
      <c r="J105" s="970">
        <v>0.4</v>
      </c>
      <c r="K105" s="970">
        <v>0.76</v>
      </c>
      <c r="L105" s="970">
        <v>0.43</v>
      </c>
      <c r="M105" s="971">
        <v>31.2</v>
      </c>
      <c r="N105" s="971">
        <v>15.1</v>
      </c>
      <c r="O105" s="971">
        <v>3</v>
      </c>
      <c r="P105" s="971">
        <v>2.4</v>
      </c>
      <c r="Q105" s="971">
        <v>8.1</v>
      </c>
      <c r="R105" t="s">
        <v>9258</v>
      </c>
      <c r="U105" t="s">
        <v>9333</v>
      </c>
      <c r="V105" s="871">
        <v>46293</v>
      </c>
      <c r="W10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21.54</v>
      </c>
      <c r="X10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2.64</v>
      </c>
      <c r="Y105" s="974">
        <f>IFERROR(tblConcentrado[[#This Row],[Concentrado (TMS)]]/tblConcentrado[[#This Row],[Mineral (TMS)]],"")</f>
        <v>0.72079772079772075</v>
      </c>
      <c r="Z105" s="973">
        <f>IFERROR(1/tblConcentrado[[#This Row],[% Recup.]],0)</f>
        <v>1.3873517786561265</v>
      </c>
      <c r="AA105" s="975" t="str">
        <f>IF(COUNTIFS(tblConcentrado[ID],tblConcentrado[[#This Row],[ID]])&gt;1,"Duplicado","")</f>
        <v/>
      </c>
    </row>
    <row r="106" spans="2:27">
      <c r="B106" s="976">
        <f>(YEAR(tblConcentrado[[#This Row],[Fecha]])*10000+MONTH(tblConcentrado[[#This Row],[Fecha]])*100+DAY(tblConcentrado[[#This Row],[Fecha]]))*100+tblConcentrado[[#This Row],[N° hora]]</f>
        <v>2026090506</v>
      </c>
      <c r="C106" s="871">
        <v>46270</v>
      </c>
      <c r="D106">
        <v>6</v>
      </c>
      <c r="E106" s="952">
        <v>0.58333333333333304</v>
      </c>
      <c r="F106" s="256">
        <v>1388</v>
      </c>
      <c r="G106" s="256">
        <v>1036</v>
      </c>
      <c r="H106" s="970"/>
      <c r="I106" s="970"/>
      <c r="J106" s="970"/>
      <c r="K106" s="970"/>
      <c r="L106" s="970"/>
      <c r="M106" s="971"/>
      <c r="N106" s="971"/>
      <c r="O106" s="971"/>
      <c r="P106" s="971"/>
      <c r="Q106" s="971"/>
      <c r="R106" t="s">
        <v>9258</v>
      </c>
      <c r="U106" t="s">
        <v>9333</v>
      </c>
      <c r="V106" s="871">
        <v>46293</v>
      </c>
      <c r="W10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0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06" s="974">
        <f>IFERROR(tblConcentrado[[#This Row],[Concentrado (TMS)]]/tblConcentrado[[#This Row],[Mineral (TMS)]],"")</f>
        <v>0.74639769452449567</v>
      </c>
      <c r="Z106" s="973">
        <f>IFERROR(1/tblConcentrado[[#This Row],[% Recup.]],0)</f>
        <v>1.3397683397683398</v>
      </c>
      <c r="AA106" s="975" t="str">
        <f>IF(COUNTIFS(tblConcentrado[ID],tblConcentrado[[#This Row],[ID]])&gt;1,"Duplicado","")</f>
        <v/>
      </c>
    </row>
    <row r="107" spans="2:27">
      <c r="B107" s="976">
        <f>(YEAR(tblConcentrado[[#This Row],[Fecha]])*10000+MONTH(tblConcentrado[[#This Row],[Fecha]])*100+DAY(tblConcentrado[[#This Row],[Fecha]]))*100+tblConcentrado[[#This Row],[N° hora]]</f>
        <v>2026090507</v>
      </c>
      <c r="C107" s="871">
        <v>46270</v>
      </c>
      <c r="D107">
        <v>7</v>
      </c>
      <c r="E107" s="952">
        <v>0.625</v>
      </c>
      <c r="F107" s="256">
        <v>1391</v>
      </c>
      <c r="G107" s="256">
        <v>1004</v>
      </c>
      <c r="H107" s="970">
        <v>0.14799999999999999</v>
      </c>
      <c r="I107" s="970">
        <v>0.629</v>
      </c>
      <c r="J107" s="970">
        <v>0.38</v>
      </c>
      <c r="K107" s="970">
        <v>0.79700000000000004</v>
      </c>
      <c r="L107" s="970">
        <v>0.44</v>
      </c>
      <c r="M107" s="971">
        <v>27</v>
      </c>
      <c r="N107" s="971">
        <v>15.4</v>
      </c>
      <c r="O107" s="971">
        <v>3.3</v>
      </c>
      <c r="P107" s="971">
        <v>2.4</v>
      </c>
      <c r="Q107" s="971">
        <v>8.1</v>
      </c>
      <c r="R107" t="s">
        <v>9258</v>
      </c>
      <c r="U107" t="s">
        <v>9333</v>
      </c>
      <c r="V107" s="871">
        <v>46293</v>
      </c>
      <c r="W10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20.04</v>
      </c>
      <c r="X10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2.76</v>
      </c>
      <c r="Y107" s="974">
        <f>IFERROR(tblConcentrado[[#This Row],[Concentrado (TMS)]]/tblConcentrado[[#This Row],[Mineral (TMS)]],"")</f>
        <v>0.72178289000718909</v>
      </c>
      <c r="Z107" s="973">
        <f>IFERROR(1/tblConcentrado[[#This Row],[% Recup.]],0)</f>
        <v>1.3854581673306772</v>
      </c>
      <c r="AA107" s="975" t="str">
        <f>IF(COUNTIFS(tblConcentrado[ID],tblConcentrado[[#This Row],[ID]])&gt;1,"Duplicado","")</f>
        <v/>
      </c>
    </row>
    <row r="108" spans="2:27">
      <c r="B108" s="976">
        <f>(YEAR(tblConcentrado[[#This Row],[Fecha]])*10000+MONTH(tblConcentrado[[#This Row],[Fecha]])*100+DAY(tblConcentrado[[#This Row],[Fecha]]))*100+tblConcentrado[[#This Row],[N° hora]]</f>
        <v>2026090508</v>
      </c>
      <c r="C108" s="871">
        <v>46270</v>
      </c>
      <c r="D108">
        <v>8</v>
      </c>
      <c r="E108" s="952">
        <v>0.66666666666666696</v>
      </c>
      <c r="F108" s="256">
        <v>1404</v>
      </c>
      <c r="G108" s="256">
        <v>603</v>
      </c>
      <c r="H108" s="970"/>
      <c r="I108" s="970"/>
      <c r="J108" s="970"/>
      <c r="K108" s="970"/>
      <c r="L108" s="970"/>
      <c r="M108" s="971"/>
      <c r="N108" s="971"/>
      <c r="O108" s="971"/>
      <c r="P108" s="971"/>
      <c r="Q108" s="971"/>
      <c r="R108" t="s">
        <v>9258</v>
      </c>
      <c r="T108" t="s">
        <v>118</v>
      </c>
      <c r="U108" t="s">
        <v>9333</v>
      </c>
      <c r="V108" s="871">
        <v>46293</v>
      </c>
      <c r="W10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0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08" s="974">
        <f>IFERROR(tblConcentrado[[#This Row],[Concentrado (TMS)]]/tblConcentrado[[#This Row],[Mineral (TMS)]],"")</f>
        <v>0.42948717948717946</v>
      </c>
      <c r="Z108" s="973">
        <f>IFERROR(1/tblConcentrado[[#This Row],[% Recup.]],0)</f>
        <v>2.3283582089552239</v>
      </c>
      <c r="AA108" s="975" t="str">
        <f>IF(COUNTIFS(tblConcentrado[ID],tblConcentrado[[#This Row],[ID]])&gt;1,"Duplicado","")</f>
        <v/>
      </c>
    </row>
    <row r="109" spans="2:27">
      <c r="B109" s="976">
        <f>(YEAR(tblConcentrado[[#This Row],[Fecha]])*10000+MONTH(tblConcentrado[[#This Row],[Fecha]])*100+DAY(tblConcentrado[[#This Row],[Fecha]]))*100+tblConcentrado[[#This Row],[N° hora]]</f>
        <v>2026090509</v>
      </c>
      <c r="C109" s="871">
        <v>46270</v>
      </c>
      <c r="D109">
        <v>9</v>
      </c>
      <c r="E109" s="952">
        <v>0.70833333333333304</v>
      </c>
      <c r="F109" s="256">
        <v>1420</v>
      </c>
      <c r="G109" s="256">
        <v>1047</v>
      </c>
      <c r="H109" s="970">
        <v>0.16200000000000001</v>
      </c>
      <c r="I109" s="970">
        <v>0.74299999999999999</v>
      </c>
      <c r="J109" s="970">
        <v>0.41</v>
      </c>
      <c r="K109" s="970">
        <v>0.61</v>
      </c>
      <c r="L109" s="970">
        <v>0.37</v>
      </c>
      <c r="M109" s="971">
        <v>27.5</v>
      </c>
      <c r="N109" s="971">
        <v>15.8</v>
      </c>
      <c r="O109" s="971">
        <v>3.1</v>
      </c>
      <c r="P109" s="971">
        <v>2.8</v>
      </c>
      <c r="Q109" s="971">
        <v>8.3000000000000007</v>
      </c>
      <c r="R109" t="s">
        <v>9258</v>
      </c>
      <c r="S109" t="s">
        <v>119</v>
      </c>
      <c r="U109" t="s">
        <v>9333</v>
      </c>
      <c r="V109" s="871">
        <v>46293</v>
      </c>
      <c r="W10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20.48</v>
      </c>
      <c r="X10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2.92</v>
      </c>
      <c r="Y109" s="974">
        <f>IFERROR(tblConcentrado[[#This Row],[Concentrado (TMS)]]/tblConcentrado[[#This Row],[Mineral (TMS)]],"")</f>
        <v>0.73732394366197185</v>
      </c>
      <c r="Z109" s="973">
        <f>IFERROR(1/tblConcentrado[[#This Row],[% Recup.]],0)</f>
        <v>1.3562559694364851</v>
      </c>
      <c r="AA109" s="975" t="str">
        <f>IF(COUNTIFS(tblConcentrado[ID],tblConcentrado[[#This Row],[ID]])&gt;1,"Duplicado","")</f>
        <v/>
      </c>
    </row>
    <row r="110" spans="2:27">
      <c r="B110" s="976">
        <f>(YEAR(tblConcentrado[[#This Row],[Fecha]])*10000+MONTH(tblConcentrado[[#This Row],[Fecha]])*100+DAY(tblConcentrado[[#This Row],[Fecha]]))*100+tblConcentrado[[#This Row],[N° hora]]</f>
        <v>2026090510</v>
      </c>
      <c r="C110" s="871">
        <v>46270</v>
      </c>
      <c r="D110">
        <v>10</v>
      </c>
      <c r="E110" s="952">
        <v>0.75</v>
      </c>
      <c r="F110" s="256">
        <v>1418</v>
      </c>
      <c r="G110" s="256">
        <v>1018</v>
      </c>
      <c r="H110" s="970"/>
      <c r="I110" s="970"/>
      <c r="J110" s="970"/>
      <c r="K110" s="970"/>
      <c r="L110" s="970"/>
      <c r="M110" s="971"/>
      <c r="N110" s="971"/>
      <c r="O110" s="971"/>
      <c r="P110" s="971"/>
      <c r="Q110" s="971"/>
      <c r="R110" t="s">
        <v>9258</v>
      </c>
      <c r="S110" t="s">
        <v>120</v>
      </c>
      <c r="U110" t="s">
        <v>9333</v>
      </c>
      <c r="V110" s="871">
        <v>46293</v>
      </c>
      <c r="W11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1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10" s="974">
        <f>IFERROR(tblConcentrado[[#This Row],[Concentrado (TMS)]]/tblConcentrado[[#This Row],[Mineral (TMS)]],"")</f>
        <v>0.71791255289139633</v>
      </c>
      <c r="Z110" s="973">
        <f>IFERROR(1/tblConcentrado[[#This Row],[% Recup.]],0)</f>
        <v>1.3929273084479372</v>
      </c>
      <c r="AA110" s="975" t="str">
        <f>IF(COUNTIFS(tblConcentrado[ID],tblConcentrado[[#This Row],[ID]])&gt;1,"Duplicado","")</f>
        <v/>
      </c>
    </row>
    <row r="111" spans="2:27">
      <c r="B111" s="976">
        <f>(YEAR(tblConcentrado[[#This Row],[Fecha]])*10000+MONTH(tblConcentrado[[#This Row],[Fecha]])*100+DAY(tblConcentrado[[#This Row],[Fecha]]))*100+tblConcentrado[[#This Row],[N° hora]]</f>
        <v>2026090511</v>
      </c>
      <c r="C111" s="871">
        <v>46270</v>
      </c>
      <c r="D111">
        <v>11</v>
      </c>
      <c r="E111" s="952">
        <v>0.79166666666666696</v>
      </c>
      <c r="F111" s="256">
        <v>1413</v>
      </c>
      <c r="G111" s="256">
        <v>912</v>
      </c>
      <c r="H111" s="970">
        <v>0.161</v>
      </c>
      <c r="I111" s="970">
        <v>0.75700000000000001</v>
      </c>
      <c r="J111" s="970">
        <v>0.43</v>
      </c>
      <c r="K111" s="970">
        <v>0.66100000000000003</v>
      </c>
      <c r="L111" s="970">
        <v>0.39</v>
      </c>
      <c r="M111" s="971">
        <v>25.3</v>
      </c>
      <c r="N111" s="971">
        <v>13.8</v>
      </c>
      <c r="O111" s="971">
        <v>2.8</v>
      </c>
      <c r="P111" s="971">
        <v>2.4</v>
      </c>
      <c r="Q111" s="971">
        <v>8.1999999999999993</v>
      </c>
      <c r="R111" t="s">
        <v>9258</v>
      </c>
      <c r="U111" t="s">
        <v>9333</v>
      </c>
      <c r="V111" s="871">
        <v>46293</v>
      </c>
      <c r="W11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18.399999999999999</v>
      </c>
      <c r="X11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2.5599999999999996</v>
      </c>
      <c r="Y111" s="974">
        <f>IFERROR(tblConcentrado[[#This Row],[Concentrado (TMS)]]/tblConcentrado[[#This Row],[Mineral (TMS)]],"")</f>
        <v>0.64543524416135878</v>
      </c>
      <c r="Z111" s="973">
        <f>IFERROR(1/tblConcentrado[[#This Row],[% Recup.]],0)</f>
        <v>1.549342105263158</v>
      </c>
      <c r="AA111" s="975" t="str">
        <f>IF(COUNTIFS(tblConcentrado[ID],tblConcentrado[[#This Row],[ID]])&gt;1,"Duplicado","")</f>
        <v/>
      </c>
    </row>
    <row r="112" spans="2:27">
      <c r="B112" s="976">
        <f>(YEAR(tblConcentrado[[#This Row],[Fecha]])*10000+MONTH(tblConcentrado[[#This Row],[Fecha]])*100+DAY(tblConcentrado[[#This Row],[Fecha]]))*100+tblConcentrado[[#This Row],[N° hora]]</f>
        <v>2026090512</v>
      </c>
      <c r="C112" s="871">
        <v>46270</v>
      </c>
      <c r="D112">
        <v>12</v>
      </c>
      <c r="E112" s="952">
        <v>0.83333333333333304</v>
      </c>
      <c r="F112" s="256">
        <v>1436</v>
      </c>
      <c r="G112" s="256">
        <v>1048</v>
      </c>
      <c r="H112" s="970"/>
      <c r="I112" s="970"/>
      <c r="J112" s="970"/>
      <c r="K112" s="970"/>
      <c r="L112" s="970"/>
      <c r="M112" s="971"/>
      <c r="N112" s="971"/>
      <c r="O112" s="971"/>
      <c r="P112" s="971"/>
      <c r="Q112" s="971"/>
      <c r="R112" t="s">
        <v>9258</v>
      </c>
      <c r="S112" t="s">
        <v>121</v>
      </c>
      <c r="U112" t="s">
        <v>9333</v>
      </c>
      <c r="V112" s="871">
        <v>46293</v>
      </c>
      <c r="W11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1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12" s="974">
        <f>IFERROR(tblConcentrado[[#This Row],[Concentrado (TMS)]]/tblConcentrado[[#This Row],[Mineral (TMS)]],"")</f>
        <v>0.72980501392757657</v>
      </c>
      <c r="Z112" s="973">
        <f>IFERROR(1/tblConcentrado[[#This Row],[% Recup.]],0)</f>
        <v>1.3702290076335879</v>
      </c>
      <c r="AA112" s="975" t="str">
        <f>IF(COUNTIFS(tblConcentrado[ID],tblConcentrado[[#This Row],[ID]])&gt;1,"Duplicado","")</f>
        <v/>
      </c>
    </row>
    <row r="113" spans="2:27">
      <c r="B113" s="976">
        <f>(YEAR(tblConcentrado[[#This Row],[Fecha]])*10000+MONTH(tblConcentrado[[#This Row],[Fecha]])*100+DAY(tblConcentrado[[#This Row],[Fecha]]))*100+tblConcentrado[[#This Row],[N° hora]]</f>
        <v>2026090513</v>
      </c>
      <c r="C113" s="871">
        <v>46270</v>
      </c>
      <c r="D113">
        <v>13</v>
      </c>
      <c r="E113" s="952">
        <v>0.875</v>
      </c>
      <c r="F113" s="256">
        <v>1440</v>
      </c>
      <c r="G113" s="256">
        <v>932</v>
      </c>
      <c r="H113" s="970">
        <v>0.153</v>
      </c>
      <c r="I113" s="970">
        <v>0.60099999999999998</v>
      </c>
      <c r="J113" s="970">
        <v>0.37</v>
      </c>
      <c r="K113" s="970">
        <v>0.67200000000000004</v>
      </c>
      <c r="L113" s="970">
        <v>0.4</v>
      </c>
      <c r="M113" s="971">
        <v>24.2</v>
      </c>
      <c r="N113" s="971">
        <v>12.5</v>
      </c>
      <c r="O113" s="971">
        <v>2.5</v>
      </c>
      <c r="P113" s="971">
        <v>1.9</v>
      </c>
      <c r="Q113" s="971">
        <v>8.6</v>
      </c>
      <c r="R113" t="s">
        <v>9258</v>
      </c>
      <c r="S113" t="s">
        <v>122</v>
      </c>
      <c r="U113" t="s">
        <v>9333</v>
      </c>
      <c r="V113" s="871">
        <v>46293</v>
      </c>
      <c r="W11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17.18</v>
      </c>
      <c r="X11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2.1399999999999997</v>
      </c>
      <c r="Y113" s="974">
        <f>IFERROR(tblConcentrado[[#This Row],[Concentrado (TMS)]]/tblConcentrado[[#This Row],[Mineral (TMS)]],"")</f>
        <v>0.64722222222222225</v>
      </c>
      <c r="Z113" s="973">
        <f>IFERROR(1/tblConcentrado[[#This Row],[% Recup.]],0)</f>
        <v>1.5450643776824033</v>
      </c>
      <c r="AA113" s="975" t="str">
        <f>IF(COUNTIFS(tblConcentrado[ID],tblConcentrado[[#This Row],[ID]])&gt;1,"Duplicado","")</f>
        <v/>
      </c>
    </row>
    <row r="114" spans="2:27">
      <c r="B114" s="976">
        <f>(YEAR(tblConcentrado[[#This Row],[Fecha]])*10000+MONTH(tblConcentrado[[#This Row],[Fecha]])*100+DAY(tblConcentrado[[#This Row],[Fecha]]))*100+tblConcentrado[[#This Row],[N° hora]]</f>
        <v>2026090514</v>
      </c>
      <c r="C114" s="871">
        <v>46270</v>
      </c>
      <c r="D114">
        <v>14</v>
      </c>
      <c r="E114" s="952">
        <v>0.91666666666666696</v>
      </c>
      <c r="F114" s="256">
        <v>1443</v>
      </c>
      <c r="G114" s="256">
        <v>898</v>
      </c>
      <c r="H114" s="970"/>
      <c r="I114" s="970"/>
      <c r="J114" s="970"/>
      <c r="K114" s="970"/>
      <c r="L114" s="970"/>
      <c r="M114" s="971"/>
      <c r="N114" s="971"/>
      <c r="O114" s="971"/>
      <c r="P114" s="971"/>
      <c r="Q114" s="971"/>
      <c r="R114" t="s">
        <v>9258</v>
      </c>
      <c r="S114" t="s">
        <v>123</v>
      </c>
      <c r="U114" t="s">
        <v>9333</v>
      </c>
      <c r="V114" s="871">
        <v>46293</v>
      </c>
      <c r="W11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1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14" s="974">
        <f>IFERROR(tblConcentrado[[#This Row],[Concentrado (TMS)]]/tblConcentrado[[#This Row],[Mineral (TMS)]],"")</f>
        <v>0.62231462231462231</v>
      </c>
      <c r="Z114" s="973">
        <f>IFERROR(1/tblConcentrado[[#This Row],[% Recup.]],0)</f>
        <v>1.6069042316258353</v>
      </c>
      <c r="AA114" s="975" t="str">
        <f>IF(COUNTIFS(tblConcentrado[ID],tblConcentrado[[#This Row],[ID]])&gt;1,"Duplicado","")</f>
        <v/>
      </c>
    </row>
    <row r="115" spans="2:27">
      <c r="B115" s="976">
        <f>(YEAR(tblConcentrado[[#This Row],[Fecha]])*10000+MONTH(tblConcentrado[[#This Row],[Fecha]])*100+DAY(tblConcentrado[[#This Row],[Fecha]]))*100+tblConcentrado[[#This Row],[N° hora]]</f>
        <v>2026090515</v>
      </c>
      <c r="C115" s="871">
        <v>46270</v>
      </c>
      <c r="D115">
        <v>15</v>
      </c>
      <c r="E115" s="952">
        <v>0.95833333333333304</v>
      </c>
      <c r="F115" s="256">
        <v>1462</v>
      </c>
      <c r="G115" s="256">
        <v>967</v>
      </c>
      <c r="H115" s="970">
        <v>0.14000000000000001</v>
      </c>
      <c r="I115" s="970">
        <v>0.63600000000000001</v>
      </c>
      <c r="J115" s="970">
        <v>0.39</v>
      </c>
      <c r="K115" s="970">
        <v>0.70299999999999996</v>
      </c>
      <c r="L115" s="970">
        <v>0.42</v>
      </c>
      <c r="M115" s="971">
        <v>23.7</v>
      </c>
      <c r="N115" s="971">
        <v>14.1</v>
      </c>
      <c r="O115" s="971">
        <v>2.4</v>
      </c>
      <c r="P115" s="971">
        <v>2.4</v>
      </c>
      <c r="Q115" s="971">
        <v>8.1999999999999993</v>
      </c>
      <c r="R115" t="s">
        <v>9258</v>
      </c>
      <c r="U115" t="s">
        <v>9333</v>
      </c>
      <c r="V115" s="871">
        <v>46293</v>
      </c>
      <c r="W11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17.939999999999998</v>
      </c>
      <c r="X11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v>
      </c>
      <c r="Y115" s="974">
        <f>IFERROR(tblConcentrado[[#This Row],[Concentrado (TMS)]]/tblConcentrado[[#This Row],[Mineral (TMS)]],"")</f>
        <v>0.66142270861833108</v>
      </c>
      <c r="Z115" s="973">
        <f>IFERROR(1/tblConcentrado[[#This Row],[% Recup.]],0)</f>
        <v>1.5118924508790073</v>
      </c>
      <c r="AA115" s="975" t="str">
        <f>IF(COUNTIFS(tblConcentrado[ID],tblConcentrado[[#This Row],[ID]])&gt;1,"Duplicado","")</f>
        <v/>
      </c>
    </row>
    <row r="116" spans="2:27">
      <c r="B116" s="976">
        <f>(YEAR(tblConcentrado[[#This Row],[Fecha]])*10000+MONTH(tblConcentrado[[#This Row],[Fecha]])*100+DAY(tblConcentrado[[#This Row],[Fecha]]))*100+tblConcentrado[[#This Row],[N° hora]]</f>
        <v>2026090516</v>
      </c>
      <c r="C116" s="871">
        <v>46270</v>
      </c>
      <c r="D116">
        <v>16</v>
      </c>
      <c r="E116" s="952">
        <v>0</v>
      </c>
      <c r="F116" s="256">
        <v>1460</v>
      </c>
      <c r="G116" s="256">
        <v>920</v>
      </c>
      <c r="H116" s="970"/>
      <c r="I116" s="970"/>
      <c r="J116" s="970"/>
      <c r="K116" s="970"/>
      <c r="L116" s="970"/>
      <c r="M116" s="971"/>
      <c r="N116" s="971"/>
      <c r="O116" s="971"/>
      <c r="P116" s="971"/>
      <c r="Q116" s="971"/>
      <c r="R116" t="s">
        <v>9258</v>
      </c>
      <c r="U116" t="s">
        <v>9333</v>
      </c>
      <c r="V116" s="871">
        <v>46293</v>
      </c>
      <c r="W11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1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16" s="974">
        <f>IFERROR(tblConcentrado[[#This Row],[Concentrado (TMS)]]/tblConcentrado[[#This Row],[Mineral (TMS)]],"")</f>
        <v>0.63013698630136983</v>
      </c>
      <c r="Z116" s="973">
        <f>IFERROR(1/tblConcentrado[[#This Row],[% Recup.]],0)</f>
        <v>1.5869565217391306</v>
      </c>
      <c r="AA116" s="975" t="str">
        <f>IF(COUNTIFS(tblConcentrado[ID],tblConcentrado[[#This Row],[ID]])&gt;1,"Duplicado","")</f>
        <v/>
      </c>
    </row>
    <row r="117" spans="2:27">
      <c r="B117" s="976">
        <f>(YEAR(tblConcentrado[[#This Row],[Fecha]])*10000+MONTH(tblConcentrado[[#This Row],[Fecha]])*100+DAY(tblConcentrado[[#This Row],[Fecha]]))*100+tblConcentrado[[#This Row],[N° hora]]</f>
        <v>2026090517</v>
      </c>
      <c r="C117" s="871">
        <v>46270</v>
      </c>
      <c r="D117">
        <v>17</v>
      </c>
      <c r="E117" s="952">
        <v>4.1666666666666699E-2</v>
      </c>
      <c r="F117" s="256">
        <v>1455</v>
      </c>
      <c r="G117" s="256">
        <v>960</v>
      </c>
      <c r="H117" s="970">
        <v>0.13600000000000001</v>
      </c>
      <c r="I117" s="970">
        <v>0.46400000000000002</v>
      </c>
      <c r="J117" s="970">
        <v>0.25</v>
      </c>
      <c r="K117" s="970">
        <v>0.52700000000000002</v>
      </c>
      <c r="L117" s="970">
        <v>0.28000000000000003</v>
      </c>
      <c r="M117" s="971">
        <v>28.2</v>
      </c>
      <c r="N117" s="971">
        <v>14</v>
      </c>
      <c r="O117" s="971">
        <v>2.8</v>
      </c>
      <c r="P117" s="971">
        <v>2.2999999999999998</v>
      </c>
      <c r="Q117" s="971">
        <v>8</v>
      </c>
      <c r="R117" t="s">
        <v>9258</v>
      </c>
      <c r="U117" t="s">
        <v>9333</v>
      </c>
      <c r="V117" s="871">
        <v>46293</v>
      </c>
      <c r="W11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19.68</v>
      </c>
      <c r="X11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v>
      </c>
      <c r="Y117" s="974">
        <f>IFERROR(tblConcentrado[[#This Row],[Concentrado (TMS)]]/tblConcentrado[[#This Row],[Mineral (TMS)]],"")</f>
        <v>0.65979381443298968</v>
      </c>
      <c r="Z117" s="973">
        <f>IFERROR(1/tblConcentrado[[#This Row],[% Recup.]],0)</f>
        <v>1.515625</v>
      </c>
      <c r="AA117" s="975" t="str">
        <f>IF(COUNTIFS(tblConcentrado[ID],tblConcentrado[[#This Row],[ID]])&gt;1,"Duplicado","")</f>
        <v/>
      </c>
    </row>
    <row r="118" spans="2:27">
      <c r="B118" s="976">
        <f>(YEAR(tblConcentrado[[#This Row],[Fecha]])*10000+MONTH(tblConcentrado[[#This Row],[Fecha]])*100+DAY(tblConcentrado[[#This Row],[Fecha]]))*100+tblConcentrado[[#This Row],[N° hora]]</f>
        <v>2026090518</v>
      </c>
      <c r="C118" s="871">
        <v>46270</v>
      </c>
      <c r="D118">
        <v>18</v>
      </c>
      <c r="E118" s="952">
        <v>8.3333333333333301E-2</v>
      </c>
      <c r="F118" s="256">
        <v>1438</v>
      </c>
      <c r="G118" s="256">
        <v>902</v>
      </c>
      <c r="H118" s="970"/>
      <c r="I118" s="970"/>
      <c r="J118" s="970"/>
      <c r="K118" s="970"/>
      <c r="L118" s="970"/>
      <c r="M118" s="971"/>
      <c r="N118" s="971"/>
      <c r="O118" s="971"/>
      <c r="P118" s="971"/>
      <c r="Q118" s="971"/>
      <c r="R118" t="s">
        <v>9258</v>
      </c>
      <c r="U118" t="s">
        <v>9333</v>
      </c>
      <c r="V118" s="871">
        <v>46293</v>
      </c>
      <c r="W11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1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18" s="974">
        <f>IFERROR(tblConcentrado[[#This Row],[Concentrado (TMS)]]/tblConcentrado[[#This Row],[Mineral (TMS)]],"")</f>
        <v>0.62726008344923501</v>
      </c>
      <c r="Z118" s="973">
        <f>IFERROR(1/tblConcentrado[[#This Row],[% Recup.]],0)</f>
        <v>1.5942350332594235</v>
      </c>
      <c r="AA118" s="975" t="str">
        <f>IF(COUNTIFS(tblConcentrado[ID],tblConcentrado[[#This Row],[ID]])&gt;1,"Duplicado","")</f>
        <v/>
      </c>
    </row>
    <row r="119" spans="2:27">
      <c r="B119" s="976">
        <f>(YEAR(tblConcentrado[[#This Row],[Fecha]])*10000+MONTH(tblConcentrado[[#This Row],[Fecha]])*100+DAY(tblConcentrado[[#This Row],[Fecha]]))*100+tblConcentrado[[#This Row],[N° hora]]</f>
        <v>2026090519</v>
      </c>
      <c r="C119" s="871">
        <v>46270</v>
      </c>
      <c r="D119">
        <v>19</v>
      </c>
      <c r="E119" s="952">
        <v>0.125</v>
      </c>
      <c r="F119" s="256">
        <v>1447</v>
      </c>
      <c r="G119" s="256">
        <v>1000</v>
      </c>
      <c r="H119" s="970">
        <v>0.13200000000000001</v>
      </c>
      <c r="I119" s="970">
        <v>0.47399999999999998</v>
      </c>
      <c r="J119" s="970">
        <v>0.3</v>
      </c>
      <c r="K119" s="970">
        <v>0.51600000000000001</v>
      </c>
      <c r="L119" s="970">
        <v>0.25</v>
      </c>
      <c r="M119" s="971">
        <v>25.1</v>
      </c>
      <c r="N119" s="971">
        <v>15.8</v>
      </c>
      <c r="O119" s="971">
        <v>1.7</v>
      </c>
      <c r="P119" s="971">
        <v>2.1</v>
      </c>
      <c r="Q119" s="971">
        <v>8.5</v>
      </c>
      <c r="R119" t="s">
        <v>9258</v>
      </c>
      <c r="U119" t="s">
        <v>9333</v>
      </c>
      <c r="V119" s="871">
        <v>46293</v>
      </c>
      <c r="W11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19.520000000000003</v>
      </c>
      <c r="X11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1.94</v>
      </c>
      <c r="Y119" s="974">
        <f>IFERROR(tblConcentrado[[#This Row],[Concentrado (TMS)]]/tblConcentrado[[#This Row],[Mineral (TMS)]],"")</f>
        <v>0.69108500345542501</v>
      </c>
      <c r="Z119" s="973">
        <f>IFERROR(1/tblConcentrado[[#This Row],[% Recup.]],0)</f>
        <v>1.4470000000000001</v>
      </c>
      <c r="AA119" s="975" t="str">
        <f>IF(COUNTIFS(tblConcentrado[ID],tblConcentrado[[#This Row],[ID]])&gt;1,"Duplicado","")</f>
        <v/>
      </c>
    </row>
    <row r="120" spans="2:27">
      <c r="B120" s="976">
        <f>(YEAR(tblConcentrado[[#This Row],[Fecha]])*10000+MONTH(tblConcentrado[[#This Row],[Fecha]])*100+DAY(tblConcentrado[[#This Row],[Fecha]]))*100+tblConcentrado[[#This Row],[N° hora]]</f>
        <v>2026090520</v>
      </c>
      <c r="C120" s="871">
        <v>46270</v>
      </c>
      <c r="D120">
        <v>20</v>
      </c>
      <c r="E120" s="952">
        <v>0.16666666666666699</v>
      </c>
      <c r="F120" s="256">
        <v>1418</v>
      </c>
      <c r="G120" s="256">
        <v>824</v>
      </c>
      <c r="H120" s="970"/>
      <c r="I120" s="970"/>
      <c r="J120" s="970"/>
      <c r="K120" s="970"/>
      <c r="L120" s="970"/>
      <c r="M120" s="971"/>
      <c r="N120" s="971"/>
      <c r="O120" s="971"/>
      <c r="P120" s="971"/>
      <c r="Q120" s="971"/>
      <c r="R120" t="s">
        <v>9258</v>
      </c>
      <c r="U120" t="s">
        <v>9333</v>
      </c>
      <c r="V120" s="871">
        <v>46293</v>
      </c>
      <c r="W12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2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20" s="974">
        <f>IFERROR(tblConcentrado[[#This Row],[Concentrado (TMS)]]/tblConcentrado[[#This Row],[Mineral (TMS)]],"")</f>
        <v>0.58110014104372354</v>
      </c>
      <c r="Z120" s="973">
        <f>IFERROR(1/tblConcentrado[[#This Row],[% Recup.]],0)</f>
        <v>1.720873786407767</v>
      </c>
      <c r="AA120" s="975" t="str">
        <f>IF(COUNTIFS(tblConcentrado[ID],tblConcentrado[[#This Row],[ID]])&gt;1,"Duplicado","")</f>
        <v/>
      </c>
    </row>
    <row r="121" spans="2:27">
      <c r="B121" s="976">
        <f>(YEAR(tblConcentrado[[#This Row],[Fecha]])*10000+MONTH(tblConcentrado[[#This Row],[Fecha]])*100+DAY(tblConcentrado[[#This Row],[Fecha]]))*100+tblConcentrado[[#This Row],[N° hora]]</f>
        <v>2026090521</v>
      </c>
      <c r="C121" s="871">
        <v>46270</v>
      </c>
      <c r="D121">
        <v>21</v>
      </c>
      <c r="E121" s="952">
        <v>0.20833333333333301</v>
      </c>
      <c r="F121" s="256">
        <v>1454</v>
      </c>
      <c r="G121" s="256">
        <v>812</v>
      </c>
      <c r="H121" s="970">
        <v>0.155</v>
      </c>
      <c r="I121" s="970">
        <v>0.52800000000000002</v>
      </c>
      <c r="J121" s="970">
        <v>0.32</v>
      </c>
      <c r="K121" s="970">
        <v>0.56999999999999995</v>
      </c>
      <c r="L121" s="970">
        <v>0.36</v>
      </c>
      <c r="M121" s="971">
        <v>30</v>
      </c>
      <c r="N121" s="971">
        <v>17.7</v>
      </c>
      <c r="O121" s="971">
        <v>2</v>
      </c>
      <c r="P121" s="971">
        <v>2.1</v>
      </c>
      <c r="Q121" s="971">
        <v>8.1</v>
      </c>
      <c r="R121" t="s">
        <v>9258</v>
      </c>
      <c r="U121" t="s">
        <v>9333</v>
      </c>
      <c r="V121" s="871">
        <v>46293</v>
      </c>
      <c r="W12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22.619999999999997</v>
      </c>
      <c r="X12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2.06</v>
      </c>
      <c r="Y121" s="974">
        <f>IFERROR(tblConcentrado[[#This Row],[Concentrado (TMS)]]/tblConcentrado[[#This Row],[Mineral (TMS)]],"")</f>
        <v>0.55845942228335621</v>
      </c>
      <c r="Z121" s="973">
        <f>IFERROR(1/tblConcentrado[[#This Row],[% Recup.]],0)</f>
        <v>1.7906403940886702</v>
      </c>
      <c r="AA121" s="975" t="str">
        <f>IF(COUNTIFS(tblConcentrado[ID],tblConcentrado[[#This Row],[ID]])&gt;1,"Duplicado","")</f>
        <v/>
      </c>
    </row>
    <row r="122" spans="2:27">
      <c r="B122" s="976">
        <f>(YEAR(tblConcentrado[[#This Row],[Fecha]])*10000+MONTH(tblConcentrado[[#This Row],[Fecha]])*100+DAY(tblConcentrado[[#This Row],[Fecha]]))*100+tblConcentrado[[#This Row],[N° hora]]</f>
        <v>2026090522</v>
      </c>
      <c r="C122" s="871">
        <v>46270</v>
      </c>
      <c r="D122">
        <v>22</v>
      </c>
      <c r="E122" s="952">
        <v>0.25</v>
      </c>
      <c r="F122" s="256">
        <v>1445</v>
      </c>
      <c r="G122" s="256">
        <v>1046</v>
      </c>
      <c r="H122" s="970"/>
      <c r="I122" s="970"/>
      <c r="J122" s="970"/>
      <c r="K122" s="970"/>
      <c r="L122" s="970"/>
      <c r="M122" s="971"/>
      <c r="N122" s="971"/>
      <c r="O122" s="971"/>
      <c r="P122" s="971"/>
      <c r="Q122" s="971"/>
      <c r="R122" t="s">
        <v>9258</v>
      </c>
      <c r="U122" t="s">
        <v>9333</v>
      </c>
      <c r="V122" s="871">
        <v>46293</v>
      </c>
      <c r="W12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2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22" s="974">
        <f>IFERROR(tblConcentrado[[#This Row],[Concentrado (TMS)]]/tblConcentrado[[#This Row],[Mineral (TMS)]],"")</f>
        <v>0.72387543252595155</v>
      </c>
      <c r="Z122" s="973">
        <f>IFERROR(1/tblConcentrado[[#This Row],[% Recup.]],0)</f>
        <v>1.381453154875717</v>
      </c>
      <c r="AA122" s="975" t="str">
        <f>IF(COUNTIFS(tblConcentrado[ID],tblConcentrado[[#This Row],[ID]])&gt;1,"Duplicado","")</f>
        <v/>
      </c>
    </row>
    <row r="123" spans="2:27">
      <c r="B123" s="976">
        <f>(YEAR(tblConcentrado[[#This Row],[Fecha]])*10000+MONTH(tblConcentrado[[#This Row],[Fecha]])*100+DAY(tblConcentrado[[#This Row],[Fecha]]))*100+tblConcentrado[[#This Row],[N° hora]]</f>
        <v>2026090523</v>
      </c>
      <c r="C123" s="871">
        <v>46270</v>
      </c>
      <c r="D123">
        <v>23</v>
      </c>
      <c r="E123" s="952">
        <v>0.29166666666666702</v>
      </c>
      <c r="F123" s="256">
        <v>1457</v>
      </c>
      <c r="G123" s="256">
        <v>1066</v>
      </c>
      <c r="H123" s="970">
        <v>0.16200000000000001</v>
      </c>
      <c r="I123" s="970">
        <v>0.49</v>
      </c>
      <c r="J123" s="970">
        <v>0.31</v>
      </c>
      <c r="K123" s="970">
        <v>0.52700000000000002</v>
      </c>
      <c r="L123" s="970">
        <v>0.34</v>
      </c>
      <c r="M123" s="971">
        <v>25.4</v>
      </c>
      <c r="N123" s="971">
        <v>14.3</v>
      </c>
      <c r="O123" s="971">
        <v>2.1</v>
      </c>
      <c r="P123" s="971">
        <v>2.1</v>
      </c>
      <c r="Q123" s="971">
        <v>8.1999999999999993</v>
      </c>
      <c r="R123" t="s">
        <v>9258</v>
      </c>
      <c r="U123" t="s">
        <v>9333</v>
      </c>
      <c r="V123" s="871">
        <v>46293</v>
      </c>
      <c r="W12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18.740000000000002</v>
      </c>
      <c r="X12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2.1</v>
      </c>
      <c r="Y123" s="974">
        <f>IFERROR(tblConcentrado[[#This Row],[Concentrado (TMS)]]/tblConcentrado[[#This Row],[Mineral (TMS)]],"")</f>
        <v>0.7316403568977351</v>
      </c>
      <c r="Z123" s="973">
        <f>IFERROR(1/tblConcentrado[[#This Row],[% Recup.]],0)</f>
        <v>1.3667917448405253</v>
      </c>
      <c r="AA123" s="975" t="str">
        <f>IF(COUNTIFS(tblConcentrado[ID],tblConcentrado[[#This Row],[ID]])&gt;1,"Duplicado","")</f>
        <v/>
      </c>
    </row>
    <row r="124" spans="2:27">
      <c r="B124" s="976">
        <f>(YEAR(tblConcentrado[[#This Row],[Fecha]])*10000+MONTH(tblConcentrado[[#This Row],[Fecha]])*100+DAY(tblConcentrado[[#This Row],[Fecha]]))*100+tblConcentrado[[#This Row],[N° hora]]</f>
        <v>2026090524</v>
      </c>
      <c r="C124" s="871">
        <v>46270</v>
      </c>
      <c r="D124">
        <v>24</v>
      </c>
      <c r="E124" s="952">
        <v>0.33333333333333298</v>
      </c>
      <c r="F124" s="256">
        <v>1446</v>
      </c>
      <c r="G124" s="256">
        <v>833</v>
      </c>
      <c r="H124" s="970"/>
      <c r="I124" s="970"/>
      <c r="J124" s="970"/>
      <c r="K124" s="970"/>
      <c r="L124" s="970"/>
      <c r="M124" s="971"/>
      <c r="N124" s="971"/>
      <c r="O124" s="971"/>
      <c r="P124" s="971"/>
      <c r="Q124" s="971"/>
      <c r="R124" t="s">
        <v>9258</v>
      </c>
      <c r="U124" t="s">
        <v>9333</v>
      </c>
      <c r="V124" s="871">
        <v>46293</v>
      </c>
      <c r="W12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2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24" s="974">
        <f>IFERROR(tblConcentrado[[#This Row],[Concentrado (TMS)]]/tblConcentrado[[#This Row],[Mineral (TMS)]],"")</f>
        <v>0.57607192254495154</v>
      </c>
      <c r="Z124" s="973">
        <f>IFERROR(1/tblConcentrado[[#This Row],[% Recup.]],0)</f>
        <v>1.7358943577430974</v>
      </c>
      <c r="AA124" s="975" t="str">
        <f>IF(COUNTIFS(tblConcentrado[ID],tblConcentrado[[#This Row],[ID]])&gt;1,"Duplicado","")</f>
        <v/>
      </c>
    </row>
    <row r="125" spans="2:27">
      <c r="B125" s="976">
        <f>(YEAR(tblConcentrado[[#This Row],[Fecha]])*10000+MONTH(tblConcentrado[[#This Row],[Fecha]])*100+DAY(tblConcentrado[[#This Row],[Fecha]]))*100+tblConcentrado[[#This Row],[N° hora]]</f>
        <v>2026090601</v>
      </c>
      <c r="C125" s="871">
        <v>46271</v>
      </c>
      <c r="D125">
        <v>1</v>
      </c>
      <c r="E125" s="952">
        <v>0.375</v>
      </c>
      <c r="F125" s="256">
        <v>1382</v>
      </c>
      <c r="G125" s="256">
        <v>932</v>
      </c>
      <c r="H125" s="970">
        <v>0.18</v>
      </c>
      <c r="I125" s="970">
        <v>0.55300000000000005</v>
      </c>
      <c r="J125" s="970">
        <v>0.36</v>
      </c>
      <c r="K125" s="970">
        <v>0.51400000000000001</v>
      </c>
      <c r="L125" s="970">
        <v>0.33</v>
      </c>
      <c r="M125" s="971">
        <v>29</v>
      </c>
      <c r="N125" s="971">
        <v>13.4</v>
      </c>
      <c r="O125" s="971">
        <v>3.1</v>
      </c>
      <c r="P125" s="971">
        <v>2.1</v>
      </c>
      <c r="Q125" s="971">
        <v>8</v>
      </c>
      <c r="R125" t="s">
        <v>9258</v>
      </c>
      <c r="S125" t="s">
        <v>124</v>
      </c>
      <c r="U125" t="s">
        <v>9333</v>
      </c>
      <c r="V125" s="871">
        <v>46293</v>
      </c>
      <c r="W12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19.64</v>
      </c>
      <c r="X12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v>
      </c>
      <c r="Y125" s="974">
        <f>IFERROR(tblConcentrado[[#This Row],[Concentrado (TMS)]]/tblConcentrado[[#This Row],[Mineral (TMS)]],"")</f>
        <v>0.67438494934876991</v>
      </c>
      <c r="Z125" s="973">
        <f>IFERROR(1/tblConcentrado[[#This Row],[% Recup.]],0)</f>
        <v>1.4828326180257509</v>
      </c>
      <c r="AA125" s="975" t="str">
        <f>IF(COUNTIFS(tblConcentrado[ID],tblConcentrado[[#This Row],[ID]])&gt;1,"Duplicado","")</f>
        <v/>
      </c>
    </row>
    <row r="126" spans="2:27">
      <c r="B126" s="976">
        <f>(YEAR(tblConcentrado[[#This Row],[Fecha]])*10000+MONTH(tblConcentrado[[#This Row],[Fecha]])*100+DAY(tblConcentrado[[#This Row],[Fecha]]))*100+tblConcentrado[[#This Row],[N° hora]]</f>
        <v>2026090602</v>
      </c>
      <c r="C126" s="871">
        <v>46271</v>
      </c>
      <c r="D126">
        <v>2</v>
      </c>
      <c r="E126" s="952">
        <v>0.41666666666666702</v>
      </c>
      <c r="F126" s="256">
        <v>1282</v>
      </c>
      <c r="G126" s="256">
        <v>1000</v>
      </c>
      <c r="H126" s="970"/>
      <c r="I126" s="970"/>
      <c r="J126" s="970"/>
      <c r="K126" s="970"/>
      <c r="L126" s="970"/>
      <c r="M126" s="971"/>
      <c r="N126" s="971"/>
      <c r="O126" s="971"/>
      <c r="P126" s="971"/>
      <c r="Q126" s="971"/>
      <c r="R126" t="s">
        <v>9258</v>
      </c>
      <c r="S126" t="s">
        <v>125</v>
      </c>
      <c r="U126" t="s">
        <v>9333</v>
      </c>
      <c r="V126" s="871">
        <v>46293</v>
      </c>
      <c r="W12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2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26" s="974">
        <f>IFERROR(tblConcentrado[[#This Row],[Concentrado (TMS)]]/tblConcentrado[[#This Row],[Mineral (TMS)]],"")</f>
        <v>0.78003120124804992</v>
      </c>
      <c r="Z126" s="973">
        <f>IFERROR(1/tblConcentrado[[#This Row],[% Recup.]],0)</f>
        <v>1.282</v>
      </c>
      <c r="AA126" s="975" t="str">
        <f>IF(COUNTIFS(tblConcentrado[ID],tblConcentrado[[#This Row],[ID]])&gt;1,"Duplicado","")</f>
        <v/>
      </c>
    </row>
    <row r="127" spans="2:27">
      <c r="B127" s="976">
        <f>(YEAR(tblConcentrado[[#This Row],[Fecha]])*10000+MONTH(tblConcentrado[[#This Row],[Fecha]])*100+DAY(tblConcentrado[[#This Row],[Fecha]]))*100+tblConcentrado[[#This Row],[N° hora]]</f>
        <v>2026090603</v>
      </c>
      <c r="C127" s="871">
        <v>46271</v>
      </c>
      <c r="D127">
        <v>3</v>
      </c>
      <c r="E127" s="952">
        <v>0.45833333333333298</v>
      </c>
      <c r="F127" s="256">
        <v>1391</v>
      </c>
      <c r="G127" s="256">
        <v>911</v>
      </c>
      <c r="H127" s="970">
        <v>0.152</v>
      </c>
      <c r="I127" s="970">
        <v>0.51800000000000002</v>
      </c>
      <c r="J127" s="970">
        <v>0.33</v>
      </c>
      <c r="K127" s="970">
        <v>0.54400000000000004</v>
      </c>
      <c r="L127" s="970">
        <v>0.35</v>
      </c>
      <c r="M127" s="971">
        <v>28.1</v>
      </c>
      <c r="N127" s="971">
        <v>16.899999999999999</v>
      </c>
      <c r="O127" s="971">
        <v>3.1</v>
      </c>
      <c r="P127" s="971">
        <v>3.2</v>
      </c>
      <c r="Q127" s="971">
        <v>8.3000000000000007</v>
      </c>
      <c r="R127" t="s">
        <v>9258</v>
      </c>
      <c r="S127" t="s">
        <v>126</v>
      </c>
      <c r="U127" t="s">
        <v>9333</v>
      </c>
      <c r="V127" s="871">
        <v>46293</v>
      </c>
      <c r="W12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21.380000000000003</v>
      </c>
      <c r="X12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3.16</v>
      </c>
      <c r="Y127" s="974">
        <f>IFERROR(tblConcentrado[[#This Row],[Concentrado (TMS)]]/tblConcentrado[[#This Row],[Mineral (TMS)]],"")</f>
        <v>0.65492451473759883</v>
      </c>
      <c r="Z127" s="973">
        <f>IFERROR(1/tblConcentrado[[#This Row],[% Recup.]],0)</f>
        <v>1.5268935236004391</v>
      </c>
      <c r="AA127" s="975" t="str">
        <f>IF(COUNTIFS(tblConcentrado[ID],tblConcentrado[[#This Row],[ID]])&gt;1,"Duplicado","")</f>
        <v/>
      </c>
    </row>
    <row r="128" spans="2:27">
      <c r="B128" s="976">
        <f>(YEAR(tblConcentrado[[#This Row],[Fecha]])*10000+MONTH(tblConcentrado[[#This Row],[Fecha]])*100+DAY(tblConcentrado[[#This Row],[Fecha]]))*100+tblConcentrado[[#This Row],[N° hora]]</f>
        <v>2026090604</v>
      </c>
      <c r="C128" s="871">
        <v>46271</v>
      </c>
      <c r="D128">
        <v>4</v>
      </c>
      <c r="E128" s="952">
        <v>0.5</v>
      </c>
      <c r="F128" s="256">
        <v>1428</v>
      </c>
      <c r="G128" s="256">
        <v>937</v>
      </c>
      <c r="H128" s="970"/>
      <c r="I128" s="970"/>
      <c r="J128" s="970"/>
      <c r="K128" s="970"/>
      <c r="L128" s="970"/>
      <c r="M128" s="971"/>
      <c r="N128" s="971"/>
      <c r="O128" s="971"/>
      <c r="P128" s="971"/>
      <c r="Q128" s="971"/>
      <c r="R128" t="s">
        <v>9258</v>
      </c>
      <c r="S128" t="s">
        <v>127</v>
      </c>
      <c r="U128" t="s">
        <v>9333</v>
      </c>
      <c r="V128" s="871">
        <v>46293</v>
      </c>
      <c r="W12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2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28" s="974">
        <f>IFERROR(tblConcentrado[[#This Row],[Concentrado (TMS)]]/tblConcentrado[[#This Row],[Mineral (TMS)]],"")</f>
        <v>0.6561624649859944</v>
      </c>
      <c r="Z128" s="973">
        <f>IFERROR(1/tblConcentrado[[#This Row],[% Recup.]],0)</f>
        <v>1.5240128068303096</v>
      </c>
      <c r="AA128" s="975" t="str">
        <f>IF(COUNTIFS(tblConcentrado[ID],tblConcentrado[[#This Row],[ID]])&gt;1,"Duplicado","")</f>
        <v/>
      </c>
    </row>
    <row r="129" spans="2:27">
      <c r="B129" s="976">
        <f>(YEAR(tblConcentrado[[#This Row],[Fecha]])*10000+MONTH(tblConcentrado[[#This Row],[Fecha]])*100+DAY(tblConcentrado[[#This Row],[Fecha]]))*100+tblConcentrado[[#This Row],[N° hora]]</f>
        <v>2026090605</v>
      </c>
      <c r="C129" s="871">
        <v>46271</v>
      </c>
      <c r="D129">
        <v>5</v>
      </c>
      <c r="E129" s="952">
        <v>0.54166666666666696</v>
      </c>
      <c r="F129" s="256">
        <v>1422</v>
      </c>
      <c r="G129" s="256">
        <v>952</v>
      </c>
      <c r="H129" s="970">
        <v>0.13200000000000001</v>
      </c>
      <c r="I129" s="970">
        <v>0.49399999999999999</v>
      </c>
      <c r="J129" s="970">
        <v>0.3</v>
      </c>
      <c r="K129" s="970">
        <v>0.49299999999999999</v>
      </c>
      <c r="L129" s="970">
        <v>0.3</v>
      </c>
      <c r="M129" s="971">
        <v>28.9</v>
      </c>
      <c r="N129" s="971">
        <v>13.6</v>
      </c>
      <c r="O129" s="971">
        <v>3</v>
      </c>
      <c r="P129" s="971">
        <v>2.5</v>
      </c>
      <c r="Q129" s="971">
        <v>8.3000000000000007</v>
      </c>
      <c r="R129" t="s">
        <v>9258</v>
      </c>
      <c r="U129" t="s">
        <v>9333</v>
      </c>
      <c r="V129" s="871">
        <v>46293</v>
      </c>
      <c r="W12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19.72</v>
      </c>
      <c r="X12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2.7</v>
      </c>
      <c r="Y129" s="974">
        <f>IFERROR(tblConcentrado[[#This Row],[Concentrado (TMS)]]/tblConcentrado[[#This Row],[Mineral (TMS)]],"")</f>
        <v>0.66947960618846691</v>
      </c>
      <c r="Z129" s="973">
        <f>IFERROR(1/tblConcentrado[[#This Row],[% Recup.]],0)</f>
        <v>1.4936974789915967</v>
      </c>
      <c r="AA129" s="975" t="str">
        <f>IF(COUNTIFS(tblConcentrado[ID],tblConcentrado[[#This Row],[ID]])&gt;1,"Duplicado","")</f>
        <v/>
      </c>
    </row>
    <row r="130" spans="2:27">
      <c r="B130" s="976">
        <f>(YEAR(tblConcentrado[[#This Row],[Fecha]])*10000+MONTH(tblConcentrado[[#This Row],[Fecha]])*100+DAY(tblConcentrado[[#This Row],[Fecha]]))*100+tblConcentrado[[#This Row],[N° hora]]</f>
        <v>2026090606</v>
      </c>
      <c r="C130" s="871">
        <v>46271</v>
      </c>
      <c r="D130">
        <v>6</v>
      </c>
      <c r="E130" s="952">
        <v>0.58333333333333304</v>
      </c>
      <c r="F130" s="256">
        <v>1378</v>
      </c>
      <c r="G130" s="256">
        <v>859</v>
      </c>
      <c r="H130" s="970"/>
      <c r="I130" s="970"/>
      <c r="J130" s="970"/>
      <c r="K130" s="970"/>
      <c r="L130" s="970"/>
      <c r="M130" s="971"/>
      <c r="N130" s="971"/>
      <c r="O130" s="971"/>
      <c r="P130" s="971"/>
      <c r="Q130" s="971"/>
      <c r="R130" t="s">
        <v>9258</v>
      </c>
      <c r="U130" t="s">
        <v>9333</v>
      </c>
      <c r="V130" s="871">
        <v>46293</v>
      </c>
      <c r="W13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3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30" s="974">
        <f>IFERROR(tblConcentrado[[#This Row],[Concentrado (TMS)]]/tblConcentrado[[#This Row],[Mineral (TMS)]],"")</f>
        <v>0.62336719883889691</v>
      </c>
      <c r="Z130" s="973">
        <f>IFERROR(1/tblConcentrado[[#This Row],[% Recup.]],0)</f>
        <v>1.6041909196740396</v>
      </c>
      <c r="AA130" s="975" t="str">
        <f>IF(COUNTIFS(tblConcentrado[ID],tblConcentrado[[#This Row],[ID]])&gt;1,"Duplicado","")</f>
        <v/>
      </c>
    </row>
    <row r="131" spans="2:27">
      <c r="B131" s="976">
        <f>(YEAR(tblConcentrado[[#This Row],[Fecha]])*10000+MONTH(tblConcentrado[[#This Row],[Fecha]])*100+DAY(tblConcentrado[[#This Row],[Fecha]]))*100+tblConcentrado[[#This Row],[N° hora]]</f>
        <v>2026090607</v>
      </c>
      <c r="C131" s="871">
        <v>46271</v>
      </c>
      <c r="D131">
        <v>7</v>
      </c>
      <c r="E131" s="952">
        <v>0.625</v>
      </c>
      <c r="F131" s="256">
        <v>1341</v>
      </c>
      <c r="G131" s="256">
        <v>892</v>
      </c>
      <c r="H131" s="970">
        <v>0.14499999999999999</v>
      </c>
      <c r="I131" s="970">
        <v>0.52300000000000002</v>
      </c>
      <c r="J131" s="970">
        <v>0.31</v>
      </c>
      <c r="K131" s="970">
        <v>0.57899999999999996</v>
      </c>
      <c r="L131" s="970">
        <v>0.32</v>
      </c>
      <c r="M131" s="971">
        <v>27.7</v>
      </c>
      <c r="N131" s="971">
        <v>13.1</v>
      </c>
      <c r="O131" s="971">
        <v>2.1</v>
      </c>
      <c r="P131" s="971">
        <v>1.9</v>
      </c>
      <c r="Q131" s="971">
        <v>8.4</v>
      </c>
      <c r="R131" t="s">
        <v>9258</v>
      </c>
      <c r="U131" t="s">
        <v>9333</v>
      </c>
      <c r="V131" s="871">
        <v>46293</v>
      </c>
      <c r="W13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18.939999999999998</v>
      </c>
      <c r="X13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1.98</v>
      </c>
      <c r="Y131" s="974">
        <f>IFERROR(tblConcentrado[[#This Row],[Concentrado (TMS)]]/tblConcentrado[[#This Row],[Mineral (TMS)]],"")</f>
        <v>0.66517524235645042</v>
      </c>
      <c r="Z131" s="973">
        <f>IFERROR(1/tblConcentrado[[#This Row],[% Recup.]],0)</f>
        <v>1.5033632286995515</v>
      </c>
      <c r="AA131" s="975" t="str">
        <f>IF(COUNTIFS(tblConcentrado[ID],tblConcentrado[[#This Row],[ID]])&gt;1,"Duplicado","")</f>
        <v/>
      </c>
    </row>
    <row r="132" spans="2:27">
      <c r="B132" s="976">
        <f>(YEAR(tblConcentrado[[#This Row],[Fecha]])*10000+MONTH(tblConcentrado[[#This Row],[Fecha]])*100+DAY(tblConcentrado[[#This Row],[Fecha]]))*100+tblConcentrado[[#This Row],[N° hora]]</f>
        <v>2026090608</v>
      </c>
      <c r="C132" s="871">
        <v>46271</v>
      </c>
      <c r="D132">
        <v>8</v>
      </c>
      <c r="E132" s="952">
        <v>0.66666666666666696</v>
      </c>
      <c r="F132" s="256">
        <v>1355</v>
      </c>
      <c r="G132" s="256">
        <v>903</v>
      </c>
      <c r="H132" s="970"/>
      <c r="I132" s="970"/>
      <c r="J132" s="970"/>
      <c r="K132" s="970"/>
      <c r="L132" s="970"/>
      <c r="M132" s="971"/>
      <c r="N132" s="971"/>
      <c r="O132" s="971"/>
      <c r="P132" s="971"/>
      <c r="Q132" s="971"/>
      <c r="R132" t="s">
        <v>9258</v>
      </c>
      <c r="S132" t="s">
        <v>128</v>
      </c>
      <c r="U132" t="s">
        <v>9333</v>
      </c>
      <c r="V132" s="871">
        <v>46293</v>
      </c>
      <c r="W13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3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32" s="974">
        <f>IFERROR(tblConcentrado[[#This Row],[Concentrado (TMS)]]/tblConcentrado[[#This Row],[Mineral (TMS)]],"")</f>
        <v>0.66642066420664203</v>
      </c>
      <c r="Z132" s="973">
        <f>IFERROR(1/tblConcentrado[[#This Row],[% Recup.]],0)</f>
        <v>1.5005537098560355</v>
      </c>
      <c r="AA132" s="975" t="str">
        <f>IF(COUNTIFS(tblConcentrado[ID],tblConcentrado[[#This Row],[ID]])&gt;1,"Duplicado","")</f>
        <v/>
      </c>
    </row>
    <row r="133" spans="2:27">
      <c r="B133" s="976">
        <f>(YEAR(tblConcentrado[[#This Row],[Fecha]])*10000+MONTH(tblConcentrado[[#This Row],[Fecha]])*100+DAY(tblConcentrado[[#This Row],[Fecha]]))*100+tblConcentrado[[#This Row],[N° hora]]</f>
        <v>2026090609</v>
      </c>
      <c r="C133" s="871">
        <v>46271</v>
      </c>
      <c r="D133">
        <v>9</v>
      </c>
      <c r="E133" s="952">
        <v>0.70833333333333304</v>
      </c>
      <c r="F133" s="256">
        <v>1370</v>
      </c>
      <c r="G133" s="256">
        <v>853</v>
      </c>
      <c r="H133" s="970">
        <v>0.152</v>
      </c>
      <c r="I133" s="970">
        <v>0.58299999999999996</v>
      </c>
      <c r="J133" s="970">
        <v>0.37</v>
      </c>
      <c r="K133" s="970">
        <v>0.66</v>
      </c>
      <c r="L133" s="970">
        <v>0.39</v>
      </c>
      <c r="M133" s="971">
        <v>28.5</v>
      </c>
      <c r="N133" s="971">
        <v>13.3</v>
      </c>
      <c r="O133" s="971">
        <v>2.5</v>
      </c>
      <c r="P133" s="971">
        <v>2.1</v>
      </c>
      <c r="Q133" s="971">
        <v>8.5</v>
      </c>
      <c r="R133" t="s">
        <v>9258</v>
      </c>
      <c r="S133" t="s">
        <v>129</v>
      </c>
      <c r="U133" t="s">
        <v>9333</v>
      </c>
      <c r="V133" s="871">
        <v>46293</v>
      </c>
      <c r="W13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19.380000000000003</v>
      </c>
      <c r="X13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2.2599999999999998</v>
      </c>
      <c r="Y133" s="974">
        <f>IFERROR(tblConcentrado[[#This Row],[Concentrado (TMS)]]/tblConcentrado[[#This Row],[Mineral (TMS)]],"")</f>
        <v>0.6226277372262774</v>
      </c>
      <c r="Z133" s="973">
        <f>IFERROR(1/tblConcentrado[[#This Row],[% Recup.]],0)</f>
        <v>1.6060961313012896</v>
      </c>
      <c r="AA133" s="975" t="str">
        <f>IF(COUNTIFS(tblConcentrado[ID],tblConcentrado[[#This Row],[ID]])&gt;1,"Duplicado","")</f>
        <v/>
      </c>
    </row>
    <row r="134" spans="2:27">
      <c r="B134" s="976">
        <f>(YEAR(tblConcentrado[[#This Row],[Fecha]])*10000+MONTH(tblConcentrado[[#This Row],[Fecha]])*100+DAY(tblConcentrado[[#This Row],[Fecha]]))*100+tblConcentrado[[#This Row],[N° hora]]</f>
        <v>2026090610</v>
      </c>
      <c r="C134" s="871">
        <v>46271</v>
      </c>
      <c r="D134">
        <v>10</v>
      </c>
      <c r="E134" s="952">
        <v>0.75</v>
      </c>
      <c r="F134" s="256">
        <v>1362</v>
      </c>
      <c r="G134" s="256">
        <v>834</v>
      </c>
      <c r="H134" s="970"/>
      <c r="I134" s="970"/>
      <c r="J134" s="970"/>
      <c r="K134" s="970"/>
      <c r="L134" s="970"/>
      <c r="M134" s="971"/>
      <c r="N134" s="971"/>
      <c r="O134" s="971"/>
      <c r="P134" s="971"/>
      <c r="Q134" s="971"/>
      <c r="R134" t="s">
        <v>9258</v>
      </c>
      <c r="U134" t="s">
        <v>9333</v>
      </c>
      <c r="V134" s="871">
        <v>46293</v>
      </c>
      <c r="W13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3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34" s="974">
        <f>IFERROR(tblConcentrado[[#This Row],[Concentrado (TMS)]]/tblConcentrado[[#This Row],[Mineral (TMS)]],"")</f>
        <v>0.61233480176211452</v>
      </c>
      <c r="Z134" s="973">
        <f>IFERROR(1/tblConcentrado[[#This Row],[% Recup.]],0)</f>
        <v>1.6330935251798562</v>
      </c>
      <c r="AA134" s="975" t="str">
        <f>IF(COUNTIFS(tblConcentrado[ID],tblConcentrado[[#This Row],[ID]])&gt;1,"Duplicado","")</f>
        <v/>
      </c>
    </row>
    <row r="135" spans="2:27">
      <c r="B135" s="976">
        <f>(YEAR(tblConcentrado[[#This Row],[Fecha]])*10000+MONTH(tblConcentrado[[#This Row],[Fecha]])*100+DAY(tblConcentrado[[#This Row],[Fecha]]))*100+tblConcentrado[[#This Row],[N° hora]]</f>
        <v>2026090611</v>
      </c>
      <c r="C135" s="871">
        <v>46271</v>
      </c>
      <c r="D135">
        <v>11</v>
      </c>
      <c r="E135" s="952">
        <v>0.79166666666666696</v>
      </c>
      <c r="F135" s="256">
        <v>1378</v>
      </c>
      <c r="G135" s="256">
        <v>987</v>
      </c>
      <c r="H135" s="970">
        <v>0.155</v>
      </c>
      <c r="I135" s="970">
        <v>0.57599999999999996</v>
      </c>
      <c r="J135" s="970">
        <v>0.31</v>
      </c>
      <c r="K135" s="970">
        <v>0.63900000000000001</v>
      </c>
      <c r="L135" s="970">
        <v>0.36</v>
      </c>
      <c r="M135" s="971">
        <v>26</v>
      </c>
      <c r="N135" s="971">
        <v>13.9</v>
      </c>
      <c r="O135" s="971">
        <v>2.6</v>
      </c>
      <c r="P135" s="971">
        <v>2</v>
      </c>
      <c r="Q135" s="971">
        <v>8.1999999999999993</v>
      </c>
      <c r="R135" t="s">
        <v>9258</v>
      </c>
      <c r="U135" t="s">
        <v>9333</v>
      </c>
      <c r="V135" s="871">
        <v>46293</v>
      </c>
      <c r="W13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18.740000000000002</v>
      </c>
      <c r="X13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2.2400000000000002</v>
      </c>
      <c r="Y135" s="974">
        <f>IFERROR(tblConcentrado[[#This Row],[Concentrado (TMS)]]/tblConcentrado[[#This Row],[Mineral (TMS)]],"")</f>
        <v>0.71625544267053698</v>
      </c>
      <c r="Z135" s="973">
        <f>IFERROR(1/tblConcentrado[[#This Row],[% Recup.]],0)</f>
        <v>1.3961499493414387</v>
      </c>
      <c r="AA135" s="975" t="str">
        <f>IF(COUNTIFS(tblConcentrado[ID],tblConcentrado[[#This Row],[ID]])&gt;1,"Duplicado","")</f>
        <v/>
      </c>
    </row>
    <row r="136" spans="2:27">
      <c r="B136" s="976">
        <f>(YEAR(tblConcentrado[[#This Row],[Fecha]])*10000+MONTH(tblConcentrado[[#This Row],[Fecha]])*100+DAY(tblConcentrado[[#This Row],[Fecha]]))*100+tblConcentrado[[#This Row],[N° hora]]</f>
        <v>2026090612</v>
      </c>
      <c r="C136" s="871">
        <v>46271</v>
      </c>
      <c r="D136">
        <v>12</v>
      </c>
      <c r="E136" s="952">
        <v>0.83333333333333304</v>
      </c>
      <c r="F136" s="256">
        <v>1368</v>
      </c>
      <c r="G136" s="256">
        <v>836</v>
      </c>
      <c r="H136" s="970"/>
      <c r="I136" s="970"/>
      <c r="J136" s="970"/>
      <c r="K136" s="970"/>
      <c r="L136" s="970"/>
      <c r="M136" s="971"/>
      <c r="N136" s="971"/>
      <c r="O136" s="971"/>
      <c r="P136" s="971"/>
      <c r="Q136" s="971"/>
      <c r="R136" t="s">
        <v>9258</v>
      </c>
      <c r="U136" t="s">
        <v>9333</v>
      </c>
      <c r="V136" s="871">
        <v>46293</v>
      </c>
      <c r="W13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3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36" s="974">
        <f>IFERROR(tblConcentrado[[#This Row],[Concentrado (TMS)]]/tblConcentrado[[#This Row],[Mineral (TMS)]],"")</f>
        <v>0.61111111111111116</v>
      </c>
      <c r="Z136" s="973">
        <f>IFERROR(1/tblConcentrado[[#This Row],[% Recup.]],0)</f>
        <v>1.6363636363636362</v>
      </c>
      <c r="AA136" s="975" t="str">
        <f>IF(COUNTIFS(tblConcentrado[ID],tblConcentrado[[#This Row],[ID]])&gt;1,"Duplicado","")</f>
        <v/>
      </c>
    </row>
    <row r="137" spans="2:27">
      <c r="B137" s="976">
        <f>(YEAR(tblConcentrado[[#This Row],[Fecha]])*10000+MONTH(tblConcentrado[[#This Row],[Fecha]])*100+DAY(tblConcentrado[[#This Row],[Fecha]]))*100+tblConcentrado[[#This Row],[N° hora]]</f>
        <v>2026090613</v>
      </c>
      <c r="C137" s="871">
        <v>46271</v>
      </c>
      <c r="D137">
        <v>13</v>
      </c>
      <c r="E137" s="952">
        <v>0.875</v>
      </c>
      <c r="F137" s="256">
        <v>1378</v>
      </c>
      <c r="G137" s="256">
        <v>957</v>
      </c>
      <c r="H137" s="970">
        <v>0.156</v>
      </c>
      <c r="I137" s="970">
        <v>0.56699999999999995</v>
      </c>
      <c r="J137" s="970">
        <v>0.3</v>
      </c>
      <c r="K137" s="970">
        <v>0.65400000000000003</v>
      </c>
      <c r="L137" s="970">
        <v>0.37</v>
      </c>
      <c r="M137" s="971">
        <v>24.7</v>
      </c>
      <c r="N137" s="971">
        <v>14.9</v>
      </c>
      <c r="O137" s="971">
        <v>2.2000000000000002</v>
      </c>
      <c r="P137" s="971">
        <v>2.4</v>
      </c>
      <c r="Q137" s="971">
        <v>8.3000000000000007</v>
      </c>
      <c r="R137" t="s">
        <v>9258</v>
      </c>
      <c r="U137" t="s">
        <v>9333</v>
      </c>
      <c r="V137" s="871">
        <v>46293</v>
      </c>
      <c r="W13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18.82</v>
      </c>
      <c r="X13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2.3200000000000003</v>
      </c>
      <c r="Y137" s="974">
        <f>IFERROR(tblConcentrado[[#This Row],[Concentrado (TMS)]]/tblConcentrado[[#This Row],[Mineral (TMS)]],"")</f>
        <v>0.69448476052249641</v>
      </c>
      <c r="Z137" s="973">
        <f>IFERROR(1/tblConcentrado[[#This Row],[% Recup.]],0)</f>
        <v>1.4399164054336466</v>
      </c>
      <c r="AA137" s="975" t="str">
        <f>IF(COUNTIFS(tblConcentrado[ID],tblConcentrado[[#This Row],[ID]])&gt;1,"Duplicado","")</f>
        <v/>
      </c>
    </row>
    <row r="138" spans="2:27">
      <c r="B138" s="976">
        <f>(YEAR(tblConcentrado[[#This Row],[Fecha]])*10000+MONTH(tblConcentrado[[#This Row],[Fecha]])*100+DAY(tblConcentrado[[#This Row],[Fecha]]))*100+tblConcentrado[[#This Row],[N° hora]]</f>
        <v>2026090614</v>
      </c>
      <c r="C138" s="871">
        <v>46271</v>
      </c>
      <c r="D138">
        <v>14</v>
      </c>
      <c r="E138" s="952">
        <v>0.91666666666666696</v>
      </c>
      <c r="F138" s="256">
        <v>1402</v>
      </c>
      <c r="G138" s="256">
        <v>881</v>
      </c>
      <c r="H138" s="970"/>
      <c r="I138" s="970"/>
      <c r="J138" s="970"/>
      <c r="K138" s="970"/>
      <c r="L138" s="970"/>
      <c r="M138" s="971"/>
      <c r="N138" s="971"/>
      <c r="O138" s="971"/>
      <c r="P138" s="971"/>
      <c r="Q138" s="971"/>
      <c r="R138" t="s">
        <v>9258</v>
      </c>
      <c r="S138" t="s">
        <v>130</v>
      </c>
      <c r="U138" t="s">
        <v>9333</v>
      </c>
      <c r="V138" s="871">
        <v>46293</v>
      </c>
      <c r="W13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3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38" s="974">
        <f>IFERROR(tblConcentrado[[#This Row],[Concentrado (TMS)]]/tblConcentrado[[#This Row],[Mineral (TMS)]],"")</f>
        <v>0.62838801711840231</v>
      </c>
      <c r="Z138" s="973">
        <f>IFERROR(1/tblConcentrado[[#This Row],[% Recup.]],0)</f>
        <v>1.5913734392735528</v>
      </c>
      <c r="AA138" s="975" t="str">
        <f>IF(COUNTIFS(tblConcentrado[ID],tblConcentrado[[#This Row],[ID]])&gt;1,"Duplicado","")</f>
        <v/>
      </c>
    </row>
    <row r="139" spans="2:27">
      <c r="B139" s="976">
        <f>(YEAR(tblConcentrado[[#This Row],[Fecha]])*10000+MONTH(tblConcentrado[[#This Row],[Fecha]])*100+DAY(tblConcentrado[[#This Row],[Fecha]]))*100+tblConcentrado[[#This Row],[N° hora]]</f>
        <v>2026090615</v>
      </c>
      <c r="C139" s="871">
        <v>46271</v>
      </c>
      <c r="D139">
        <v>15</v>
      </c>
      <c r="E139" s="952">
        <v>0.95833333333333304</v>
      </c>
      <c r="F139" s="256">
        <v>1409</v>
      </c>
      <c r="G139" s="256">
        <v>941</v>
      </c>
      <c r="H139" s="970">
        <v>0.15</v>
      </c>
      <c r="I139" s="970">
        <v>0.53700000000000003</v>
      </c>
      <c r="J139" s="970">
        <v>0.33</v>
      </c>
      <c r="K139" s="970">
        <v>0.64500000000000002</v>
      </c>
      <c r="L139" s="970">
        <v>0.36</v>
      </c>
      <c r="M139" s="971">
        <v>25.2</v>
      </c>
      <c r="N139" s="971">
        <v>14.6</v>
      </c>
      <c r="O139" s="971">
        <v>2.2000000000000002</v>
      </c>
      <c r="P139" s="971">
        <v>2</v>
      </c>
      <c r="Q139" s="971">
        <v>8.1999999999999993</v>
      </c>
      <c r="R139" t="s">
        <v>9258</v>
      </c>
      <c r="U139" t="s">
        <v>9333</v>
      </c>
      <c r="V139" s="871">
        <v>46293</v>
      </c>
      <c r="W13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18.84</v>
      </c>
      <c r="X13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2.08</v>
      </c>
      <c r="Y139" s="974">
        <f>IFERROR(tblConcentrado[[#This Row],[Concentrado (TMS)]]/tblConcentrado[[#This Row],[Mineral (TMS)]],"")</f>
        <v>0.66784953867991481</v>
      </c>
      <c r="Z139" s="973">
        <f>IFERROR(1/tblConcentrado[[#This Row],[% Recup.]],0)</f>
        <v>1.4973432518597238</v>
      </c>
      <c r="AA139" s="975" t="str">
        <f>IF(COUNTIFS(tblConcentrado[ID],tblConcentrado[[#This Row],[ID]])&gt;1,"Duplicado","")</f>
        <v/>
      </c>
    </row>
    <row r="140" spans="2:27">
      <c r="B140" s="976">
        <f>(YEAR(tblConcentrado[[#This Row],[Fecha]])*10000+MONTH(tblConcentrado[[#This Row],[Fecha]])*100+DAY(tblConcentrado[[#This Row],[Fecha]]))*100+tblConcentrado[[#This Row],[N° hora]]</f>
        <v>2026090616</v>
      </c>
      <c r="C140" s="871">
        <v>46271</v>
      </c>
      <c r="D140">
        <v>16</v>
      </c>
      <c r="E140" s="952">
        <v>0</v>
      </c>
      <c r="F140" s="256">
        <v>1403</v>
      </c>
      <c r="G140" s="256">
        <v>778</v>
      </c>
      <c r="H140" s="970"/>
      <c r="I140" s="970"/>
      <c r="J140" s="970"/>
      <c r="K140" s="970"/>
      <c r="L140" s="970"/>
      <c r="M140" s="971"/>
      <c r="N140" s="971"/>
      <c r="O140" s="971"/>
      <c r="P140" s="971"/>
      <c r="Q140" s="971"/>
      <c r="R140" t="s">
        <v>9258</v>
      </c>
      <c r="S140" t="s">
        <v>131</v>
      </c>
      <c r="U140" t="s">
        <v>9333</v>
      </c>
      <c r="V140" s="871">
        <v>46293</v>
      </c>
      <c r="W14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4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40" s="974">
        <f>IFERROR(tblConcentrado[[#This Row],[Concentrado (TMS)]]/tblConcentrado[[#This Row],[Mineral (TMS)]],"")</f>
        <v>0.55452601568068427</v>
      </c>
      <c r="Z140" s="973">
        <f>IFERROR(1/tblConcentrado[[#This Row],[% Recup.]],0)</f>
        <v>1.8033419023136246</v>
      </c>
      <c r="AA140" s="975" t="str">
        <f>IF(COUNTIFS(tblConcentrado[ID],tblConcentrado[[#This Row],[ID]])&gt;1,"Duplicado","")</f>
        <v/>
      </c>
    </row>
    <row r="141" spans="2:27">
      <c r="B141" s="976">
        <f>(YEAR(tblConcentrado[[#This Row],[Fecha]])*10000+MONTH(tblConcentrado[[#This Row],[Fecha]])*100+DAY(tblConcentrado[[#This Row],[Fecha]]))*100+tblConcentrado[[#This Row],[N° hora]]</f>
        <v>2026090617</v>
      </c>
      <c r="C141" s="871">
        <v>46271</v>
      </c>
      <c r="D141">
        <v>17</v>
      </c>
      <c r="E141" s="952">
        <v>4.1666666666666699E-2</v>
      </c>
      <c r="F141" s="256">
        <v>1399</v>
      </c>
      <c r="G141" s="256">
        <v>1054</v>
      </c>
      <c r="H141" s="970">
        <v>0.16600000000000001</v>
      </c>
      <c r="I141" s="970">
        <v>0.36099999999999999</v>
      </c>
      <c r="J141" s="970">
        <v>0.28000000000000003</v>
      </c>
      <c r="K141" s="970">
        <v>0.38100000000000001</v>
      </c>
      <c r="L141" s="970">
        <v>0.3</v>
      </c>
      <c r="M141" s="971">
        <v>27.6</v>
      </c>
      <c r="N141" s="971">
        <v>16.399999999999999</v>
      </c>
      <c r="O141" s="971">
        <v>2.6</v>
      </c>
      <c r="P141" s="971">
        <v>2.2999999999999998</v>
      </c>
      <c r="Q141" s="971">
        <v>8.1</v>
      </c>
      <c r="R141" t="s">
        <v>9258</v>
      </c>
      <c r="U141" t="s">
        <v>9333</v>
      </c>
      <c r="V141" s="871">
        <v>46293</v>
      </c>
      <c r="W14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20.88</v>
      </c>
      <c r="X14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2.42</v>
      </c>
      <c r="Y141" s="974">
        <f>IFERROR(tblConcentrado[[#This Row],[Concentrado (TMS)]]/tblConcentrado[[#This Row],[Mineral (TMS)]],"")</f>
        <v>0.75339528234453179</v>
      </c>
      <c r="Z141" s="973">
        <f>IFERROR(1/tblConcentrado[[#This Row],[% Recup.]],0)</f>
        <v>1.3273244781783682</v>
      </c>
      <c r="AA141" s="975" t="str">
        <f>IF(COUNTIFS(tblConcentrado[ID],tblConcentrado[[#This Row],[ID]])&gt;1,"Duplicado","")</f>
        <v/>
      </c>
    </row>
    <row r="142" spans="2:27">
      <c r="B142" s="976">
        <f>(YEAR(tblConcentrado[[#This Row],[Fecha]])*10000+MONTH(tblConcentrado[[#This Row],[Fecha]])*100+DAY(tblConcentrado[[#This Row],[Fecha]]))*100+tblConcentrado[[#This Row],[N° hora]]</f>
        <v>2026090618</v>
      </c>
      <c r="C142" s="871">
        <v>46271</v>
      </c>
      <c r="D142">
        <v>18</v>
      </c>
      <c r="E142" s="952">
        <v>8.3333333333333301E-2</v>
      </c>
      <c r="F142" s="256">
        <v>1386</v>
      </c>
      <c r="G142" s="256">
        <v>709</v>
      </c>
      <c r="H142" s="970"/>
      <c r="I142" s="970"/>
      <c r="J142" s="970"/>
      <c r="K142" s="970"/>
      <c r="L142" s="970"/>
      <c r="M142" s="971"/>
      <c r="N142" s="971"/>
      <c r="O142" s="971"/>
      <c r="P142" s="971"/>
      <c r="Q142" s="971"/>
      <c r="R142" t="s">
        <v>9258</v>
      </c>
      <c r="U142" t="s">
        <v>9333</v>
      </c>
      <c r="V142" s="871">
        <v>46293</v>
      </c>
      <c r="W14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4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42" s="974">
        <f>IFERROR(tblConcentrado[[#This Row],[Concentrado (TMS)]]/tblConcentrado[[#This Row],[Mineral (TMS)]],"")</f>
        <v>0.51154401154401152</v>
      </c>
      <c r="Z142" s="973">
        <f>IFERROR(1/tblConcentrado[[#This Row],[% Recup.]],0)</f>
        <v>1.9548660084626235</v>
      </c>
      <c r="AA142" s="975" t="str">
        <f>IF(COUNTIFS(tblConcentrado[ID],tblConcentrado[[#This Row],[ID]])&gt;1,"Duplicado","")</f>
        <v/>
      </c>
    </row>
    <row r="143" spans="2:27">
      <c r="B143" s="976">
        <f>(YEAR(tblConcentrado[[#This Row],[Fecha]])*10000+MONTH(tblConcentrado[[#This Row],[Fecha]])*100+DAY(tblConcentrado[[#This Row],[Fecha]]))*100+tblConcentrado[[#This Row],[N° hora]]</f>
        <v>2026090619</v>
      </c>
      <c r="C143" s="871">
        <v>46271</v>
      </c>
      <c r="D143">
        <v>19</v>
      </c>
      <c r="E143" s="952">
        <v>0.125</v>
      </c>
      <c r="F143" s="256">
        <v>1399</v>
      </c>
      <c r="G143" s="256">
        <v>982</v>
      </c>
      <c r="H143" s="970">
        <v>0.13</v>
      </c>
      <c r="I143" s="970">
        <v>0.42799999999999999</v>
      </c>
      <c r="J143" s="970">
        <v>0.34</v>
      </c>
      <c r="K143" s="970">
        <v>0.38300000000000001</v>
      </c>
      <c r="L143" s="970">
        <v>0.3</v>
      </c>
      <c r="M143" s="971">
        <v>25.4</v>
      </c>
      <c r="N143" s="971">
        <v>15.2</v>
      </c>
      <c r="O143" s="971">
        <v>2.2999999999999998</v>
      </c>
      <c r="P143" s="971">
        <v>2</v>
      </c>
      <c r="Q143" s="971">
        <v>8</v>
      </c>
      <c r="R143" t="s">
        <v>9258</v>
      </c>
      <c r="S143" t="s">
        <v>132</v>
      </c>
      <c r="U143" t="s">
        <v>9333</v>
      </c>
      <c r="V143" s="871">
        <v>46293</v>
      </c>
      <c r="W14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19.28</v>
      </c>
      <c r="X14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2.12</v>
      </c>
      <c r="Y143" s="974">
        <f>IFERROR(tblConcentrado[[#This Row],[Concentrado (TMS)]]/tblConcentrado[[#This Row],[Mineral (TMS)]],"")</f>
        <v>0.70192994996426017</v>
      </c>
      <c r="Z143" s="973">
        <f>IFERROR(1/tblConcentrado[[#This Row],[% Recup.]],0)</f>
        <v>1.424643584521385</v>
      </c>
      <c r="AA143" s="975" t="str">
        <f>IF(COUNTIFS(tblConcentrado[ID],tblConcentrado[[#This Row],[ID]])&gt;1,"Duplicado","")</f>
        <v/>
      </c>
    </row>
    <row r="144" spans="2:27">
      <c r="B144" s="976">
        <f>(YEAR(tblConcentrado[[#This Row],[Fecha]])*10000+MONTH(tblConcentrado[[#This Row],[Fecha]])*100+DAY(tblConcentrado[[#This Row],[Fecha]]))*100+tblConcentrado[[#This Row],[N° hora]]</f>
        <v>2026090620</v>
      </c>
      <c r="C144" s="871">
        <v>46271</v>
      </c>
      <c r="D144">
        <v>20</v>
      </c>
      <c r="E144" s="952">
        <v>0.16666666666666699</v>
      </c>
      <c r="F144" s="256">
        <v>1410</v>
      </c>
      <c r="G144" s="256">
        <v>890</v>
      </c>
      <c r="H144" s="970"/>
      <c r="I144" s="970"/>
      <c r="J144" s="970"/>
      <c r="K144" s="970"/>
      <c r="L144" s="970"/>
      <c r="M144" s="971"/>
      <c r="N144" s="971"/>
      <c r="O144" s="971"/>
      <c r="P144" s="971"/>
      <c r="Q144" s="971"/>
      <c r="R144" t="s">
        <v>9258</v>
      </c>
      <c r="U144" t="s">
        <v>9333</v>
      </c>
      <c r="V144" s="871">
        <v>46293</v>
      </c>
      <c r="W14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4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44" s="974">
        <f>IFERROR(tblConcentrado[[#This Row],[Concentrado (TMS)]]/tblConcentrado[[#This Row],[Mineral (TMS)]],"")</f>
        <v>0.63120567375886527</v>
      </c>
      <c r="Z144" s="973">
        <f>IFERROR(1/tblConcentrado[[#This Row],[% Recup.]],0)</f>
        <v>1.5842696629213482</v>
      </c>
      <c r="AA144" s="975" t="str">
        <f>IF(COUNTIFS(tblConcentrado[ID],tblConcentrado[[#This Row],[ID]])&gt;1,"Duplicado","")</f>
        <v/>
      </c>
    </row>
    <row r="145" spans="2:27">
      <c r="B145" s="976">
        <f>(YEAR(tblConcentrado[[#This Row],[Fecha]])*10000+MONTH(tblConcentrado[[#This Row],[Fecha]])*100+DAY(tblConcentrado[[#This Row],[Fecha]]))*100+tblConcentrado[[#This Row],[N° hora]]</f>
        <v>2026090621</v>
      </c>
      <c r="C145" s="871">
        <v>46271</v>
      </c>
      <c r="D145">
        <v>21</v>
      </c>
      <c r="E145" s="952">
        <v>0.20833333333333301</v>
      </c>
      <c r="F145" s="256">
        <v>1386</v>
      </c>
      <c r="G145" s="256">
        <v>1035</v>
      </c>
      <c r="H145" s="970">
        <v>0.14299999999999999</v>
      </c>
      <c r="I145" s="970">
        <v>0.47899999999999998</v>
      </c>
      <c r="J145" s="970">
        <v>0.36</v>
      </c>
      <c r="K145" s="970">
        <v>0.46300000000000002</v>
      </c>
      <c r="L145" s="970">
        <v>0.31</v>
      </c>
      <c r="M145" s="971">
        <v>28.8</v>
      </c>
      <c r="N145" s="971">
        <v>13.4</v>
      </c>
      <c r="O145" s="971">
        <v>2.6</v>
      </c>
      <c r="P145" s="971">
        <v>2</v>
      </c>
      <c r="Q145" s="971">
        <v>8</v>
      </c>
      <c r="R145" t="s">
        <v>9258</v>
      </c>
      <c r="S145" t="s">
        <v>133</v>
      </c>
      <c r="U145" t="s">
        <v>9333</v>
      </c>
      <c r="V145" s="871">
        <v>46293</v>
      </c>
      <c r="W14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19.560000000000002</v>
      </c>
      <c r="X14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2.2400000000000002</v>
      </c>
      <c r="Y145" s="974">
        <f>IFERROR(tblConcentrado[[#This Row],[Concentrado (TMS)]]/tblConcentrado[[#This Row],[Mineral (TMS)]],"")</f>
        <v>0.74675324675324672</v>
      </c>
      <c r="Z145" s="973">
        <f>IFERROR(1/tblConcentrado[[#This Row],[% Recup.]],0)</f>
        <v>1.3391304347826087</v>
      </c>
      <c r="AA145" s="975" t="str">
        <f>IF(COUNTIFS(tblConcentrado[ID],tblConcentrado[[#This Row],[ID]])&gt;1,"Duplicado","")</f>
        <v/>
      </c>
    </row>
    <row r="146" spans="2:27">
      <c r="B146" s="976">
        <f>(YEAR(tblConcentrado[[#This Row],[Fecha]])*10000+MONTH(tblConcentrado[[#This Row],[Fecha]])*100+DAY(tblConcentrado[[#This Row],[Fecha]]))*100+tblConcentrado[[#This Row],[N° hora]]</f>
        <v>2026090622</v>
      </c>
      <c r="C146" s="871">
        <v>46271</v>
      </c>
      <c r="D146">
        <v>22</v>
      </c>
      <c r="E146" s="952">
        <v>0.25</v>
      </c>
      <c r="F146" s="256">
        <v>1373</v>
      </c>
      <c r="G146" s="256">
        <v>698</v>
      </c>
      <c r="H146" s="970"/>
      <c r="I146" s="970"/>
      <c r="J146" s="970"/>
      <c r="K146" s="970"/>
      <c r="L146" s="970"/>
      <c r="M146" s="971"/>
      <c r="N146" s="971"/>
      <c r="O146" s="971"/>
      <c r="P146" s="971"/>
      <c r="Q146" s="971"/>
      <c r="R146" t="s">
        <v>9258</v>
      </c>
      <c r="U146" t="s">
        <v>9333</v>
      </c>
      <c r="V146" s="871">
        <v>46293</v>
      </c>
      <c r="W14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4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46" s="974">
        <f>IFERROR(tblConcentrado[[#This Row],[Concentrado (TMS)]]/tblConcentrado[[#This Row],[Mineral (TMS)]],"")</f>
        <v>0.50837581937363441</v>
      </c>
      <c r="Z146" s="973">
        <f>IFERROR(1/tblConcentrado[[#This Row],[% Recup.]],0)</f>
        <v>1.9670487106017192</v>
      </c>
      <c r="AA146" s="975" t="str">
        <f>IF(COUNTIFS(tblConcentrado[ID],tblConcentrado[[#This Row],[ID]])&gt;1,"Duplicado","")</f>
        <v/>
      </c>
    </row>
    <row r="147" spans="2:27">
      <c r="B147" s="976">
        <f>(YEAR(tblConcentrado[[#This Row],[Fecha]])*10000+MONTH(tblConcentrado[[#This Row],[Fecha]])*100+DAY(tblConcentrado[[#This Row],[Fecha]]))*100+tblConcentrado[[#This Row],[N° hora]]</f>
        <v>2026090623</v>
      </c>
      <c r="C147" s="871">
        <v>46271</v>
      </c>
      <c r="D147">
        <v>23</v>
      </c>
      <c r="E147" s="952">
        <v>0.29166666666666702</v>
      </c>
      <c r="F147" s="256">
        <v>1380</v>
      </c>
      <c r="G147" s="256">
        <v>902</v>
      </c>
      <c r="H147" s="970">
        <v>0.17499999999999999</v>
      </c>
      <c r="I147" s="970">
        <v>0.40300000000000002</v>
      </c>
      <c r="J147" s="970"/>
      <c r="K147" s="970">
        <v>0.39</v>
      </c>
      <c r="L147" s="970"/>
      <c r="M147" s="971"/>
      <c r="N147" s="971"/>
      <c r="O147" s="971">
        <v>2.5</v>
      </c>
      <c r="P147" s="971">
        <v>2.1</v>
      </c>
      <c r="Q147" s="971">
        <v>8.1999999999999993</v>
      </c>
      <c r="R147" t="s">
        <v>9258</v>
      </c>
      <c r="U147" t="s">
        <v>9333</v>
      </c>
      <c r="V147" s="871">
        <v>46293</v>
      </c>
      <c r="W147"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4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2.2599999999999998</v>
      </c>
      <c r="Y147" s="974">
        <f>IFERROR(tblConcentrado[[#This Row],[Concentrado (TMS)]]/tblConcentrado[[#This Row],[Mineral (TMS)]],"")</f>
        <v>0.65362318840579714</v>
      </c>
      <c r="Z147" s="973">
        <f>IFERROR(1/tblConcentrado[[#This Row],[% Recup.]],0)</f>
        <v>1.5299334811529932</v>
      </c>
      <c r="AA147" s="975" t="str">
        <f>IF(COUNTIFS(tblConcentrado[ID],tblConcentrado[[#This Row],[ID]])&gt;1,"Duplicado","")</f>
        <v/>
      </c>
    </row>
    <row r="148" spans="2:27">
      <c r="B148" s="976">
        <f>(YEAR(tblConcentrado[[#This Row],[Fecha]])*10000+MONTH(tblConcentrado[[#This Row],[Fecha]])*100+DAY(tblConcentrado[[#This Row],[Fecha]]))*100+tblConcentrado[[#This Row],[N° hora]]</f>
        <v>2026090624</v>
      </c>
      <c r="C148" s="871">
        <v>46271</v>
      </c>
      <c r="D148">
        <v>24</v>
      </c>
      <c r="E148" s="952">
        <v>0.33333333333333298</v>
      </c>
      <c r="F148" s="256">
        <v>1374</v>
      </c>
      <c r="G148" s="256">
        <v>890</v>
      </c>
      <c r="H148" s="970"/>
      <c r="I148" s="970"/>
      <c r="J148" s="970"/>
      <c r="K148" s="970"/>
      <c r="L148" s="970"/>
      <c r="M148" s="971"/>
      <c r="N148" s="971"/>
      <c r="O148" s="971"/>
      <c r="P148" s="971"/>
      <c r="Q148" s="971"/>
      <c r="R148" t="s">
        <v>9258</v>
      </c>
      <c r="U148" t="s">
        <v>9333</v>
      </c>
      <c r="V148" s="871">
        <v>46293</v>
      </c>
      <c r="W14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4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48" s="974">
        <f>IFERROR(tblConcentrado[[#This Row],[Concentrado (TMS)]]/tblConcentrado[[#This Row],[Mineral (TMS)]],"")</f>
        <v>0.6477438136826783</v>
      </c>
      <c r="Z148" s="973">
        <f>IFERROR(1/tblConcentrado[[#This Row],[% Recup.]],0)</f>
        <v>1.5438202247191011</v>
      </c>
      <c r="AA148" s="975" t="str">
        <f>IF(COUNTIFS(tblConcentrado[ID],tblConcentrado[[#This Row],[ID]])&gt;1,"Duplicado","")</f>
        <v/>
      </c>
    </row>
    <row r="149" spans="2:27">
      <c r="B149" s="976">
        <f>(YEAR(tblConcentrado[[#This Row],[Fecha]])*10000+MONTH(tblConcentrado[[#This Row],[Fecha]])*100+DAY(tblConcentrado[[#This Row],[Fecha]]))*100+tblConcentrado[[#This Row],[N° hora]]</f>
        <v>2026090701</v>
      </c>
      <c r="C149" s="871">
        <v>46272</v>
      </c>
      <c r="D149">
        <v>1</v>
      </c>
      <c r="E149" s="952">
        <v>0.375</v>
      </c>
      <c r="F149" s="256">
        <v>1398</v>
      </c>
      <c r="G149" s="256">
        <v>929</v>
      </c>
      <c r="H149" s="970">
        <v>0.14899999999999999</v>
      </c>
      <c r="I149" s="970">
        <v>0.38800000000000001</v>
      </c>
      <c r="J149" s="970">
        <v>0.3</v>
      </c>
      <c r="K149" s="970">
        <v>0.39400000000000002</v>
      </c>
      <c r="L149" s="970">
        <v>0.31</v>
      </c>
      <c r="M149" s="971">
        <v>25.4</v>
      </c>
      <c r="N149" s="971">
        <v>13.3</v>
      </c>
      <c r="O149" s="971">
        <v>2.4</v>
      </c>
      <c r="P149" s="971">
        <v>1.9</v>
      </c>
      <c r="Q149" s="971">
        <v>8.1999999999999993</v>
      </c>
      <c r="R149" t="s">
        <v>9258</v>
      </c>
      <c r="U149" t="s">
        <v>9333</v>
      </c>
      <c r="V149" s="871">
        <v>46293</v>
      </c>
      <c r="W14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18.14</v>
      </c>
      <c r="X14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2.0999999999999996</v>
      </c>
      <c r="Y149" s="974">
        <f>IFERROR(tblConcentrado[[#This Row],[Concentrado (TMS)]]/tblConcentrado[[#This Row],[Mineral (TMS)]],"")</f>
        <v>0.66452074391988558</v>
      </c>
      <c r="Z149" s="973">
        <f>IFERROR(1/tblConcentrado[[#This Row],[% Recup.]],0)</f>
        <v>1.5048439181916038</v>
      </c>
      <c r="AA149" s="975" t="str">
        <f>IF(COUNTIFS(tblConcentrado[ID],tblConcentrado[[#This Row],[ID]])&gt;1,"Duplicado","")</f>
        <v/>
      </c>
    </row>
    <row r="150" spans="2:27">
      <c r="B150" s="976">
        <f>(YEAR(tblConcentrado[[#This Row],[Fecha]])*10000+MONTH(tblConcentrado[[#This Row],[Fecha]])*100+DAY(tblConcentrado[[#This Row],[Fecha]]))*100+tblConcentrado[[#This Row],[N° hora]]</f>
        <v>2026090702</v>
      </c>
      <c r="C150" s="871">
        <v>46272</v>
      </c>
      <c r="D150">
        <v>2</v>
      </c>
      <c r="E150" s="952">
        <v>0.41666666666666702</v>
      </c>
      <c r="F150" s="256">
        <v>1283</v>
      </c>
      <c r="G150" s="256">
        <v>688</v>
      </c>
      <c r="H150" s="970"/>
      <c r="I150" s="970"/>
      <c r="J150" s="970"/>
      <c r="K150" s="970"/>
      <c r="L150" s="970"/>
      <c r="M150" s="971"/>
      <c r="N150" s="971"/>
      <c r="O150" s="971"/>
      <c r="P150" s="971"/>
      <c r="Q150" s="971"/>
      <c r="R150" t="s">
        <v>9258</v>
      </c>
      <c r="T150" t="s">
        <v>134</v>
      </c>
      <c r="U150" t="s">
        <v>9333</v>
      </c>
      <c r="V150" s="871">
        <v>46293</v>
      </c>
      <c r="W15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5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50" s="974">
        <f>IFERROR(tblConcentrado[[#This Row],[Concentrado (TMS)]]/tblConcentrado[[#This Row],[Mineral (TMS)]],"")</f>
        <v>0.53624318004676541</v>
      </c>
      <c r="Z150" s="973">
        <f>IFERROR(1/tblConcentrado[[#This Row],[% Recup.]],0)</f>
        <v>1.8648255813953487</v>
      </c>
      <c r="AA150" s="975" t="str">
        <f>IF(COUNTIFS(tblConcentrado[ID],tblConcentrado[[#This Row],[ID]])&gt;1,"Duplicado","")</f>
        <v/>
      </c>
    </row>
    <row r="151" spans="2:27">
      <c r="B151" s="976">
        <f>(YEAR(tblConcentrado[[#This Row],[Fecha]])*10000+MONTH(tblConcentrado[[#This Row],[Fecha]])*100+DAY(tblConcentrado[[#This Row],[Fecha]]))*100+tblConcentrado[[#This Row],[N° hora]]</f>
        <v>2026090703</v>
      </c>
      <c r="C151" s="871">
        <v>46272</v>
      </c>
      <c r="D151">
        <v>3</v>
      </c>
      <c r="E151" s="952">
        <v>0.45833333333333298</v>
      </c>
      <c r="F151" s="256">
        <v>1323</v>
      </c>
      <c r="G151" s="256">
        <v>756</v>
      </c>
      <c r="H151" s="970">
        <v>0.14799999999999999</v>
      </c>
      <c r="I151" s="970">
        <v>0.48599999999999999</v>
      </c>
      <c r="J151" s="970">
        <v>0.36</v>
      </c>
      <c r="K151" s="970">
        <v>0.44900000000000001</v>
      </c>
      <c r="L151" s="970">
        <v>0.34</v>
      </c>
      <c r="M151" s="971">
        <v>19.399999999999999</v>
      </c>
      <c r="N151" s="971">
        <v>14</v>
      </c>
      <c r="O151" s="971">
        <v>1.7</v>
      </c>
      <c r="P151" s="971">
        <v>2</v>
      </c>
      <c r="Q151" s="971">
        <v>8.1999999999999993</v>
      </c>
      <c r="R151" t="s">
        <v>9258</v>
      </c>
      <c r="U151" t="s">
        <v>9333</v>
      </c>
      <c r="V151" s="871">
        <v>46293</v>
      </c>
      <c r="W15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16.16</v>
      </c>
      <c r="X15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1.88</v>
      </c>
      <c r="Y151" s="974">
        <f>IFERROR(tblConcentrado[[#This Row],[Concentrado (TMS)]]/tblConcentrado[[#This Row],[Mineral (TMS)]],"")</f>
        <v>0.5714285714285714</v>
      </c>
      <c r="Z151" s="973">
        <f>IFERROR(1/tblConcentrado[[#This Row],[% Recup.]],0)</f>
        <v>1.75</v>
      </c>
      <c r="AA151" s="975" t="str">
        <f>IF(COUNTIFS(tblConcentrado[ID],tblConcentrado[[#This Row],[ID]])&gt;1,"Duplicado","")</f>
        <v/>
      </c>
    </row>
    <row r="152" spans="2:27">
      <c r="B152" s="976">
        <f>(YEAR(tblConcentrado[[#This Row],[Fecha]])*10000+MONTH(tblConcentrado[[#This Row],[Fecha]])*100+DAY(tblConcentrado[[#This Row],[Fecha]]))*100+tblConcentrado[[#This Row],[N° hora]]</f>
        <v>2026090704</v>
      </c>
      <c r="C152" s="871">
        <v>46272</v>
      </c>
      <c r="D152">
        <v>4</v>
      </c>
      <c r="E152" s="952">
        <v>0.5</v>
      </c>
      <c r="F152" s="256">
        <v>1364</v>
      </c>
      <c r="G152" s="256">
        <v>848</v>
      </c>
      <c r="H152" s="970"/>
      <c r="I152" s="970"/>
      <c r="J152" s="970"/>
      <c r="K152" s="970"/>
      <c r="L152" s="970"/>
      <c r="M152" s="971"/>
      <c r="N152" s="971"/>
      <c r="O152" s="971"/>
      <c r="P152" s="971"/>
      <c r="Q152" s="971"/>
      <c r="R152" t="s">
        <v>9258</v>
      </c>
      <c r="U152" t="s">
        <v>9333</v>
      </c>
      <c r="V152" s="871">
        <v>46293</v>
      </c>
      <c r="W15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5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52" s="974">
        <f>IFERROR(tblConcentrado[[#This Row],[Concentrado (TMS)]]/tblConcentrado[[#This Row],[Mineral (TMS)]],"")</f>
        <v>0.6217008797653959</v>
      </c>
      <c r="Z152" s="973">
        <f>IFERROR(1/tblConcentrado[[#This Row],[% Recup.]],0)</f>
        <v>1.6084905660377358</v>
      </c>
      <c r="AA152" s="975" t="str">
        <f>IF(COUNTIFS(tblConcentrado[ID],tblConcentrado[[#This Row],[ID]])&gt;1,"Duplicado","")</f>
        <v/>
      </c>
    </row>
    <row r="153" spans="2:27">
      <c r="B153" s="976">
        <f>(YEAR(tblConcentrado[[#This Row],[Fecha]])*10000+MONTH(tblConcentrado[[#This Row],[Fecha]])*100+DAY(tblConcentrado[[#This Row],[Fecha]]))*100+tblConcentrado[[#This Row],[N° hora]]</f>
        <v>2026090705</v>
      </c>
      <c r="C153" s="871">
        <v>46272</v>
      </c>
      <c r="D153">
        <v>5</v>
      </c>
      <c r="E153" s="952">
        <v>0.54166666666666696</v>
      </c>
      <c r="F153" s="256">
        <v>1344</v>
      </c>
      <c r="G153" s="256">
        <v>946</v>
      </c>
      <c r="H153" s="970">
        <v>0.157</v>
      </c>
      <c r="I153" s="970">
        <v>0.53400000000000003</v>
      </c>
      <c r="J153" s="970">
        <v>0.39</v>
      </c>
      <c r="K153" s="970">
        <v>0.432</v>
      </c>
      <c r="L153" s="970">
        <v>0.38</v>
      </c>
      <c r="M153" s="971">
        <v>25.5</v>
      </c>
      <c r="N153" s="971">
        <v>15.4</v>
      </c>
      <c r="O153" s="971">
        <v>2.6</v>
      </c>
      <c r="P153" s="971">
        <v>2.5</v>
      </c>
      <c r="Q153" s="971">
        <v>8.1</v>
      </c>
      <c r="R153" t="s">
        <v>9258</v>
      </c>
      <c r="U153" t="s">
        <v>9333</v>
      </c>
      <c r="V153" s="871">
        <v>46293</v>
      </c>
      <c r="W15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19.440000000000001</v>
      </c>
      <c r="X15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2.54</v>
      </c>
      <c r="Y153" s="974">
        <f>IFERROR(tblConcentrado[[#This Row],[Concentrado (TMS)]]/tblConcentrado[[#This Row],[Mineral (TMS)]],"")</f>
        <v>0.70386904761904767</v>
      </c>
      <c r="Z153" s="973">
        <f>IFERROR(1/tblConcentrado[[#This Row],[% Recup.]],0)</f>
        <v>1.4207188160676532</v>
      </c>
      <c r="AA153" s="975" t="str">
        <f>IF(COUNTIFS(tblConcentrado[ID],tblConcentrado[[#This Row],[ID]])&gt;1,"Duplicado","")</f>
        <v/>
      </c>
    </row>
    <row r="154" spans="2:27">
      <c r="B154" s="976">
        <f>(YEAR(tblConcentrado[[#This Row],[Fecha]])*10000+MONTH(tblConcentrado[[#This Row],[Fecha]])*100+DAY(tblConcentrado[[#This Row],[Fecha]]))*100+tblConcentrado[[#This Row],[N° hora]]</f>
        <v>2026090706</v>
      </c>
      <c r="C154" s="871">
        <v>46272</v>
      </c>
      <c r="D154">
        <v>6</v>
      </c>
      <c r="E154" s="952">
        <v>0.58333333333333304</v>
      </c>
      <c r="F154" s="256">
        <v>1405</v>
      </c>
      <c r="G154" s="256">
        <v>976</v>
      </c>
      <c r="H154" s="970"/>
      <c r="I154" s="970"/>
      <c r="J154" s="970"/>
      <c r="K154" s="970"/>
      <c r="L154" s="970"/>
      <c r="M154" s="971"/>
      <c r="N154" s="971"/>
      <c r="O154" s="971"/>
      <c r="P154" s="971"/>
      <c r="Q154" s="971"/>
      <c r="R154" t="s">
        <v>9258</v>
      </c>
      <c r="U154" t="s">
        <v>9333</v>
      </c>
      <c r="V154" s="871">
        <v>46293</v>
      </c>
      <c r="W15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5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54" s="974">
        <f>IFERROR(tblConcentrado[[#This Row],[Concentrado (TMS)]]/tblConcentrado[[#This Row],[Mineral (TMS)]],"")</f>
        <v>0.69466192170818508</v>
      </c>
      <c r="Z154" s="973">
        <f>IFERROR(1/tblConcentrado[[#This Row],[% Recup.]],0)</f>
        <v>1.4395491803278688</v>
      </c>
      <c r="AA154" s="975" t="str">
        <f>IF(COUNTIFS(tblConcentrado[ID],tblConcentrado[[#This Row],[ID]])&gt;1,"Duplicado","")</f>
        <v/>
      </c>
    </row>
    <row r="155" spans="2:27">
      <c r="B155" s="976">
        <f>(YEAR(tblConcentrado[[#This Row],[Fecha]])*10000+MONTH(tblConcentrado[[#This Row],[Fecha]])*100+DAY(tblConcentrado[[#This Row],[Fecha]]))*100+tblConcentrado[[#This Row],[N° hora]]</f>
        <v>2026090707</v>
      </c>
      <c r="C155" s="871">
        <v>46272</v>
      </c>
      <c r="D155">
        <v>7</v>
      </c>
      <c r="E155" s="952">
        <v>0.625</v>
      </c>
      <c r="F155" s="256">
        <v>1391</v>
      </c>
      <c r="G155" s="256">
        <v>870</v>
      </c>
      <c r="H155" s="970">
        <v>0.13100000000000001</v>
      </c>
      <c r="I155" s="970">
        <v>0.40899999999999997</v>
      </c>
      <c r="J155" s="970">
        <v>0.33</v>
      </c>
      <c r="K155" s="970">
        <v>0.59199999999999997</v>
      </c>
      <c r="L155" s="970">
        <v>0.4</v>
      </c>
      <c r="M155" s="971">
        <v>22.3</v>
      </c>
      <c r="N155" s="971">
        <v>14.7</v>
      </c>
      <c r="O155" s="971">
        <v>2.6</v>
      </c>
      <c r="P155" s="971">
        <v>2.6</v>
      </c>
      <c r="Q155" s="971">
        <v>8.1</v>
      </c>
      <c r="R155" t="s">
        <v>9258</v>
      </c>
      <c r="T155" t="s">
        <v>135</v>
      </c>
      <c r="U155" t="s">
        <v>9333</v>
      </c>
      <c r="V155" s="871">
        <v>46293</v>
      </c>
      <c r="W15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17.739999999999998</v>
      </c>
      <c r="X15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2.6</v>
      </c>
      <c r="Y155" s="974">
        <f>IFERROR(tblConcentrado[[#This Row],[Concentrado (TMS)]]/tblConcentrado[[#This Row],[Mineral (TMS)]],"")</f>
        <v>0.62544931703810214</v>
      </c>
      <c r="Z155" s="973">
        <f>IFERROR(1/tblConcentrado[[#This Row],[% Recup.]],0)</f>
        <v>1.5988505747126436</v>
      </c>
      <c r="AA155" s="975" t="str">
        <f>IF(COUNTIFS(tblConcentrado[ID],tblConcentrado[[#This Row],[ID]])&gt;1,"Duplicado","")</f>
        <v/>
      </c>
    </row>
    <row r="156" spans="2:27">
      <c r="B156" s="976">
        <f>(YEAR(tblConcentrado[[#This Row],[Fecha]])*10000+MONTH(tblConcentrado[[#This Row],[Fecha]])*100+DAY(tblConcentrado[[#This Row],[Fecha]]))*100+tblConcentrado[[#This Row],[N° hora]]</f>
        <v>2026090708</v>
      </c>
      <c r="C156" s="871">
        <v>46272</v>
      </c>
      <c r="D156">
        <v>8</v>
      </c>
      <c r="E156" s="952">
        <v>0.66666666666666696</v>
      </c>
      <c r="F156" s="256">
        <v>1369</v>
      </c>
      <c r="G156" s="256">
        <v>856</v>
      </c>
      <c r="H156" s="970"/>
      <c r="I156" s="970"/>
      <c r="J156" s="970"/>
      <c r="K156" s="970"/>
      <c r="L156" s="970"/>
      <c r="M156" s="971"/>
      <c r="N156" s="971"/>
      <c r="O156" s="971"/>
      <c r="P156" s="971"/>
      <c r="Q156" s="971"/>
      <c r="R156" t="s">
        <v>9258</v>
      </c>
      <c r="U156" t="s">
        <v>9333</v>
      </c>
      <c r="V156" s="871">
        <v>46293</v>
      </c>
      <c r="W15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5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56" s="974">
        <f>IFERROR(tblConcentrado[[#This Row],[Concentrado (TMS)]]/tblConcentrado[[#This Row],[Mineral (TMS)]],"")</f>
        <v>0.62527392257121983</v>
      </c>
      <c r="Z156" s="973">
        <f>IFERROR(1/tblConcentrado[[#This Row],[% Recup.]],0)</f>
        <v>1.5992990654205608</v>
      </c>
      <c r="AA156" s="975" t="str">
        <f>IF(COUNTIFS(tblConcentrado[ID],tblConcentrado[[#This Row],[ID]])&gt;1,"Duplicado","")</f>
        <v/>
      </c>
    </row>
    <row r="157" spans="2:27">
      <c r="B157" s="976">
        <f>(YEAR(tblConcentrado[[#This Row],[Fecha]])*10000+MONTH(tblConcentrado[[#This Row],[Fecha]])*100+DAY(tblConcentrado[[#This Row],[Fecha]]))*100+tblConcentrado[[#This Row],[N° hora]]</f>
        <v>2026090709</v>
      </c>
      <c r="C157" s="871">
        <v>46272</v>
      </c>
      <c r="D157">
        <v>9</v>
      </c>
      <c r="E157" s="952">
        <v>0.70833333333333304</v>
      </c>
      <c r="F157" s="256">
        <v>1318</v>
      </c>
      <c r="G157" s="256">
        <v>976</v>
      </c>
      <c r="H157" s="970">
        <v>0.26800000000000002</v>
      </c>
      <c r="I157" s="970">
        <v>0.65300000000000002</v>
      </c>
      <c r="J157" s="970">
        <v>0.4</v>
      </c>
      <c r="K157" s="970">
        <v>0.66500000000000004</v>
      </c>
      <c r="L157" s="970">
        <v>0.41</v>
      </c>
      <c r="M157" s="971">
        <v>20.7</v>
      </c>
      <c r="N157" s="971">
        <v>14.4</v>
      </c>
      <c r="O157" s="971">
        <v>1.3</v>
      </c>
      <c r="P157" s="971">
        <v>2.4</v>
      </c>
      <c r="Q157" s="971">
        <v>8</v>
      </c>
      <c r="R157" t="s">
        <v>9258</v>
      </c>
      <c r="S157" t="s">
        <v>136</v>
      </c>
      <c r="U157" t="s">
        <v>9333</v>
      </c>
      <c r="V157" s="871">
        <v>46293</v>
      </c>
      <c r="W15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16.920000000000002</v>
      </c>
      <c r="X15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1.96</v>
      </c>
      <c r="Y157" s="974">
        <f>IFERROR(tblConcentrado[[#This Row],[Concentrado (TMS)]]/tblConcentrado[[#This Row],[Mineral (TMS)]],"")</f>
        <v>0.74051593323216991</v>
      </c>
      <c r="Z157" s="973">
        <f>IFERROR(1/tblConcentrado[[#This Row],[% Recup.]],0)</f>
        <v>1.3504098360655739</v>
      </c>
      <c r="AA157" s="975" t="str">
        <f>IF(COUNTIFS(tblConcentrado[ID],tblConcentrado[[#This Row],[ID]])&gt;1,"Duplicado","")</f>
        <v/>
      </c>
    </row>
    <row r="158" spans="2:27">
      <c r="B158" s="976">
        <f>(YEAR(tblConcentrado[[#This Row],[Fecha]])*10000+MONTH(tblConcentrado[[#This Row],[Fecha]])*100+DAY(tblConcentrado[[#This Row],[Fecha]]))*100+tblConcentrado[[#This Row],[N° hora]]</f>
        <v>2026090710</v>
      </c>
      <c r="C158" s="871">
        <v>46272</v>
      </c>
      <c r="D158">
        <v>10</v>
      </c>
      <c r="E158" s="952">
        <v>0.75</v>
      </c>
      <c r="F158" s="256">
        <v>1310</v>
      </c>
      <c r="G158" s="256">
        <v>1079</v>
      </c>
      <c r="H158" s="970"/>
      <c r="I158" s="970"/>
      <c r="J158" s="970"/>
      <c r="K158" s="970"/>
      <c r="L158" s="970"/>
      <c r="M158" s="971"/>
      <c r="N158" s="971"/>
      <c r="O158" s="971"/>
      <c r="P158" s="971"/>
      <c r="Q158" s="971"/>
      <c r="R158" t="s">
        <v>9258</v>
      </c>
      <c r="S158" t="s">
        <v>137</v>
      </c>
      <c r="U158" t="s">
        <v>9333</v>
      </c>
      <c r="V158" s="871">
        <v>46293</v>
      </c>
      <c r="W15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5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58" s="974">
        <f>IFERROR(tblConcentrado[[#This Row],[Concentrado (TMS)]]/tblConcentrado[[#This Row],[Mineral (TMS)]],"")</f>
        <v>0.82366412213740459</v>
      </c>
      <c r="Z158" s="973">
        <f>IFERROR(1/tblConcentrado[[#This Row],[% Recup.]],0)</f>
        <v>1.2140871177015755</v>
      </c>
      <c r="AA158" s="975" t="str">
        <f>IF(COUNTIFS(tblConcentrado[ID],tblConcentrado[[#This Row],[ID]])&gt;1,"Duplicado","")</f>
        <v/>
      </c>
    </row>
    <row r="159" spans="2:27">
      <c r="B159" s="976">
        <f>(YEAR(tblConcentrado[[#This Row],[Fecha]])*10000+MONTH(tblConcentrado[[#This Row],[Fecha]])*100+DAY(tblConcentrado[[#This Row],[Fecha]]))*100+tblConcentrado[[#This Row],[N° hora]]</f>
        <v>2026090711</v>
      </c>
      <c r="C159" s="871">
        <v>46272</v>
      </c>
      <c r="D159">
        <v>11</v>
      </c>
      <c r="E159" s="952">
        <v>0.79166666666666696</v>
      </c>
      <c r="F159" s="256">
        <v>1314</v>
      </c>
      <c r="G159" s="256">
        <v>833</v>
      </c>
      <c r="H159" s="970">
        <v>0.29199999999999998</v>
      </c>
      <c r="I159" s="970">
        <v>0.61299999999999999</v>
      </c>
      <c r="J159" s="970">
        <v>0.38</v>
      </c>
      <c r="K159" s="970">
        <v>0.65200000000000002</v>
      </c>
      <c r="L159" s="970">
        <v>0.4</v>
      </c>
      <c r="M159" s="971">
        <v>18.7</v>
      </c>
      <c r="N159" s="971">
        <v>11.6</v>
      </c>
      <c r="O159" s="971">
        <v>1.2</v>
      </c>
      <c r="P159" s="971">
        <v>1</v>
      </c>
      <c r="Q159" s="971">
        <v>8.1</v>
      </c>
      <c r="R159" t="s">
        <v>9258</v>
      </c>
      <c r="S159" t="s">
        <v>138</v>
      </c>
      <c r="U159" t="s">
        <v>9333</v>
      </c>
      <c r="V159" s="871">
        <v>46293</v>
      </c>
      <c r="W15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14.440000000000001</v>
      </c>
      <c r="X15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1.08</v>
      </c>
      <c r="Y159" s="974">
        <f>IFERROR(tblConcentrado[[#This Row],[Concentrado (TMS)]]/tblConcentrado[[#This Row],[Mineral (TMS)]],"")</f>
        <v>0.63394216133942161</v>
      </c>
      <c r="Z159" s="973">
        <f>IFERROR(1/tblConcentrado[[#This Row],[% Recup.]],0)</f>
        <v>1.5774309723889557</v>
      </c>
      <c r="AA159" s="975" t="str">
        <f>IF(COUNTIFS(tblConcentrado[ID],tblConcentrado[[#This Row],[ID]])&gt;1,"Duplicado","")</f>
        <v/>
      </c>
    </row>
    <row r="160" spans="2:27">
      <c r="B160" s="976">
        <f>(YEAR(tblConcentrado[[#This Row],[Fecha]])*10000+MONTH(tblConcentrado[[#This Row],[Fecha]])*100+DAY(tblConcentrado[[#This Row],[Fecha]]))*100+tblConcentrado[[#This Row],[N° hora]]</f>
        <v>2026090712</v>
      </c>
      <c r="C160" s="871">
        <v>46272</v>
      </c>
      <c r="D160">
        <v>12</v>
      </c>
      <c r="E160" s="952">
        <v>0.83333333333333304</v>
      </c>
      <c r="F160" s="256">
        <v>1322</v>
      </c>
      <c r="G160" s="256">
        <v>998</v>
      </c>
      <c r="H160" s="970"/>
      <c r="I160" s="970"/>
      <c r="J160" s="970"/>
      <c r="K160" s="970"/>
      <c r="L160" s="970"/>
      <c r="M160" s="971"/>
      <c r="N160" s="971"/>
      <c r="O160" s="971"/>
      <c r="P160" s="971"/>
      <c r="Q160" s="971"/>
      <c r="R160" t="s">
        <v>9258</v>
      </c>
      <c r="U160" t="s">
        <v>9333</v>
      </c>
      <c r="V160" s="871">
        <v>46293</v>
      </c>
      <c r="W16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6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60" s="974">
        <f>IFERROR(tblConcentrado[[#This Row],[Concentrado (TMS)]]/tblConcentrado[[#This Row],[Mineral (TMS)]],"")</f>
        <v>0.75491679273827539</v>
      </c>
      <c r="Z160" s="973">
        <f>IFERROR(1/tblConcentrado[[#This Row],[% Recup.]],0)</f>
        <v>1.3246492985971943</v>
      </c>
      <c r="AA160" s="975" t="str">
        <f>IF(COUNTIFS(tblConcentrado[ID],tblConcentrado[[#This Row],[ID]])&gt;1,"Duplicado","")</f>
        <v/>
      </c>
    </row>
    <row r="161" spans="2:27">
      <c r="B161" s="976">
        <f>(YEAR(tblConcentrado[[#This Row],[Fecha]])*10000+MONTH(tblConcentrado[[#This Row],[Fecha]])*100+DAY(tblConcentrado[[#This Row],[Fecha]]))*100+tblConcentrado[[#This Row],[N° hora]]</f>
        <v>2026090713</v>
      </c>
      <c r="C161" s="871">
        <v>46272</v>
      </c>
      <c r="D161">
        <v>13</v>
      </c>
      <c r="E161" s="952">
        <v>0.875</v>
      </c>
      <c r="F161" s="256">
        <v>1317</v>
      </c>
      <c r="G161" s="256">
        <v>675</v>
      </c>
      <c r="H161" s="970">
        <v>0.311</v>
      </c>
      <c r="I161" s="970">
        <v>0.54800000000000004</v>
      </c>
      <c r="J161" s="970">
        <v>0.34</v>
      </c>
      <c r="K161" s="970">
        <v>0.49199999999999999</v>
      </c>
      <c r="L161" s="970">
        <v>0.3</v>
      </c>
      <c r="M161" s="971">
        <v>19.2</v>
      </c>
      <c r="N161" s="971">
        <v>12.2</v>
      </c>
      <c r="O161" s="971">
        <v>1.2</v>
      </c>
      <c r="P161" s="971">
        <v>1.1000000000000001</v>
      </c>
      <c r="Q161" s="971">
        <v>8.1</v>
      </c>
      <c r="R161" t="s">
        <v>9258</v>
      </c>
      <c r="S161" t="s">
        <v>139</v>
      </c>
      <c r="U161" t="s">
        <v>9333</v>
      </c>
      <c r="V161" s="871">
        <v>46293</v>
      </c>
      <c r="W16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15</v>
      </c>
      <c r="X16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1.1400000000000001</v>
      </c>
      <c r="Y161" s="974">
        <f>IFERROR(tblConcentrado[[#This Row],[Concentrado (TMS)]]/tblConcentrado[[#This Row],[Mineral (TMS)]],"")</f>
        <v>0.51252847380410027</v>
      </c>
      <c r="Z161" s="973">
        <f>IFERROR(1/tblConcentrado[[#This Row],[% Recup.]],0)</f>
        <v>1.951111111111111</v>
      </c>
      <c r="AA161" s="975" t="str">
        <f>IF(COUNTIFS(tblConcentrado[ID],tblConcentrado[[#This Row],[ID]])&gt;1,"Duplicado","")</f>
        <v/>
      </c>
    </row>
    <row r="162" spans="2:27">
      <c r="B162" s="976">
        <f>(YEAR(tblConcentrado[[#This Row],[Fecha]])*10000+MONTH(tblConcentrado[[#This Row],[Fecha]])*100+DAY(tblConcentrado[[#This Row],[Fecha]]))*100+tblConcentrado[[#This Row],[N° hora]]</f>
        <v>2026090714</v>
      </c>
      <c r="C162" s="871">
        <v>46272</v>
      </c>
      <c r="D162">
        <v>14</v>
      </c>
      <c r="E162" s="952">
        <v>0.91666666666666696</v>
      </c>
      <c r="F162" s="256">
        <v>1245</v>
      </c>
      <c r="G162" s="256">
        <v>807</v>
      </c>
      <c r="H162" s="970"/>
      <c r="I162" s="970"/>
      <c r="J162" s="970"/>
      <c r="K162" s="970"/>
      <c r="L162" s="970"/>
      <c r="M162" s="971"/>
      <c r="N162" s="971"/>
      <c r="O162" s="971"/>
      <c r="P162" s="971"/>
      <c r="Q162" s="971"/>
      <c r="R162" t="s">
        <v>9258</v>
      </c>
      <c r="S162" t="s">
        <v>140</v>
      </c>
      <c r="U162" t="s">
        <v>9333</v>
      </c>
      <c r="V162" s="871">
        <v>46293</v>
      </c>
      <c r="W16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6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62" s="974">
        <f>IFERROR(tblConcentrado[[#This Row],[Concentrado (TMS)]]/tblConcentrado[[#This Row],[Mineral (TMS)]],"")</f>
        <v>0.64819277108433737</v>
      </c>
      <c r="Z162" s="973">
        <f>IFERROR(1/tblConcentrado[[#This Row],[% Recup.]],0)</f>
        <v>1.5427509293680297</v>
      </c>
      <c r="AA162" s="975" t="str">
        <f>IF(COUNTIFS(tblConcentrado[ID],tblConcentrado[[#This Row],[ID]])&gt;1,"Duplicado","")</f>
        <v/>
      </c>
    </row>
    <row r="163" spans="2:27">
      <c r="B163" s="976">
        <f>(YEAR(tblConcentrado[[#This Row],[Fecha]])*10000+MONTH(tblConcentrado[[#This Row],[Fecha]])*100+DAY(tblConcentrado[[#This Row],[Fecha]]))*100+tblConcentrado[[#This Row],[N° hora]]</f>
        <v>2026090715</v>
      </c>
      <c r="C163" s="871">
        <v>46272</v>
      </c>
      <c r="D163">
        <v>15</v>
      </c>
      <c r="E163" s="952">
        <v>0.95833333333333304</v>
      </c>
      <c r="F163" s="256">
        <v>1141</v>
      </c>
      <c r="G163" s="256">
        <v>848</v>
      </c>
      <c r="H163" s="970">
        <v>0.309</v>
      </c>
      <c r="I163" s="970">
        <v>0.56000000000000005</v>
      </c>
      <c r="J163" s="970">
        <v>0.36</v>
      </c>
      <c r="K163" s="970">
        <v>0.48599999999999999</v>
      </c>
      <c r="L163" s="970">
        <v>0.27</v>
      </c>
      <c r="M163" s="971">
        <v>20.7</v>
      </c>
      <c r="N163" s="971">
        <v>11.9</v>
      </c>
      <c r="O163" s="971">
        <v>1.5</v>
      </c>
      <c r="P163" s="971">
        <v>1</v>
      </c>
      <c r="Q163" s="971">
        <v>8.5</v>
      </c>
      <c r="R163" t="s">
        <v>9258</v>
      </c>
      <c r="S163" t="s">
        <v>141</v>
      </c>
      <c r="U163" t="s">
        <v>9333</v>
      </c>
      <c r="V163" s="871">
        <v>46293</v>
      </c>
      <c r="W16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15.419999999999998</v>
      </c>
      <c r="X16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1.2000000000000002</v>
      </c>
      <c r="Y163" s="974">
        <f>IFERROR(tblConcentrado[[#This Row],[Concentrado (TMS)]]/tblConcentrado[[#This Row],[Mineral (TMS)]],"")</f>
        <v>0.74320771253286588</v>
      </c>
      <c r="Z163" s="973">
        <f>IFERROR(1/tblConcentrado[[#This Row],[% Recup.]],0)</f>
        <v>1.3455188679245282</v>
      </c>
      <c r="AA163" s="975" t="str">
        <f>IF(COUNTIFS(tblConcentrado[ID],tblConcentrado[[#This Row],[ID]])&gt;1,"Duplicado","")</f>
        <v/>
      </c>
    </row>
    <row r="164" spans="2:27">
      <c r="B164" s="976">
        <f>(YEAR(tblConcentrado[[#This Row],[Fecha]])*10000+MONTH(tblConcentrado[[#This Row],[Fecha]])*100+DAY(tblConcentrado[[#This Row],[Fecha]]))*100+tblConcentrado[[#This Row],[N° hora]]</f>
        <v>2026090716</v>
      </c>
      <c r="C164" s="871">
        <v>46272</v>
      </c>
      <c r="D164">
        <v>16</v>
      </c>
      <c r="E164" s="952">
        <v>0</v>
      </c>
      <c r="F164" s="256">
        <v>1239</v>
      </c>
      <c r="G164" s="256">
        <v>784</v>
      </c>
      <c r="H164" s="970"/>
      <c r="I164" s="970"/>
      <c r="J164" s="970"/>
      <c r="K164" s="970"/>
      <c r="L164" s="970"/>
      <c r="M164" s="971"/>
      <c r="N164" s="971"/>
      <c r="O164" s="971"/>
      <c r="P164" s="971"/>
      <c r="Q164" s="971"/>
      <c r="R164" t="s">
        <v>9258</v>
      </c>
      <c r="U164" t="s">
        <v>9333</v>
      </c>
      <c r="V164" s="871">
        <v>46293</v>
      </c>
      <c r="W16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6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64" s="974">
        <f>IFERROR(tblConcentrado[[#This Row],[Concentrado (TMS)]]/tblConcentrado[[#This Row],[Mineral (TMS)]],"")</f>
        <v>0.63276836158192096</v>
      </c>
      <c r="Z164" s="973">
        <f>IFERROR(1/tblConcentrado[[#This Row],[% Recup.]],0)</f>
        <v>1.5803571428571428</v>
      </c>
      <c r="AA164" s="975" t="str">
        <f>IF(COUNTIFS(tblConcentrado[ID],tblConcentrado[[#This Row],[ID]])&gt;1,"Duplicado","")</f>
        <v/>
      </c>
    </row>
    <row r="165" spans="2:27">
      <c r="B165" s="976">
        <f>(YEAR(tblConcentrado[[#This Row],[Fecha]])*10000+MONTH(tblConcentrado[[#This Row],[Fecha]])*100+DAY(tblConcentrado[[#This Row],[Fecha]]))*100+tblConcentrado[[#This Row],[N° hora]]</f>
        <v>2026090717</v>
      </c>
      <c r="C165" s="871">
        <v>46272</v>
      </c>
      <c r="D165">
        <v>17</v>
      </c>
      <c r="E165" s="952">
        <v>4.1666666666666699E-2</v>
      </c>
      <c r="F165" s="256">
        <v>1310</v>
      </c>
      <c r="G165" s="256">
        <v>818</v>
      </c>
      <c r="H165" s="970">
        <v>0.17299999999999999</v>
      </c>
      <c r="I165" s="970">
        <v>0.48799999999999999</v>
      </c>
      <c r="J165" s="970">
        <v>0.28000000000000003</v>
      </c>
      <c r="K165" s="970">
        <v>0.54200000000000004</v>
      </c>
      <c r="L165" s="970">
        <v>0.33</v>
      </c>
      <c r="M165" s="971">
        <v>26.6</v>
      </c>
      <c r="N165" s="971">
        <v>12.4</v>
      </c>
      <c r="O165" s="971">
        <v>2.2000000000000002</v>
      </c>
      <c r="P165" s="971">
        <v>1.4</v>
      </c>
      <c r="Q165" s="971">
        <v>8</v>
      </c>
      <c r="R165" t="s">
        <v>9258</v>
      </c>
      <c r="S165" t="s">
        <v>142</v>
      </c>
      <c r="U165" t="s">
        <v>9333</v>
      </c>
      <c r="V165" s="871">
        <v>46293</v>
      </c>
      <c r="W16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18.079999999999998</v>
      </c>
      <c r="X16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1.7200000000000002</v>
      </c>
      <c r="Y165" s="974">
        <f>IFERROR(tblConcentrado[[#This Row],[Concentrado (TMS)]]/tblConcentrado[[#This Row],[Mineral (TMS)]],"")</f>
        <v>0.62442748091603051</v>
      </c>
      <c r="Z165" s="973">
        <f>IFERROR(1/tblConcentrado[[#This Row],[% Recup.]],0)</f>
        <v>1.6014669926650367</v>
      </c>
      <c r="AA165" s="975" t="str">
        <f>IF(COUNTIFS(tblConcentrado[ID],tblConcentrado[[#This Row],[ID]])&gt;1,"Duplicado","")</f>
        <v/>
      </c>
    </row>
    <row r="166" spans="2:27">
      <c r="B166" s="976">
        <f>(YEAR(tblConcentrado[[#This Row],[Fecha]])*10000+MONTH(tblConcentrado[[#This Row],[Fecha]])*100+DAY(tblConcentrado[[#This Row],[Fecha]]))*100+tblConcentrado[[#This Row],[N° hora]]</f>
        <v>2026090718</v>
      </c>
      <c r="C166" s="871">
        <v>46272</v>
      </c>
      <c r="D166">
        <v>18</v>
      </c>
      <c r="E166" s="952">
        <v>8.3333333333333301E-2</v>
      </c>
      <c r="F166" s="256">
        <v>1300</v>
      </c>
      <c r="G166" s="256">
        <v>809</v>
      </c>
      <c r="H166" s="970"/>
      <c r="I166" s="970"/>
      <c r="J166" s="970"/>
      <c r="K166" s="970"/>
      <c r="L166" s="970"/>
      <c r="M166" s="971"/>
      <c r="N166" s="971"/>
      <c r="O166" s="971"/>
      <c r="P166" s="971"/>
      <c r="Q166" s="971"/>
      <c r="R166" t="s">
        <v>9258</v>
      </c>
      <c r="S166" t="s">
        <v>143</v>
      </c>
      <c r="U166" t="s">
        <v>9333</v>
      </c>
      <c r="V166" s="871">
        <v>46293</v>
      </c>
      <c r="W16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6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66" s="974">
        <f>IFERROR(tblConcentrado[[#This Row],[Concentrado (TMS)]]/tblConcentrado[[#This Row],[Mineral (TMS)]],"")</f>
        <v>0.62230769230769234</v>
      </c>
      <c r="Z166" s="973">
        <f>IFERROR(1/tblConcentrado[[#This Row],[% Recup.]],0)</f>
        <v>1.606922126081582</v>
      </c>
      <c r="AA166" s="975" t="str">
        <f>IF(COUNTIFS(tblConcentrado[ID],tblConcentrado[[#This Row],[ID]])&gt;1,"Duplicado","")</f>
        <v/>
      </c>
    </row>
    <row r="167" spans="2:27">
      <c r="B167" s="976">
        <f>(YEAR(tblConcentrado[[#This Row],[Fecha]])*10000+MONTH(tblConcentrado[[#This Row],[Fecha]])*100+DAY(tblConcentrado[[#This Row],[Fecha]]))*100+tblConcentrado[[#This Row],[N° hora]]</f>
        <v>2026090719</v>
      </c>
      <c r="C167" s="871">
        <v>46272</v>
      </c>
      <c r="D167">
        <v>19</v>
      </c>
      <c r="E167" s="952">
        <v>0.125</v>
      </c>
      <c r="F167" s="256">
        <v>1260</v>
      </c>
      <c r="G167" s="256">
        <v>898</v>
      </c>
      <c r="H167" s="970">
        <v>0.16900000000000001</v>
      </c>
      <c r="I167" s="970">
        <v>0.55900000000000005</v>
      </c>
      <c r="J167" s="970">
        <v>0.36</v>
      </c>
      <c r="K167" s="970">
        <v>0.55300000000000005</v>
      </c>
      <c r="L167" s="970">
        <v>0.34</v>
      </c>
      <c r="M167" s="971">
        <v>24.3</v>
      </c>
      <c r="N167" s="971">
        <v>12.3</v>
      </c>
      <c r="O167" s="971">
        <v>1.8</v>
      </c>
      <c r="P167" s="971">
        <v>1.2</v>
      </c>
      <c r="Q167" s="971">
        <v>8.3000000000000007</v>
      </c>
      <c r="R167" t="s">
        <v>9258</v>
      </c>
      <c r="S167" t="s">
        <v>144</v>
      </c>
      <c r="U167" t="s">
        <v>9333</v>
      </c>
      <c r="V167" s="871">
        <v>46293</v>
      </c>
      <c r="W16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17.100000000000001</v>
      </c>
      <c r="X16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1.44</v>
      </c>
      <c r="Y167" s="974">
        <f>IFERROR(tblConcentrado[[#This Row],[Concentrado (TMS)]]/tblConcentrado[[#This Row],[Mineral (TMS)]],"")</f>
        <v>0.71269841269841272</v>
      </c>
      <c r="Z167" s="973">
        <f>IFERROR(1/tblConcentrado[[#This Row],[% Recup.]],0)</f>
        <v>1.4031180400890868</v>
      </c>
      <c r="AA167" s="975" t="str">
        <f>IF(COUNTIFS(tblConcentrado[ID],tblConcentrado[[#This Row],[ID]])&gt;1,"Duplicado","")</f>
        <v/>
      </c>
    </row>
    <row r="168" spans="2:27">
      <c r="B168" s="976">
        <f>(YEAR(tblConcentrado[[#This Row],[Fecha]])*10000+MONTH(tblConcentrado[[#This Row],[Fecha]])*100+DAY(tblConcentrado[[#This Row],[Fecha]]))*100+tblConcentrado[[#This Row],[N° hora]]</f>
        <v>2026090720</v>
      </c>
      <c r="C168" s="871">
        <v>46272</v>
      </c>
      <c r="D168">
        <v>20</v>
      </c>
      <c r="E168" s="952">
        <v>0.16666666666666699</v>
      </c>
      <c r="F168" s="256">
        <v>1215</v>
      </c>
      <c r="G168" s="256">
        <v>907</v>
      </c>
      <c r="H168" s="970"/>
      <c r="I168" s="970"/>
      <c r="J168" s="970"/>
      <c r="K168" s="970"/>
      <c r="L168" s="970"/>
      <c r="M168" s="971"/>
      <c r="N168" s="971"/>
      <c r="O168" s="971"/>
      <c r="P168" s="971"/>
      <c r="Q168" s="971"/>
      <c r="R168" t="s">
        <v>9258</v>
      </c>
      <c r="U168" t="s">
        <v>9333</v>
      </c>
      <c r="V168" s="871">
        <v>46293</v>
      </c>
      <c r="W16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6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68" s="974">
        <f>IFERROR(tblConcentrado[[#This Row],[Concentrado (TMS)]]/tblConcentrado[[#This Row],[Mineral (TMS)]],"")</f>
        <v>0.74650205761316868</v>
      </c>
      <c r="Z168" s="973">
        <f>IFERROR(1/tblConcentrado[[#This Row],[% Recup.]],0)</f>
        <v>1.3395810363836826</v>
      </c>
      <c r="AA168" s="975" t="str">
        <f>IF(COUNTIFS(tblConcentrado[ID],tblConcentrado[[#This Row],[ID]])&gt;1,"Duplicado","")</f>
        <v/>
      </c>
    </row>
    <row r="169" spans="2:27">
      <c r="B169" s="976">
        <f>(YEAR(tblConcentrado[[#This Row],[Fecha]])*10000+MONTH(tblConcentrado[[#This Row],[Fecha]])*100+DAY(tblConcentrado[[#This Row],[Fecha]]))*100+tblConcentrado[[#This Row],[N° hora]]</f>
        <v>2026090721</v>
      </c>
      <c r="C169" s="871">
        <v>46272</v>
      </c>
      <c r="D169">
        <v>21</v>
      </c>
      <c r="E169" s="952">
        <v>0.20833333333333301</v>
      </c>
      <c r="F169" s="256">
        <v>1302</v>
      </c>
      <c r="G169" s="256">
        <v>769</v>
      </c>
      <c r="H169" s="970">
        <v>0.17</v>
      </c>
      <c r="I169" s="970">
        <v>0.59</v>
      </c>
      <c r="J169" s="970">
        <v>0.38</v>
      </c>
      <c r="K169" s="970">
        <v>0.57899999999999996</v>
      </c>
      <c r="L169" s="970">
        <v>0.36</v>
      </c>
      <c r="M169" s="971">
        <v>24</v>
      </c>
      <c r="N169" s="971">
        <v>12.3</v>
      </c>
      <c r="O169" s="971">
        <v>1.9</v>
      </c>
      <c r="P169" s="971">
        <v>1.4</v>
      </c>
      <c r="Q169" s="971">
        <v>8.1</v>
      </c>
      <c r="R169" t="s">
        <v>9258</v>
      </c>
      <c r="U169" t="s">
        <v>9333</v>
      </c>
      <c r="V169" s="871">
        <v>46293</v>
      </c>
      <c r="W16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16.98</v>
      </c>
      <c r="X16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1.6</v>
      </c>
      <c r="Y169" s="974">
        <f>IFERROR(tblConcentrado[[#This Row],[Concentrado (TMS)]]/tblConcentrado[[#This Row],[Mineral (TMS)]],"")</f>
        <v>0.59062980030721968</v>
      </c>
      <c r="Z169" s="973">
        <f>IFERROR(1/tblConcentrado[[#This Row],[% Recup.]],0)</f>
        <v>1.6931079323797138</v>
      </c>
      <c r="AA169" s="975" t="str">
        <f>IF(COUNTIFS(tblConcentrado[ID],tblConcentrado[[#This Row],[ID]])&gt;1,"Duplicado","")</f>
        <v/>
      </c>
    </row>
    <row r="170" spans="2:27">
      <c r="B170" s="976">
        <f>(YEAR(tblConcentrado[[#This Row],[Fecha]])*10000+MONTH(tblConcentrado[[#This Row],[Fecha]])*100+DAY(tblConcentrado[[#This Row],[Fecha]]))*100+tblConcentrado[[#This Row],[N° hora]]</f>
        <v>2026090722</v>
      </c>
      <c r="C170" s="871">
        <v>46272</v>
      </c>
      <c r="D170">
        <v>22</v>
      </c>
      <c r="E170" s="952">
        <v>0.25</v>
      </c>
      <c r="F170" s="256">
        <v>1320</v>
      </c>
      <c r="G170" s="256">
        <v>887</v>
      </c>
      <c r="H170" s="970"/>
      <c r="I170" s="970"/>
      <c r="J170" s="970"/>
      <c r="K170" s="970"/>
      <c r="L170" s="970"/>
      <c r="M170" s="971"/>
      <c r="N170" s="971"/>
      <c r="O170" s="971"/>
      <c r="P170" s="971"/>
      <c r="Q170" s="971"/>
      <c r="R170" t="s">
        <v>9258</v>
      </c>
      <c r="U170" t="s">
        <v>9333</v>
      </c>
      <c r="V170" s="871">
        <v>46293</v>
      </c>
      <c r="W17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7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70" s="974">
        <f>IFERROR(tblConcentrado[[#This Row],[Concentrado (TMS)]]/tblConcentrado[[#This Row],[Mineral (TMS)]],"")</f>
        <v>0.67196969696969699</v>
      </c>
      <c r="Z170" s="973">
        <f>IFERROR(1/tblConcentrado[[#This Row],[% Recup.]],0)</f>
        <v>1.488162344983089</v>
      </c>
      <c r="AA170" s="975" t="str">
        <f>IF(COUNTIFS(tblConcentrado[ID],tblConcentrado[[#This Row],[ID]])&gt;1,"Duplicado","")</f>
        <v/>
      </c>
    </row>
    <row r="171" spans="2:27">
      <c r="B171" s="976">
        <f>(YEAR(tblConcentrado[[#This Row],[Fecha]])*10000+MONTH(tblConcentrado[[#This Row],[Fecha]])*100+DAY(tblConcentrado[[#This Row],[Fecha]]))*100+tblConcentrado[[#This Row],[N° hora]]</f>
        <v>2026090723</v>
      </c>
      <c r="C171" s="871">
        <v>46272</v>
      </c>
      <c r="D171">
        <v>23</v>
      </c>
      <c r="E171" s="952">
        <v>0.29166666666666702</v>
      </c>
      <c r="F171" s="256">
        <v>1357</v>
      </c>
      <c r="G171" s="256">
        <v>866</v>
      </c>
      <c r="H171" s="970">
        <v>0.16800000000000001</v>
      </c>
      <c r="I171" s="970">
        <v>0.56899999999999995</v>
      </c>
      <c r="J171" s="970">
        <v>0.36</v>
      </c>
      <c r="K171" s="970">
        <v>0.54600000000000004</v>
      </c>
      <c r="L171" s="970">
        <v>0.33</v>
      </c>
      <c r="M171" s="971">
        <v>25.4</v>
      </c>
      <c r="N171" s="971">
        <v>10.9</v>
      </c>
      <c r="O171" s="971">
        <v>1.7</v>
      </c>
      <c r="P171" s="971">
        <v>1.2</v>
      </c>
      <c r="Q171" s="971">
        <v>8.1</v>
      </c>
      <c r="R171" t="s">
        <v>9258</v>
      </c>
      <c r="U171" t="s">
        <v>9333</v>
      </c>
      <c r="V171" s="871">
        <v>46293</v>
      </c>
      <c r="W17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16.7</v>
      </c>
      <c r="X17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1.4</v>
      </c>
      <c r="Y171" s="974">
        <f>IFERROR(tblConcentrado[[#This Row],[Concentrado (TMS)]]/tblConcentrado[[#This Row],[Mineral (TMS)]],"")</f>
        <v>0.6381724392041267</v>
      </c>
      <c r="Z171" s="973">
        <f>IFERROR(1/tblConcentrado[[#This Row],[% Recup.]],0)</f>
        <v>1.5669745958429562</v>
      </c>
      <c r="AA171" s="975" t="str">
        <f>IF(COUNTIFS(tblConcentrado[ID],tblConcentrado[[#This Row],[ID]])&gt;1,"Duplicado","")</f>
        <v/>
      </c>
    </row>
    <row r="172" spans="2:27">
      <c r="B172" s="976">
        <f>(YEAR(tblConcentrado[[#This Row],[Fecha]])*10000+MONTH(tblConcentrado[[#This Row],[Fecha]])*100+DAY(tblConcentrado[[#This Row],[Fecha]]))*100+tblConcentrado[[#This Row],[N° hora]]</f>
        <v>2026090724</v>
      </c>
      <c r="C172" s="871">
        <v>46272</v>
      </c>
      <c r="D172">
        <v>24</v>
      </c>
      <c r="E172" s="952">
        <v>0.33333333333333298</v>
      </c>
      <c r="F172" s="256">
        <v>1375</v>
      </c>
      <c r="G172" s="256">
        <v>902</v>
      </c>
      <c r="H172" s="970"/>
      <c r="I172" s="970"/>
      <c r="J172" s="970"/>
      <c r="K172" s="970"/>
      <c r="L172" s="970"/>
      <c r="M172" s="971"/>
      <c r="N172" s="971"/>
      <c r="O172" s="971"/>
      <c r="P172" s="971"/>
      <c r="Q172" s="971"/>
      <c r="R172" t="s">
        <v>9258</v>
      </c>
      <c r="U172" t="s">
        <v>9333</v>
      </c>
      <c r="V172" s="871">
        <v>46293</v>
      </c>
      <c r="W17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7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72" s="974">
        <f>IFERROR(tblConcentrado[[#This Row],[Concentrado (TMS)]]/tblConcentrado[[#This Row],[Mineral (TMS)]],"")</f>
        <v>0.65600000000000003</v>
      </c>
      <c r="Z172" s="973">
        <f>IFERROR(1/tblConcentrado[[#This Row],[% Recup.]],0)</f>
        <v>1.524390243902439</v>
      </c>
      <c r="AA172" s="975" t="str">
        <f>IF(COUNTIFS(tblConcentrado[ID],tblConcentrado[[#This Row],[ID]])&gt;1,"Duplicado","")</f>
        <v/>
      </c>
    </row>
    <row r="173" spans="2:27">
      <c r="B173" s="976">
        <f>(YEAR(tblConcentrado[[#This Row],[Fecha]])*10000+MONTH(tblConcentrado[[#This Row],[Fecha]])*100+DAY(tblConcentrado[[#This Row],[Fecha]]))*100+tblConcentrado[[#This Row],[N° hora]]</f>
        <v>2026090801</v>
      </c>
      <c r="C173" s="871">
        <v>46273</v>
      </c>
      <c r="D173">
        <v>1</v>
      </c>
      <c r="E173" s="952">
        <v>0.375</v>
      </c>
      <c r="F173" s="256">
        <v>1439</v>
      </c>
      <c r="G173" s="256">
        <v>827</v>
      </c>
      <c r="H173" s="970">
        <v>0.16300000000000001</v>
      </c>
      <c r="I173" s="970">
        <v>0.503</v>
      </c>
      <c r="J173" s="970">
        <v>0.33</v>
      </c>
      <c r="K173" s="970">
        <v>0.58699999999999997</v>
      </c>
      <c r="L173" s="970">
        <v>0.38</v>
      </c>
      <c r="M173" s="971">
        <v>22.5</v>
      </c>
      <c r="N173" s="971">
        <v>13.4</v>
      </c>
      <c r="O173" s="971">
        <v>1.9</v>
      </c>
      <c r="P173" s="971">
        <v>1.8</v>
      </c>
      <c r="Q173" s="971">
        <v>8.1999999999999993</v>
      </c>
      <c r="R173" t="s">
        <v>9258</v>
      </c>
      <c r="U173" t="s">
        <v>9333</v>
      </c>
      <c r="V173" s="871">
        <v>46293</v>
      </c>
      <c r="W17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17.04</v>
      </c>
      <c r="X17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1.84</v>
      </c>
      <c r="Y173" s="974">
        <f>IFERROR(tblConcentrado[[#This Row],[Concentrado (TMS)]]/tblConcentrado[[#This Row],[Mineral (TMS)]],"")</f>
        <v>0.57470465601111886</v>
      </c>
      <c r="Z173" s="973">
        <f>IFERROR(1/tblConcentrado[[#This Row],[% Recup.]],0)</f>
        <v>1.740024183796856</v>
      </c>
      <c r="AA173" s="975" t="str">
        <f>IF(COUNTIFS(tblConcentrado[ID],tblConcentrado[[#This Row],[ID]])&gt;1,"Duplicado","")</f>
        <v/>
      </c>
    </row>
    <row r="174" spans="2:27">
      <c r="B174" s="976">
        <f>(YEAR(tblConcentrado[[#This Row],[Fecha]])*10000+MONTH(tblConcentrado[[#This Row],[Fecha]])*100+DAY(tblConcentrado[[#This Row],[Fecha]]))*100+tblConcentrado[[#This Row],[N° hora]]</f>
        <v>2026090802</v>
      </c>
      <c r="C174" s="871">
        <v>46273</v>
      </c>
      <c r="D174">
        <v>2</v>
      </c>
      <c r="E174" s="952">
        <v>0.41666666666666702</v>
      </c>
      <c r="F174" s="256">
        <v>1435</v>
      </c>
      <c r="G174" s="256">
        <v>850</v>
      </c>
      <c r="H174" s="970"/>
      <c r="I174" s="970"/>
      <c r="J174" s="970"/>
      <c r="K174" s="970"/>
      <c r="L174" s="970"/>
      <c r="M174" s="971"/>
      <c r="N174" s="971"/>
      <c r="O174" s="971"/>
      <c r="P174" s="971"/>
      <c r="Q174" s="971"/>
      <c r="R174" t="s">
        <v>9258</v>
      </c>
      <c r="U174" t="s">
        <v>9333</v>
      </c>
      <c r="V174" s="871">
        <v>46293</v>
      </c>
      <c r="W17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7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74" s="974">
        <f>IFERROR(tblConcentrado[[#This Row],[Concentrado (TMS)]]/tblConcentrado[[#This Row],[Mineral (TMS)]],"")</f>
        <v>0.59233449477351918</v>
      </c>
      <c r="Z174" s="973">
        <f>IFERROR(1/tblConcentrado[[#This Row],[% Recup.]],0)</f>
        <v>1.6882352941176471</v>
      </c>
      <c r="AA174" s="975" t="str">
        <f>IF(COUNTIFS(tblConcentrado[ID],tblConcentrado[[#This Row],[ID]])&gt;1,"Duplicado","")</f>
        <v/>
      </c>
    </row>
    <row r="175" spans="2:27">
      <c r="B175" s="976">
        <f>(YEAR(tblConcentrado[[#This Row],[Fecha]])*10000+MONTH(tblConcentrado[[#This Row],[Fecha]])*100+DAY(tblConcentrado[[#This Row],[Fecha]]))*100+tblConcentrado[[#This Row],[N° hora]]</f>
        <v>2026090803</v>
      </c>
      <c r="C175" s="871">
        <v>46273</v>
      </c>
      <c r="D175">
        <v>3</v>
      </c>
      <c r="E175" s="952">
        <v>0.45833333333333298</v>
      </c>
      <c r="F175" s="256">
        <v>1433</v>
      </c>
      <c r="G175" s="256">
        <v>924</v>
      </c>
      <c r="H175" s="970">
        <v>0.19600000000000001</v>
      </c>
      <c r="I175" s="970">
        <v>0.65600000000000003</v>
      </c>
      <c r="J175" s="970">
        <v>0.42</v>
      </c>
      <c r="K175" s="970">
        <v>0.59799999999999998</v>
      </c>
      <c r="L175" s="970">
        <v>0.4</v>
      </c>
      <c r="M175" s="971">
        <v>22.8</v>
      </c>
      <c r="N175" s="971">
        <v>11.4</v>
      </c>
      <c r="O175" s="971">
        <v>1.1000000000000001</v>
      </c>
      <c r="P175" s="971">
        <v>1</v>
      </c>
      <c r="Q175" s="971">
        <v>8.1999999999999993</v>
      </c>
      <c r="R175" t="s">
        <v>9258</v>
      </c>
      <c r="U175" t="s">
        <v>9333</v>
      </c>
      <c r="V175" s="871">
        <v>46293</v>
      </c>
      <c r="W17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15.96</v>
      </c>
      <c r="X17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1.04</v>
      </c>
      <c r="Y175" s="974">
        <f>IFERROR(tblConcentrado[[#This Row],[Concentrado (TMS)]]/tblConcentrado[[#This Row],[Mineral (TMS)]],"")</f>
        <v>0.64480111653872996</v>
      </c>
      <c r="Z175" s="973">
        <f>IFERROR(1/tblConcentrado[[#This Row],[% Recup.]],0)</f>
        <v>1.5508658008658007</v>
      </c>
      <c r="AA175" s="975" t="str">
        <f>IF(COUNTIFS(tblConcentrado[ID],tblConcentrado[[#This Row],[ID]])&gt;1,"Duplicado","")</f>
        <v/>
      </c>
    </row>
    <row r="176" spans="2:27">
      <c r="B176" s="976">
        <f>(YEAR(tblConcentrado[[#This Row],[Fecha]])*10000+MONTH(tblConcentrado[[#This Row],[Fecha]])*100+DAY(tblConcentrado[[#This Row],[Fecha]]))*100+tblConcentrado[[#This Row],[N° hora]]</f>
        <v>2026090804</v>
      </c>
      <c r="C176" s="871">
        <v>46273</v>
      </c>
      <c r="D176">
        <v>4</v>
      </c>
      <c r="E176" s="952">
        <v>0.5</v>
      </c>
      <c r="F176" s="256">
        <v>1412</v>
      </c>
      <c r="G176" s="256">
        <v>1105</v>
      </c>
      <c r="H176" s="970"/>
      <c r="I176" s="970"/>
      <c r="J176" s="970"/>
      <c r="K176" s="970"/>
      <c r="L176" s="970"/>
      <c r="M176" s="971"/>
      <c r="N176" s="971"/>
      <c r="O176" s="971"/>
      <c r="P176" s="971"/>
      <c r="Q176" s="971"/>
      <c r="R176" t="s">
        <v>9258</v>
      </c>
      <c r="U176" t="s">
        <v>9333</v>
      </c>
      <c r="V176" s="871">
        <v>46293</v>
      </c>
      <c r="W17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7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76" s="974">
        <f>IFERROR(tblConcentrado[[#This Row],[Concentrado (TMS)]]/tblConcentrado[[#This Row],[Mineral (TMS)]],"")</f>
        <v>0.78257790368271951</v>
      </c>
      <c r="Z176" s="973">
        <f>IFERROR(1/tblConcentrado[[#This Row],[% Recup.]],0)</f>
        <v>1.2778280542986427</v>
      </c>
      <c r="AA176" s="975" t="str">
        <f>IF(COUNTIFS(tblConcentrado[ID],tblConcentrado[[#This Row],[ID]])&gt;1,"Duplicado","")</f>
        <v/>
      </c>
    </row>
    <row r="177" spans="2:27">
      <c r="B177" s="976">
        <f>(YEAR(tblConcentrado[[#This Row],[Fecha]])*10000+MONTH(tblConcentrado[[#This Row],[Fecha]])*100+DAY(tblConcentrado[[#This Row],[Fecha]]))*100+tblConcentrado[[#This Row],[N° hora]]</f>
        <v>2026090805</v>
      </c>
      <c r="C177" s="871">
        <v>46273</v>
      </c>
      <c r="D177">
        <v>5</v>
      </c>
      <c r="E177" s="952">
        <v>0.54166666666666696</v>
      </c>
      <c r="F177" s="256">
        <v>1411</v>
      </c>
      <c r="G177" s="256">
        <v>1069</v>
      </c>
      <c r="H177" s="970">
        <v>0.34699999999999998</v>
      </c>
      <c r="I177" s="970">
        <v>0.58399999999999996</v>
      </c>
      <c r="J177" s="970">
        <v>0.36</v>
      </c>
      <c r="K177" s="970">
        <v>0.65</v>
      </c>
      <c r="L177" s="970">
        <v>0.42</v>
      </c>
      <c r="M177" s="971">
        <v>18.8</v>
      </c>
      <c r="N177" s="971">
        <v>11.8</v>
      </c>
      <c r="O177" s="971">
        <v>1</v>
      </c>
      <c r="P177" s="971">
        <v>1</v>
      </c>
      <c r="Q177" s="971">
        <v>8.1</v>
      </c>
      <c r="R177" t="s">
        <v>9258</v>
      </c>
      <c r="U177" t="s">
        <v>9333</v>
      </c>
      <c r="V177" s="871">
        <v>46293</v>
      </c>
      <c r="W17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14.600000000000001</v>
      </c>
      <c r="X17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v>
      </c>
      <c r="Y177" s="974">
        <f>IFERROR(tblConcentrado[[#This Row],[Concentrado (TMS)]]/tblConcentrado[[#This Row],[Mineral (TMS)]],"")</f>
        <v>0.75761871013465631</v>
      </c>
      <c r="Z177" s="973">
        <f>IFERROR(1/tblConcentrado[[#This Row],[% Recup.]],0)</f>
        <v>1.3199251637043965</v>
      </c>
      <c r="AA177" s="975" t="str">
        <f>IF(COUNTIFS(tblConcentrado[ID],tblConcentrado[[#This Row],[ID]])&gt;1,"Duplicado","")</f>
        <v/>
      </c>
    </row>
    <row r="178" spans="2:27">
      <c r="B178" s="976">
        <f>(YEAR(tblConcentrado[[#This Row],[Fecha]])*10000+MONTH(tblConcentrado[[#This Row],[Fecha]])*100+DAY(tblConcentrado[[#This Row],[Fecha]]))*100+tblConcentrado[[#This Row],[N° hora]]</f>
        <v>2026090806</v>
      </c>
      <c r="C178" s="871">
        <v>46273</v>
      </c>
      <c r="D178">
        <v>6</v>
      </c>
      <c r="E178" s="952">
        <v>0.58333333333333304</v>
      </c>
      <c r="F178" s="256">
        <v>1432</v>
      </c>
      <c r="G178" s="256">
        <v>947</v>
      </c>
      <c r="H178" s="970"/>
      <c r="I178" s="970"/>
      <c r="J178" s="970"/>
      <c r="K178" s="970"/>
      <c r="L178" s="970"/>
      <c r="M178" s="971"/>
      <c r="N178" s="971"/>
      <c r="O178" s="971"/>
      <c r="P178" s="971"/>
      <c r="Q178" s="971"/>
      <c r="R178" t="s">
        <v>9258</v>
      </c>
      <c r="U178" t="s">
        <v>9333</v>
      </c>
      <c r="V178" s="871">
        <v>46293</v>
      </c>
      <c r="W17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7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78" s="974">
        <f>IFERROR(tblConcentrado[[#This Row],[Concentrado (TMS)]]/tblConcentrado[[#This Row],[Mineral (TMS)]],"")</f>
        <v>0.66131284916201116</v>
      </c>
      <c r="Z178" s="973">
        <f>IFERROR(1/tblConcentrado[[#This Row],[% Recup.]],0)</f>
        <v>1.5121436114044351</v>
      </c>
      <c r="AA178" s="975" t="str">
        <f>IF(COUNTIFS(tblConcentrado[ID],tblConcentrado[[#This Row],[ID]])&gt;1,"Duplicado","")</f>
        <v/>
      </c>
    </row>
    <row r="179" spans="2:27">
      <c r="B179" s="976">
        <f>(YEAR(tblConcentrado[[#This Row],[Fecha]])*10000+MONTH(tblConcentrado[[#This Row],[Fecha]])*100+DAY(tblConcentrado[[#This Row],[Fecha]]))*100+tblConcentrado[[#This Row],[N° hora]]</f>
        <v>2026090807</v>
      </c>
      <c r="C179" s="871">
        <v>46273</v>
      </c>
      <c r="D179">
        <v>7</v>
      </c>
      <c r="E179" s="952">
        <v>0.625</v>
      </c>
      <c r="F179" s="256">
        <v>1430</v>
      </c>
      <c r="G179" s="256">
        <v>1090</v>
      </c>
      <c r="H179" s="970">
        <v>0.40600000000000003</v>
      </c>
      <c r="I179" s="970">
        <v>0.60299999999999998</v>
      </c>
      <c r="J179" s="970">
        <v>0.4</v>
      </c>
      <c r="K179" s="970">
        <v>0.55200000000000005</v>
      </c>
      <c r="L179" s="970">
        <v>0.36</v>
      </c>
      <c r="M179" s="971">
        <v>20.6</v>
      </c>
      <c r="N179" s="971">
        <v>12</v>
      </c>
      <c r="O179" s="971">
        <v>1.4</v>
      </c>
      <c r="P179" s="971">
        <v>0.9</v>
      </c>
      <c r="Q179" s="971">
        <v>8.1</v>
      </c>
      <c r="R179" t="s">
        <v>9258</v>
      </c>
      <c r="U179" t="s">
        <v>9333</v>
      </c>
      <c r="V179" s="871">
        <v>46293</v>
      </c>
      <c r="W17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15.44</v>
      </c>
      <c r="X17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1.1000000000000001</v>
      </c>
      <c r="Y179" s="974">
        <f>IFERROR(tblConcentrado[[#This Row],[Concentrado (TMS)]]/tblConcentrado[[#This Row],[Mineral (TMS)]],"")</f>
        <v>0.76223776223776218</v>
      </c>
      <c r="Z179" s="973">
        <f>IFERROR(1/tblConcentrado[[#This Row],[% Recup.]],0)</f>
        <v>1.3119266055045873</v>
      </c>
      <c r="AA179" s="975" t="str">
        <f>IF(COUNTIFS(tblConcentrado[ID],tblConcentrado[[#This Row],[ID]])&gt;1,"Duplicado","")</f>
        <v/>
      </c>
    </row>
    <row r="180" spans="2:27">
      <c r="B180" s="976">
        <f>(YEAR(tblConcentrado[[#This Row],[Fecha]])*10000+MONTH(tblConcentrado[[#This Row],[Fecha]])*100+DAY(tblConcentrado[[#This Row],[Fecha]]))*100+tblConcentrado[[#This Row],[N° hora]]</f>
        <v>2026090808</v>
      </c>
      <c r="C180" s="871">
        <v>46273</v>
      </c>
      <c r="D180">
        <v>8</v>
      </c>
      <c r="E180" s="952">
        <v>0.66666666666666696</v>
      </c>
      <c r="F180" s="256">
        <v>1413</v>
      </c>
      <c r="G180" s="256">
        <v>1067</v>
      </c>
      <c r="H180" s="970"/>
      <c r="I180" s="970"/>
      <c r="J180" s="970"/>
      <c r="K180" s="970"/>
      <c r="L180" s="970"/>
      <c r="M180" s="971"/>
      <c r="N180" s="971"/>
      <c r="O180" s="971"/>
      <c r="P180" s="971"/>
      <c r="Q180" s="971"/>
      <c r="R180" t="s">
        <v>9258</v>
      </c>
      <c r="U180" t="s">
        <v>9333</v>
      </c>
      <c r="V180" s="871">
        <v>46293</v>
      </c>
      <c r="W18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8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80" s="974">
        <f>IFERROR(tblConcentrado[[#This Row],[Concentrado (TMS)]]/tblConcentrado[[#This Row],[Mineral (TMS)]],"")</f>
        <v>0.75513092710544938</v>
      </c>
      <c r="Z180" s="973">
        <f>IFERROR(1/tblConcentrado[[#This Row],[% Recup.]],0)</f>
        <v>1.3242736644798501</v>
      </c>
      <c r="AA180" s="975" t="str">
        <f>IF(COUNTIFS(tblConcentrado[ID],tblConcentrado[[#This Row],[ID]])&gt;1,"Duplicado","")</f>
        <v/>
      </c>
    </row>
    <row r="181" spans="2:27">
      <c r="B181" s="976">
        <f>(YEAR(tblConcentrado[[#This Row],[Fecha]])*10000+MONTH(tblConcentrado[[#This Row],[Fecha]])*100+DAY(tblConcentrado[[#This Row],[Fecha]]))*100+tblConcentrado[[#This Row],[N° hora]]</f>
        <v>2026090809</v>
      </c>
      <c r="C181" s="871">
        <v>46273</v>
      </c>
      <c r="D181">
        <v>9</v>
      </c>
      <c r="E181" s="952">
        <v>0.70833333333333304</v>
      </c>
      <c r="F181" s="256">
        <v>1428</v>
      </c>
      <c r="G181" s="256">
        <v>809</v>
      </c>
      <c r="H181" s="970">
        <v>0.436</v>
      </c>
      <c r="I181" s="970">
        <v>0.57899999999999996</v>
      </c>
      <c r="J181" s="970">
        <v>0.34</v>
      </c>
      <c r="K181" s="970">
        <v>0.48399999999999999</v>
      </c>
      <c r="L181" s="970">
        <v>0.31</v>
      </c>
      <c r="M181" s="971">
        <v>26</v>
      </c>
      <c r="N181" s="971">
        <v>12.7</v>
      </c>
      <c r="O181" s="971">
        <v>1.4</v>
      </c>
      <c r="P181" s="971">
        <v>1</v>
      </c>
      <c r="Q181" s="971">
        <v>8.1999999999999993</v>
      </c>
      <c r="R181" t="s">
        <v>9258</v>
      </c>
      <c r="U181" t="s">
        <v>9333</v>
      </c>
      <c r="V181" s="871">
        <v>46293</v>
      </c>
      <c r="W18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18.02</v>
      </c>
      <c r="X18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1.1599999999999999</v>
      </c>
      <c r="Y181" s="974">
        <f>IFERROR(tblConcentrado[[#This Row],[Concentrado (TMS)]]/tblConcentrado[[#This Row],[Mineral (TMS)]],"")</f>
        <v>0.56652661064425769</v>
      </c>
      <c r="Z181" s="973">
        <f>IFERROR(1/tblConcentrado[[#This Row],[% Recup.]],0)</f>
        <v>1.765142150803461</v>
      </c>
      <c r="AA181" s="975" t="str">
        <f>IF(COUNTIFS(tblConcentrado[ID],tblConcentrado[[#This Row],[ID]])&gt;1,"Duplicado","")</f>
        <v/>
      </c>
    </row>
    <row r="182" spans="2:27">
      <c r="B182" s="976">
        <f>(YEAR(tblConcentrado[[#This Row],[Fecha]])*10000+MONTH(tblConcentrado[[#This Row],[Fecha]])*100+DAY(tblConcentrado[[#This Row],[Fecha]]))*100+tblConcentrado[[#This Row],[N° hora]]</f>
        <v>2026090810</v>
      </c>
      <c r="C182" s="871">
        <v>46273</v>
      </c>
      <c r="D182">
        <v>10</v>
      </c>
      <c r="E182" s="952">
        <v>0.75</v>
      </c>
      <c r="F182" s="256">
        <v>1430</v>
      </c>
      <c r="G182" s="256">
        <v>880</v>
      </c>
      <c r="H182" s="970"/>
      <c r="I182" s="970"/>
      <c r="J182" s="970"/>
      <c r="K182" s="970"/>
      <c r="L182" s="970"/>
      <c r="M182" s="971"/>
      <c r="N182" s="971"/>
      <c r="O182" s="971"/>
      <c r="P182" s="971"/>
      <c r="Q182" s="971"/>
      <c r="R182" t="s">
        <v>9258</v>
      </c>
      <c r="U182" t="s">
        <v>9333</v>
      </c>
      <c r="V182" s="871">
        <v>46293</v>
      </c>
      <c r="W18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8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82" s="974">
        <f>IFERROR(tblConcentrado[[#This Row],[Concentrado (TMS)]]/tblConcentrado[[#This Row],[Mineral (TMS)]],"")</f>
        <v>0.61538461538461542</v>
      </c>
      <c r="Z182" s="973">
        <f>IFERROR(1/tblConcentrado[[#This Row],[% Recup.]],0)</f>
        <v>1.625</v>
      </c>
      <c r="AA182" s="975" t="str">
        <f>IF(COUNTIFS(tblConcentrado[ID],tblConcentrado[[#This Row],[ID]])&gt;1,"Duplicado","")</f>
        <v/>
      </c>
    </row>
    <row r="183" spans="2:27">
      <c r="B183" s="976">
        <f>(YEAR(tblConcentrado[[#This Row],[Fecha]])*10000+MONTH(tblConcentrado[[#This Row],[Fecha]])*100+DAY(tblConcentrado[[#This Row],[Fecha]]))*100+tblConcentrado[[#This Row],[N° hora]]</f>
        <v>2026090811</v>
      </c>
      <c r="C183" s="871">
        <v>46273</v>
      </c>
      <c r="D183">
        <v>11</v>
      </c>
      <c r="E183" s="952">
        <v>0.79166666666666696</v>
      </c>
      <c r="F183" s="256">
        <v>1540</v>
      </c>
      <c r="G183" s="256">
        <v>902</v>
      </c>
      <c r="H183" s="970">
        <v>0.27900000000000003</v>
      </c>
      <c r="I183" s="970">
        <v>0.52500000000000002</v>
      </c>
      <c r="J183" s="970">
        <v>0.32</v>
      </c>
      <c r="K183" s="970">
        <v>0.48299999999999998</v>
      </c>
      <c r="L183" s="970">
        <v>0.3</v>
      </c>
      <c r="M183" s="971">
        <v>27.8</v>
      </c>
      <c r="N183" s="971">
        <v>13.1</v>
      </c>
      <c r="O183" s="971">
        <v>2.1</v>
      </c>
      <c r="P183" s="971">
        <v>1.1000000000000001</v>
      </c>
      <c r="Q183" s="971">
        <v>8.1</v>
      </c>
      <c r="R183" t="s">
        <v>9258</v>
      </c>
      <c r="U183" t="s">
        <v>9333</v>
      </c>
      <c r="V183" s="871">
        <v>46293</v>
      </c>
      <c r="W18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18.98</v>
      </c>
      <c r="X18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1.5</v>
      </c>
      <c r="Y183" s="974">
        <f>IFERROR(tblConcentrado[[#This Row],[Concentrado (TMS)]]/tblConcentrado[[#This Row],[Mineral (TMS)]],"")</f>
        <v>0.58571428571428574</v>
      </c>
      <c r="Z183" s="973">
        <f>IFERROR(1/tblConcentrado[[#This Row],[% Recup.]],0)</f>
        <v>1.7073170731707317</v>
      </c>
      <c r="AA183" s="975" t="str">
        <f>IF(COUNTIFS(tblConcentrado[ID],tblConcentrado[[#This Row],[ID]])&gt;1,"Duplicado","")</f>
        <v/>
      </c>
    </row>
    <row r="184" spans="2:27">
      <c r="B184" s="976">
        <f>(YEAR(tblConcentrado[[#This Row],[Fecha]])*10000+MONTH(tblConcentrado[[#This Row],[Fecha]])*100+DAY(tblConcentrado[[#This Row],[Fecha]]))*100+tblConcentrado[[#This Row],[N° hora]]</f>
        <v>2026090812</v>
      </c>
      <c r="C184" s="871">
        <v>46273</v>
      </c>
      <c r="D184">
        <v>12</v>
      </c>
      <c r="E184" s="952">
        <v>0.83333333333333304</v>
      </c>
      <c r="F184" s="256">
        <v>1524</v>
      </c>
      <c r="G184" s="256">
        <v>894</v>
      </c>
      <c r="H184" s="970"/>
      <c r="I184" s="970"/>
      <c r="J184" s="970"/>
      <c r="K184" s="970"/>
      <c r="L184" s="970"/>
      <c r="M184" s="971"/>
      <c r="N184" s="971"/>
      <c r="O184" s="971"/>
      <c r="P184" s="971"/>
      <c r="Q184" s="971"/>
      <c r="R184" t="s">
        <v>9258</v>
      </c>
      <c r="U184" t="s">
        <v>9333</v>
      </c>
      <c r="V184" s="871">
        <v>46293</v>
      </c>
      <c r="W18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8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84" s="974">
        <f>IFERROR(tblConcentrado[[#This Row],[Concentrado (TMS)]]/tblConcentrado[[#This Row],[Mineral (TMS)]],"")</f>
        <v>0.58661417322834641</v>
      </c>
      <c r="Z184" s="973">
        <f>IFERROR(1/tblConcentrado[[#This Row],[% Recup.]],0)</f>
        <v>1.7046979865771814</v>
      </c>
      <c r="AA184" s="975" t="str">
        <f>IF(COUNTIFS(tblConcentrado[ID],tblConcentrado[[#This Row],[ID]])&gt;1,"Duplicado","")</f>
        <v/>
      </c>
    </row>
    <row r="185" spans="2:27">
      <c r="B185" s="976">
        <f>(YEAR(tblConcentrado[[#This Row],[Fecha]])*10000+MONTH(tblConcentrado[[#This Row],[Fecha]])*100+DAY(tblConcentrado[[#This Row],[Fecha]]))*100+tblConcentrado[[#This Row],[N° hora]]</f>
        <v>2026090813</v>
      </c>
      <c r="C185" s="871">
        <v>46273</v>
      </c>
      <c r="D185">
        <v>13</v>
      </c>
      <c r="E185" s="952">
        <v>0.875</v>
      </c>
      <c r="F185" s="256">
        <v>1538</v>
      </c>
      <c r="G185" s="256">
        <v>951</v>
      </c>
      <c r="H185" s="970">
        <v>0.24099999999999999</v>
      </c>
      <c r="I185" s="970">
        <v>0.75900000000000001</v>
      </c>
      <c r="J185" s="970">
        <v>0.53</v>
      </c>
      <c r="K185" s="970">
        <v>0.73699999999999999</v>
      </c>
      <c r="L185" s="970">
        <v>0.56000000000000005</v>
      </c>
      <c r="M185" s="971">
        <v>25.6</v>
      </c>
      <c r="N185" s="971">
        <v>15.5</v>
      </c>
      <c r="O185" s="971">
        <v>2.6</v>
      </c>
      <c r="P185" s="971">
        <v>1.9</v>
      </c>
      <c r="Q185" s="971">
        <v>8.4</v>
      </c>
      <c r="R185" t="s">
        <v>9258</v>
      </c>
      <c r="S185" t="s">
        <v>145</v>
      </c>
      <c r="U185" t="s">
        <v>9333</v>
      </c>
      <c r="V185" s="871">
        <v>46293</v>
      </c>
      <c r="W18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19.54</v>
      </c>
      <c r="X18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2.1799999999999997</v>
      </c>
      <c r="Y185" s="974">
        <f>IFERROR(tblConcentrado[[#This Row],[Concentrado (TMS)]]/tblConcentrado[[#This Row],[Mineral (TMS)]],"")</f>
        <v>0.61833550065019505</v>
      </c>
      <c r="Z185" s="973">
        <f>IFERROR(1/tblConcentrado[[#This Row],[% Recup.]],0)</f>
        <v>1.6172450052576235</v>
      </c>
      <c r="AA185" s="975" t="str">
        <f>IF(COUNTIFS(tblConcentrado[ID],tblConcentrado[[#This Row],[ID]])&gt;1,"Duplicado","")</f>
        <v/>
      </c>
    </row>
    <row r="186" spans="2:27">
      <c r="B186" s="976">
        <f>(YEAR(tblConcentrado[[#This Row],[Fecha]])*10000+MONTH(tblConcentrado[[#This Row],[Fecha]])*100+DAY(tblConcentrado[[#This Row],[Fecha]]))*100+tblConcentrado[[#This Row],[N° hora]]</f>
        <v>2026090814</v>
      </c>
      <c r="C186" s="871">
        <v>46273</v>
      </c>
      <c r="D186">
        <v>14</v>
      </c>
      <c r="E186" s="952">
        <v>0.91666666666666696</v>
      </c>
      <c r="F186" s="256">
        <v>1490</v>
      </c>
      <c r="G186" s="256">
        <v>1008</v>
      </c>
      <c r="H186" s="970"/>
      <c r="I186" s="970"/>
      <c r="J186" s="970"/>
      <c r="K186" s="970"/>
      <c r="L186" s="970"/>
      <c r="M186" s="971"/>
      <c r="N186" s="971"/>
      <c r="O186" s="971"/>
      <c r="P186" s="971"/>
      <c r="Q186" s="971"/>
      <c r="R186" t="s">
        <v>9258</v>
      </c>
      <c r="U186" t="s">
        <v>9333</v>
      </c>
      <c r="V186" s="871">
        <v>46293</v>
      </c>
      <c r="W18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8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86" s="974">
        <f>IFERROR(tblConcentrado[[#This Row],[Concentrado (TMS)]]/tblConcentrado[[#This Row],[Mineral (TMS)]],"")</f>
        <v>0.676510067114094</v>
      </c>
      <c r="Z186" s="973">
        <f>IFERROR(1/tblConcentrado[[#This Row],[% Recup.]],0)</f>
        <v>1.478174603174603</v>
      </c>
      <c r="AA186" s="975" t="str">
        <f>IF(COUNTIFS(tblConcentrado[ID],tblConcentrado[[#This Row],[ID]])&gt;1,"Duplicado","")</f>
        <v/>
      </c>
    </row>
    <row r="187" spans="2:27">
      <c r="B187" s="976">
        <f>(YEAR(tblConcentrado[[#This Row],[Fecha]])*10000+MONTH(tblConcentrado[[#This Row],[Fecha]])*100+DAY(tblConcentrado[[#This Row],[Fecha]]))*100+tblConcentrado[[#This Row],[N° hora]]</f>
        <v>2026090815</v>
      </c>
      <c r="C187" s="871">
        <v>46273</v>
      </c>
      <c r="D187">
        <v>15</v>
      </c>
      <c r="E187" s="952">
        <v>0.95833333333333304</v>
      </c>
      <c r="F187" s="256">
        <v>1443</v>
      </c>
      <c r="G187" s="256">
        <v>980</v>
      </c>
      <c r="H187" s="970">
        <v>0.222</v>
      </c>
      <c r="I187" s="970">
        <v>0.77600000000000002</v>
      </c>
      <c r="J187" s="970">
        <v>0.43</v>
      </c>
      <c r="K187" s="970">
        <v>0.755</v>
      </c>
      <c r="L187" s="970">
        <v>0.46</v>
      </c>
      <c r="M187" s="971">
        <v>29.3</v>
      </c>
      <c r="N187" s="971">
        <v>15.2</v>
      </c>
      <c r="O187" s="971">
        <v>2.9</v>
      </c>
      <c r="P187" s="971">
        <v>2</v>
      </c>
      <c r="Q187" s="971">
        <v>8.1999999999999993</v>
      </c>
      <c r="R187" t="s">
        <v>9258</v>
      </c>
      <c r="S187" t="s">
        <v>146</v>
      </c>
      <c r="U187" t="s">
        <v>9333</v>
      </c>
      <c r="V187" s="871">
        <v>46293</v>
      </c>
      <c r="W18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20.84</v>
      </c>
      <c r="X18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2.36</v>
      </c>
      <c r="Y187" s="974">
        <f>IFERROR(tblConcentrado[[#This Row],[Concentrado (TMS)]]/tblConcentrado[[#This Row],[Mineral (TMS)]],"")</f>
        <v>0.6791406791406791</v>
      </c>
      <c r="Z187" s="973">
        <f>IFERROR(1/tblConcentrado[[#This Row],[% Recup.]],0)</f>
        <v>1.4724489795918367</v>
      </c>
      <c r="AA187" s="975" t="str">
        <f>IF(COUNTIFS(tblConcentrado[ID],tblConcentrado[[#This Row],[ID]])&gt;1,"Duplicado","")</f>
        <v/>
      </c>
    </row>
    <row r="188" spans="2:27">
      <c r="B188" s="976">
        <f>(YEAR(tblConcentrado[[#This Row],[Fecha]])*10000+MONTH(tblConcentrado[[#This Row],[Fecha]])*100+DAY(tblConcentrado[[#This Row],[Fecha]]))*100+tblConcentrado[[#This Row],[N° hora]]</f>
        <v>2026090816</v>
      </c>
      <c r="C188" s="871">
        <v>46273</v>
      </c>
      <c r="D188">
        <v>16</v>
      </c>
      <c r="E188" s="952">
        <v>0</v>
      </c>
      <c r="F188" s="256">
        <v>1497</v>
      </c>
      <c r="G188" s="256">
        <v>960</v>
      </c>
      <c r="H188" s="970"/>
      <c r="I188" s="970"/>
      <c r="J188" s="970"/>
      <c r="K188" s="970"/>
      <c r="L188" s="970"/>
      <c r="M188" s="971"/>
      <c r="N188" s="971"/>
      <c r="O188" s="971"/>
      <c r="P188" s="971"/>
      <c r="Q188" s="971"/>
      <c r="R188" t="s">
        <v>9258</v>
      </c>
      <c r="U188" t="s">
        <v>9333</v>
      </c>
      <c r="V188" s="871">
        <v>46293</v>
      </c>
      <c r="W18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8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88" s="974">
        <f>IFERROR(tblConcentrado[[#This Row],[Concentrado (TMS)]]/tblConcentrado[[#This Row],[Mineral (TMS)]],"")</f>
        <v>0.6412825651302605</v>
      </c>
      <c r="Z188" s="973">
        <f>IFERROR(1/tblConcentrado[[#This Row],[% Recup.]],0)</f>
        <v>1.559375</v>
      </c>
      <c r="AA188" s="975" t="str">
        <f>IF(COUNTIFS(tblConcentrado[ID],tblConcentrado[[#This Row],[ID]])&gt;1,"Duplicado","")</f>
        <v/>
      </c>
    </row>
    <row r="189" spans="2:27">
      <c r="B189" s="976">
        <f>(YEAR(tblConcentrado[[#This Row],[Fecha]])*10000+MONTH(tblConcentrado[[#This Row],[Fecha]])*100+DAY(tblConcentrado[[#This Row],[Fecha]]))*100+tblConcentrado[[#This Row],[N° hora]]</f>
        <v>2026090817</v>
      </c>
      <c r="C189" s="871">
        <v>46273</v>
      </c>
      <c r="D189">
        <v>17</v>
      </c>
      <c r="E189" s="952">
        <v>4.1666666666666699E-2</v>
      </c>
      <c r="F189" s="256">
        <v>1568</v>
      </c>
      <c r="G189" s="256">
        <v>1018</v>
      </c>
      <c r="H189" s="970">
        <v>0.191</v>
      </c>
      <c r="I189" s="970">
        <v>0.57299999999999995</v>
      </c>
      <c r="J189" s="970">
        <v>0.33</v>
      </c>
      <c r="K189" s="970">
        <v>0.56599999999999995</v>
      </c>
      <c r="L189" s="970">
        <v>0.3</v>
      </c>
      <c r="M189" s="971">
        <v>22.6</v>
      </c>
      <c r="N189" s="971">
        <v>12.6</v>
      </c>
      <c r="O189" s="971">
        <v>1.7</v>
      </c>
      <c r="P189" s="971">
        <v>1.7</v>
      </c>
      <c r="Q189" s="971">
        <v>8.1999999999999993</v>
      </c>
      <c r="R189" t="s">
        <v>9258</v>
      </c>
      <c r="U189" t="s">
        <v>9333</v>
      </c>
      <c r="V189" s="871">
        <v>46293</v>
      </c>
      <c r="W18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16.600000000000001</v>
      </c>
      <c r="X18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1.7000000000000002</v>
      </c>
      <c r="Y189" s="974">
        <f>IFERROR(tblConcentrado[[#This Row],[Concentrado (TMS)]]/tblConcentrado[[#This Row],[Mineral (TMS)]],"")</f>
        <v>0.64923469387755106</v>
      </c>
      <c r="Z189" s="973">
        <f>IFERROR(1/tblConcentrado[[#This Row],[% Recup.]],0)</f>
        <v>1.5402750491159134</v>
      </c>
      <c r="AA189" s="975" t="str">
        <f>IF(COUNTIFS(tblConcentrado[ID],tblConcentrado[[#This Row],[ID]])&gt;1,"Duplicado","")</f>
        <v/>
      </c>
    </row>
    <row r="190" spans="2:27">
      <c r="B190" s="976">
        <f>(YEAR(tblConcentrado[[#This Row],[Fecha]])*10000+MONTH(tblConcentrado[[#This Row],[Fecha]])*100+DAY(tblConcentrado[[#This Row],[Fecha]]))*100+tblConcentrado[[#This Row],[N° hora]]</f>
        <v>2026090818</v>
      </c>
      <c r="C190" s="871">
        <v>46273</v>
      </c>
      <c r="D190">
        <v>18</v>
      </c>
      <c r="E190" s="952">
        <v>8.3333333333333301E-2</v>
      </c>
      <c r="F190" s="256">
        <v>1581</v>
      </c>
      <c r="G190" s="256">
        <v>1085</v>
      </c>
      <c r="H190" s="970"/>
      <c r="I190" s="970"/>
      <c r="J190" s="970"/>
      <c r="K190" s="970"/>
      <c r="L190" s="970"/>
      <c r="M190" s="971"/>
      <c r="N190" s="971"/>
      <c r="O190" s="971"/>
      <c r="P190" s="971"/>
      <c r="Q190" s="971"/>
      <c r="R190" t="s">
        <v>9258</v>
      </c>
      <c r="S190" t="s">
        <v>147</v>
      </c>
      <c r="U190" t="s">
        <v>9333</v>
      </c>
      <c r="V190" s="871">
        <v>46293</v>
      </c>
      <c r="W19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9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90" s="974">
        <f>IFERROR(tblConcentrado[[#This Row],[Concentrado (TMS)]]/tblConcentrado[[#This Row],[Mineral (TMS)]],"")</f>
        <v>0.68627450980392157</v>
      </c>
      <c r="Z190" s="973">
        <f>IFERROR(1/tblConcentrado[[#This Row],[% Recup.]],0)</f>
        <v>1.4571428571428571</v>
      </c>
      <c r="AA190" s="975" t="str">
        <f>IF(COUNTIFS(tblConcentrado[ID],tblConcentrado[[#This Row],[ID]])&gt;1,"Duplicado","")</f>
        <v/>
      </c>
    </row>
    <row r="191" spans="2:27">
      <c r="B191" s="976">
        <f>(YEAR(tblConcentrado[[#This Row],[Fecha]])*10000+MONTH(tblConcentrado[[#This Row],[Fecha]])*100+DAY(tblConcentrado[[#This Row],[Fecha]]))*100+tblConcentrado[[#This Row],[N° hora]]</f>
        <v>2026090819</v>
      </c>
      <c r="C191" s="871">
        <v>46273</v>
      </c>
      <c r="D191">
        <v>19</v>
      </c>
      <c r="E191" s="952">
        <v>0.125</v>
      </c>
      <c r="F191" s="256">
        <v>1598</v>
      </c>
      <c r="G191" s="256">
        <v>1114</v>
      </c>
      <c r="H191" s="970">
        <v>0.214</v>
      </c>
      <c r="I191" s="970">
        <v>0.57999999999999996</v>
      </c>
      <c r="J191" s="970">
        <v>0.31</v>
      </c>
      <c r="K191" s="970">
        <v>1.3029999999999999</v>
      </c>
      <c r="L191" s="970">
        <v>0.7</v>
      </c>
      <c r="M191" s="971">
        <v>26.9</v>
      </c>
      <c r="N191" s="971">
        <v>12</v>
      </c>
      <c r="O191" s="971">
        <v>2.8</v>
      </c>
      <c r="P191" s="971">
        <v>1.7</v>
      </c>
      <c r="Q191" s="971">
        <v>8.1</v>
      </c>
      <c r="R191" t="s">
        <v>9258</v>
      </c>
      <c r="U191" t="s">
        <v>9333</v>
      </c>
      <c r="V191" s="871">
        <v>46293</v>
      </c>
      <c r="W19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17.96</v>
      </c>
      <c r="X19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2.1399999999999997</v>
      </c>
      <c r="Y191" s="974">
        <f>IFERROR(tblConcentrado[[#This Row],[Concentrado (TMS)]]/tblConcentrado[[#This Row],[Mineral (TMS)]],"")</f>
        <v>0.69712140175219028</v>
      </c>
      <c r="Z191" s="973">
        <f>IFERROR(1/tblConcentrado[[#This Row],[% Recup.]],0)</f>
        <v>1.4344703770197487</v>
      </c>
      <c r="AA191" s="975" t="str">
        <f>IF(COUNTIFS(tblConcentrado[ID],tblConcentrado[[#This Row],[ID]])&gt;1,"Duplicado","")</f>
        <v/>
      </c>
    </row>
    <row r="192" spans="2:27">
      <c r="B192" s="976">
        <f>(YEAR(tblConcentrado[[#This Row],[Fecha]])*10000+MONTH(tblConcentrado[[#This Row],[Fecha]])*100+DAY(tblConcentrado[[#This Row],[Fecha]]))*100+tblConcentrado[[#This Row],[N° hora]]</f>
        <v>2026090820</v>
      </c>
      <c r="C192" s="871">
        <v>46273</v>
      </c>
      <c r="D192">
        <v>20</v>
      </c>
      <c r="E192" s="952">
        <v>0.16666666666666699</v>
      </c>
      <c r="F192" s="256">
        <v>1527</v>
      </c>
      <c r="G192" s="256">
        <v>1024</v>
      </c>
      <c r="H192" s="970"/>
      <c r="I192" s="970"/>
      <c r="J192" s="970"/>
      <c r="K192" s="970"/>
      <c r="L192" s="970"/>
      <c r="M192" s="971"/>
      <c r="N192" s="971"/>
      <c r="O192" s="971"/>
      <c r="P192" s="971"/>
      <c r="Q192" s="971"/>
      <c r="R192" t="s">
        <v>9258</v>
      </c>
      <c r="U192" t="s">
        <v>9333</v>
      </c>
      <c r="V192" s="871">
        <v>46293</v>
      </c>
      <c r="W19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9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92" s="974">
        <f>IFERROR(tblConcentrado[[#This Row],[Concentrado (TMS)]]/tblConcentrado[[#This Row],[Mineral (TMS)]],"")</f>
        <v>0.67059593975114606</v>
      </c>
      <c r="Z192" s="973">
        <f>IFERROR(1/tblConcentrado[[#This Row],[% Recup.]],0)</f>
        <v>1.4912109375</v>
      </c>
      <c r="AA192" s="975" t="str">
        <f>IF(COUNTIFS(tblConcentrado[ID],tblConcentrado[[#This Row],[ID]])&gt;1,"Duplicado","")</f>
        <v/>
      </c>
    </row>
    <row r="193" spans="2:27">
      <c r="B193" s="976">
        <f>(YEAR(tblConcentrado[[#This Row],[Fecha]])*10000+MONTH(tblConcentrado[[#This Row],[Fecha]])*100+DAY(tblConcentrado[[#This Row],[Fecha]]))*100+tblConcentrado[[#This Row],[N° hora]]</f>
        <v>2026090821</v>
      </c>
      <c r="C193" s="871">
        <v>46273</v>
      </c>
      <c r="D193">
        <v>21</v>
      </c>
      <c r="E193" s="952">
        <v>0.20833333333333301</v>
      </c>
      <c r="F193" s="256">
        <v>1515</v>
      </c>
      <c r="G193" s="256">
        <v>1075</v>
      </c>
      <c r="H193" s="970">
        <v>0.223</v>
      </c>
      <c r="I193" s="970">
        <v>0.65100000000000002</v>
      </c>
      <c r="J193" s="970">
        <v>0.41</v>
      </c>
      <c r="K193" s="970">
        <v>1.4850000000000001</v>
      </c>
      <c r="L193" s="970">
        <v>0.89</v>
      </c>
      <c r="M193" s="971">
        <v>26.7</v>
      </c>
      <c r="N193" s="971">
        <v>15.2</v>
      </c>
      <c r="O193" s="971">
        <v>2.2999999999999998</v>
      </c>
      <c r="P193" s="971">
        <v>2.4</v>
      </c>
      <c r="Q193" s="971">
        <v>8</v>
      </c>
      <c r="R193" t="s">
        <v>9258</v>
      </c>
      <c r="S193" t="s">
        <v>148</v>
      </c>
      <c r="U193" t="s">
        <v>9333</v>
      </c>
      <c r="V193" s="871">
        <v>46293</v>
      </c>
      <c r="W19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19.799999999999997</v>
      </c>
      <c r="X19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2.36</v>
      </c>
      <c r="Y193" s="974">
        <f>IFERROR(tblConcentrado[[#This Row],[Concentrado (TMS)]]/tblConcentrado[[#This Row],[Mineral (TMS)]],"")</f>
        <v>0.70957095709570961</v>
      </c>
      <c r="Z193" s="973">
        <f>IFERROR(1/tblConcentrado[[#This Row],[% Recup.]],0)</f>
        <v>1.4093023255813952</v>
      </c>
      <c r="AA193" s="975" t="str">
        <f>IF(COUNTIFS(tblConcentrado[ID],tblConcentrado[[#This Row],[ID]])&gt;1,"Duplicado","")</f>
        <v/>
      </c>
    </row>
    <row r="194" spans="2:27">
      <c r="B194" s="976">
        <f>(YEAR(tblConcentrado[[#This Row],[Fecha]])*10000+MONTH(tblConcentrado[[#This Row],[Fecha]])*100+DAY(tblConcentrado[[#This Row],[Fecha]]))*100+tblConcentrado[[#This Row],[N° hora]]</f>
        <v>2026090822</v>
      </c>
      <c r="C194" s="871">
        <v>46273</v>
      </c>
      <c r="D194">
        <v>22</v>
      </c>
      <c r="E194" s="952">
        <v>0.25</v>
      </c>
      <c r="F194" s="256">
        <v>1446</v>
      </c>
      <c r="G194" s="256">
        <v>1011</v>
      </c>
      <c r="H194" s="970"/>
      <c r="I194" s="970"/>
      <c r="J194" s="970"/>
      <c r="K194" s="970"/>
      <c r="L194" s="970"/>
      <c r="M194" s="971"/>
      <c r="N194" s="971"/>
      <c r="O194" s="971"/>
      <c r="P194" s="971"/>
      <c r="Q194" s="971"/>
      <c r="R194" t="s">
        <v>9258</v>
      </c>
      <c r="U194" t="s">
        <v>9333</v>
      </c>
      <c r="V194" s="871">
        <v>46293</v>
      </c>
      <c r="W19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9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94" s="974">
        <f>IFERROR(tblConcentrado[[#This Row],[Concentrado (TMS)]]/tblConcentrado[[#This Row],[Mineral (TMS)]],"")</f>
        <v>0.69917012448132776</v>
      </c>
      <c r="Z194" s="973">
        <f>IFERROR(1/tblConcentrado[[#This Row],[% Recup.]],0)</f>
        <v>1.4302670623145401</v>
      </c>
      <c r="AA194" s="975" t="str">
        <f>IF(COUNTIFS(tblConcentrado[ID],tblConcentrado[[#This Row],[ID]])&gt;1,"Duplicado","")</f>
        <v/>
      </c>
    </row>
    <row r="195" spans="2:27">
      <c r="B195" s="976">
        <f>(YEAR(tblConcentrado[[#This Row],[Fecha]])*10000+MONTH(tblConcentrado[[#This Row],[Fecha]])*100+DAY(tblConcentrado[[#This Row],[Fecha]]))*100+tblConcentrado[[#This Row],[N° hora]]</f>
        <v>2026090823</v>
      </c>
      <c r="C195" s="871">
        <v>46273</v>
      </c>
      <c r="D195">
        <v>23</v>
      </c>
      <c r="E195" s="952">
        <v>0.29166666666666702</v>
      </c>
      <c r="F195" s="256">
        <v>1490</v>
      </c>
      <c r="G195" s="256">
        <v>1016</v>
      </c>
      <c r="H195" s="970">
        <v>0.217</v>
      </c>
      <c r="I195" s="970"/>
      <c r="J195" s="970"/>
      <c r="K195" s="970"/>
      <c r="L195" s="970"/>
      <c r="M195" s="971"/>
      <c r="N195" s="971"/>
      <c r="O195" s="971">
        <v>2.8</v>
      </c>
      <c r="P195" s="971">
        <v>2.1</v>
      </c>
      <c r="Q195" s="971">
        <v>8.1</v>
      </c>
      <c r="R195" t="s">
        <v>9258</v>
      </c>
      <c r="U195" t="s">
        <v>9333</v>
      </c>
      <c r="V195" s="871">
        <v>46293</v>
      </c>
      <c r="W195"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9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2.38</v>
      </c>
      <c r="Y195" s="974">
        <f>IFERROR(tblConcentrado[[#This Row],[Concentrado (TMS)]]/tblConcentrado[[#This Row],[Mineral (TMS)]],"")</f>
        <v>0.68187919463087243</v>
      </c>
      <c r="Z195" s="973">
        <f>IFERROR(1/tblConcentrado[[#This Row],[% Recup.]],0)</f>
        <v>1.4665354330708662</v>
      </c>
      <c r="AA195" s="975" t="str">
        <f>IF(COUNTIFS(tblConcentrado[ID],tblConcentrado[[#This Row],[ID]])&gt;1,"Duplicado","")</f>
        <v/>
      </c>
    </row>
    <row r="196" spans="2:27">
      <c r="B196" s="976">
        <f>(YEAR(tblConcentrado[[#This Row],[Fecha]])*10000+MONTH(tblConcentrado[[#This Row],[Fecha]])*100+DAY(tblConcentrado[[#This Row],[Fecha]]))*100+tblConcentrado[[#This Row],[N° hora]]</f>
        <v>2026090824</v>
      </c>
      <c r="C196" s="871">
        <v>46273</v>
      </c>
      <c r="D196">
        <v>24</v>
      </c>
      <c r="E196" s="952">
        <v>0.33333333333333298</v>
      </c>
      <c r="F196" s="256">
        <v>1483</v>
      </c>
      <c r="G196" s="256">
        <v>1116</v>
      </c>
      <c r="H196" s="970"/>
      <c r="I196" s="970"/>
      <c r="J196" s="970"/>
      <c r="K196" s="970"/>
      <c r="L196" s="970"/>
      <c r="M196" s="971"/>
      <c r="N196" s="971"/>
      <c r="O196" s="971"/>
      <c r="P196" s="971"/>
      <c r="Q196" s="971"/>
      <c r="R196" t="s">
        <v>9258</v>
      </c>
      <c r="U196" t="s">
        <v>9333</v>
      </c>
      <c r="V196" s="871">
        <v>46293</v>
      </c>
      <c r="W19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9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96" s="974">
        <f>IFERROR(tblConcentrado[[#This Row],[Concentrado (TMS)]]/tblConcentrado[[#This Row],[Mineral (TMS)]],"")</f>
        <v>0.75252865812542147</v>
      </c>
      <c r="Z196" s="973">
        <f>IFERROR(1/tblConcentrado[[#This Row],[% Recup.]],0)</f>
        <v>1.3288530465949819</v>
      </c>
      <c r="AA196" s="975" t="str">
        <f>IF(COUNTIFS(tblConcentrado[ID],tblConcentrado[[#This Row],[ID]])&gt;1,"Duplicado","")</f>
        <v/>
      </c>
    </row>
    <row r="197" spans="2:27">
      <c r="B197" s="976">
        <f>(YEAR(tblConcentrado[[#This Row],[Fecha]])*10000+MONTH(tblConcentrado[[#This Row],[Fecha]])*100+DAY(tblConcentrado[[#This Row],[Fecha]]))*100+tblConcentrado[[#This Row],[N° hora]]</f>
        <v>2026090901</v>
      </c>
      <c r="C197" s="871">
        <v>46274</v>
      </c>
      <c r="D197">
        <v>1</v>
      </c>
      <c r="E197" s="952">
        <v>0.375</v>
      </c>
      <c r="F197" s="256">
        <v>1523</v>
      </c>
      <c r="G197" s="256">
        <v>981</v>
      </c>
      <c r="H197" s="970">
        <v>0.183</v>
      </c>
      <c r="I197" s="970">
        <v>0.59099999999999997</v>
      </c>
      <c r="J197" s="970">
        <v>0.37</v>
      </c>
      <c r="K197" s="970">
        <v>0.54700000000000004</v>
      </c>
      <c r="L197" s="970">
        <v>0.36</v>
      </c>
      <c r="M197" s="971">
        <v>28.2</v>
      </c>
      <c r="N197" s="971">
        <v>18.399999999999999</v>
      </c>
      <c r="O197" s="971">
        <v>3.4</v>
      </c>
      <c r="P197" s="971">
        <v>3.3</v>
      </c>
      <c r="Q197" s="971">
        <v>8.1999999999999993</v>
      </c>
      <c r="R197" t="s">
        <v>9258</v>
      </c>
      <c r="U197" t="s">
        <v>9333</v>
      </c>
      <c r="V197" s="871">
        <v>46293</v>
      </c>
      <c r="W19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22.32</v>
      </c>
      <c r="X19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3.34</v>
      </c>
      <c r="Y197" s="974">
        <f>IFERROR(tblConcentrado[[#This Row],[Concentrado (TMS)]]/tblConcentrado[[#This Row],[Mineral (TMS)]],"")</f>
        <v>0.6441234405778069</v>
      </c>
      <c r="Z197" s="973">
        <f>IFERROR(1/tblConcentrado[[#This Row],[% Recup.]],0)</f>
        <v>1.5524974515800205</v>
      </c>
      <c r="AA197" s="975" t="str">
        <f>IF(COUNTIFS(tblConcentrado[ID],tblConcentrado[[#This Row],[ID]])&gt;1,"Duplicado","")</f>
        <v/>
      </c>
    </row>
    <row r="198" spans="2:27">
      <c r="B198" s="976">
        <f>(YEAR(tblConcentrado[[#This Row],[Fecha]])*10000+MONTH(tblConcentrado[[#This Row],[Fecha]])*100+DAY(tblConcentrado[[#This Row],[Fecha]]))*100+tblConcentrado[[#This Row],[N° hora]]</f>
        <v>2026090902</v>
      </c>
      <c r="C198" s="871">
        <v>46274</v>
      </c>
      <c r="D198">
        <v>2</v>
      </c>
      <c r="E198" s="952">
        <v>0.41666666666666702</v>
      </c>
      <c r="F198" s="256">
        <v>1489</v>
      </c>
      <c r="G198" s="256">
        <v>987</v>
      </c>
      <c r="H198" s="970"/>
      <c r="I198" s="970"/>
      <c r="J198" s="970"/>
      <c r="K198" s="970"/>
      <c r="L198" s="970"/>
      <c r="M198" s="971"/>
      <c r="N198" s="971"/>
      <c r="O198" s="971"/>
      <c r="P198" s="971"/>
      <c r="Q198" s="971"/>
      <c r="R198" t="s">
        <v>9258</v>
      </c>
      <c r="U198" t="s">
        <v>9333</v>
      </c>
      <c r="V198" s="871">
        <v>46293</v>
      </c>
      <c r="W19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19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198" s="974">
        <f>IFERROR(tblConcentrado[[#This Row],[Concentrado (TMS)]]/tblConcentrado[[#This Row],[Mineral (TMS)]],"")</f>
        <v>0.66286098052384146</v>
      </c>
      <c r="Z198" s="973">
        <f>IFERROR(1/tblConcentrado[[#This Row],[% Recup.]],0)</f>
        <v>1.5086119554204662</v>
      </c>
      <c r="AA198" s="975" t="str">
        <f>IF(COUNTIFS(tblConcentrado[ID],tblConcentrado[[#This Row],[ID]])&gt;1,"Duplicado","")</f>
        <v/>
      </c>
    </row>
    <row r="199" spans="2:27">
      <c r="B199" s="976">
        <f>(YEAR(tblConcentrado[[#This Row],[Fecha]])*10000+MONTH(tblConcentrado[[#This Row],[Fecha]])*100+DAY(tblConcentrado[[#This Row],[Fecha]]))*100+tblConcentrado[[#This Row],[N° hora]]</f>
        <v>2026090903</v>
      </c>
      <c r="C199" s="871">
        <v>46274</v>
      </c>
      <c r="D199">
        <v>3</v>
      </c>
      <c r="E199" s="952">
        <v>0.45833333333333298</v>
      </c>
      <c r="F199" s="256">
        <v>1414</v>
      </c>
      <c r="G199" s="256">
        <v>994</v>
      </c>
      <c r="H199" s="970">
        <v>0.16800000000000001</v>
      </c>
      <c r="I199" s="970">
        <v>0.52400000000000002</v>
      </c>
      <c r="J199" s="970">
        <v>0.36</v>
      </c>
      <c r="K199" s="970">
        <v>0.51500000000000001</v>
      </c>
      <c r="L199" s="970">
        <v>0.36</v>
      </c>
      <c r="M199" s="971">
        <v>27.7</v>
      </c>
      <c r="N199" s="971">
        <v>17</v>
      </c>
      <c r="O199" s="971">
        <v>2.9</v>
      </c>
      <c r="P199" s="971">
        <v>3.3</v>
      </c>
      <c r="Q199" s="971">
        <v>8.1999999999999993</v>
      </c>
      <c r="R199" t="s">
        <v>9258</v>
      </c>
      <c r="U199" t="s">
        <v>9333</v>
      </c>
      <c r="V199" s="871">
        <v>46293</v>
      </c>
      <c r="W19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21.28</v>
      </c>
      <c r="X19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3.1399999999999997</v>
      </c>
      <c r="Y199" s="974">
        <f>IFERROR(tblConcentrado[[#This Row],[Concentrado (TMS)]]/tblConcentrado[[#This Row],[Mineral (TMS)]],"")</f>
        <v>0.70297029702970293</v>
      </c>
      <c r="Z199" s="973">
        <f>IFERROR(1/tblConcentrado[[#This Row],[% Recup.]],0)</f>
        <v>1.4225352112676057</v>
      </c>
      <c r="AA199" s="975" t="str">
        <f>IF(COUNTIFS(tblConcentrado[ID],tblConcentrado[[#This Row],[ID]])&gt;1,"Duplicado","")</f>
        <v/>
      </c>
    </row>
    <row r="200" spans="2:27">
      <c r="B200" s="976">
        <f>(YEAR(tblConcentrado[[#This Row],[Fecha]])*10000+MONTH(tblConcentrado[[#This Row],[Fecha]])*100+DAY(tblConcentrado[[#This Row],[Fecha]]))*100+tblConcentrado[[#This Row],[N° hora]]</f>
        <v>2026090904</v>
      </c>
      <c r="C200" s="871">
        <v>46274</v>
      </c>
      <c r="D200">
        <v>4</v>
      </c>
      <c r="E200" s="952">
        <v>0.5</v>
      </c>
      <c r="F200" s="256">
        <v>1435</v>
      </c>
      <c r="G200" s="256">
        <v>901</v>
      </c>
      <c r="H200" s="970"/>
      <c r="I200" s="970"/>
      <c r="J200" s="970"/>
      <c r="K200" s="970"/>
      <c r="L200" s="970"/>
      <c r="M200" s="971"/>
      <c r="N200" s="971"/>
      <c r="O200" s="971"/>
      <c r="P200" s="971"/>
      <c r="Q200" s="971"/>
      <c r="R200" t="s">
        <v>9258</v>
      </c>
      <c r="U200" t="s">
        <v>9333</v>
      </c>
      <c r="V200" s="871">
        <v>46293</v>
      </c>
      <c r="W20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0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00" s="974">
        <f>IFERROR(tblConcentrado[[#This Row],[Concentrado (TMS)]]/tblConcentrado[[#This Row],[Mineral (TMS)]],"")</f>
        <v>0.62787456445993028</v>
      </c>
      <c r="Z200" s="973">
        <f>IFERROR(1/tblConcentrado[[#This Row],[% Recup.]],0)</f>
        <v>1.5926748057713653</v>
      </c>
      <c r="AA200" s="975" t="str">
        <f>IF(COUNTIFS(tblConcentrado[ID],tblConcentrado[[#This Row],[ID]])&gt;1,"Duplicado","")</f>
        <v/>
      </c>
    </row>
    <row r="201" spans="2:27">
      <c r="B201" s="976">
        <f>(YEAR(tblConcentrado[[#This Row],[Fecha]])*10000+MONTH(tblConcentrado[[#This Row],[Fecha]])*100+DAY(tblConcentrado[[#This Row],[Fecha]]))*100+tblConcentrado[[#This Row],[N° hora]]</f>
        <v>2026090905</v>
      </c>
      <c r="C201" s="871">
        <v>46274</v>
      </c>
      <c r="D201">
        <v>5</v>
      </c>
      <c r="E201" s="952">
        <v>0.54166666666666696</v>
      </c>
      <c r="F201" s="256">
        <v>1475</v>
      </c>
      <c r="G201" s="256">
        <v>1095</v>
      </c>
      <c r="H201" s="970">
        <v>0.186</v>
      </c>
      <c r="I201" s="970">
        <v>0.89700000000000002</v>
      </c>
      <c r="J201" s="970"/>
      <c r="K201" s="970">
        <v>0.70199999999999996</v>
      </c>
      <c r="L201" s="970"/>
      <c r="M201" s="971">
        <v>25.2</v>
      </c>
      <c r="N201" s="971">
        <v>15.4</v>
      </c>
      <c r="O201" s="971">
        <v>2.5</v>
      </c>
      <c r="P201" s="971">
        <v>2.6</v>
      </c>
      <c r="Q201" s="971">
        <v>8.1</v>
      </c>
      <c r="R201" t="s">
        <v>9258</v>
      </c>
      <c r="U201" t="s">
        <v>9333</v>
      </c>
      <c r="V201" s="871">
        <v>46293</v>
      </c>
      <c r="W20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19.32</v>
      </c>
      <c r="X20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2.56</v>
      </c>
      <c r="Y201" s="974">
        <f>IFERROR(tblConcentrado[[#This Row],[Concentrado (TMS)]]/tblConcentrado[[#This Row],[Mineral (TMS)]],"")</f>
        <v>0.74237288135593216</v>
      </c>
      <c r="Z201" s="973">
        <f>IFERROR(1/tblConcentrado[[#This Row],[% Recup.]],0)</f>
        <v>1.3470319634703196</v>
      </c>
      <c r="AA201" s="975" t="str">
        <f>IF(COUNTIFS(tblConcentrado[ID],tblConcentrado[[#This Row],[ID]])&gt;1,"Duplicado","")</f>
        <v/>
      </c>
    </row>
    <row r="202" spans="2:27">
      <c r="B202" s="976">
        <f>(YEAR(tblConcentrado[[#This Row],[Fecha]])*10000+MONTH(tblConcentrado[[#This Row],[Fecha]])*100+DAY(tblConcentrado[[#This Row],[Fecha]]))*100+tblConcentrado[[#This Row],[N° hora]]</f>
        <v>2026090906</v>
      </c>
      <c r="C202" s="871">
        <v>46274</v>
      </c>
      <c r="D202">
        <v>6</v>
      </c>
      <c r="E202" s="952">
        <v>0.58333333333333304</v>
      </c>
      <c r="F202" s="256">
        <v>1476</v>
      </c>
      <c r="G202" s="256">
        <v>1094</v>
      </c>
      <c r="H202" s="970"/>
      <c r="I202" s="970"/>
      <c r="J202" s="970"/>
      <c r="K202" s="970"/>
      <c r="L202" s="970"/>
      <c r="M202" s="971"/>
      <c r="N202" s="971"/>
      <c r="O202" s="971"/>
      <c r="P202" s="971"/>
      <c r="Q202" s="971"/>
      <c r="R202" t="s">
        <v>9258</v>
      </c>
      <c r="U202" t="s">
        <v>9333</v>
      </c>
      <c r="V202" s="871">
        <v>46293</v>
      </c>
      <c r="W20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0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02" s="974">
        <f>IFERROR(tblConcentrado[[#This Row],[Concentrado (TMS)]]/tblConcentrado[[#This Row],[Mineral (TMS)]],"")</f>
        <v>0.74119241192411922</v>
      </c>
      <c r="Z202" s="973">
        <f>IFERROR(1/tblConcentrado[[#This Row],[% Recup.]],0)</f>
        <v>1.3491773308957953</v>
      </c>
      <c r="AA202" s="975" t="str">
        <f>IF(COUNTIFS(tblConcentrado[ID],tblConcentrado[[#This Row],[ID]])&gt;1,"Duplicado","")</f>
        <v/>
      </c>
    </row>
    <row r="203" spans="2:27">
      <c r="B203" s="976">
        <f>(YEAR(tblConcentrado[[#This Row],[Fecha]])*10000+MONTH(tblConcentrado[[#This Row],[Fecha]])*100+DAY(tblConcentrado[[#This Row],[Fecha]]))*100+tblConcentrado[[#This Row],[N° hora]]</f>
        <v>2026090907</v>
      </c>
      <c r="C203" s="871">
        <v>46274</v>
      </c>
      <c r="D203">
        <v>7</v>
      </c>
      <c r="E203" s="952">
        <v>0.625</v>
      </c>
      <c r="F203" s="256">
        <v>1495</v>
      </c>
      <c r="G203" s="256">
        <v>1134</v>
      </c>
      <c r="H203" s="970">
        <v>0.19</v>
      </c>
      <c r="I203" s="970">
        <v>0.59699999999999998</v>
      </c>
      <c r="J203" s="970"/>
      <c r="K203" s="970">
        <v>0.58699999999999997</v>
      </c>
      <c r="L203" s="970"/>
      <c r="M203" s="971">
        <v>27.6</v>
      </c>
      <c r="N203" s="971">
        <v>16.899999999999999</v>
      </c>
      <c r="O203" s="971">
        <v>3</v>
      </c>
      <c r="P203" s="971">
        <v>3.1</v>
      </c>
      <c r="Q203" s="971">
        <v>8.4</v>
      </c>
      <c r="R203" t="s">
        <v>9258</v>
      </c>
      <c r="U203" t="s">
        <v>9333</v>
      </c>
      <c r="V203" s="871">
        <v>46293</v>
      </c>
      <c r="W20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21.18</v>
      </c>
      <c r="X20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3.06</v>
      </c>
      <c r="Y203" s="974">
        <f>IFERROR(tblConcentrado[[#This Row],[Concentrado (TMS)]]/tblConcentrado[[#This Row],[Mineral (TMS)]],"")</f>
        <v>0.75852842809364551</v>
      </c>
      <c r="Z203" s="973">
        <f>IFERROR(1/tblConcentrado[[#This Row],[% Recup.]],0)</f>
        <v>1.318342151675485</v>
      </c>
      <c r="AA203" s="975" t="str">
        <f>IF(COUNTIFS(tblConcentrado[ID],tblConcentrado[[#This Row],[ID]])&gt;1,"Duplicado","")</f>
        <v/>
      </c>
    </row>
    <row r="204" spans="2:27">
      <c r="B204" s="976">
        <f>(YEAR(tblConcentrado[[#This Row],[Fecha]])*10000+MONTH(tblConcentrado[[#This Row],[Fecha]])*100+DAY(tblConcentrado[[#This Row],[Fecha]]))*100+tblConcentrado[[#This Row],[N° hora]]</f>
        <v>2026090908</v>
      </c>
      <c r="C204" s="871">
        <v>46274</v>
      </c>
      <c r="D204">
        <v>8</v>
      </c>
      <c r="E204" s="952">
        <v>0.66666666666666696</v>
      </c>
      <c r="F204" s="256">
        <v>1485</v>
      </c>
      <c r="G204" s="256">
        <v>1044</v>
      </c>
      <c r="H204" s="970"/>
      <c r="I204" s="970"/>
      <c r="J204" s="970"/>
      <c r="K204" s="970"/>
      <c r="L204" s="970"/>
      <c r="M204" s="971"/>
      <c r="N204" s="971"/>
      <c r="O204" s="971"/>
      <c r="P204" s="971"/>
      <c r="Q204" s="971"/>
      <c r="R204" t="s">
        <v>9258</v>
      </c>
      <c r="U204" t="s">
        <v>9333</v>
      </c>
      <c r="V204" s="871">
        <v>46293</v>
      </c>
      <c r="W20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0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04" s="974">
        <f>IFERROR(tblConcentrado[[#This Row],[Concentrado (TMS)]]/tblConcentrado[[#This Row],[Mineral (TMS)]],"")</f>
        <v>0.70303030303030301</v>
      </c>
      <c r="Z204" s="973">
        <f>IFERROR(1/tblConcentrado[[#This Row],[% Recup.]],0)</f>
        <v>1.4224137931034484</v>
      </c>
      <c r="AA204" s="975" t="str">
        <f>IF(COUNTIFS(tblConcentrado[ID],tblConcentrado[[#This Row],[ID]])&gt;1,"Duplicado","")</f>
        <v/>
      </c>
    </row>
    <row r="205" spans="2:27">
      <c r="B205" s="976">
        <f>(YEAR(tblConcentrado[[#This Row],[Fecha]])*10000+MONTH(tblConcentrado[[#This Row],[Fecha]])*100+DAY(tblConcentrado[[#This Row],[Fecha]]))*100+tblConcentrado[[#This Row],[N° hora]]</f>
        <v>2026090909</v>
      </c>
      <c r="C205" s="871">
        <v>46274</v>
      </c>
      <c r="D205">
        <v>9</v>
      </c>
      <c r="E205" s="952">
        <v>0.70833333333333304</v>
      </c>
      <c r="F205" s="256">
        <v>1311</v>
      </c>
      <c r="G205" s="256">
        <v>900</v>
      </c>
      <c r="H205" s="970">
        <v>0.17799999999999999</v>
      </c>
      <c r="I205" s="970">
        <v>0.76</v>
      </c>
      <c r="J205" s="970"/>
      <c r="K205" s="970">
        <v>0.71499999999999997</v>
      </c>
      <c r="L205" s="970"/>
      <c r="M205" s="971">
        <v>25.4</v>
      </c>
      <c r="N205" s="971">
        <v>17.600000000000001</v>
      </c>
      <c r="O205" s="971">
        <v>3.3</v>
      </c>
      <c r="P205" s="971">
        <v>3.3</v>
      </c>
      <c r="Q205" s="971">
        <v>8.1999999999999993</v>
      </c>
      <c r="R205" t="s">
        <v>9258</v>
      </c>
      <c r="U205" t="s">
        <v>9333</v>
      </c>
      <c r="V205" s="871">
        <v>46293</v>
      </c>
      <c r="W20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20.72</v>
      </c>
      <c r="X20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3.3</v>
      </c>
      <c r="Y205" s="974">
        <f>IFERROR(tblConcentrado[[#This Row],[Concentrado (TMS)]]/tblConcentrado[[#This Row],[Mineral (TMS)]],"")</f>
        <v>0.68649885583524028</v>
      </c>
      <c r="Z205" s="973">
        <f>IFERROR(1/tblConcentrado[[#This Row],[% Recup.]],0)</f>
        <v>1.4566666666666666</v>
      </c>
      <c r="AA205" s="975" t="str">
        <f>IF(COUNTIFS(tblConcentrado[ID],tblConcentrado[[#This Row],[ID]])&gt;1,"Duplicado","")</f>
        <v/>
      </c>
    </row>
    <row r="206" spans="2:27">
      <c r="B206" s="976">
        <f>(YEAR(tblConcentrado[[#This Row],[Fecha]])*10000+MONTH(tblConcentrado[[#This Row],[Fecha]])*100+DAY(tblConcentrado[[#This Row],[Fecha]]))*100+tblConcentrado[[#This Row],[N° hora]]</f>
        <v>2026090910</v>
      </c>
      <c r="C206" s="871">
        <v>46274</v>
      </c>
      <c r="D206">
        <v>10</v>
      </c>
      <c r="E206" s="952">
        <v>0.75</v>
      </c>
      <c r="F206" s="256">
        <v>1308</v>
      </c>
      <c r="G206" s="256">
        <v>1001</v>
      </c>
      <c r="H206" s="970"/>
      <c r="I206" s="970"/>
      <c r="J206" s="970"/>
      <c r="K206" s="970"/>
      <c r="L206" s="970"/>
      <c r="M206" s="971"/>
      <c r="N206" s="971"/>
      <c r="O206" s="971"/>
      <c r="P206" s="971"/>
      <c r="Q206" s="971"/>
      <c r="R206" t="s">
        <v>9258</v>
      </c>
      <c r="U206" t="s">
        <v>9333</v>
      </c>
      <c r="V206" s="871">
        <v>46293</v>
      </c>
      <c r="W20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0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06" s="974">
        <f>IFERROR(tblConcentrado[[#This Row],[Concentrado (TMS)]]/tblConcentrado[[#This Row],[Mineral (TMS)]],"")</f>
        <v>0.76529051987767582</v>
      </c>
      <c r="Z206" s="973">
        <f>IFERROR(1/tblConcentrado[[#This Row],[% Recup.]],0)</f>
        <v>1.3066933066933066</v>
      </c>
      <c r="AA206" s="975" t="str">
        <f>IF(COUNTIFS(tblConcentrado[ID],tblConcentrado[[#This Row],[ID]])&gt;1,"Duplicado","")</f>
        <v/>
      </c>
    </row>
    <row r="207" spans="2:27">
      <c r="B207" s="976">
        <f>(YEAR(tblConcentrado[[#This Row],[Fecha]])*10000+MONTH(tblConcentrado[[#This Row],[Fecha]])*100+DAY(tblConcentrado[[#This Row],[Fecha]]))*100+tblConcentrado[[#This Row],[N° hora]]</f>
        <v>2026090911</v>
      </c>
      <c r="C207" s="871">
        <v>46274</v>
      </c>
      <c r="D207">
        <v>11</v>
      </c>
      <c r="E207" s="952">
        <v>0.79166666666666696</v>
      </c>
      <c r="F207" s="256">
        <v>1382</v>
      </c>
      <c r="G207" s="256">
        <v>732</v>
      </c>
      <c r="H207" s="970">
        <v>0.156</v>
      </c>
      <c r="I207" s="970">
        <v>0.83</v>
      </c>
      <c r="J207" s="970"/>
      <c r="K207" s="970">
        <v>0.755</v>
      </c>
      <c r="L207" s="970"/>
      <c r="M207" s="971">
        <v>26</v>
      </c>
      <c r="N207" s="971">
        <v>15.2</v>
      </c>
      <c r="O207" s="971">
        <v>3.2</v>
      </c>
      <c r="P207" s="971">
        <v>2.6</v>
      </c>
      <c r="Q207" s="971">
        <v>8.4</v>
      </c>
      <c r="R207" t="s">
        <v>9258</v>
      </c>
      <c r="U207" t="s">
        <v>9333</v>
      </c>
      <c r="V207" s="871">
        <v>46293</v>
      </c>
      <c r="W20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19.52</v>
      </c>
      <c r="X20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2.8400000000000003</v>
      </c>
      <c r="Y207" s="974">
        <f>IFERROR(tblConcentrado[[#This Row],[Concentrado (TMS)]]/tblConcentrado[[#This Row],[Mineral (TMS)]],"")</f>
        <v>0.52966714905933432</v>
      </c>
      <c r="Z207" s="973">
        <f>IFERROR(1/tblConcentrado[[#This Row],[% Recup.]],0)</f>
        <v>1.8879781420765027</v>
      </c>
      <c r="AA207" s="975" t="str">
        <f>IF(COUNTIFS(tblConcentrado[ID],tblConcentrado[[#This Row],[ID]])&gt;1,"Duplicado","")</f>
        <v/>
      </c>
    </row>
    <row r="208" spans="2:27">
      <c r="B208" s="976">
        <f>(YEAR(tblConcentrado[[#This Row],[Fecha]])*10000+MONTH(tblConcentrado[[#This Row],[Fecha]])*100+DAY(tblConcentrado[[#This Row],[Fecha]]))*100+tblConcentrado[[#This Row],[N° hora]]</f>
        <v>2026090912</v>
      </c>
      <c r="C208" s="871">
        <v>46274</v>
      </c>
      <c r="D208">
        <v>12</v>
      </c>
      <c r="E208" s="952">
        <v>0.83333333333333304</v>
      </c>
      <c r="F208" s="256">
        <v>1581</v>
      </c>
      <c r="G208" s="256">
        <v>839</v>
      </c>
      <c r="H208" s="970"/>
      <c r="I208" s="970"/>
      <c r="J208" s="970"/>
      <c r="K208" s="970"/>
      <c r="L208" s="970"/>
      <c r="M208" s="971"/>
      <c r="N208" s="971"/>
      <c r="O208" s="971"/>
      <c r="P208" s="971"/>
      <c r="Q208" s="971"/>
      <c r="R208" t="s">
        <v>9258</v>
      </c>
      <c r="U208" t="s">
        <v>9333</v>
      </c>
      <c r="V208" s="871">
        <v>46293</v>
      </c>
      <c r="W20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0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08" s="974">
        <f>IFERROR(tblConcentrado[[#This Row],[Concentrado (TMS)]]/tblConcentrado[[#This Row],[Mineral (TMS)]],"")</f>
        <v>0.53067678684376973</v>
      </c>
      <c r="Z208" s="973">
        <f>IFERROR(1/tblConcentrado[[#This Row],[% Recup.]],0)</f>
        <v>1.8843861740166867</v>
      </c>
      <c r="AA208" s="975" t="str">
        <f>IF(COUNTIFS(tblConcentrado[ID],tblConcentrado[[#This Row],[ID]])&gt;1,"Duplicado","")</f>
        <v/>
      </c>
    </row>
    <row r="209" spans="2:27">
      <c r="B209" s="976">
        <f>(YEAR(tblConcentrado[[#This Row],[Fecha]])*10000+MONTH(tblConcentrado[[#This Row],[Fecha]])*100+DAY(tblConcentrado[[#This Row],[Fecha]]))*100+tblConcentrado[[#This Row],[N° hora]]</f>
        <v>2026090913</v>
      </c>
      <c r="C209" s="871">
        <v>46274</v>
      </c>
      <c r="D209">
        <v>13</v>
      </c>
      <c r="E209" s="952">
        <v>0.875</v>
      </c>
      <c r="F209" s="256">
        <v>1594</v>
      </c>
      <c r="G209" s="256">
        <v>894</v>
      </c>
      <c r="H209" s="970">
        <v>0.152</v>
      </c>
      <c r="I209" s="970">
        <v>0.79700000000000004</v>
      </c>
      <c r="J209" s="970">
        <v>0.46</v>
      </c>
      <c r="K209" s="970">
        <v>0.74299999999999999</v>
      </c>
      <c r="L209" s="970">
        <v>0.41</v>
      </c>
      <c r="M209" s="971">
        <v>22.3</v>
      </c>
      <c r="N209" s="971">
        <v>18.3</v>
      </c>
      <c r="O209" s="971">
        <v>2.7</v>
      </c>
      <c r="P209" s="971">
        <v>3</v>
      </c>
      <c r="Q209" s="971">
        <v>8.1999999999999993</v>
      </c>
      <c r="R209" t="s">
        <v>9258</v>
      </c>
      <c r="S209" t="s">
        <v>149</v>
      </c>
      <c r="U209" t="s">
        <v>9333</v>
      </c>
      <c r="V209" s="871">
        <v>46293</v>
      </c>
      <c r="W20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19.899999999999999</v>
      </c>
      <c r="X20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2.88</v>
      </c>
      <c r="Y209" s="974">
        <f>IFERROR(tblConcentrado[[#This Row],[Concentrado (TMS)]]/tblConcentrado[[#This Row],[Mineral (TMS)]],"")</f>
        <v>0.56085319949811796</v>
      </c>
      <c r="Z209" s="973">
        <f>IFERROR(1/tblConcentrado[[#This Row],[% Recup.]],0)</f>
        <v>1.7829977628635345</v>
      </c>
      <c r="AA209" s="975" t="str">
        <f>IF(COUNTIFS(tblConcentrado[ID],tblConcentrado[[#This Row],[ID]])&gt;1,"Duplicado","")</f>
        <v/>
      </c>
    </row>
    <row r="210" spans="2:27">
      <c r="B210" s="976">
        <f>(YEAR(tblConcentrado[[#This Row],[Fecha]])*10000+MONTH(tblConcentrado[[#This Row],[Fecha]])*100+DAY(tblConcentrado[[#This Row],[Fecha]]))*100+tblConcentrado[[#This Row],[N° hora]]</f>
        <v>2026090914</v>
      </c>
      <c r="C210" s="871">
        <v>46274</v>
      </c>
      <c r="D210">
        <v>14</v>
      </c>
      <c r="E210" s="952">
        <v>0.91666666666666696</v>
      </c>
      <c r="F210" s="256">
        <v>1639</v>
      </c>
      <c r="G210" s="256">
        <v>1069</v>
      </c>
      <c r="H210" s="970"/>
      <c r="I210" s="970"/>
      <c r="J210" s="970"/>
      <c r="K210" s="970"/>
      <c r="L210" s="970"/>
      <c r="M210" s="971"/>
      <c r="N210" s="971"/>
      <c r="O210" s="971"/>
      <c r="P210" s="971"/>
      <c r="Q210" s="971"/>
      <c r="R210" t="s">
        <v>9258</v>
      </c>
      <c r="S210" t="s">
        <v>150</v>
      </c>
      <c r="U210" t="s">
        <v>9333</v>
      </c>
      <c r="V210" s="871">
        <v>46293</v>
      </c>
      <c r="W21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1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10" s="974">
        <f>IFERROR(tblConcentrado[[#This Row],[Concentrado (TMS)]]/tblConcentrado[[#This Row],[Mineral (TMS)]],"")</f>
        <v>0.65222696766320931</v>
      </c>
      <c r="Z210" s="973">
        <f>IFERROR(1/tblConcentrado[[#This Row],[% Recup.]],0)</f>
        <v>1.5332086061739942</v>
      </c>
      <c r="AA210" s="975" t="str">
        <f>IF(COUNTIFS(tblConcentrado[ID],tblConcentrado[[#This Row],[ID]])&gt;1,"Duplicado","")</f>
        <v/>
      </c>
    </row>
    <row r="211" spans="2:27">
      <c r="B211" s="976">
        <f>(YEAR(tblConcentrado[[#This Row],[Fecha]])*10000+MONTH(tblConcentrado[[#This Row],[Fecha]])*100+DAY(tblConcentrado[[#This Row],[Fecha]]))*100+tblConcentrado[[#This Row],[N° hora]]</f>
        <v>2026090915</v>
      </c>
      <c r="C211" s="871">
        <v>46274</v>
      </c>
      <c r="D211">
        <v>15</v>
      </c>
      <c r="E211" s="952">
        <v>0.95833333333333304</v>
      </c>
      <c r="F211" s="256">
        <v>1641</v>
      </c>
      <c r="G211" s="256">
        <v>1059</v>
      </c>
      <c r="H211" s="970">
        <v>0.154</v>
      </c>
      <c r="I211" s="970">
        <v>0.63500000000000001</v>
      </c>
      <c r="J211" s="970">
        <v>0.38</v>
      </c>
      <c r="K211" s="970">
        <v>0.61499999999999999</v>
      </c>
      <c r="L211" s="970">
        <v>0.36</v>
      </c>
      <c r="M211" s="971">
        <v>22.9</v>
      </c>
      <c r="N211" s="971">
        <v>18</v>
      </c>
      <c r="O211" s="971">
        <v>2.9</v>
      </c>
      <c r="P211" s="971">
        <v>2.5</v>
      </c>
      <c r="Q211" s="971">
        <v>8.3000000000000007</v>
      </c>
      <c r="R211" t="s">
        <v>9258</v>
      </c>
      <c r="S211" t="s">
        <v>151</v>
      </c>
      <c r="U211" t="s">
        <v>9333</v>
      </c>
      <c r="V211" s="871">
        <v>46293</v>
      </c>
      <c r="W21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19.96</v>
      </c>
      <c r="X21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2.66</v>
      </c>
      <c r="Y211" s="974">
        <f>IFERROR(tblConcentrado[[#This Row],[Concentrado (TMS)]]/tblConcentrado[[#This Row],[Mineral (TMS)]],"")</f>
        <v>0.6453382084095064</v>
      </c>
      <c r="Z211" s="973">
        <f>IFERROR(1/tblConcentrado[[#This Row],[% Recup.]],0)</f>
        <v>1.5495750708215297</v>
      </c>
      <c r="AA211" s="975" t="str">
        <f>IF(COUNTIFS(tblConcentrado[ID],tblConcentrado[[#This Row],[ID]])&gt;1,"Duplicado","")</f>
        <v/>
      </c>
    </row>
    <row r="212" spans="2:27">
      <c r="B212" s="976">
        <f>(YEAR(tblConcentrado[[#This Row],[Fecha]])*10000+MONTH(tblConcentrado[[#This Row],[Fecha]])*100+DAY(tblConcentrado[[#This Row],[Fecha]]))*100+tblConcentrado[[#This Row],[N° hora]]</f>
        <v>2026090916</v>
      </c>
      <c r="C212" s="871">
        <v>46274</v>
      </c>
      <c r="D212">
        <v>16</v>
      </c>
      <c r="E212" s="952">
        <v>0</v>
      </c>
      <c r="F212" s="256">
        <v>1622</v>
      </c>
      <c r="G212" s="256">
        <v>1044</v>
      </c>
      <c r="H212" s="970"/>
      <c r="I212" s="970"/>
      <c r="J212" s="970"/>
      <c r="K212" s="970"/>
      <c r="L212" s="970"/>
      <c r="M212" s="971"/>
      <c r="N212" s="971"/>
      <c r="O212" s="971"/>
      <c r="P212" s="971"/>
      <c r="Q212" s="971"/>
      <c r="R212" t="s">
        <v>9258</v>
      </c>
      <c r="S212" t="s">
        <v>152</v>
      </c>
      <c r="U212" t="s">
        <v>9333</v>
      </c>
      <c r="V212" s="871">
        <v>46293</v>
      </c>
      <c r="W21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1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12" s="974">
        <f>IFERROR(tblConcentrado[[#This Row],[Concentrado (TMS)]]/tblConcentrado[[#This Row],[Mineral (TMS)]],"")</f>
        <v>0.64364981504315655</v>
      </c>
      <c r="Z212" s="973">
        <f>IFERROR(1/tblConcentrado[[#This Row],[% Recup.]],0)</f>
        <v>1.553639846743295</v>
      </c>
      <c r="AA212" s="975" t="str">
        <f>IF(COUNTIFS(tblConcentrado[ID],tblConcentrado[[#This Row],[ID]])&gt;1,"Duplicado","")</f>
        <v/>
      </c>
    </row>
    <row r="213" spans="2:27">
      <c r="B213" s="976">
        <f>(YEAR(tblConcentrado[[#This Row],[Fecha]])*10000+MONTH(tblConcentrado[[#This Row],[Fecha]])*100+DAY(tblConcentrado[[#This Row],[Fecha]]))*100+tblConcentrado[[#This Row],[N° hora]]</f>
        <v>2026090917</v>
      </c>
      <c r="C213" s="871">
        <v>46274</v>
      </c>
      <c r="D213">
        <v>17</v>
      </c>
      <c r="E213" s="952">
        <v>4.1666666666666699E-2</v>
      </c>
      <c r="F213" s="256">
        <v>1591</v>
      </c>
      <c r="G213" s="256">
        <v>1118</v>
      </c>
      <c r="H213" s="970">
        <v>0.13800000000000001</v>
      </c>
      <c r="I213" s="970">
        <v>0.70699999999999996</v>
      </c>
      <c r="J213" s="970">
        <v>0.43</v>
      </c>
      <c r="K213" s="970">
        <v>0.71499999999999997</v>
      </c>
      <c r="L213" s="970">
        <v>0.4</v>
      </c>
      <c r="M213" s="971">
        <v>31</v>
      </c>
      <c r="N213" s="971">
        <v>13.8</v>
      </c>
      <c r="O213" s="971">
        <v>2.5</v>
      </c>
      <c r="P213" s="971">
        <v>1.7</v>
      </c>
      <c r="Q213" s="971">
        <v>8.1</v>
      </c>
      <c r="R213" t="s">
        <v>9258</v>
      </c>
      <c r="S213" t="s">
        <v>153</v>
      </c>
      <c r="U213" t="s">
        <v>9333</v>
      </c>
      <c r="V213" s="871">
        <v>46293</v>
      </c>
      <c r="W21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20.68</v>
      </c>
      <c r="X21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2.02</v>
      </c>
      <c r="Y213" s="974">
        <f>IFERROR(tblConcentrado[[#This Row],[Concentrado (TMS)]]/tblConcentrado[[#This Row],[Mineral (TMS)]],"")</f>
        <v>0.70270270270270274</v>
      </c>
      <c r="Z213" s="973">
        <f>IFERROR(1/tblConcentrado[[#This Row],[% Recup.]],0)</f>
        <v>1.4230769230769229</v>
      </c>
      <c r="AA213" s="975" t="str">
        <f>IF(COUNTIFS(tblConcentrado[ID],tblConcentrado[[#This Row],[ID]])&gt;1,"Duplicado","")</f>
        <v/>
      </c>
    </row>
    <row r="214" spans="2:27">
      <c r="B214" s="976">
        <f>(YEAR(tblConcentrado[[#This Row],[Fecha]])*10000+MONTH(tblConcentrado[[#This Row],[Fecha]])*100+DAY(tblConcentrado[[#This Row],[Fecha]]))*100+tblConcentrado[[#This Row],[N° hora]]</f>
        <v>2026090918</v>
      </c>
      <c r="C214" s="871">
        <v>46274</v>
      </c>
      <c r="D214">
        <v>18</v>
      </c>
      <c r="E214" s="952">
        <v>8.3333333333333301E-2</v>
      </c>
      <c r="F214" s="256">
        <v>1584</v>
      </c>
      <c r="G214" s="256">
        <v>1122</v>
      </c>
      <c r="H214" s="970"/>
      <c r="I214" s="970"/>
      <c r="J214" s="970"/>
      <c r="K214" s="970"/>
      <c r="L214" s="970"/>
      <c r="M214" s="971"/>
      <c r="N214" s="971"/>
      <c r="O214" s="971"/>
      <c r="P214" s="971"/>
      <c r="Q214" s="971"/>
      <c r="R214" t="s">
        <v>9258</v>
      </c>
      <c r="S214" t="s">
        <v>154</v>
      </c>
      <c r="U214" t="s">
        <v>9333</v>
      </c>
      <c r="V214" s="871">
        <v>46293</v>
      </c>
      <c r="W21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1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14" s="974">
        <f>IFERROR(tblConcentrado[[#This Row],[Concentrado (TMS)]]/tblConcentrado[[#This Row],[Mineral (TMS)]],"")</f>
        <v>0.70833333333333337</v>
      </c>
      <c r="Z214" s="973">
        <f>IFERROR(1/tblConcentrado[[#This Row],[% Recup.]],0)</f>
        <v>1.4117647058823528</v>
      </c>
      <c r="AA214" s="975" t="str">
        <f>IF(COUNTIFS(tblConcentrado[ID],tblConcentrado[[#This Row],[ID]])&gt;1,"Duplicado","")</f>
        <v/>
      </c>
    </row>
    <row r="215" spans="2:27">
      <c r="B215" s="976">
        <f>(YEAR(tblConcentrado[[#This Row],[Fecha]])*10000+MONTH(tblConcentrado[[#This Row],[Fecha]])*100+DAY(tblConcentrado[[#This Row],[Fecha]]))*100+tblConcentrado[[#This Row],[N° hora]]</f>
        <v>2026090919</v>
      </c>
      <c r="C215" s="871">
        <v>46274</v>
      </c>
      <c r="D215">
        <v>19</v>
      </c>
      <c r="E215" s="952">
        <v>0.125</v>
      </c>
      <c r="F215" s="256">
        <v>1604</v>
      </c>
      <c r="G215" s="256">
        <v>1052</v>
      </c>
      <c r="H215" s="970">
        <v>0.13200000000000001</v>
      </c>
      <c r="I215" s="970">
        <v>0.74</v>
      </c>
      <c r="J215" s="970">
        <v>0.47</v>
      </c>
      <c r="K215" s="970">
        <v>0.76700000000000002</v>
      </c>
      <c r="L215" s="970">
        <v>0.5</v>
      </c>
      <c r="M215" s="971">
        <v>28.9</v>
      </c>
      <c r="N215" s="971">
        <v>13.9</v>
      </c>
      <c r="O215" s="971">
        <v>2.6</v>
      </c>
      <c r="P215" s="971">
        <v>2</v>
      </c>
      <c r="Q215" s="971">
        <v>8.4</v>
      </c>
      <c r="R215" t="s">
        <v>9258</v>
      </c>
      <c r="S215" t="s">
        <v>155</v>
      </c>
      <c r="U215" t="s">
        <v>9333</v>
      </c>
      <c r="V215" s="871">
        <v>46293</v>
      </c>
      <c r="W21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19.899999999999999</v>
      </c>
      <c r="X21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2.2400000000000002</v>
      </c>
      <c r="Y215" s="974">
        <f>IFERROR(tblConcentrado[[#This Row],[Concentrado (TMS)]]/tblConcentrado[[#This Row],[Mineral (TMS)]],"")</f>
        <v>0.65586034912718205</v>
      </c>
      <c r="Z215" s="973">
        <f>IFERROR(1/tblConcentrado[[#This Row],[% Recup.]],0)</f>
        <v>1.5247148288973384</v>
      </c>
      <c r="AA215" s="975" t="str">
        <f>IF(COUNTIFS(tblConcentrado[ID],tblConcentrado[[#This Row],[ID]])&gt;1,"Duplicado","")</f>
        <v/>
      </c>
    </row>
    <row r="216" spans="2:27">
      <c r="B216" s="976">
        <f>(YEAR(tblConcentrado[[#This Row],[Fecha]])*10000+MONTH(tblConcentrado[[#This Row],[Fecha]])*100+DAY(tblConcentrado[[#This Row],[Fecha]]))*100+tblConcentrado[[#This Row],[N° hora]]</f>
        <v>2026090920</v>
      </c>
      <c r="C216" s="871">
        <v>46274</v>
      </c>
      <c r="D216">
        <v>20</v>
      </c>
      <c r="E216" s="952">
        <v>0.16666666666666699</v>
      </c>
      <c r="F216" s="256">
        <v>1607</v>
      </c>
      <c r="G216" s="256">
        <v>1174</v>
      </c>
      <c r="H216" s="970"/>
      <c r="I216" s="970"/>
      <c r="J216" s="970"/>
      <c r="K216" s="970"/>
      <c r="L216" s="970"/>
      <c r="M216" s="971"/>
      <c r="N216" s="971"/>
      <c r="O216" s="971"/>
      <c r="P216" s="971"/>
      <c r="Q216" s="971"/>
      <c r="R216" t="s">
        <v>9258</v>
      </c>
      <c r="S216" t="s">
        <v>156</v>
      </c>
      <c r="U216" t="s">
        <v>9333</v>
      </c>
      <c r="V216" s="871">
        <v>46293</v>
      </c>
      <c r="W21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1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16" s="974">
        <f>IFERROR(tblConcentrado[[#This Row],[Concentrado (TMS)]]/tblConcentrado[[#This Row],[Mineral (TMS)]],"")</f>
        <v>0.73055382700684501</v>
      </c>
      <c r="Z216" s="973">
        <f>IFERROR(1/tblConcentrado[[#This Row],[% Recup.]],0)</f>
        <v>1.368824531516184</v>
      </c>
      <c r="AA216" s="975" t="str">
        <f>IF(COUNTIFS(tblConcentrado[ID],tblConcentrado[[#This Row],[ID]])&gt;1,"Duplicado","")</f>
        <v/>
      </c>
    </row>
    <row r="217" spans="2:27">
      <c r="B217" s="976">
        <f>(YEAR(tblConcentrado[[#This Row],[Fecha]])*10000+MONTH(tblConcentrado[[#This Row],[Fecha]])*100+DAY(tblConcentrado[[#This Row],[Fecha]]))*100+tblConcentrado[[#This Row],[N° hora]]</f>
        <v>2026090921</v>
      </c>
      <c r="C217" s="871">
        <v>46274</v>
      </c>
      <c r="D217">
        <v>21</v>
      </c>
      <c r="E217" s="952">
        <v>0.20833333333333301</v>
      </c>
      <c r="F217" s="256">
        <v>1612</v>
      </c>
      <c r="G217" s="256">
        <v>1131</v>
      </c>
      <c r="H217" s="970">
        <v>0.154</v>
      </c>
      <c r="I217" s="970">
        <v>0.73699999999999999</v>
      </c>
      <c r="J217" s="970">
        <v>0.44</v>
      </c>
      <c r="K217" s="970">
        <v>0.47799999999999998</v>
      </c>
      <c r="L217" s="970">
        <v>0.31</v>
      </c>
      <c r="M217" s="971">
        <v>27.6</v>
      </c>
      <c r="N217" s="971">
        <v>14</v>
      </c>
      <c r="O217" s="971">
        <v>2.4</v>
      </c>
      <c r="P217" s="971">
        <v>1.8</v>
      </c>
      <c r="Q217" s="971">
        <v>8.6</v>
      </c>
      <c r="R217" t="s">
        <v>9258</v>
      </c>
      <c r="S217" t="s">
        <v>157</v>
      </c>
      <c r="T217" t="s">
        <v>158</v>
      </c>
      <c r="U217" t="s">
        <v>9333</v>
      </c>
      <c r="V217" s="871">
        <v>46293</v>
      </c>
      <c r="W21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19.440000000000001</v>
      </c>
      <c r="X21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2.04</v>
      </c>
      <c r="Y217" s="974">
        <f>IFERROR(tblConcentrado[[#This Row],[Concentrado (TMS)]]/tblConcentrado[[#This Row],[Mineral (TMS)]],"")</f>
        <v>0.70161290322580649</v>
      </c>
      <c r="Z217" s="973">
        <f>IFERROR(1/tblConcentrado[[#This Row],[% Recup.]],0)</f>
        <v>1.4252873563218389</v>
      </c>
      <c r="AA217" s="975" t="str">
        <f>IF(COUNTIFS(tblConcentrado[ID],tblConcentrado[[#This Row],[ID]])&gt;1,"Duplicado","")</f>
        <v/>
      </c>
    </row>
    <row r="218" spans="2:27">
      <c r="B218" s="976">
        <f>(YEAR(tblConcentrado[[#This Row],[Fecha]])*10000+MONTH(tblConcentrado[[#This Row],[Fecha]])*100+DAY(tblConcentrado[[#This Row],[Fecha]]))*100+tblConcentrado[[#This Row],[N° hora]]</f>
        <v>2026090922</v>
      </c>
      <c r="C218" s="871">
        <v>46274</v>
      </c>
      <c r="D218">
        <v>22</v>
      </c>
      <c r="E218" s="952">
        <v>0.25</v>
      </c>
      <c r="F218" s="256">
        <v>1600</v>
      </c>
      <c r="G218" s="256">
        <v>1348</v>
      </c>
      <c r="H218" s="970"/>
      <c r="I218" s="970"/>
      <c r="J218" s="970"/>
      <c r="K218" s="970"/>
      <c r="L218" s="970"/>
      <c r="M218" s="971"/>
      <c r="N218" s="971"/>
      <c r="O218" s="971"/>
      <c r="P218" s="971"/>
      <c r="Q218" s="971"/>
      <c r="R218" t="s">
        <v>9258</v>
      </c>
      <c r="U218" t="s">
        <v>9333</v>
      </c>
      <c r="V218" s="871">
        <v>46293</v>
      </c>
      <c r="W21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1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18" s="974">
        <f>IFERROR(tblConcentrado[[#This Row],[Concentrado (TMS)]]/tblConcentrado[[#This Row],[Mineral (TMS)]],"")</f>
        <v>0.84250000000000003</v>
      </c>
      <c r="Z218" s="973">
        <f>IFERROR(1/tblConcentrado[[#This Row],[% Recup.]],0)</f>
        <v>1.1869436201780414</v>
      </c>
      <c r="AA218" s="975" t="str">
        <f>IF(COUNTIFS(tblConcentrado[ID],tblConcentrado[[#This Row],[ID]])&gt;1,"Duplicado","")</f>
        <v/>
      </c>
    </row>
    <row r="219" spans="2:27">
      <c r="B219" s="976">
        <f>(YEAR(tblConcentrado[[#This Row],[Fecha]])*10000+MONTH(tblConcentrado[[#This Row],[Fecha]])*100+DAY(tblConcentrado[[#This Row],[Fecha]]))*100+tblConcentrado[[#This Row],[N° hora]]</f>
        <v>2026090923</v>
      </c>
      <c r="C219" s="871">
        <v>46274</v>
      </c>
      <c r="D219">
        <v>23</v>
      </c>
      <c r="E219" s="952">
        <v>0.29166666666666702</v>
      </c>
      <c r="F219" s="256">
        <v>1582</v>
      </c>
      <c r="G219" s="256">
        <v>1345</v>
      </c>
      <c r="H219" s="970">
        <v>0.16500000000000001</v>
      </c>
      <c r="I219" s="970">
        <v>0.53900000000000003</v>
      </c>
      <c r="J219" s="970">
        <v>0.33</v>
      </c>
      <c r="K219" s="970">
        <v>0.58399999999999996</v>
      </c>
      <c r="L219" s="970">
        <v>0.36</v>
      </c>
      <c r="M219" s="971">
        <v>27.7</v>
      </c>
      <c r="N219" s="971">
        <v>14.6</v>
      </c>
      <c r="O219" s="971">
        <v>2.5</v>
      </c>
      <c r="P219" s="971">
        <v>2</v>
      </c>
      <c r="Q219" s="971">
        <v>8.6999999999999993</v>
      </c>
      <c r="R219" t="s">
        <v>9258</v>
      </c>
      <c r="S219" t="s">
        <v>159</v>
      </c>
      <c r="T219" t="s">
        <v>160</v>
      </c>
      <c r="U219" t="s">
        <v>9333</v>
      </c>
      <c r="V219" s="871">
        <v>46293</v>
      </c>
      <c r="W21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19.84</v>
      </c>
      <c r="X21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2.2000000000000002</v>
      </c>
      <c r="Y219" s="974">
        <f>IFERROR(tblConcentrado[[#This Row],[Concentrado (TMS)]]/tblConcentrado[[#This Row],[Mineral (TMS)]],"")</f>
        <v>0.85018963337547404</v>
      </c>
      <c r="Z219" s="973">
        <f>IFERROR(1/tblConcentrado[[#This Row],[% Recup.]],0)</f>
        <v>1.1762081784386618</v>
      </c>
      <c r="AA219" s="975" t="str">
        <f>IF(COUNTIFS(tblConcentrado[ID],tblConcentrado[[#This Row],[ID]])&gt;1,"Duplicado","")</f>
        <v/>
      </c>
    </row>
    <row r="220" spans="2:27">
      <c r="B220" s="976">
        <f>(YEAR(tblConcentrado[[#This Row],[Fecha]])*10000+MONTH(tblConcentrado[[#This Row],[Fecha]])*100+DAY(tblConcentrado[[#This Row],[Fecha]]))*100+tblConcentrado[[#This Row],[N° hora]]</f>
        <v>2026090924</v>
      </c>
      <c r="C220" s="871">
        <v>46274</v>
      </c>
      <c r="D220">
        <v>24</v>
      </c>
      <c r="E220" s="952">
        <v>0.33333333333333298</v>
      </c>
      <c r="F220" s="256">
        <v>1369</v>
      </c>
      <c r="G220" s="256">
        <v>991</v>
      </c>
      <c r="H220" s="970"/>
      <c r="I220" s="970"/>
      <c r="J220" s="970"/>
      <c r="K220" s="970"/>
      <c r="L220" s="970"/>
      <c r="M220" s="971"/>
      <c r="N220" s="971"/>
      <c r="O220" s="971"/>
      <c r="P220" s="971"/>
      <c r="Q220" s="971"/>
      <c r="R220" t="s">
        <v>9258</v>
      </c>
      <c r="S220" t="s">
        <v>161</v>
      </c>
      <c r="U220" t="s">
        <v>9333</v>
      </c>
      <c r="V220" s="871">
        <v>46293</v>
      </c>
      <c r="W22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2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20" s="974">
        <f>IFERROR(tblConcentrado[[#This Row],[Concentrado (TMS)]]/tblConcentrado[[#This Row],[Mineral (TMS)]],"")</f>
        <v>0.7238860482103725</v>
      </c>
      <c r="Z220" s="973">
        <f>IFERROR(1/tblConcentrado[[#This Row],[% Recup.]],0)</f>
        <v>1.3814328960645812</v>
      </c>
      <c r="AA220" s="975" t="str">
        <f>IF(COUNTIFS(tblConcentrado[ID],tblConcentrado[[#This Row],[ID]])&gt;1,"Duplicado","")</f>
        <v/>
      </c>
    </row>
    <row r="221" spans="2:27">
      <c r="B221" s="976">
        <f>(YEAR(tblConcentrado[[#This Row],[Fecha]])*10000+MONTH(tblConcentrado[[#This Row],[Fecha]])*100+DAY(tblConcentrado[[#This Row],[Fecha]]))*100+tblConcentrado[[#This Row],[N° hora]]</f>
        <v>2026091001</v>
      </c>
      <c r="C221" s="871">
        <v>46275</v>
      </c>
      <c r="D221">
        <v>1</v>
      </c>
      <c r="E221" s="952">
        <v>0.375</v>
      </c>
      <c r="F221" s="256">
        <v>1342</v>
      </c>
      <c r="G221" s="256">
        <v>928</v>
      </c>
      <c r="H221" s="970">
        <v>0.14699999999999999</v>
      </c>
      <c r="I221" s="970">
        <v>0.67300000000000004</v>
      </c>
      <c r="J221" s="970">
        <v>0.39</v>
      </c>
      <c r="K221" s="970">
        <v>0.70499999999999996</v>
      </c>
      <c r="L221" s="970">
        <v>0.42</v>
      </c>
      <c r="M221" s="971">
        <v>26.1</v>
      </c>
      <c r="N221" s="971">
        <v>16</v>
      </c>
      <c r="O221" s="971">
        <v>3.1</v>
      </c>
      <c r="P221" s="971">
        <v>2.8</v>
      </c>
      <c r="Q221" s="971">
        <v>8.4</v>
      </c>
      <c r="R221" t="s">
        <v>9258</v>
      </c>
      <c r="U221" t="s">
        <v>9333</v>
      </c>
      <c r="V221" s="871">
        <v>46293</v>
      </c>
      <c r="W22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20.04</v>
      </c>
      <c r="X22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2.92</v>
      </c>
      <c r="Y221" s="974">
        <f>IFERROR(tblConcentrado[[#This Row],[Concentrado (TMS)]]/tblConcentrado[[#This Row],[Mineral (TMS)]],"")</f>
        <v>0.69150521609538007</v>
      </c>
      <c r="Z221" s="973">
        <f>IFERROR(1/tblConcentrado[[#This Row],[% Recup.]],0)</f>
        <v>1.4461206896551724</v>
      </c>
      <c r="AA221" s="975" t="str">
        <f>IF(COUNTIFS(tblConcentrado[ID],tblConcentrado[[#This Row],[ID]])&gt;1,"Duplicado","")</f>
        <v/>
      </c>
    </row>
    <row r="222" spans="2:27">
      <c r="B222" s="976">
        <f>(YEAR(tblConcentrado[[#This Row],[Fecha]])*10000+MONTH(tblConcentrado[[#This Row],[Fecha]])*100+DAY(tblConcentrado[[#This Row],[Fecha]]))*100+tblConcentrado[[#This Row],[N° hora]]</f>
        <v>2026091002</v>
      </c>
      <c r="C222" s="871">
        <v>46275</v>
      </c>
      <c r="D222">
        <v>2</v>
      </c>
      <c r="E222" s="952">
        <v>0.41666666666666702</v>
      </c>
      <c r="F222" s="256">
        <v>1284</v>
      </c>
      <c r="G222" s="256">
        <v>851</v>
      </c>
      <c r="H222" s="970"/>
      <c r="I222" s="970"/>
      <c r="J222" s="970"/>
      <c r="K222" s="970"/>
      <c r="L222" s="970"/>
      <c r="M222" s="971"/>
      <c r="N222" s="971"/>
      <c r="O222" s="971"/>
      <c r="P222" s="971"/>
      <c r="Q222" s="971"/>
      <c r="R222" t="s">
        <v>9258</v>
      </c>
      <c r="U222" t="s">
        <v>9333</v>
      </c>
      <c r="V222" s="871">
        <v>46293</v>
      </c>
      <c r="W22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2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22" s="974">
        <f>IFERROR(tblConcentrado[[#This Row],[Concentrado (TMS)]]/tblConcentrado[[#This Row],[Mineral (TMS)]],"")</f>
        <v>0.66277258566978192</v>
      </c>
      <c r="Z222" s="973">
        <f>IFERROR(1/tblConcentrado[[#This Row],[% Recup.]],0)</f>
        <v>1.5088131609870741</v>
      </c>
      <c r="AA222" s="975" t="str">
        <f>IF(COUNTIFS(tblConcentrado[ID],tblConcentrado[[#This Row],[ID]])&gt;1,"Duplicado","")</f>
        <v/>
      </c>
    </row>
    <row r="223" spans="2:27">
      <c r="B223" s="976">
        <f>(YEAR(tblConcentrado[[#This Row],[Fecha]])*10000+MONTH(tblConcentrado[[#This Row],[Fecha]])*100+DAY(tblConcentrado[[#This Row],[Fecha]]))*100+tblConcentrado[[#This Row],[N° hora]]</f>
        <v>2026091003</v>
      </c>
      <c r="C223" s="871">
        <v>46275</v>
      </c>
      <c r="D223">
        <v>3</v>
      </c>
      <c r="E223" s="952">
        <v>0.45833333333333298</v>
      </c>
      <c r="F223" s="256">
        <v>1329</v>
      </c>
      <c r="G223" s="256">
        <v>921</v>
      </c>
      <c r="H223" s="970">
        <v>0.155</v>
      </c>
      <c r="I223" s="970">
        <v>0.70399999999999996</v>
      </c>
      <c r="J223" s="970">
        <v>0.42</v>
      </c>
      <c r="K223" s="970">
        <v>0.78100000000000003</v>
      </c>
      <c r="L223" s="970">
        <v>0.47</v>
      </c>
      <c r="M223" s="971">
        <v>24.5</v>
      </c>
      <c r="N223" s="971">
        <v>14</v>
      </c>
      <c r="O223" s="971">
        <v>3</v>
      </c>
      <c r="P223" s="971">
        <v>2.4</v>
      </c>
      <c r="Q223" s="971">
        <v>8.4</v>
      </c>
      <c r="R223" t="s">
        <v>9258</v>
      </c>
      <c r="U223" t="s">
        <v>9333</v>
      </c>
      <c r="V223" s="871">
        <v>46293</v>
      </c>
      <c r="W22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18.200000000000003</v>
      </c>
      <c r="X22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2.64</v>
      </c>
      <c r="Y223" s="974">
        <f>IFERROR(tblConcentrado[[#This Row],[Concentrado (TMS)]]/tblConcentrado[[#This Row],[Mineral (TMS)]],"")</f>
        <v>0.69300225733634313</v>
      </c>
      <c r="Z223" s="973">
        <f>IFERROR(1/tblConcentrado[[#This Row],[% Recup.]],0)</f>
        <v>1.4429967426710097</v>
      </c>
      <c r="AA223" s="975" t="str">
        <f>IF(COUNTIFS(tblConcentrado[ID],tblConcentrado[[#This Row],[ID]])&gt;1,"Duplicado","")</f>
        <v/>
      </c>
    </row>
    <row r="224" spans="2:27">
      <c r="B224" s="976">
        <f>(YEAR(tblConcentrado[[#This Row],[Fecha]])*10000+MONTH(tblConcentrado[[#This Row],[Fecha]])*100+DAY(tblConcentrado[[#This Row],[Fecha]]))*100+tblConcentrado[[#This Row],[N° hora]]</f>
        <v>2026091004</v>
      </c>
      <c r="C224" s="871">
        <v>46275</v>
      </c>
      <c r="D224">
        <v>4</v>
      </c>
      <c r="E224" s="952">
        <v>0.5</v>
      </c>
      <c r="F224" s="256">
        <v>1401</v>
      </c>
      <c r="G224" s="256">
        <v>897</v>
      </c>
      <c r="H224" s="970"/>
      <c r="I224" s="970"/>
      <c r="J224" s="970"/>
      <c r="K224" s="970"/>
      <c r="L224" s="970"/>
      <c r="M224" s="971"/>
      <c r="N224" s="971"/>
      <c r="O224" s="971"/>
      <c r="P224" s="971"/>
      <c r="Q224" s="971"/>
      <c r="R224" t="s">
        <v>9258</v>
      </c>
      <c r="U224" t="s">
        <v>9333</v>
      </c>
      <c r="V224" s="871">
        <v>46293</v>
      </c>
      <c r="W22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2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24" s="974">
        <f>IFERROR(tblConcentrado[[#This Row],[Concentrado (TMS)]]/tblConcentrado[[#This Row],[Mineral (TMS)]],"")</f>
        <v>0.64025695931477511</v>
      </c>
      <c r="Z224" s="973">
        <f>IFERROR(1/tblConcentrado[[#This Row],[% Recup.]],0)</f>
        <v>1.5618729096989967</v>
      </c>
      <c r="AA224" s="975" t="str">
        <f>IF(COUNTIFS(tblConcentrado[ID],tblConcentrado[[#This Row],[ID]])&gt;1,"Duplicado","")</f>
        <v/>
      </c>
    </row>
    <row r="225" spans="2:27">
      <c r="B225" s="976">
        <f>(YEAR(tblConcentrado[[#This Row],[Fecha]])*10000+MONTH(tblConcentrado[[#This Row],[Fecha]])*100+DAY(tblConcentrado[[#This Row],[Fecha]]))*100+tblConcentrado[[#This Row],[N° hora]]</f>
        <v>2026091005</v>
      </c>
      <c r="C225" s="871">
        <v>46275</v>
      </c>
      <c r="D225">
        <v>5</v>
      </c>
      <c r="E225" s="952">
        <v>0.54166666666666696</v>
      </c>
      <c r="F225" s="256">
        <v>1403</v>
      </c>
      <c r="G225" s="256">
        <v>1030</v>
      </c>
      <c r="H225" s="970">
        <v>0.14499999999999999</v>
      </c>
      <c r="I225" s="970">
        <v>0.60899999999999999</v>
      </c>
      <c r="J225" s="970">
        <v>0.36</v>
      </c>
      <c r="K225" s="970">
        <v>0.59099999999999997</v>
      </c>
      <c r="L225" s="970">
        <v>0.35</v>
      </c>
      <c r="M225" s="971">
        <v>24.8</v>
      </c>
      <c r="N225" s="971">
        <v>15.2</v>
      </c>
      <c r="O225" s="971">
        <v>2.4</v>
      </c>
      <c r="P225" s="971">
        <v>2.7</v>
      </c>
      <c r="Q225" s="971">
        <v>8.5</v>
      </c>
      <c r="R225" t="s">
        <v>9258</v>
      </c>
      <c r="U225" t="s">
        <v>9333</v>
      </c>
      <c r="V225" s="871">
        <v>46293</v>
      </c>
      <c r="W22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19.04</v>
      </c>
      <c r="X22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2.58</v>
      </c>
      <c r="Y225" s="974">
        <f>IFERROR(tblConcentrado[[#This Row],[Concentrado (TMS)]]/tblConcentrado[[#This Row],[Mineral (TMS)]],"")</f>
        <v>0.73414112615823235</v>
      </c>
      <c r="Z225" s="973">
        <f>IFERROR(1/tblConcentrado[[#This Row],[% Recup.]],0)</f>
        <v>1.3621359223300971</v>
      </c>
      <c r="AA225" s="975" t="str">
        <f>IF(COUNTIFS(tblConcentrado[ID],tblConcentrado[[#This Row],[ID]])&gt;1,"Duplicado","")</f>
        <v/>
      </c>
    </row>
    <row r="226" spans="2:27">
      <c r="B226" s="976">
        <f>(YEAR(tblConcentrado[[#This Row],[Fecha]])*10000+MONTH(tblConcentrado[[#This Row],[Fecha]])*100+DAY(tblConcentrado[[#This Row],[Fecha]]))*100+tblConcentrado[[#This Row],[N° hora]]</f>
        <v>2026091006</v>
      </c>
      <c r="C226" s="871">
        <v>46275</v>
      </c>
      <c r="D226">
        <v>6</v>
      </c>
      <c r="E226" s="952">
        <v>0.58333333333333304</v>
      </c>
      <c r="F226" s="256">
        <v>1434</v>
      </c>
      <c r="G226" s="256">
        <v>995</v>
      </c>
      <c r="H226" s="970"/>
      <c r="I226" s="970"/>
      <c r="J226" s="970"/>
      <c r="K226" s="970"/>
      <c r="L226" s="970"/>
      <c r="M226" s="971"/>
      <c r="N226" s="971"/>
      <c r="O226" s="971"/>
      <c r="P226" s="971"/>
      <c r="Q226" s="971"/>
      <c r="R226" t="s">
        <v>9258</v>
      </c>
      <c r="U226" t="s">
        <v>9333</v>
      </c>
      <c r="V226" s="871">
        <v>46293</v>
      </c>
      <c r="W22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2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26" s="974">
        <f>IFERROR(tblConcentrado[[#This Row],[Concentrado (TMS)]]/tblConcentrado[[#This Row],[Mineral (TMS)]],"")</f>
        <v>0.69386331938633194</v>
      </c>
      <c r="Z226" s="973">
        <f>IFERROR(1/tblConcentrado[[#This Row],[% Recup.]],0)</f>
        <v>1.4412060301507537</v>
      </c>
      <c r="AA226" s="975" t="str">
        <f>IF(COUNTIFS(tblConcentrado[ID],tblConcentrado[[#This Row],[ID]])&gt;1,"Duplicado","")</f>
        <v/>
      </c>
    </row>
    <row r="227" spans="2:27">
      <c r="B227" s="976">
        <f>(YEAR(tblConcentrado[[#This Row],[Fecha]])*10000+MONTH(tblConcentrado[[#This Row],[Fecha]])*100+DAY(tblConcentrado[[#This Row],[Fecha]]))*100+tblConcentrado[[#This Row],[N° hora]]</f>
        <v>2026091007</v>
      </c>
      <c r="C227" s="871">
        <v>46275</v>
      </c>
      <c r="D227">
        <v>7</v>
      </c>
      <c r="E227" s="952">
        <v>0.625</v>
      </c>
      <c r="F227" s="256">
        <v>1132</v>
      </c>
      <c r="G227" s="256">
        <v>983</v>
      </c>
      <c r="H227" s="970">
        <v>0.14099999999999999</v>
      </c>
      <c r="I227" s="970">
        <v>0.73099999999999998</v>
      </c>
      <c r="J227" s="970">
        <v>0.44</v>
      </c>
      <c r="K227" s="970">
        <v>0.61799999999999999</v>
      </c>
      <c r="L227" s="970">
        <v>0.37</v>
      </c>
      <c r="M227" s="971">
        <v>26</v>
      </c>
      <c r="N227" s="971">
        <v>14</v>
      </c>
      <c r="O227" s="971">
        <v>3</v>
      </c>
      <c r="P227" s="971">
        <v>3.1</v>
      </c>
      <c r="Q227" s="971">
        <v>8.3000000000000007</v>
      </c>
      <c r="R227" t="s">
        <v>9258</v>
      </c>
      <c r="U227" t="s">
        <v>9333</v>
      </c>
      <c r="V227" s="871">
        <v>46293</v>
      </c>
      <c r="W22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18.8</v>
      </c>
      <c r="X22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3.06</v>
      </c>
      <c r="Y227" s="974">
        <f>IFERROR(tblConcentrado[[#This Row],[Concentrado (TMS)]]/tblConcentrado[[#This Row],[Mineral (TMS)]],"")</f>
        <v>0.86837455830388688</v>
      </c>
      <c r="Z227" s="973">
        <f>IFERROR(1/tblConcentrado[[#This Row],[% Recup.]],0)</f>
        <v>1.1515768056968465</v>
      </c>
      <c r="AA227" s="975" t="str">
        <f>IF(COUNTIFS(tblConcentrado[ID],tblConcentrado[[#This Row],[ID]])&gt;1,"Duplicado","")</f>
        <v/>
      </c>
    </row>
    <row r="228" spans="2:27">
      <c r="B228" s="976">
        <f>(YEAR(tblConcentrado[[#This Row],[Fecha]])*10000+MONTH(tblConcentrado[[#This Row],[Fecha]])*100+DAY(tblConcentrado[[#This Row],[Fecha]]))*100+tblConcentrado[[#This Row],[N° hora]]</f>
        <v>2026091008</v>
      </c>
      <c r="C228" s="871">
        <v>46275</v>
      </c>
      <c r="D228">
        <v>8</v>
      </c>
      <c r="E228" s="952">
        <v>0.66666666666666696</v>
      </c>
      <c r="F228" s="256">
        <v>1263</v>
      </c>
      <c r="G228" s="256">
        <v>897</v>
      </c>
      <c r="H228" s="970"/>
      <c r="I228" s="970"/>
      <c r="J228" s="970"/>
      <c r="K228" s="970"/>
      <c r="L228" s="970"/>
      <c r="M228" s="971"/>
      <c r="N228" s="971"/>
      <c r="O228" s="971"/>
      <c r="P228" s="971"/>
      <c r="Q228" s="971"/>
      <c r="R228" t="s">
        <v>9258</v>
      </c>
      <c r="U228" t="s">
        <v>9333</v>
      </c>
      <c r="V228" s="871">
        <v>46293</v>
      </c>
      <c r="W22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2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28" s="974">
        <f>IFERROR(tblConcentrado[[#This Row],[Concentrado (TMS)]]/tblConcentrado[[#This Row],[Mineral (TMS)]],"")</f>
        <v>0.7102137767220903</v>
      </c>
      <c r="Z228" s="973">
        <f>IFERROR(1/tblConcentrado[[#This Row],[% Recup.]],0)</f>
        <v>1.4080267558528428</v>
      </c>
      <c r="AA228" s="975" t="str">
        <f>IF(COUNTIFS(tblConcentrado[ID],tblConcentrado[[#This Row],[ID]])&gt;1,"Duplicado","")</f>
        <v/>
      </c>
    </row>
    <row r="229" spans="2:27">
      <c r="B229" s="976">
        <f>(YEAR(tblConcentrado[[#This Row],[Fecha]])*10000+MONTH(tblConcentrado[[#This Row],[Fecha]])*100+DAY(tblConcentrado[[#This Row],[Fecha]]))*100+tblConcentrado[[#This Row],[N° hora]]</f>
        <v>2026091009</v>
      </c>
      <c r="C229" s="871">
        <v>46275</v>
      </c>
      <c r="D229">
        <v>9</v>
      </c>
      <c r="E229" s="952">
        <v>0.70833333333333304</v>
      </c>
      <c r="F229" s="256">
        <v>1280</v>
      </c>
      <c r="G229" s="256">
        <v>706</v>
      </c>
      <c r="H229" s="970">
        <v>0.14899999999999999</v>
      </c>
      <c r="I229" s="970">
        <v>0.61799999999999999</v>
      </c>
      <c r="J229" s="970">
        <v>0.4</v>
      </c>
      <c r="K229" s="970">
        <v>0.66300000000000003</v>
      </c>
      <c r="L229" s="970">
        <v>0.38</v>
      </c>
      <c r="M229" s="971">
        <v>26.8</v>
      </c>
      <c r="N229" s="971">
        <v>14.9</v>
      </c>
      <c r="O229" s="971">
        <v>3</v>
      </c>
      <c r="P229" s="971">
        <v>2.6</v>
      </c>
      <c r="Q229" s="971">
        <v>8</v>
      </c>
      <c r="R229" t="s">
        <v>9258</v>
      </c>
      <c r="U229" t="s">
        <v>9333</v>
      </c>
      <c r="V229" s="871">
        <v>46293</v>
      </c>
      <c r="W22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19.66</v>
      </c>
      <c r="X22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2.7600000000000002</v>
      </c>
      <c r="Y229" s="974">
        <f>IFERROR(tblConcentrado[[#This Row],[Concentrado (TMS)]]/tblConcentrado[[#This Row],[Mineral (TMS)]],"")</f>
        <v>0.55156249999999996</v>
      </c>
      <c r="Z229" s="973">
        <f>IFERROR(1/tblConcentrado[[#This Row],[% Recup.]],0)</f>
        <v>1.8130311614730881</v>
      </c>
      <c r="AA229" s="975" t="str">
        <f>IF(COUNTIFS(tblConcentrado[ID],tblConcentrado[[#This Row],[ID]])&gt;1,"Duplicado","")</f>
        <v/>
      </c>
    </row>
    <row r="230" spans="2:27">
      <c r="B230" s="976">
        <f>(YEAR(tblConcentrado[[#This Row],[Fecha]])*10000+MONTH(tblConcentrado[[#This Row],[Fecha]])*100+DAY(tblConcentrado[[#This Row],[Fecha]]))*100+tblConcentrado[[#This Row],[N° hora]]</f>
        <v>2026091010</v>
      </c>
      <c r="C230" s="871">
        <v>46275</v>
      </c>
      <c r="D230">
        <v>10</v>
      </c>
      <c r="E230" s="952">
        <v>0.75</v>
      </c>
      <c r="F230" s="256">
        <v>1381</v>
      </c>
      <c r="G230" s="256">
        <v>1135</v>
      </c>
      <c r="H230" s="970"/>
      <c r="I230" s="970"/>
      <c r="J230" s="970"/>
      <c r="K230" s="970"/>
      <c r="L230" s="970"/>
      <c r="M230" s="971"/>
      <c r="N230" s="971"/>
      <c r="O230" s="971"/>
      <c r="P230" s="971"/>
      <c r="Q230" s="971"/>
      <c r="R230" t="s">
        <v>9258</v>
      </c>
      <c r="U230" t="s">
        <v>9333</v>
      </c>
      <c r="V230" s="871">
        <v>46293</v>
      </c>
      <c r="W23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3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30" s="974">
        <f>IFERROR(tblConcentrado[[#This Row],[Concentrado (TMS)]]/tblConcentrado[[#This Row],[Mineral (TMS)]],"")</f>
        <v>0.82186821144098476</v>
      </c>
      <c r="Z230" s="973">
        <f>IFERROR(1/tblConcentrado[[#This Row],[% Recup.]],0)</f>
        <v>1.2167400881057269</v>
      </c>
      <c r="AA230" s="975" t="str">
        <f>IF(COUNTIFS(tblConcentrado[ID],tblConcentrado[[#This Row],[ID]])&gt;1,"Duplicado","")</f>
        <v/>
      </c>
    </row>
    <row r="231" spans="2:27">
      <c r="B231" s="976">
        <f>(YEAR(tblConcentrado[[#This Row],[Fecha]])*10000+MONTH(tblConcentrado[[#This Row],[Fecha]])*100+DAY(tblConcentrado[[#This Row],[Fecha]]))*100+tblConcentrado[[#This Row],[N° hora]]</f>
        <v>2026091011</v>
      </c>
      <c r="C231" s="871">
        <v>46275</v>
      </c>
      <c r="D231">
        <v>11</v>
      </c>
      <c r="E231" s="952">
        <v>0.79166666666666696</v>
      </c>
      <c r="F231" s="256">
        <v>1395</v>
      </c>
      <c r="G231" s="256">
        <v>1022</v>
      </c>
      <c r="H231" s="970">
        <v>0.14299999999999999</v>
      </c>
      <c r="I231" s="970">
        <v>0.6</v>
      </c>
      <c r="J231" s="970">
        <v>0.3</v>
      </c>
      <c r="K231" s="970">
        <v>0.55700000000000005</v>
      </c>
      <c r="L231" s="970">
        <v>0.4</v>
      </c>
      <c r="M231" s="971">
        <v>25.4</v>
      </c>
      <c r="N231" s="971">
        <v>16.899999999999999</v>
      </c>
      <c r="O231" s="971">
        <v>2.5</v>
      </c>
      <c r="P231" s="971">
        <v>2.9</v>
      </c>
      <c r="Q231" s="971">
        <v>8.1999999999999993</v>
      </c>
      <c r="R231" t="s">
        <v>9258</v>
      </c>
      <c r="U231" t="s">
        <v>9333</v>
      </c>
      <c r="V231" s="871">
        <v>46293</v>
      </c>
      <c r="W23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20.299999999999997</v>
      </c>
      <c r="X23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2.74</v>
      </c>
      <c r="Y231" s="974">
        <f>IFERROR(tblConcentrado[[#This Row],[Concentrado (TMS)]]/tblConcentrado[[#This Row],[Mineral (TMS)]],"")</f>
        <v>0.73261648745519714</v>
      </c>
      <c r="Z231" s="973">
        <f>IFERROR(1/tblConcentrado[[#This Row],[% Recup.]],0)</f>
        <v>1.3649706457925637</v>
      </c>
      <c r="AA231" s="975" t="str">
        <f>IF(COUNTIFS(tblConcentrado[ID],tblConcentrado[[#This Row],[ID]])&gt;1,"Duplicado","")</f>
        <v/>
      </c>
    </row>
    <row r="232" spans="2:27">
      <c r="B232" s="976">
        <f>(YEAR(tblConcentrado[[#This Row],[Fecha]])*10000+MONTH(tblConcentrado[[#This Row],[Fecha]])*100+DAY(tblConcentrado[[#This Row],[Fecha]]))*100+tblConcentrado[[#This Row],[N° hora]]</f>
        <v>2026091012</v>
      </c>
      <c r="C232" s="871">
        <v>46275</v>
      </c>
      <c r="D232">
        <v>12</v>
      </c>
      <c r="E232" s="952">
        <v>0.83333333333333304</v>
      </c>
      <c r="F232" s="256">
        <v>1400</v>
      </c>
      <c r="G232" s="256">
        <v>730</v>
      </c>
      <c r="H232" s="970"/>
      <c r="I232" s="970"/>
      <c r="J232" s="970"/>
      <c r="K232" s="970"/>
      <c r="L232" s="970"/>
      <c r="M232" s="971"/>
      <c r="N232" s="971"/>
      <c r="O232" s="971"/>
      <c r="P232" s="971"/>
      <c r="Q232" s="971"/>
      <c r="R232" t="s">
        <v>9258</v>
      </c>
      <c r="U232" t="s">
        <v>9333</v>
      </c>
      <c r="V232" s="871">
        <v>46293</v>
      </c>
      <c r="W23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3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32" s="974">
        <f>IFERROR(tblConcentrado[[#This Row],[Concentrado (TMS)]]/tblConcentrado[[#This Row],[Mineral (TMS)]],"")</f>
        <v>0.52142857142857146</v>
      </c>
      <c r="Z232" s="973">
        <f>IFERROR(1/tblConcentrado[[#This Row],[% Recup.]],0)</f>
        <v>1.9178082191780821</v>
      </c>
      <c r="AA232" s="975" t="str">
        <f>IF(COUNTIFS(tblConcentrado[ID],tblConcentrado[[#This Row],[ID]])&gt;1,"Duplicado","")</f>
        <v/>
      </c>
    </row>
    <row r="233" spans="2:27">
      <c r="B233" s="976">
        <f>(YEAR(tblConcentrado[[#This Row],[Fecha]])*10000+MONTH(tblConcentrado[[#This Row],[Fecha]])*100+DAY(tblConcentrado[[#This Row],[Fecha]]))*100+tblConcentrado[[#This Row],[N° hora]]</f>
        <v>2026091013</v>
      </c>
      <c r="C233" s="871">
        <v>46275</v>
      </c>
      <c r="D233">
        <v>13</v>
      </c>
      <c r="E233" s="952">
        <v>0.875</v>
      </c>
      <c r="F233" s="256">
        <v>1386</v>
      </c>
      <c r="G233" s="256">
        <v>1066</v>
      </c>
      <c r="H233" s="970">
        <v>0.14499999999999999</v>
      </c>
      <c r="I233" s="970">
        <v>0.70899999999999996</v>
      </c>
      <c r="J233" s="970">
        <v>0.45</v>
      </c>
      <c r="K233" s="970">
        <v>0.67200000000000004</v>
      </c>
      <c r="L233" s="970">
        <v>0.37</v>
      </c>
      <c r="M233" s="971">
        <v>27.6</v>
      </c>
      <c r="N233" s="971">
        <v>16.8</v>
      </c>
      <c r="O233" s="971">
        <v>3.3</v>
      </c>
      <c r="P233" s="971">
        <v>2.9</v>
      </c>
      <c r="Q233" s="971">
        <v>8.1999999999999993</v>
      </c>
      <c r="R233" t="s">
        <v>9258</v>
      </c>
      <c r="U233" t="s">
        <v>9333</v>
      </c>
      <c r="V233" s="871">
        <v>46293</v>
      </c>
      <c r="W23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21.12</v>
      </c>
      <c r="X23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3.06</v>
      </c>
      <c r="Y233" s="974">
        <f>IFERROR(tblConcentrado[[#This Row],[Concentrado (TMS)]]/tblConcentrado[[#This Row],[Mineral (TMS)]],"")</f>
        <v>0.76911976911976909</v>
      </c>
      <c r="Z233" s="973">
        <f>IFERROR(1/tblConcentrado[[#This Row],[% Recup.]],0)</f>
        <v>1.300187617260788</v>
      </c>
      <c r="AA233" s="975" t="str">
        <f>IF(COUNTIFS(tblConcentrado[ID],tblConcentrado[[#This Row],[ID]])&gt;1,"Duplicado","")</f>
        <v/>
      </c>
    </row>
    <row r="234" spans="2:27">
      <c r="B234" s="976">
        <f>(YEAR(tblConcentrado[[#This Row],[Fecha]])*10000+MONTH(tblConcentrado[[#This Row],[Fecha]])*100+DAY(tblConcentrado[[#This Row],[Fecha]]))*100+tblConcentrado[[#This Row],[N° hora]]</f>
        <v>2026091014</v>
      </c>
      <c r="C234" s="871">
        <v>46275</v>
      </c>
      <c r="D234">
        <v>14</v>
      </c>
      <c r="E234" s="952">
        <v>0.91666666666666696</v>
      </c>
      <c r="F234" s="256">
        <v>1363</v>
      </c>
      <c r="G234" s="256">
        <v>1074</v>
      </c>
      <c r="H234" s="970"/>
      <c r="I234" s="970"/>
      <c r="J234" s="970"/>
      <c r="K234" s="970"/>
      <c r="L234" s="970"/>
      <c r="M234" s="971"/>
      <c r="N234" s="971"/>
      <c r="O234" s="971"/>
      <c r="P234" s="971"/>
      <c r="Q234" s="971"/>
      <c r="R234" t="s">
        <v>9258</v>
      </c>
      <c r="U234" t="s">
        <v>9333</v>
      </c>
      <c r="V234" s="871">
        <v>46293</v>
      </c>
      <c r="W23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3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34" s="974">
        <f>IFERROR(tblConcentrado[[#This Row],[Concentrado (TMS)]]/tblConcentrado[[#This Row],[Mineral (TMS)]],"")</f>
        <v>0.7879677182685253</v>
      </c>
      <c r="Z234" s="973">
        <f>IFERROR(1/tblConcentrado[[#This Row],[% Recup.]],0)</f>
        <v>1.2690875232774674</v>
      </c>
      <c r="AA234" s="975" t="str">
        <f>IF(COUNTIFS(tblConcentrado[ID],tblConcentrado[[#This Row],[ID]])&gt;1,"Duplicado","")</f>
        <v/>
      </c>
    </row>
    <row r="235" spans="2:27">
      <c r="B235" s="976">
        <f>(YEAR(tblConcentrado[[#This Row],[Fecha]])*10000+MONTH(tblConcentrado[[#This Row],[Fecha]])*100+DAY(tblConcentrado[[#This Row],[Fecha]]))*100+tblConcentrado[[#This Row],[N° hora]]</f>
        <v>2026091015</v>
      </c>
      <c r="C235" s="871">
        <v>46275</v>
      </c>
      <c r="D235">
        <v>15</v>
      </c>
      <c r="E235" s="952">
        <v>0.95833333333333304</v>
      </c>
      <c r="F235" s="256">
        <v>1358</v>
      </c>
      <c r="G235" s="256">
        <v>1039</v>
      </c>
      <c r="H235" s="970">
        <v>0.14299999999999999</v>
      </c>
      <c r="I235" s="970">
        <v>0.72499999999999998</v>
      </c>
      <c r="J235" s="970">
        <v>0.47</v>
      </c>
      <c r="K235" s="970">
        <v>0.61799999999999999</v>
      </c>
      <c r="L235" s="970">
        <v>0.36</v>
      </c>
      <c r="M235" s="971">
        <v>31.5</v>
      </c>
      <c r="N235" s="971">
        <v>13.9</v>
      </c>
      <c r="O235" s="971">
        <v>4.3</v>
      </c>
      <c r="P235" s="971">
        <v>2.4</v>
      </c>
      <c r="Q235" s="971">
        <v>8.1999999999999993</v>
      </c>
      <c r="R235" t="s">
        <v>9258</v>
      </c>
      <c r="U235" t="s">
        <v>9333</v>
      </c>
      <c r="V235" s="871">
        <v>46293</v>
      </c>
      <c r="W23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20.94</v>
      </c>
      <c r="X23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3.16</v>
      </c>
      <c r="Y235" s="974">
        <f>IFERROR(tblConcentrado[[#This Row],[Concentrado (TMS)]]/tblConcentrado[[#This Row],[Mineral (TMS)]],"")</f>
        <v>0.76509572901325473</v>
      </c>
      <c r="Z235" s="973">
        <f>IFERROR(1/tblConcentrado[[#This Row],[% Recup.]],0)</f>
        <v>1.3070259865255054</v>
      </c>
      <c r="AA235" s="975" t="str">
        <f>IF(COUNTIFS(tblConcentrado[ID],tblConcentrado[[#This Row],[ID]])&gt;1,"Duplicado","")</f>
        <v/>
      </c>
    </row>
    <row r="236" spans="2:27">
      <c r="B236" s="976">
        <f>(YEAR(tblConcentrado[[#This Row],[Fecha]])*10000+MONTH(tblConcentrado[[#This Row],[Fecha]])*100+DAY(tblConcentrado[[#This Row],[Fecha]]))*100+tblConcentrado[[#This Row],[N° hora]]</f>
        <v>2026091016</v>
      </c>
      <c r="C236" s="871">
        <v>46275</v>
      </c>
      <c r="D236">
        <v>16</v>
      </c>
      <c r="E236" s="952">
        <v>0</v>
      </c>
      <c r="F236" s="256">
        <v>1330</v>
      </c>
      <c r="G236" s="256">
        <v>952</v>
      </c>
      <c r="H236" s="970"/>
      <c r="I236" s="970"/>
      <c r="J236" s="970"/>
      <c r="K236" s="970"/>
      <c r="L236" s="970"/>
      <c r="M236" s="971"/>
      <c r="N236" s="971"/>
      <c r="O236" s="971"/>
      <c r="P236" s="971"/>
      <c r="Q236" s="971"/>
      <c r="R236" t="s">
        <v>9258</v>
      </c>
      <c r="S236" t="s">
        <v>162</v>
      </c>
      <c r="U236" t="s">
        <v>9333</v>
      </c>
      <c r="V236" s="871">
        <v>46293</v>
      </c>
      <c r="W23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3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36" s="974">
        <f>IFERROR(tblConcentrado[[#This Row],[Concentrado (TMS)]]/tblConcentrado[[#This Row],[Mineral (TMS)]],"")</f>
        <v>0.71578947368421053</v>
      </c>
      <c r="Z236" s="973">
        <f>IFERROR(1/tblConcentrado[[#This Row],[% Recup.]],0)</f>
        <v>1.3970588235294117</v>
      </c>
      <c r="AA236" s="975" t="str">
        <f>IF(COUNTIFS(tblConcentrado[ID],tblConcentrado[[#This Row],[ID]])&gt;1,"Duplicado","")</f>
        <v/>
      </c>
    </row>
    <row r="237" spans="2:27">
      <c r="B237" s="976">
        <f>(YEAR(tblConcentrado[[#This Row],[Fecha]])*10000+MONTH(tblConcentrado[[#This Row],[Fecha]])*100+DAY(tblConcentrado[[#This Row],[Fecha]]))*100+tblConcentrado[[#This Row],[N° hora]]</f>
        <v>2026091017</v>
      </c>
      <c r="C237" s="871">
        <v>46275</v>
      </c>
      <c r="D237">
        <v>17</v>
      </c>
      <c r="E237" s="952">
        <v>4.1666666666666699E-2</v>
      </c>
      <c r="F237" s="256">
        <v>1361</v>
      </c>
      <c r="G237" s="256">
        <v>864</v>
      </c>
      <c r="H237" s="970">
        <v>0.14499999999999999</v>
      </c>
      <c r="I237" s="970">
        <v>0.47499999999999998</v>
      </c>
      <c r="J237" s="970">
        <v>0.33</v>
      </c>
      <c r="K237" s="970">
        <v>0.74299999999999999</v>
      </c>
      <c r="L237" s="970">
        <v>0.4</v>
      </c>
      <c r="M237" s="971">
        <v>26.4</v>
      </c>
      <c r="N237" s="971">
        <v>14.8</v>
      </c>
      <c r="O237" s="971">
        <v>2.2999999999999998</v>
      </c>
      <c r="P237" s="971">
        <v>1.3</v>
      </c>
      <c r="Q237" s="971">
        <v>8</v>
      </c>
      <c r="R237" t="s">
        <v>9258</v>
      </c>
      <c r="S237" t="s">
        <v>163</v>
      </c>
      <c r="U237" t="s">
        <v>9333</v>
      </c>
      <c r="V237" s="871">
        <v>46293</v>
      </c>
      <c r="W23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19.440000000000001</v>
      </c>
      <c r="X23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1.7</v>
      </c>
      <c r="Y237" s="974">
        <f>IFERROR(tblConcentrado[[#This Row],[Concentrado (TMS)]]/tblConcentrado[[#This Row],[Mineral (TMS)]],"")</f>
        <v>0.63482733284349746</v>
      </c>
      <c r="Z237" s="973">
        <f>IFERROR(1/tblConcentrado[[#This Row],[% Recup.]],0)</f>
        <v>1.5752314814814814</v>
      </c>
      <c r="AA237" s="975" t="str">
        <f>IF(COUNTIFS(tblConcentrado[ID],tblConcentrado[[#This Row],[ID]])&gt;1,"Duplicado","")</f>
        <v/>
      </c>
    </row>
    <row r="238" spans="2:27">
      <c r="B238" s="976">
        <f>(YEAR(tblConcentrado[[#This Row],[Fecha]])*10000+MONTH(tblConcentrado[[#This Row],[Fecha]])*100+DAY(tblConcentrado[[#This Row],[Fecha]]))*100+tblConcentrado[[#This Row],[N° hora]]</f>
        <v>2026091018</v>
      </c>
      <c r="C238" s="871">
        <v>46275</v>
      </c>
      <c r="D238">
        <v>18</v>
      </c>
      <c r="E238" s="952">
        <v>8.3333333333333301E-2</v>
      </c>
      <c r="F238" s="256">
        <v>1564</v>
      </c>
      <c r="G238" s="256">
        <v>1021</v>
      </c>
      <c r="H238" s="970"/>
      <c r="I238" s="970"/>
      <c r="J238" s="970"/>
      <c r="K238" s="970"/>
      <c r="L238" s="970"/>
      <c r="M238" s="971"/>
      <c r="N238" s="971"/>
      <c r="O238" s="971"/>
      <c r="P238" s="971"/>
      <c r="Q238" s="971"/>
      <c r="R238" t="s">
        <v>9258</v>
      </c>
      <c r="S238" t="s">
        <v>164</v>
      </c>
      <c r="U238" t="s">
        <v>9333</v>
      </c>
      <c r="V238" s="871">
        <v>46293</v>
      </c>
      <c r="W23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3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38" s="974">
        <f>IFERROR(tblConcentrado[[#This Row],[Concentrado (TMS)]]/tblConcentrado[[#This Row],[Mineral (TMS)]],"")</f>
        <v>0.65281329923273657</v>
      </c>
      <c r="Z238" s="973">
        <f>IFERROR(1/tblConcentrado[[#This Row],[% Recup.]],0)</f>
        <v>1.5318315377081293</v>
      </c>
      <c r="AA238" s="975" t="str">
        <f>IF(COUNTIFS(tblConcentrado[ID],tblConcentrado[[#This Row],[ID]])&gt;1,"Duplicado","")</f>
        <v/>
      </c>
    </row>
    <row r="239" spans="2:27">
      <c r="B239" s="976">
        <f>(YEAR(tblConcentrado[[#This Row],[Fecha]])*10000+MONTH(tblConcentrado[[#This Row],[Fecha]])*100+DAY(tblConcentrado[[#This Row],[Fecha]]))*100+tblConcentrado[[#This Row],[N° hora]]</f>
        <v>2026091019</v>
      </c>
      <c r="C239" s="871">
        <v>46275</v>
      </c>
      <c r="D239">
        <v>19</v>
      </c>
      <c r="E239" s="952">
        <v>0.125</v>
      </c>
      <c r="F239" s="256">
        <v>1601</v>
      </c>
      <c r="G239" s="256">
        <v>743</v>
      </c>
      <c r="H239" s="970">
        <v>0.19500000000000001</v>
      </c>
      <c r="I239" s="970">
        <v>0.505</v>
      </c>
      <c r="J239" s="970">
        <v>0.34</v>
      </c>
      <c r="K239" s="970">
        <v>0.59399999999999997</v>
      </c>
      <c r="L239" s="970">
        <v>0.36</v>
      </c>
      <c r="M239" s="971">
        <v>24.6</v>
      </c>
      <c r="N239" s="971">
        <v>15.6</v>
      </c>
      <c r="O239" s="971">
        <v>3.4</v>
      </c>
      <c r="P239" s="971">
        <v>1.6</v>
      </c>
      <c r="Q239" s="971">
        <v>8</v>
      </c>
      <c r="R239" t="s">
        <v>9258</v>
      </c>
      <c r="S239" t="s">
        <v>165</v>
      </c>
      <c r="T239" t="s">
        <v>166</v>
      </c>
      <c r="U239" t="s">
        <v>9333</v>
      </c>
      <c r="V239" s="871">
        <v>46293</v>
      </c>
      <c r="W23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19.200000000000003</v>
      </c>
      <c r="X23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2.3200000000000003</v>
      </c>
      <c r="Y239" s="974">
        <f>IFERROR(tblConcentrado[[#This Row],[Concentrado (TMS)]]/tblConcentrado[[#This Row],[Mineral (TMS)]],"")</f>
        <v>0.46408494690818236</v>
      </c>
      <c r="Z239" s="973">
        <f>IFERROR(1/tblConcentrado[[#This Row],[% Recup.]],0)</f>
        <v>2.154777927321669</v>
      </c>
      <c r="AA239" s="975" t="str">
        <f>IF(COUNTIFS(tblConcentrado[ID],tblConcentrado[[#This Row],[ID]])&gt;1,"Duplicado","")</f>
        <v/>
      </c>
    </row>
    <row r="240" spans="2:27">
      <c r="B240" s="976">
        <f>(YEAR(tblConcentrado[[#This Row],[Fecha]])*10000+MONTH(tblConcentrado[[#This Row],[Fecha]])*100+DAY(tblConcentrado[[#This Row],[Fecha]]))*100+tblConcentrado[[#This Row],[N° hora]]</f>
        <v>2026091020</v>
      </c>
      <c r="C240" s="871">
        <v>46275</v>
      </c>
      <c r="D240">
        <v>20</v>
      </c>
      <c r="E240" s="952">
        <v>0.16666666666666699</v>
      </c>
      <c r="F240" s="256">
        <v>1592</v>
      </c>
      <c r="G240" s="256">
        <v>1075</v>
      </c>
      <c r="H240" s="970"/>
      <c r="I240" s="970"/>
      <c r="J240" s="970"/>
      <c r="K240" s="970"/>
      <c r="L240" s="970"/>
      <c r="M240" s="971"/>
      <c r="N240" s="971"/>
      <c r="O240" s="971"/>
      <c r="P240" s="971"/>
      <c r="Q240" s="971"/>
      <c r="R240" t="s">
        <v>9258</v>
      </c>
      <c r="S240" t="s">
        <v>167</v>
      </c>
      <c r="U240" t="s">
        <v>9333</v>
      </c>
      <c r="V240" s="871">
        <v>46293</v>
      </c>
      <c r="W24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4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40" s="974">
        <f>IFERROR(tblConcentrado[[#This Row],[Concentrado (TMS)]]/tblConcentrado[[#This Row],[Mineral (TMS)]],"")</f>
        <v>0.67525125628140703</v>
      </c>
      <c r="Z240" s="973">
        <f>IFERROR(1/tblConcentrado[[#This Row],[% Recup.]],0)</f>
        <v>1.4809302325581395</v>
      </c>
      <c r="AA240" s="975" t="str">
        <f>IF(COUNTIFS(tblConcentrado[ID],tblConcentrado[[#This Row],[ID]])&gt;1,"Duplicado","")</f>
        <v/>
      </c>
    </row>
    <row r="241" spans="2:27">
      <c r="B241" s="976">
        <f>(YEAR(tblConcentrado[[#This Row],[Fecha]])*10000+MONTH(tblConcentrado[[#This Row],[Fecha]])*100+DAY(tblConcentrado[[#This Row],[Fecha]]))*100+tblConcentrado[[#This Row],[N° hora]]</f>
        <v>2026091021</v>
      </c>
      <c r="C241" s="871">
        <v>46275</v>
      </c>
      <c r="D241">
        <v>21</v>
      </c>
      <c r="E241" s="952">
        <v>0.20833333333333301</v>
      </c>
      <c r="F241" s="256">
        <v>1621</v>
      </c>
      <c r="G241" s="256">
        <v>1114</v>
      </c>
      <c r="H241" s="970">
        <v>0.20899999999999999</v>
      </c>
      <c r="I241" s="970">
        <v>0.63200000000000001</v>
      </c>
      <c r="J241" s="970">
        <v>0.38</v>
      </c>
      <c r="K241" s="970">
        <v>0.56299999999999994</v>
      </c>
      <c r="L241" s="970">
        <v>0.34</v>
      </c>
      <c r="M241" s="971">
        <v>24</v>
      </c>
      <c r="N241" s="971">
        <v>15.8</v>
      </c>
      <c r="O241" s="971">
        <v>4.3</v>
      </c>
      <c r="P241" s="971">
        <v>2</v>
      </c>
      <c r="Q241" s="971">
        <v>8.4</v>
      </c>
      <c r="R241" t="s">
        <v>9258</v>
      </c>
      <c r="S241" t="s">
        <v>168</v>
      </c>
      <c r="U241" t="s">
        <v>9333</v>
      </c>
      <c r="V241" s="871">
        <v>46293</v>
      </c>
      <c r="W24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19.080000000000002</v>
      </c>
      <c r="X24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2.92</v>
      </c>
      <c r="Y241" s="974">
        <f>IFERROR(tblConcentrado[[#This Row],[Concentrado (TMS)]]/tblConcentrado[[#This Row],[Mineral (TMS)]],"")</f>
        <v>0.68723010487353486</v>
      </c>
      <c r="Z241" s="973">
        <f>IFERROR(1/tblConcentrado[[#This Row],[% Recup.]],0)</f>
        <v>1.4551166965888689</v>
      </c>
      <c r="AA241" s="975" t="str">
        <f>IF(COUNTIFS(tblConcentrado[ID],tblConcentrado[[#This Row],[ID]])&gt;1,"Duplicado","")</f>
        <v/>
      </c>
    </row>
    <row r="242" spans="2:27">
      <c r="B242" s="976">
        <f>(YEAR(tblConcentrado[[#This Row],[Fecha]])*10000+MONTH(tblConcentrado[[#This Row],[Fecha]])*100+DAY(tblConcentrado[[#This Row],[Fecha]]))*100+tblConcentrado[[#This Row],[N° hora]]</f>
        <v>2026091022</v>
      </c>
      <c r="C242" s="871">
        <v>46275</v>
      </c>
      <c r="D242">
        <v>22</v>
      </c>
      <c r="E242" s="952">
        <v>0.25</v>
      </c>
      <c r="F242" s="256">
        <v>1624</v>
      </c>
      <c r="G242" s="256">
        <v>1182</v>
      </c>
      <c r="H242" s="970"/>
      <c r="I242" s="970"/>
      <c r="J242" s="970"/>
      <c r="K242" s="970"/>
      <c r="L242" s="970"/>
      <c r="M242" s="971"/>
      <c r="N242" s="971"/>
      <c r="O242" s="971"/>
      <c r="P242" s="971"/>
      <c r="Q242" s="971"/>
      <c r="R242" t="s">
        <v>9258</v>
      </c>
      <c r="U242" t="s">
        <v>9333</v>
      </c>
      <c r="V242" s="871">
        <v>46293</v>
      </c>
      <c r="W24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4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42" s="974">
        <f>IFERROR(tblConcentrado[[#This Row],[Concentrado (TMS)]]/tblConcentrado[[#This Row],[Mineral (TMS)]],"")</f>
        <v>0.72783251231527091</v>
      </c>
      <c r="Z242" s="973">
        <f>IFERROR(1/tblConcentrado[[#This Row],[% Recup.]],0)</f>
        <v>1.3739424703891709</v>
      </c>
      <c r="AA242" s="975" t="str">
        <f>IF(COUNTIFS(tblConcentrado[ID],tblConcentrado[[#This Row],[ID]])&gt;1,"Duplicado","")</f>
        <v/>
      </c>
    </row>
    <row r="243" spans="2:27">
      <c r="B243" s="976">
        <f>(YEAR(tblConcentrado[[#This Row],[Fecha]])*10000+MONTH(tblConcentrado[[#This Row],[Fecha]])*100+DAY(tblConcentrado[[#This Row],[Fecha]]))*100+tblConcentrado[[#This Row],[N° hora]]</f>
        <v>2026091023</v>
      </c>
      <c r="C243" s="871">
        <v>46275</v>
      </c>
      <c r="D243">
        <v>23</v>
      </c>
      <c r="E243" s="952">
        <v>0.29166666666666702</v>
      </c>
      <c r="F243" s="256">
        <v>1602</v>
      </c>
      <c r="G243" s="256">
        <v>1044</v>
      </c>
      <c r="H243" s="970">
        <v>0.2</v>
      </c>
      <c r="I243" s="970">
        <v>0.60599999999999998</v>
      </c>
      <c r="J243" s="970">
        <v>0.4</v>
      </c>
      <c r="K243" s="970">
        <v>0.56499999999999995</v>
      </c>
      <c r="L243" s="970">
        <v>0.33</v>
      </c>
      <c r="M243" s="971">
        <v>24</v>
      </c>
      <c r="N243" s="971">
        <v>13.5</v>
      </c>
      <c r="O243" s="971">
        <v>3.3</v>
      </c>
      <c r="P243" s="971">
        <v>2</v>
      </c>
      <c r="Q243" s="971">
        <v>8.5</v>
      </c>
      <c r="R243" t="s">
        <v>9258</v>
      </c>
      <c r="U243" t="s">
        <v>9333</v>
      </c>
      <c r="V243" s="871">
        <v>46293</v>
      </c>
      <c r="W24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17.700000000000003</v>
      </c>
      <c r="X24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2.52</v>
      </c>
      <c r="Y243" s="974">
        <f>IFERROR(tblConcentrado[[#This Row],[Concentrado (TMS)]]/tblConcentrado[[#This Row],[Mineral (TMS)]],"")</f>
        <v>0.651685393258427</v>
      </c>
      <c r="Z243" s="973">
        <f>IFERROR(1/tblConcentrado[[#This Row],[% Recup.]],0)</f>
        <v>1.5344827586206895</v>
      </c>
      <c r="AA243" s="975" t="str">
        <f>IF(COUNTIFS(tblConcentrado[ID],tblConcentrado[[#This Row],[ID]])&gt;1,"Duplicado","")</f>
        <v/>
      </c>
    </row>
    <row r="244" spans="2:27">
      <c r="B244" s="976">
        <f>(YEAR(tblConcentrado[[#This Row],[Fecha]])*10000+MONTH(tblConcentrado[[#This Row],[Fecha]])*100+DAY(tblConcentrado[[#This Row],[Fecha]]))*100+tblConcentrado[[#This Row],[N° hora]]</f>
        <v>2026091024</v>
      </c>
      <c r="C244" s="871">
        <v>46275</v>
      </c>
      <c r="D244">
        <v>24</v>
      </c>
      <c r="E244" s="952">
        <v>0.33333333333333298</v>
      </c>
      <c r="F244" s="256">
        <v>1581</v>
      </c>
      <c r="G244" s="256">
        <v>1120</v>
      </c>
      <c r="H244" s="970"/>
      <c r="I244" s="970"/>
      <c r="J244" s="970"/>
      <c r="K244" s="970"/>
      <c r="L244" s="970"/>
      <c r="M244" s="971"/>
      <c r="N244" s="971"/>
      <c r="O244" s="971"/>
      <c r="P244" s="971"/>
      <c r="Q244" s="971"/>
      <c r="R244" t="s">
        <v>9258</v>
      </c>
      <c r="U244" t="s">
        <v>9333</v>
      </c>
      <c r="V244" s="871">
        <v>46293</v>
      </c>
      <c r="W24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4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44" s="974">
        <f>IFERROR(tblConcentrado[[#This Row],[Concentrado (TMS)]]/tblConcentrado[[#This Row],[Mineral (TMS)]],"")</f>
        <v>0.70841239721695126</v>
      </c>
      <c r="Z244" s="973">
        <f>IFERROR(1/tblConcentrado[[#This Row],[% Recup.]],0)</f>
        <v>1.4116071428571428</v>
      </c>
      <c r="AA244" s="975" t="str">
        <f>IF(COUNTIFS(tblConcentrado[ID],tblConcentrado[[#This Row],[ID]])&gt;1,"Duplicado","")</f>
        <v/>
      </c>
    </row>
    <row r="245" spans="2:27">
      <c r="B245" s="976">
        <f>(YEAR(tblConcentrado[[#This Row],[Fecha]])*10000+MONTH(tblConcentrado[[#This Row],[Fecha]])*100+DAY(tblConcentrado[[#This Row],[Fecha]]))*100+tblConcentrado[[#This Row],[N° hora]]</f>
        <v>2026091101</v>
      </c>
      <c r="C245" s="871">
        <v>46276</v>
      </c>
      <c r="D245">
        <v>1</v>
      </c>
      <c r="E245" s="952">
        <v>0.375</v>
      </c>
      <c r="F245" s="256">
        <v>1609</v>
      </c>
      <c r="G245" s="256">
        <v>1094</v>
      </c>
      <c r="H245" s="970">
        <v>0.191</v>
      </c>
      <c r="I245" s="970">
        <v>0.70399999999999996</v>
      </c>
      <c r="J245" s="970">
        <v>0.4</v>
      </c>
      <c r="K245" s="970">
        <v>0.70199999999999996</v>
      </c>
      <c r="L245" s="970">
        <v>0.38</v>
      </c>
      <c r="M245" s="971">
        <v>29.9</v>
      </c>
      <c r="N245" s="971">
        <v>14.5</v>
      </c>
      <c r="O245" s="971">
        <v>3.4</v>
      </c>
      <c r="P245" s="971">
        <v>2.5</v>
      </c>
      <c r="Q245" s="971">
        <v>8.4</v>
      </c>
      <c r="R245" t="s">
        <v>9258</v>
      </c>
      <c r="U245" t="s">
        <v>9333</v>
      </c>
      <c r="V245" s="871">
        <v>46293</v>
      </c>
      <c r="W24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20.66</v>
      </c>
      <c r="X24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2.8600000000000003</v>
      </c>
      <c r="Y245" s="974">
        <f>IFERROR(tblConcentrado[[#This Row],[Concentrado (TMS)]]/tblConcentrado[[#This Row],[Mineral (TMS)]],"")</f>
        <v>0.67992541951522689</v>
      </c>
      <c r="Z245" s="973">
        <f>IFERROR(1/tblConcentrado[[#This Row],[% Recup.]],0)</f>
        <v>1.4707495429616086</v>
      </c>
      <c r="AA245" s="975" t="str">
        <f>IF(COUNTIFS(tblConcentrado[ID],tblConcentrado[[#This Row],[ID]])&gt;1,"Duplicado","")</f>
        <v/>
      </c>
    </row>
    <row r="246" spans="2:27">
      <c r="B246" s="976">
        <f>(YEAR(tblConcentrado[[#This Row],[Fecha]])*10000+MONTH(tblConcentrado[[#This Row],[Fecha]])*100+DAY(tblConcentrado[[#This Row],[Fecha]]))*100+tblConcentrado[[#This Row],[N° hora]]</f>
        <v>2026091102</v>
      </c>
      <c r="C246" s="871">
        <v>46276</v>
      </c>
      <c r="D246">
        <v>2</v>
      </c>
      <c r="E246" s="952">
        <v>0.41666666666666702</v>
      </c>
      <c r="F246" s="256">
        <v>1568</v>
      </c>
      <c r="G246" s="256">
        <v>969</v>
      </c>
      <c r="H246" s="970"/>
      <c r="I246" s="970"/>
      <c r="J246" s="970"/>
      <c r="K246" s="970"/>
      <c r="L246" s="970"/>
      <c r="M246" s="971"/>
      <c r="N246" s="971"/>
      <c r="O246" s="971"/>
      <c r="P246" s="971"/>
      <c r="Q246" s="971"/>
      <c r="R246" t="s">
        <v>9258</v>
      </c>
      <c r="T246" t="s">
        <v>169</v>
      </c>
      <c r="U246" t="s">
        <v>9333</v>
      </c>
      <c r="V246" s="871">
        <v>46293</v>
      </c>
      <c r="W24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4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46" s="974">
        <f>IFERROR(tblConcentrado[[#This Row],[Concentrado (TMS)]]/tblConcentrado[[#This Row],[Mineral (TMS)]],"")</f>
        <v>0.61798469387755106</v>
      </c>
      <c r="Z246" s="973">
        <f>IFERROR(1/tblConcentrado[[#This Row],[% Recup.]],0)</f>
        <v>1.6181630546955623</v>
      </c>
      <c r="AA246" s="975" t="str">
        <f>IF(COUNTIFS(tblConcentrado[ID],tblConcentrado[[#This Row],[ID]])&gt;1,"Duplicado","")</f>
        <v/>
      </c>
    </row>
    <row r="247" spans="2:27">
      <c r="B247" s="976">
        <f>(YEAR(tblConcentrado[[#This Row],[Fecha]])*10000+MONTH(tblConcentrado[[#This Row],[Fecha]])*100+DAY(tblConcentrado[[#This Row],[Fecha]]))*100+tblConcentrado[[#This Row],[N° hora]]</f>
        <v>2026091103</v>
      </c>
      <c r="C247" s="871">
        <v>46276</v>
      </c>
      <c r="D247">
        <v>3</v>
      </c>
      <c r="E247" s="952">
        <v>0.45833333333333298</v>
      </c>
      <c r="F247" s="256">
        <v>1484</v>
      </c>
      <c r="G247" s="256">
        <v>943</v>
      </c>
      <c r="H247" s="970">
        <v>0.20399999999999999</v>
      </c>
      <c r="I247" s="970">
        <v>0.60099999999999998</v>
      </c>
      <c r="J247" s="970">
        <v>0.37</v>
      </c>
      <c r="K247" s="970">
        <v>0.69</v>
      </c>
      <c r="L247" s="970">
        <v>0.34</v>
      </c>
      <c r="M247" s="971">
        <v>26.5</v>
      </c>
      <c r="N247" s="971">
        <v>14.7</v>
      </c>
      <c r="O247" s="971">
        <v>3</v>
      </c>
      <c r="P247" s="971">
        <v>1.9</v>
      </c>
      <c r="Q247" s="971">
        <v>8.1999999999999993</v>
      </c>
      <c r="R247" t="s">
        <v>9258</v>
      </c>
      <c r="U247" t="s">
        <v>9333</v>
      </c>
      <c r="V247" s="871">
        <v>46293</v>
      </c>
      <c r="W24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19.420000000000002</v>
      </c>
      <c r="X24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2.34</v>
      </c>
      <c r="Y247" s="974">
        <f>IFERROR(tblConcentrado[[#This Row],[Concentrado (TMS)]]/tblConcentrado[[#This Row],[Mineral (TMS)]],"")</f>
        <v>0.63544474393530992</v>
      </c>
      <c r="Z247" s="973">
        <f>IFERROR(1/tblConcentrado[[#This Row],[% Recup.]],0)</f>
        <v>1.5737009544008485</v>
      </c>
      <c r="AA247" s="975" t="str">
        <f>IF(COUNTIFS(tblConcentrado[ID],tblConcentrado[[#This Row],[ID]])&gt;1,"Duplicado","")</f>
        <v/>
      </c>
    </row>
    <row r="248" spans="2:27">
      <c r="B248" s="976">
        <f>(YEAR(tblConcentrado[[#This Row],[Fecha]])*10000+MONTH(tblConcentrado[[#This Row],[Fecha]])*100+DAY(tblConcentrado[[#This Row],[Fecha]]))*100+tblConcentrado[[#This Row],[N° hora]]</f>
        <v>2026091104</v>
      </c>
      <c r="C248" s="871">
        <v>46276</v>
      </c>
      <c r="D248">
        <v>4</v>
      </c>
      <c r="E248" s="952">
        <v>0.5</v>
      </c>
      <c r="F248" s="256">
        <v>1526</v>
      </c>
      <c r="G248" s="256">
        <v>1095</v>
      </c>
      <c r="H248" s="970"/>
      <c r="I248" s="970"/>
      <c r="J248" s="970"/>
      <c r="K248" s="970"/>
      <c r="L248" s="970"/>
      <c r="M248" s="971"/>
      <c r="N248" s="971"/>
      <c r="O248" s="971"/>
      <c r="P248" s="971"/>
      <c r="Q248" s="971"/>
      <c r="R248" t="s">
        <v>9258</v>
      </c>
      <c r="U248" t="s">
        <v>9333</v>
      </c>
      <c r="V248" s="871">
        <v>46293</v>
      </c>
      <c r="W24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4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48" s="974">
        <f>IFERROR(tblConcentrado[[#This Row],[Concentrado (TMS)]]/tblConcentrado[[#This Row],[Mineral (TMS)]],"")</f>
        <v>0.71756225425950193</v>
      </c>
      <c r="Z248" s="973">
        <f>IFERROR(1/tblConcentrado[[#This Row],[% Recup.]],0)</f>
        <v>1.3936073059360732</v>
      </c>
      <c r="AA248" s="975" t="str">
        <f>IF(COUNTIFS(tblConcentrado[ID],tblConcentrado[[#This Row],[ID]])&gt;1,"Duplicado","")</f>
        <v/>
      </c>
    </row>
    <row r="249" spans="2:27">
      <c r="B249" s="976">
        <f>(YEAR(tblConcentrado[[#This Row],[Fecha]])*10000+MONTH(tblConcentrado[[#This Row],[Fecha]])*100+DAY(tblConcentrado[[#This Row],[Fecha]]))*100+tblConcentrado[[#This Row],[N° hora]]</f>
        <v>2026091105</v>
      </c>
      <c r="C249" s="871">
        <v>46276</v>
      </c>
      <c r="D249">
        <v>5</v>
      </c>
      <c r="E249" s="952">
        <v>0.54166666666666696</v>
      </c>
      <c r="F249" s="256">
        <v>1549</v>
      </c>
      <c r="G249" s="256">
        <v>1122</v>
      </c>
      <c r="H249" s="970">
        <v>0.19800000000000001</v>
      </c>
      <c r="I249" s="970">
        <v>0.77</v>
      </c>
      <c r="J249" s="970">
        <v>0.49</v>
      </c>
      <c r="K249" s="970">
        <v>0.61699999999999999</v>
      </c>
      <c r="L249" s="970">
        <v>0.37</v>
      </c>
      <c r="M249" s="971">
        <v>24.2</v>
      </c>
      <c r="N249" s="971">
        <v>13.9</v>
      </c>
      <c r="O249" s="971">
        <v>2.7</v>
      </c>
      <c r="P249" s="971">
        <v>1.8</v>
      </c>
      <c r="Q249" s="971">
        <v>8.9</v>
      </c>
      <c r="R249" t="s">
        <v>9258</v>
      </c>
      <c r="T249" t="s">
        <v>170</v>
      </c>
      <c r="U249" t="s">
        <v>9333</v>
      </c>
      <c r="V249" s="871">
        <v>46293</v>
      </c>
      <c r="W24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18.02</v>
      </c>
      <c r="X24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2.16</v>
      </c>
      <c r="Y249" s="974">
        <f>IFERROR(tblConcentrado[[#This Row],[Concentrado (TMS)]]/tblConcentrado[[#This Row],[Mineral (TMS)]],"")</f>
        <v>0.72433828276307299</v>
      </c>
      <c r="Z249" s="973">
        <f>IFERROR(1/tblConcentrado[[#This Row],[% Recup.]],0)</f>
        <v>1.3805704099821745</v>
      </c>
      <c r="AA249" s="975" t="str">
        <f>IF(COUNTIFS(tblConcentrado[ID],tblConcentrado[[#This Row],[ID]])&gt;1,"Duplicado","")</f>
        <v/>
      </c>
    </row>
    <row r="250" spans="2:27">
      <c r="B250" s="976">
        <f>(YEAR(tblConcentrado[[#This Row],[Fecha]])*10000+MONTH(tblConcentrado[[#This Row],[Fecha]])*100+DAY(tblConcentrado[[#This Row],[Fecha]]))*100+tblConcentrado[[#This Row],[N° hora]]</f>
        <v>2026091106</v>
      </c>
      <c r="C250" s="871">
        <v>46276</v>
      </c>
      <c r="D250">
        <v>6</v>
      </c>
      <c r="E250" s="952">
        <v>0.58333333333333304</v>
      </c>
      <c r="F250" s="256">
        <v>1557</v>
      </c>
      <c r="G250" s="256">
        <v>770</v>
      </c>
      <c r="H250" s="970"/>
      <c r="I250" s="970"/>
      <c r="J250" s="970"/>
      <c r="K250" s="970"/>
      <c r="L250" s="970"/>
      <c r="M250" s="971"/>
      <c r="N250" s="971"/>
      <c r="O250" s="971"/>
      <c r="P250" s="971"/>
      <c r="Q250" s="971"/>
      <c r="R250" t="s">
        <v>9258</v>
      </c>
      <c r="U250" t="s">
        <v>9333</v>
      </c>
      <c r="V250" s="871">
        <v>46293</v>
      </c>
      <c r="W25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5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50" s="974">
        <f>IFERROR(tblConcentrado[[#This Row],[Concentrado (TMS)]]/tblConcentrado[[#This Row],[Mineral (TMS)]],"")</f>
        <v>0.49454078355812459</v>
      </c>
      <c r="Z250" s="973">
        <f>IFERROR(1/tblConcentrado[[#This Row],[% Recup.]],0)</f>
        <v>2.0220779220779219</v>
      </c>
      <c r="AA250" s="975" t="str">
        <f>IF(COUNTIFS(tblConcentrado[ID],tblConcentrado[[#This Row],[ID]])&gt;1,"Duplicado","")</f>
        <v/>
      </c>
    </row>
    <row r="251" spans="2:27">
      <c r="B251" s="976">
        <f>(YEAR(tblConcentrado[[#This Row],[Fecha]])*10000+MONTH(tblConcentrado[[#This Row],[Fecha]])*100+DAY(tblConcentrado[[#This Row],[Fecha]]))*100+tblConcentrado[[#This Row],[N° hora]]</f>
        <v>2026091107</v>
      </c>
      <c r="C251" s="871">
        <v>46276</v>
      </c>
      <c r="D251">
        <v>7</v>
      </c>
      <c r="E251" s="952">
        <v>0.625</v>
      </c>
      <c r="F251" s="256">
        <v>1642</v>
      </c>
      <c r="G251" s="256">
        <v>1104</v>
      </c>
      <c r="H251" s="970">
        <v>0.189</v>
      </c>
      <c r="I251" s="970">
        <v>0.73399999999999999</v>
      </c>
      <c r="J251" s="970">
        <v>0.5</v>
      </c>
      <c r="K251" s="970">
        <v>0.73299999999999998</v>
      </c>
      <c r="L251" s="970">
        <v>0.46</v>
      </c>
      <c r="M251" s="971">
        <v>27.6</v>
      </c>
      <c r="N251" s="971">
        <v>14.1</v>
      </c>
      <c r="O251" s="971">
        <v>3.5</v>
      </c>
      <c r="P251" s="971">
        <v>2.9</v>
      </c>
      <c r="Q251" s="971">
        <v>8.3000000000000007</v>
      </c>
      <c r="R251" t="s">
        <v>9258</v>
      </c>
      <c r="U251" t="s">
        <v>9333</v>
      </c>
      <c r="V251" s="871">
        <v>46293</v>
      </c>
      <c r="W25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19.5</v>
      </c>
      <c r="X25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3.14</v>
      </c>
      <c r="Y251" s="974">
        <f>IFERROR(tblConcentrado[[#This Row],[Concentrado (TMS)]]/tblConcentrado[[#This Row],[Mineral (TMS)]],"")</f>
        <v>0.67235079171741774</v>
      </c>
      <c r="Z251" s="973">
        <f>IFERROR(1/tblConcentrado[[#This Row],[% Recup.]],0)</f>
        <v>1.4873188405797102</v>
      </c>
      <c r="AA251" s="975" t="str">
        <f>IF(COUNTIFS(tblConcentrado[ID],tblConcentrado[[#This Row],[ID]])&gt;1,"Duplicado","")</f>
        <v/>
      </c>
    </row>
    <row r="252" spans="2:27">
      <c r="B252" s="976">
        <f>(YEAR(tblConcentrado[[#This Row],[Fecha]])*10000+MONTH(tblConcentrado[[#This Row],[Fecha]])*100+DAY(tblConcentrado[[#This Row],[Fecha]]))*100+tblConcentrado[[#This Row],[N° hora]]</f>
        <v>2026091108</v>
      </c>
      <c r="C252" s="871">
        <v>46276</v>
      </c>
      <c r="D252">
        <v>8</v>
      </c>
      <c r="E252" s="952">
        <v>0.66666666666666696</v>
      </c>
      <c r="F252" s="256">
        <v>1637</v>
      </c>
      <c r="G252" s="256">
        <v>1135</v>
      </c>
      <c r="H252" s="970"/>
      <c r="I252" s="970"/>
      <c r="J252" s="970"/>
      <c r="K252" s="970"/>
      <c r="L252" s="970"/>
      <c r="M252" s="971"/>
      <c r="N252" s="971"/>
      <c r="O252" s="971"/>
      <c r="P252" s="971"/>
      <c r="Q252" s="971"/>
      <c r="R252" t="s">
        <v>9258</v>
      </c>
      <c r="U252" t="s">
        <v>9333</v>
      </c>
      <c r="V252" s="871">
        <v>46293</v>
      </c>
      <c r="W25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5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52" s="974">
        <f>IFERROR(tblConcentrado[[#This Row],[Concentrado (TMS)]]/tblConcentrado[[#This Row],[Mineral (TMS)]],"")</f>
        <v>0.69334147831398896</v>
      </c>
      <c r="Z252" s="973">
        <f>IFERROR(1/tblConcentrado[[#This Row],[% Recup.]],0)</f>
        <v>1.4422907488986785</v>
      </c>
      <c r="AA252" s="975" t="str">
        <f>IF(COUNTIFS(tblConcentrado[ID],tblConcentrado[[#This Row],[ID]])&gt;1,"Duplicado","")</f>
        <v/>
      </c>
    </row>
    <row r="253" spans="2:27">
      <c r="B253" s="976">
        <f>(YEAR(tblConcentrado[[#This Row],[Fecha]])*10000+MONTH(tblConcentrado[[#This Row],[Fecha]])*100+DAY(tblConcentrado[[#This Row],[Fecha]]))*100+tblConcentrado[[#This Row],[N° hora]]</f>
        <v>2026091109</v>
      </c>
      <c r="C253" s="871">
        <v>46276</v>
      </c>
      <c r="D253">
        <v>9</v>
      </c>
      <c r="E253" s="952">
        <v>0.70833333333333304</v>
      </c>
      <c r="F253" s="256">
        <v>1621</v>
      </c>
      <c r="G253" s="256">
        <v>1215</v>
      </c>
      <c r="H253" s="970">
        <v>0.184</v>
      </c>
      <c r="I253" s="970">
        <v>0.74199999999999999</v>
      </c>
      <c r="J253" s="970">
        <v>0.53</v>
      </c>
      <c r="K253" s="970">
        <v>0.52200000000000002</v>
      </c>
      <c r="L253" s="970">
        <v>0.41</v>
      </c>
      <c r="M253" s="971">
        <v>24.6</v>
      </c>
      <c r="N253" s="971">
        <v>13.6</v>
      </c>
      <c r="O253" s="971">
        <v>1.9</v>
      </c>
      <c r="P253" s="971">
        <v>2</v>
      </c>
      <c r="Q253" s="971">
        <v>8.4</v>
      </c>
      <c r="R253" t="s">
        <v>9258</v>
      </c>
      <c r="U253" t="s">
        <v>9333</v>
      </c>
      <c r="V253" s="871">
        <v>46293</v>
      </c>
      <c r="W25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v>
      </c>
      <c r="X25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1.96</v>
      </c>
      <c r="Y253" s="974">
        <f>IFERROR(tblConcentrado[[#This Row],[Concentrado (TMS)]]/tblConcentrado[[#This Row],[Mineral (TMS)]],"")</f>
        <v>0.74953732264034545</v>
      </c>
      <c r="Z253" s="973">
        <f>IFERROR(1/tblConcentrado[[#This Row],[% Recup.]],0)</f>
        <v>1.334156378600823</v>
      </c>
      <c r="AA253" s="975" t="str">
        <f>IF(COUNTIFS(tblConcentrado[ID],tblConcentrado[[#This Row],[ID]])&gt;1,"Duplicado","")</f>
        <v/>
      </c>
    </row>
    <row r="254" spans="2:27">
      <c r="B254" s="976">
        <f>(YEAR(tblConcentrado[[#This Row],[Fecha]])*10000+MONTH(tblConcentrado[[#This Row],[Fecha]])*100+DAY(tblConcentrado[[#This Row],[Fecha]]))*100+tblConcentrado[[#This Row],[N° hora]]</f>
        <v>2026091110</v>
      </c>
      <c r="C254" s="871">
        <v>46276</v>
      </c>
      <c r="D254">
        <v>10</v>
      </c>
      <c r="E254" s="952">
        <v>0.75</v>
      </c>
      <c r="F254" s="256">
        <v>1600</v>
      </c>
      <c r="G254" s="256">
        <v>1031</v>
      </c>
      <c r="H254" s="970"/>
      <c r="I254" s="970"/>
      <c r="J254" s="970"/>
      <c r="K254" s="970"/>
      <c r="L254" s="970"/>
      <c r="M254" s="971"/>
      <c r="N254" s="971"/>
      <c r="O254" s="971"/>
      <c r="P254" s="971"/>
      <c r="Q254" s="971"/>
      <c r="R254" t="s">
        <v>9258</v>
      </c>
      <c r="S254" t="s">
        <v>171</v>
      </c>
      <c r="U254" t="s">
        <v>9333</v>
      </c>
      <c r="V254" s="871">
        <v>46293</v>
      </c>
      <c r="W25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5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54" s="974">
        <f>IFERROR(tblConcentrado[[#This Row],[Concentrado (TMS)]]/tblConcentrado[[#This Row],[Mineral (TMS)]],"")</f>
        <v>0.64437500000000003</v>
      </c>
      <c r="Z254" s="973">
        <f>IFERROR(1/tblConcentrado[[#This Row],[% Recup.]],0)</f>
        <v>1.5518913676042676</v>
      </c>
      <c r="AA254" s="975" t="str">
        <f>IF(COUNTIFS(tblConcentrado[ID],tblConcentrado[[#This Row],[ID]])&gt;1,"Duplicado","")</f>
        <v/>
      </c>
    </row>
    <row r="255" spans="2:27">
      <c r="B255" s="976">
        <f>(YEAR(tblConcentrado[[#This Row],[Fecha]])*10000+MONTH(tblConcentrado[[#This Row],[Fecha]])*100+DAY(tblConcentrado[[#This Row],[Fecha]]))*100+tblConcentrado[[#This Row],[N° hora]]</f>
        <v>2026091111</v>
      </c>
      <c r="C255" s="871">
        <v>46276</v>
      </c>
      <c r="D255">
        <v>11</v>
      </c>
      <c r="E255" s="952">
        <v>0.79166666666666696</v>
      </c>
      <c r="F255" s="256">
        <v>1576</v>
      </c>
      <c r="G255" s="256">
        <v>1262</v>
      </c>
      <c r="H255" s="970">
        <v>0.17599999999999999</v>
      </c>
      <c r="I255" s="970">
        <v>0.64500000000000002</v>
      </c>
      <c r="J255" s="970">
        <v>0.31</v>
      </c>
      <c r="K255" s="970">
        <v>0.56299999999999994</v>
      </c>
      <c r="L255" s="970">
        <v>0.36</v>
      </c>
      <c r="M255" s="971">
        <v>21.7</v>
      </c>
      <c r="N255" s="971">
        <v>13.9</v>
      </c>
      <c r="O255" s="971">
        <v>1.9</v>
      </c>
      <c r="P255" s="971">
        <v>2</v>
      </c>
      <c r="Q255" s="971">
        <v>8.3000000000000007</v>
      </c>
      <c r="R255" t="s">
        <v>9258</v>
      </c>
      <c r="U255" t="s">
        <v>9333</v>
      </c>
      <c r="V255" s="871">
        <v>46293</v>
      </c>
      <c r="W25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17.02</v>
      </c>
      <c r="X25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1.96</v>
      </c>
      <c r="Y255" s="974">
        <f>IFERROR(tblConcentrado[[#This Row],[Concentrado (TMS)]]/tblConcentrado[[#This Row],[Mineral (TMS)]],"")</f>
        <v>0.800761421319797</v>
      </c>
      <c r="Z255" s="973">
        <f>IFERROR(1/tblConcentrado[[#This Row],[% Recup.]],0)</f>
        <v>1.248811410459588</v>
      </c>
      <c r="AA255" s="975" t="str">
        <f>IF(COUNTIFS(tblConcentrado[ID],tblConcentrado[[#This Row],[ID]])&gt;1,"Duplicado","")</f>
        <v/>
      </c>
    </row>
    <row r="256" spans="2:27">
      <c r="B256" s="976">
        <f>(YEAR(tblConcentrado[[#This Row],[Fecha]])*10000+MONTH(tblConcentrado[[#This Row],[Fecha]])*100+DAY(tblConcentrado[[#This Row],[Fecha]]))*100+tblConcentrado[[#This Row],[N° hora]]</f>
        <v>2026091112</v>
      </c>
      <c r="C256" s="871">
        <v>46276</v>
      </c>
      <c r="D256">
        <v>12</v>
      </c>
      <c r="E256" s="952">
        <v>0.83333333333333304</v>
      </c>
      <c r="F256" s="256">
        <v>1652</v>
      </c>
      <c r="G256" s="256">
        <v>1116</v>
      </c>
      <c r="H256" s="970"/>
      <c r="I256" s="970"/>
      <c r="J256" s="970"/>
      <c r="K256" s="970"/>
      <c r="L256" s="970"/>
      <c r="M256" s="971"/>
      <c r="N256" s="971"/>
      <c r="O256" s="971"/>
      <c r="P256" s="971"/>
      <c r="Q256" s="971"/>
      <c r="R256" t="s">
        <v>9258</v>
      </c>
      <c r="U256" t="s">
        <v>9333</v>
      </c>
      <c r="V256" s="871">
        <v>46293</v>
      </c>
      <c r="W25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5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56" s="974">
        <f>IFERROR(tblConcentrado[[#This Row],[Concentrado (TMS)]]/tblConcentrado[[#This Row],[Mineral (TMS)]],"")</f>
        <v>0.67554479418886193</v>
      </c>
      <c r="Z256" s="973">
        <f>IFERROR(1/tblConcentrado[[#This Row],[% Recup.]],0)</f>
        <v>1.4802867383512546</v>
      </c>
      <c r="AA256" s="975" t="str">
        <f>IF(COUNTIFS(tblConcentrado[ID],tblConcentrado[[#This Row],[ID]])&gt;1,"Duplicado","")</f>
        <v/>
      </c>
    </row>
    <row r="257" spans="2:27">
      <c r="B257" s="976">
        <f>(YEAR(tblConcentrado[[#This Row],[Fecha]])*10000+MONTH(tblConcentrado[[#This Row],[Fecha]])*100+DAY(tblConcentrado[[#This Row],[Fecha]]))*100+tblConcentrado[[#This Row],[N° hora]]</f>
        <v>2026091113</v>
      </c>
      <c r="C257" s="871">
        <v>46276</v>
      </c>
      <c r="D257">
        <v>13</v>
      </c>
      <c r="E257" s="952">
        <v>0.875</v>
      </c>
      <c r="F257" s="256">
        <v>1655</v>
      </c>
      <c r="G257" s="256">
        <v>1210</v>
      </c>
      <c r="H257" s="970">
        <v>0.17799999999999999</v>
      </c>
      <c r="I257" s="970">
        <v>0.54700000000000004</v>
      </c>
      <c r="J257" s="970">
        <v>0.3</v>
      </c>
      <c r="K257" s="970">
        <v>0.69899999999999995</v>
      </c>
      <c r="L257" s="970">
        <v>0.33</v>
      </c>
      <c r="M257" s="971">
        <v>24.4</v>
      </c>
      <c r="N257" s="971">
        <v>12.6</v>
      </c>
      <c r="O257" s="971">
        <v>2.2000000000000002</v>
      </c>
      <c r="P257" s="971">
        <v>1.8</v>
      </c>
      <c r="Q257" s="971">
        <v>8.1</v>
      </c>
      <c r="R257" t="s">
        <v>9258</v>
      </c>
      <c r="U257" t="s">
        <v>9333</v>
      </c>
      <c r="V257" s="871">
        <v>46293</v>
      </c>
      <c r="W25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17.32</v>
      </c>
      <c r="X25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1.9600000000000002</v>
      </c>
      <c r="Y257" s="974">
        <f>IFERROR(tblConcentrado[[#This Row],[Concentrado (TMS)]]/tblConcentrado[[#This Row],[Mineral (TMS)]],"")</f>
        <v>0.73111782477341392</v>
      </c>
      <c r="Z257" s="973">
        <f>IFERROR(1/tblConcentrado[[#This Row],[% Recup.]],0)</f>
        <v>1.3677685950413223</v>
      </c>
      <c r="AA257" s="975" t="str">
        <f>IF(COUNTIFS(tblConcentrado[ID],tblConcentrado[[#This Row],[ID]])&gt;1,"Duplicado","")</f>
        <v/>
      </c>
    </row>
    <row r="258" spans="2:27">
      <c r="B258" s="976">
        <f>(YEAR(tblConcentrado[[#This Row],[Fecha]])*10000+MONTH(tblConcentrado[[#This Row],[Fecha]])*100+DAY(tblConcentrado[[#This Row],[Fecha]]))*100+tblConcentrado[[#This Row],[N° hora]]</f>
        <v>2026091114</v>
      </c>
      <c r="C258" s="871">
        <v>46276</v>
      </c>
      <c r="D258">
        <v>14</v>
      </c>
      <c r="E258" s="952">
        <v>0.91666666666666696</v>
      </c>
      <c r="F258" s="256">
        <v>1645</v>
      </c>
      <c r="G258" s="256">
        <v>1012</v>
      </c>
      <c r="H258" s="970"/>
      <c r="I258" s="970"/>
      <c r="J258" s="970"/>
      <c r="K258" s="970"/>
      <c r="L258" s="970"/>
      <c r="M258" s="971"/>
      <c r="N258" s="971"/>
      <c r="O258" s="971"/>
      <c r="P258" s="971"/>
      <c r="Q258" s="971"/>
      <c r="R258" t="s">
        <v>9258</v>
      </c>
      <c r="U258" t="s">
        <v>9333</v>
      </c>
      <c r="V258" s="871">
        <v>46293</v>
      </c>
      <c r="W25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5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58" s="974">
        <f>IFERROR(tblConcentrado[[#This Row],[Concentrado (TMS)]]/tblConcentrado[[#This Row],[Mineral (TMS)]],"")</f>
        <v>0.6151975683890577</v>
      </c>
      <c r="Z258" s="973">
        <f>IFERROR(1/tblConcentrado[[#This Row],[% Recup.]],0)</f>
        <v>1.6254940711462451</v>
      </c>
      <c r="AA258" s="975" t="str">
        <f>IF(COUNTIFS(tblConcentrado[ID],tblConcentrado[[#This Row],[ID]])&gt;1,"Duplicado","")</f>
        <v/>
      </c>
    </row>
    <row r="259" spans="2:27">
      <c r="B259" s="976">
        <f>(YEAR(tblConcentrado[[#This Row],[Fecha]])*10000+MONTH(tblConcentrado[[#This Row],[Fecha]])*100+DAY(tblConcentrado[[#This Row],[Fecha]]))*100+tblConcentrado[[#This Row],[N° hora]]</f>
        <v>2026091115</v>
      </c>
      <c r="C259" s="871">
        <v>46276</v>
      </c>
      <c r="D259">
        <v>15</v>
      </c>
      <c r="E259" s="952">
        <v>0.95833333333333304</v>
      </c>
      <c r="F259" s="256">
        <v>1637</v>
      </c>
      <c r="G259" s="256">
        <v>1052</v>
      </c>
      <c r="H259" s="970">
        <v>0.216</v>
      </c>
      <c r="I259" s="970">
        <v>0.433</v>
      </c>
      <c r="J259" s="970">
        <v>0.28000000000000003</v>
      </c>
      <c r="K259" s="970">
        <v>0.52900000000000003</v>
      </c>
      <c r="L259" s="970">
        <v>0.31</v>
      </c>
      <c r="M259" s="971">
        <v>24.1</v>
      </c>
      <c r="N259" s="971">
        <v>13.3</v>
      </c>
      <c r="O259" s="971">
        <v>2.4</v>
      </c>
      <c r="P259" s="971">
        <v>2</v>
      </c>
      <c r="Q259" s="971">
        <v>8.1999999999999993</v>
      </c>
      <c r="R259" t="s">
        <v>9258</v>
      </c>
      <c r="U259" t="s">
        <v>9333</v>
      </c>
      <c r="V259" s="871">
        <v>46293</v>
      </c>
      <c r="W25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17.62</v>
      </c>
      <c r="X25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2.16</v>
      </c>
      <c r="Y259" s="974">
        <f>IFERROR(tblConcentrado[[#This Row],[Concentrado (TMS)]]/tblConcentrado[[#This Row],[Mineral (TMS)]],"")</f>
        <v>0.64263897373243739</v>
      </c>
      <c r="Z259" s="973">
        <f>IFERROR(1/tblConcentrado[[#This Row],[% Recup.]],0)</f>
        <v>1.5560836501901141</v>
      </c>
      <c r="AA259" s="975" t="str">
        <f>IF(COUNTIFS(tblConcentrado[ID],tblConcentrado[[#This Row],[ID]])&gt;1,"Duplicado","")</f>
        <v/>
      </c>
    </row>
    <row r="260" spans="2:27">
      <c r="B260" s="976">
        <f>(YEAR(tblConcentrado[[#This Row],[Fecha]])*10000+MONTH(tblConcentrado[[#This Row],[Fecha]])*100+DAY(tblConcentrado[[#This Row],[Fecha]]))*100+tblConcentrado[[#This Row],[N° hora]]</f>
        <v>2026091116</v>
      </c>
      <c r="C260" s="871">
        <v>46276</v>
      </c>
      <c r="D260">
        <v>16</v>
      </c>
      <c r="E260" s="952">
        <v>0</v>
      </c>
      <c r="F260" s="256">
        <v>1582</v>
      </c>
      <c r="G260" s="256">
        <v>958</v>
      </c>
      <c r="H260" s="970"/>
      <c r="I260" s="970"/>
      <c r="J260" s="970"/>
      <c r="K260" s="970"/>
      <c r="L260" s="970"/>
      <c r="M260" s="971"/>
      <c r="N260" s="971"/>
      <c r="O260" s="971"/>
      <c r="P260" s="971"/>
      <c r="Q260" s="971"/>
      <c r="R260" t="s">
        <v>9258</v>
      </c>
      <c r="U260" t="s">
        <v>9333</v>
      </c>
      <c r="V260" s="871">
        <v>46293</v>
      </c>
      <c r="W26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6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60" s="974">
        <f>IFERROR(tblConcentrado[[#This Row],[Concentrado (TMS)]]/tblConcentrado[[#This Row],[Mineral (TMS)]],"")</f>
        <v>0.60556257901390642</v>
      </c>
      <c r="Z260" s="973">
        <f>IFERROR(1/tblConcentrado[[#This Row],[% Recup.]],0)</f>
        <v>1.6513569937369521</v>
      </c>
      <c r="AA260" s="975" t="str">
        <f>IF(COUNTIFS(tblConcentrado[ID],tblConcentrado[[#This Row],[ID]])&gt;1,"Duplicado","")</f>
        <v/>
      </c>
    </row>
    <row r="261" spans="2:27">
      <c r="B261" s="976">
        <f>(YEAR(tblConcentrado[[#This Row],[Fecha]])*10000+MONTH(tblConcentrado[[#This Row],[Fecha]])*100+DAY(tblConcentrado[[#This Row],[Fecha]]))*100+tblConcentrado[[#This Row],[N° hora]]</f>
        <v>2026091117</v>
      </c>
      <c r="C261" s="871">
        <v>46276</v>
      </c>
      <c r="D261">
        <v>17</v>
      </c>
      <c r="E261" s="952">
        <v>4.1666666666666699E-2</v>
      </c>
      <c r="F261" s="256">
        <v>1602</v>
      </c>
      <c r="G261" s="256">
        <v>1163</v>
      </c>
      <c r="H261" s="970">
        <v>0.19900000000000001</v>
      </c>
      <c r="I261" s="970">
        <v>0.55900000000000005</v>
      </c>
      <c r="J261" s="970">
        <v>0.33</v>
      </c>
      <c r="K261" s="970">
        <v>0.57099999999999995</v>
      </c>
      <c r="L261" s="970">
        <v>0.34</v>
      </c>
      <c r="M261" s="971">
        <v>22.8</v>
      </c>
      <c r="N261" s="971">
        <v>12.1</v>
      </c>
      <c r="O261" s="971">
        <v>2.1</v>
      </c>
      <c r="P261" s="971">
        <v>1.7</v>
      </c>
      <c r="Q261" s="971">
        <v>8.1</v>
      </c>
      <c r="R261" t="s">
        <v>9258</v>
      </c>
      <c r="S261" t="s">
        <v>172</v>
      </c>
      <c r="U261" t="s">
        <v>9333</v>
      </c>
      <c r="V261" s="871">
        <v>46293</v>
      </c>
      <c r="W26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16.380000000000003</v>
      </c>
      <c r="X26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1.86</v>
      </c>
      <c r="Y261" s="974">
        <f>IFERROR(tblConcentrado[[#This Row],[Concentrado (TMS)]]/tblConcentrado[[#This Row],[Mineral (TMS)]],"")</f>
        <v>0.72596754057428214</v>
      </c>
      <c r="Z261" s="973">
        <f>IFERROR(1/tblConcentrado[[#This Row],[% Recup.]],0)</f>
        <v>1.3774720550300945</v>
      </c>
      <c r="AA261" s="975" t="str">
        <f>IF(COUNTIFS(tblConcentrado[ID],tblConcentrado[[#This Row],[ID]])&gt;1,"Duplicado","")</f>
        <v/>
      </c>
    </row>
    <row r="262" spans="2:27">
      <c r="B262" s="976">
        <f>(YEAR(tblConcentrado[[#This Row],[Fecha]])*10000+MONTH(tblConcentrado[[#This Row],[Fecha]])*100+DAY(tblConcentrado[[#This Row],[Fecha]]))*100+tblConcentrado[[#This Row],[N° hora]]</f>
        <v>2026091118</v>
      </c>
      <c r="C262" s="871">
        <v>46276</v>
      </c>
      <c r="D262">
        <v>18</v>
      </c>
      <c r="E262" s="952">
        <v>8.3333333333333301E-2</v>
      </c>
      <c r="F262" s="256">
        <v>1609</v>
      </c>
      <c r="G262" s="256">
        <v>1110</v>
      </c>
      <c r="H262" s="970"/>
      <c r="I262" s="970"/>
      <c r="J262" s="970"/>
      <c r="K262" s="970"/>
      <c r="L262" s="970"/>
      <c r="M262" s="971"/>
      <c r="N262" s="971"/>
      <c r="O262" s="971"/>
      <c r="P262" s="971"/>
      <c r="Q262" s="971"/>
      <c r="R262" t="s">
        <v>9258</v>
      </c>
      <c r="S262" t="s">
        <v>173</v>
      </c>
      <c r="U262" t="s">
        <v>9333</v>
      </c>
      <c r="V262" s="871">
        <v>46293</v>
      </c>
      <c r="W26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6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62" s="974">
        <f>IFERROR(tblConcentrado[[#This Row],[Concentrado (TMS)]]/tblConcentrado[[#This Row],[Mineral (TMS)]],"")</f>
        <v>0.68986948415164695</v>
      </c>
      <c r="Z262" s="973">
        <f>IFERROR(1/tblConcentrado[[#This Row],[% Recup.]],0)</f>
        <v>1.4495495495495496</v>
      </c>
      <c r="AA262" s="975" t="str">
        <f>IF(COUNTIFS(tblConcentrado[ID],tblConcentrado[[#This Row],[ID]])&gt;1,"Duplicado","")</f>
        <v/>
      </c>
    </row>
    <row r="263" spans="2:27">
      <c r="B263" s="976">
        <f>(YEAR(tblConcentrado[[#This Row],[Fecha]])*10000+MONTH(tblConcentrado[[#This Row],[Fecha]])*100+DAY(tblConcentrado[[#This Row],[Fecha]]))*100+tblConcentrado[[#This Row],[N° hora]]</f>
        <v>2026091119</v>
      </c>
      <c r="C263" s="871">
        <v>46276</v>
      </c>
      <c r="D263">
        <v>19</v>
      </c>
      <c r="E263" s="952">
        <v>0.125</v>
      </c>
      <c r="F263" s="256">
        <v>1605</v>
      </c>
      <c r="G263" s="256">
        <v>1120</v>
      </c>
      <c r="H263" s="970">
        <v>0.2</v>
      </c>
      <c r="I263" s="970">
        <v>0.63900000000000001</v>
      </c>
      <c r="J263" s="970">
        <v>0.37</v>
      </c>
      <c r="K263" s="970">
        <v>0.54300000000000004</v>
      </c>
      <c r="L263" s="970">
        <v>0.31</v>
      </c>
      <c r="M263" s="971">
        <v>23.6</v>
      </c>
      <c r="N263" s="971">
        <v>12.4</v>
      </c>
      <c r="O263" s="971">
        <v>2.4</v>
      </c>
      <c r="P263" s="971">
        <v>1.7</v>
      </c>
      <c r="Q263" s="971">
        <v>8.1</v>
      </c>
      <c r="R263" t="s">
        <v>9258</v>
      </c>
      <c r="S263" t="s">
        <v>174</v>
      </c>
      <c r="U263" t="s">
        <v>9333</v>
      </c>
      <c r="V263" s="871">
        <v>46293</v>
      </c>
      <c r="W26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16.880000000000003</v>
      </c>
      <c r="X26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1.98</v>
      </c>
      <c r="Y263" s="974">
        <f>IFERROR(tblConcentrado[[#This Row],[Concentrado (TMS)]]/tblConcentrado[[#This Row],[Mineral (TMS)]],"")</f>
        <v>0.69781931464174451</v>
      </c>
      <c r="Z263" s="973">
        <f>IFERROR(1/tblConcentrado[[#This Row],[% Recup.]],0)</f>
        <v>1.4330357142857144</v>
      </c>
      <c r="AA263" s="975" t="str">
        <f>IF(COUNTIFS(tblConcentrado[ID],tblConcentrado[[#This Row],[ID]])&gt;1,"Duplicado","")</f>
        <v/>
      </c>
    </row>
    <row r="264" spans="2:27">
      <c r="B264" s="976">
        <f>(YEAR(tblConcentrado[[#This Row],[Fecha]])*10000+MONTH(tblConcentrado[[#This Row],[Fecha]])*100+DAY(tblConcentrado[[#This Row],[Fecha]]))*100+tblConcentrado[[#This Row],[N° hora]]</f>
        <v>2026091120</v>
      </c>
      <c r="C264" s="871">
        <v>46276</v>
      </c>
      <c r="D264">
        <v>20</v>
      </c>
      <c r="E264" s="952">
        <v>0.16666666666666699</v>
      </c>
      <c r="F264" s="256">
        <v>1619</v>
      </c>
      <c r="G264" s="256">
        <v>1197</v>
      </c>
      <c r="H264" s="970"/>
      <c r="I264" s="970"/>
      <c r="J264" s="970"/>
      <c r="K264" s="970"/>
      <c r="L264" s="970"/>
      <c r="M264" s="971"/>
      <c r="N264" s="971"/>
      <c r="O264" s="971"/>
      <c r="P264" s="971"/>
      <c r="Q264" s="971"/>
      <c r="R264" t="s">
        <v>9258</v>
      </c>
      <c r="S264" t="s">
        <v>175</v>
      </c>
      <c r="U264" t="s">
        <v>9333</v>
      </c>
      <c r="V264" s="871">
        <v>46293</v>
      </c>
      <c r="W26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6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64" s="974">
        <f>IFERROR(tblConcentrado[[#This Row],[Concentrado (TMS)]]/tblConcentrado[[#This Row],[Mineral (TMS)]],"")</f>
        <v>0.7393452748610253</v>
      </c>
      <c r="Z264" s="973">
        <f>IFERROR(1/tblConcentrado[[#This Row],[% Recup.]],0)</f>
        <v>1.3525480367585632</v>
      </c>
      <c r="AA264" s="975" t="str">
        <f>IF(COUNTIFS(tblConcentrado[ID],tblConcentrado[[#This Row],[ID]])&gt;1,"Duplicado","")</f>
        <v/>
      </c>
    </row>
    <row r="265" spans="2:27">
      <c r="B265" s="976">
        <f>(YEAR(tblConcentrado[[#This Row],[Fecha]])*10000+MONTH(tblConcentrado[[#This Row],[Fecha]])*100+DAY(tblConcentrado[[#This Row],[Fecha]]))*100+tblConcentrado[[#This Row],[N° hora]]</f>
        <v>2026091121</v>
      </c>
      <c r="C265" s="871">
        <v>46276</v>
      </c>
      <c r="D265">
        <v>21</v>
      </c>
      <c r="E265" s="952">
        <v>0.20833333333333301</v>
      </c>
      <c r="F265" s="256">
        <v>1614</v>
      </c>
      <c r="G265" s="256">
        <v>1127</v>
      </c>
      <c r="H265" s="970">
        <v>0.2</v>
      </c>
      <c r="I265" s="970">
        <v>0.54900000000000004</v>
      </c>
      <c r="J265" s="970">
        <v>0.31</v>
      </c>
      <c r="K265" s="970">
        <v>0.56599999999999995</v>
      </c>
      <c r="L265" s="970">
        <v>0.36</v>
      </c>
      <c r="M265" s="971">
        <v>27.9</v>
      </c>
      <c r="N265" s="971">
        <v>15.6</v>
      </c>
      <c r="O265" s="971">
        <v>3.2</v>
      </c>
      <c r="P265" s="971">
        <v>2.4</v>
      </c>
      <c r="Q265" s="971">
        <v>8.6</v>
      </c>
      <c r="R265" t="s">
        <v>9258</v>
      </c>
      <c r="S265" t="s">
        <v>176</v>
      </c>
      <c r="U265" t="s">
        <v>9333</v>
      </c>
      <c r="V265" s="871">
        <v>46293</v>
      </c>
      <c r="W26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20.52</v>
      </c>
      <c r="X26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2.72</v>
      </c>
      <c r="Y265" s="974">
        <f>IFERROR(tblConcentrado[[#This Row],[Concentrado (TMS)]]/tblConcentrado[[#This Row],[Mineral (TMS)]],"")</f>
        <v>0.69826517967781909</v>
      </c>
      <c r="Z265" s="973">
        <f>IFERROR(1/tblConcentrado[[#This Row],[% Recup.]],0)</f>
        <v>1.4321206743566992</v>
      </c>
      <c r="AA265" s="975" t="str">
        <f>IF(COUNTIFS(tblConcentrado[ID],tblConcentrado[[#This Row],[ID]])&gt;1,"Duplicado","")</f>
        <v/>
      </c>
    </row>
    <row r="266" spans="2:27">
      <c r="B266" s="976">
        <f>(YEAR(tblConcentrado[[#This Row],[Fecha]])*10000+MONTH(tblConcentrado[[#This Row],[Fecha]])*100+DAY(tblConcentrado[[#This Row],[Fecha]]))*100+tblConcentrado[[#This Row],[N° hora]]</f>
        <v>2026091122</v>
      </c>
      <c r="C266" s="871">
        <v>46276</v>
      </c>
      <c r="D266">
        <v>22</v>
      </c>
      <c r="E266" s="952">
        <v>0.25</v>
      </c>
      <c r="F266" s="256">
        <v>1623</v>
      </c>
      <c r="G266" s="256">
        <v>1136</v>
      </c>
      <c r="H266" s="970"/>
      <c r="I266" s="970"/>
      <c r="J266" s="970"/>
      <c r="K266" s="970"/>
      <c r="L266" s="970"/>
      <c r="M266" s="971"/>
      <c r="N266" s="971"/>
      <c r="O266" s="971"/>
      <c r="P266" s="971"/>
      <c r="Q266" s="971"/>
      <c r="R266" t="s">
        <v>9258</v>
      </c>
      <c r="U266" t="s">
        <v>9333</v>
      </c>
      <c r="V266" s="871">
        <v>46293</v>
      </c>
      <c r="W26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6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66" s="974">
        <f>IFERROR(tblConcentrado[[#This Row],[Concentrado (TMS)]]/tblConcentrado[[#This Row],[Mineral (TMS)]],"")</f>
        <v>0.69993838570548372</v>
      </c>
      <c r="Z266" s="973">
        <f>IFERROR(1/tblConcentrado[[#This Row],[% Recup.]],0)</f>
        <v>1.4286971830985915</v>
      </c>
      <c r="AA266" s="975" t="str">
        <f>IF(COUNTIFS(tblConcentrado[ID],tblConcentrado[[#This Row],[ID]])&gt;1,"Duplicado","")</f>
        <v/>
      </c>
    </row>
    <row r="267" spans="2:27">
      <c r="B267" s="976">
        <f>(YEAR(tblConcentrado[[#This Row],[Fecha]])*10000+MONTH(tblConcentrado[[#This Row],[Fecha]])*100+DAY(tblConcentrado[[#This Row],[Fecha]]))*100+tblConcentrado[[#This Row],[N° hora]]</f>
        <v>2026091123</v>
      </c>
      <c r="C267" s="871">
        <v>46276</v>
      </c>
      <c r="D267">
        <v>23</v>
      </c>
      <c r="E267" s="952">
        <v>0.29166666666666702</v>
      </c>
      <c r="F267" s="256">
        <v>999</v>
      </c>
      <c r="G267" s="256">
        <v>278</v>
      </c>
      <c r="H267" s="970">
        <v>0.21099999999999999</v>
      </c>
      <c r="I267" s="970">
        <v>0.59499999999999997</v>
      </c>
      <c r="J267" s="970">
        <v>0.36</v>
      </c>
      <c r="K267" s="970">
        <v>0.628</v>
      </c>
      <c r="L267" s="970">
        <v>0.38</v>
      </c>
      <c r="M267" s="971">
        <v>27.4</v>
      </c>
      <c r="N267" s="971">
        <v>14.8</v>
      </c>
      <c r="O267" s="971">
        <v>2.4</v>
      </c>
      <c r="P267" s="971">
        <v>2.5</v>
      </c>
      <c r="Q267" s="971">
        <v>8.4</v>
      </c>
      <c r="R267" t="s">
        <v>9258</v>
      </c>
      <c r="U267" t="s">
        <v>9333</v>
      </c>
      <c r="V267" s="871">
        <v>46293</v>
      </c>
      <c r="W26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19.840000000000003</v>
      </c>
      <c r="X26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2.46</v>
      </c>
      <c r="Y267" s="974">
        <f>IFERROR(tblConcentrado[[#This Row],[Concentrado (TMS)]]/tblConcentrado[[#This Row],[Mineral (TMS)]],"")</f>
        <v>0.27827827827827828</v>
      </c>
      <c r="Z267" s="973">
        <f>IFERROR(1/tblConcentrado[[#This Row],[% Recup.]],0)</f>
        <v>3.593525179856115</v>
      </c>
      <c r="AA267" s="975" t="str">
        <f>IF(COUNTIFS(tblConcentrado[ID],tblConcentrado[[#This Row],[ID]])&gt;1,"Duplicado","")</f>
        <v/>
      </c>
    </row>
    <row r="268" spans="2:27">
      <c r="B268" s="976">
        <f>(YEAR(tblConcentrado[[#This Row],[Fecha]])*10000+MONTH(tblConcentrado[[#This Row],[Fecha]])*100+DAY(tblConcentrado[[#This Row],[Fecha]]))*100+tblConcentrado[[#This Row],[N° hora]]</f>
        <v>2026091124</v>
      </c>
      <c r="C268" s="871">
        <v>46276</v>
      </c>
      <c r="D268">
        <v>24</v>
      </c>
      <c r="E268" s="952">
        <v>0.33333333333333298</v>
      </c>
      <c r="F268" s="256">
        <v>0</v>
      </c>
      <c r="G268" s="256">
        <v>884</v>
      </c>
      <c r="H268" s="970"/>
      <c r="I268" s="970"/>
      <c r="J268" s="970"/>
      <c r="K268" s="970"/>
      <c r="L268" s="970"/>
      <c r="M268" s="971"/>
      <c r="N268" s="971"/>
      <c r="O268" s="971"/>
      <c r="P268" s="971"/>
      <c r="Q268" s="971"/>
      <c r="R268" t="s">
        <v>9258</v>
      </c>
      <c r="U268" t="s">
        <v>9333</v>
      </c>
      <c r="V268" s="871">
        <v>46293</v>
      </c>
      <c r="W26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6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68" s="974" t="str">
        <f>IFERROR(tblConcentrado[[#This Row],[Concentrado (TMS)]]/tblConcentrado[[#This Row],[Mineral (TMS)]],"")</f>
        <v/>
      </c>
      <c r="Z268" s="973">
        <f>IFERROR(1/tblConcentrado[[#This Row],[% Recup.]],0)</f>
        <v>0</v>
      </c>
      <c r="AA268" s="975" t="str">
        <f>IF(COUNTIFS(tblConcentrado[ID],tblConcentrado[[#This Row],[ID]])&gt;1,"Duplicado","")</f>
        <v/>
      </c>
    </row>
    <row r="269" spans="2:27">
      <c r="B269" s="976">
        <f>(YEAR(tblConcentrado[[#This Row],[Fecha]])*10000+MONTH(tblConcentrado[[#This Row],[Fecha]])*100+DAY(tblConcentrado[[#This Row],[Fecha]]))*100+tblConcentrado[[#This Row],[N° hora]]</f>
        <v>2026091201</v>
      </c>
      <c r="C269" s="871">
        <v>46277</v>
      </c>
      <c r="D269">
        <v>1</v>
      </c>
      <c r="E269" s="952">
        <v>0.375</v>
      </c>
      <c r="F269" s="256"/>
      <c r="G269" s="256"/>
      <c r="H269" s="970"/>
      <c r="I269" s="970"/>
      <c r="J269" s="970"/>
      <c r="K269" s="970"/>
      <c r="L269" s="970"/>
      <c r="M269" s="971"/>
      <c r="N269" s="971"/>
      <c r="O269" s="971"/>
      <c r="P269" s="971"/>
      <c r="Q269" s="971">
        <v>8.6</v>
      </c>
      <c r="R269" t="s">
        <v>9258</v>
      </c>
      <c r="U269" t="s">
        <v>9333</v>
      </c>
      <c r="V269" s="871">
        <v>46293</v>
      </c>
      <c r="W269"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69"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69" s="974" t="str">
        <f>IFERROR(tblConcentrado[[#This Row],[Concentrado (TMS)]]/tblConcentrado[[#This Row],[Mineral (TMS)]],"")</f>
        <v/>
      </c>
      <c r="Z269" s="973">
        <f>IFERROR(1/tblConcentrado[[#This Row],[% Recup.]],0)</f>
        <v>0</v>
      </c>
      <c r="AA269" s="975" t="str">
        <f>IF(COUNTIFS(tblConcentrado[ID],tblConcentrado[[#This Row],[ID]])&gt;1,"Duplicado","")</f>
        <v/>
      </c>
    </row>
    <row r="270" spans="2:27">
      <c r="B270" s="976">
        <f>(YEAR(tblConcentrado[[#This Row],[Fecha]])*10000+MONTH(tblConcentrado[[#This Row],[Fecha]])*100+DAY(tblConcentrado[[#This Row],[Fecha]]))*100+tblConcentrado[[#This Row],[N° hora]]</f>
        <v>2026091208</v>
      </c>
      <c r="C270" s="871">
        <v>46277</v>
      </c>
      <c r="D270">
        <v>8</v>
      </c>
      <c r="E270" s="952">
        <v>0.66666666666666696</v>
      </c>
      <c r="F270" s="256"/>
      <c r="G270" s="256">
        <v>329</v>
      </c>
      <c r="H270" s="970"/>
      <c r="I270" s="970"/>
      <c r="J270" s="970"/>
      <c r="K270" s="970"/>
      <c r="L270" s="970"/>
      <c r="M270" s="971"/>
      <c r="N270" s="971"/>
      <c r="O270" s="971"/>
      <c r="P270" s="971"/>
      <c r="Q270" s="971"/>
      <c r="R270" t="s">
        <v>9258</v>
      </c>
      <c r="U270" t="s">
        <v>9333</v>
      </c>
      <c r="V270" s="871">
        <v>46293</v>
      </c>
      <c r="W27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7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70" s="974" t="str">
        <f>IFERROR(tblConcentrado[[#This Row],[Concentrado (TMS)]]/tblConcentrado[[#This Row],[Mineral (TMS)]],"")</f>
        <v/>
      </c>
      <c r="Z270" s="973">
        <f>IFERROR(1/tblConcentrado[[#This Row],[% Recup.]],0)</f>
        <v>0</v>
      </c>
      <c r="AA270" s="975" t="str">
        <f>IF(COUNTIFS(tblConcentrado[ID],tblConcentrado[[#This Row],[ID]])&gt;1,"Duplicado","")</f>
        <v/>
      </c>
    </row>
    <row r="271" spans="2:27">
      <c r="B271" s="976">
        <f>(YEAR(tblConcentrado[[#This Row],[Fecha]])*10000+MONTH(tblConcentrado[[#This Row],[Fecha]])*100+DAY(tblConcentrado[[#This Row],[Fecha]]))*100+tblConcentrado[[#This Row],[N° hora]]</f>
        <v>2026091213</v>
      </c>
      <c r="C271" s="871">
        <v>46277</v>
      </c>
      <c r="D271">
        <v>13</v>
      </c>
      <c r="E271" s="952">
        <v>0.875</v>
      </c>
      <c r="F271" s="256">
        <v>590</v>
      </c>
      <c r="G271" s="256">
        <v>247</v>
      </c>
      <c r="H271" s="970"/>
      <c r="I271" s="970"/>
      <c r="J271" s="970"/>
      <c r="K271" s="970"/>
      <c r="L271" s="970"/>
      <c r="M271" s="971"/>
      <c r="N271" s="971"/>
      <c r="O271" s="971"/>
      <c r="P271" s="971"/>
      <c r="Q271" s="971"/>
      <c r="R271" t="s">
        <v>9258</v>
      </c>
      <c r="U271" t="s">
        <v>9333</v>
      </c>
      <c r="V271" s="871">
        <v>46293</v>
      </c>
      <c r="W271"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71"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71" s="974">
        <f>IFERROR(tblConcentrado[[#This Row],[Concentrado (TMS)]]/tblConcentrado[[#This Row],[Mineral (TMS)]],"")</f>
        <v>0.41864406779661018</v>
      </c>
      <c r="Z271" s="973">
        <f>IFERROR(1/tblConcentrado[[#This Row],[% Recup.]],0)</f>
        <v>2.3886639676113361</v>
      </c>
      <c r="AA271" s="975" t="str">
        <f>IF(COUNTIFS(tblConcentrado[ID],tblConcentrado[[#This Row],[ID]])&gt;1,"Duplicado","")</f>
        <v/>
      </c>
    </row>
    <row r="272" spans="2:27">
      <c r="B272" s="976">
        <f>(YEAR(tblConcentrado[[#This Row],[Fecha]])*10000+MONTH(tblConcentrado[[#This Row],[Fecha]])*100+DAY(tblConcentrado[[#This Row],[Fecha]]))*100+tblConcentrado[[#This Row],[N° hora]]</f>
        <v>2026091214</v>
      </c>
      <c r="C272" s="871">
        <v>46277</v>
      </c>
      <c r="D272">
        <v>14</v>
      </c>
      <c r="E272" s="952">
        <v>0.91666666666666696</v>
      </c>
      <c r="F272" s="256">
        <v>1425</v>
      </c>
      <c r="G272" s="256">
        <v>776</v>
      </c>
      <c r="H272" s="970"/>
      <c r="I272" s="970"/>
      <c r="J272" s="970"/>
      <c r="K272" s="970"/>
      <c r="L272" s="970"/>
      <c r="M272" s="971"/>
      <c r="N272" s="971"/>
      <c r="O272" s="971"/>
      <c r="P272" s="971"/>
      <c r="Q272" s="971"/>
      <c r="R272" t="s">
        <v>9258</v>
      </c>
      <c r="U272" t="s">
        <v>9333</v>
      </c>
      <c r="V272" s="871">
        <v>46293</v>
      </c>
      <c r="W27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7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72" s="974">
        <f>IFERROR(tblConcentrado[[#This Row],[Concentrado (TMS)]]/tblConcentrado[[#This Row],[Mineral (TMS)]],"")</f>
        <v>0.54456140350877191</v>
      </c>
      <c r="Z272" s="973">
        <f>IFERROR(1/tblConcentrado[[#This Row],[% Recup.]],0)</f>
        <v>1.8363402061855671</v>
      </c>
      <c r="AA272" s="975" t="str">
        <f>IF(COUNTIFS(tblConcentrado[ID],tblConcentrado[[#This Row],[ID]])&gt;1,"Duplicado","")</f>
        <v/>
      </c>
    </row>
    <row r="273" spans="2:27">
      <c r="B273" s="976">
        <f>(YEAR(tblConcentrado[[#This Row],[Fecha]])*10000+MONTH(tblConcentrado[[#This Row],[Fecha]])*100+DAY(tblConcentrado[[#This Row],[Fecha]]))*100+tblConcentrado[[#This Row],[N° hora]]</f>
        <v>2026091215</v>
      </c>
      <c r="C273" s="871">
        <v>46277</v>
      </c>
      <c r="D273">
        <v>15</v>
      </c>
      <c r="E273" s="952">
        <v>0.95833333333333304</v>
      </c>
      <c r="F273" s="256">
        <v>1536</v>
      </c>
      <c r="G273" s="256">
        <v>941</v>
      </c>
      <c r="H273" s="970">
        <v>0.40699999999999997</v>
      </c>
      <c r="I273" s="970">
        <v>0.68300000000000005</v>
      </c>
      <c r="J273" s="970">
        <v>0.37</v>
      </c>
      <c r="K273" s="970">
        <v>0.68600000000000005</v>
      </c>
      <c r="L273" s="970">
        <v>0.36</v>
      </c>
      <c r="M273" s="971">
        <v>26</v>
      </c>
      <c r="N273" s="971">
        <v>15</v>
      </c>
      <c r="O273" s="971">
        <v>3.1</v>
      </c>
      <c r="P273" s="971">
        <v>2.2999999999999998</v>
      </c>
      <c r="Q273" s="971">
        <v>8.6</v>
      </c>
      <c r="R273" t="s">
        <v>9258</v>
      </c>
      <c r="U273" t="s">
        <v>9333</v>
      </c>
      <c r="V273" s="871">
        <v>46293</v>
      </c>
      <c r="W27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19.399999999999999</v>
      </c>
      <c r="X27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2.62</v>
      </c>
      <c r="Y273" s="974">
        <f>IFERROR(tblConcentrado[[#This Row],[Concentrado (TMS)]]/tblConcentrado[[#This Row],[Mineral (TMS)]],"")</f>
        <v>0.61263020833333337</v>
      </c>
      <c r="Z273" s="973">
        <f>IFERROR(1/tblConcentrado[[#This Row],[% Recup.]],0)</f>
        <v>1.6323060573857597</v>
      </c>
      <c r="AA273" s="975" t="str">
        <f>IF(COUNTIFS(tblConcentrado[ID],tblConcentrado[[#This Row],[ID]])&gt;1,"Duplicado","")</f>
        <v/>
      </c>
    </row>
    <row r="274" spans="2:27">
      <c r="B274" s="976">
        <f>(YEAR(tblConcentrado[[#This Row],[Fecha]])*10000+MONTH(tblConcentrado[[#This Row],[Fecha]])*100+DAY(tblConcentrado[[#This Row],[Fecha]]))*100+tblConcentrado[[#This Row],[N° hora]]</f>
        <v>2026091216</v>
      </c>
      <c r="C274" s="871">
        <v>46277</v>
      </c>
      <c r="D274">
        <v>16</v>
      </c>
      <c r="E274" s="952">
        <v>0</v>
      </c>
      <c r="F274" s="256">
        <v>1511</v>
      </c>
      <c r="G274" s="256">
        <v>675</v>
      </c>
      <c r="H274" s="970"/>
      <c r="I274" s="970"/>
      <c r="J274" s="970"/>
      <c r="K274" s="970"/>
      <c r="L274" s="970"/>
      <c r="M274" s="971"/>
      <c r="N274" s="971"/>
      <c r="O274" s="971"/>
      <c r="P274" s="971"/>
      <c r="Q274" s="971"/>
      <c r="R274" t="s">
        <v>9258</v>
      </c>
      <c r="S274" t="s">
        <v>177</v>
      </c>
      <c r="U274" t="s">
        <v>9333</v>
      </c>
      <c r="V274" s="871">
        <v>46293</v>
      </c>
      <c r="W27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7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74" s="974">
        <f>IFERROR(tblConcentrado[[#This Row],[Concentrado (TMS)]]/tblConcentrado[[#This Row],[Mineral (TMS)]],"")</f>
        <v>0.44672402382528126</v>
      </c>
      <c r="Z274" s="973">
        <f>IFERROR(1/tblConcentrado[[#This Row],[% Recup.]],0)</f>
        <v>2.2385185185185188</v>
      </c>
      <c r="AA274" s="975" t="str">
        <f>IF(COUNTIFS(tblConcentrado[ID],tblConcentrado[[#This Row],[ID]])&gt;1,"Duplicado","")</f>
        <v/>
      </c>
    </row>
    <row r="275" spans="2:27">
      <c r="B275" s="976">
        <f>(YEAR(tblConcentrado[[#This Row],[Fecha]])*10000+MONTH(tblConcentrado[[#This Row],[Fecha]])*100+DAY(tblConcentrado[[#This Row],[Fecha]]))*100+tblConcentrado[[#This Row],[N° hora]]</f>
        <v>2026091217</v>
      </c>
      <c r="C275" s="871">
        <v>46277</v>
      </c>
      <c r="D275">
        <v>17</v>
      </c>
      <c r="E275" s="952">
        <v>4.1666666666666699E-2</v>
      </c>
      <c r="F275" s="256">
        <v>1502</v>
      </c>
      <c r="G275" s="256">
        <v>902</v>
      </c>
      <c r="H275" s="970">
        <v>0.34899999999999998</v>
      </c>
      <c r="I275" s="970">
        <v>0.76</v>
      </c>
      <c r="J275" s="970">
        <v>0.47</v>
      </c>
      <c r="K275" s="970">
        <v>1.0209999999999999</v>
      </c>
      <c r="L275" s="970">
        <v>0.68</v>
      </c>
      <c r="M275" s="971">
        <v>30.4</v>
      </c>
      <c r="N275" s="971">
        <v>18.600000000000001</v>
      </c>
      <c r="O275" s="971">
        <v>5.6</v>
      </c>
      <c r="P275" s="971">
        <v>4</v>
      </c>
      <c r="Q275" s="971">
        <v>8.1</v>
      </c>
      <c r="R275" t="s">
        <v>9258</v>
      </c>
      <c r="S275" t="s">
        <v>178</v>
      </c>
      <c r="U275" t="s">
        <v>9333</v>
      </c>
      <c r="V275" s="871">
        <v>46293</v>
      </c>
      <c r="W27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23.32</v>
      </c>
      <c r="X27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4.6399999999999997</v>
      </c>
      <c r="Y275" s="974">
        <f>IFERROR(tblConcentrado[[#This Row],[Concentrado (TMS)]]/tblConcentrado[[#This Row],[Mineral (TMS)]],"")</f>
        <v>0.60053262316910783</v>
      </c>
      <c r="Z275" s="973">
        <f>IFERROR(1/tblConcentrado[[#This Row],[% Recup.]],0)</f>
        <v>1.6651884700665189</v>
      </c>
      <c r="AA275" s="975" t="str">
        <f>IF(COUNTIFS(tblConcentrado[ID],tblConcentrado[[#This Row],[ID]])&gt;1,"Duplicado","")</f>
        <v/>
      </c>
    </row>
    <row r="276" spans="2:27">
      <c r="B276" s="976">
        <f>(YEAR(tblConcentrado[[#This Row],[Fecha]])*10000+MONTH(tblConcentrado[[#This Row],[Fecha]])*100+DAY(tblConcentrado[[#This Row],[Fecha]]))*100+tblConcentrado[[#This Row],[N° hora]]</f>
        <v>2026091218</v>
      </c>
      <c r="C276" s="871">
        <v>46277</v>
      </c>
      <c r="D276">
        <v>18</v>
      </c>
      <c r="E276" s="952">
        <v>8.3333333333333301E-2</v>
      </c>
      <c r="F276" s="256">
        <v>1435</v>
      </c>
      <c r="G276" s="256">
        <v>829</v>
      </c>
      <c r="H276" s="970"/>
      <c r="I276" s="970"/>
      <c r="J276" s="970"/>
      <c r="K276" s="970"/>
      <c r="L276" s="970"/>
      <c r="M276" s="971"/>
      <c r="N276" s="971"/>
      <c r="O276" s="971"/>
      <c r="P276" s="971"/>
      <c r="Q276" s="971"/>
      <c r="R276" t="s">
        <v>9258</v>
      </c>
      <c r="S276" t="s">
        <v>179</v>
      </c>
      <c r="U276" t="s">
        <v>9333</v>
      </c>
      <c r="V276" s="871">
        <v>46293</v>
      </c>
      <c r="W27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7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76" s="974">
        <f>IFERROR(tblConcentrado[[#This Row],[Concentrado (TMS)]]/tblConcentrado[[#This Row],[Mineral (TMS)]],"")</f>
        <v>0.57770034843205575</v>
      </c>
      <c r="Z276" s="973">
        <f>IFERROR(1/tblConcentrado[[#This Row],[% Recup.]],0)</f>
        <v>1.7310012062726177</v>
      </c>
      <c r="AA276" s="975" t="str">
        <f>IF(COUNTIFS(tblConcentrado[ID],tblConcentrado[[#This Row],[ID]])&gt;1,"Duplicado","")</f>
        <v/>
      </c>
    </row>
    <row r="277" spans="2:27">
      <c r="B277" s="976">
        <f>(YEAR(tblConcentrado[[#This Row],[Fecha]])*10000+MONTH(tblConcentrado[[#This Row],[Fecha]])*100+DAY(tblConcentrado[[#This Row],[Fecha]]))*100+tblConcentrado[[#This Row],[N° hora]]</f>
        <v>2026091219</v>
      </c>
      <c r="C277" s="871">
        <v>46277</v>
      </c>
      <c r="D277">
        <v>19</v>
      </c>
      <c r="E277" s="952">
        <v>0.125</v>
      </c>
      <c r="F277" s="256">
        <v>1469</v>
      </c>
      <c r="G277" s="256">
        <v>945</v>
      </c>
      <c r="H277" s="970">
        <v>0.27200000000000002</v>
      </c>
      <c r="I277" s="970">
        <v>0.77700000000000002</v>
      </c>
      <c r="J277" s="970">
        <v>0.49</v>
      </c>
      <c r="K277" s="970">
        <v>0.75700000000000001</v>
      </c>
      <c r="L277" s="970">
        <v>0.46</v>
      </c>
      <c r="M277" s="971">
        <v>31.3</v>
      </c>
      <c r="N277" s="971">
        <v>18.100000000000001</v>
      </c>
      <c r="O277" s="971">
        <v>4.9000000000000004</v>
      </c>
      <c r="P277" s="971">
        <v>4</v>
      </c>
      <c r="Q277" s="971">
        <v>8.4</v>
      </c>
      <c r="R277" t="s">
        <v>9258</v>
      </c>
      <c r="S277" t="s">
        <v>180</v>
      </c>
      <c r="U277" t="s">
        <v>9333</v>
      </c>
      <c r="V277" s="871">
        <v>46293</v>
      </c>
      <c r="W27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23.380000000000003</v>
      </c>
      <c r="X27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4.3600000000000003</v>
      </c>
      <c r="Y277" s="974">
        <f>IFERROR(tblConcentrado[[#This Row],[Concentrado (TMS)]]/tblConcentrado[[#This Row],[Mineral (TMS)]],"")</f>
        <v>0.64329475833900618</v>
      </c>
      <c r="Z277" s="973">
        <f>IFERROR(1/tblConcentrado[[#This Row],[% Recup.]],0)</f>
        <v>1.5544973544973544</v>
      </c>
      <c r="AA277" s="975" t="str">
        <f>IF(COUNTIFS(tblConcentrado[ID],tblConcentrado[[#This Row],[ID]])&gt;1,"Duplicado","")</f>
        <v/>
      </c>
    </row>
    <row r="278" spans="2:27">
      <c r="B278" s="976">
        <f>(YEAR(tblConcentrado[[#This Row],[Fecha]])*10000+MONTH(tblConcentrado[[#This Row],[Fecha]])*100+DAY(tblConcentrado[[#This Row],[Fecha]]))*100+tblConcentrado[[#This Row],[N° hora]]</f>
        <v>2026091220</v>
      </c>
      <c r="C278" s="871">
        <v>46277</v>
      </c>
      <c r="D278">
        <v>20</v>
      </c>
      <c r="E278" s="952">
        <v>0.16666666666666699</v>
      </c>
      <c r="F278" s="256">
        <v>1480</v>
      </c>
      <c r="G278" s="256">
        <v>935</v>
      </c>
      <c r="H278" s="970"/>
      <c r="I278" s="970"/>
      <c r="J278" s="970"/>
      <c r="K278" s="970"/>
      <c r="L278" s="970"/>
      <c r="M278" s="971"/>
      <c r="N278" s="971"/>
      <c r="O278" s="971"/>
      <c r="P278" s="971"/>
      <c r="Q278" s="971"/>
      <c r="R278" t="s">
        <v>9258</v>
      </c>
      <c r="S278" t="s">
        <v>181</v>
      </c>
      <c r="U278" t="s">
        <v>9333</v>
      </c>
      <c r="V278" s="871">
        <v>46293</v>
      </c>
      <c r="W27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7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78" s="974">
        <f>IFERROR(tblConcentrado[[#This Row],[Concentrado (TMS)]]/tblConcentrado[[#This Row],[Mineral (TMS)]],"")</f>
        <v>0.6317567567567568</v>
      </c>
      <c r="Z278" s="973">
        <f>IFERROR(1/tblConcentrado[[#This Row],[% Recup.]],0)</f>
        <v>1.5828877005347592</v>
      </c>
      <c r="AA278" s="975" t="str">
        <f>IF(COUNTIFS(tblConcentrado[ID],tblConcentrado[[#This Row],[ID]])&gt;1,"Duplicado","")</f>
        <v/>
      </c>
    </row>
    <row r="279" spans="2:27">
      <c r="B279" s="976">
        <f>(YEAR(tblConcentrado[[#This Row],[Fecha]])*10000+MONTH(tblConcentrado[[#This Row],[Fecha]])*100+DAY(tblConcentrado[[#This Row],[Fecha]]))*100+tblConcentrado[[#This Row],[N° hora]]</f>
        <v>2026091221</v>
      </c>
      <c r="C279" s="871">
        <v>46277</v>
      </c>
      <c r="D279">
        <v>21</v>
      </c>
      <c r="E279" s="952">
        <v>0.20833333333333301</v>
      </c>
      <c r="F279" s="256">
        <v>1521</v>
      </c>
      <c r="G279" s="256">
        <v>1024</v>
      </c>
      <c r="H279" s="970">
        <v>0.26</v>
      </c>
      <c r="I279" s="970">
        <v>0.75900000000000001</v>
      </c>
      <c r="J279" s="970">
        <v>0.46</v>
      </c>
      <c r="K279" s="970">
        <v>0.95699999999999996</v>
      </c>
      <c r="L279" s="970">
        <v>0.62</v>
      </c>
      <c r="M279" s="971">
        <v>24.3</v>
      </c>
      <c r="N279" s="971">
        <v>14.2</v>
      </c>
      <c r="O279" s="971">
        <v>2.6</v>
      </c>
      <c r="P279" s="971">
        <v>1.8</v>
      </c>
      <c r="Q279" s="971">
        <v>8.6999999999999993</v>
      </c>
      <c r="R279" t="s">
        <v>9258</v>
      </c>
      <c r="S279" t="s">
        <v>182</v>
      </c>
      <c r="U279" t="s">
        <v>9333</v>
      </c>
      <c r="V279" s="871">
        <v>46293</v>
      </c>
      <c r="W27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18.240000000000002</v>
      </c>
      <c r="X27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2.12</v>
      </c>
      <c r="Y279" s="974">
        <f>IFERROR(tblConcentrado[[#This Row],[Concentrado (TMS)]]/tblConcentrado[[#This Row],[Mineral (TMS)]],"")</f>
        <v>0.67324128862590404</v>
      </c>
      <c r="Z279" s="973">
        <f>IFERROR(1/tblConcentrado[[#This Row],[% Recup.]],0)</f>
        <v>1.4853515625</v>
      </c>
      <c r="AA279" s="975" t="str">
        <f>IF(COUNTIFS(tblConcentrado[ID],tblConcentrado[[#This Row],[ID]])&gt;1,"Duplicado","")</f>
        <v/>
      </c>
    </row>
    <row r="280" spans="2:27">
      <c r="B280" s="976">
        <f>(YEAR(tblConcentrado[[#This Row],[Fecha]])*10000+MONTH(tblConcentrado[[#This Row],[Fecha]])*100+DAY(tblConcentrado[[#This Row],[Fecha]]))*100+tblConcentrado[[#This Row],[N° hora]]</f>
        <v>2026091222</v>
      </c>
      <c r="C280" s="871">
        <v>46277</v>
      </c>
      <c r="D280">
        <v>22</v>
      </c>
      <c r="E280" s="952">
        <v>0.25</v>
      </c>
      <c r="F280" s="256">
        <v>1493</v>
      </c>
      <c r="G280" s="256">
        <v>1098</v>
      </c>
      <c r="H280" s="970"/>
      <c r="I280" s="970"/>
      <c r="J280" s="970"/>
      <c r="K280" s="970"/>
      <c r="L280" s="970"/>
      <c r="M280" s="971"/>
      <c r="N280" s="971"/>
      <c r="O280" s="971"/>
      <c r="P280" s="971"/>
      <c r="Q280" s="971"/>
      <c r="R280" t="s">
        <v>9258</v>
      </c>
      <c r="S280" t="s">
        <v>183</v>
      </c>
      <c r="U280" t="s">
        <v>9333</v>
      </c>
      <c r="V280" s="871">
        <v>46293</v>
      </c>
      <c r="W28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8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80" s="974">
        <f>IFERROR(tblConcentrado[[#This Row],[Concentrado (TMS)]]/tblConcentrado[[#This Row],[Mineral (TMS)]],"")</f>
        <v>0.73543201607501674</v>
      </c>
      <c r="Z280" s="973">
        <f>IFERROR(1/tblConcentrado[[#This Row],[% Recup.]],0)</f>
        <v>1.3597449908925319</v>
      </c>
      <c r="AA280" s="975" t="str">
        <f>IF(COUNTIFS(tblConcentrado[ID],tblConcentrado[[#This Row],[ID]])&gt;1,"Duplicado","")</f>
        <v/>
      </c>
    </row>
    <row r="281" spans="2:27">
      <c r="B281" s="976">
        <f>(YEAR(tblConcentrado[[#This Row],[Fecha]])*10000+MONTH(tblConcentrado[[#This Row],[Fecha]])*100+DAY(tblConcentrado[[#This Row],[Fecha]]))*100+tblConcentrado[[#This Row],[N° hora]]</f>
        <v>2026091223</v>
      </c>
      <c r="C281" s="871">
        <v>46277</v>
      </c>
      <c r="D281">
        <v>23</v>
      </c>
      <c r="E281" s="952">
        <v>0.29166666666666702</v>
      </c>
      <c r="F281" s="256">
        <v>1496</v>
      </c>
      <c r="G281" s="256">
        <v>1089</v>
      </c>
      <c r="H281" s="970">
        <v>0.221</v>
      </c>
      <c r="I281" s="970">
        <v>0.76900000000000002</v>
      </c>
      <c r="J281" s="970">
        <v>0.44</v>
      </c>
      <c r="K281" s="970">
        <v>0.749</v>
      </c>
      <c r="L281" s="970">
        <v>0.41</v>
      </c>
      <c r="M281" s="971">
        <v>27.6</v>
      </c>
      <c r="N281" s="971">
        <v>16.899999999999999</v>
      </c>
      <c r="O281" s="971">
        <v>4.0999999999999996</v>
      </c>
      <c r="P281" s="971">
        <v>2.9</v>
      </c>
      <c r="Q281" s="971">
        <v>8.8000000000000007</v>
      </c>
      <c r="R281" t="s">
        <v>9258</v>
      </c>
      <c r="U281" t="s">
        <v>9333</v>
      </c>
      <c r="V281" s="871">
        <v>46293</v>
      </c>
      <c r="W28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21.18</v>
      </c>
      <c r="X28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3.38</v>
      </c>
      <c r="Y281" s="974">
        <f>IFERROR(tblConcentrado[[#This Row],[Concentrado (TMS)]]/tblConcentrado[[#This Row],[Mineral (TMS)]],"")</f>
        <v>0.7279411764705882</v>
      </c>
      <c r="Z281" s="973">
        <f>IFERROR(1/tblConcentrado[[#This Row],[% Recup.]],0)</f>
        <v>1.3737373737373737</v>
      </c>
      <c r="AA281" s="975" t="str">
        <f>IF(COUNTIFS(tblConcentrado[ID],tblConcentrado[[#This Row],[ID]])&gt;1,"Duplicado","")</f>
        <v/>
      </c>
    </row>
    <row r="282" spans="2:27">
      <c r="B282" s="976">
        <f>(YEAR(tblConcentrado[[#This Row],[Fecha]])*10000+MONTH(tblConcentrado[[#This Row],[Fecha]])*100+DAY(tblConcentrado[[#This Row],[Fecha]]))*100+tblConcentrado[[#This Row],[N° hora]]</f>
        <v>2026091224</v>
      </c>
      <c r="C282" s="871">
        <v>46277</v>
      </c>
      <c r="D282">
        <v>24</v>
      </c>
      <c r="E282" s="952">
        <v>0.33333333333333298</v>
      </c>
      <c r="F282" s="256">
        <v>1485</v>
      </c>
      <c r="G282" s="256">
        <v>907</v>
      </c>
      <c r="H282" s="970"/>
      <c r="I282" s="970"/>
      <c r="J282" s="970"/>
      <c r="K282" s="970"/>
      <c r="L282" s="970"/>
      <c r="M282" s="971"/>
      <c r="N282" s="971"/>
      <c r="O282" s="971"/>
      <c r="P282" s="971"/>
      <c r="Q282" s="971"/>
      <c r="R282" t="s">
        <v>9258</v>
      </c>
      <c r="U282" t="s">
        <v>9333</v>
      </c>
      <c r="V282" s="871">
        <v>46293</v>
      </c>
      <c r="W28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8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82" s="974">
        <f>IFERROR(tblConcentrado[[#This Row],[Concentrado (TMS)]]/tblConcentrado[[#This Row],[Mineral (TMS)]],"")</f>
        <v>0.61077441077441075</v>
      </c>
      <c r="Z282" s="973">
        <f>IFERROR(1/tblConcentrado[[#This Row],[% Recup.]],0)</f>
        <v>1.6372657111356119</v>
      </c>
      <c r="AA282" s="975" t="str">
        <f>IF(COUNTIFS(tblConcentrado[ID],tblConcentrado[[#This Row],[ID]])&gt;1,"Duplicado","")</f>
        <v/>
      </c>
    </row>
    <row r="283" spans="2:27">
      <c r="B283" s="976">
        <f>(YEAR(tblConcentrado[[#This Row],[Fecha]])*10000+MONTH(tblConcentrado[[#This Row],[Fecha]])*100+DAY(tblConcentrado[[#This Row],[Fecha]]))*100+tblConcentrado[[#This Row],[N° hora]]</f>
        <v>2026091301</v>
      </c>
      <c r="C283" s="871">
        <v>46278</v>
      </c>
      <c r="D283">
        <v>1</v>
      </c>
      <c r="E283" s="952">
        <v>0.375</v>
      </c>
      <c r="F283" s="256">
        <v>1225</v>
      </c>
      <c r="G283" s="256">
        <v>972</v>
      </c>
      <c r="H283" s="970">
        <v>0.20799999999999999</v>
      </c>
      <c r="I283" s="970">
        <v>1.1240000000000001</v>
      </c>
      <c r="J283" s="970">
        <v>0.79</v>
      </c>
      <c r="K283" s="970">
        <v>1.153</v>
      </c>
      <c r="L283" s="970">
        <v>0.86</v>
      </c>
      <c r="M283" s="971">
        <v>24.5</v>
      </c>
      <c r="N283" s="971">
        <v>19.7</v>
      </c>
      <c r="O283" s="971">
        <v>5.3</v>
      </c>
      <c r="P283" s="971">
        <v>4.9000000000000004</v>
      </c>
      <c r="Q283" s="971">
        <v>8.6</v>
      </c>
      <c r="R283" t="s">
        <v>9258</v>
      </c>
      <c r="U283" t="s">
        <v>9333</v>
      </c>
      <c r="V283" s="871">
        <v>46293</v>
      </c>
      <c r="W28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21.619999999999997</v>
      </c>
      <c r="X28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5.0600000000000005</v>
      </c>
      <c r="Y283" s="974">
        <f>IFERROR(tblConcentrado[[#This Row],[Concentrado (TMS)]]/tblConcentrado[[#This Row],[Mineral (TMS)]],"")</f>
        <v>0.79346938775510201</v>
      </c>
      <c r="Z283" s="973">
        <f>IFERROR(1/tblConcentrado[[#This Row],[% Recup.]],0)</f>
        <v>1.2602880658436215</v>
      </c>
      <c r="AA283" s="975" t="str">
        <f>IF(COUNTIFS(tblConcentrado[ID],tblConcentrado[[#This Row],[ID]])&gt;1,"Duplicado","")</f>
        <v/>
      </c>
    </row>
    <row r="284" spans="2:27">
      <c r="B284" s="976">
        <f>(YEAR(tblConcentrado[[#This Row],[Fecha]])*10000+MONTH(tblConcentrado[[#This Row],[Fecha]])*100+DAY(tblConcentrado[[#This Row],[Fecha]]))*100+tblConcentrado[[#This Row],[N° hora]]</f>
        <v>2026091302</v>
      </c>
      <c r="C284" s="871">
        <v>46278</v>
      </c>
      <c r="D284">
        <v>2</v>
      </c>
      <c r="E284" s="952">
        <v>0.41666666666666702</v>
      </c>
      <c r="F284" s="256">
        <v>1463</v>
      </c>
      <c r="G284" s="256">
        <v>895</v>
      </c>
      <c r="H284" s="970"/>
      <c r="I284" s="970"/>
      <c r="J284" s="970"/>
      <c r="K284" s="970"/>
      <c r="L284" s="970"/>
      <c r="M284" s="971"/>
      <c r="N284" s="971"/>
      <c r="O284" s="971"/>
      <c r="P284" s="971"/>
      <c r="Q284" s="971"/>
      <c r="R284" t="s">
        <v>9258</v>
      </c>
      <c r="U284" t="s">
        <v>9333</v>
      </c>
      <c r="V284" s="871">
        <v>46293</v>
      </c>
      <c r="W28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8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84" s="974">
        <f>IFERROR(tblConcentrado[[#This Row],[Concentrado (TMS)]]/tblConcentrado[[#This Row],[Mineral (TMS)]],"")</f>
        <v>0.61175666438824339</v>
      </c>
      <c r="Z284" s="973">
        <f>IFERROR(1/tblConcentrado[[#This Row],[% Recup.]],0)</f>
        <v>1.6346368715083797</v>
      </c>
      <c r="AA284" s="975" t="str">
        <f>IF(COUNTIFS(tblConcentrado[ID],tblConcentrado[[#This Row],[ID]])&gt;1,"Duplicado","")</f>
        <v/>
      </c>
    </row>
    <row r="285" spans="2:27">
      <c r="B285" s="976">
        <f>(YEAR(tblConcentrado[[#This Row],[Fecha]])*10000+MONTH(tblConcentrado[[#This Row],[Fecha]])*100+DAY(tblConcentrado[[#This Row],[Fecha]]))*100+tblConcentrado[[#This Row],[N° hora]]</f>
        <v>2026091303</v>
      </c>
      <c r="C285" s="871">
        <v>46278</v>
      </c>
      <c r="D285">
        <v>3</v>
      </c>
      <c r="E285" s="952">
        <v>0.45833333333333298</v>
      </c>
      <c r="F285" s="256">
        <v>1499</v>
      </c>
      <c r="G285" s="256">
        <v>971</v>
      </c>
      <c r="H285" s="970">
        <v>0.28199999999999997</v>
      </c>
      <c r="I285" s="970">
        <v>0.69099999999999995</v>
      </c>
      <c r="J285" s="970">
        <v>0.4</v>
      </c>
      <c r="K285" s="970">
        <v>0.82199999999999995</v>
      </c>
      <c r="L285" s="970">
        <v>0.59</v>
      </c>
      <c r="M285" s="971">
        <v>29.8</v>
      </c>
      <c r="N285" s="971">
        <v>20.7</v>
      </c>
      <c r="O285" s="971">
        <v>5.8</v>
      </c>
      <c r="P285" s="971">
        <v>4.4000000000000004</v>
      </c>
      <c r="Q285" s="971">
        <v>8.3000000000000007</v>
      </c>
      <c r="R285" t="s">
        <v>9258</v>
      </c>
      <c r="U285" t="s">
        <v>9333</v>
      </c>
      <c r="V285" s="871">
        <v>46293</v>
      </c>
      <c r="W28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24.340000000000003</v>
      </c>
      <c r="X28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4.96</v>
      </c>
      <c r="Y285" s="974">
        <f>IFERROR(tblConcentrado[[#This Row],[Concentrado (TMS)]]/tblConcentrado[[#This Row],[Mineral (TMS)]],"")</f>
        <v>0.64776517678452306</v>
      </c>
      <c r="Z285" s="973">
        <f>IFERROR(1/tblConcentrado[[#This Row],[% Recup.]],0)</f>
        <v>1.5437693099897012</v>
      </c>
      <c r="AA285" s="975" t="str">
        <f>IF(COUNTIFS(tblConcentrado[ID],tblConcentrado[[#This Row],[ID]])&gt;1,"Duplicado","")</f>
        <v/>
      </c>
    </row>
    <row r="286" spans="2:27">
      <c r="B286" s="976">
        <f>(YEAR(tblConcentrado[[#This Row],[Fecha]])*10000+MONTH(tblConcentrado[[#This Row],[Fecha]])*100+DAY(tblConcentrado[[#This Row],[Fecha]]))*100+tblConcentrado[[#This Row],[N° hora]]</f>
        <v>2026091304</v>
      </c>
      <c r="C286" s="871">
        <v>46278</v>
      </c>
      <c r="D286">
        <v>4</v>
      </c>
      <c r="E286" s="952">
        <v>0.5</v>
      </c>
      <c r="F286" s="256">
        <v>1503</v>
      </c>
      <c r="G286" s="256">
        <v>875</v>
      </c>
      <c r="H286" s="970"/>
      <c r="I286" s="970"/>
      <c r="J286" s="970"/>
      <c r="K286" s="970"/>
      <c r="L286" s="970"/>
      <c r="M286" s="971"/>
      <c r="N286" s="971"/>
      <c r="O286" s="971"/>
      <c r="P286" s="971"/>
      <c r="Q286" s="971"/>
      <c r="R286" t="s">
        <v>9258</v>
      </c>
      <c r="U286" t="s">
        <v>9333</v>
      </c>
      <c r="V286" s="871">
        <v>46293</v>
      </c>
      <c r="W28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8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86" s="974">
        <f>IFERROR(tblConcentrado[[#This Row],[Concentrado (TMS)]]/tblConcentrado[[#This Row],[Mineral (TMS)]],"")</f>
        <v>0.58216899534264799</v>
      </c>
      <c r="Z286" s="973">
        <f>IFERROR(1/tblConcentrado[[#This Row],[% Recup.]],0)</f>
        <v>1.7177142857142857</v>
      </c>
      <c r="AA286" s="975" t="str">
        <f>IF(COUNTIFS(tblConcentrado[ID],tblConcentrado[[#This Row],[ID]])&gt;1,"Duplicado","")</f>
        <v/>
      </c>
    </row>
    <row r="287" spans="2:27">
      <c r="B287" s="976">
        <f>(YEAR(tblConcentrado[[#This Row],[Fecha]])*10000+MONTH(tblConcentrado[[#This Row],[Fecha]])*100+DAY(tblConcentrado[[#This Row],[Fecha]]))*100+tblConcentrado[[#This Row],[N° hora]]</f>
        <v>2026091305</v>
      </c>
      <c r="C287" s="871">
        <v>46278</v>
      </c>
      <c r="D287">
        <v>5</v>
      </c>
      <c r="E287" s="952">
        <v>0.54166666666666696</v>
      </c>
      <c r="F287" s="256">
        <v>1579</v>
      </c>
      <c r="G287" s="256">
        <v>1040</v>
      </c>
      <c r="H287" s="970">
        <v>0.222</v>
      </c>
      <c r="I287" s="970">
        <v>0.93799999999999994</v>
      </c>
      <c r="J287" s="970">
        <v>0.63</v>
      </c>
      <c r="K287" s="970">
        <v>0.72499999999999998</v>
      </c>
      <c r="L287" s="970">
        <v>0.52</v>
      </c>
      <c r="M287" s="971">
        <v>28.3</v>
      </c>
      <c r="N287" s="971">
        <v>15.4</v>
      </c>
      <c r="O287" s="971">
        <v>2.6</v>
      </c>
      <c r="P287" s="971">
        <v>2.5</v>
      </c>
      <c r="Q287" s="971">
        <v>8.5</v>
      </c>
      <c r="R287" t="s">
        <v>9258</v>
      </c>
      <c r="U287" t="s">
        <v>9333</v>
      </c>
      <c r="V287" s="871">
        <v>46293</v>
      </c>
      <c r="W28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20.560000000000002</v>
      </c>
      <c r="X28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2.54</v>
      </c>
      <c r="Y287" s="974">
        <f>IFERROR(tblConcentrado[[#This Row],[Concentrado (TMS)]]/tblConcentrado[[#This Row],[Mineral (TMS)]],"")</f>
        <v>0.6586447118429386</v>
      </c>
      <c r="Z287" s="973">
        <f>IFERROR(1/tblConcentrado[[#This Row],[% Recup.]],0)</f>
        <v>1.5182692307692307</v>
      </c>
      <c r="AA287" s="975" t="str">
        <f>IF(COUNTIFS(tblConcentrado[ID],tblConcentrado[[#This Row],[ID]])&gt;1,"Duplicado","")</f>
        <v/>
      </c>
    </row>
    <row r="288" spans="2:27">
      <c r="B288" s="976">
        <f>(YEAR(tblConcentrado[[#This Row],[Fecha]])*10000+MONTH(tblConcentrado[[#This Row],[Fecha]])*100+DAY(tblConcentrado[[#This Row],[Fecha]]))*100+tblConcentrado[[#This Row],[N° hora]]</f>
        <v>2026091306</v>
      </c>
      <c r="C288" s="871">
        <v>46278</v>
      </c>
      <c r="D288">
        <v>6</v>
      </c>
      <c r="E288" s="952">
        <v>0.58333333333333304</v>
      </c>
      <c r="F288" s="256">
        <v>1566</v>
      </c>
      <c r="G288" s="256">
        <v>963</v>
      </c>
      <c r="H288" s="970"/>
      <c r="I288" s="970"/>
      <c r="J288" s="970"/>
      <c r="K288" s="970"/>
      <c r="L288" s="970"/>
      <c r="M288" s="971"/>
      <c r="N288" s="971"/>
      <c r="O288" s="971"/>
      <c r="P288" s="971"/>
      <c r="Q288" s="971"/>
      <c r="R288" t="s">
        <v>9258</v>
      </c>
      <c r="U288" t="s">
        <v>9333</v>
      </c>
      <c r="V288" s="871">
        <v>46293</v>
      </c>
      <c r="W28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8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88" s="974">
        <f>IFERROR(tblConcentrado[[#This Row],[Concentrado (TMS)]]/tblConcentrado[[#This Row],[Mineral (TMS)]],"")</f>
        <v>0.61494252873563215</v>
      </c>
      <c r="Z288" s="973">
        <f>IFERROR(1/tblConcentrado[[#This Row],[% Recup.]],0)</f>
        <v>1.6261682242990656</v>
      </c>
      <c r="AA288" s="975" t="str">
        <f>IF(COUNTIFS(tblConcentrado[ID],tblConcentrado[[#This Row],[ID]])&gt;1,"Duplicado","")</f>
        <v/>
      </c>
    </row>
    <row r="289" spans="2:27">
      <c r="B289" s="976">
        <f>(YEAR(tblConcentrado[[#This Row],[Fecha]])*10000+MONTH(tblConcentrado[[#This Row],[Fecha]])*100+DAY(tblConcentrado[[#This Row],[Fecha]]))*100+tblConcentrado[[#This Row],[N° hora]]</f>
        <v>2026091307</v>
      </c>
      <c r="C289" s="871">
        <v>46278</v>
      </c>
      <c r="D289">
        <v>7</v>
      </c>
      <c r="E289" s="952">
        <v>0.625</v>
      </c>
      <c r="F289" s="256">
        <v>1588</v>
      </c>
      <c r="G289" s="256">
        <v>1023</v>
      </c>
      <c r="H289" s="970">
        <v>0.21099999999999999</v>
      </c>
      <c r="I289" s="970">
        <v>0.73399999999999999</v>
      </c>
      <c r="J289" s="970">
        <v>0.46</v>
      </c>
      <c r="K289" s="970">
        <v>0.91200000000000003</v>
      </c>
      <c r="L289" s="970">
        <v>0.61</v>
      </c>
      <c r="M289" s="971">
        <v>26.4</v>
      </c>
      <c r="N289" s="971">
        <v>14.9</v>
      </c>
      <c r="O289" s="971">
        <v>3</v>
      </c>
      <c r="P289" s="971">
        <v>2.1</v>
      </c>
      <c r="Q289" s="971">
        <v>8.4</v>
      </c>
      <c r="R289" t="s">
        <v>9258</v>
      </c>
      <c r="U289" t="s">
        <v>9333</v>
      </c>
      <c r="V289" s="871">
        <v>46293</v>
      </c>
      <c r="W28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19.5</v>
      </c>
      <c r="X28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2.46</v>
      </c>
      <c r="Y289" s="974">
        <f>IFERROR(tblConcentrado[[#This Row],[Concentrado (TMS)]]/tblConcentrado[[#This Row],[Mineral (TMS)]],"")</f>
        <v>0.64420654911838793</v>
      </c>
      <c r="Z289" s="973">
        <f>IFERROR(1/tblConcentrado[[#This Row],[% Recup.]],0)</f>
        <v>1.552297165200391</v>
      </c>
      <c r="AA289" s="975" t="str">
        <f>IF(COUNTIFS(tblConcentrado[ID],tblConcentrado[[#This Row],[ID]])&gt;1,"Duplicado","")</f>
        <v/>
      </c>
    </row>
    <row r="290" spans="2:27">
      <c r="B290" s="976">
        <f>(YEAR(tblConcentrado[[#This Row],[Fecha]])*10000+MONTH(tblConcentrado[[#This Row],[Fecha]])*100+DAY(tblConcentrado[[#This Row],[Fecha]]))*100+tblConcentrado[[#This Row],[N° hora]]</f>
        <v>2026091308</v>
      </c>
      <c r="C290" s="871">
        <v>46278</v>
      </c>
      <c r="D290">
        <v>8</v>
      </c>
      <c r="E290" s="952">
        <v>0.66666666666666696</v>
      </c>
      <c r="F290" s="256">
        <v>1590</v>
      </c>
      <c r="G290" s="256">
        <v>1072</v>
      </c>
      <c r="H290" s="970"/>
      <c r="I290" s="970"/>
      <c r="J290" s="970"/>
      <c r="K290" s="970"/>
      <c r="L290" s="970"/>
      <c r="M290" s="971"/>
      <c r="N290" s="971"/>
      <c r="O290" s="971"/>
      <c r="P290" s="971"/>
      <c r="Q290" s="971"/>
      <c r="R290" t="s">
        <v>9258</v>
      </c>
      <c r="U290" t="s">
        <v>9333</v>
      </c>
      <c r="V290" s="871">
        <v>46293</v>
      </c>
      <c r="W29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9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90" s="974">
        <f>IFERROR(tblConcentrado[[#This Row],[Concentrado (TMS)]]/tblConcentrado[[#This Row],[Mineral (TMS)]],"")</f>
        <v>0.67421383647798738</v>
      </c>
      <c r="Z290" s="973">
        <f>IFERROR(1/tblConcentrado[[#This Row],[% Recup.]],0)</f>
        <v>1.4832089552238807</v>
      </c>
      <c r="AA290" s="975" t="str">
        <f>IF(COUNTIFS(tblConcentrado[ID],tblConcentrado[[#This Row],[ID]])&gt;1,"Duplicado","")</f>
        <v/>
      </c>
    </row>
    <row r="291" spans="2:27">
      <c r="B291" s="976">
        <f>(YEAR(tblConcentrado[[#This Row],[Fecha]])*10000+MONTH(tblConcentrado[[#This Row],[Fecha]])*100+DAY(tblConcentrado[[#This Row],[Fecha]]))*100+tblConcentrado[[#This Row],[N° hora]]</f>
        <v>2026091309</v>
      </c>
      <c r="C291" s="871">
        <v>46278</v>
      </c>
      <c r="D291">
        <v>9</v>
      </c>
      <c r="E291" s="952">
        <v>0.70833333333333304</v>
      </c>
      <c r="F291" s="256">
        <v>1589</v>
      </c>
      <c r="G291" s="256">
        <v>1008</v>
      </c>
      <c r="H291" s="970">
        <v>0.217</v>
      </c>
      <c r="I291" s="970">
        <v>0.64800000000000002</v>
      </c>
      <c r="J291" s="970">
        <v>0.37</v>
      </c>
      <c r="K291" s="970">
        <v>0.66600000000000004</v>
      </c>
      <c r="L291" s="970">
        <v>0.36</v>
      </c>
      <c r="M291" s="971">
        <v>23.9</v>
      </c>
      <c r="N291" s="971">
        <v>15.4</v>
      </c>
      <c r="O291" s="971">
        <v>3</v>
      </c>
      <c r="P291" s="971">
        <v>3.3</v>
      </c>
      <c r="Q291" s="971">
        <v>8.6999999999999993</v>
      </c>
      <c r="R291" t="s">
        <v>9258</v>
      </c>
      <c r="U291" t="s">
        <v>9333</v>
      </c>
      <c r="V291" s="871">
        <v>46293</v>
      </c>
      <c r="W29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18.8</v>
      </c>
      <c r="X29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3.1799999999999997</v>
      </c>
      <c r="Y291" s="974">
        <f>IFERROR(tblConcentrado[[#This Row],[Concentrado (TMS)]]/tblConcentrado[[#This Row],[Mineral (TMS)]],"")</f>
        <v>0.63436123348017626</v>
      </c>
      <c r="Z291" s="973">
        <f>IFERROR(1/tblConcentrado[[#This Row],[% Recup.]],0)</f>
        <v>1.5763888888888888</v>
      </c>
      <c r="AA291" s="975" t="str">
        <f>IF(COUNTIFS(tblConcentrado[ID],tblConcentrado[[#This Row],[ID]])&gt;1,"Duplicado","")</f>
        <v/>
      </c>
    </row>
    <row r="292" spans="2:27">
      <c r="B292" s="976">
        <f>(YEAR(tblConcentrado[[#This Row],[Fecha]])*10000+MONTH(tblConcentrado[[#This Row],[Fecha]])*100+DAY(tblConcentrado[[#This Row],[Fecha]]))*100+tblConcentrado[[#This Row],[N° hora]]</f>
        <v>2026091310</v>
      </c>
      <c r="C292" s="871">
        <v>46278</v>
      </c>
      <c r="D292">
        <v>10</v>
      </c>
      <c r="E292" s="952">
        <v>0.75</v>
      </c>
      <c r="F292" s="256">
        <v>1558</v>
      </c>
      <c r="G292" s="256">
        <v>1115</v>
      </c>
      <c r="H292" s="970"/>
      <c r="I292" s="970"/>
      <c r="J292" s="970"/>
      <c r="K292" s="970"/>
      <c r="L292" s="970"/>
      <c r="M292" s="971"/>
      <c r="N292" s="971"/>
      <c r="O292" s="971"/>
      <c r="P292" s="971"/>
      <c r="Q292" s="971"/>
      <c r="R292" t="s">
        <v>9258</v>
      </c>
      <c r="S292" t="s">
        <v>184</v>
      </c>
      <c r="U292" t="s">
        <v>9333</v>
      </c>
      <c r="V292" s="871">
        <v>46293</v>
      </c>
      <c r="W29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9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92" s="974">
        <f>IFERROR(tblConcentrado[[#This Row],[Concentrado (TMS)]]/tblConcentrado[[#This Row],[Mineral (TMS)]],"")</f>
        <v>0.71566110397946081</v>
      </c>
      <c r="Z292" s="973">
        <f>IFERROR(1/tblConcentrado[[#This Row],[% Recup.]],0)</f>
        <v>1.3973094170403588</v>
      </c>
      <c r="AA292" s="975" t="str">
        <f>IF(COUNTIFS(tblConcentrado[ID],tblConcentrado[[#This Row],[ID]])&gt;1,"Duplicado","")</f>
        <v/>
      </c>
    </row>
    <row r="293" spans="2:27">
      <c r="B293" s="976">
        <f>(YEAR(tblConcentrado[[#This Row],[Fecha]])*10000+MONTH(tblConcentrado[[#This Row],[Fecha]])*100+DAY(tblConcentrado[[#This Row],[Fecha]]))*100+tblConcentrado[[#This Row],[N° hora]]</f>
        <v>2026091311</v>
      </c>
      <c r="C293" s="871">
        <v>46278</v>
      </c>
      <c r="D293">
        <v>11</v>
      </c>
      <c r="E293" s="952">
        <v>0.79166666666666696</v>
      </c>
      <c r="F293" s="256">
        <v>1412</v>
      </c>
      <c r="G293" s="256">
        <v>1047</v>
      </c>
      <c r="H293" s="970">
        <v>0.22600000000000001</v>
      </c>
      <c r="I293" s="970">
        <v>0.68400000000000005</v>
      </c>
      <c r="J293" s="970">
        <v>0.38</v>
      </c>
      <c r="K293" s="970">
        <v>0.65900000000000003</v>
      </c>
      <c r="L293" s="970">
        <v>0.31</v>
      </c>
      <c r="M293" s="971">
        <v>27.9</v>
      </c>
      <c r="N293" s="971">
        <v>18</v>
      </c>
      <c r="O293" s="971">
        <v>3.5</v>
      </c>
      <c r="P293" s="971">
        <v>2.2999999999999998</v>
      </c>
      <c r="Q293" s="971">
        <v>8.6</v>
      </c>
      <c r="R293" t="s">
        <v>9258</v>
      </c>
      <c r="U293" t="s">
        <v>9333</v>
      </c>
      <c r="V293" s="871">
        <v>46293</v>
      </c>
      <c r="W29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21.96</v>
      </c>
      <c r="X29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2.7800000000000002</v>
      </c>
      <c r="Y293" s="974">
        <f>IFERROR(tblConcentrado[[#This Row],[Concentrado (TMS)]]/tblConcentrado[[#This Row],[Mineral (TMS)]],"")</f>
        <v>0.74150141643059486</v>
      </c>
      <c r="Z293" s="973">
        <f>IFERROR(1/tblConcentrado[[#This Row],[% Recup.]],0)</f>
        <v>1.3486150907354346</v>
      </c>
      <c r="AA293" s="975" t="str">
        <f>IF(COUNTIFS(tblConcentrado[ID],tblConcentrado[[#This Row],[ID]])&gt;1,"Duplicado","")</f>
        <v/>
      </c>
    </row>
    <row r="294" spans="2:27">
      <c r="B294" s="976">
        <f>(YEAR(tblConcentrado[[#This Row],[Fecha]])*10000+MONTH(tblConcentrado[[#This Row],[Fecha]])*100+DAY(tblConcentrado[[#This Row],[Fecha]]))*100+tblConcentrado[[#This Row],[N° hora]]</f>
        <v>2026091312</v>
      </c>
      <c r="C294" s="871">
        <v>46278</v>
      </c>
      <c r="D294">
        <v>12</v>
      </c>
      <c r="E294" s="952">
        <v>0.83333333333333304</v>
      </c>
      <c r="F294" s="256">
        <v>1408</v>
      </c>
      <c r="G294" s="256">
        <v>940</v>
      </c>
      <c r="H294" s="970"/>
      <c r="I294" s="970"/>
      <c r="J294" s="970"/>
      <c r="K294" s="970"/>
      <c r="L294" s="970"/>
      <c r="M294" s="971"/>
      <c r="N294" s="971"/>
      <c r="O294" s="971"/>
      <c r="P294" s="971"/>
      <c r="Q294" s="971"/>
      <c r="R294" t="s">
        <v>9258</v>
      </c>
      <c r="U294" t="s">
        <v>9333</v>
      </c>
      <c r="V294" s="871">
        <v>46293</v>
      </c>
      <c r="W29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9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94" s="974">
        <f>IFERROR(tblConcentrado[[#This Row],[Concentrado (TMS)]]/tblConcentrado[[#This Row],[Mineral (TMS)]],"")</f>
        <v>0.66761363636363635</v>
      </c>
      <c r="Z294" s="973">
        <f>IFERROR(1/tblConcentrado[[#This Row],[% Recup.]],0)</f>
        <v>1.4978723404255319</v>
      </c>
      <c r="AA294" s="975" t="str">
        <f>IF(COUNTIFS(tblConcentrado[ID],tblConcentrado[[#This Row],[ID]])&gt;1,"Duplicado","")</f>
        <v/>
      </c>
    </row>
    <row r="295" spans="2:27">
      <c r="B295" s="976">
        <f>(YEAR(tblConcentrado[[#This Row],[Fecha]])*10000+MONTH(tblConcentrado[[#This Row],[Fecha]])*100+DAY(tblConcentrado[[#This Row],[Fecha]]))*100+tblConcentrado[[#This Row],[N° hora]]</f>
        <v>2026091313</v>
      </c>
      <c r="C295" s="871">
        <v>46278</v>
      </c>
      <c r="D295">
        <v>13</v>
      </c>
      <c r="E295" s="952">
        <v>0.875</v>
      </c>
      <c r="F295" s="256">
        <v>1404</v>
      </c>
      <c r="G295" s="256">
        <v>965</v>
      </c>
      <c r="H295" s="970">
        <v>0.19</v>
      </c>
      <c r="I295" s="970">
        <v>0.9</v>
      </c>
      <c r="J295" s="970">
        <v>0.5</v>
      </c>
      <c r="K295" s="970">
        <v>0.82099999999999995</v>
      </c>
      <c r="L295" s="970">
        <v>0.46</v>
      </c>
      <c r="M295" s="971">
        <v>26</v>
      </c>
      <c r="N295" s="971">
        <v>17</v>
      </c>
      <c r="O295" s="971">
        <v>3.6</v>
      </c>
      <c r="P295" s="971">
        <v>2.9</v>
      </c>
      <c r="Q295" s="971">
        <v>8.5</v>
      </c>
      <c r="R295" t="s">
        <v>9258</v>
      </c>
      <c r="S295" t="s">
        <v>185</v>
      </c>
      <c r="U295" t="s">
        <v>9333</v>
      </c>
      <c r="V295" s="871">
        <v>46293</v>
      </c>
      <c r="W29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20.6</v>
      </c>
      <c r="X29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3.18</v>
      </c>
      <c r="Y295" s="974">
        <f>IFERROR(tblConcentrado[[#This Row],[Concentrado (TMS)]]/tblConcentrado[[#This Row],[Mineral (TMS)]],"")</f>
        <v>0.68732193732193736</v>
      </c>
      <c r="Z295" s="973">
        <f>IFERROR(1/tblConcentrado[[#This Row],[% Recup.]],0)</f>
        <v>1.4549222797927461</v>
      </c>
      <c r="AA295" s="975" t="str">
        <f>IF(COUNTIFS(tblConcentrado[ID],tblConcentrado[[#This Row],[ID]])&gt;1,"Duplicado","")</f>
        <v/>
      </c>
    </row>
    <row r="296" spans="2:27">
      <c r="B296" s="976">
        <f>(YEAR(tblConcentrado[[#This Row],[Fecha]])*10000+MONTH(tblConcentrado[[#This Row],[Fecha]])*100+DAY(tblConcentrado[[#This Row],[Fecha]]))*100+tblConcentrado[[#This Row],[N° hora]]</f>
        <v>2026091314</v>
      </c>
      <c r="C296" s="871">
        <v>46278</v>
      </c>
      <c r="D296">
        <v>14</v>
      </c>
      <c r="E296" s="952">
        <v>0.91666666666666696</v>
      </c>
      <c r="F296" s="256">
        <v>1307</v>
      </c>
      <c r="G296" s="256">
        <v>894</v>
      </c>
      <c r="H296" s="970"/>
      <c r="I296" s="970"/>
      <c r="J296" s="970"/>
      <c r="K296" s="970"/>
      <c r="L296" s="970"/>
      <c r="M296" s="971"/>
      <c r="N296" s="971"/>
      <c r="O296" s="971"/>
      <c r="P296" s="971"/>
      <c r="Q296" s="971"/>
      <c r="R296" t="s">
        <v>9258</v>
      </c>
      <c r="S296" t="s">
        <v>186</v>
      </c>
      <c r="U296" t="s">
        <v>9333</v>
      </c>
      <c r="V296" s="871">
        <v>46293</v>
      </c>
      <c r="W29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9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96" s="974">
        <f>IFERROR(tblConcentrado[[#This Row],[Concentrado (TMS)]]/tblConcentrado[[#This Row],[Mineral (TMS)]],"")</f>
        <v>0.68400918133129307</v>
      </c>
      <c r="Z296" s="973">
        <f>IFERROR(1/tblConcentrado[[#This Row],[% Recup.]],0)</f>
        <v>1.4619686800894853</v>
      </c>
      <c r="AA296" s="975" t="str">
        <f>IF(COUNTIFS(tblConcentrado[ID],tblConcentrado[[#This Row],[ID]])&gt;1,"Duplicado","")</f>
        <v/>
      </c>
    </row>
    <row r="297" spans="2:27">
      <c r="B297" s="976">
        <f>(YEAR(tblConcentrado[[#This Row],[Fecha]])*10000+MONTH(tblConcentrado[[#This Row],[Fecha]])*100+DAY(tblConcentrado[[#This Row],[Fecha]]))*100+tblConcentrado[[#This Row],[N° hora]]</f>
        <v>2026091315</v>
      </c>
      <c r="C297" s="871">
        <v>46278</v>
      </c>
      <c r="D297">
        <v>15</v>
      </c>
      <c r="E297" s="952">
        <v>0.95833333333333304</v>
      </c>
      <c r="F297" s="256">
        <v>1385</v>
      </c>
      <c r="G297" s="256">
        <v>1041</v>
      </c>
      <c r="H297" s="970">
        <v>0.19900000000000001</v>
      </c>
      <c r="I297" s="970">
        <v>0.92800000000000005</v>
      </c>
      <c r="J297" s="970">
        <v>0.47</v>
      </c>
      <c r="K297" s="970">
        <v>0.81599999999999995</v>
      </c>
      <c r="L297" s="970">
        <v>0.41</v>
      </c>
      <c r="M297" s="971">
        <v>27.6</v>
      </c>
      <c r="N297" s="971">
        <v>15.4</v>
      </c>
      <c r="O297" s="971">
        <v>3.9</v>
      </c>
      <c r="P297" s="971">
        <v>2.8</v>
      </c>
      <c r="Q297" s="971">
        <v>8.6</v>
      </c>
      <c r="R297" t="s">
        <v>9258</v>
      </c>
      <c r="S297" t="s">
        <v>187</v>
      </c>
      <c r="U297" t="s">
        <v>9333</v>
      </c>
      <c r="V297" s="871">
        <v>46293</v>
      </c>
      <c r="W29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20.28</v>
      </c>
      <c r="X29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3.24</v>
      </c>
      <c r="Y297" s="974">
        <f>IFERROR(tblConcentrado[[#This Row],[Concentrado (TMS)]]/tblConcentrado[[#This Row],[Mineral (TMS)]],"")</f>
        <v>0.75162454873646212</v>
      </c>
      <c r="Z297" s="973">
        <f>IFERROR(1/tblConcentrado[[#This Row],[% Recup.]],0)</f>
        <v>1.3304514889529298</v>
      </c>
      <c r="AA297" s="975" t="str">
        <f>IF(COUNTIFS(tblConcentrado[ID],tblConcentrado[[#This Row],[ID]])&gt;1,"Duplicado","")</f>
        <v/>
      </c>
    </row>
    <row r="298" spans="2:27">
      <c r="B298" s="976">
        <f>(YEAR(tblConcentrado[[#This Row],[Fecha]])*10000+MONTH(tblConcentrado[[#This Row],[Fecha]])*100+DAY(tblConcentrado[[#This Row],[Fecha]]))*100+tblConcentrado[[#This Row],[N° hora]]</f>
        <v>2026091316</v>
      </c>
      <c r="C298" s="871">
        <v>46278</v>
      </c>
      <c r="D298">
        <v>16</v>
      </c>
      <c r="E298" s="952">
        <v>0</v>
      </c>
      <c r="F298" s="256">
        <v>1438</v>
      </c>
      <c r="G298" s="256">
        <v>699</v>
      </c>
      <c r="H298" s="970"/>
      <c r="I298" s="970"/>
      <c r="J298" s="970"/>
      <c r="K298" s="970"/>
      <c r="L298" s="970"/>
      <c r="M298" s="971"/>
      <c r="N298" s="971"/>
      <c r="O298" s="971"/>
      <c r="P298" s="971"/>
      <c r="Q298" s="971"/>
      <c r="R298" t="s">
        <v>9258</v>
      </c>
      <c r="S298" t="s">
        <v>188</v>
      </c>
      <c r="U298" t="s">
        <v>9333</v>
      </c>
      <c r="V298" s="871">
        <v>46293</v>
      </c>
      <c r="W29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29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298" s="974">
        <f>IFERROR(tblConcentrado[[#This Row],[Concentrado (TMS)]]/tblConcentrado[[#This Row],[Mineral (TMS)]],"")</f>
        <v>0.48609179415855353</v>
      </c>
      <c r="Z298" s="973">
        <f>IFERROR(1/tblConcentrado[[#This Row],[% Recup.]],0)</f>
        <v>2.0572246065808297</v>
      </c>
      <c r="AA298" s="975" t="str">
        <f>IF(COUNTIFS(tblConcentrado[ID],tblConcentrado[[#This Row],[ID]])&gt;1,"Duplicado","")</f>
        <v/>
      </c>
    </row>
    <row r="299" spans="2:27">
      <c r="B299" s="976">
        <f>(YEAR(tblConcentrado[[#This Row],[Fecha]])*10000+MONTH(tblConcentrado[[#This Row],[Fecha]])*100+DAY(tblConcentrado[[#This Row],[Fecha]]))*100+tblConcentrado[[#This Row],[N° hora]]</f>
        <v>2026091317</v>
      </c>
      <c r="C299" s="871">
        <v>46278</v>
      </c>
      <c r="D299">
        <v>17</v>
      </c>
      <c r="E299" s="952">
        <v>4.1666666666666699E-2</v>
      </c>
      <c r="F299" s="256">
        <v>1612</v>
      </c>
      <c r="G299" s="256">
        <v>1064</v>
      </c>
      <c r="H299" s="970">
        <v>0.19900000000000001</v>
      </c>
      <c r="I299" s="970">
        <v>0.57999999999999996</v>
      </c>
      <c r="J299" s="970">
        <v>0.33</v>
      </c>
      <c r="K299" s="970">
        <v>0.76900000000000002</v>
      </c>
      <c r="L299" s="970">
        <v>0.43</v>
      </c>
      <c r="M299" s="971">
        <v>24.4</v>
      </c>
      <c r="N299" s="971">
        <v>15.1</v>
      </c>
      <c r="O299" s="971">
        <v>2.6</v>
      </c>
      <c r="P299" s="971">
        <v>2.2999999999999998</v>
      </c>
      <c r="Q299" s="971">
        <v>8.5</v>
      </c>
      <c r="R299" t="s">
        <v>9258</v>
      </c>
      <c r="S299" t="s">
        <v>189</v>
      </c>
      <c r="U299" t="s">
        <v>9333</v>
      </c>
      <c r="V299" s="871">
        <v>46293</v>
      </c>
      <c r="W29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18.82</v>
      </c>
      <c r="X29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2.42</v>
      </c>
      <c r="Y299" s="974">
        <f>IFERROR(tblConcentrado[[#This Row],[Concentrado (TMS)]]/tblConcentrado[[#This Row],[Mineral (TMS)]],"")</f>
        <v>0.66004962779156329</v>
      </c>
      <c r="Z299" s="973">
        <f>IFERROR(1/tblConcentrado[[#This Row],[% Recup.]],0)</f>
        <v>1.5150375939849623</v>
      </c>
      <c r="AA299" s="975" t="str">
        <f>IF(COUNTIFS(tblConcentrado[ID],tblConcentrado[[#This Row],[ID]])&gt;1,"Duplicado","")</f>
        <v/>
      </c>
    </row>
    <row r="300" spans="2:27">
      <c r="B300" s="976">
        <f>(YEAR(tblConcentrado[[#This Row],[Fecha]])*10000+MONTH(tblConcentrado[[#This Row],[Fecha]])*100+DAY(tblConcentrado[[#This Row],[Fecha]]))*100+tblConcentrado[[#This Row],[N° hora]]</f>
        <v>2026091318</v>
      </c>
      <c r="C300" s="871">
        <v>46278</v>
      </c>
      <c r="D300">
        <v>18</v>
      </c>
      <c r="E300" s="952">
        <v>8.3333333333333301E-2</v>
      </c>
      <c r="F300" s="256">
        <v>1601</v>
      </c>
      <c r="G300" s="256">
        <v>923</v>
      </c>
      <c r="H300" s="970"/>
      <c r="I300" s="970"/>
      <c r="J300" s="970"/>
      <c r="K300" s="970"/>
      <c r="L300" s="970"/>
      <c r="M300" s="971"/>
      <c r="N300" s="971"/>
      <c r="O300" s="971"/>
      <c r="P300" s="971"/>
      <c r="Q300" s="971"/>
      <c r="R300" t="s">
        <v>9258</v>
      </c>
      <c r="S300" t="s">
        <v>190</v>
      </c>
      <c r="U300" t="s">
        <v>9333</v>
      </c>
      <c r="V300" s="871">
        <v>46293</v>
      </c>
      <c r="W30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0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00" s="974">
        <f>IFERROR(tblConcentrado[[#This Row],[Concentrado (TMS)]]/tblConcentrado[[#This Row],[Mineral (TMS)]],"")</f>
        <v>0.57651467832604619</v>
      </c>
      <c r="Z300" s="973">
        <f>IFERROR(1/tblConcentrado[[#This Row],[% Recup.]],0)</f>
        <v>1.734561213434453</v>
      </c>
      <c r="AA300" s="975" t="str">
        <f>IF(COUNTIFS(tblConcentrado[ID],tblConcentrado[[#This Row],[ID]])&gt;1,"Duplicado","")</f>
        <v/>
      </c>
    </row>
    <row r="301" spans="2:27">
      <c r="B301" s="976">
        <f>(YEAR(tblConcentrado[[#This Row],[Fecha]])*10000+MONTH(tblConcentrado[[#This Row],[Fecha]])*100+DAY(tblConcentrado[[#This Row],[Fecha]]))*100+tblConcentrado[[#This Row],[N° hora]]</f>
        <v>2026091319</v>
      </c>
      <c r="C301" s="871">
        <v>46278</v>
      </c>
      <c r="D301">
        <v>19</v>
      </c>
      <c r="E301" s="952">
        <v>0.125</v>
      </c>
      <c r="F301" s="256">
        <v>1597</v>
      </c>
      <c r="G301" s="256">
        <v>957</v>
      </c>
      <c r="H301" s="970">
        <v>0.20200000000000001</v>
      </c>
      <c r="I301" s="970">
        <v>0.56899999999999995</v>
      </c>
      <c r="J301" s="970">
        <v>0.31</v>
      </c>
      <c r="K301" s="970">
        <v>0.58099999999999996</v>
      </c>
      <c r="L301" s="970">
        <v>0.34</v>
      </c>
      <c r="M301" s="971">
        <v>27.7</v>
      </c>
      <c r="N301" s="971">
        <v>15.3</v>
      </c>
      <c r="O301" s="971">
        <v>3.8</v>
      </c>
      <c r="P301" s="971">
        <v>2.2999999999999998</v>
      </c>
      <c r="Q301" s="971">
        <v>8.4</v>
      </c>
      <c r="R301" t="s">
        <v>9258</v>
      </c>
      <c r="U301" t="s">
        <v>9333</v>
      </c>
      <c r="V301" s="871">
        <v>46293</v>
      </c>
      <c r="W30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20.259999999999998</v>
      </c>
      <c r="X30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2.9</v>
      </c>
      <c r="Y301" s="974">
        <f>IFERROR(tblConcentrado[[#This Row],[Concentrado (TMS)]]/tblConcentrado[[#This Row],[Mineral (TMS)]],"")</f>
        <v>0.59924859110832807</v>
      </c>
      <c r="Z301" s="973">
        <f>IFERROR(1/tblConcentrado[[#This Row],[% Recup.]],0)</f>
        <v>1.6687565308254966</v>
      </c>
      <c r="AA301" s="975" t="str">
        <f>IF(COUNTIFS(tblConcentrado[ID],tblConcentrado[[#This Row],[ID]])&gt;1,"Duplicado","")</f>
        <v/>
      </c>
    </row>
    <row r="302" spans="2:27">
      <c r="B302" s="976">
        <f>(YEAR(tblConcentrado[[#This Row],[Fecha]])*10000+MONTH(tblConcentrado[[#This Row],[Fecha]])*100+DAY(tblConcentrado[[#This Row],[Fecha]]))*100+tblConcentrado[[#This Row],[N° hora]]</f>
        <v>2026091320</v>
      </c>
      <c r="C302" s="871">
        <v>46278</v>
      </c>
      <c r="D302">
        <v>20</v>
      </c>
      <c r="E302" s="952">
        <v>0.16666666666666699</v>
      </c>
      <c r="F302" s="256">
        <v>1428</v>
      </c>
      <c r="G302" s="256">
        <v>984</v>
      </c>
      <c r="H302" s="970"/>
      <c r="I302" s="970"/>
      <c r="J302" s="970"/>
      <c r="K302" s="970"/>
      <c r="L302" s="970"/>
      <c r="M302" s="971"/>
      <c r="N302" s="971"/>
      <c r="O302" s="971"/>
      <c r="P302" s="971"/>
      <c r="Q302" s="971"/>
      <c r="R302" t="s">
        <v>9258</v>
      </c>
      <c r="S302" t="s">
        <v>191</v>
      </c>
      <c r="U302" t="s">
        <v>9333</v>
      </c>
      <c r="V302" s="871">
        <v>46293</v>
      </c>
      <c r="W30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0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02" s="974">
        <f>IFERROR(tblConcentrado[[#This Row],[Concentrado (TMS)]]/tblConcentrado[[#This Row],[Mineral (TMS)]],"")</f>
        <v>0.68907563025210083</v>
      </c>
      <c r="Z302" s="973">
        <f>IFERROR(1/tblConcentrado[[#This Row],[% Recup.]],0)</f>
        <v>1.4512195121951219</v>
      </c>
      <c r="AA302" s="975" t="str">
        <f>IF(COUNTIFS(tblConcentrado[ID],tblConcentrado[[#This Row],[ID]])&gt;1,"Duplicado","")</f>
        <v/>
      </c>
    </row>
    <row r="303" spans="2:27">
      <c r="B303" s="976">
        <f>(YEAR(tblConcentrado[[#This Row],[Fecha]])*10000+MONTH(tblConcentrado[[#This Row],[Fecha]])*100+DAY(tblConcentrado[[#This Row],[Fecha]]))*100+tblConcentrado[[#This Row],[N° hora]]</f>
        <v>2026091321</v>
      </c>
      <c r="C303" s="871">
        <v>46278</v>
      </c>
      <c r="D303">
        <v>21</v>
      </c>
      <c r="E303" s="952">
        <v>0.20833333333333301</v>
      </c>
      <c r="F303" s="256">
        <v>1411</v>
      </c>
      <c r="G303" s="256">
        <v>1097</v>
      </c>
      <c r="H303" s="970">
        <v>0.21</v>
      </c>
      <c r="I303" s="970">
        <v>0.71399999999999997</v>
      </c>
      <c r="J303" s="970">
        <v>0.44</v>
      </c>
      <c r="K303" s="970">
        <v>0.63300000000000001</v>
      </c>
      <c r="L303" s="970">
        <v>0.38</v>
      </c>
      <c r="M303" s="971">
        <v>25.7</v>
      </c>
      <c r="N303" s="971">
        <v>14.8</v>
      </c>
      <c r="O303" s="971">
        <v>3.2</v>
      </c>
      <c r="P303" s="971">
        <v>2.4</v>
      </c>
      <c r="Q303" s="971">
        <v>8.3000000000000007</v>
      </c>
      <c r="R303" t="s">
        <v>9258</v>
      </c>
      <c r="S303" t="s">
        <v>192</v>
      </c>
      <c r="U303" t="s">
        <v>9333</v>
      </c>
      <c r="V303" s="871">
        <v>46293</v>
      </c>
      <c r="W30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19.160000000000004</v>
      </c>
      <c r="X30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2.72</v>
      </c>
      <c r="Y303" s="974">
        <f>IFERROR(tblConcentrado[[#This Row],[Concentrado (TMS)]]/tblConcentrado[[#This Row],[Mineral (TMS)]],"")</f>
        <v>0.77746279234585403</v>
      </c>
      <c r="Z303" s="973">
        <f>IFERROR(1/tblConcentrado[[#This Row],[% Recup.]],0)</f>
        <v>1.2862351868732909</v>
      </c>
      <c r="AA303" s="975" t="str">
        <f>IF(COUNTIFS(tblConcentrado[ID],tblConcentrado[[#This Row],[ID]])&gt;1,"Duplicado","")</f>
        <v/>
      </c>
    </row>
    <row r="304" spans="2:27">
      <c r="B304" s="976">
        <f>(YEAR(tblConcentrado[[#This Row],[Fecha]])*10000+MONTH(tblConcentrado[[#This Row],[Fecha]])*100+DAY(tblConcentrado[[#This Row],[Fecha]]))*100+tblConcentrado[[#This Row],[N° hora]]</f>
        <v>2026091322</v>
      </c>
      <c r="C304" s="871">
        <v>46278</v>
      </c>
      <c r="D304">
        <v>22</v>
      </c>
      <c r="E304" s="952">
        <v>0.25</v>
      </c>
      <c r="F304" s="256">
        <v>1574</v>
      </c>
      <c r="G304" s="256">
        <v>1119</v>
      </c>
      <c r="H304" s="970"/>
      <c r="I304" s="970"/>
      <c r="J304" s="970"/>
      <c r="K304" s="970"/>
      <c r="L304" s="970"/>
      <c r="M304" s="971"/>
      <c r="N304" s="971"/>
      <c r="O304" s="971"/>
      <c r="P304" s="971"/>
      <c r="Q304" s="971"/>
      <c r="R304" t="s">
        <v>9258</v>
      </c>
      <c r="S304" t="s">
        <v>193</v>
      </c>
      <c r="U304" t="s">
        <v>9333</v>
      </c>
      <c r="V304" s="871">
        <v>46293</v>
      </c>
      <c r="W30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0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04" s="974">
        <f>IFERROR(tblConcentrado[[#This Row],[Concentrado (TMS)]]/tblConcentrado[[#This Row],[Mineral (TMS)]],"")</f>
        <v>0.71092757306226173</v>
      </c>
      <c r="Z304" s="973">
        <f>IFERROR(1/tblConcentrado[[#This Row],[% Recup.]],0)</f>
        <v>1.4066130473637177</v>
      </c>
      <c r="AA304" s="975" t="str">
        <f>IF(COUNTIFS(tblConcentrado[ID],tblConcentrado[[#This Row],[ID]])&gt;1,"Duplicado","")</f>
        <v/>
      </c>
    </row>
    <row r="305" spans="2:27">
      <c r="B305" s="976">
        <f>(YEAR(tblConcentrado[[#This Row],[Fecha]])*10000+MONTH(tblConcentrado[[#This Row],[Fecha]])*100+DAY(tblConcentrado[[#This Row],[Fecha]]))*100+tblConcentrado[[#This Row],[N° hora]]</f>
        <v>2026091323</v>
      </c>
      <c r="C305" s="871">
        <v>46278</v>
      </c>
      <c r="D305">
        <v>23</v>
      </c>
      <c r="E305" s="952">
        <v>0.29166666666666702</v>
      </c>
      <c r="F305" s="256">
        <v>1413</v>
      </c>
      <c r="G305" s="256">
        <v>1057</v>
      </c>
      <c r="H305" s="970">
        <v>0.19700000000000001</v>
      </c>
      <c r="I305" s="970">
        <v>0.67</v>
      </c>
      <c r="J305" s="970">
        <v>0.4</v>
      </c>
      <c r="K305" s="970">
        <v>0.56000000000000005</v>
      </c>
      <c r="L305" s="970">
        <v>0.33</v>
      </c>
      <c r="M305" s="971">
        <v>27.4</v>
      </c>
      <c r="N305" s="971">
        <v>15.2</v>
      </c>
      <c r="O305" s="971">
        <v>3.5</v>
      </c>
      <c r="P305" s="971">
        <v>2.4</v>
      </c>
      <c r="Q305" s="971">
        <v>8.5</v>
      </c>
      <c r="R305" t="s">
        <v>9258</v>
      </c>
      <c r="U305" t="s">
        <v>9333</v>
      </c>
      <c r="V305" s="871">
        <v>46293</v>
      </c>
      <c r="W30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20.079999999999998</v>
      </c>
      <c r="X30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2.84</v>
      </c>
      <c r="Y305" s="974">
        <f>IFERROR(tblConcentrado[[#This Row],[Concentrado (TMS)]]/tblConcentrado[[#This Row],[Mineral (TMS)]],"")</f>
        <v>0.7480537862703468</v>
      </c>
      <c r="Z305" s="973">
        <f>IFERROR(1/tblConcentrado[[#This Row],[% Recup.]],0)</f>
        <v>1.336802270577105</v>
      </c>
      <c r="AA305" s="975" t="str">
        <f>IF(COUNTIFS(tblConcentrado[ID],tblConcentrado[[#This Row],[ID]])&gt;1,"Duplicado","")</f>
        <v/>
      </c>
    </row>
    <row r="306" spans="2:27">
      <c r="B306" s="976">
        <f>(YEAR(tblConcentrado[[#This Row],[Fecha]])*10000+MONTH(tblConcentrado[[#This Row],[Fecha]])*100+DAY(tblConcentrado[[#This Row],[Fecha]]))*100+tblConcentrado[[#This Row],[N° hora]]</f>
        <v>2026091324</v>
      </c>
      <c r="C306" s="871">
        <v>46278</v>
      </c>
      <c r="D306">
        <v>24</v>
      </c>
      <c r="E306" s="952">
        <v>0.33333333333333298</v>
      </c>
      <c r="F306" s="256">
        <v>1523</v>
      </c>
      <c r="G306" s="256">
        <v>1024</v>
      </c>
      <c r="H306" s="970"/>
      <c r="I306" s="970"/>
      <c r="J306" s="970"/>
      <c r="K306" s="970"/>
      <c r="L306" s="970"/>
      <c r="M306" s="971"/>
      <c r="N306" s="971"/>
      <c r="O306" s="971"/>
      <c r="P306" s="971"/>
      <c r="Q306" s="971"/>
      <c r="R306" t="s">
        <v>9258</v>
      </c>
      <c r="U306" t="s">
        <v>9333</v>
      </c>
      <c r="V306" s="871">
        <v>46293</v>
      </c>
      <c r="W30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0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06" s="974">
        <f>IFERROR(tblConcentrado[[#This Row],[Concentrado (TMS)]]/tblConcentrado[[#This Row],[Mineral (TMS)]],"")</f>
        <v>0.67235718975705838</v>
      </c>
      <c r="Z306" s="973">
        <f>IFERROR(1/tblConcentrado[[#This Row],[% Recup.]],0)</f>
        <v>1.4873046875000002</v>
      </c>
      <c r="AA306" s="975" t="str">
        <f>IF(COUNTIFS(tblConcentrado[ID],tblConcentrado[[#This Row],[ID]])&gt;1,"Duplicado","")</f>
        <v/>
      </c>
    </row>
    <row r="307" spans="2:27">
      <c r="B307" s="976">
        <f>(YEAR(tblConcentrado[[#This Row],[Fecha]])*10000+MONTH(tblConcentrado[[#This Row],[Fecha]])*100+DAY(tblConcentrado[[#This Row],[Fecha]]))*100+tblConcentrado[[#This Row],[N° hora]]</f>
        <v>2026091401</v>
      </c>
      <c r="C307" s="871">
        <v>46279</v>
      </c>
      <c r="D307">
        <v>1</v>
      </c>
      <c r="E307" s="952">
        <v>0.375</v>
      </c>
      <c r="F307" s="256">
        <v>1537</v>
      </c>
      <c r="G307" s="256">
        <v>920</v>
      </c>
      <c r="H307" s="970">
        <v>0.19900000000000001</v>
      </c>
      <c r="I307" s="970">
        <v>0.92700000000000005</v>
      </c>
      <c r="J307" s="970">
        <v>0.64</v>
      </c>
      <c r="K307" s="970">
        <v>0.878</v>
      </c>
      <c r="L307" s="970">
        <v>0.56000000000000005</v>
      </c>
      <c r="M307" s="971">
        <v>28.2</v>
      </c>
      <c r="N307" s="971">
        <v>17.8</v>
      </c>
      <c r="O307" s="971">
        <v>3.2</v>
      </c>
      <c r="P307" s="971">
        <v>2.9</v>
      </c>
      <c r="Q307" s="971">
        <v>8.1999999999999993</v>
      </c>
      <c r="R307" t="s">
        <v>9258</v>
      </c>
      <c r="U307" t="s">
        <v>9333</v>
      </c>
      <c r="V307" s="871">
        <v>46293</v>
      </c>
      <c r="W30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21.96</v>
      </c>
      <c r="X30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3.0200000000000005</v>
      </c>
      <c r="Y307" s="974">
        <f>IFERROR(tblConcentrado[[#This Row],[Concentrado (TMS)]]/tblConcentrado[[#This Row],[Mineral (TMS)]],"")</f>
        <v>0.59856864020819778</v>
      </c>
      <c r="Z307" s="973">
        <f>IFERROR(1/tblConcentrado[[#This Row],[% Recup.]],0)</f>
        <v>1.6706521739130435</v>
      </c>
      <c r="AA307" s="975" t="str">
        <f>IF(COUNTIFS(tblConcentrado[ID],tblConcentrado[[#This Row],[ID]])&gt;1,"Duplicado","")</f>
        <v/>
      </c>
    </row>
    <row r="308" spans="2:27">
      <c r="B308" s="976">
        <f>(YEAR(tblConcentrado[[#This Row],[Fecha]])*10000+MONTH(tblConcentrado[[#This Row],[Fecha]])*100+DAY(tblConcentrado[[#This Row],[Fecha]]))*100+tblConcentrado[[#This Row],[N° hora]]</f>
        <v>2026091402</v>
      </c>
      <c r="C308" s="871">
        <v>46279</v>
      </c>
      <c r="D308">
        <v>2</v>
      </c>
      <c r="E308" s="952">
        <v>0.41666666666666702</v>
      </c>
      <c r="F308" s="256">
        <v>1514</v>
      </c>
      <c r="G308" s="256">
        <v>1030</v>
      </c>
      <c r="H308" s="970"/>
      <c r="I308" s="970"/>
      <c r="J308" s="970"/>
      <c r="K308" s="970"/>
      <c r="L308" s="970"/>
      <c r="M308" s="971"/>
      <c r="N308" s="971"/>
      <c r="O308" s="971"/>
      <c r="P308" s="971"/>
      <c r="Q308" s="971"/>
      <c r="R308" t="s">
        <v>9258</v>
      </c>
      <c r="U308" t="s">
        <v>9333</v>
      </c>
      <c r="V308" s="871">
        <v>46293</v>
      </c>
      <c r="W30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0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08" s="974">
        <f>IFERROR(tblConcentrado[[#This Row],[Concentrado (TMS)]]/tblConcentrado[[#This Row],[Mineral (TMS)]],"")</f>
        <v>0.68031704095112289</v>
      </c>
      <c r="Z308" s="973">
        <f>IFERROR(1/tblConcentrado[[#This Row],[% Recup.]],0)</f>
        <v>1.4699029126213592</v>
      </c>
      <c r="AA308" s="975" t="str">
        <f>IF(COUNTIFS(tblConcentrado[ID],tblConcentrado[[#This Row],[ID]])&gt;1,"Duplicado","")</f>
        <v/>
      </c>
    </row>
    <row r="309" spans="2:27">
      <c r="B309" s="976">
        <f>(YEAR(tblConcentrado[[#This Row],[Fecha]])*10000+MONTH(tblConcentrado[[#This Row],[Fecha]])*100+DAY(tblConcentrado[[#This Row],[Fecha]]))*100+tblConcentrado[[#This Row],[N° hora]]</f>
        <v>2026091403</v>
      </c>
      <c r="C309" s="871">
        <v>46279</v>
      </c>
      <c r="D309">
        <v>3</v>
      </c>
      <c r="E309" s="952">
        <v>0.45833333333333298</v>
      </c>
      <c r="F309" s="256">
        <v>1572</v>
      </c>
      <c r="G309" s="256">
        <v>1002</v>
      </c>
      <c r="H309" s="970">
        <v>0.192</v>
      </c>
      <c r="I309" s="970">
        <v>0.93600000000000005</v>
      </c>
      <c r="J309" s="970">
        <v>0.61</v>
      </c>
      <c r="K309" s="970">
        <v>0.88200000000000001</v>
      </c>
      <c r="L309" s="970">
        <v>0.57999999999999996</v>
      </c>
      <c r="M309" s="971">
        <v>24.3</v>
      </c>
      <c r="N309" s="971">
        <v>17.3</v>
      </c>
      <c r="O309" s="971">
        <v>3</v>
      </c>
      <c r="P309" s="971">
        <v>2.4</v>
      </c>
      <c r="Q309" s="971">
        <v>8</v>
      </c>
      <c r="R309" t="s">
        <v>9258</v>
      </c>
      <c r="U309" t="s">
        <v>9333</v>
      </c>
      <c r="V309" s="871">
        <v>46293</v>
      </c>
      <c r="W30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20.100000000000001</v>
      </c>
      <c r="X30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2.64</v>
      </c>
      <c r="Y309" s="974">
        <f>IFERROR(tblConcentrado[[#This Row],[Concentrado (TMS)]]/tblConcentrado[[#This Row],[Mineral (TMS)]],"")</f>
        <v>0.63740458015267176</v>
      </c>
      <c r="Z309" s="973">
        <f>IFERROR(1/tblConcentrado[[#This Row],[% Recup.]],0)</f>
        <v>1.5688622754491017</v>
      </c>
      <c r="AA309" s="975" t="str">
        <f>IF(COUNTIFS(tblConcentrado[ID],tblConcentrado[[#This Row],[ID]])&gt;1,"Duplicado","")</f>
        <v/>
      </c>
    </row>
    <row r="310" spans="2:27">
      <c r="B310" s="976">
        <f>(YEAR(tblConcentrado[[#This Row],[Fecha]])*10000+MONTH(tblConcentrado[[#This Row],[Fecha]])*100+DAY(tblConcentrado[[#This Row],[Fecha]]))*100+tblConcentrado[[#This Row],[N° hora]]</f>
        <v>2026091404</v>
      </c>
      <c r="C310" s="871">
        <v>46279</v>
      </c>
      <c r="D310">
        <v>4</v>
      </c>
      <c r="E310" s="952">
        <v>0.5</v>
      </c>
      <c r="F310" s="256">
        <v>1489</v>
      </c>
      <c r="G310" s="256">
        <v>944</v>
      </c>
      <c r="H310" s="970"/>
      <c r="I310" s="970"/>
      <c r="J310" s="970"/>
      <c r="K310" s="970"/>
      <c r="L310" s="970"/>
      <c r="M310" s="971"/>
      <c r="N310" s="971"/>
      <c r="O310" s="971"/>
      <c r="P310" s="971"/>
      <c r="Q310" s="971"/>
      <c r="R310" t="s">
        <v>9258</v>
      </c>
      <c r="U310" t="s">
        <v>9333</v>
      </c>
      <c r="V310" s="871">
        <v>46293</v>
      </c>
      <c r="W31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1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10" s="974">
        <f>IFERROR(tblConcentrado[[#This Row],[Concentrado (TMS)]]/tblConcentrado[[#This Row],[Mineral (TMS)]],"")</f>
        <v>0.63398253861652121</v>
      </c>
      <c r="Z310" s="973">
        <f>IFERROR(1/tblConcentrado[[#This Row],[% Recup.]],0)</f>
        <v>1.5773305084745761</v>
      </c>
      <c r="AA310" s="975" t="str">
        <f>IF(COUNTIFS(tblConcentrado[ID],tblConcentrado[[#This Row],[ID]])&gt;1,"Duplicado","")</f>
        <v/>
      </c>
    </row>
    <row r="311" spans="2:27">
      <c r="B311" s="976">
        <f>(YEAR(tblConcentrado[[#This Row],[Fecha]])*10000+MONTH(tblConcentrado[[#This Row],[Fecha]])*100+DAY(tblConcentrado[[#This Row],[Fecha]]))*100+tblConcentrado[[#This Row],[N° hora]]</f>
        <v>2026091405</v>
      </c>
      <c r="C311" s="871">
        <v>46279</v>
      </c>
      <c r="D311">
        <v>5</v>
      </c>
      <c r="E311" s="952">
        <v>0.54166666666666696</v>
      </c>
      <c r="F311" s="256">
        <v>1501</v>
      </c>
      <c r="G311" s="256">
        <v>1005</v>
      </c>
      <c r="H311" s="970">
        <v>0.19400000000000001</v>
      </c>
      <c r="I311" s="970">
        <v>1.0369999999999999</v>
      </c>
      <c r="J311" s="970">
        <v>0.62</v>
      </c>
      <c r="K311" s="970">
        <v>0.877</v>
      </c>
      <c r="L311" s="970">
        <v>0.55000000000000004</v>
      </c>
      <c r="M311" s="971">
        <v>27.3</v>
      </c>
      <c r="N311" s="971">
        <v>15.9</v>
      </c>
      <c r="O311" s="971">
        <v>2.9</v>
      </c>
      <c r="P311" s="971">
        <v>2.4</v>
      </c>
      <c r="Q311" s="971">
        <v>8</v>
      </c>
      <c r="R311" t="s">
        <v>9258</v>
      </c>
      <c r="U311" t="s">
        <v>9333</v>
      </c>
      <c r="V311" s="871">
        <v>46293</v>
      </c>
      <c r="W31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20.46</v>
      </c>
      <c r="X31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2.5999999999999996</v>
      </c>
      <c r="Y311" s="974">
        <f>IFERROR(tblConcentrado[[#This Row],[Concentrado (TMS)]]/tblConcentrado[[#This Row],[Mineral (TMS)]],"")</f>
        <v>0.6695536309127248</v>
      </c>
      <c r="Z311" s="973">
        <f>IFERROR(1/tblConcentrado[[#This Row],[% Recup.]],0)</f>
        <v>1.4935323383084578</v>
      </c>
      <c r="AA311" s="975" t="str">
        <f>IF(COUNTIFS(tblConcentrado[ID],tblConcentrado[[#This Row],[ID]])&gt;1,"Duplicado","")</f>
        <v/>
      </c>
    </row>
    <row r="312" spans="2:27">
      <c r="B312" s="976">
        <f>(YEAR(tblConcentrado[[#This Row],[Fecha]])*10000+MONTH(tblConcentrado[[#This Row],[Fecha]])*100+DAY(tblConcentrado[[#This Row],[Fecha]]))*100+tblConcentrado[[#This Row],[N° hora]]</f>
        <v>2026091406</v>
      </c>
      <c r="C312" s="871">
        <v>46279</v>
      </c>
      <c r="D312">
        <v>6</v>
      </c>
      <c r="E312" s="952">
        <v>0.58333333333333304</v>
      </c>
      <c r="F312" s="256">
        <v>1508</v>
      </c>
      <c r="G312" s="256">
        <v>937</v>
      </c>
      <c r="H312" s="970"/>
      <c r="I312" s="970"/>
      <c r="J312" s="970"/>
      <c r="K312" s="970"/>
      <c r="L312" s="970"/>
      <c r="M312" s="971"/>
      <c r="N312" s="971"/>
      <c r="O312" s="971"/>
      <c r="P312" s="971"/>
      <c r="Q312" s="971"/>
      <c r="R312" t="s">
        <v>9258</v>
      </c>
      <c r="U312" t="s">
        <v>9333</v>
      </c>
      <c r="V312" s="871">
        <v>46293</v>
      </c>
      <c r="W31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1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12" s="974">
        <f>IFERROR(tblConcentrado[[#This Row],[Concentrado (TMS)]]/tblConcentrado[[#This Row],[Mineral (TMS)]],"")</f>
        <v>0.62135278514588854</v>
      </c>
      <c r="Z312" s="973">
        <f>IFERROR(1/tblConcentrado[[#This Row],[% Recup.]],0)</f>
        <v>1.6093916755602991</v>
      </c>
      <c r="AA312" s="975" t="str">
        <f>IF(COUNTIFS(tblConcentrado[ID],tblConcentrado[[#This Row],[ID]])&gt;1,"Duplicado","")</f>
        <v/>
      </c>
    </row>
    <row r="313" spans="2:27">
      <c r="B313" s="976">
        <f>(YEAR(tblConcentrado[[#This Row],[Fecha]])*10000+MONTH(tblConcentrado[[#This Row],[Fecha]])*100+DAY(tblConcentrado[[#This Row],[Fecha]]))*100+tblConcentrado[[#This Row],[N° hora]]</f>
        <v>2026091407</v>
      </c>
      <c r="C313" s="871">
        <v>46279</v>
      </c>
      <c r="D313">
        <v>7</v>
      </c>
      <c r="E313" s="952">
        <v>0.625</v>
      </c>
      <c r="F313" s="256">
        <v>1427</v>
      </c>
      <c r="G313" s="256">
        <v>942</v>
      </c>
      <c r="H313" s="970">
        <v>0.19</v>
      </c>
      <c r="I313" s="970">
        <v>0.56699999999999995</v>
      </c>
      <c r="J313" s="970">
        <v>0.55000000000000004</v>
      </c>
      <c r="K313" s="970">
        <v>0.60199999999999998</v>
      </c>
      <c r="L313" s="970">
        <v>0.52</v>
      </c>
      <c r="M313" s="971">
        <v>24.7</v>
      </c>
      <c r="N313" s="971">
        <v>15.2</v>
      </c>
      <c r="O313" s="971">
        <v>2.7</v>
      </c>
      <c r="P313" s="971">
        <v>2.4</v>
      </c>
      <c r="Q313" s="971">
        <v>8</v>
      </c>
      <c r="R313" t="s">
        <v>9258</v>
      </c>
      <c r="U313" t="s">
        <v>9333</v>
      </c>
      <c r="V313" s="871">
        <v>46293</v>
      </c>
      <c r="W31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v>
      </c>
      <c r="X31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2.52</v>
      </c>
      <c r="Y313" s="974">
        <f>IFERROR(tblConcentrado[[#This Row],[Concentrado (TMS)]]/tblConcentrado[[#This Row],[Mineral (TMS)]],"")</f>
        <v>0.66012613875262793</v>
      </c>
      <c r="Z313" s="973">
        <f>IFERROR(1/tblConcentrado[[#This Row],[% Recup.]],0)</f>
        <v>1.5148619957537155</v>
      </c>
      <c r="AA313" s="975" t="str">
        <f>IF(COUNTIFS(tblConcentrado[ID],tblConcentrado[[#This Row],[ID]])&gt;1,"Duplicado","")</f>
        <v/>
      </c>
    </row>
    <row r="314" spans="2:27">
      <c r="B314" s="976">
        <f>(YEAR(tblConcentrado[[#This Row],[Fecha]])*10000+MONTH(tblConcentrado[[#This Row],[Fecha]])*100+DAY(tblConcentrado[[#This Row],[Fecha]]))*100+tblConcentrado[[#This Row],[N° hora]]</f>
        <v>2026091408</v>
      </c>
      <c r="C314" s="871">
        <v>46279</v>
      </c>
      <c r="D314">
        <v>8</v>
      </c>
      <c r="E314" s="952">
        <v>0.66666666666666696</v>
      </c>
      <c r="F314" s="256">
        <v>1393</v>
      </c>
      <c r="G314" s="256">
        <v>1089</v>
      </c>
      <c r="H314" s="970"/>
      <c r="I314" s="970"/>
      <c r="J314" s="970"/>
      <c r="K314" s="970"/>
      <c r="L314" s="970"/>
      <c r="M314" s="971"/>
      <c r="N314" s="971"/>
      <c r="O314" s="971"/>
      <c r="P314" s="971"/>
      <c r="Q314" s="971"/>
      <c r="R314" t="s">
        <v>9258</v>
      </c>
      <c r="U314" t="s">
        <v>9333</v>
      </c>
      <c r="V314" s="871">
        <v>46293</v>
      </c>
      <c r="W31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1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14" s="974">
        <f>IFERROR(tblConcentrado[[#This Row],[Concentrado (TMS)]]/tblConcentrado[[#This Row],[Mineral (TMS)]],"")</f>
        <v>0.78176597272074655</v>
      </c>
      <c r="Z314" s="973">
        <f>IFERROR(1/tblConcentrado[[#This Row],[% Recup.]],0)</f>
        <v>1.2791551882460974</v>
      </c>
      <c r="AA314" s="975" t="str">
        <f>IF(COUNTIFS(tblConcentrado[ID],tblConcentrado[[#This Row],[ID]])&gt;1,"Duplicado","")</f>
        <v/>
      </c>
    </row>
    <row r="315" spans="2:27">
      <c r="B315" s="976">
        <f>(YEAR(tblConcentrado[[#This Row],[Fecha]])*10000+MONTH(tblConcentrado[[#This Row],[Fecha]])*100+DAY(tblConcentrado[[#This Row],[Fecha]]))*100+tblConcentrado[[#This Row],[N° hora]]</f>
        <v>2026091409</v>
      </c>
      <c r="C315" s="871">
        <v>46279</v>
      </c>
      <c r="D315">
        <v>9</v>
      </c>
      <c r="E315" s="952">
        <v>0.70833333333333304</v>
      </c>
      <c r="F315" s="256">
        <v>1460</v>
      </c>
      <c r="G315" s="256">
        <v>902</v>
      </c>
      <c r="H315" s="970">
        <v>0.17699999999999999</v>
      </c>
      <c r="I315" s="970">
        <v>0.61599999999999999</v>
      </c>
      <c r="J315" s="970">
        <v>0.57999999999999996</v>
      </c>
      <c r="K315" s="970">
        <v>0.60699999999999998</v>
      </c>
      <c r="L315" s="970">
        <v>0.47</v>
      </c>
      <c r="M315" s="971">
        <v>26.7</v>
      </c>
      <c r="N315" s="971">
        <v>15</v>
      </c>
      <c r="O315" s="971">
        <v>3.4</v>
      </c>
      <c r="P315" s="971">
        <v>2.5</v>
      </c>
      <c r="Q315" s="971">
        <v>8.1</v>
      </c>
      <c r="R315" t="s">
        <v>9258</v>
      </c>
      <c r="U315" t="s">
        <v>9333</v>
      </c>
      <c r="V315" s="871">
        <v>46293</v>
      </c>
      <c r="W31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19.68</v>
      </c>
      <c r="X31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2.8600000000000003</v>
      </c>
      <c r="Y315" s="974">
        <f>IFERROR(tblConcentrado[[#This Row],[Concentrado (TMS)]]/tblConcentrado[[#This Row],[Mineral (TMS)]],"")</f>
        <v>0.61780821917808215</v>
      </c>
      <c r="Z315" s="973">
        <f>IFERROR(1/tblConcentrado[[#This Row],[% Recup.]],0)</f>
        <v>1.6186252771618626</v>
      </c>
      <c r="AA315" s="975" t="str">
        <f>IF(COUNTIFS(tblConcentrado[ID],tblConcentrado[[#This Row],[ID]])&gt;1,"Duplicado","")</f>
        <v/>
      </c>
    </row>
    <row r="316" spans="2:27">
      <c r="B316" s="976">
        <f>(YEAR(tblConcentrado[[#This Row],[Fecha]])*10000+MONTH(tblConcentrado[[#This Row],[Fecha]])*100+DAY(tblConcentrado[[#This Row],[Fecha]]))*100+tblConcentrado[[#This Row],[N° hora]]</f>
        <v>2026091410</v>
      </c>
      <c r="C316" s="871">
        <v>46279</v>
      </c>
      <c r="D316">
        <v>10</v>
      </c>
      <c r="E316" s="952">
        <v>0.75</v>
      </c>
      <c r="F316" s="256">
        <v>1468</v>
      </c>
      <c r="G316" s="256">
        <v>950</v>
      </c>
      <c r="H316" s="970"/>
      <c r="I316" s="970"/>
      <c r="J316" s="970"/>
      <c r="K316" s="970"/>
      <c r="L316" s="970"/>
      <c r="M316" s="971"/>
      <c r="N316" s="971"/>
      <c r="O316" s="971"/>
      <c r="P316" s="971"/>
      <c r="Q316" s="971"/>
      <c r="R316" t="s">
        <v>9258</v>
      </c>
      <c r="S316" t="s">
        <v>194</v>
      </c>
      <c r="U316" t="s">
        <v>9333</v>
      </c>
      <c r="V316" s="871">
        <v>46293</v>
      </c>
      <c r="W31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1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16" s="974">
        <f>IFERROR(tblConcentrado[[#This Row],[Concentrado (TMS)]]/tblConcentrado[[#This Row],[Mineral (TMS)]],"")</f>
        <v>0.64713896457765663</v>
      </c>
      <c r="Z316" s="973">
        <f>IFERROR(1/tblConcentrado[[#This Row],[% Recup.]],0)</f>
        <v>1.5452631578947369</v>
      </c>
      <c r="AA316" s="975" t="str">
        <f>IF(COUNTIFS(tblConcentrado[ID],tblConcentrado[[#This Row],[ID]])&gt;1,"Duplicado","")</f>
        <v/>
      </c>
    </row>
    <row r="317" spans="2:27">
      <c r="B317" s="976">
        <f>(YEAR(tblConcentrado[[#This Row],[Fecha]])*10000+MONTH(tblConcentrado[[#This Row],[Fecha]])*100+DAY(tblConcentrado[[#This Row],[Fecha]]))*100+tblConcentrado[[#This Row],[N° hora]]</f>
        <v>2026091411</v>
      </c>
      <c r="C317" s="871">
        <v>46279</v>
      </c>
      <c r="D317">
        <v>11</v>
      </c>
      <c r="E317" s="952">
        <v>0.79166666666666696</v>
      </c>
      <c r="F317" s="256">
        <v>1282</v>
      </c>
      <c r="G317" s="256">
        <v>1066</v>
      </c>
      <c r="H317" s="970">
        <v>0.159</v>
      </c>
      <c r="I317" s="970">
        <v>0.68500000000000005</v>
      </c>
      <c r="J317" s="970">
        <v>0.44</v>
      </c>
      <c r="K317" s="970">
        <v>0.60699999999999998</v>
      </c>
      <c r="L317" s="970">
        <v>0.4</v>
      </c>
      <c r="M317" s="971">
        <v>25.9</v>
      </c>
      <c r="N317" s="971">
        <v>15</v>
      </c>
      <c r="O317" s="971">
        <v>3.3</v>
      </c>
      <c r="P317" s="971">
        <v>2.7</v>
      </c>
      <c r="Q317" s="971">
        <v>8.1999999999999993</v>
      </c>
      <c r="R317" t="s">
        <v>9258</v>
      </c>
      <c r="U317" t="s">
        <v>9333</v>
      </c>
      <c r="V317" s="871">
        <v>46293</v>
      </c>
      <c r="W31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19.36</v>
      </c>
      <c r="X31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2.9400000000000004</v>
      </c>
      <c r="Y317" s="974">
        <f>IFERROR(tblConcentrado[[#This Row],[Concentrado (TMS)]]/tblConcentrado[[#This Row],[Mineral (TMS)]],"")</f>
        <v>0.83151326053042118</v>
      </c>
      <c r="Z317" s="973">
        <f>IFERROR(1/tblConcentrado[[#This Row],[% Recup.]],0)</f>
        <v>1.2026266416510318</v>
      </c>
      <c r="AA317" s="975" t="str">
        <f>IF(COUNTIFS(tblConcentrado[ID],tblConcentrado[[#This Row],[ID]])&gt;1,"Duplicado","")</f>
        <v/>
      </c>
    </row>
    <row r="318" spans="2:27">
      <c r="B318" s="976">
        <f>(YEAR(tblConcentrado[[#This Row],[Fecha]])*10000+MONTH(tblConcentrado[[#This Row],[Fecha]])*100+DAY(tblConcentrado[[#This Row],[Fecha]]))*100+tblConcentrado[[#This Row],[N° hora]]</f>
        <v>2026091412</v>
      </c>
      <c r="C318" s="871">
        <v>46279</v>
      </c>
      <c r="D318">
        <v>12</v>
      </c>
      <c r="E318" s="952">
        <v>0.83333333333333304</v>
      </c>
      <c r="F318" s="256">
        <v>1443</v>
      </c>
      <c r="G318" s="256">
        <v>703</v>
      </c>
      <c r="H318" s="970"/>
      <c r="I318" s="970"/>
      <c r="J318" s="970"/>
      <c r="K318" s="970"/>
      <c r="L318" s="970"/>
      <c r="M318" s="971"/>
      <c r="N318" s="971"/>
      <c r="O318" s="971"/>
      <c r="P318" s="971"/>
      <c r="Q318" s="971"/>
      <c r="R318" t="s">
        <v>9258</v>
      </c>
      <c r="U318" t="s">
        <v>9333</v>
      </c>
      <c r="V318" s="871">
        <v>46293</v>
      </c>
      <c r="W31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1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18" s="974">
        <f>IFERROR(tblConcentrado[[#This Row],[Concentrado (TMS)]]/tblConcentrado[[#This Row],[Mineral (TMS)]],"")</f>
        <v>0.48717948717948717</v>
      </c>
      <c r="Z318" s="973">
        <f>IFERROR(1/tblConcentrado[[#This Row],[% Recup.]],0)</f>
        <v>2.0526315789473686</v>
      </c>
      <c r="AA318" s="975" t="str">
        <f>IF(COUNTIFS(tblConcentrado[ID],tblConcentrado[[#This Row],[ID]])&gt;1,"Duplicado","")</f>
        <v/>
      </c>
    </row>
    <row r="319" spans="2:27">
      <c r="B319" s="976">
        <f>(YEAR(tblConcentrado[[#This Row],[Fecha]])*10000+MONTH(tblConcentrado[[#This Row],[Fecha]])*100+DAY(tblConcentrado[[#This Row],[Fecha]]))*100+tblConcentrado[[#This Row],[N° hora]]</f>
        <v>2026091413</v>
      </c>
      <c r="C319" s="871">
        <v>46279</v>
      </c>
      <c r="D319">
        <v>13</v>
      </c>
      <c r="E319" s="952">
        <v>0.875</v>
      </c>
      <c r="F319" s="256">
        <v>1426</v>
      </c>
      <c r="G319" s="256">
        <v>933</v>
      </c>
      <c r="H319" s="970">
        <v>0.14799999999999999</v>
      </c>
      <c r="I319" s="970">
        <v>0.69199999999999995</v>
      </c>
      <c r="J319" s="970">
        <v>0.41</v>
      </c>
      <c r="K319" s="970">
        <v>0.59299999999999997</v>
      </c>
      <c r="L319" s="970">
        <v>0.4</v>
      </c>
      <c r="M319" s="971">
        <v>26.4</v>
      </c>
      <c r="N319" s="971">
        <v>16.100000000000001</v>
      </c>
      <c r="O319" s="971">
        <v>3</v>
      </c>
      <c r="P319" s="971">
        <v>2.4</v>
      </c>
      <c r="Q319" s="971">
        <v>8</v>
      </c>
      <c r="R319" t="s">
        <v>9258</v>
      </c>
      <c r="S319" t="s">
        <v>195</v>
      </c>
      <c r="U319" t="s">
        <v>9333</v>
      </c>
      <c r="V319" s="871">
        <v>46293</v>
      </c>
      <c r="W31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20.22</v>
      </c>
      <c r="X31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2.64</v>
      </c>
      <c r="Y319" s="974">
        <f>IFERROR(tblConcentrado[[#This Row],[Concentrado (TMS)]]/tblConcentrado[[#This Row],[Mineral (TMS)]],"")</f>
        <v>0.6542776998597476</v>
      </c>
      <c r="Z319" s="973">
        <f>IFERROR(1/tblConcentrado[[#This Row],[% Recup.]],0)</f>
        <v>1.5284030010718113</v>
      </c>
      <c r="AA319" s="975" t="str">
        <f>IF(COUNTIFS(tblConcentrado[ID],tblConcentrado[[#This Row],[ID]])&gt;1,"Duplicado","")</f>
        <v/>
      </c>
    </row>
    <row r="320" spans="2:27">
      <c r="B320" s="976">
        <f>(YEAR(tblConcentrado[[#This Row],[Fecha]])*10000+MONTH(tblConcentrado[[#This Row],[Fecha]])*100+DAY(tblConcentrado[[#This Row],[Fecha]]))*100+tblConcentrado[[#This Row],[N° hora]]</f>
        <v>2026091414</v>
      </c>
      <c r="C320" s="871">
        <v>46279</v>
      </c>
      <c r="D320">
        <v>14</v>
      </c>
      <c r="E320" s="952">
        <v>0.91666666666666696</v>
      </c>
      <c r="F320" s="256">
        <v>1362</v>
      </c>
      <c r="G320" s="256">
        <v>885</v>
      </c>
      <c r="H320" s="970"/>
      <c r="I320" s="970"/>
      <c r="J320" s="970"/>
      <c r="K320" s="970"/>
      <c r="L320" s="970"/>
      <c r="M320" s="971"/>
      <c r="N320" s="971"/>
      <c r="O320" s="971"/>
      <c r="P320" s="971"/>
      <c r="Q320" s="971"/>
      <c r="R320" t="s">
        <v>9258</v>
      </c>
      <c r="S320" t="s">
        <v>196</v>
      </c>
      <c r="U320" t="s">
        <v>9333</v>
      </c>
      <c r="V320" s="871">
        <v>46293</v>
      </c>
      <c r="W32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2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20" s="974">
        <f>IFERROR(tblConcentrado[[#This Row],[Concentrado (TMS)]]/tblConcentrado[[#This Row],[Mineral (TMS)]],"")</f>
        <v>0.64977973568281944</v>
      </c>
      <c r="Z320" s="973">
        <f>IFERROR(1/tblConcentrado[[#This Row],[% Recup.]],0)</f>
        <v>1.5389830508474576</v>
      </c>
      <c r="AA320" s="975" t="str">
        <f>IF(COUNTIFS(tblConcentrado[ID],tblConcentrado[[#This Row],[ID]])&gt;1,"Duplicado","")</f>
        <v/>
      </c>
    </row>
    <row r="321" spans="2:27">
      <c r="B321" s="976">
        <f>(YEAR(tblConcentrado[[#This Row],[Fecha]])*10000+MONTH(tblConcentrado[[#This Row],[Fecha]])*100+DAY(tblConcentrado[[#This Row],[Fecha]]))*100+tblConcentrado[[#This Row],[N° hora]]</f>
        <v>2026091415</v>
      </c>
      <c r="C321" s="871">
        <v>46279</v>
      </c>
      <c r="D321">
        <v>15</v>
      </c>
      <c r="E321" s="952">
        <v>0.95833333333333304</v>
      </c>
      <c r="F321" s="256">
        <v>1456</v>
      </c>
      <c r="G321" s="256">
        <v>1072</v>
      </c>
      <c r="H321" s="970">
        <v>0.14299999999999999</v>
      </c>
      <c r="I321" s="970">
        <v>0.61899999999999999</v>
      </c>
      <c r="J321" s="970">
        <v>0.4</v>
      </c>
      <c r="K321" s="970">
        <v>0.57599999999999996</v>
      </c>
      <c r="L321" s="970">
        <v>0.34</v>
      </c>
      <c r="M321" s="971">
        <v>25.3</v>
      </c>
      <c r="N321" s="971">
        <v>13.7</v>
      </c>
      <c r="O321" s="971">
        <v>3.2</v>
      </c>
      <c r="P321" s="971">
        <v>2.2000000000000002</v>
      </c>
      <c r="Q321" s="971">
        <v>8.1</v>
      </c>
      <c r="R321" t="s">
        <v>9258</v>
      </c>
      <c r="U321" t="s">
        <v>9333</v>
      </c>
      <c r="V321" s="871">
        <v>46293</v>
      </c>
      <c r="W32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18.34</v>
      </c>
      <c r="X32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2.6000000000000005</v>
      </c>
      <c r="Y321" s="974">
        <f>IFERROR(tblConcentrado[[#This Row],[Concentrado (TMS)]]/tblConcentrado[[#This Row],[Mineral (TMS)]],"")</f>
        <v>0.73626373626373631</v>
      </c>
      <c r="Z321" s="973">
        <f>IFERROR(1/tblConcentrado[[#This Row],[% Recup.]],0)</f>
        <v>1.3582089552238805</v>
      </c>
      <c r="AA321" s="975" t="str">
        <f>IF(COUNTIFS(tblConcentrado[ID],tblConcentrado[[#This Row],[ID]])&gt;1,"Duplicado","")</f>
        <v/>
      </c>
    </row>
    <row r="322" spans="2:27">
      <c r="B322" s="976">
        <f>(YEAR(tblConcentrado[[#This Row],[Fecha]])*10000+MONTH(tblConcentrado[[#This Row],[Fecha]])*100+DAY(tblConcentrado[[#This Row],[Fecha]]))*100+tblConcentrado[[#This Row],[N° hora]]</f>
        <v>2026091416</v>
      </c>
      <c r="C322" s="871">
        <v>46279</v>
      </c>
      <c r="D322">
        <v>16</v>
      </c>
      <c r="E322" s="952">
        <v>0</v>
      </c>
      <c r="F322" s="256">
        <v>1476</v>
      </c>
      <c r="G322" s="256">
        <v>848</v>
      </c>
      <c r="H322" s="970"/>
      <c r="I322" s="970"/>
      <c r="J322" s="970"/>
      <c r="K322" s="970"/>
      <c r="L322" s="970"/>
      <c r="M322" s="971"/>
      <c r="N322" s="971"/>
      <c r="O322" s="971"/>
      <c r="P322" s="971"/>
      <c r="Q322" s="971"/>
      <c r="R322" t="s">
        <v>9258</v>
      </c>
      <c r="U322" t="s">
        <v>9333</v>
      </c>
      <c r="V322" s="871">
        <v>46293</v>
      </c>
      <c r="W32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2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22" s="974">
        <f>IFERROR(tblConcentrado[[#This Row],[Concentrado (TMS)]]/tblConcentrado[[#This Row],[Mineral (TMS)]],"")</f>
        <v>0.57452574525745259</v>
      </c>
      <c r="Z322" s="973">
        <f>IFERROR(1/tblConcentrado[[#This Row],[% Recup.]],0)</f>
        <v>1.7405660377358489</v>
      </c>
      <c r="AA322" s="975" t="str">
        <f>IF(COUNTIFS(tblConcentrado[ID],tblConcentrado[[#This Row],[ID]])&gt;1,"Duplicado","")</f>
        <v/>
      </c>
    </row>
    <row r="323" spans="2:27">
      <c r="B323" s="976">
        <f>(YEAR(tblConcentrado[[#This Row],[Fecha]])*10000+MONTH(tblConcentrado[[#This Row],[Fecha]])*100+DAY(tblConcentrado[[#This Row],[Fecha]]))*100+tblConcentrado[[#This Row],[N° hora]]</f>
        <v>2026091417</v>
      </c>
      <c r="C323" s="871">
        <v>46279</v>
      </c>
      <c r="D323">
        <v>17</v>
      </c>
      <c r="E323" s="952">
        <v>4.1666666666666699E-2</v>
      </c>
      <c r="F323" s="256">
        <v>1511</v>
      </c>
      <c r="G323" s="256">
        <v>947</v>
      </c>
      <c r="H323" s="970">
        <v>0.16</v>
      </c>
      <c r="I323" s="970">
        <v>0.62</v>
      </c>
      <c r="J323" s="970">
        <v>0.41</v>
      </c>
      <c r="K323" s="970">
        <v>0.58799999999999997</v>
      </c>
      <c r="L323" s="970">
        <v>0.37</v>
      </c>
      <c r="M323" s="971">
        <v>29.9</v>
      </c>
      <c r="N323" s="971">
        <v>15.1</v>
      </c>
      <c r="O323" s="971">
        <v>3.7</v>
      </c>
      <c r="P323" s="971">
        <v>2.4</v>
      </c>
      <c r="Q323" s="971">
        <v>8</v>
      </c>
      <c r="R323" t="s">
        <v>9258</v>
      </c>
      <c r="S323" t="s">
        <v>197</v>
      </c>
      <c r="U323" t="s">
        <v>9333</v>
      </c>
      <c r="V323" s="871">
        <v>46293</v>
      </c>
      <c r="W32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21.02</v>
      </c>
      <c r="X32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2.92</v>
      </c>
      <c r="Y323" s="974">
        <f>IFERROR(tblConcentrado[[#This Row],[Concentrado (TMS)]]/tblConcentrado[[#This Row],[Mineral (TMS)]],"")</f>
        <v>0.62673726009265385</v>
      </c>
      <c r="Z323" s="973">
        <f>IFERROR(1/tblConcentrado[[#This Row],[% Recup.]],0)</f>
        <v>1.5955649419218585</v>
      </c>
      <c r="AA323" s="975" t="str">
        <f>IF(COUNTIFS(tblConcentrado[ID],tblConcentrado[[#This Row],[ID]])&gt;1,"Duplicado","")</f>
        <v/>
      </c>
    </row>
    <row r="324" spans="2:27">
      <c r="B324" s="976">
        <f>(YEAR(tblConcentrado[[#This Row],[Fecha]])*10000+MONTH(tblConcentrado[[#This Row],[Fecha]])*100+DAY(tblConcentrado[[#This Row],[Fecha]]))*100+tblConcentrado[[#This Row],[N° hora]]</f>
        <v>2026091418</v>
      </c>
      <c r="C324" s="871">
        <v>46279</v>
      </c>
      <c r="D324">
        <v>18</v>
      </c>
      <c r="E324" s="952">
        <v>8.3333333333333301E-2</v>
      </c>
      <c r="F324" s="256">
        <v>1408</v>
      </c>
      <c r="G324" s="256">
        <v>1059</v>
      </c>
      <c r="H324" s="970"/>
      <c r="I324" s="970"/>
      <c r="J324" s="970"/>
      <c r="K324" s="970"/>
      <c r="L324" s="970"/>
      <c r="M324" s="971"/>
      <c r="N324" s="971"/>
      <c r="O324" s="971"/>
      <c r="P324" s="971"/>
      <c r="Q324" s="971"/>
      <c r="R324" t="s">
        <v>9258</v>
      </c>
      <c r="S324" t="s">
        <v>9334</v>
      </c>
      <c r="U324" t="s">
        <v>9333</v>
      </c>
      <c r="V324" s="871">
        <v>46293</v>
      </c>
      <c r="W32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2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24" s="974">
        <f>IFERROR(tblConcentrado[[#This Row],[Concentrado (TMS)]]/tblConcentrado[[#This Row],[Mineral (TMS)]],"")</f>
        <v>0.75213068181818177</v>
      </c>
      <c r="Z324" s="973">
        <f>IFERROR(1/tblConcentrado[[#This Row],[% Recup.]],0)</f>
        <v>1.3295561850802644</v>
      </c>
      <c r="AA324" s="975" t="str">
        <f>IF(COUNTIFS(tblConcentrado[ID],tblConcentrado[[#This Row],[ID]])&gt;1,"Duplicado","")</f>
        <v/>
      </c>
    </row>
    <row r="325" spans="2:27">
      <c r="B325" s="976">
        <f>(YEAR(tblConcentrado[[#This Row],[Fecha]])*10000+MONTH(tblConcentrado[[#This Row],[Fecha]])*100+DAY(tblConcentrado[[#This Row],[Fecha]]))*100+tblConcentrado[[#This Row],[N° hora]]</f>
        <v>2026091419</v>
      </c>
      <c r="C325" s="871">
        <v>46279</v>
      </c>
      <c r="D325">
        <v>19</v>
      </c>
      <c r="E325" s="952">
        <v>0.125</v>
      </c>
      <c r="F325" s="256">
        <v>1436</v>
      </c>
      <c r="G325" s="256">
        <v>1041</v>
      </c>
      <c r="H325" s="970">
        <v>0.16400000000000001</v>
      </c>
      <c r="I325" s="970">
        <v>0.42</v>
      </c>
      <c r="J325" s="970">
        <v>0.27</v>
      </c>
      <c r="K325" s="970">
        <v>0.59</v>
      </c>
      <c r="L325" s="970">
        <v>0.38</v>
      </c>
      <c r="M325" s="971">
        <v>26.2</v>
      </c>
      <c r="N325" s="971">
        <v>15.6</v>
      </c>
      <c r="O325" s="971">
        <v>2.9</v>
      </c>
      <c r="P325" s="971">
        <v>2.6</v>
      </c>
      <c r="Q325" s="971">
        <v>8.1999999999999993</v>
      </c>
      <c r="R325" t="s">
        <v>9258</v>
      </c>
      <c r="S325" t="s">
        <v>198</v>
      </c>
      <c r="U325" t="s">
        <v>9333</v>
      </c>
      <c r="V325" s="871">
        <v>46293</v>
      </c>
      <c r="W32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19.84</v>
      </c>
      <c r="X32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2.7199999999999998</v>
      </c>
      <c r="Y325" s="974">
        <f>IFERROR(tblConcentrado[[#This Row],[Concentrado (TMS)]]/tblConcentrado[[#This Row],[Mineral (TMS)]],"")</f>
        <v>0.72493036211699169</v>
      </c>
      <c r="Z325" s="973">
        <f>IFERROR(1/tblConcentrado[[#This Row],[% Recup.]],0)</f>
        <v>1.3794428434197885</v>
      </c>
      <c r="AA325" s="975" t="str">
        <f>IF(COUNTIFS(tblConcentrado[ID],tblConcentrado[[#This Row],[ID]])&gt;1,"Duplicado","")</f>
        <v/>
      </c>
    </row>
    <row r="326" spans="2:27">
      <c r="B326" s="976">
        <f>(YEAR(tblConcentrado[[#This Row],[Fecha]])*10000+MONTH(tblConcentrado[[#This Row],[Fecha]])*100+DAY(tblConcentrado[[#This Row],[Fecha]]))*100+tblConcentrado[[#This Row],[N° hora]]</f>
        <v>2026091420</v>
      </c>
      <c r="C326" s="871">
        <v>46279</v>
      </c>
      <c r="D326">
        <v>20</v>
      </c>
      <c r="E326" s="952">
        <v>0.16666666666666699</v>
      </c>
      <c r="F326" s="256">
        <v>1507</v>
      </c>
      <c r="G326" s="256">
        <v>855</v>
      </c>
      <c r="H326" s="970"/>
      <c r="I326" s="970"/>
      <c r="J326" s="970"/>
      <c r="K326" s="970"/>
      <c r="L326" s="970"/>
      <c r="M326" s="971"/>
      <c r="N326" s="971"/>
      <c r="O326" s="971"/>
      <c r="P326" s="971"/>
      <c r="Q326" s="971"/>
      <c r="R326" t="s">
        <v>9258</v>
      </c>
      <c r="S326" t="s">
        <v>199</v>
      </c>
      <c r="U326" t="s">
        <v>9333</v>
      </c>
      <c r="V326" s="871">
        <v>46293</v>
      </c>
      <c r="W32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2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26" s="974">
        <f>IFERROR(tblConcentrado[[#This Row],[Concentrado (TMS)]]/tblConcentrado[[#This Row],[Mineral (TMS)]],"")</f>
        <v>0.5673523556735236</v>
      </c>
      <c r="Z326" s="973">
        <f>IFERROR(1/tblConcentrado[[#This Row],[% Recup.]],0)</f>
        <v>1.7625730994152045</v>
      </c>
      <c r="AA326" s="975" t="str">
        <f>IF(COUNTIFS(tblConcentrado[ID],tblConcentrado[[#This Row],[ID]])&gt;1,"Duplicado","")</f>
        <v/>
      </c>
    </row>
    <row r="327" spans="2:27">
      <c r="B327" s="976">
        <f>(YEAR(tblConcentrado[[#This Row],[Fecha]])*10000+MONTH(tblConcentrado[[#This Row],[Fecha]])*100+DAY(tblConcentrado[[#This Row],[Fecha]]))*100+tblConcentrado[[#This Row],[N° hora]]</f>
        <v>2026091421</v>
      </c>
      <c r="C327" s="871">
        <v>46279</v>
      </c>
      <c r="D327">
        <v>21</v>
      </c>
      <c r="E327" s="952">
        <v>0.20833333333333301</v>
      </c>
      <c r="F327" s="256">
        <v>1516</v>
      </c>
      <c r="G327" s="256">
        <v>1025</v>
      </c>
      <c r="H327" s="970">
        <v>0.14599999999999999</v>
      </c>
      <c r="I327" s="970">
        <v>0.86299999999999999</v>
      </c>
      <c r="J327" s="970">
        <v>0.56000000000000005</v>
      </c>
      <c r="K327" s="970">
        <v>0.47699999999999998</v>
      </c>
      <c r="L327" s="970">
        <v>0.27</v>
      </c>
      <c r="M327" s="971">
        <v>28</v>
      </c>
      <c r="N327" s="971">
        <v>15.3</v>
      </c>
      <c r="O327" s="971">
        <v>3.8</v>
      </c>
      <c r="P327" s="971">
        <v>2.5</v>
      </c>
      <c r="Q327" s="971">
        <v>8.1999999999999993</v>
      </c>
      <c r="R327" t="s">
        <v>9258</v>
      </c>
      <c r="U327" t="s">
        <v>9333</v>
      </c>
      <c r="V327" s="871">
        <v>46293</v>
      </c>
      <c r="W32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20.380000000000003</v>
      </c>
      <c r="X32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3.02</v>
      </c>
      <c r="Y327" s="974">
        <f>IFERROR(tblConcentrado[[#This Row],[Concentrado (TMS)]]/tblConcentrado[[#This Row],[Mineral (TMS)]],"")</f>
        <v>0.67612137203166223</v>
      </c>
      <c r="Z327" s="973">
        <f>IFERROR(1/tblConcentrado[[#This Row],[% Recup.]],0)</f>
        <v>1.4790243902439026</v>
      </c>
      <c r="AA327" s="975" t="str">
        <f>IF(COUNTIFS(tblConcentrado[ID],tblConcentrado[[#This Row],[ID]])&gt;1,"Duplicado","")</f>
        <v/>
      </c>
    </row>
    <row r="328" spans="2:27">
      <c r="B328" s="976">
        <f>(YEAR(tblConcentrado[[#This Row],[Fecha]])*10000+MONTH(tblConcentrado[[#This Row],[Fecha]])*100+DAY(tblConcentrado[[#This Row],[Fecha]]))*100+tblConcentrado[[#This Row],[N° hora]]</f>
        <v>2026091422</v>
      </c>
      <c r="C328" s="871">
        <v>46279</v>
      </c>
      <c r="D328">
        <v>22</v>
      </c>
      <c r="E328" s="952">
        <v>0.25</v>
      </c>
      <c r="F328" s="256">
        <v>1502</v>
      </c>
      <c r="G328" s="256">
        <v>879</v>
      </c>
      <c r="H328" s="970"/>
      <c r="I328" s="970"/>
      <c r="J328" s="970"/>
      <c r="K328" s="970"/>
      <c r="L328" s="970"/>
      <c r="M328" s="971"/>
      <c r="N328" s="971"/>
      <c r="O328" s="971"/>
      <c r="P328" s="971"/>
      <c r="Q328" s="971"/>
      <c r="R328" t="s">
        <v>9258</v>
      </c>
      <c r="S328" t="s">
        <v>200</v>
      </c>
      <c r="U328" t="s">
        <v>9333</v>
      </c>
      <c r="V328" s="871">
        <v>46293</v>
      </c>
      <c r="W32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2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28" s="974">
        <f>IFERROR(tblConcentrado[[#This Row],[Concentrado (TMS)]]/tblConcentrado[[#This Row],[Mineral (TMS)]],"")</f>
        <v>0.58521970705725701</v>
      </c>
      <c r="Z328" s="973">
        <f>IFERROR(1/tblConcentrado[[#This Row],[% Recup.]],0)</f>
        <v>1.7087599544937428</v>
      </c>
      <c r="AA328" s="975" t="str">
        <f>IF(COUNTIFS(tblConcentrado[ID],tblConcentrado[[#This Row],[ID]])&gt;1,"Duplicado","")</f>
        <v/>
      </c>
    </row>
    <row r="329" spans="2:27">
      <c r="B329" s="976">
        <f>(YEAR(tblConcentrado[[#This Row],[Fecha]])*10000+MONTH(tblConcentrado[[#This Row],[Fecha]])*100+DAY(tblConcentrado[[#This Row],[Fecha]]))*100+tblConcentrado[[#This Row],[N° hora]]</f>
        <v>2026091423</v>
      </c>
      <c r="C329" s="871">
        <v>46279</v>
      </c>
      <c r="D329">
        <v>23</v>
      </c>
      <c r="E329" s="952">
        <v>0.29166666666666702</v>
      </c>
      <c r="F329" s="256">
        <v>1497</v>
      </c>
      <c r="G329" s="256">
        <v>1049</v>
      </c>
      <c r="H329" s="970">
        <v>0.158</v>
      </c>
      <c r="I329" s="970">
        <v>0.54100000000000004</v>
      </c>
      <c r="J329" s="970">
        <v>0.36</v>
      </c>
      <c r="K329" s="970">
        <v>0.51400000000000001</v>
      </c>
      <c r="L329" s="970">
        <v>0.33</v>
      </c>
      <c r="M329" s="971">
        <v>28.2</v>
      </c>
      <c r="N329" s="971">
        <v>15.6</v>
      </c>
      <c r="O329" s="971">
        <v>3.7</v>
      </c>
      <c r="P329" s="971">
        <v>2.7</v>
      </c>
      <c r="Q329" s="971">
        <v>8.1</v>
      </c>
      <c r="R329" t="s">
        <v>9258</v>
      </c>
      <c r="S329" t="s">
        <v>201</v>
      </c>
      <c r="U329" t="s">
        <v>9333</v>
      </c>
      <c r="V329" s="871">
        <v>46293</v>
      </c>
      <c r="W32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20.64</v>
      </c>
      <c r="X32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3.1000000000000005</v>
      </c>
      <c r="Y329" s="974">
        <f>IFERROR(tblConcentrado[[#This Row],[Concentrado (TMS)]]/tblConcentrado[[#This Row],[Mineral (TMS)]],"")</f>
        <v>0.70073480293921175</v>
      </c>
      <c r="Z329" s="973">
        <f>IFERROR(1/tblConcentrado[[#This Row],[% Recup.]],0)</f>
        <v>1.427073403241182</v>
      </c>
      <c r="AA329" s="975" t="str">
        <f>IF(COUNTIFS(tblConcentrado[ID],tblConcentrado[[#This Row],[ID]])&gt;1,"Duplicado","")</f>
        <v/>
      </c>
    </row>
    <row r="330" spans="2:27">
      <c r="B330" s="976">
        <f>(YEAR(tblConcentrado[[#This Row],[Fecha]])*10000+MONTH(tblConcentrado[[#This Row],[Fecha]])*100+DAY(tblConcentrado[[#This Row],[Fecha]]))*100+tblConcentrado[[#This Row],[N° hora]]</f>
        <v>2026091424</v>
      </c>
      <c r="C330" s="871">
        <v>46279</v>
      </c>
      <c r="D330">
        <v>24</v>
      </c>
      <c r="E330" s="952">
        <v>0.33333333333333298</v>
      </c>
      <c r="F330" s="256">
        <v>1446</v>
      </c>
      <c r="G330" s="256">
        <v>989</v>
      </c>
      <c r="H330" s="970"/>
      <c r="I330" s="970"/>
      <c r="J330" s="970"/>
      <c r="K330" s="970"/>
      <c r="L330" s="970"/>
      <c r="M330" s="971"/>
      <c r="N330" s="971"/>
      <c r="O330" s="971"/>
      <c r="P330" s="971"/>
      <c r="Q330" s="971"/>
      <c r="R330" t="s">
        <v>9258</v>
      </c>
      <c r="U330" t="s">
        <v>9333</v>
      </c>
      <c r="V330" s="871">
        <v>46293</v>
      </c>
      <c r="W33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3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30" s="974">
        <f>IFERROR(tblConcentrado[[#This Row],[Concentrado (TMS)]]/tblConcentrado[[#This Row],[Mineral (TMS)]],"")</f>
        <v>0.6839557399723375</v>
      </c>
      <c r="Z330" s="973">
        <f>IFERROR(1/tblConcentrado[[#This Row],[% Recup.]],0)</f>
        <v>1.462082912032356</v>
      </c>
      <c r="AA330" s="975" t="str">
        <f>IF(COUNTIFS(tblConcentrado[ID],tblConcentrado[[#This Row],[ID]])&gt;1,"Duplicado","")</f>
        <v/>
      </c>
    </row>
    <row r="331" spans="2:27">
      <c r="B331" s="976">
        <f>(YEAR(tblConcentrado[[#This Row],[Fecha]])*10000+MONTH(tblConcentrado[[#This Row],[Fecha]])*100+DAY(tblConcentrado[[#This Row],[Fecha]]))*100+tblConcentrado[[#This Row],[N° hora]]</f>
        <v>2026091501</v>
      </c>
      <c r="C331" s="871">
        <v>46280</v>
      </c>
      <c r="D331">
        <v>1</v>
      </c>
      <c r="E331" s="952">
        <v>0.375</v>
      </c>
      <c r="F331" s="256">
        <v>1307</v>
      </c>
      <c r="G331" s="256">
        <v>821</v>
      </c>
      <c r="H331" s="970">
        <v>0.14499999999999999</v>
      </c>
      <c r="I331" s="970">
        <v>0.55000000000000004</v>
      </c>
      <c r="J331" s="970">
        <v>0.43</v>
      </c>
      <c r="K331" s="970">
        <v>0.60699999999999998</v>
      </c>
      <c r="L331" s="970">
        <v>0.46</v>
      </c>
      <c r="M331" s="971">
        <v>21.9</v>
      </c>
      <c r="N331" s="971">
        <v>16</v>
      </c>
      <c r="O331" s="971">
        <v>2.7</v>
      </c>
      <c r="P331" s="971">
        <v>2.2000000000000002</v>
      </c>
      <c r="Q331" s="971">
        <v>8.1999999999999993</v>
      </c>
      <c r="R331" t="s">
        <v>9258</v>
      </c>
      <c r="U331" t="s">
        <v>9333</v>
      </c>
      <c r="V331" s="871">
        <v>46293</v>
      </c>
      <c r="W33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18.36</v>
      </c>
      <c r="X33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2.4000000000000004</v>
      </c>
      <c r="Y331" s="974">
        <f>IFERROR(tblConcentrado[[#This Row],[Concentrado (TMS)]]/tblConcentrado[[#This Row],[Mineral (TMS)]],"")</f>
        <v>0.62815608263198164</v>
      </c>
      <c r="Z331" s="973">
        <f>IFERROR(1/tblConcentrado[[#This Row],[% Recup.]],0)</f>
        <v>1.5919610231425092</v>
      </c>
      <c r="AA331" s="975" t="str">
        <f>IF(COUNTIFS(tblConcentrado[ID],tblConcentrado[[#This Row],[ID]])&gt;1,"Duplicado","")</f>
        <v/>
      </c>
    </row>
    <row r="332" spans="2:27">
      <c r="B332" s="976">
        <f>(YEAR(tblConcentrado[[#This Row],[Fecha]])*10000+MONTH(tblConcentrado[[#This Row],[Fecha]])*100+DAY(tblConcentrado[[#This Row],[Fecha]]))*100+tblConcentrado[[#This Row],[N° hora]]</f>
        <v>2026091502</v>
      </c>
      <c r="C332" s="871">
        <v>46280</v>
      </c>
      <c r="D332">
        <v>2</v>
      </c>
      <c r="E332" s="952">
        <v>0.41666666666666702</v>
      </c>
      <c r="F332" s="256">
        <v>1289</v>
      </c>
      <c r="G332" s="256">
        <v>949</v>
      </c>
      <c r="H332" s="970"/>
      <c r="I332" s="970"/>
      <c r="J332" s="970"/>
      <c r="K332" s="970"/>
      <c r="L332" s="970"/>
      <c r="M332" s="971"/>
      <c r="N332" s="971"/>
      <c r="O332" s="971"/>
      <c r="P332" s="971"/>
      <c r="Q332" s="971"/>
      <c r="R332" t="s">
        <v>9258</v>
      </c>
      <c r="U332" t="s">
        <v>9333</v>
      </c>
      <c r="V332" s="871">
        <v>46293</v>
      </c>
      <c r="W33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3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32" s="974">
        <f>IFERROR(tblConcentrado[[#This Row],[Concentrado (TMS)]]/tblConcentrado[[#This Row],[Mineral (TMS)]],"")</f>
        <v>0.73622963537626063</v>
      </c>
      <c r="Z332" s="973">
        <f>IFERROR(1/tblConcentrado[[#This Row],[% Recup.]],0)</f>
        <v>1.3582718651211803</v>
      </c>
      <c r="AA332" s="975" t="str">
        <f>IF(COUNTIFS(tblConcentrado[ID],tblConcentrado[[#This Row],[ID]])&gt;1,"Duplicado","")</f>
        <v/>
      </c>
    </row>
    <row r="333" spans="2:27">
      <c r="B333" s="976">
        <f>(YEAR(tblConcentrado[[#This Row],[Fecha]])*10000+MONTH(tblConcentrado[[#This Row],[Fecha]])*100+DAY(tblConcentrado[[#This Row],[Fecha]]))*100+tblConcentrado[[#This Row],[N° hora]]</f>
        <v>2026091503</v>
      </c>
      <c r="C333" s="871">
        <v>46280</v>
      </c>
      <c r="D333">
        <v>3</v>
      </c>
      <c r="E333" s="952">
        <v>0.45833333333333298</v>
      </c>
      <c r="F333" s="256">
        <v>1292</v>
      </c>
      <c r="G333" s="256">
        <v>916</v>
      </c>
      <c r="H333" s="970">
        <v>0.14199999999999999</v>
      </c>
      <c r="I333" s="970">
        <v>0.57199999999999995</v>
      </c>
      <c r="J333" s="970">
        <v>0.44</v>
      </c>
      <c r="K333" s="970">
        <v>0.63100000000000001</v>
      </c>
      <c r="L333" s="970">
        <v>0.47</v>
      </c>
      <c r="M333" s="971">
        <v>25.9</v>
      </c>
      <c r="N333" s="971">
        <v>17.5</v>
      </c>
      <c r="O333" s="971">
        <v>1.4</v>
      </c>
      <c r="P333" s="971">
        <v>1.1000000000000001</v>
      </c>
      <c r="Q333" s="971">
        <v>8.3000000000000007</v>
      </c>
      <c r="R333" t="s">
        <v>9258</v>
      </c>
      <c r="U333" t="s">
        <v>9333</v>
      </c>
      <c r="V333" s="871">
        <v>46293</v>
      </c>
      <c r="W33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20.86</v>
      </c>
      <c r="X33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1.22</v>
      </c>
      <c r="Y333" s="974">
        <f>IFERROR(tblConcentrado[[#This Row],[Concentrado (TMS)]]/tblConcentrado[[#This Row],[Mineral (TMS)]],"")</f>
        <v>0.70897832817337458</v>
      </c>
      <c r="Z333" s="973">
        <f>IFERROR(1/tblConcentrado[[#This Row],[% Recup.]],0)</f>
        <v>1.4104803493449782</v>
      </c>
      <c r="AA333" s="975" t="str">
        <f>IF(COUNTIFS(tblConcentrado[ID],tblConcentrado[[#This Row],[ID]])&gt;1,"Duplicado","")</f>
        <v/>
      </c>
    </row>
    <row r="334" spans="2:27">
      <c r="B334" s="976">
        <f>(YEAR(tblConcentrado[[#This Row],[Fecha]])*10000+MONTH(tblConcentrado[[#This Row],[Fecha]])*100+DAY(tblConcentrado[[#This Row],[Fecha]]))*100+tblConcentrado[[#This Row],[N° hora]]</f>
        <v>2026091504</v>
      </c>
      <c r="C334" s="871">
        <v>46280</v>
      </c>
      <c r="D334">
        <v>4</v>
      </c>
      <c r="E334" s="952">
        <v>0.5</v>
      </c>
      <c r="F334" s="256">
        <v>1297</v>
      </c>
      <c r="G334" s="256">
        <v>924</v>
      </c>
      <c r="H334" s="970"/>
      <c r="I334" s="970"/>
      <c r="J334" s="970"/>
      <c r="K334" s="970"/>
      <c r="L334" s="970"/>
      <c r="M334" s="971"/>
      <c r="N334" s="971"/>
      <c r="O334" s="971"/>
      <c r="P334" s="971"/>
      <c r="Q334" s="971"/>
      <c r="R334" t="s">
        <v>9258</v>
      </c>
      <c r="U334" t="s">
        <v>9333</v>
      </c>
      <c r="V334" s="871">
        <v>46293</v>
      </c>
      <c r="W33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3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34" s="974">
        <f>IFERROR(tblConcentrado[[#This Row],[Concentrado (TMS)]]/tblConcentrado[[#This Row],[Mineral (TMS)]],"")</f>
        <v>0.7124132613723978</v>
      </c>
      <c r="Z334" s="973">
        <f>IFERROR(1/tblConcentrado[[#This Row],[% Recup.]],0)</f>
        <v>1.4036796536796539</v>
      </c>
      <c r="AA334" s="975" t="str">
        <f>IF(COUNTIFS(tblConcentrado[ID],tblConcentrado[[#This Row],[ID]])&gt;1,"Duplicado","")</f>
        <v/>
      </c>
    </row>
    <row r="335" spans="2:27">
      <c r="B335" s="976">
        <f>(YEAR(tblConcentrado[[#This Row],[Fecha]])*10000+MONTH(tblConcentrado[[#This Row],[Fecha]])*100+DAY(tblConcentrado[[#This Row],[Fecha]]))*100+tblConcentrado[[#This Row],[N° hora]]</f>
        <v>2026091505</v>
      </c>
      <c r="C335" s="871">
        <v>46280</v>
      </c>
      <c r="D335">
        <v>5</v>
      </c>
      <c r="E335" s="952">
        <v>0.54166666666666696</v>
      </c>
      <c r="F335" s="256">
        <v>1202</v>
      </c>
      <c r="G335" s="256">
        <v>703</v>
      </c>
      <c r="H335" s="970">
        <v>0.16200000000000001</v>
      </c>
      <c r="I335" s="970">
        <v>0.54400000000000004</v>
      </c>
      <c r="J335" s="970">
        <v>0.41</v>
      </c>
      <c r="K335" s="970">
        <v>0.629</v>
      </c>
      <c r="L335" s="970">
        <v>0.46</v>
      </c>
      <c r="M335" s="971">
        <v>24</v>
      </c>
      <c r="N335" s="971">
        <v>17.399999999999999</v>
      </c>
      <c r="O335" s="971">
        <v>2.6</v>
      </c>
      <c r="P335" s="971">
        <v>2.4</v>
      </c>
      <c r="Q335" s="971">
        <v>8.1999999999999993</v>
      </c>
      <c r="R335" t="s">
        <v>9258</v>
      </c>
      <c r="U335" t="s">
        <v>9333</v>
      </c>
      <c r="V335" s="871">
        <v>46293</v>
      </c>
      <c r="W33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20.04</v>
      </c>
      <c r="X33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2.48</v>
      </c>
      <c r="Y335" s="974">
        <f>IFERROR(tblConcentrado[[#This Row],[Concentrado (TMS)]]/tblConcentrado[[#This Row],[Mineral (TMS)]],"")</f>
        <v>0.58485856905158073</v>
      </c>
      <c r="Z335" s="973">
        <f>IFERROR(1/tblConcentrado[[#This Row],[% Recup.]],0)</f>
        <v>1.7098150782361308</v>
      </c>
      <c r="AA335" s="975" t="str">
        <f>IF(COUNTIFS(tblConcentrado[ID],tblConcentrado[[#This Row],[ID]])&gt;1,"Duplicado","")</f>
        <v/>
      </c>
    </row>
    <row r="336" spans="2:27">
      <c r="B336" s="976">
        <f>(YEAR(tblConcentrado[[#This Row],[Fecha]])*10000+MONTH(tblConcentrado[[#This Row],[Fecha]])*100+DAY(tblConcentrado[[#This Row],[Fecha]]))*100+tblConcentrado[[#This Row],[N° hora]]</f>
        <v>2026091506</v>
      </c>
      <c r="C336" s="871">
        <v>46280</v>
      </c>
      <c r="D336">
        <v>6</v>
      </c>
      <c r="E336" s="952">
        <v>0.58333333333333304</v>
      </c>
      <c r="F336" s="256">
        <v>1280</v>
      </c>
      <c r="G336" s="256">
        <v>946</v>
      </c>
      <c r="H336" s="970"/>
      <c r="I336" s="970"/>
      <c r="J336" s="970"/>
      <c r="K336" s="970"/>
      <c r="L336" s="970"/>
      <c r="M336" s="971"/>
      <c r="N336" s="971"/>
      <c r="O336" s="971"/>
      <c r="P336" s="971"/>
      <c r="Q336" s="971"/>
      <c r="R336" t="s">
        <v>9258</v>
      </c>
      <c r="U336" t="s">
        <v>9333</v>
      </c>
      <c r="V336" s="871">
        <v>46293</v>
      </c>
      <c r="W33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3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36" s="974">
        <f>IFERROR(tblConcentrado[[#This Row],[Concentrado (TMS)]]/tblConcentrado[[#This Row],[Mineral (TMS)]],"")</f>
        <v>0.73906249999999996</v>
      </c>
      <c r="Z336" s="973">
        <f>IFERROR(1/tblConcentrado[[#This Row],[% Recup.]],0)</f>
        <v>1.3530655391120507</v>
      </c>
      <c r="AA336" s="975" t="str">
        <f>IF(COUNTIFS(tblConcentrado[ID],tblConcentrado[[#This Row],[ID]])&gt;1,"Duplicado","")</f>
        <v/>
      </c>
    </row>
    <row r="337" spans="2:27">
      <c r="B337" s="976">
        <f>(YEAR(tblConcentrado[[#This Row],[Fecha]])*10000+MONTH(tblConcentrado[[#This Row],[Fecha]])*100+DAY(tblConcentrado[[#This Row],[Fecha]]))*100+tblConcentrado[[#This Row],[N° hora]]</f>
        <v>2026091507</v>
      </c>
      <c r="C337" s="871">
        <v>46280</v>
      </c>
      <c r="D337">
        <v>7</v>
      </c>
      <c r="E337" s="952">
        <v>0.625</v>
      </c>
      <c r="F337" s="256">
        <v>1260</v>
      </c>
      <c r="G337" s="256">
        <v>787</v>
      </c>
      <c r="H337" s="970">
        <v>0.156</v>
      </c>
      <c r="I337" s="970">
        <v>0.56200000000000006</v>
      </c>
      <c r="J337" s="970">
        <v>0.43</v>
      </c>
      <c r="K337" s="970">
        <v>0.58499999999999996</v>
      </c>
      <c r="L337" s="970">
        <v>0.48</v>
      </c>
      <c r="M337" s="971">
        <v>23.1</v>
      </c>
      <c r="N337" s="971">
        <v>17.8</v>
      </c>
      <c r="O337" s="971">
        <v>2.7</v>
      </c>
      <c r="P337" s="971">
        <v>2.6</v>
      </c>
      <c r="Q337" s="971">
        <v>8.1</v>
      </c>
      <c r="R337" t="s">
        <v>9258</v>
      </c>
      <c r="U337" t="s">
        <v>9333</v>
      </c>
      <c r="V337" s="871">
        <v>46293</v>
      </c>
      <c r="W33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19.920000000000002</v>
      </c>
      <c r="X33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2.64</v>
      </c>
      <c r="Y337" s="974">
        <f>IFERROR(tblConcentrado[[#This Row],[Concentrado (TMS)]]/tblConcentrado[[#This Row],[Mineral (TMS)]],"")</f>
        <v>0.6246031746031746</v>
      </c>
      <c r="Z337" s="973">
        <f>IFERROR(1/tblConcentrado[[#This Row],[% Recup.]],0)</f>
        <v>1.6010165184243965</v>
      </c>
      <c r="AA337" s="975" t="str">
        <f>IF(COUNTIFS(tblConcentrado[ID],tblConcentrado[[#This Row],[ID]])&gt;1,"Duplicado","")</f>
        <v/>
      </c>
    </row>
    <row r="338" spans="2:27">
      <c r="B338" s="976">
        <f>(YEAR(tblConcentrado[[#This Row],[Fecha]])*10000+MONTH(tblConcentrado[[#This Row],[Fecha]])*100+DAY(tblConcentrado[[#This Row],[Fecha]]))*100+tblConcentrado[[#This Row],[N° hora]]</f>
        <v>2026091508</v>
      </c>
      <c r="C338" s="871">
        <v>46280</v>
      </c>
      <c r="D338">
        <v>8</v>
      </c>
      <c r="E338" s="952">
        <v>0.66666666666666696</v>
      </c>
      <c r="F338" s="256">
        <v>1225</v>
      </c>
      <c r="G338" s="256">
        <v>694</v>
      </c>
      <c r="H338" s="970"/>
      <c r="I338" s="970"/>
      <c r="J338" s="970"/>
      <c r="K338" s="970"/>
      <c r="L338" s="970"/>
      <c r="M338" s="971"/>
      <c r="N338" s="971"/>
      <c r="O338" s="971"/>
      <c r="P338" s="971"/>
      <c r="Q338" s="971"/>
      <c r="R338" t="s">
        <v>9258</v>
      </c>
      <c r="U338" t="s">
        <v>9333</v>
      </c>
      <c r="V338" s="871">
        <v>46293</v>
      </c>
      <c r="W33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3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38" s="974">
        <f>IFERROR(tblConcentrado[[#This Row],[Concentrado (TMS)]]/tblConcentrado[[#This Row],[Mineral (TMS)]],"")</f>
        <v>0.56653061224489798</v>
      </c>
      <c r="Z338" s="973">
        <f>IFERROR(1/tblConcentrado[[#This Row],[% Recup.]],0)</f>
        <v>1.7651296829971181</v>
      </c>
      <c r="AA338" s="975" t="str">
        <f>IF(COUNTIFS(tblConcentrado[ID],tblConcentrado[[#This Row],[ID]])&gt;1,"Duplicado","")</f>
        <v/>
      </c>
    </row>
    <row r="339" spans="2:27">
      <c r="B339" s="976">
        <f>(YEAR(tblConcentrado[[#This Row],[Fecha]])*10000+MONTH(tblConcentrado[[#This Row],[Fecha]])*100+DAY(tblConcentrado[[#This Row],[Fecha]]))*100+tblConcentrado[[#This Row],[N° hora]]</f>
        <v>2026091509</v>
      </c>
      <c r="C339" s="871">
        <v>46280</v>
      </c>
      <c r="D339">
        <v>9</v>
      </c>
      <c r="E339" s="952">
        <v>0.70833333333333304</v>
      </c>
      <c r="F339" s="256">
        <v>1223</v>
      </c>
      <c r="G339" s="256">
        <v>694</v>
      </c>
      <c r="H339" s="970">
        <v>0.159</v>
      </c>
      <c r="I339" s="970">
        <v>0.85799999999999998</v>
      </c>
      <c r="J339" s="970">
        <v>0.52</v>
      </c>
      <c r="K339" s="970">
        <v>0.86699999999999999</v>
      </c>
      <c r="L339" s="970">
        <v>0.55000000000000004</v>
      </c>
      <c r="M339" s="971">
        <v>25.4</v>
      </c>
      <c r="N339" s="971">
        <v>16.3</v>
      </c>
      <c r="O339" s="971">
        <v>3.3</v>
      </c>
      <c r="P339" s="971">
        <v>2.4</v>
      </c>
      <c r="Q339" s="971">
        <v>8.1</v>
      </c>
      <c r="R339" t="s">
        <v>9258</v>
      </c>
      <c r="U339" t="s">
        <v>9333</v>
      </c>
      <c r="V339" s="871">
        <v>46293</v>
      </c>
      <c r="W33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19.939999999999998</v>
      </c>
      <c r="X33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2.76</v>
      </c>
      <c r="Y339" s="974">
        <f>IFERROR(tblConcentrado[[#This Row],[Concentrado (TMS)]]/tblConcentrado[[#This Row],[Mineral (TMS)]],"")</f>
        <v>0.56745707277187241</v>
      </c>
      <c r="Z339" s="973">
        <f>IFERROR(1/tblConcentrado[[#This Row],[% Recup.]],0)</f>
        <v>1.7622478386167149</v>
      </c>
      <c r="AA339" s="975" t="str">
        <f>IF(COUNTIFS(tblConcentrado[ID],tblConcentrado[[#This Row],[ID]])&gt;1,"Duplicado","")</f>
        <v/>
      </c>
    </row>
    <row r="340" spans="2:27">
      <c r="B340" s="976">
        <f>(YEAR(tblConcentrado[[#This Row],[Fecha]])*10000+MONTH(tblConcentrado[[#This Row],[Fecha]])*100+DAY(tblConcentrado[[#This Row],[Fecha]]))*100+tblConcentrado[[#This Row],[N° hora]]</f>
        <v>2026091510</v>
      </c>
      <c r="C340" s="871">
        <v>46280</v>
      </c>
      <c r="D340">
        <v>10</v>
      </c>
      <c r="E340" s="952">
        <v>0.75</v>
      </c>
      <c r="F340" s="256">
        <v>1209</v>
      </c>
      <c r="G340" s="256">
        <v>675</v>
      </c>
      <c r="H340" s="970"/>
      <c r="I340" s="970"/>
      <c r="J340" s="970"/>
      <c r="K340" s="970"/>
      <c r="L340" s="970"/>
      <c r="M340" s="971"/>
      <c r="N340" s="971"/>
      <c r="O340" s="971"/>
      <c r="P340" s="971"/>
      <c r="Q340" s="971"/>
      <c r="R340" t="s">
        <v>9258</v>
      </c>
      <c r="U340" t="s">
        <v>9333</v>
      </c>
      <c r="V340" s="871">
        <v>46293</v>
      </c>
      <c r="W34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4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40" s="974">
        <f>IFERROR(tblConcentrado[[#This Row],[Concentrado (TMS)]]/tblConcentrado[[#This Row],[Mineral (TMS)]],"")</f>
        <v>0.55831265508684869</v>
      </c>
      <c r="Z340" s="973">
        <f>IFERROR(1/tblConcentrado[[#This Row],[% Recup.]],0)</f>
        <v>1.7911111111111109</v>
      </c>
      <c r="AA340" s="975" t="str">
        <f>IF(COUNTIFS(tblConcentrado[ID],tblConcentrado[[#This Row],[ID]])&gt;1,"Duplicado","")</f>
        <v/>
      </c>
    </row>
    <row r="341" spans="2:27">
      <c r="B341" s="976">
        <f>(YEAR(tblConcentrado[[#This Row],[Fecha]])*10000+MONTH(tblConcentrado[[#This Row],[Fecha]])*100+DAY(tblConcentrado[[#This Row],[Fecha]]))*100+tblConcentrado[[#This Row],[N° hora]]</f>
        <v>2026091511</v>
      </c>
      <c r="C341" s="871">
        <v>46280</v>
      </c>
      <c r="D341">
        <v>11</v>
      </c>
      <c r="E341" s="952">
        <v>0.79166666666666696</v>
      </c>
      <c r="F341" s="256">
        <v>1345</v>
      </c>
      <c r="G341" s="256">
        <v>732</v>
      </c>
      <c r="H341" s="970">
        <v>0.18</v>
      </c>
      <c r="I341" s="970">
        <v>0.95299999999999996</v>
      </c>
      <c r="J341" s="970">
        <v>0.57999999999999996</v>
      </c>
      <c r="K341" s="970">
        <v>0.91600000000000004</v>
      </c>
      <c r="L341" s="970">
        <v>0.56000000000000005</v>
      </c>
      <c r="M341" s="971">
        <v>23.5</v>
      </c>
      <c r="N341" s="971">
        <v>16</v>
      </c>
      <c r="O341" s="971">
        <v>3</v>
      </c>
      <c r="P341" s="971">
        <v>2.1</v>
      </c>
      <c r="Q341" s="971">
        <v>8</v>
      </c>
      <c r="R341" t="s">
        <v>9258</v>
      </c>
      <c r="U341" t="s">
        <v>9333</v>
      </c>
      <c r="V341" s="871">
        <v>46293</v>
      </c>
      <c r="W34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v>
      </c>
      <c r="X34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2.46</v>
      </c>
      <c r="Y341" s="974">
        <f>IFERROR(tblConcentrado[[#This Row],[Concentrado (TMS)]]/tblConcentrado[[#This Row],[Mineral (TMS)]],"")</f>
        <v>0.5442379182156134</v>
      </c>
      <c r="Z341" s="973">
        <f>IFERROR(1/tblConcentrado[[#This Row],[% Recup.]],0)</f>
        <v>1.8374316939890709</v>
      </c>
      <c r="AA341" s="975" t="str">
        <f>IF(COUNTIFS(tblConcentrado[ID],tblConcentrado[[#This Row],[ID]])&gt;1,"Duplicado","")</f>
        <v/>
      </c>
    </row>
    <row r="342" spans="2:27">
      <c r="B342" s="976">
        <f>(YEAR(tblConcentrado[[#This Row],[Fecha]])*10000+MONTH(tblConcentrado[[#This Row],[Fecha]])*100+DAY(tblConcentrado[[#This Row],[Fecha]]))*100+tblConcentrado[[#This Row],[N° hora]]</f>
        <v>2026091512</v>
      </c>
      <c r="C342" s="871">
        <v>46280</v>
      </c>
      <c r="D342">
        <v>12</v>
      </c>
      <c r="E342" s="952">
        <v>0.83333333333333304</v>
      </c>
      <c r="F342" s="256">
        <v>1340</v>
      </c>
      <c r="G342" s="256">
        <v>701</v>
      </c>
      <c r="H342" s="970"/>
      <c r="I342" s="970"/>
      <c r="J342" s="970"/>
      <c r="K342" s="970"/>
      <c r="L342" s="970"/>
      <c r="M342" s="971"/>
      <c r="N342" s="971"/>
      <c r="O342" s="971"/>
      <c r="P342" s="971"/>
      <c r="Q342" s="971"/>
      <c r="R342" t="s">
        <v>9258</v>
      </c>
      <c r="U342" t="s">
        <v>9333</v>
      </c>
      <c r="V342" s="871">
        <v>46293</v>
      </c>
      <c r="W34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4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42" s="974">
        <f>IFERROR(tblConcentrado[[#This Row],[Concentrado (TMS)]]/tblConcentrado[[#This Row],[Mineral (TMS)]],"")</f>
        <v>0.52313432835820894</v>
      </c>
      <c r="Z342" s="973">
        <f>IFERROR(1/tblConcentrado[[#This Row],[% Recup.]],0)</f>
        <v>1.9115549215406562</v>
      </c>
      <c r="AA342" s="975" t="str">
        <f>IF(COUNTIFS(tblConcentrado[ID],tblConcentrado[[#This Row],[ID]])&gt;1,"Duplicado","")</f>
        <v/>
      </c>
    </row>
    <row r="343" spans="2:27">
      <c r="B343" s="976">
        <f>(YEAR(tblConcentrado[[#This Row],[Fecha]])*10000+MONTH(tblConcentrado[[#This Row],[Fecha]])*100+DAY(tblConcentrado[[#This Row],[Fecha]]))*100+tblConcentrado[[#This Row],[N° hora]]</f>
        <v>2026091513</v>
      </c>
      <c r="C343" s="871">
        <v>46280</v>
      </c>
      <c r="D343">
        <v>13</v>
      </c>
      <c r="E343" s="952">
        <v>0.875</v>
      </c>
      <c r="F343" s="256">
        <v>1368</v>
      </c>
      <c r="G343" s="256">
        <v>1088</v>
      </c>
      <c r="H343" s="970">
        <v>0.18</v>
      </c>
      <c r="I343" s="970">
        <v>1.028</v>
      </c>
      <c r="J343" s="970">
        <v>0.64</v>
      </c>
      <c r="K343" s="970">
        <v>0.92100000000000004</v>
      </c>
      <c r="L343" s="970">
        <v>0.59</v>
      </c>
      <c r="M343" s="971">
        <v>24.9</v>
      </c>
      <c r="N343" s="971">
        <v>16.600000000000001</v>
      </c>
      <c r="O343" s="971">
        <v>3.3</v>
      </c>
      <c r="P343" s="971">
        <v>2.4</v>
      </c>
      <c r="Q343" s="971">
        <v>8.3000000000000007</v>
      </c>
      <c r="R343" t="s">
        <v>9258</v>
      </c>
      <c r="U343" t="s">
        <v>9333</v>
      </c>
      <c r="V343" s="871">
        <v>46293</v>
      </c>
      <c r="W34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19.920000000000002</v>
      </c>
      <c r="X34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2.76</v>
      </c>
      <c r="Y343" s="974">
        <f>IFERROR(tblConcentrado[[#This Row],[Concentrado (TMS)]]/tblConcentrado[[#This Row],[Mineral (TMS)]],"")</f>
        <v>0.79532163742690054</v>
      </c>
      <c r="Z343" s="973">
        <f>IFERROR(1/tblConcentrado[[#This Row],[% Recup.]],0)</f>
        <v>1.2573529411764706</v>
      </c>
      <c r="AA343" s="975" t="str">
        <f>IF(COUNTIFS(tblConcentrado[ID],tblConcentrado[[#This Row],[ID]])&gt;1,"Duplicado","")</f>
        <v/>
      </c>
    </row>
    <row r="344" spans="2:27">
      <c r="B344" s="976">
        <f>(YEAR(tblConcentrado[[#This Row],[Fecha]])*10000+MONTH(tblConcentrado[[#This Row],[Fecha]])*100+DAY(tblConcentrado[[#This Row],[Fecha]]))*100+tblConcentrado[[#This Row],[N° hora]]</f>
        <v>2026091514</v>
      </c>
      <c r="C344" s="871">
        <v>46280</v>
      </c>
      <c r="D344">
        <v>14</v>
      </c>
      <c r="E344" s="952">
        <v>0.91666666666666696</v>
      </c>
      <c r="F344" s="256">
        <v>1228</v>
      </c>
      <c r="G344" s="256">
        <v>674</v>
      </c>
      <c r="H344" s="970"/>
      <c r="I344" s="970"/>
      <c r="J344" s="970"/>
      <c r="K344" s="970"/>
      <c r="L344" s="970"/>
      <c r="M344" s="971"/>
      <c r="N344" s="971"/>
      <c r="O344" s="971"/>
      <c r="P344" s="971"/>
      <c r="Q344" s="971"/>
      <c r="R344" t="s">
        <v>9258</v>
      </c>
      <c r="U344" t="s">
        <v>9333</v>
      </c>
      <c r="V344" s="871">
        <v>46293</v>
      </c>
      <c r="W34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4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44" s="974">
        <f>IFERROR(tblConcentrado[[#This Row],[Concentrado (TMS)]]/tblConcentrado[[#This Row],[Mineral (TMS)]],"")</f>
        <v>0.54885993485342022</v>
      </c>
      <c r="Z344" s="973">
        <f>IFERROR(1/tblConcentrado[[#This Row],[% Recup.]],0)</f>
        <v>1.8219584569732936</v>
      </c>
      <c r="AA344" s="975" t="str">
        <f>IF(COUNTIFS(tblConcentrado[ID],tblConcentrado[[#This Row],[ID]])&gt;1,"Duplicado","")</f>
        <v/>
      </c>
    </row>
    <row r="345" spans="2:27">
      <c r="B345" s="976">
        <f>(YEAR(tblConcentrado[[#This Row],[Fecha]])*10000+MONTH(tblConcentrado[[#This Row],[Fecha]])*100+DAY(tblConcentrado[[#This Row],[Fecha]]))*100+tblConcentrado[[#This Row],[N° hora]]</f>
        <v>2026091515</v>
      </c>
      <c r="C345" s="871">
        <v>46280</v>
      </c>
      <c r="D345">
        <v>15</v>
      </c>
      <c r="E345" s="952">
        <v>0.95833333333333304</v>
      </c>
      <c r="F345" s="256">
        <v>1203</v>
      </c>
      <c r="G345" s="256">
        <v>883</v>
      </c>
      <c r="H345" s="970">
        <v>0.20499999999999999</v>
      </c>
      <c r="I345" s="970">
        <v>0.94099999999999995</v>
      </c>
      <c r="J345" s="970">
        <v>0.61</v>
      </c>
      <c r="K345" s="970">
        <v>0.97699999999999998</v>
      </c>
      <c r="L345" s="970">
        <v>0.62</v>
      </c>
      <c r="M345" s="971">
        <v>25.1</v>
      </c>
      <c r="N345" s="971">
        <v>17.3</v>
      </c>
      <c r="O345" s="971">
        <v>3.5</v>
      </c>
      <c r="P345" s="971">
        <v>2.2999999999999998</v>
      </c>
      <c r="Q345" s="971">
        <v>8.1</v>
      </c>
      <c r="R345" t="s">
        <v>9258</v>
      </c>
      <c r="U345" t="s">
        <v>9333</v>
      </c>
      <c r="V345" s="871">
        <v>46293</v>
      </c>
      <c r="W34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20.420000000000002</v>
      </c>
      <c r="X34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2.7800000000000002</v>
      </c>
      <c r="Y345" s="974">
        <f>IFERROR(tblConcentrado[[#This Row],[Concentrado (TMS)]]/tblConcentrado[[#This Row],[Mineral (TMS)]],"")</f>
        <v>0.7339983374896093</v>
      </c>
      <c r="Z345" s="973">
        <f>IFERROR(1/tblConcentrado[[#This Row],[% Recup.]],0)</f>
        <v>1.362400906002265</v>
      </c>
      <c r="AA345" s="975" t="str">
        <f>IF(COUNTIFS(tblConcentrado[ID],tblConcentrado[[#This Row],[ID]])&gt;1,"Duplicado","")</f>
        <v/>
      </c>
    </row>
    <row r="346" spans="2:27">
      <c r="B346" s="976">
        <f>(YEAR(tblConcentrado[[#This Row],[Fecha]])*10000+MONTH(tblConcentrado[[#This Row],[Fecha]])*100+DAY(tblConcentrado[[#This Row],[Fecha]]))*100+tblConcentrado[[#This Row],[N° hora]]</f>
        <v>2026091516</v>
      </c>
      <c r="C346" s="871">
        <v>46280</v>
      </c>
      <c r="D346">
        <v>16</v>
      </c>
      <c r="E346" s="952">
        <v>0</v>
      </c>
      <c r="F346" s="256">
        <v>1164</v>
      </c>
      <c r="G346" s="256">
        <v>785</v>
      </c>
      <c r="H346" s="970"/>
      <c r="I346" s="970"/>
      <c r="J346" s="970"/>
      <c r="K346" s="970"/>
      <c r="L346" s="970"/>
      <c r="M346" s="971"/>
      <c r="N346" s="971"/>
      <c r="O346" s="971"/>
      <c r="P346" s="971"/>
      <c r="Q346" s="971"/>
      <c r="R346" t="s">
        <v>9258</v>
      </c>
      <c r="U346" t="s">
        <v>9333</v>
      </c>
      <c r="V346" s="871">
        <v>46293</v>
      </c>
      <c r="W34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4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46" s="974">
        <f>IFERROR(tblConcentrado[[#This Row],[Concentrado (TMS)]]/tblConcentrado[[#This Row],[Mineral (TMS)]],"")</f>
        <v>0.67439862542955331</v>
      </c>
      <c r="Z346" s="973">
        <f>IFERROR(1/tblConcentrado[[#This Row],[% Recup.]],0)</f>
        <v>1.4828025477707005</v>
      </c>
      <c r="AA346" s="975" t="str">
        <f>IF(COUNTIFS(tblConcentrado[ID],tblConcentrado[[#This Row],[ID]])&gt;1,"Duplicado","")</f>
        <v/>
      </c>
    </row>
    <row r="347" spans="2:27">
      <c r="B347" s="976">
        <f>(YEAR(tblConcentrado[[#This Row],[Fecha]])*10000+MONTH(tblConcentrado[[#This Row],[Fecha]])*100+DAY(tblConcentrado[[#This Row],[Fecha]]))*100+tblConcentrado[[#This Row],[N° hora]]</f>
        <v>2026091517</v>
      </c>
      <c r="C347" s="871">
        <v>46280</v>
      </c>
      <c r="D347">
        <v>17</v>
      </c>
      <c r="E347" s="952">
        <v>4.1666666666666699E-2</v>
      </c>
      <c r="F347" s="256">
        <v>1182</v>
      </c>
      <c r="G347" s="256">
        <v>860</v>
      </c>
      <c r="H347" s="970">
        <v>0.23599999999999999</v>
      </c>
      <c r="I347" s="970">
        <v>0.874</v>
      </c>
      <c r="J347" s="970">
        <v>0.54</v>
      </c>
      <c r="K347" s="970">
        <v>0.85199999999999998</v>
      </c>
      <c r="L347" s="970">
        <v>0.52</v>
      </c>
      <c r="M347" s="971">
        <v>24</v>
      </c>
      <c r="N347" s="971">
        <v>1.4</v>
      </c>
      <c r="O347" s="971">
        <v>2.6</v>
      </c>
      <c r="P347" s="971">
        <v>2.6</v>
      </c>
      <c r="Q347" s="971">
        <v>8.1999999999999993</v>
      </c>
      <c r="R347" t="s">
        <v>9258</v>
      </c>
      <c r="S347" t="s">
        <v>202</v>
      </c>
      <c r="U347" t="s">
        <v>9333</v>
      </c>
      <c r="V347" s="871">
        <v>46293</v>
      </c>
      <c r="W34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10.440000000000001</v>
      </c>
      <c r="X34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2.6</v>
      </c>
      <c r="Y347" s="974">
        <f>IFERROR(tblConcentrado[[#This Row],[Concentrado (TMS)]]/tblConcentrado[[#This Row],[Mineral (TMS)]],"")</f>
        <v>0.72758037225042305</v>
      </c>
      <c r="Z347" s="973">
        <f>IFERROR(1/tblConcentrado[[#This Row],[% Recup.]],0)</f>
        <v>1.3744186046511628</v>
      </c>
      <c r="AA347" s="975" t="str">
        <f>IF(COUNTIFS(tblConcentrado[ID],tblConcentrado[[#This Row],[ID]])&gt;1,"Duplicado","")</f>
        <v/>
      </c>
    </row>
    <row r="348" spans="2:27">
      <c r="B348" s="976">
        <f>(YEAR(tblConcentrado[[#This Row],[Fecha]])*10000+MONTH(tblConcentrado[[#This Row],[Fecha]])*100+DAY(tblConcentrado[[#This Row],[Fecha]]))*100+tblConcentrado[[#This Row],[N° hora]]</f>
        <v>2026091518</v>
      </c>
      <c r="C348" s="871">
        <v>46280</v>
      </c>
      <c r="D348">
        <v>18</v>
      </c>
      <c r="E348" s="952">
        <v>8.3333333333333301E-2</v>
      </c>
      <c r="F348" s="256">
        <v>1173</v>
      </c>
      <c r="G348" s="256">
        <v>796</v>
      </c>
      <c r="H348" s="970"/>
      <c r="I348" s="970"/>
      <c r="J348" s="970"/>
      <c r="K348" s="970"/>
      <c r="L348" s="970"/>
      <c r="M348" s="971"/>
      <c r="N348" s="971"/>
      <c r="O348" s="971"/>
      <c r="P348" s="971"/>
      <c r="Q348" s="971"/>
      <c r="R348" t="s">
        <v>9258</v>
      </c>
      <c r="S348" t="s">
        <v>203</v>
      </c>
      <c r="T348" t="s">
        <v>204</v>
      </c>
      <c r="U348" t="s">
        <v>9333</v>
      </c>
      <c r="V348" s="871">
        <v>46293</v>
      </c>
      <c r="W34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4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48" s="974">
        <f>IFERROR(tblConcentrado[[#This Row],[Concentrado (TMS)]]/tblConcentrado[[#This Row],[Mineral (TMS)]],"")</f>
        <v>0.67860187553282181</v>
      </c>
      <c r="Z348" s="973">
        <f>IFERROR(1/tblConcentrado[[#This Row],[% Recup.]],0)</f>
        <v>1.4736180904522613</v>
      </c>
      <c r="AA348" s="975" t="str">
        <f>IF(COUNTIFS(tblConcentrado[ID],tblConcentrado[[#This Row],[ID]])&gt;1,"Duplicado","")</f>
        <v/>
      </c>
    </row>
    <row r="349" spans="2:27">
      <c r="B349" s="976">
        <f>(YEAR(tblConcentrado[[#This Row],[Fecha]])*10000+MONTH(tblConcentrado[[#This Row],[Fecha]])*100+DAY(tblConcentrado[[#This Row],[Fecha]]))*100+tblConcentrado[[#This Row],[N° hora]]</f>
        <v>2026091519</v>
      </c>
      <c r="C349" s="871">
        <v>46280</v>
      </c>
      <c r="D349">
        <v>19</v>
      </c>
      <c r="E349" s="952">
        <v>0.125</v>
      </c>
      <c r="F349" s="256">
        <v>1165</v>
      </c>
      <c r="G349" s="256">
        <v>785</v>
      </c>
      <c r="H349" s="970">
        <v>0.193</v>
      </c>
      <c r="I349" s="970">
        <v>0.75800000000000001</v>
      </c>
      <c r="J349" s="970">
        <v>0.47</v>
      </c>
      <c r="K349" s="970">
        <v>0.879</v>
      </c>
      <c r="L349" s="970">
        <v>0.54</v>
      </c>
      <c r="M349" s="971">
        <v>29.7</v>
      </c>
      <c r="N349" s="971">
        <v>14.2</v>
      </c>
      <c r="O349" s="971">
        <v>3.5</v>
      </c>
      <c r="P349" s="971">
        <v>2.4</v>
      </c>
      <c r="Q349" s="971">
        <v>8.1</v>
      </c>
      <c r="R349" t="s">
        <v>9258</v>
      </c>
      <c r="S349" t="s">
        <v>205</v>
      </c>
      <c r="U349" t="s">
        <v>9333</v>
      </c>
      <c r="V349" s="871">
        <v>46293</v>
      </c>
      <c r="W34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20.399999999999999</v>
      </c>
      <c r="X34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2.84</v>
      </c>
      <c r="Y349" s="974">
        <f>IFERROR(tblConcentrado[[#This Row],[Concentrado (TMS)]]/tblConcentrado[[#This Row],[Mineral (TMS)]],"")</f>
        <v>0.67381974248927035</v>
      </c>
      <c r="Z349" s="973">
        <f>IFERROR(1/tblConcentrado[[#This Row],[% Recup.]],0)</f>
        <v>1.4840764331210192</v>
      </c>
      <c r="AA349" s="975" t="str">
        <f>IF(COUNTIFS(tblConcentrado[ID],tblConcentrado[[#This Row],[ID]])&gt;1,"Duplicado","")</f>
        <v/>
      </c>
    </row>
    <row r="350" spans="2:27">
      <c r="B350" s="976">
        <f>(YEAR(tblConcentrado[[#This Row],[Fecha]])*10000+MONTH(tblConcentrado[[#This Row],[Fecha]])*100+DAY(tblConcentrado[[#This Row],[Fecha]]))*100+tblConcentrado[[#This Row],[N° hora]]</f>
        <v>2026091520</v>
      </c>
      <c r="C350" s="871">
        <v>46280</v>
      </c>
      <c r="D350">
        <v>20</v>
      </c>
      <c r="E350" s="952">
        <v>0.16666666666666699</v>
      </c>
      <c r="F350" s="256">
        <v>1207</v>
      </c>
      <c r="G350" s="256">
        <v>867</v>
      </c>
      <c r="H350" s="970"/>
      <c r="I350" s="970"/>
      <c r="J350" s="970"/>
      <c r="K350" s="970"/>
      <c r="L350" s="970"/>
      <c r="M350" s="971"/>
      <c r="N350" s="971"/>
      <c r="O350" s="971"/>
      <c r="P350" s="971"/>
      <c r="Q350" s="971"/>
      <c r="R350" t="s">
        <v>9258</v>
      </c>
      <c r="S350" t="s">
        <v>206</v>
      </c>
      <c r="U350" t="s">
        <v>9333</v>
      </c>
      <c r="V350" s="871">
        <v>46293</v>
      </c>
      <c r="W35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5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50" s="974">
        <f>IFERROR(tblConcentrado[[#This Row],[Concentrado (TMS)]]/tblConcentrado[[#This Row],[Mineral (TMS)]],"")</f>
        <v>0.71830985915492962</v>
      </c>
      <c r="Z350" s="973">
        <f>IFERROR(1/tblConcentrado[[#This Row],[% Recup.]],0)</f>
        <v>1.392156862745098</v>
      </c>
      <c r="AA350" s="975" t="str">
        <f>IF(COUNTIFS(tblConcentrado[ID],tblConcentrado[[#This Row],[ID]])&gt;1,"Duplicado","")</f>
        <v/>
      </c>
    </row>
    <row r="351" spans="2:27">
      <c r="B351" s="976">
        <f>(YEAR(tblConcentrado[[#This Row],[Fecha]])*10000+MONTH(tblConcentrado[[#This Row],[Fecha]])*100+DAY(tblConcentrado[[#This Row],[Fecha]]))*100+tblConcentrado[[#This Row],[N° hora]]</f>
        <v>2026091521</v>
      </c>
      <c r="C351" s="871">
        <v>46280</v>
      </c>
      <c r="D351">
        <v>21</v>
      </c>
      <c r="E351" s="952">
        <v>0.20833333333333301</v>
      </c>
      <c r="F351" s="256">
        <v>1338</v>
      </c>
      <c r="G351" s="256">
        <v>630</v>
      </c>
      <c r="H351" s="970">
        <v>0.184</v>
      </c>
      <c r="I351" s="970">
        <v>0.871</v>
      </c>
      <c r="J351" s="970">
        <v>0.54</v>
      </c>
      <c r="K351" s="970">
        <v>0.71199999999999997</v>
      </c>
      <c r="L351" s="970">
        <v>0.46</v>
      </c>
      <c r="M351" s="971">
        <v>30.4</v>
      </c>
      <c r="N351" s="971">
        <v>14.6</v>
      </c>
      <c r="O351" s="971">
        <v>3.3</v>
      </c>
      <c r="P351" s="971">
        <v>2.2000000000000002</v>
      </c>
      <c r="Q351" s="971">
        <v>8.6</v>
      </c>
      <c r="R351" t="s">
        <v>9258</v>
      </c>
      <c r="S351" t="s">
        <v>207</v>
      </c>
      <c r="U351" t="s">
        <v>9333</v>
      </c>
      <c r="V351" s="871">
        <v>46293</v>
      </c>
      <c r="W35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20.92</v>
      </c>
      <c r="X35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2.64</v>
      </c>
      <c r="Y351" s="974">
        <f>IFERROR(tblConcentrado[[#This Row],[Concentrado (TMS)]]/tblConcentrado[[#This Row],[Mineral (TMS)]],"")</f>
        <v>0.47085201793721976</v>
      </c>
      <c r="Z351" s="973">
        <f>IFERROR(1/tblConcentrado[[#This Row],[% Recup.]],0)</f>
        <v>2.1238095238095238</v>
      </c>
      <c r="AA351" s="975" t="str">
        <f>IF(COUNTIFS(tblConcentrado[ID],tblConcentrado[[#This Row],[ID]])&gt;1,"Duplicado","")</f>
        <v/>
      </c>
    </row>
    <row r="352" spans="2:27">
      <c r="B352" s="976">
        <f>(YEAR(tblConcentrado[[#This Row],[Fecha]])*10000+MONTH(tblConcentrado[[#This Row],[Fecha]])*100+DAY(tblConcentrado[[#This Row],[Fecha]]))*100+tblConcentrado[[#This Row],[N° hora]]</f>
        <v>2026091522</v>
      </c>
      <c r="C352" s="871">
        <v>46280</v>
      </c>
      <c r="D352">
        <v>22</v>
      </c>
      <c r="E352" s="952">
        <v>0.25</v>
      </c>
      <c r="F352" s="256">
        <v>1351</v>
      </c>
      <c r="G352" s="256">
        <v>767</v>
      </c>
      <c r="H352" s="970"/>
      <c r="I352" s="970"/>
      <c r="J352" s="970"/>
      <c r="K352" s="970"/>
      <c r="L352" s="970"/>
      <c r="M352" s="971"/>
      <c r="N352" s="971"/>
      <c r="O352" s="971"/>
      <c r="P352" s="971"/>
      <c r="Q352" s="971"/>
      <c r="R352" t="s">
        <v>9258</v>
      </c>
      <c r="S352" t="s">
        <v>208</v>
      </c>
      <c r="U352" t="s">
        <v>9333</v>
      </c>
      <c r="V352" s="871">
        <v>46293</v>
      </c>
      <c r="W35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5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52" s="974">
        <f>IFERROR(tblConcentrado[[#This Row],[Concentrado (TMS)]]/tblConcentrado[[#This Row],[Mineral (TMS)]],"")</f>
        <v>0.56772760917838638</v>
      </c>
      <c r="Z352" s="973">
        <f>IFERROR(1/tblConcentrado[[#This Row],[% Recup.]],0)</f>
        <v>1.7614080834419816</v>
      </c>
      <c r="AA352" s="975" t="str">
        <f>IF(COUNTIFS(tblConcentrado[ID],tblConcentrado[[#This Row],[ID]])&gt;1,"Duplicado","")</f>
        <v/>
      </c>
    </row>
    <row r="353" spans="2:27">
      <c r="B353" s="976">
        <f>(YEAR(tblConcentrado[[#This Row],[Fecha]])*10000+MONTH(tblConcentrado[[#This Row],[Fecha]])*100+DAY(tblConcentrado[[#This Row],[Fecha]]))*100+tblConcentrado[[#This Row],[N° hora]]</f>
        <v>2026091523</v>
      </c>
      <c r="C353" s="871">
        <v>46280</v>
      </c>
      <c r="D353">
        <v>23</v>
      </c>
      <c r="E353" s="952">
        <v>0.29166666666666702</v>
      </c>
      <c r="F353" s="256">
        <v>1335</v>
      </c>
      <c r="G353" s="256">
        <v>916</v>
      </c>
      <c r="H353" s="970">
        <v>0.19900000000000001</v>
      </c>
      <c r="I353" s="970">
        <v>0.73</v>
      </c>
      <c r="J353" s="970">
        <v>0.46</v>
      </c>
      <c r="K353" s="970">
        <v>0.878</v>
      </c>
      <c r="L353" s="970">
        <v>0.55000000000000004</v>
      </c>
      <c r="M353" s="971">
        <v>28.2</v>
      </c>
      <c r="N353" s="971">
        <v>13.4</v>
      </c>
      <c r="O353" s="971">
        <v>3</v>
      </c>
      <c r="P353" s="971">
        <v>1.7</v>
      </c>
      <c r="Q353" s="971">
        <v>8.1999999999999993</v>
      </c>
      <c r="R353" t="s">
        <v>9258</v>
      </c>
      <c r="S353" t="s">
        <v>209</v>
      </c>
      <c r="U353" t="s">
        <v>9333</v>
      </c>
      <c r="V353" s="871">
        <v>46293</v>
      </c>
      <c r="W35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19.32</v>
      </c>
      <c r="X35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2.2200000000000002</v>
      </c>
      <c r="Y353" s="974">
        <f>IFERROR(tblConcentrado[[#This Row],[Concentrado (TMS)]]/tblConcentrado[[#This Row],[Mineral (TMS)]],"")</f>
        <v>0.68614232209737824</v>
      </c>
      <c r="Z353" s="973">
        <f>IFERROR(1/tblConcentrado[[#This Row],[% Recup.]],0)</f>
        <v>1.4574235807860263</v>
      </c>
      <c r="AA353" s="975" t="str">
        <f>IF(COUNTIFS(tblConcentrado[ID],tblConcentrado[[#This Row],[ID]])&gt;1,"Duplicado","")</f>
        <v/>
      </c>
    </row>
    <row r="354" spans="2:27">
      <c r="B354" s="976">
        <f>(YEAR(tblConcentrado[[#This Row],[Fecha]])*10000+MONTH(tblConcentrado[[#This Row],[Fecha]])*100+DAY(tblConcentrado[[#This Row],[Fecha]]))*100+tblConcentrado[[#This Row],[N° hora]]</f>
        <v>2026091524</v>
      </c>
      <c r="C354" s="871">
        <v>46280</v>
      </c>
      <c r="D354">
        <v>24</v>
      </c>
      <c r="E354" s="952">
        <v>0.33333333333333298</v>
      </c>
      <c r="F354" s="256">
        <v>1372</v>
      </c>
      <c r="G354" s="256">
        <v>865</v>
      </c>
      <c r="H354" s="970"/>
      <c r="I354" s="970"/>
      <c r="J354" s="970"/>
      <c r="K354" s="970"/>
      <c r="L354" s="970"/>
      <c r="M354" s="971"/>
      <c r="N354" s="971"/>
      <c r="O354" s="971"/>
      <c r="P354" s="971"/>
      <c r="Q354" s="971"/>
      <c r="R354" t="s">
        <v>9258</v>
      </c>
      <c r="U354" t="s">
        <v>9333</v>
      </c>
      <c r="V354" s="871">
        <v>46293</v>
      </c>
      <c r="W35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5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54" s="974">
        <f>IFERROR(tblConcentrado[[#This Row],[Concentrado (TMS)]]/tblConcentrado[[#This Row],[Mineral (TMS)]],"")</f>
        <v>0.63046647230320696</v>
      </c>
      <c r="Z354" s="973">
        <f>IFERROR(1/tblConcentrado[[#This Row],[% Recup.]],0)</f>
        <v>1.5861271676300579</v>
      </c>
      <c r="AA354" s="975" t="str">
        <f>IF(COUNTIFS(tblConcentrado[ID],tblConcentrado[[#This Row],[ID]])&gt;1,"Duplicado","")</f>
        <v/>
      </c>
    </row>
    <row r="355" spans="2:27">
      <c r="B355" s="976">
        <f>(YEAR(tblConcentrado[[#This Row],[Fecha]])*10000+MONTH(tblConcentrado[[#This Row],[Fecha]])*100+DAY(tblConcentrado[[#This Row],[Fecha]]))*100+tblConcentrado[[#This Row],[N° hora]]</f>
        <v>2026091601</v>
      </c>
      <c r="C355" s="871">
        <v>46281</v>
      </c>
      <c r="D355">
        <v>1</v>
      </c>
      <c r="E355" s="952">
        <v>0.375</v>
      </c>
      <c r="F355" s="256">
        <v>1375</v>
      </c>
      <c r="G355" s="256">
        <v>977</v>
      </c>
      <c r="H355" s="970">
        <v>0.18</v>
      </c>
      <c r="I355" s="970">
        <v>0.57899999999999996</v>
      </c>
      <c r="J355" s="970">
        <v>0.43</v>
      </c>
      <c r="K355" s="970">
        <v>0.55900000000000005</v>
      </c>
      <c r="L355" s="970">
        <v>0.41</v>
      </c>
      <c r="M355" s="971">
        <v>26.3</v>
      </c>
      <c r="N355" s="971">
        <v>16.600000000000001</v>
      </c>
      <c r="O355" s="971">
        <v>2.9</v>
      </c>
      <c r="P355" s="971">
        <v>2.5</v>
      </c>
      <c r="Q355" s="971">
        <v>8.1999999999999993</v>
      </c>
      <c r="R355" t="s">
        <v>9258</v>
      </c>
      <c r="U355" t="s">
        <v>9333</v>
      </c>
      <c r="V355" s="871">
        <v>46293</v>
      </c>
      <c r="W35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20.480000000000004</v>
      </c>
      <c r="X35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2.66</v>
      </c>
      <c r="Y355" s="974">
        <f>IFERROR(tblConcentrado[[#This Row],[Concentrado (TMS)]]/tblConcentrado[[#This Row],[Mineral (TMS)]],"")</f>
        <v>0.71054545454545459</v>
      </c>
      <c r="Z355" s="973">
        <f>IFERROR(1/tblConcentrado[[#This Row],[% Recup.]],0)</f>
        <v>1.4073694984646878</v>
      </c>
      <c r="AA355" s="975" t="str">
        <f>IF(COUNTIFS(tblConcentrado[ID],tblConcentrado[[#This Row],[ID]])&gt;1,"Duplicado","")</f>
        <v/>
      </c>
    </row>
    <row r="356" spans="2:27">
      <c r="B356" s="976">
        <f>(YEAR(tblConcentrado[[#This Row],[Fecha]])*10000+MONTH(tblConcentrado[[#This Row],[Fecha]])*100+DAY(tblConcentrado[[#This Row],[Fecha]]))*100+tblConcentrado[[#This Row],[N° hora]]</f>
        <v>2026091602</v>
      </c>
      <c r="C356" s="871">
        <v>46281</v>
      </c>
      <c r="D356">
        <v>2</v>
      </c>
      <c r="E356" s="952">
        <v>0.41666666666666702</v>
      </c>
      <c r="F356" s="256">
        <v>1355</v>
      </c>
      <c r="G356" s="256">
        <v>910</v>
      </c>
      <c r="H356" s="970"/>
      <c r="I356" s="970"/>
      <c r="J356" s="970"/>
      <c r="K356" s="970"/>
      <c r="L356" s="970"/>
      <c r="M356" s="971"/>
      <c r="N356" s="971"/>
      <c r="O356" s="971"/>
      <c r="P356" s="971"/>
      <c r="Q356" s="971"/>
      <c r="R356" t="s">
        <v>9258</v>
      </c>
      <c r="U356" t="s">
        <v>9333</v>
      </c>
      <c r="V356" s="871">
        <v>46293</v>
      </c>
      <c r="W35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5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56" s="974">
        <f>IFERROR(tblConcentrado[[#This Row],[Concentrado (TMS)]]/tblConcentrado[[#This Row],[Mineral (TMS)]],"")</f>
        <v>0.67158671586715868</v>
      </c>
      <c r="Z356" s="973">
        <f>IFERROR(1/tblConcentrado[[#This Row],[% Recup.]],0)</f>
        <v>1.4890109890109891</v>
      </c>
      <c r="AA356" s="975" t="str">
        <f>IF(COUNTIFS(tblConcentrado[ID],tblConcentrado[[#This Row],[ID]])&gt;1,"Duplicado","")</f>
        <v/>
      </c>
    </row>
    <row r="357" spans="2:27">
      <c r="B357" s="976">
        <f>(YEAR(tblConcentrado[[#This Row],[Fecha]])*10000+MONTH(tblConcentrado[[#This Row],[Fecha]])*100+DAY(tblConcentrado[[#This Row],[Fecha]]))*100+tblConcentrado[[#This Row],[N° hora]]</f>
        <v>2026091603</v>
      </c>
      <c r="C357" s="871">
        <v>46281</v>
      </c>
      <c r="D357">
        <v>3</v>
      </c>
      <c r="E357" s="952">
        <v>0.45833333333333298</v>
      </c>
      <c r="F357" s="256">
        <v>1330</v>
      </c>
      <c r="G357" s="256">
        <v>886</v>
      </c>
      <c r="H357" s="970">
        <v>0.183</v>
      </c>
      <c r="I357" s="970">
        <v>0.61899999999999999</v>
      </c>
      <c r="J357" s="970">
        <v>0.44</v>
      </c>
      <c r="K357" s="970">
        <v>0.627</v>
      </c>
      <c r="L357" s="970">
        <v>0.46</v>
      </c>
      <c r="M357" s="971">
        <v>25.4</v>
      </c>
      <c r="N357" s="971">
        <v>17</v>
      </c>
      <c r="O357" s="971">
        <v>3</v>
      </c>
      <c r="P357" s="971">
        <v>2.5</v>
      </c>
      <c r="Q357" s="971">
        <v>8.3000000000000007</v>
      </c>
      <c r="R357" t="s">
        <v>9258</v>
      </c>
      <c r="U357" t="s">
        <v>9333</v>
      </c>
      <c r="V357" s="871">
        <v>46293</v>
      </c>
      <c r="W35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20.36</v>
      </c>
      <c r="X35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2.7</v>
      </c>
      <c r="Y357" s="974">
        <f>IFERROR(tblConcentrado[[#This Row],[Concentrado (TMS)]]/tblConcentrado[[#This Row],[Mineral (TMS)]],"")</f>
        <v>0.66616541353383463</v>
      </c>
      <c r="Z357" s="973">
        <f>IFERROR(1/tblConcentrado[[#This Row],[% Recup.]],0)</f>
        <v>1.5011286681715574</v>
      </c>
      <c r="AA357" s="975" t="str">
        <f>IF(COUNTIFS(tblConcentrado[ID],tblConcentrado[[#This Row],[ID]])&gt;1,"Duplicado","")</f>
        <v/>
      </c>
    </row>
    <row r="358" spans="2:27">
      <c r="B358" s="976">
        <f>(YEAR(tblConcentrado[[#This Row],[Fecha]])*10000+MONTH(tblConcentrado[[#This Row],[Fecha]])*100+DAY(tblConcentrado[[#This Row],[Fecha]]))*100+tblConcentrado[[#This Row],[N° hora]]</f>
        <v>2026091604</v>
      </c>
      <c r="C358" s="871">
        <v>46281</v>
      </c>
      <c r="D358">
        <v>4</v>
      </c>
      <c r="E358" s="952">
        <v>0.5</v>
      </c>
      <c r="F358" s="256">
        <v>1351</v>
      </c>
      <c r="G358" s="256">
        <v>926</v>
      </c>
      <c r="H358" s="970"/>
      <c r="I358" s="970"/>
      <c r="J358" s="970"/>
      <c r="K358" s="970"/>
      <c r="L358" s="970"/>
      <c r="M358" s="971"/>
      <c r="N358" s="971"/>
      <c r="O358" s="971"/>
      <c r="P358" s="971"/>
      <c r="Q358" s="971"/>
      <c r="R358" t="s">
        <v>9258</v>
      </c>
      <c r="U358" t="s">
        <v>9333</v>
      </c>
      <c r="V358" s="871">
        <v>46293</v>
      </c>
      <c r="W35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5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58" s="974">
        <f>IFERROR(tblConcentrado[[#This Row],[Concentrado (TMS)]]/tblConcentrado[[#This Row],[Mineral (TMS)]],"")</f>
        <v>0.68541820873427095</v>
      </c>
      <c r="Z358" s="973">
        <f>IFERROR(1/tblConcentrado[[#This Row],[% Recup.]],0)</f>
        <v>1.4589632829373649</v>
      </c>
      <c r="AA358" s="975" t="str">
        <f>IF(COUNTIFS(tblConcentrado[ID],tblConcentrado[[#This Row],[ID]])&gt;1,"Duplicado","")</f>
        <v/>
      </c>
    </row>
    <row r="359" spans="2:27">
      <c r="B359" s="976">
        <f>(YEAR(tblConcentrado[[#This Row],[Fecha]])*10000+MONTH(tblConcentrado[[#This Row],[Fecha]])*100+DAY(tblConcentrado[[#This Row],[Fecha]]))*100+tblConcentrado[[#This Row],[N° hora]]</f>
        <v>2026091605</v>
      </c>
      <c r="C359" s="871">
        <v>46281</v>
      </c>
      <c r="D359">
        <v>5</v>
      </c>
      <c r="E359" s="952">
        <v>0.54166666666666696</v>
      </c>
      <c r="F359" s="256">
        <v>1348</v>
      </c>
      <c r="G359" s="256">
        <v>933</v>
      </c>
      <c r="H359" s="970">
        <v>0.19800000000000001</v>
      </c>
      <c r="I359" s="970">
        <v>0.877</v>
      </c>
      <c r="J359" s="970">
        <v>0.53</v>
      </c>
      <c r="K359" s="970">
        <v>0.84699999999999998</v>
      </c>
      <c r="L359" s="970">
        <v>0.52</v>
      </c>
      <c r="M359" s="971">
        <v>23.6</v>
      </c>
      <c r="N359" s="971">
        <v>16.399999999999999</v>
      </c>
      <c r="O359" s="971">
        <v>2.6</v>
      </c>
      <c r="P359" s="971">
        <v>2.4</v>
      </c>
      <c r="Q359" s="971">
        <v>8</v>
      </c>
      <c r="R359" t="s">
        <v>9258</v>
      </c>
      <c r="U359" t="s">
        <v>9333</v>
      </c>
      <c r="V359" s="871">
        <v>46293</v>
      </c>
      <c r="W35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19.28</v>
      </c>
      <c r="X35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2.48</v>
      </c>
      <c r="Y359" s="974">
        <f>IFERROR(tblConcentrado[[#This Row],[Concentrado (TMS)]]/tblConcentrado[[#This Row],[Mineral (TMS)]],"")</f>
        <v>0.69213649851632042</v>
      </c>
      <c r="Z359" s="973">
        <f>IFERROR(1/tblConcentrado[[#This Row],[% Recup.]],0)</f>
        <v>1.444801714898178</v>
      </c>
      <c r="AA359" s="975" t="str">
        <f>IF(COUNTIFS(tblConcentrado[ID],tblConcentrado[[#This Row],[ID]])&gt;1,"Duplicado","")</f>
        <v/>
      </c>
    </row>
    <row r="360" spans="2:27">
      <c r="B360" s="976">
        <f>(YEAR(tblConcentrado[[#This Row],[Fecha]])*10000+MONTH(tblConcentrado[[#This Row],[Fecha]])*100+DAY(tblConcentrado[[#This Row],[Fecha]]))*100+tblConcentrado[[#This Row],[N° hora]]</f>
        <v>2026091606</v>
      </c>
      <c r="C360" s="871">
        <v>46281</v>
      </c>
      <c r="D360">
        <v>6</v>
      </c>
      <c r="E360" s="952">
        <v>0.58333333333333304</v>
      </c>
      <c r="F360" s="256">
        <v>1349</v>
      </c>
      <c r="G360" s="256">
        <v>833</v>
      </c>
      <c r="H360" s="970"/>
      <c r="I360" s="970"/>
      <c r="J360" s="970"/>
      <c r="K360" s="970"/>
      <c r="L360" s="970"/>
      <c r="M360" s="971"/>
      <c r="N360" s="971"/>
      <c r="O360" s="971"/>
      <c r="P360" s="971"/>
      <c r="Q360" s="971"/>
      <c r="R360" t="s">
        <v>9258</v>
      </c>
      <c r="U360" t="s">
        <v>9333</v>
      </c>
      <c r="V360" s="871">
        <v>46293</v>
      </c>
      <c r="W36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6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60" s="974">
        <f>IFERROR(tblConcentrado[[#This Row],[Concentrado (TMS)]]/tblConcentrado[[#This Row],[Mineral (TMS)]],"")</f>
        <v>0.61749444032616752</v>
      </c>
      <c r="Z360" s="973">
        <f>IFERROR(1/tblConcentrado[[#This Row],[% Recup.]],0)</f>
        <v>1.6194477791116446</v>
      </c>
      <c r="AA360" s="975" t="str">
        <f>IF(COUNTIFS(tblConcentrado[ID],tblConcentrado[[#This Row],[ID]])&gt;1,"Duplicado","")</f>
        <v/>
      </c>
    </row>
    <row r="361" spans="2:27">
      <c r="B361" s="976">
        <f>(YEAR(tblConcentrado[[#This Row],[Fecha]])*10000+MONTH(tblConcentrado[[#This Row],[Fecha]])*100+DAY(tblConcentrado[[#This Row],[Fecha]]))*100+tblConcentrado[[#This Row],[N° hora]]</f>
        <v>2026091607</v>
      </c>
      <c r="C361" s="871">
        <v>46281</v>
      </c>
      <c r="D361">
        <v>7</v>
      </c>
      <c r="E361" s="952">
        <v>0.625</v>
      </c>
      <c r="F361" s="256">
        <v>1347</v>
      </c>
      <c r="G361" s="256">
        <v>859</v>
      </c>
      <c r="H361" s="970">
        <v>0.222</v>
      </c>
      <c r="I361" s="970">
        <v>0.89700000000000002</v>
      </c>
      <c r="J361" s="970">
        <v>0.56000000000000005</v>
      </c>
      <c r="K361" s="970">
        <v>0.85599999999999998</v>
      </c>
      <c r="L361" s="970">
        <v>0.52</v>
      </c>
      <c r="M361" s="971">
        <v>24.4</v>
      </c>
      <c r="N361" s="971">
        <v>15.4</v>
      </c>
      <c r="O361" s="971">
        <v>2.2999999999999998</v>
      </c>
      <c r="P361" s="971">
        <v>1.9</v>
      </c>
      <c r="Q361" s="971">
        <v>8.1</v>
      </c>
      <c r="R361" t="s">
        <v>9258</v>
      </c>
      <c r="U361" t="s">
        <v>9333</v>
      </c>
      <c r="V361" s="871">
        <v>46293</v>
      </c>
      <c r="W36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v>
      </c>
      <c r="X36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2.0599999999999996</v>
      </c>
      <c r="Y361" s="974">
        <f>IFERROR(tblConcentrado[[#This Row],[Concentrado (TMS)]]/tblConcentrado[[#This Row],[Mineral (TMS)]],"")</f>
        <v>0.637713437268003</v>
      </c>
      <c r="Z361" s="973">
        <f>IFERROR(1/tblConcentrado[[#This Row],[% Recup.]],0)</f>
        <v>1.5681024447031431</v>
      </c>
      <c r="AA361" s="975" t="str">
        <f>IF(COUNTIFS(tblConcentrado[ID],tblConcentrado[[#This Row],[ID]])&gt;1,"Duplicado","")</f>
        <v/>
      </c>
    </row>
    <row r="362" spans="2:27">
      <c r="B362" s="976">
        <f>(YEAR(tblConcentrado[[#This Row],[Fecha]])*10000+MONTH(tblConcentrado[[#This Row],[Fecha]])*100+DAY(tblConcentrado[[#This Row],[Fecha]]))*100+tblConcentrado[[#This Row],[N° hora]]</f>
        <v>2026091608</v>
      </c>
      <c r="C362" s="871">
        <v>46281</v>
      </c>
      <c r="D362">
        <v>8</v>
      </c>
      <c r="E362" s="952">
        <v>0.66666666666666696</v>
      </c>
      <c r="F362" s="256">
        <v>1357</v>
      </c>
      <c r="G362" s="256">
        <v>804</v>
      </c>
      <c r="H362" s="970"/>
      <c r="I362" s="970"/>
      <c r="J362" s="970"/>
      <c r="K362" s="970"/>
      <c r="L362" s="970"/>
      <c r="M362" s="971"/>
      <c r="N362" s="971"/>
      <c r="O362" s="971"/>
      <c r="P362" s="971"/>
      <c r="Q362" s="971"/>
      <c r="R362" t="s">
        <v>9258</v>
      </c>
      <c r="U362" t="s">
        <v>9333</v>
      </c>
      <c r="V362" s="871">
        <v>46293</v>
      </c>
      <c r="W36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6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62" s="974">
        <f>IFERROR(tblConcentrado[[#This Row],[Concentrado (TMS)]]/tblConcentrado[[#This Row],[Mineral (TMS)]],"")</f>
        <v>0.59248341930729553</v>
      </c>
      <c r="Z362" s="973">
        <f>IFERROR(1/tblConcentrado[[#This Row],[% Recup.]],0)</f>
        <v>1.6878109452736318</v>
      </c>
      <c r="AA362" s="975" t="str">
        <f>IF(COUNTIFS(tblConcentrado[ID],tblConcentrado[[#This Row],[ID]])&gt;1,"Duplicado","")</f>
        <v/>
      </c>
    </row>
    <row r="363" spans="2:27">
      <c r="B363" s="976">
        <f>(YEAR(tblConcentrado[[#This Row],[Fecha]])*10000+MONTH(tblConcentrado[[#This Row],[Fecha]])*100+DAY(tblConcentrado[[#This Row],[Fecha]]))*100+tblConcentrado[[#This Row],[N° hora]]</f>
        <v>2026091609</v>
      </c>
      <c r="C363" s="871">
        <v>46281</v>
      </c>
      <c r="D363">
        <v>9</v>
      </c>
      <c r="E363" s="952">
        <v>0.70833333333333304</v>
      </c>
      <c r="F363" s="256">
        <v>1361</v>
      </c>
      <c r="G363" s="256">
        <v>905</v>
      </c>
      <c r="H363" s="970">
        <v>0.193</v>
      </c>
      <c r="I363" s="970">
        <v>0.86899999999999999</v>
      </c>
      <c r="J363" s="970">
        <v>0.5</v>
      </c>
      <c r="K363" s="970">
        <v>0.89500000000000002</v>
      </c>
      <c r="L363" s="970"/>
      <c r="M363" s="971">
        <v>25.2</v>
      </c>
      <c r="N363" s="971">
        <v>14</v>
      </c>
      <c r="O363" s="971">
        <v>3</v>
      </c>
      <c r="P363" s="971">
        <v>1.9</v>
      </c>
      <c r="Q363" s="971">
        <v>8.1</v>
      </c>
      <c r="R363" t="s">
        <v>9258</v>
      </c>
      <c r="U363" t="s">
        <v>9333</v>
      </c>
      <c r="V363" s="871">
        <v>46293</v>
      </c>
      <c r="W36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18.48</v>
      </c>
      <c r="X36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2.34</v>
      </c>
      <c r="Y363" s="974">
        <f>IFERROR(tblConcentrado[[#This Row],[Concentrado (TMS)]]/tblConcentrado[[#This Row],[Mineral (TMS)]],"")</f>
        <v>0.6649522409992652</v>
      </c>
      <c r="Z363" s="973">
        <f>IFERROR(1/tblConcentrado[[#This Row],[% Recup.]],0)</f>
        <v>1.5038674033149173</v>
      </c>
      <c r="AA363" s="975" t="str">
        <f>IF(COUNTIFS(tblConcentrado[ID],tblConcentrado[[#This Row],[ID]])&gt;1,"Duplicado","")</f>
        <v/>
      </c>
    </row>
    <row r="364" spans="2:27">
      <c r="B364" s="976">
        <f>(YEAR(tblConcentrado[[#This Row],[Fecha]])*10000+MONTH(tblConcentrado[[#This Row],[Fecha]])*100+DAY(tblConcentrado[[#This Row],[Fecha]]))*100+tblConcentrado[[#This Row],[N° hora]]</f>
        <v>2026091610</v>
      </c>
      <c r="C364" s="871">
        <v>46281</v>
      </c>
      <c r="D364">
        <v>10</v>
      </c>
      <c r="E364" s="952">
        <v>0.75</v>
      </c>
      <c r="F364" s="256">
        <v>1351</v>
      </c>
      <c r="G364" s="256">
        <v>866</v>
      </c>
      <c r="H364" s="970"/>
      <c r="I364" s="970"/>
      <c r="J364" s="970"/>
      <c r="K364" s="970"/>
      <c r="L364" s="970"/>
      <c r="M364" s="971"/>
      <c r="N364" s="971"/>
      <c r="O364" s="971"/>
      <c r="P364" s="971"/>
      <c r="Q364" s="971"/>
      <c r="R364" t="s">
        <v>9258</v>
      </c>
      <c r="U364" t="s">
        <v>9333</v>
      </c>
      <c r="V364" s="871">
        <v>46293</v>
      </c>
      <c r="W36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6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64" s="974">
        <f>IFERROR(tblConcentrado[[#This Row],[Concentrado (TMS)]]/tblConcentrado[[#This Row],[Mineral (TMS)]],"")</f>
        <v>0.64100666173205034</v>
      </c>
      <c r="Z364" s="973">
        <f>IFERROR(1/tblConcentrado[[#This Row],[% Recup.]],0)</f>
        <v>1.5600461893764435</v>
      </c>
      <c r="AA364" s="975" t="str">
        <f>IF(COUNTIFS(tblConcentrado[ID],tblConcentrado[[#This Row],[ID]])&gt;1,"Duplicado","")</f>
        <v/>
      </c>
    </row>
    <row r="365" spans="2:27">
      <c r="B365" s="976">
        <f>(YEAR(tblConcentrado[[#This Row],[Fecha]])*10000+MONTH(tblConcentrado[[#This Row],[Fecha]])*100+DAY(tblConcentrado[[#This Row],[Fecha]]))*100+tblConcentrado[[#This Row],[N° hora]]</f>
        <v>2026091611</v>
      </c>
      <c r="C365" s="871">
        <v>46281</v>
      </c>
      <c r="D365">
        <v>11</v>
      </c>
      <c r="E365" s="952">
        <v>0.79166666666666696</v>
      </c>
      <c r="F365" s="256">
        <v>1366</v>
      </c>
      <c r="G365" s="256">
        <v>952</v>
      </c>
      <c r="H365" s="970">
        <v>0.19500000000000001</v>
      </c>
      <c r="I365" s="970">
        <v>0.85</v>
      </c>
      <c r="J365" s="970">
        <v>0.53</v>
      </c>
      <c r="K365" s="970">
        <v>0.86899999999999999</v>
      </c>
      <c r="L365" s="970">
        <v>0.5</v>
      </c>
      <c r="M365" s="971">
        <v>24.7</v>
      </c>
      <c r="N365" s="971">
        <v>13.6</v>
      </c>
      <c r="O365" s="971">
        <v>3</v>
      </c>
      <c r="P365" s="971">
        <v>2</v>
      </c>
      <c r="Q365" s="971">
        <v>8</v>
      </c>
      <c r="R365" t="s">
        <v>9258</v>
      </c>
      <c r="U365" t="s">
        <v>9333</v>
      </c>
      <c r="V365" s="871">
        <v>46293</v>
      </c>
      <c r="W36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18.04</v>
      </c>
      <c r="X36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2.4000000000000004</v>
      </c>
      <c r="Y365" s="974">
        <f>IFERROR(tblConcentrado[[#This Row],[Concentrado (TMS)]]/tblConcentrado[[#This Row],[Mineral (TMS)]],"")</f>
        <v>0.69692532942898977</v>
      </c>
      <c r="Z365" s="973">
        <f>IFERROR(1/tblConcentrado[[#This Row],[% Recup.]],0)</f>
        <v>1.4348739495798319</v>
      </c>
      <c r="AA365" s="975" t="str">
        <f>IF(COUNTIFS(tblConcentrado[ID],tblConcentrado[[#This Row],[ID]])&gt;1,"Duplicado","")</f>
        <v/>
      </c>
    </row>
    <row r="366" spans="2:27">
      <c r="B366" s="976">
        <f>(YEAR(tblConcentrado[[#This Row],[Fecha]])*10000+MONTH(tblConcentrado[[#This Row],[Fecha]])*100+DAY(tblConcentrado[[#This Row],[Fecha]]))*100+tblConcentrado[[#This Row],[N° hora]]</f>
        <v>2026091612</v>
      </c>
      <c r="C366" s="871">
        <v>46281</v>
      </c>
      <c r="D366">
        <v>12</v>
      </c>
      <c r="E366" s="952">
        <v>0.83333333333333304</v>
      </c>
      <c r="F366" s="256">
        <v>1370</v>
      </c>
      <c r="G366" s="256">
        <v>696</v>
      </c>
      <c r="H366" s="970"/>
      <c r="I366" s="970"/>
      <c r="J366" s="970"/>
      <c r="K366" s="970"/>
      <c r="L366" s="970"/>
      <c r="M366" s="971"/>
      <c r="N366" s="971"/>
      <c r="O366" s="971"/>
      <c r="P366" s="971"/>
      <c r="Q366" s="971"/>
      <c r="R366" t="s">
        <v>9258</v>
      </c>
      <c r="S366" t="s">
        <v>210</v>
      </c>
      <c r="U366" t="s">
        <v>9333</v>
      </c>
      <c r="V366" s="871">
        <v>46293</v>
      </c>
      <c r="W36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6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66" s="974">
        <f>IFERROR(tblConcentrado[[#This Row],[Concentrado (TMS)]]/tblConcentrado[[#This Row],[Mineral (TMS)]],"")</f>
        <v>0.50802919708029193</v>
      </c>
      <c r="Z366" s="973">
        <f>IFERROR(1/tblConcentrado[[#This Row],[% Recup.]],0)</f>
        <v>1.9683908045977012</v>
      </c>
      <c r="AA366" s="975" t="str">
        <f>IF(COUNTIFS(tblConcentrado[ID],tblConcentrado[[#This Row],[ID]])&gt;1,"Duplicado","")</f>
        <v/>
      </c>
    </row>
    <row r="367" spans="2:27">
      <c r="B367" s="976">
        <f>(YEAR(tblConcentrado[[#This Row],[Fecha]])*10000+MONTH(tblConcentrado[[#This Row],[Fecha]])*100+DAY(tblConcentrado[[#This Row],[Fecha]]))*100+tblConcentrado[[#This Row],[N° hora]]</f>
        <v>2026091613</v>
      </c>
      <c r="C367" s="871">
        <v>46281</v>
      </c>
      <c r="D367">
        <v>13</v>
      </c>
      <c r="E367" s="952">
        <v>0.875</v>
      </c>
      <c r="F367" s="256">
        <v>1350</v>
      </c>
      <c r="G367" s="256">
        <v>857</v>
      </c>
      <c r="H367" s="970">
        <v>0.17599999999999999</v>
      </c>
      <c r="I367" s="970">
        <v>0.84399999999999997</v>
      </c>
      <c r="J367" s="970">
        <v>0.49</v>
      </c>
      <c r="K367" s="970">
        <v>0.879</v>
      </c>
      <c r="L367" s="970">
        <v>0.52</v>
      </c>
      <c r="M367" s="971">
        <v>24.2</v>
      </c>
      <c r="N367" s="971">
        <v>14.6</v>
      </c>
      <c r="O367" s="971">
        <v>2.6</v>
      </c>
      <c r="P367" s="971">
        <v>2.1</v>
      </c>
      <c r="Q367" s="971">
        <v>8</v>
      </c>
      <c r="R367" t="s">
        <v>9258</v>
      </c>
      <c r="S367" t="s">
        <v>211</v>
      </c>
      <c r="U367" t="s">
        <v>9333</v>
      </c>
      <c r="V367" s="871">
        <v>46293</v>
      </c>
      <c r="W36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18.439999999999998</v>
      </c>
      <c r="X36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2.2999999999999998</v>
      </c>
      <c r="Y367" s="974">
        <f>IFERROR(tblConcentrado[[#This Row],[Concentrado (TMS)]]/tblConcentrado[[#This Row],[Mineral (TMS)]],"")</f>
        <v>0.63481481481481483</v>
      </c>
      <c r="Z367" s="973">
        <f>IFERROR(1/tblConcentrado[[#This Row],[% Recup.]],0)</f>
        <v>1.5752625437572929</v>
      </c>
      <c r="AA367" s="975" t="str">
        <f>IF(COUNTIFS(tblConcentrado[ID],tblConcentrado[[#This Row],[ID]])&gt;1,"Duplicado","")</f>
        <v/>
      </c>
    </row>
    <row r="368" spans="2:27">
      <c r="B368" s="976">
        <f>(YEAR(tblConcentrado[[#This Row],[Fecha]])*10000+MONTH(tblConcentrado[[#This Row],[Fecha]])*100+DAY(tblConcentrado[[#This Row],[Fecha]]))*100+tblConcentrado[[#This Row],[N° hora]]</f>
        <v>2026091614</v>
      </c>
      <c r="C368" s="871">
        <v>46281</v>
      </c>
      <c r="D368">
        <v>14</v>
      </c>
      <c r="E368" s="952">
        <v>0.91666666666666696</v>
      </c>
      <c r="F368" s="256">
        <v>1348</v>
      </c>
      <c r="G368" s="256">
        <v>601</v>
      </c>
      <c r="H368" s="970"/>
      <c r="I368" s="970"/>
      <c r="J368" s="970"/>
      <c r="K368" s="970"/>
      <c r="L368" s="970"/>
      <c r="M368" s="971"/>
      <c r="N368" s="971"/>
      <c r="O368" s="971"/>
      <c r="P368" s="971"/>
      <c r="Q368" s="971"/>
      <c r="R368" t="s">
        <v>9258</v>
      </c>
      <c r="S368" t="s">
        <v>212</v>
      </c>
      <c r="T368" t="s">
        <v>213</v>
      </c>
      <c r="U368" t="s">
        <v>9333</v>
      </c>
      <c r="V368" s="871">
        <v>46293</v>
      </c>
      <c r="W36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6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68" s="974">
        <f>IFERROR(tblConcentrado[[#This Row],[Concentrado (TMS)]]/tblConcentrado[[#This Row],[Mineral (TMS)]],"")</f>
        <v>0.44584569732937684</v>
      </c>
      <c r="Z368" s="973">
        <f>IFERROR(1/tblConcentrado[[#This Row],[% Recup.]],0)</f>
        <v>2.2429284525790352</v>
      </c>
      <c r="AA368" s="975" t="str">
        <f>IF(COUNTIFS(tblConcentrado[ID],tblConcentrado[[#This Row],[ID]])&gt;1,"Duplicado","")</f>
        <v/>
      </c>
    </row>
    <row r="369" spans="2:27">
      <c r="B369" s="976">
        <f>(YEAR(tblConcentrado[[#This Row],[Fecha]])*10000+MONTH(tblConcentrado[[#This Row],[Fecha]])*100+DAY(tblConcentrado[[#This Row],[Fecha]]))*100+tblConcentrado[[#This Row],[N° hora]]</f>
        <v>2026091615</v>
      </c>
      <c r="C369" s="871">
        <v>46281</v>
      </c>
      <c r="D369">
        <v>15</v>
      </c>
      <c r="E369" s="952">
        <v>0.95833333333333304</v>
      </c>
      <c r="F369" s="256">
        <v>1101</v>
      </c>
      <c r="G369" s="256">
        <v>1056</v>
      </c>
      <c r="H369" s="970">
        <v>0.187</v>
      </c>
      <c r="I369" s="970">
        <v>0.871</v>
      </c>
      <c r="J369" s="970">
        <v>0.53</v>
      </c>
      <c r="K369" s="970">
        <v>0.96799999999999997</v>
      </c>
      <c r="L369" s="970">
        <v>0.56000000000000005</v>
      </c>
      <c r="M369" s="971">
        <v>21.6</v>
      </c>
      <c r="N369" s="971">
        <v>12.4</v>
      </c>
      <c r="O369" s="971">
        <v>2.7</v>
      </c>
      <c r="P369" s="971">
        <v>1.6</v>
      </c>
      <c r="Q369" s="971">
        <v>8.1999999999999993</v>
      </c>
      <c r="R369" t="s">
        <v>9258</v>
      </c>
      <c r="U369" t="s">
        <v>9333</v>
      </c>
      <c r="V369" s="871">
        <v>46293</v>
      </c>
      <c r="W36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16.079999999999998</v>
      </c>
      <c r="X36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2.04</v>
      </c>
      <c r="Y369" s="974">
        <f>IFERROR(tblConcentrado[[#This Row],[Concentrado (TMS)]]/tblConcentrado[[#This Row],[Mineral (TMS)]],"")</f>
        <v>0.95912806539509532</v>
      </c>
      <c r="Z369" s="973">
        <f>IFERROR(1/tblConcentrado[[#This Row],[% Recup.]],0)</f>
        <v>1.0426136363636365</v>
      </c>
      <c r="AA369" s="975" t="str">
        <f>IF(COUNTIFS(tblConcentrado[ID],tblConcentrado[[#This Row],[ID]])&gt;1,"Duplicado","")</f>
        <v/>
      </c>
    </row>
    <row r="370" spans="2:27">
      <c r="B370" s="976">
        <f>(YEAR(tblConcentrado[[#This Row],[Fecha]])*10000+MONTH(tblConcentrado[[#This Row],[Fecha]])*100+DAY(tblConcentrado[[#This Row],[Fecha]]))*100+tblConcentrado[[#This Row],[N° hora]]</f>
        <v>2026091616</v>
      </c>
      <c r="C370" s="871">
        <v>46281</v>
      </c>
      <c r="D370">
        <v>16</v>
      </c>
      <c r="E370" s="952">
        <v>0</v>
      </c>
      <c r="F370" s="256">
        <v>1362</v>
      </c>
      <c r="G370" s="256">
        <v>848</v>
      </c>
      <c r="H370" s="970"/>
      <c r="I370" s="970"/>
      <c r="J370" s="970"/>
      <c r="K370" s="970"/>
      <c r="L370" s="970"/>
      <c r="M370" s="971"/>
      <c r="N370" s="971"/>
      <c r="O370" s="971"/>
      <c r="P370" s="971"/>
      <c r="Q370" s="971"/>
      <c r="R370" t="s">
        <v>9258</v>
      </c>
      <c r="S370" t="s">
        <v>214</v>
      </c>
      <c r="U370" t="s">
        <v>9333</v>
      </c>
      <c r="V370" s="871">
        <v>46293</v>
      </c>
      <c r="W37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7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70" s="974">
        <f>IFERROR(tblConcentrado[[#This Row],[Concentrado (TMS)]]/tblConcentrado[[#This Row],[Mineral (TMS)]],"")</f>
        <v>0.62261380323054327</v>
      </c>
      <c r="Z370" s="973">
        <f>IFERROR(1/tblConcentrado[[#This Row],[% Recup.]],0)</f>
        <v>1.6061320754716983</v>
      </c>
      <c r="AA370" s="975" t="str">
        <f>IF(COUNTIFS(tblConcentrado[ID],tblConcentrado[[#This Row],[ID]])&gt;1,"Duplicado","")</f>
        <v/>
      </c>
    </row>
    <row r="371" spans="2:27">
      <c r="B371" s="976">
        <f>(YEAR(tblConcentrado[[#This Row],[Fecha]])*10000+MONTH(tblConcentrado[[#This Row],[Fecha]])*100+DAY(tblConcentrado[[#This Row],[Fecha]]))*100+tblConcentrado[[#This Row],[N° hora]]</f>
        <v>2026091617</v>
      </c>
      <c r="C371" s="871">
        <v>46281</v>
      </c>
      <c r="D371">
        <v>17</v>
      </c>
      <c r="E371" s="952">
        <v>4.1666666666666699E-2</v>
      </c>
      <c r="F371" s="256">
        <v>1355</v>
      </c>
      <c r="G371" s="256">
        <v>848</v>
      </c>
      <c r="H371" s="970">
        <v>0.182</v>
      </c>
      <c r="I371" s="970">
        <v>0.70499999999999996</v>
      </c>
      <c r="J371" s="970">
        <v>0.44</v>
      </c>
      <c r="K371" s="970">
        <v>0.67300000000000004</v>
      </c>
      <c r="L371" s="970">
        <v>0.4</v>
      </c>
      <c r="M371" s="971">
        <v>24.6</v>
      </c>
      <c r="N371" s="971">
        <v>14.2</v>
      </c>
      <c r="O371" s="971">
        <v>3.1</v>
      </c>
      <c r="P371" s="971">
        <v>1.8</v>
      </c>
      <c r="Q371" s="971">
        <v>8.1999999999999993</v>
      </c>
      <c r="R371" t="s">
        <v>9258</v>
      </c>
      <c r="S371" t="s">
        <v>215</v>
      </c>
      <c r="U371" t="s">
        <v>9333</v>
      </c>
      <c r="V371" s="871">
        <v>46293</v>
      </c>
      <c r="W37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18.36</v>
      </c>
      <c r="X37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2.3200000000000003</v>
      </c>
      <c r="Y371" s="974">
        <f>IFERROR(tblConcentrado[[#This Row],[Concentrado (TMS)]]/tblConcentrado[[#This Row],[Mineral (TMS)]],"")</f>
        <v>0.62583025830258299</v>
      </c>
      <c r="Z371" s="973">
        <f>IFERROR(1/tblConcentrado[[#This Row],[% Recup.]],0)</f>
        <v>1.5978773584905661</v>
      </c>
      <c r="AA371" s="975" t="str">
        <f>IF(COUNTIFS(tblConcentrado[ID],tblConcentrado[[#This Row],[ID]])&gt;1,"Duplicado","")</f>
        <v/>
      </c>
    </row>
    <row r="372" spans="2:27">
      <c r="B372" s="976">
        <f>(YEAR(tblConcentrado[[#This Row],[Fecha]])*10000+MONTH(tblConcentrado[[#This Row],[Fecha]])*100+DAY(tblConcentrado[[#This Row],[Fecha]]))*100+tblConcentrado[[#This Row],[N° hora]]</f>
        <v>2026091618</v>
      </c>
      <c r="C372" s="871">
        <v>46281</v>
      </c>
      <c r="D372">
        <v>18</v>
      </c>
      <c r="E372" s="952">
        <v>8.3333333333333301E-2</v>
      </c>
      <c r="F372" s="256">
        <v>1364</v>
      </c>
      <c r="G372" s="256">
        <v>835</v>
      </c>
      <c r="H372" s="970"/>
      <c r="I372" s="970"/>
      <c r="J372" s="970"/>
      <c r="K372" s="970"/>
      <c r="L372" s="970"/>
      <c r="M372" s="971"/>
      <c r="N372" s="971"/>
      <c r="O372" s="971"/>
      <c r="P372" s="971"/>
      <c r="Q372" s="971"/>
      <c r="R372" t="s">
        <v>9258</v>
      </c>
      <c r="U372" t="s">
        <v>9333</v>
      </c>
      <c r="V372" s="871">
        <v>46293</v>
      </c>
      <c r="W37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7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72" s="974">
        <f>IFERROR(tblConcentrado[[#This Row],[Concentrado (TMS)]]/tblConcentrado[[#This Row],[Mineral (TMS)]],"")</f>
        <v>0.6121700879765396</v>
      </c>
      <c r="Z372" s="973">
        <f>IFERROR(1/tblConcentrado[[#This Row],[% Recup.]],0)</f>
        <v>1.6335329341317364</v>
      </c>
      <c r="AA372" s="975" t="str">
        <f>IF(COUNTIFS(tblConcentrado[ID],tblConcentrado[[#This Row],[ID]])&gt;1,"Duplicado","")</f>
        <v/>
      </c>
    </row>
    <row r="373" spans="2:27">
      <c r="B373" s="976">
        <f>(YEAR(tblConcentrado[[#This Row],[Fecha]])*10000+MONTH(tblConcentrado[[#This Row],[Fecha]])*100+DAY(tblConcentrado[[#This Row],[Fecha]]))*100+tblConcentrado[[#This Row],[N° hora]]</f>
        <v>2026091619</v>
      </c>
      <c r="C373" s="871">
        <v>46281</v>
      </c>
      <c r="D373">
        <v>19</v>
      </c>
      <c r="E373" s="952">
        <v>0.125</v>
      </c>
      <c r="F373" s="256">
        <v>1353</v>
      </c>
      <c r="G373" s="256">
        <v>871</v>
      </c>
      <c r="H373" s="970">
        <v>0.2</v>
      </c>
      <c r="I373" s="970">
        <v>0.78900000000000003</v>
      </c>
      <c r="J373" s="970">
        <v>0.46</v>
      </c>
      <c r="K373" s="970">
        <v>0.77700000000000002</v>
      </c>
      <c r="L373" s="970">
        <v>0.44</v>
      </c>
      <c r="M373" s="971">
        <v>29</v>
      </c>
      <c r="N373" s="971">
        <v>13.3</v>
      </c>
      <c r="O373" s="971">
        <v>3</v>
      </c>
      <c r="P373" s="971">
        <v>1.9</v>
      </c>
      <c r="Q373" s="971">
        <v>8.1</v>
      </c>
      <c r="R373" t="s">
        <v>9258</v>
      </c>
      <c r="U373" t="s">
        <v>9333</v>
      </c>
      <c r="V373" s="871">
        <v>46293</v>
      </c>
      <c r="W37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19.580000000000002</v>
      </c>
      <c r="X37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2.34</v>
      </c>
      <c r="Y373" s="974">
        <f>IFERROR(tblConcentrado[[#This Row],[Concentrado (TMS)]]/tblConcentrado[[#This Row],[Mineral (TMS)]],"")</f>
        <v>0.6437546193643755</v>
      </c>
      <c r="Z373" s="973">
        <f>IFERROR(1/tblConcentrado[[#This Row],[% Recup.]],0)</f>
        <v>1.5533869115958667</v>
      </c>
      <c r="AA373" s="975" t="str">
        <f>IF(COUNTIFS(tblConcentrado[ID],tblConcentrado[[#This Row],[ID]])&gt;1,"Duplicado","")</f>
        <v/>
      </c>
    </row>
    <row r="374" spans="2:27">
      <c r="B374" s="976">
        <f>(YEAR(tblConcentrado[[#This Row],[Fecha]])*10000+MONTH(tblConcentrado[[#This Row],[Fecha]])*100+DAY(tblConcentrado[[#This Row],[Fecha]]))*100+tblConcentrado[[#This Row],[N° hora]]</f>
        <v>2026091620</v>
      </c>
      <c r="C374" s="871">
        <v>46281</v>
      </c>
      <c r="D374">
        <v>20</v>
      </c>
      <c r="E374" s="952">
        <v>0.16666666666666699</v>
      </c>
      <c r="F374" s="256">
        <v>1321</v>
      </c>
      <c r="G374" s="256">
        <v>908</v>
      </c>
      <c r="H374" s="970"/>
      <c r="I374" s="970"/>
      <c r="J374" s="970"/>
      <c r="K374" s="970"/>
      <c r="L374" s="970"/>
      <c r="M374" s="971"/>
      <c r="N374" s="971"/>
      <c r="O374" s="971"/>
      <c r="P374" s="971"/>
      <c r="Q374" s="971"/>
      <c r="R374" t="s">
        <v>9258</v>
      </c>
      <c r="U374" t="s">
        <v>9333</v>
      </c>
      <c r="V374" s="871">
        <v>46293</v>
      </c>
      <c r="W37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7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74" s="974">
        <f>IFERROR(tblConcentrado[[#This Row],[Concentrado (TMS)]]/tblConcentrado[[#This Row],[Mineral (TMS)]],"")</f>
        <v>0.68735806207418626</v>
      </c>
      <c r="Z374" s="973">
        <f>IFERROR(1/tblConcentrado[[#This Row],[% Recup.]],0)</f>
        <v>1.4548458149779735</v>
      </c>
      <c r="AA374" s="975" t="str">
        <f>IF(COUNTIFS(tblConcentrado[ID],tblConcentrado[[#This Row],[ID]])&gt;1,"Duplicado","")</f>
        <v/>
      </c>
    </row>
    <row r="375" spans="2:27">
      <c r="B375" s="976">
        <f>(YEAR(tblConcentrado[[#This Row],[Fecha]])*10000+MONTH(tblConcentrado[[#This Row],[Fecha]])*100+DAY(tblConcentrado[[#This Row],[Fecha]]))*100+tblConcentrado[[#This Row],[N° hora]]</f>
        <v>2026091621</v>
      </c>
      <c r="C375" s="871">
        <v>46281</v>
      </c>
      <c r="D375">
        <v>21</v>
      </c>
      <c r="E375" s="952">
        <v>0.20833333333333301</v>
      </c>
      <c r="F375" s="256">
        <v>1301</v>
      </c>
      <c r="G375" s="256">
        <v>877</v>
      </c>
      <c r="H375" s="970">
        <v>0.187</v>
      </c>
      <c r="I375" s="970">
        <v>0.77600000000000002</v>
      </c>
      <c r="J375" s="970">
        <v>0.44</v>
      </c>
      <c r="K375" s="970">
        <v>0.92</v>
      </c>
      <c r="L375" s="970">
        <v>0.67</v>
      </c>
      <c r="M375" s="971">
        <v>28.2</v>
      </c>
      <c r="N375" s="971">
        <v>11.3</v>
      </c>
      <c r="O375" s="971">
        <v>3.1</v>
      </c>
      <c r="P375" s="971">
        <v>1.6</v>
      </c>
      <c r="Q375" s="971">
        <v>8.3000000000000007</v>
      </c>
      <c r="R375" t="s">
        <v>9258</v>
      </c>
      <c r="U375" t="s">
        <v>9333</v>
      </c>
      <c r="V375" s="871">
        <v>46293</v>
      </c>
      <c r="W37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18.060000000000002</v>
      </c>
      <c r="X37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2.2000000000000002</v>
      </c>
      <c r="Y375" s="974">
        <f>IFERROR(tblConcentrado[[#This Row],[Concentrado (TMS)]]/tblConcentrado[[#This Row],[Mineral (TMS)]],"")</f>
        <v>0.67409684857801688</v>
      </c>
      <c r="Z375" s="973">
        <f>IFERROR(1/tblConcentrado[[#This Row],[% Recup.]],0)</f>
        <v>1.4834663625997719</v>
      </c>
      <c r="AA375" s="975" t="str">
        <f>IF(COUNTIFS(tblConcentrado[ID],tblConcentrado[[#This Row],[ID]])&gt;1,"Duplicado","")</f>
        <v/>
      </c>
    </row>
    <row r="376" spans="2:27">
      <c r="B376" s="976">
        <f>(YEAR(tblConcentrado[[#This Row],[Fecha]])*10000+MONTH(tblConcentrado[[#This Row],[Fecha]])*100+DAY(tblConcentrado[[#This Row],[Fecha]]))*100+tblConcentrado[[#This Row],[N° hora]]</f>
        <v>2026091622</v>
      </c>
      <c r="C376" s="871">
        <v>46281</v>
      </c>
      <c r="D376">
        <v>22</v>
      </c>
      <c r="E376" s="952">
        <v>0.25</v>
      </c>
      <c r="F376" s="256">
        <v>1255</v>
      </c>
      <c r="G376" s="256">
        <v>818</v>
      </c>
      <c r="H376" s="970"/>
      <c r="I376" s="970"/>
      <c r="J376" s="970"/>
      <c r="K376" s="970"/>
      <c r="L376" s="970"/>
      <c r="M376" s="971"/>
      <c r="N376" s="971"/>
      <c r="O376" s="971"/>
      <c r="P376" s="971"/>
      <c r="Q376" s="971"/>
      <c r="R376" t="s">
        <v>9258</v>
      </c>
      <c r="U376" t="s">
        <v>9333</v>
      </c>
      <c r="V376" s="871">
        <v>46293</v>
      </c>
      <c r="W37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7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76" s="974">
        <f>IFERROR(tblConcentrado[[#This Row],[Concentrado (TMS)]]/tblConcentrado[[#This Row],[Mineral (TMS)]],"")</f>
        <v>0.65179282868525901</v>
      </c>
      <c r="Z376" s="973">
        <f>IFERROR(1/tblConcentrado[[#This Row],[% Recup.]],0)</f>
        <v>1.5342298288508556</v>
      </c>
      <c r="AA376" s="975" t="str">
        <f>IF(COUNTIFS(tblConcentrado[ID],tblConcentrado[[#This Row],[ID]])&gt;1,"Duplicado","")</f>
        <v/>
      </c>
    </row>
    <row r="377" spans="2:27">
      <c r="B377" s="976">
        <f>(YEAR(tblConcentrado[[#This Row],[Fecha]])*10000+MONTH(tblConcentrado[[#This Row],[Fecha]])*100+DAY(tblConcentrado[[#This Row],[Fecha]]))*100+tblConcentrado[[#This Row],[N° hora]]</f>
        <v>2026091623</v>
      </c>
      <c r="C377" s="871">
        <v>46281</v>
      </c>
      <c r="D377">
        <v>23</v>
      </c>
      <c r="E377" s="952">
        <v>0.29166666666666702</v>
      </c>
      <c r="F377" s="256">
        <v>1237</v>
      </c>
      <c r="G377" s="256">
        <v>757</v>
      </c>
      <c r="H377" s="970">
        <v>0.183</v>
      </c>
      <c r="I377" s="970">
        <v>0.85199999999999998</v>
      </c>
      <c r="J377" s="970">
        <v>0.47</v>
      </c>
      <c r="K377" s="970">
        <v>0.81200000000000006</v>
      </c>
      <c r="L377" s="970">
        <v>0.49</v>
      </c>
      <c r="M377" s="971">
        <v>28.9</v>
      </c>
      <c r="N377" s="971">
        <v>13.3</v>
      </c>
      <c r="O377" s="971">
        <v>3.1</v>
      </c>
      <c r="P377" s="971">
        <v>1.7</v>
      </c>
      <c r="Q377" s="971">
        <v>8.1</v>
      </c>
      <c r="R377" t="s">
        <v>9258</v>
      </c>
      <c r="U377" t="s">
        <v>9333</v>
      </c>
      <c r="V377" s="871">
        <v>46293</v>
      </c>
      <c r="W37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19.54</v>
      </c>
      <c r="X37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2.2600000000000002</v>
      </c>
      <c r="Y377" s="974">
        <f>IFERROR(tblConcentrado[[#This Row],[Concentrado (TMS)]]/tblConcentrado[[#This Row],[Mineral (TMS)]],"")</f>
        <v>0.61196443007275669</v>
      </c>
      <c r="Z377" s="973">
        <f>IFERROR(1/tblConcentrado[[#This Row],[% Recup.]],0)</f>
        <v>1.6340819022457067</v>
      </c>
      <c r="AA377" s="975" t="str">
        <f>IF(COUNTIFS(tblConcentrado[ID],tblConcentrado[[#This Row],[ID]])&gt;1,"Duplicado","")</f>
        <v/>
      </c>
    </row>
    <row r="378" spans="2:27">
      <c r="B378" s="976">
        <f>(YEAR(tblConcentrado[[#This Row],[Fecha]])*10000+MONTH(tblConcentrado[[#This Row],[Fecha]])*100+DAY(tblConcentrado[[#This Row],[Fecha]]))*100+tblConcentrado[[#This Row],[N° hora]]</f>
        <v>2026091624</v>
      </c>
      <c r="C378" s="871">
        <v>46281</v>
      </c>
      <c r="D378">
        <v>24</v>
      </c>
      <c r="E378" s="952">
        <v>0.33333333333333298</v>
      </c>
      <c r="F378" s="256">
        <v>1140</v>
      </c>
      <c r="G378" s="256">
        <v>767</v>
      </c>
      <c r="H378" s="970"/>
      <c r="I378" s="970"/>
      <c r="J378" s="970"/>
      <c r="K378" s="970"/>
      <c r="L378" s="970"/>
      <c r="M378" s="971"/>
      <c r="N378" s="971"/>
      <c r="O378" s="971"/>
      <c r="P378" s="971"/>
      <c r="Q378" s="971"/>
      <c r="R378" t="s">
        <v>9258</v>
      </c>
      <c r="U378" t="s">
        <v>9333</v>
      </c>
      <c r="V378" s="871">
        <v>46293</v>
      </c>
      <c r="W37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7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78" s="974">
        <f>IFERROR(tblConcentrado[[#This Row],[Concentrado (TMS)]]/tblConcentrado[[#This Row],[Mineral (TMS)]],"")</f>
        <v>0.67280701754385963</v>
      </c>
      <c r="Z378" s="973">
        <f>IFERROR(1/tblConcentrado[[#This Row],[% Recup.]],0)</f>
        <v>1.486310299869622</v>
      </c>
      <c r="AA378" s="975" t="str">
        <f>IF(COUNTIFS(tblConcentrado[ID],tblConcentrado[[#This Row],[ID]])&gt;1,"Duplicado","")</f>
        <v/>
      </c>
    </row>
    <row r="379" spans="2:27">
      <c r="B379" s="976">
        <f>(YEAR(tblConcentrado[[#This Row],[Fecha]])*10000+MONTH(tblConcentrado[[#This Row],[Fecha]])*100+DAY(tblConcentrado[[#This Row],[Fecha]]))*100+tblConcentrado[[#This Row],[N° hora]]</f>
        <v>2026091701</v>
      </c>
      <c r="C379" s="871">
        <v>46282</v>
      </c>
      <c r="D379">
        <v>1</v>
      </c>
      <c r="E379" s="952">
        <v>0.375</v>
      </c>
      <c r="F379" s="256">
        <v>1159</v>
      </c>
      <c r="G379" s="256">
        <v>823</v>
      </c>
      <c r="H379" s="970">
        <v>0.14000000000000001</v>
      </c>
      <c r="I379" s="970">
        <v>0.86499999999999999</v>
      </c>
      <c r="J379" s="970">
        <v>0.53</v>
      </c>
      <c r="K379" s="970">
        <v>0.84799999999999998</v>
      </c>
      <c r="L379" s="970">
        <v>0.38</v>
      </c>
      <c r="M379" s="971">
        <v>23.4</v>
      </c>
      <c r="N379" s="971">
        <v>18.3</v>
      </c>
      <c r="O379" s="971">
        <v>2.6</v>
      </c>
      <c r="P379" s="971">
        <v>3</v>
      </c>
      <c r="Q379" s="971">
        <v>8.1999999999999993</v>
      </c>
      <c r="R379" t="s">
        <v>9258</v>
      </c>
      <c r="U379" t="s">
        <v>9333</v>
      </c>
      <c r="V379" s="871">
        <v>46293</v>
      </c>
      <c r="W37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20.34</v>
      </c>
      <c r="X37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2.84</v>
      </c>
      <c r="Y379" s="974">
        <f>IFERROR(tblConcentrado[[#This Row],[Concentrado (TMS)]]/tblConcentrado[[#This Row],[Mineral (TMS)]],"")</f>
        <v>0.71009490940465914</v>
      </c>
      <c r="Z379" s="973">
        <f>IFERROR(1/tblConcentrado[[#This Row],[% Recup.]],0)</f>
        <v>1.408262454434994</v>
      </c>
      <c r="AA379" s="975" t="str">
        <f>IF(COUNTIFS(tblConcentrado[ID],tblConcentrado[[#This Row],[ID]])&gt;1,"Duplicado","")</f>
        <v/>
      </c>
    </row>
    <row r="380" spans="2:27">
      <c r="B380" s="976">
        <f>(YEAR(tblConcentrado[[#This Row],[Fecha]])*10000+MONTH(tblConcentrado[[#This Row],[Fecha]])*100+DAY(tblConcentrado[[#This Row],[Fecha]]))*100+tblConcentrado[[#This Row],[N° hora]]</f>
        <v>2026091702</v>
      </c>
      <c r="C380" s="871">
        <v>46282</v>
      </c>
      <c r="D380">
        <v>2</v>
      </c>
      <c r="E380" s="952">
        <v>0.41666666666666702</v>
      </c>
      <c r="F380" s="256">
        <v>1140</v>
      </c>
      <c r="G380" s="256">
        <v>768</v>
      </c>
      <c r="H380" s="970"/>
      <c r="I380" s="970"/>
      <c r="J380" s="970"/>
      <c r="K380" s="970"/>
      <c r="L380" s="970"/>
      <c r="M380" s="971"/>
      <c r="N380" s="971"/>
      <c r="O380" s="971"/>
      <c r="P380" s="971"/>
      <c r="Q380" s="971"/>
      <c r="R380" t="s">
        <v>9258</v>
      </c>
      <c r="U380" t="s">
        <v>9333</v>
      </c>
      <c r="V380" s="871">
        <v>46293</v>
      </c>
      <c r="W38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8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80" s="974">
        <f>IFERROR(tblConcentrado[[#This Row],[Concentrado (TMS)]]/tblConcentrado[[#This Row],[Mineral (TMS)]],"")</f>
        <v>0.67368421052631577</v>
      </c>
      <c r="Z380" s="973">
        <f>IFERROR(1/tblConcentrado[[#This Row],[% Recup.]],0)</f>
        <v>1.484375</v>
      </c>
      <c r="AA380" s="975" t="str">
        <f>IF(COUNTIFS(tblConcentrado[ID],tblConcentrado[[#This Row],[ID]])&gt;1,"Duplicado","")</f>
        <v/>
      </c>
    </row>
    <row r="381" spans="2:27">
      <c r="B381" s="976">
        <f>(YEAR(tblConcentrado[[#This Row],[Fecha]])*10000+MONTH(tblConcentrado[[#This Row],[Fecha]])*100+DAY(tblConcentrado[[#This Row],[Fecha]]))*100+tblConcentrado[[#This Row],[N° hora]]</f>
        <v>2026091703</v>
      </c>
      <c r="C381" s="871">
        <v>46282</v>
      </c>
      <c r="D381">
        <v>3</v>
      </c>
      <c r="E381" s="952">
        <v>0.45833333333333298</v>
      </c>
      <c r="F381" s="256">
        <v>1156</v>
      </c>
      <c r="G381" s="256">
        <v>728</v>
      </c>
      <c r="H381" s="970">
        <v>0.126</v>
      </c>
      <c r="I381" s="970">
        <v>0.83499999999999996</v>
      </c>
      <c r="J381" s="970">
        <v>0.49</v>
      </c>
      <c r="K381" s="970">
        <v>0.84099999999999997</v>
      </c>
      <c r="L381" s="970">
        <v>0.3</v>
      </c>
      <c r="M381" s="971">
        <v>22.4</v>
      </c>
      <c r="N381" s="971">
        <v>18</v>
      </c>
      <c r="O381" s="971">
        <v>1.8</v>
      </c>
      <c r="P381" s="971">
        <v>2.9</v>
      </c>
      <c r="Q381" s="971">
        <v>8.1</v>
      </c>
      <c r="R381" t="s">
        <v>9258</v>
      </c>
      <c r="U381" t="s">
        <v>9333</v>
      </c>
      <c r="V381" s="871">
        <v>46293</v>
      </c>
      <c r="W38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19.759999999999998</v>
      </c>
      <c r="X38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2.46</v>
      </c>
      <c r="Y381" s="974">
        <f>IFERROR(tblConcentrado[[#This Row],[Concentrado (TMS)]]/tblConcentrado[[#This Row],[Mineral (TMS)]],"")</f>
        <v>0.62975778546712802</v>
      </c>
      <c r="Z381" s="973">
        <f>IFERROR(1/tblConcentrado[[#This Row],[% Recup.]],0)</f>
        <v>1.587912087912088</v>
      </c>
      <c r="AA381" s="975" t="str">
        <f>IF(COUNTIFS(tblConcentrado[ID],tblConcentrado[[#This Row],[ID]])&gt;1,"Duplicado","")</f>
        <v/>
      </c>
    </row>
    <row r="382" spans="2:27">
      <c r="B382" s="976">
        <f>(YEAR(tblConcentrado[[#This Row],[Fecha]])*10000+MONTH(tblConcentrado[[#This Row],[Fecha]])*100+DAY(tblConcentrado[[#This Row],[Fecha]]))*100+tblConcentrado[[#This Row],[N° hora]]</f>
        <v>2026091704</v>
      </c>
      <c r="C382" s="871">
        <v>46282</v>
      </c>
      <c r="D382">
        <v>4</v>
      </c>
      <c r="E382" s="952">
        <v>0.5</v>
      </c>
      <c r="F382" s="256">
        <v>1184</v>
      </c>
      <c r="G382" s="256">
        <v>691</v>
      </c>
      <c r="H382" s="970"/>
      <c r="I382" s="970"/>
      <c r="J382" s="970"/>
      <c r="K382" s="970"/>
      <c r="L382" s="970"/>
      <c r="M382" s="971"/>
      <c r="N382" s="971"/>
      <c r="O382" s="971"/>
      <c r="P382" s="971"/>
      <c r="Q382" s="971"/>
      <c r="R382" t="s">
        <v>9258</v>
      </c>
      <c r="U382" t="s">
        <v>9333</v>
      </c>
      <c r="V382" s="871">
        <v>46293</v>
      </c>
      <c r="W38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8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82" s="974">
        <f>IFERROR(tblConcentrado[[#This Row],[Concentrado (TMS)]]/tblConcentrado[[#This Row],[Mineral (TMS)]],"")</f>
        <v>0.58361486486486491</v>
      </c>
      <c r="Z382" s="973">
        <f>IFERROR(1/tblConcentrado[[#This Row],[% Recup.]],0)</f>
        <v>1.7134587554269174</v>
      </c>
      <c r="AA382" s="975" t="str">
        <f>IF(COUNTIFS(tblConcentrado[ID],tblConcentrado[[#This Row],[ID]])&gt;1,"Duplicado","")</f>
        <v/>
      </c>
    </row>
    <row r="383" spans="2:27">
      <c r="B383" s="976">
        <f>(YEAR(tblConcentrado[[#This Row],[Fecha]])*10000+MONTH(tblConcentrado[[#This Row],[Fecha]])*100+DAY(tblConcentrado[[#This Row],[Fecha]]))*100+tblConcentrado[[#This Row],[N° hora]]</f>
        <v>2026091705</v>
      </c>
      <c r="C383" s="871">
        <v>46282</v>
      </c>
      <c r="D383">
        <v>5</v>
      </c>
      <c r="E383" s="952">
        <v>0.54166666666666696</v>
      </c>
      <c r="F383" s="256">
        <v>1235</v>
      </c>
      <c r="G383" s="256">
        <v>709</v>
      </c>
      <c r="H383" s="970">
        <v>0.13700000000000001</v>
      </c>
      <c r="I383" s="970">
        <v>0.76300000000000001</v>
      </c>
      <c r="J383" s="970">
        <v>0.37</v>
      </c>
      <c r="K383" s="970">
        <v>0.79900000000000004</v>
      </c>
      <c r="L383" s="970">
        <v>0.31</v>
      </c>
      <c r="M383" s="971">
        <v>19.600000000000001</v>
      </c>
      <c r="N383" s="971">
        <v>17.100000000000001</v>
      </c>
      <c r="O383" s="971">
        <v>0.9</v>
      </c>
      <c r="P383" s="971">
        <v>2.7</v>
      </c>
      <c r="Q383" s="971">
        <v>8.1</v>
      </c>
      <c r="R383" t="s">
        <v>9258</v>
      </c>
      <c r="U383" t="s">
        <v>9333</v>
      </c>
      <c r="V383" s="871">
        <v>46293</v>
      </c>
      <c r="W38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18.100000000000001</v>
      </c>
      <c r="X38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1.9800000000000002</v>
      </c>
      <c r="Y383" s="974">
        <f>IFERROR(tblConcentrado[[#This Row],[Concentrado (TMS)]]/tblConcentrado[[#This Row],[Mineral (TMS)]],"")</f>
        <v>0.57408906882591093</v>
      </c>
      <c r="Z383" s="973">
        <f>IFERROR(1/tblConcentrado[[#This Row],[% Recup.]],0)</f>
        <v>1.7418899858956276</v>
      </c>
      <c r="AA383" s="975" t="str">
        <f>IF(COUNTIFS(tblConcentrado[ID],tblConcentrado[[#This Row],[ID]])&gt;1,"Duplicado","")</f>
        <v/>
      </c>
    </row>
    <row r="384" spans="2:27">
      <c r="B384" s="976">
        <f>(YEAR(tblConcentrado[[#This Row],[Fecha]])*10000+MONTH(tblConcentrado[[#This Row],[Fecha]])*100+DAY(tblConcentrado[[#This Row],[Fecha]]))*100+tblConcentrado[[#This Row],[N° hora]]</f>
        <v>2026091706</v>
      </c>
      <c r="C384" s="871">
        <v>46282</v>
      </c>
      <c r="D384">
        <v>6</v>
      </c>
      <c r="E384" s="952">
        <v>0.58333333333333304</v>
      </c>
      <c r="F384" s="256">
        <v>1258</v>
      </c>
      <c r="G384" s="256">
        <v>761</v>
      </c>
      <c r="H384" s="970"/>
      <c r="I384" s="970"/>
      <c r="J384" s="970"/>
      <c r="K384" s="970"/>
      <c r="L384" s="970"/>
      <c r="M384" s="971"/>
      <c r="N384" s="971"/>
      <c r="O384" s="971"/>
      <c r="P384" s="971"/>
      <c r="Q384" s="971"/>
      <c r="R384" t="s">
        <v>9258</v>
      </c>
      <c r="U384" t="s">
        <v>9333</v>
      </c>
      <c r="V384" s="871">
        <v>46293</v>
      </c>
      <c r="W38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8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84" s="974">
        <f>IFERROR(tblConcentrado[[#This Row],[Concentrado (TMS)]]/tblConcentrado[[#This Row],[Mineral (TMS)]],"")</f>
        <v>0.60492845786963434</v>
      </c>
      <c r="Z384" s="973">
        <f>IFERROR(1/tblConcentrado[[#This Row],[% Recup.]],0)</f>
        <v>1.6530880420499343</v>
      </c>
      <c r="AA384" s="975" t="str">
        <f>IF(COUNTIFS(tblConcentrado[ID],tblConcentrado[[#This Row],[ID]])&gt;1,"Duplicado","")</f>
        <v/>
      </c>
    </row>
    <row r="385" spans="2:27">
      <c r="B385" s="976">
        <f>(YEAR(tblConcentrado[[#This Row],[Fecha]])*10000+MONTH(tblConcentrado[[#This Row],[Fecha]])*100+DAY(tblConcentrado[[#This Row],[Fecha]]))*100+tblConcentrado[[#This Row],[N° hora]]</f>
        <v>2026091707</v>
      </c>
      <c r="C385" s="871">
        <v>46282</v>
      </c>
      <c r="D385">
        <v>7</v>
      </c>
      <c r="E385" s="952">
        <v>0.625</v>
      </c>
      <c r="F385" s="256">
        <v>1270</v>
      </c>
      <c r="G385" s="256">
        <v>751</v>
      </c>
      <c r="H385" s="970">
        <v>0.156</v>
      </c>
      <c r="I385" s="970">
        <v>0.78</v>
      </c>
      <c r="J385" s="970">
        <v>0.38</v>
      </c>
      <c r="K385" s="970">
        <v>0.81899999999999995</v>
      </c>
      <c r="L385" s="970">
        <v>0.41</v>
      </c>
      <c r="M385" s="971">
        <v>23.9</v>
      </c>
      <c r="N385" s="971">
        <v>17</v>
      </c>
      <c r="O385" s="971">
        <v>2.2999999999999998</v>
      </c>
      <c r="P385" s="971">
        <v>2.8</v>
      </c>
      <c r="Q385" s="971">
        <v>8.4</v>
      </c>
      <c r="R385" t="s">
        <v>9258</v>
      </c>
      <c r="U385" t="s">
        <v>9333</v>
      </c>
      <c r="V385" s="871">
        <v>46293</v>
      </c>
      <c r="W38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19.759999999999998</v>
      </c>
      <c r="X38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2.5999999999999996</v>
      </c>
      <c r="Y385" s="974">
        <f>IFERROR(tblConcentrado[[#This Row],[Concentrado (TMS)]]/tblConcentrado[[#This Row],[Mineral (TMS)]],"")</f>
        <v>0.59133858267716533</v>
      </c>
      <c r="Z385" s="973">
        <f>IFERROR(1/tblConcentrado[[#This Row],[% Recup.]],0)</f>
        <v>1.6910785619174435</v>
      </c>
      <c r="AA385" s="975" t="str">
        <f>IF(COUNTIFS(tblConcentrado[ID],tblConcentrado[[#This Row],[ID]])&gt;1,"Duplicado","")</f>
        <v/>
      </c>
    </row>
    <row r="386" spans="2:27">
      <c r="B386" s="976">
        <f>(YEAR(tblConcentrado[[#This Row],[Fecha]])*10000+MONTH(tblConcentrado[[#This Row],[Fecha]])*100+DAY(tblConcentrado[[#This Row],[Fecha]]))*100+tblConcentrado[[#This Row],[N° hora]]</f>
        <v>2026091708</v>
      </c>
      <c r="C386" s="871">
        <v>46282</v>
      </c>
      <c r="D386">
        <v>8</v>
      </c>
      <c r="E386" s="952">
        <v>0.66666666666666696</v>
      </c>
      <c r="F386" s="256">
        <v>1248</v>
      </c>
      <c r="G386" s="256">
        <v>809</v>
      </c>
      <c r="H386" s="970"/>
      <c r="I386" s="970"/>
      <c r="J386" s="970"/>
      <c r="K386" s="970"/>
      <c r="L386" s="970"/>
      <c r="M386" s="971"/>
      <c r="N386" s="971"/>
      <c r="O386" s="971"/>
      <c r="P386" s="971"/>
      <c r="Q386" s="971"/>
      <c r="R386" t="s">
        <v>9258</v>
      </c>
      <c r="U386" t="s">
        <v>9333</v>
      </c>
      <c r="V386" s="871">
        <v>46293</v>
      </c>
      <c r="W38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8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86" s="974">
        <f>IFERROR(tblConcentrado[[#This Row],[Concentrado (TMS)]]/tblConcentrado[[#This Row],[Mineral (TMS)]],"")</f>
        <v>0.64823717948717952</v>
      </c>
      <c r="Z386" s="973">
        <f>IFERROR(1/tblConcentrado[[#This Row],[% Recup.]],0)</f>
        <v>1.5426452410383189</v>
      </c>
      <c r="AA386" s="975" t="str">
        <f>IF(COUNTIFS(tblConcentrado[ID],tblConcentrado[[#This Row],[ID]])&gt;1,"Duplicado","")</f>
        <v/>
      </c>
    </row>
    <row r="387" spans="2:27">
      <c r="B387" s="976">
        <f>(YEAR(tblConcentrado[[#This Row],[Fecha]])*10000+MONTH(tblConcentrado[[#This Row],[Fecha]])*100+DAY(tblConcentrado[[#This Row],[Fecha]]))*100+tblConcentrado[[#This Row],[N° hora]]</f>
        <v>2026091709</v>
      </c>
      <c r="C387" s="871">
        <v>46282</v>
      </c>
      <c r="D387">
        <v>9</v>
      </c>
      <c r="E387" s="952">
        <v>0.70833333333333304</v>
      </c>
      <c r="F387" s="256">
        <v>1210</v>
      </c>
      <c r="G387" s="256">
        <v>824</v>
      </c>
      <c r="H387" s="970">
        <v>0.185</v>
      </c>
      <c r="I387" s="970">
        <v>0.95699999999999996</v>
      </c>
      <c r="J387" s="970">
        <v>0.57999999999999996</v>
      </c>
      <c r="K387" s="970">
        <v>0.97399999999999998</v>
      </c>
      <c r="L387" s="970">
        <v>0.61</v>
      </c>
      <c r="M387" s="971">
        <v>19.3</v>
      </c>
      <c r="N387" s="971">
        <v>15.5</v>
      </c>
      <c r="O387" s="971">
        <v>0.8</v>
      </c>
      <c r="P387" s="971">
        <v>2.5</v>
      </c>
      <c r="Q387" s="971">
        <v>8.3000000000000007</v>
      </c>
      <c r="R387" t="s">
        <v>9258</v>
      </c>
      <c r="U387" t="s">
        <v>9333</v>
      </c>
      <c r="V387" s="871">
        <v>46293</v>
      </c>
      <c r="W38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17.02</v>
      </c>
      <c r="X38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1.82</v>
      </c>
      <c r="Y387" s="974">
        <f>IFERROR(tblConcentrado[[#This Row],[Concentrado (TMS)]]/tblConcentrado[[#This Row],[Mineral (TMS)]],"")</f>
        <v>0.68099173553719006</v>
      </c>
      <c r="Z387" s="973">
        <f>IFERROR(1/tblConcentrado[[#This Row],[% Recup.]],0)</f>
        <v>1.4684466019417477</v>
      </c>
      <c r="AA387" s="975" t="str">
        <f>IF(COUNTIFS(tblConcentrado[ID],tblConcentrado[[#This Row],[ID]])&gt;1,"Duplicado","")</f>
        <v/>
      </c>
    </row>
    <row r="388" spans="2:27">
      <c r="B388" s="976">
        <f>(YEAR(tblConcentrado[[#This Row],[Fecha]])*10000+MONTH(tblConcentrado[[#This Row],[Fecha]])*100+DAY(tblConcentrado[[#This Row],[Fecha]]))*100+tblConcentrado[[#This Row],[N° hora]]</f>
        <v>2026091710</v>
      </c>
      <c r="C388" s="871">
        <v>46282</v>
      </c>
      <c r="D388">
        <v>10</v>
      </c>
      <c r="E388" s="952">
        <v>0.75</v>
      </c>
      <c r="F388" s="256">
        <v>1205</v>
      </c>
      <c r="G388" s="256">
        <v>774</v>
      </c>
      <c r="H388" s="970"/>
      <c r="I388" s="970"/>
      <c r="J388" s="970"/>
      <c r="K388" s="970"/>
      <c r="L388" s="970"/>
      <c r="M388" s="971"/>
      <c r="N388" s="971"/>
      <c r="O388" s="971"/>
      <c r="P388" s="971"/>
      <c r="Q388" s="971"/>
      <c r="R388" t="s">
        <v>9258</v>
      </c>
      <c r="U388" t="s">
        <v>9333</v>
      </c>
      <c r="V388" s="871">
        <v>46293</v>
      </c>
      <c r="W38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8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88" s="974">
        <f>IFERROR(tblConcentrado[[#This Row],[Concentrado (TMS)]]/tblConcentrado[[#This Row],[Mineral (TMS)]],"")</f>
        <v>0.64232365145228221</v>
      </c>
      <c r="Z388" s="973">
        <f>IFERROR(1/tblConcentrado[[#This Row],[% Recup.]],0)</f>
        <v>1.5568475452196382</v>
      </c>
      <c r="AA388" s="975" t="str">
        <f>IF(COUNTIFS(tblConcentrado[ID],tblConcentrado[[#This Row],[ID]])&gt;1,"Duplicado","")</f>
        <v/>
      </c>
    </row>
    <row r="389" spans="2:27">
      <c r="B389" s="976">
        <f>(YEAR(tblConcentrado[[#This Row],[Fecha]])*10000+MONTH(tblConcentrado[[#This Row],[Fecha]])*100+DAY(tblConcentrado[[#This Row],[Fecha]]))*100+tblConcentrado[[#This Row],[N° hora]]</f>
        <v>2026091711</v>
      </c>
      <c r="C389" s="871">
        <v>46282</v>
      </c>
      <c r="D389">
        <v>11</v>
      </c>
      <c r="E389" s="952">
        <v>0.79166666666666696</v>
      </c>
      <c r="F389" s="256">
        <v>1213</v>
      </c>
      <c r="G389" s="256">
        <v>796</v>
      </c>
      <c r="H389" s="970">
        <v>0.20799999999999999</v>
      </c>
      <c r="I389" s="970">
        <v>0.81200000000000006</v>
      </c>
      <c r="J389" s="970">
        <v>0.49</v>
      </c>
      <c r="K389" s="970">
        <v>0.871</v>
      </c>
      <c r="L389" s="970">
        <v>0.55000000000000004</v>
      </c>
      <c r="M389" s="971">
        <v>20.6</v>
      </c>
      <c r="N389" s="971">
        <v>15.1</v>
      </c>
      <c r="O389" s="971">
        <v>2.2999999999999998</v>
      </c>
      <c r="P389" s="971">
        <v>2.4</v>
      </c>
      <c r="Q389" s="971">
        <v>8</v>
      </c>
      <c r="R389" t="s">
        <v>9258</v>
      </c>
      <c r="U389" t="s">
        <v>9333</v>
      </c>
      <c r="V389" s="871">
        <v>46293</v>
      </c>
      <c r="W38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17.299999999999997</v>
      </c>
      <c r="X38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2.36</v>
      </c>
      <c r="Y389" s="974">
        <f>IFERROR(tblConcentrado[[#This Row],[Concentrado (TMS)]]/tblConcentrado[[#This Row],[Mineral (TMS)]],"")</f>
        <v>0.65622423742786484</v>
      </c>
      <c r="Z389" s="973">
        <f>IFERROR(1/tblConcentrado[[#This Row],[% Recup.]],0)</f>
        <v>1.5238693467336681</v>
      </c>
      <c r="AA389" s="975" t="str">
        <f>IF(COUNTIFS(tblConcentrado[ID],tblConcentrado[[#This Row],[ID]])&gt;1,"Duplicado","")</f>
        <v/>
      </c>
    </row>
    <row r="390" spans="2:27">
      <c r="B390" s="976">
        <f>(YEAR(tblConcentrado[[#This Row],[Fecha]])*10000+MONTH(tblConcentrado[[#This Row],[Fecha]])*100+DAY(tblConcentrado[[#This Row],[Fecha]]))*100+tblConcentrado[[#This Row],[N° hora]]</f>
        <v>2026091712</v>
      </c>
      <c r="C390" s="871">
        <v>46282</v>
      </c>
      <c r="D390">
        <v>12</v>
      </c>
      <c r="E390" s="952">
        <v>0.83333333333333304</v>
      </c>
      <c r="F390" s="256">
        <v>1200</v>
      </c>
      <c r="G390" s="256">
        <v>693</v>
      </c>
      <c r="H390" s="970"/>
      <c r="I390" s="970"/>
      <c r="J390" s="970"/>
      <c r="K390" s="970"/>
      <c r="L390" s="970"/>
      <c r="M390" s="971"/>
      <c r="N390" s="971"/>
      <c r="O390" s="971"/>
      <c r="P390" s="971"/>
      <c r="Q390" s="971"/>
      <c r="R390" t="s">
        <v>9258</v>
      </c>
      <c r="U390" t="s">
        <v>9333</v>
      </c>
      <c r="V390" s="871">
        <v>46293</v>
      </c>
      <c r="W39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9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90" s="974">
        <f>IFERROR(tblConcentrado[[#This Row],[Concentrado (TMS)]]/tblConcentrado[[#This Row],[Mineral (TMS)]],"")</f>
        <v>0.57750000000000001</v>
      </c>
      <c r="Z390" s="973">
        <f>IFERROR(1/tblConcentrado[[#This Row],[% Recup.]],0)</f>
        <v>1.7316017316017316</v>
      </c>
      <c r="AA390" s="975" t="str">
        <f>IF(COUNTIFS(tblConcentrado[ID],tblConcentrado[[#This Row],[ID]])&gt;1,"Duplicado","")</f>
        <v/>
      </c>
    </row>
    <row r="391" spans="2:27">
      <c r="B391" s="976">
        <f>(YEAR(tblConcentrado[[#This Row],[Fecha]])*10000+MONTH(tblConcentrado[[#This Row],[Fecha]])*100+DAY(tblConcentrado[[#This Row],[Fecha]]))*100+tblConcentrado[[#This Row],[N° hora]]</f>
        <v>2026091713</v>
      </c>
      <c r="C391" s="871">
        <v>46282</v>
      </c>
      <c r="D391">
        <v>13</v>
      </c>
      <c r="E391" s="952">
        <v>0.875</v>
      </c>
      <c r="F391" s="256">
        <v>1203</v>
      </c>
      <c r="G391" s="256">
        <v>853</v>
      </c>
      <c r="H391" s="970">
        <v>0.20399999999999999</v>
      </c>
      <c r="I391" s="970">
        <v>0.91600000000000004</v>
      </c>
      <c r="J391" s="970">
        <v>0.56000000000000005</v>
      </c>
      <c r="K391" s="970">
        <v>0.877</v>
      </c>
      <c r="L391" s="970">
        <v>0.55000000000000004</v>
      </c>
      <c r="M391" s="971">
        <v>21</v>
      </c>
      <c r="N391" s="971">
        <v>15.6</v>
      </c>
      <c r="O391" s="971">
        <v>1.7</v>
      </c>
      <c r="P391" s="971">
        <v>2.7</v>
      </c>
      <c r="Q391" s="971">
        <v>8.4</v>
      </c>
      <c r="R391" t="s">
        <v>9258</v>
      </c>
      <c r="U391" t="s">
        <v>9333</v>
      </c>
      <c r="V391" s="871">
        <v>46293</v>
      </c>
      <c r="W39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17.759999999999998</v>
      </c>
      <c r="X39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2.3000000000000003</v>
      </c>
      <c r="Y391" s="974">
        <f>IFERROR(tblConcentrado[[#This Row],[Concentrado (TMS)]]/tblConcentrado[[#This Row],[Mineral (TMS)]],"")</f>
        <v>0.70906068162926017</v>
      </c>
      <c r="Z391" s="973">
        <f>IFERROR(1/tblConcentrado[[#This Row],[% Recup.]],0)</f>
        <v>1.41031652989449</v>
      </c>
      <c r="AA391" s="975" t="str">
        <f>IF(COUNTIFS(tblConcentrado[ID],tblConcentrado[[#This Row],[ID]])&gt;1,"Duplicado","")</f>
        <v/>
      </c>
    </row>
    <row r="392" spans="2:27">
      <c r="B392" s="976">
        <f>(YEAR(tblConcentrado[[#This Row],[Fecha]])*10000+MONTH(tblConcentrado[[#This Row],[Fecha]])*100+DAY(tblConcentrado[[#This Row],[Fecha]]))*100+tblConcentrado[[#This Row],[N° hora]]</f>
        <v>2026091714</v>
      </c>
      <c r="C392" s="871">
        <v>46282</v>
      </c>
      <c r="D392">
        <v>14</v>
      </c>
      <c r="E392" s="952">
        <v>0.91666666666666696</v>
      </c>
      <c r="F392" s="256">
        <v>1204</v>
      </c>
      <c r="G392" s="256">
        <v>723</v>
      </c>
      <c r="H392" s="970"/>
      <c r="I392" s="970"/>
      <c r="J392" s="970"/>
      <c r="K392" s="970"/>
      <c r="L392" s="970"/>
      <c r="M392" s="971"/>
      <c r="N392" s="971"/>
      <c r="O392" s="971"/>
      <c r="P392" s="971"/>
      <c r="Q392" s="971"/>
      <c r="R392" t="s">
        <v>9258</v>
      </c>
      <c r="U392" t="s">
        <v>9333</v>
      </c>
      <c r="V392" s="871">
        <v>46293</v>
      </c>
      <c r="W39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9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92" s="974">
        <f>IFERROR(tblConcentrado[[#This Row],[Concentrado (TMS)]]/tblConcentrado[[#This Row],[Mineral (TMS)]],"")</f>
        <v>0.60049833887043191</v>
      </c>
      <c r="Z392" s="973">
        <f>IFERROR(1/tblConcentrado[[#This Row],[% Recup.]],0)</f>
        <v>1.6652835408022129</v>
      </c>
      <c r="AA392" s="975" t="str">
        <f>IF(COUNTIFS(tblConcentrado[ID],tblConcentrado[[#This Row],[ID]])&gt;1,"Duplicado","")</f>
        <v/>
      </c>
    </row>
    <row r="393" spans="2:27">
      <c r="B393" s="976">
        <f>(YEAR(tblConcentrado[[#This Row],[Fecha]])*10000+MONTH(tblConcentrado[[#This Row],[Fecha]])*100+DAY(tblConcentrado[[#This Row],[Fecha]]))*100+tblConcentrado[[#This Row],[N° hora]]</f>
        <v>2026091715</v>
      </c>
      <c r="C393" s="871">
        <v>46282</v>
      </c>
      <c r="D393">
        <v>15</v>
      </c>
      <c r="E393" s="952">
        <v>0.95833333333333304</v>
      </c>
      <c r="F393" s="256">
        <v>1202</v>
      </c>
      <c r="G393" s="256">
        <v>828</v>
      </c>
      <c r="H393" s="970">
        <v>0.186</v>
      </c>
      <c r="I393" s="970">
        <v>0.85599999999999998</v>
      </c>
      <c r="J393" s="970">
        <v>0.53</v>
      </c>
      <c r="K393" s="970">
        <v>0.88800000000000001</v>
      </c>
      <c r="L393" s="970">
        <v>0.56000000000000005</v>
      </c>
      <c r="M393" s="971">
        <v>28.6</v>
      </c>
      <c r="N393" s="971">
        <v>16.7</v>
      </c>
      <c r="O393" s="971">
        <v>3.5</v>
      </c>
      <c r="P393" s="971">
        <v>2.7</v>
      </c>
      <c r="Q393" s="971">
        <v>8.3000000000000007</v>
      </c>
      <c r="R393" t="s">
        <v>9258</v>
      </c>
      <c r="U393" t="s">
        <v>9333</v>
      </c>
      <c r="V393" s="871">
        <v>46293</v>
      </c>
      <c r="W39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21.46</v>
      </c>
      <c r="X39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3.0200000000000005</v>
      </c>
      <c r="Y393" s="974">
        <f>IFERROR(tblConcentrado[[#This Row],[Concentrado (TMS)]]/tblConcentrado[[#This Row],[Mineral (TMS)]],"")</f>
        <v>0.68885191347753749</v>
      </c>
      <c r="Z393" s="973">
        <f>IFERROR(1/tblConcentrado[[#This Row],[% Recup.]],0)</f>
        <v>1.4516908212560384</v>
      </c>
      <c r="AA393" s="975" t="str">
        <f>IF(COUNTIFS(tblConcentrado[ID],tblConcentrado[[#This Row],[ID]])&gt;1,"Duplicado","")</f>
        <v/>
      </c>
    </row>
    <row r="394" spans="2:27">
      <c r="B394" s="976">
        <f>(YEAR(tblConcentrado[[#This Row],[Fecha]])*10000+MONTH(tblConcentrado[[#This Row],[Fecha]])*100+DAY(tblConcentrado[[#This Row],[Fecha]]))*100+tblConcentrado[[#This Row],[N° hora]]</f>
        <v>2026091716</v>
      </c>
      <c r="C394" s="871">
        <v>46282</v>
      </c>
      <c r="D394">
        <v>16</v>
      </c>
      <c r="E394" s="952">
        <v>0</v>
      </c>
      <c r="F394" s="256">
        <v>1191</v>
      </c>
      <c r="G394" s="256">
        <v>618</v>
      </c>
      <c r="H394" s="970"/>
      <c r="I394" s="970"/>
      <c r="J394" s="970"/>
      <c r="K394" s="970"/>
      <c r="L394" s="970"/>
      <c r="M394" s="971"/>
      <c r="N394" s="971"/>
      <c r="O394" s="971"/>
      <c r="P394" s="971"/>
      <c r="Q394" s="971"/>
      <c r="R394" t="s">
        <v>9258</v>
      </c>
      <c r="U394" t="s">
        <v>9333</v>
      </c>
      <c r="V394" s="871">
        <v>46293</v>
      </c>
      <c r="W39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9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94" s="974">
        <f>IFERROR(tblConcentrado[[#This Row],[Concentrado (TMS)]]/tblConcentrado[[#This Row],[Mineral (TMS)]],"")</f>
        <v>0.51889168765743077</v>
      </c>
      <c r="Z394" s="973">
        <f>IFERROR(1/tblConcentrado[[#This Row],[% Recup.]],0)</f>
        <v>1.9271844660194173</v>
      </c>
      <c r="AA394" s="975" t="str">
        <f>IF(COUNTIFS(tblConcentrado[ID],tblConcentrado[[#This Row],[ID]])&gt;1,"Duplicado","")</f>
        <v/>
      </c>
    </row>
    <row r="395" spans="2:27">
      <c r="B395" s="976">
        <f>(YEAR(tblConcentrado[[#This Row],[Fecha]])*10000+MONTH(tblConcentrado[[#This Row],[Fecha]])*100+DAY(tblConcentrado[[#This Row],[Fecha]]))*100+tblConcentrado[[#This Row],[N° hora]]</f>
        <v>2026091717</v>
      </c>
      <c r="C395" s="871">
        <v>46282</v>
      </c>
      <c r="D395">
        <v>17</v>
      </c>
      <c r="E395" s="952">
        <v>4.1666666666666699E-2</v>
      </c>
      <c r="F395" s="256">
        <v>1197</v>
      </c>
      <c r="G395" s="256">
        <v>888</v>
      </c>
      <c r="H395" s="970">
        <v>0.17799999999999999</v>
      </c>
      <c r="I395" s="970">
        <v>0.81499999999999995</v>
      </c>
      <c r="J395" s="970">
        <v>0.53</v>
      </c>
      <c r="K395" s="970">
        <v>0.93700000000000006</v>
      </c>
      <c r="L395" s="970">
        <v>0.64</v>
      </c>
      <c r="M395" s="971">
        <v>32</v>
      </c>
      <c r="N395" s="971">
        <v>16.2</v>
      </c>
      <c r="O395" s="971">
        <v>2.7</v>
      </c>
      <c r="P395" s="971">
        <v>2.6</v>
      </c>
      <c r="Q395" s="971">
        <v>8.5</v>
      </c>
      <c r="R395" t="s">
        <v>9258</v>
      </c>
      <c r="T395" t="s">
        <v>216</v>
      </c>
      <c r="U395" t="s">
        <v>9333</v>
      </c>
      <c r="V395" s="871">
        <v>46293</v>
      </c>
      <c r="W39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22.52</v>
      </c>
      <c r="X39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2.64</v>
      </c>
      <c r="Y395" s="974">
        <f>IFERROR(tblConcentrado[[#This Row],[Concentrado (TMS)]]/tblConcentrado[[#This Row],[Mineral (TMS)]],"")</f>
        <v>0.74185463659147866</v>
      </c>
      <c r="Z395" s="973">
        <f>IFERROR(1/tblConcentrado[[#This Row],[% Recup.]],0)</f>
        <v>1.347972972972973</v>
      </c>
      <c r="AA395" s="975" t="str">
        <f>IF(COUNTIFS(tblConcentrado[ID],tblConcentrado[[#This Row],[ID]])&gt;1,"Duplicado","")</f>
        <v/>
      </c>
    </row>
    <row r="396" spans="2:27">
      <c r="B396" s="976">
        <f>(YEAR(tblConcentrado[[#This Row],[Fecha]])*10000+MONTH(tblConcentrado[[#This Row],[Fecha]])*100+DAY(tblConcentrado[[#This Row],[Fecha]]))*100+tblConcentrado[[#This Row],[N° hora]]</f>
        <v>2026091718</v>
      </c>
      <c r="C396" s="871">
        <v>46282</v>
      </c>
      <c r="D396">
        <v>18</v>
      </c>
      <c r="E396" s="952">
        <v>8.3333333333333301E-2</v>
      </c>
      <c r="F396" s="256">
        <v>1204</v>
      </c>
      <c r="G396" s="256">
        <v>496</v>
      </c>
      <c r="H396" s="970"/>
      <c r="I396" s="970"/>
      <c r="J396" s="970"/>
      <c r="K396" s="970"/>
      <c r="L396" s="970"/>
      <c r="M396" s="971"/>
      <c r="N396" s="971"/>
      <c r="O396" s="971"/>
      <c r="P396" s="971"/>
      <c r="Q396" s="971"/>
      <c r="R396" t="s">
        <v>9258</v>
      </c>
      <c r="U396" t="s">
        <v>9333</v>
      </c>
      <c r="V396" s="871">
        <v>46293</v>
      </c>
      <c r="W39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9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96" s="974">
        <f>IFERROR(tblConcentrado[[#This Row],[Concentrado (TMS)]]/tblConcentrado[[#This Row],[Mineral (TMS)]],"")</f>
        <v>0.41196013289036543</v>
      </c>
      <c r="Z396" s="973">
        <f>IFERROR(1/tblConcentrado[[#This Row],[% Recup.]],0)</f>
        <v>2.42741935483871</v>
      </c>
      <c r="AA396" s="975" t="str">
        <f>IF(COUNTIFS(tblConcentrado[ID],tblConcentrado[[#This Row],[ID]])&gt;1,"Duplicado","")</f>
        <v/>
      </c>
    </row>
    <row r="397" spans="2:27">
      <c r="B397" s="976">
        <f>(YEAR(tblConcentrado[[#This Row],[Fecha]])*10000+MONTH(tblConcentrado[[#This Row],[Fecha]])*100+DAY(tblConcentrado[[#This Row],[Fecha]]))*100+tblConcentrado[[#This Row],[N° hora]]</f>
        <v>2026091719</v>
      </c>
      <c r="C397" s="871">
        <v>46282</v>
      </c>
      <c r="D397">
        <v>19</v>
      </c>
      <c r="E397" s="952">
        <v>0.125</v>
      </c>
      <c r="F397" s="256">
        <v>1191</v>
      </c>
      <c r="G397" s="256">
        <v>991</v>
      </c>
      <c r="H397" s="970">
        <v>0.17399999999999999</v>
      </c>
      <c r="I397" s="970">
        <v>0.91100000000000003</v>
      </c>
      <c r="J397" s="970">
        <v>0.63</v>
      </c>
      <c r="K397" s="970">
        <v>0.79300000000000004</v>
      </c>
      <c r="L397" s="970">
        <v>0.5</v>
      </c>
      <c r="M397" s="971">
        <v>28.6</v>
      </c>
      <c r="N397" s="971">
        <v>16.8</v>
      </c>
      <c r="O397" s="971">
        <v>3.3</v>
      </c>
      <c r="P397" s="971">
        <v>2.6</v>
      </c>
      <c r="Q397" s="971">
        <v>8.1</v>
      </c>
      <c r="R397" t="s">
        <v>9258</v>
      </c>
      <c r="U397" t="s">
        <v>9333</v>
      </c>
      <c r="V397" s="871">
        <v>46293</v>
      </c>
      <c r="W39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21.520000000000003</v>
      </c>
      <c r="X39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2.88</v>
      </c>
      <c r="Y397" s="974">
        <f>IFERROR(tblConcentrado[[#This Row],[Concentrado (TMS)]]/tblConcentrado[[#This Row],[Mineral (TMS)]],"")</f>
        <v>0.83207388748950462</v>
      </c>
      <c r="Z397" s="973">
        <f>IFERROR(1/tblConcentrado[[#This Row],[% Recup.]],0)</f>
        <v>1.201816347124117</v>
      </c>
      <c r="AA397" s="975" t="str">
        <f>IF(COUNTIFS(tblConcentrado[ID],tblConcentrado[[#This Row],[ID]])&gt;1,"Duplicado","")</f>
        <v/>
      </c>
    </row>
    <row r="398" spans="2:27">
      <c r="B398" s="976">
        <f>(YEAR(tblConcentrado[[#This Row],[Fecha]])*10000+MONTH(tblConcentrado[[#This Row],[Fecha]])*100+DAY(tblConcentrado[[#This Row],[Fecha]]))*100+tblConcentrado[[#This Row],[N° hora]]</f>
        <v>2026091720</v>
      </c>
      <c r="C398" s="871">
        <v>46282</v>
      </c>
      <c r="D398">
        <v>20</v>
      </c>
      <c r="E398" s="952">
        <v>0.16666666666666699</v>
      </c>
      <c r="F398" s="256">
        <v>1189</v>
      </c>
      <c r="G398" s="256">
        <v>964</v>
      </c>
      <c r="H398" s="970"/>
      <c r="I398" s="970"/>
      <c r="J398" s="970"/>
      <c r="K398" s="970"/>
      <c r="L398" s="970"/>
      <c r="M398" s="971"/>
      <c r="N398" s="971"/>
      <c r="O398" s="971"/>
      <c r="P398" s="971"/>
      <c r="Q398" s="971"/>
      <c r="R398" t="s">
        <v>9258</v>
      </c>
      <c r="U398" t="s">
        <v>9333</v>
      </c>
      <c r="V398" s="871">
        <v>46293</v>
      </c>
      <c r="W39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39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398" s="974">
        <f>IFERROR(tblConcentrado[[#This Row],[Concentrado (TMS)]]/tblConcentrado[[#This Row],[Mineral (TMS)]],"")</f>
        <v>0.81076534903280062</v>
      </c>
      <c r="Z398" s="973">
        <f>IFERROR(1/tblConcentrado[[#This Row],[% Recup.]],0)</f>
        <v>1.2334024896265561</v>
      </c>
      <c r="AA398" s="975" t="str">
        <f>IF(COUNTIFS(tblConcentrado[ID],tblConcentrado[[#This Row],[ID]])&gt;1,"Duplicado","")</f>
        <v/>
      </c>
    </row>
    <row r="399" spans="2:27">
      <c r="B399" s="976">
        <f>(YEAR(tblConcentrado[[#This Row],[Fecha]])*10000+MONTH(tblConcentrado[[#This Row],[Fecha]])*100+DAY(tblConcentrado[[#This Row],[Fecha]]))*100+tblConcentrado[[#This Row],[N° hora]]</f>
        <v>2026091721</v>
      </c>
      <c r="C399" s="871">
        <v>46282</v>
      </c>
      <c r="D399">
        <v>21</v>
      </c>
      <c r="E399" s="952">
        <v>0.20833333333333301</v>
      </c>
      <c r="F399" s="256">
        <v>1200</v>
      </c>
      <c r="G399" s="256">
        <v>779</v>
      </c>
      <c r="H399" s="970">
        <v>0.185</v>
      </c>
      <c r="I399" s="970">
        <v>0.873</v>
      </c>
      <c r="J399" s="970">
        <v>0.56000000000000005</v>
      </c>
      <c r="K399" s="970">
        <v>0.89600000000000002</v>
      </c>
      <c r="L399" s="970">
        <v>0.57999999999999996</v>
      </c>
      <c r="M399" s="971">
        <v>26</v>
      </c>
      <c r="N399" s="971">
        <v>14.9</v>
      </c>
      <c r="O399" s="971">
        <v>2.8</v>
      </c>
      <c r="P399" s="971">
        <v>2.1</v>
      </c>
      <c r="Q399" s="971">
        <v>8.3000000000000007</v>
      </c>
      <c r="R399" t="s">
        <v>9258</v>
      </c>
      <c r="U399" t="s">
        <v>9333</v>
      </c>
      <c r="V399" s="871">
        <v>46293</v>
      </c>
      <c r="W39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19.34</v>
      </c>
      <c r="X39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2.38</v>
      </c>
      <c r="Y399" s="974">
        <f>IFERROR(tblConcentrado[[#This Row],[Concentrado (TMS)]]/tblConcentrado[[#This Row],[Mineral (TMS)]],"")</f>
        <v>0.64916666666666667</v>
      </c>
      <c r="Z399" s="973">
        <f>IFERROR(1/tblConcentrado[[#This Row],[% Recup.]],0)</f>
        <v>1.5404364569961488</v>
      </c>
      <c r="AA399" s="975" t="str">
        <f>IF(COUNTIFS(tblConcentrado[ID],tblConcentrado[[#This Row],[ID]])&gt;1,"Duplicado","")</f>
        <v/>
      </c>
    </row>
    <row r="400" spans="2:27">
      <c r="B400" s="976">
        <f>(YEAR(tblConcentrado[[#This Row],[Fecha]])*10000+MONTH(tblConcentrado[[#This Row],[Fecha]])*100+DAY(tblConcentrado[[#This Row],[Fecha]]))*100+tblConcentrado[[#This Row],[N° hora]]</f>
        <v>2026091722</v>
      </c>
      <c r="C400" s="871">
        <v>46282</v>
      </c>
      <c r="D400">
        <v>22</v>
      </c>
      <c r="E400" s="952">
        <v>0.25</v>
      </c>
      <c r="F400" s="256">
        <v>1383</v>
      </c>
      <c r="G400" s="256">
        <v>816</v>
      </c>
      <c r="H400" s="970"/>
      <c r="I400" s="970"/>
      <c r="J400" s="970"/>
      <c r="K400" s="970"/>
      <c r="L400" s="970"/>
      <c r="M400" s="971"/>
      <c r="N400" s="971"/>
      <c r="O400" s="971"/>
      <c r="P400" s="971"/>
      <c r="Q400" s="971"/>
      <c r="R400" t="s">
        <v>9258</v>
      </c>
      <c r="U400" t="s">
        <v>9333</v>
      </c>
      <c r="V400" s="871">
        <v>46293</v>
      </c>
      <c r="W40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0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00" s="974">
        <f>IFERROR(tblConcentrado[[#This Row],[Concentrado (TMS)]]/tblConcentrado[[#This Row],[Mineral (TMS)]],"")</f>
        <v>0.59002169197396959</v>
      </c>
      <c r="Z400" s="973">
        <f>IFERROR(1/tblConcentrado[[#This Row],[% Recup.]],0)</f>
        <v>1.6948529411764708</v>
      </c>
      <c r="AA400" s="975" t="str">
        <f>IF(COUNTIFS(tblConcentrado[ID],tblConcentrado[[#This Row],[ID]])&gt;1,"Duplicado","")</f>
        <v/>
      </c>
    </row>
    <row r="401" spans="2:27">
      <c r="B401" s="976">
        <f>(YEAR(tblConcentrado[[#This Row],[Fecha]])*10000+MONTH(tblConcentrado[[#This Row],[Fecha]])*100+DAY(tblConcentrado[[#This Row],[Fecha]]))*100+tblConcentrado[[#This Row],[N° hora]]</f>
        <v>2026091723</v>
      </c>
      <c r="C401" s="871">
        <v>46282</v>
      </c>
      <c r="D401">
        <v>23</v>
      </c>
      <c r="E401" s="952">
        <v>0.29166666666666702</v>
      </c>
      <c r="F401" s="256">
        <v>1325</v>
      </c>
      <c r="G401" s="256">
        <v>782</v>
      </c>
      <c r="H401" s="970">
        <v>0.17</v>
      </c>
      <c r="I401" s="970">
        <v>0.91600000000000004</v>
      </c>
      <c r="J401" s="970">
        <v>0.63</v>
      </c>
      <c r="K401" s="970">
        <v>0.93700000000000006</v>
      </c>
      <c r="L401" s="970">
        <v>0.65</v>
      </c>
      <c r="M401" s="971">
        <v>28</v>
      </c>
      <c r="N401" s="971">
        <v>15</v>
      </c>
      <c r="O401" s="971">
        <v>3.3</v>
      </c>
      <c r="P401" s="971">
        <v>2.1</v>
      </c>
      <c r="Q401" s="971">
        <v>8.3000000000000007</v>
      </c>
      <c r="R401" t="s">
        <v>9258</v>
      </c>
      <c r="U401" t="s">
        <v>9333</v>
      </c>
      <c r="V401" s="871">
        <v>46293</v>
      </c>
      <c r="W40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20.200000000000003</v>
      </c>
      <c r="X40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2.58</v>
      </c>
      <c r="Y401" s="974">
        <f>IFERROR(tblConcentrado[[#This Row],[Concentrado (TMS)]]/tblConcentrado[[#This Row],[Mineral (TMS)]],"")</f>
        <v>0.59018867924528307</v>
      </c>
      <c r="Z401" s="973">
        <f>IFERROR(1/tblConcentrado[[#This Row],[% Recup.]],0)</f>
        <v>1.6943734015345266</v>
      </c>
      <c r="AA401" s="975" t="str">
        <f>IF(COUNTIFS(tblConcentrado[ID],tblConcentrado[[#This Row],[ID]])&gt;1,"Duplicado","")</f>
        <v/>
      </c>
    </row>
    <row r="402" spans="2:27">
      <c r="B402" s="976">
        <f>(YEAR(tblConcentrado[[#This Row],[Fecha]])*10000+MONTH(tblConcentrado[[#This Row],[Fecha]])*100+DAY(tblConcentrado[[#This Row],[Fecha]]))*100+tblConcentrado[[#This Row],[N° hora]]</f>
        <v>2026091724</v>
      </c>
      <c r="C402" s="871">
        <v>46282</v>
      </c>
      <c r="D402">
        <v>24</v>
      </c>
      <c r="E402" s="952">
        <v>0.33333333333333298</v>
      </c>
      <c r="F402" s="256">
        <v>1316</v>
      </c>
      <c r="G402" s="256">
        <v>707</v>
      </c>
      <c r="H402" s="970"/>
      <c r="I402" s="970"/>
      <c r="J402" s="970"/>
      <c r="K402" s="970"/>
      <c r="L402" s="970"/>
      <c r="M402" s="971"/>
      <c r="N402" s="971"/>
      <c r="O402" s="971"/>
      <c r="P402" s="971"/>
      <c r="Q402" s="971"/>
      <c r="R402" t="s">
        <v>9258</v>
      </c>
      <c r="U402" t="s">
        <v>9333</v>
      </c>
      <c r="V402" s="871">
        <v>46293</v>
      </c>
      <c r="W40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0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02" s="974">
        <f>IFERROR(tblConcentrado[[#This Row],[Concentrado (TMS)]]/tblConcentrado[[#This Row],[Mineral (TMS)]],"")</f>
        <v>0.53723404255319152</v>
      </c>
      <c r="Z402" s="973">
        <f>IFERROR(1/tblConcentrado[[#This Row],[% Recup.]],0)</f>
        <v>1.8613861386138613</v>
      </c>
      <c r="AA402" s="975" t="str">
        <f>IF(COUNTIFS(tblConcentrado[ID],tblConcentrado[[#This Row],[ID]])&gt;1,"Duplicado","")</f>
        <v/>
      </c>
    </row>
    <row r="403" spans="2:27">
      <c r="B403" s="976">
        <f>(YEAR(tblConcentrado[[#This Row],[Fecha]])*10000+MONTH(tblConcentrado[[#This Row],[Fecha]])*100+DAY(tblConcentrado[[#This Row],[Fecha]]))*100+tblConcentrado[[#This Row],[N° hora]]</f>
        <v>2026091801</v>
      </c>
      <c r="C403" s="871">
        <v>46283</v>
      </c>
      <c r="D403">
        <v>1</v>
      </c>
      <c r="E403" s="952">
        <v>0.375</v>
      </c>
      <c r="F403" s="256">
        <v>1304</v>
      </c>
      <c r="G403" s="256">
        <v>785</v>
      </c>
      <c r="H403" s="970">
        <v>0.193</v>
      </c>
      <c r="I403" s="970">
        <v>0.78400000000000003</v>
      </c>
      <c r="J403" s="970">
        <v>0.39</v>
      </c>
      <c r="K403" s="970">
        <v>0.96</v>
      </c>
      <c r="L403" s="970">
        <v>0.49</v>
      </c>
      <c r="M403" s="971">
        <v>21.9</v>
      </c>
      <c r="N403" s="971">
        <v>14.8</v>
      </c>
      <c r="O403" s="971">
        <v>1.8</v>
      </c>
      <c r="P403" s="971">
        <v>1.9</v>
      </c>
      <c r="Q403" s="971">
        <v>8.1999999999999993</v>
      </c>
      <c r="R403" t="s">
        <v>9258</v>
      </c>
      <c r="U403" t="s">
        <v>9333</v>
      </c>
      <c r="V403" s="871">
        <v>46293</v>
      </c>
      <c r="W40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17.64</v>
      </c>
      <c r="X40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1.8599999999999999</v>
      </c>
      <c r="Y403" s="974">
        <f>IFERROR(tblConcentrado[[#This Row],[Concentrado (TMS)]]/tblConcentrado[[#This Row],[Mineral (TMS)]],"")</f>
        <v>0.60199386503067487</v>
      </c>
      <c r="Z403" s="973">
        <f>IFERROR(1/tblConcentrado[[#This Row],[% Recup.]],0)</f>
        <v>1.6611464968152865</v>
      </c>
      <c r="AA403" s="975" t="str">
        <f>IF(COUNTIFS(tblConcentrado[ID],tblConcentrado[[#This Row],[ID]])&gt;1,"Duplicado","")</f>
        <v/>
      </c>
    </row>
    <row r="404" spans="2:27">
      <c r="B404" s="976">
        <f>(YEAR(tblConcentrado[[#This Row],[Fecha]])*10000+MONTH(tblConcentrado[[#This Row],[Fecha]])*100+DAY(tblConcentrado[[#This Row],[Fecha]]))*100+tblConcentrado[[#This Row],[N° hora]]</f>
        <v>2026091802</v>
      </c>
      <c r="C404" s="871">
        <v>46283</v>
      </c>
      <c r="D404">
        <v>2</v>
      </c>
      <c r="E404" s="952">
        <v>0.41666666666666702</v>
      </c>
      <c r="F404" s="256">
        <v>1376</v>
      </c>
      <c r="G404" s="256">
        <v>810</v>
      </c>
      <c r="H404" s="970"/>
      <c r="I404" s="970"/>
      <c r="J404" s="970"/>
      <c r="K404" s="970"/>
      <c r="L404" s="970"/>
      <c r="M404" s="971"/>
      <c r="N404" s="971"/>
      <c r="O404" s="971"/>
      <c r="P404" s="971"/>
      <c r="Q404" s="971"/>
      <c r="R404" t="s">
        <v>9258</v>
      </c>
      <c r="U404" t="s">
        <v>9333</v>
      </c>
      <c r="V404" s="871">
        <v>46293</v>
      </c>
      <c r="W40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0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04" s="974">
        <f>IFERROR(tblConcentrado[[#This Row],[Concentrado (TMS)]]/tblConcentrado[[#This Row],[Mineral (TMS)]],"")</f>
        <v>0.58866279069767447</v>
      </c>
      <c r="Z404" s="973">
        <f>IFERROR(1/tblConcentrado[[#This Row],[% Recup.]],0)</f>
        <v>1.6987654320987653</v>
      </c>
      <c r="AA404" s="975" t="str">
        <f>IF(COUNTIFS(tblConcentrado[ID],tblConcentrado[[#This Row],[ID]])&gt;1,"Duplicado","")</f>
        <v/>
      </c>
    </row>
    <row r="405" spans="2:27">
      <c r="B405" s="976">
        <f>(YEAR(tblConcentrado[[#This Row],[Fecha]])*10000+MONTH(tblConcentrado[[#This Row],[Fecha]])*100+DAY(tblConcentrado[[#This Row],[Fecha]]))*100+tblConcentrado[[#This Row],[N° hora]]</f>
        <v>2026091803</v>
      </c>
      <c r="C405" s="871">
        <v>46283</v>
      </c>
      <c r="D405">
        <v>3</v>
      </c>
      <c r="E405" s="952">
        <v>0.45833333333333298</v>
      </c>
      <c r="F405" s="256">
        <v>1285</v>
      </c>
      <c r="G405" s="256">
        <v>888</v>
      </c>
      <c r="H405" s="970">
        <v>0.17499999999999999</v>
      </c>
      <c r="I405" s="970">
        <v>0.66700000000000004</v>
      </c>
      <c r="J405" s="970">
        <v>0.34</v>
      </c>
      <c r="K405" s="970">
        <v>0.51500000000000001</v>
      </c>
      <c r="L405" s="970">
        <v>0.3</v>
      </c>
      <c r="M405" s="971">
        <v>22.5</v>
      </c>
      <c r="N405" s="971">
        <v>15.7</v>
      </c>
      <c r="O405" s="971">
        <v>2.5</v>
      </c>
      <c r="P405" s="971">
        <v>2.5</v>
      </c>
      <c r="Q405" s="971">
        <v>8.9</v>
      </c>
      <c r="R405" t="s">
        <v>9258</v>
      </c>
      <c r="U405" t="s">
        <v>9333</v>
      </c>
      <c r="V405" s="871">
        <v>46293</v>
      </c>
      <c r="W40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18.420000000000002</v>
      </c>
      <c r="X40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v>
      </c>
      <c r="Y405" s="974">
        <f>IFERROR(tblConcentrado[[#This Row],[Concentrado (TMS)]]/tblConcentrado[[#This Row],[Mineral (TMS)]],"")</f>
        <v>0.69105058365758754</v>
      </c>
      <c r="Z405" s="973">
        <f>IFERROR(1/tblConcentrado[[#This Row],[% Recup.]],0)</f>
        <v>1.447072072072072</v>
      </c>
      <c r="AA405" s="975" t="str">
        <f>IF(COUNTIFS(tblConcentrado[ID],tblConcentrado[[#This Row],[ID]])&gt;1,"Duplicado","")</f>
        <v/>
      </c>
    </row>
    <row r="406" spans="2:27">
      <c r="B406" s="976">
        <f>(YEAR(tblConcentrado[[#This Row],[Fecha]])*10000+MONTH(tblConcentrado[[#This Row],[Fecha]])*100+DAY(tblConcentrado[[#This Row],[Fecha]]))*100+tblConcentrado[[#This Row],[N° hora]]</f>
        <v>2026091804</v>
      </c>
      <c r="C406" s="871">
        <v>46283</v>
      </c>
      <c r="D406">
        <v>4</v>
      </c>
      <c r="E406" s="952">
        <v>0.5</v>
      </c>
      <c r="F406" s="256">
        <v>1253</v>
      </c>
      <c r="G406" s="256">
        <v>910</v>
      </c>
      <c r="H406" s="970"/>
      <c r="I406" s="970"/>
      <c r="J406" s="970"/>
      <c r="K406" s="970"/>
      <c r="L406" s="970"/>
      <c r="M406" s="971"/>
      <c r="N406" s="971"/>
      <c r="O406" s="971"/>
      <c r="P406" s="971"/>
      <c r="Q406" s="971"/>
      <c r="R406" t="s">
        <v>9258</v>
      </c>
      <c r="U406" t="s">
        <v>9333</v>
      </c>
      <c r="V406" s="871">
        <v>46293</v>
      </c>
      <c r="W40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0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06" s="974">
        <f>IFERROR(tblConcentrado[[#This Row],[Concentrado (TMS)]]/tblConcentrado[[#This Row],[Mineral (TMS)]],"")</f>
        <v>0.72625698324022347</v>
      </c>
      <c r="Z406" s="973">
        <f>IFERROR(1/tblConcentrado[[#This Row],[% Recup.]],0)</f>
        <v>1.3769230769230769</v>
      </c>
      <c r="AA406" s="975" t="str">
        <f>IF(COUNTIFS(tblConcentrado[ID],tblConcentrado[[#This Row],[ID]])&gt;1,"Duplicado","")</f>
        <v/>
      </c>
    </row>
    <row r="407" spans="2:27">
      <c r="B407" s="976">
        <f>(YEAR(tblConcentrado[[#This Row],[Fecha]])*10000+MONTH(tblConcentrado[[#This Row],[Fecha]])*100+DAY(tblConcentrado[[#This Row],[Fecha]]))*100+tblConcentrado[[#This Row],[N° hora]]</f>
        <v>2026091805</v>
      </c>
      <c r="C407" s="871">
        <v>46283</v>
      </c>
      <c r="D407">
        <v>5</v>
      </c>
      <c r="E407" s="952">
        <v>0.54166666666666696</v>
      </c>
      <c r="F407" s="256">
        <v>1234</v>
      </c>
      <c r="G407" s="256">
        <v>826</v>
      </c>
      <c r="H407" s="970">
        <v>0.16200000000000001</v>
      </c>
      <c r="I407" s="970">
        <v>0.55200000000000005</v>
      </c>
      <c r="J407" s="970">
        <v>0.3</v>
      </c>
      <c r="K407" s="970">
        <v>0.54600000000000004</v>
      </c>
      <c r="L407" s="970">
        <v>0.28000000000000003</v>
      </c>
      <c r="M407" s="971">
        <v>24.5</v>
      </c>
      <c r="N407" s="971">
        <v>16.899999999999999</v>
      </c>
      <c r="O407" s="971">
        <v>3.3</v>
      </c>
      <c r="P407" s="971">
        <v>3.2</v>
      </c>
      <c r="Q407" s="971">
        <v>8.4</v>
      </c>
      <c r="R407" t="s">
        <v>9258</v>
      </c>
      <c r="U407" t="s">
        <v>9333</v>
      </c>
      <c r="V407" s="871">
        <v>46293</v>
      </c>
      <c r="W40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19.939999999999998</v>
      </c>
      <c r="X40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3.24</v>
      </c>
      <c r="Y407" s="974">
        <f>IFERROR(tblConcentrado[[#This Row],[Concentrado (TMS)]]/tblConcentrado[[#This Row],[Mineral (TMS)]],"")</f>
        <v>0.66936790923824963</v>
      </c>
      <c r="Z407" s="973">
        <f>IFERROR(1/tblConcentrado[[#This Row],[% Recup.]],0)</f>
        <v>1.4939467312348667</v>
      </c>
      <c r="AA407" s="975" t="str">
        <f>IF(COUNTIFS(tblConcentrado[ID],tblConcentrado[[#This Row],[ID]])&gt;1,"Duplicado","")</f>
        <v/>
      </c>
    </row>
    <row r="408" spans="2:27">
      <c r="B408" s="976">
        <f>(YEAR(tblConcentrado[[#This Row],[Fecha]])*10000+MONTH(tblConcentrado[[#This Row],[Fecha]])*100+DAY(tblConcentrado[[#This Row],[Fecha]]))*100+tblConcentrado[[#This Row],[N° hora]]</f>
        <v>2026091806</v>
      </c>
      <c r="C408" s="871">
        <v>46283</v>
      </c>
      <c r="D408">
        <v>6</v>
      </c>
      <c r="E408" s="952">
        <v>0.58333333333333304</v>
      </c>
      <c r="F408" s="256">
        <v>1193</v>
      </c>
      <c r="G408" s="256">
        <v>742</v>
      </c>
      <c r="H408" s="970"/>
      <c r="I408" s="970"/>
      <c r="J408" s="970"/>
      <c r="K408" s="970"/>
      <c r="L408" s="970"/>
      <c r="M408" s="971"/>
      <c r="N408" s="971"/>
      <c r="O408" s="971"/>
      <c r="P408" s="971"/>
      <c r="Q408" s="971"/>
      <c r="R408" t="s">
        <v>9258</v>
      </c>
      <c r="U408" t="s">
        <v>9333</v>
      </c>
      <c r="V408" s="871">
        <v>46293</v>
      </c>
      <c r="W40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0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08" s="974">
        <f>IFERROR(tblConcentrado[[#This Row],[Concentrado (TMS)]]/tblConcentrado[[#This Row],[Mineral (TMS)]],"")</f>
        <v>0.62196144174350376</v>
      </c>
      <c r="Z408" s="973">
        <f>IFERROR(1/tblConcentrado[[#This Row],[% Recup.]],0)</f>
        <v>1.6078167115902966</v>
      </c>
      <c r="AA408" s="975" t="str">
        <f>IF(COUNTIFS(tblConcentrado[ID],tblConcentrado[[#This Row],[ID]])&gt;1,"Duplicado","")</f>
        <v/>
      </c>
    </row>
    <row r="409" spans="2:27">
      <c r="B409" s="976">
        <f>(YEAR(tblConcentrado[[#This Row],[Fecha]])*10000+MONTH(tblConcentrado[[#This Row],[Fecha]])*100+DAY(tblConcentrado[[#This Row],[Fecha]]))*100+tblConcentrado[[#This Row],[N° hora]]</f>
        <v>2026091807</v>
      </c>
      <c r="C409" s="871">
        <v>46283</v>
      </c>
      <c r="D409">
        <v>7</v>
      </c>
      <c r="E409" s="952">
        <v>0.625</v>
      </c>
      <c r="F409" s="256">
        <v>1202</v>
      </c>
      <c r="G409" s="256">
        <v>791</v>
      </c>
      <c r="H409" s="970">
        <v>0.14299999999999999</v>
      </c>
      <c r="I409" s="970">
        <v>0.54700000000000004</v>
      </c>
      <c r="J409" s="970">
        <v>0.28000000000000003</v>
      </c>
      <c r="K409" s="970">
        <v>0.58799999999999997</v>
      </c>
      <c r="L409" s="970">
        <v>0.3</v>
      </c>
      <c r="M409" s="971">
        <v>24.8</v>
      </c>
      <c r="N409" s="971">
        <v>30.2</v>
      </c>
      <c r="O409" s="971">
        <v>3.2</v>
      </c>
      <c r="P409" s="971">
        <v>10.8</v>
      </c>
      <c r="Q409" s="971">
        <v>8.9</v>
      </c>
      <c r="R409" t="s">
        <v>9258</v>
      </c>
      <c r="U409" t="s">
        <v>9333</v>
      </c>
      <c r="V409" s="871">
        <v>46293</v>
      </c>
      <c r="W40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28.04</v>
      </c>
      <c r="X40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7.7600000000000007</v>
      </c>
      <c r="Y409" s="974">
        <f>IFERROR(tblConcentrado[[#This Row],[Concentrado (TMS)]]/tblConcentrado[[#This Row],[Mineral (TMS)]],"")</f>
        <v>0.65806988352745421</v>
      </c>
      <c r="Z409" s="973">
        <f>IFERROR(1/tblConcentrado[[#This Row],[% Recup.]],0)</f>
        <v>1.5195954487989887</v>
      </c>
      <c r="AA409" s="975" t="str">
        <f>IF(COUNTIFS(tblConcentrado[ID],tblConcentrado[[#This Row],[ID]])&gt;1,"Duplicado","")</f>
        <v/>
      </c>
    </row>
    <row r="410" spans="2:27">
      <c r="B410" s="976">
        <f>(YEAR(tblConcentrado[[#This Row],[Fecha]])*10000+MONTH(tblConcentrado[[#This Row],[Fecha]])*100+DAY(tblConcentrado[[#This Row],[Fecha]]))*100+tblConcentrado[[#This Row],[N° hora]]</f>
        <v>2026091808</v>
      </c>
      <c r="C410" s="871">
        <v>46283</v>
      </c>
      <c r="D410">
        <v>8</v>
      </c>
      <c r="E410" s="952">
        <v>0.66666666666666696</v>
      </c>
      <c r="F410" s="256">
        <v>1212</v>
      </c>
      <c r="G410" s="256">
        <v>727</v>
      </c>
      <c r="H410" s="970"/>
      <c r="I410" s="970"/>
      <c r="J410" s="970"/>
      <c r="K410" s="970"/>
      <c r="L410" s="970"/>
      <c r="M410" s="971"/>
      <c r="N410" s="971"/>
      <c r="O410" s="971"/>
      <c r="P410" s="971"/>
      <c r="Q410" s="971"/>
      <c r="R410" t="s">
        <v>9258</v>
      </c>
      <c r="U410" t="s">
        <v>9333</v>
      </c>
      <c r="V410" s="871">
        <v>46293</v>
      </c>
      <c r="W41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1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10" s="974">
        <f>IFERROR(tblConcentrado[[#This Row],[Concentrado (TMS)]]/tblConcentrado[[#This Row],[Mineral (TMS)]],"")</f>
        <v>0.59983498349834985</v>
      </c>
      <c r="Z410" s="973">
        <f>IFERROR(1/tblConcentrado[[#This Row],[% Recup.]],0)</f>
        <v>1.6671251719394773</v>
      </c>
      <c r="AA410" s="975" t="str">
        <f>IF(COUNTIFS(tblConcentrado[ID],tblConcentrado[[#This Row],[ID]])&gt;1,"Duplicado","")</f>
        <v/>
      </c>
    </row>
    <row r="411" spans="2:27">
      <c r="B411" s="976">
        <f>(YEAR(tblConcentrado[[#This Row],[Fecha]])*10000+MONTH(tblConcentrado[[#This Row],[Fecha]])*100+DAY(tblConcentrado[[#This Row],[Fecha]]))*100+tblConcentrado[[#This Row],[N° hora]]</f>
        <v>2026091809</v>
      </c>
      <c r="C411" s="871">
        <v>46283</v>
      </c>
      <c r="D411">
        <v>9</v>
      </c>
      <c r="E411" s="952">
        <v>0.70833333333333304</v>
      </c>
      <c r="F411" s="256">
        <v>1224</v>
      </c>
      <c r="G411" s="256">
        <v>779</v>
      </c>
      <c r="H411" s="970">
        <v>0.155</v>
      </c>
      <c r="I411" s="970">
        <v>0.78200000000000003</v>
      </c>
      <c r="J411" s="970">
        <v>0.46</v>
      </c>
      <c r="K411" s="970">
        <v>0.65</v>
      </c>
      <c r="L411" s="970">
        <v>0.37</v>
      </c>
      <c r="M411" s="971">
        <v>26</v>
      </c>
      <c r="N411" s="971">
        <v>18.5</v>
      </c>
      <c r="O411" s="971">
        <v>2.8</v>
      </c>
      <c r="P411" s="971">
        <v>3.5</v>
      </c>
      <c r="Q411" s="971">
        <v>8.1999999999999993</v>
      </c>
      <c r="R411" t="s">
        <v>9258</v>
      </c>
      <c r="S411" t="s">
        <v>217</v>
      </c>
      <c r="U411" t="s">
        <v>9333</v>
      </c>
      <c r="V411" s="871">
        <v>46293</v>
      </c>
      <c r="W41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21.5</v>
      </c>
      <c r="X41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3.2199999999999998</v>
      </c>
      <c r="Y411" s="974">
        <f>IFERROR(tblConcentrado[[#This Row],[Concentrado (TMS)]]/tblConcentrado[[#This Row],[Mineral (TMS)]],"")</f>
        <v>0.63643790849673199</v>
      </c>
      <c r="Z411" s="973">
        <f>IFERROR(1/tblConcentrado[[#This Row],[% Recup.]],0)</f>
        <v>1.5712451861360719</v>
      </c>
      <c r="AA411" s="975" t="str">
        <f>IF(COUNTIFS(tblConcentrado[ID],tblConcentrado[[#This Row],[ID]])&gt;1,"Duplicado","")</f>
        <v/>
      </c>
    </row>
    <row r="412" spans="2:27">
      <c r="B412" s="976">
        <f>(YEAR(tblConcentrado[[#This Row],[Fecha]])*10000+MONTH(tblConcentrado[[#This Row],[Fecha]])*100+DAY(tblConcentrado[[#This Row],[Fecha]]))*100+tblConcentrado[[#This Row],[N° hora]]</f>
        <v>2026091810</v>
      </c>
      <c r="C412" s="871">
        <v>46283</v>
      </c>
      <c r="D412">
        <v>10</v>
      </c>
      <c r="E412" s="952">
        <v>0.75</v>
      </c>
      <c r="F412" s="256">
        <v>1217</v>
      </c>
      <c r="G412" s="256">
        <v>596</v>
      </c>
      <c r="H412" s="970"/>
      <c r="I412" s="970"/>
      <c r="J412" s="970"/>
      <c r="K412" s="970"/>
      <c r="L412" s="970"/>
      <c r="M412" s="971"/>
      <c r="N412" s="971"/>
      <c r="O412" s="971"/>
      <c r="P412" s="971"/>
      <c r="Q412" s="971"/>
      <c r="R412" t="s">
        <v>9258</v>
      </c>
      <c r="S412" t="s">
        <v>218</v>
      </c>
      <c r="U412" t="s">
        <v>9333</v>
      </c>
      <c r="V412" s="871">
        <v>46293</v>
      </c>
      <c r="W41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1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12" s="974">
        <f>IFERROR(tblConcentrado[[#This Row],[Concentrado (TMS)]]/tblConcentrado[[#This Row],[Mineral (TMS)]],"")</f>
        <v>0.48972884141331141</v>
      </c>
      <c r="Z412" s="973">
        <f>IFERROR(1/tblConcentrado[[#This Row],[% Recup.]],0)</f>
        <v>2.0419463087248322</v>
      </c>
      <c r="AA412" s="975" t="str">
        <f>IF(COUNTIFS(tblConcentrado[ID],tblConcentrado[[#This Row],[ID]])&gt;1,"Duplicado","")</f>
        <v/>
      </c>
    </row>
    <row r="413" spans="2:27">
      <c r="B413" s="976">
        <f>(YEAR(tblConcentrado[[#This Row],[Fecha]])*10000+MONTH(tblConcentrado[[#This Row],[Fecha]])*100+DAY(tblConcentrado[[#This Row],[Fecha]]))*100+tblConcentrado[[#This Row],[N° hora]]</f>
        <v>2026091811</v>
      </c>
      <c r="C413" s="871">
        <v>46283</v>
      </c>
      <c r="D413">
        <v>11</v>
      </c>
      <c r="E413" s="952">
        <v>0.79166666666666696</v>
      </c>
      <c r="F413" s="256">
        <v>1019</v>
      </c>
      <c r="G413" s="256">
        <v>736</v>
      </c>
      <c r="H413" s="970">
        <v>0.14899999999999999</v>
      </c>
      <c r="I413" s="970">
        <v>0.77400000000000002</v>
      </c>
      <c r="J413" s="970">
        <v>0.44</v>
      </c>
      <c r="K413" s="970">
        <v>0.72</v>
      </c>
      <c r="L413" s="970">
        <v>0.41</v>
      </c>
      <c r="M413" s="971">
        <v>27.1</v>
      </c>
      <c r="N413" s="971">
        <v>18.399999999999999</v>
      </c>
      <c r="O413" s="971">
        <v>3</v>
      </c>
      <c r="P413" s="971">
        <v>2.7</v>
      </c>
      <c r="Q413" s="971">
        <v>8.3000000000000007</v>
      </c>
      <c r="R413" t="s">
        <v>9258</v>
      </c>
      <c r="S413" t="s">
        <v>219</v>
      </c>
      <c r="T413">
        <v>7</v>
      </c>
      <c r="U413" t="s">
        <v>9333</v>
      </c>
      <c r="V413" s="871">
        <v>46293</v>
      </c>
      <c r="W41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21.880000000000003</v>
      </c>
      <c r="X41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2.8200000000000003</v>
      </c>
      <c r="Y413" s="974">
        <f>IFERROR(tblConcentrado[[#This Row],[Concentrado (TMS)]]/tblConcentrado[[#This Row],[Mineral (TMS)]],"")</f>
        <v>0.72227674190382729</v>
      </c>
      <c r="Z413" s="973">
        <f>IFERROR(1/tblConcentrado[[#This Row],[% Recup.]],0)</f>
        <v>1.3845108695652173</v>
      </c>
      <c r="AA413" s="975" t="str">
        <f>IF(COUNTIFS(tblConcentrado[ID],tblConcentrado[[#This Row],[ID]])&gt;1,"Duplicado","")</f>
        <v/>
      </c>
    </row>
    <row r="414" spans="2:27">
      <c r="B414" s="976">
        <f>(YEAR(tblConcentrado[[#This Row],[Fecha]])*10000+MONTH(tblConcentrado[[#This Row],[Fecha]])*100+DAY(tblConcentrado[[#This Row],[Fecha]]))*100+tblConcentrado[[#This Row],[N° hora]]</f>
        <v>2026091812</v>
      </c>
      <c r="C414" s="871">
        <v>46283</v>
      </c>
      <c r="D414">
        <v>12</v>
      </c>
      <c r="E414" s="952">
        <v>0.83333333333333304</v>
      </c>
      <c r="F414" s="256">
        <v>1108</v>
      </c>
      <c r="G414" s="256">
        <v>577</v>
      </c>
      <c r="H414" s="970"/>
      <c r="I414" s="970"/>
      <c r="J414" s="970"/>
      <c r="K414" s="970"/>
      <c r="L414" s="970"/>
      <c r="M414" s="971"/>
      <c r="N414" s="971"/>
      <c r="O414" s="971"/>
      <c r="P414" s="971"/>
      <c r="Q414" s="971"/>
      <c r="R414" t="s">
        <v>9258</v>
      </c>
      <c r="S414" t="s">
        <v>220</v>
      </c>
      <c r="U414" t="s">
        <v>9333</v>
      </c>
      <c r="V414" s="871">
        <v>46293</v>
      </c>
      <c r="W41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1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14" s="974">
        <f>IFERROR(tblConcentrado[[#This Row],[Concentrado (TMS)]]/tblConcentrado[[#This Row],[Mineral (TMS)]],"")</f>
        <v>0.52075812274368227</v>
      </c>
      <c r="Z414" s="973">
        <f>IFERROR(1/tblConcentrado[[#This Row],[% Recup.]],0)</f>
        <v>1.9202772963604855</v>
      </c>
      <c r="AA414" s="975" t="str">
        <f>IF(COUNTIFS(tblConcentrado[ID],tblConcentrado[[#This Row],[ID]])&gt;1,"Duplicado","")</f>
        <v/>
      </c>
    </row>
    <row r="415" spans="2:27">
      <c r="B415" s="976">
        <f>(YEAR(tblConcentrado[[#This Row],[Fecha]])*10000+MONTH(tblConcentrado[[#This Row],[Fecha]])*100+DAY(tblConcentrado[[#This Row],[Fecha]]))*100+tblConcentrado[[#This Row],[N° hora]]</f>
        <v>2026091813</v>
      </c>
      <c r="C415" s="871">
        <v>46283</v>
      </c>
      <c r="D415">
        <v>13</v>
      </c>
      <c r="E415" s="952">
        <v>0.875</v>
      </c>
      <c r="F415" s="256">
        <v>1220</v>
      </c>
      <c r="G415" s="256">
        <v>841</v>
      </c>
      <c r="H415" s="970">
        <v>0.13800000000000001</v>
      </c>
      <c r="I415" s="970">
        <v>0.76800000000000002</v>
      </c>
      <c r="J415" s="970">
        <v>0.44</v>
      </c>
      <c r="K415" s="970">
        <v>0.628</v>
      </c>
      <c r="L415" s="970">
        <v>0.37</v>
      </c>
      <c r="M415" s="971">
        <v>24.6</v>
      </c>
      <c r="N415" s="971">
        <v>14.6</v>
      </c>
      <c r="O415" s="971">
        <v>2.5</v>
      </c>
      <c r="P415" s="971">
        <v>2.4</v>
      </c>
      <c r="Q415" s="971">
        <v>8</v>
      </c>
      <c r="R415" t="s">
        <v>9258</v>
      </c>
      <c r="S415" t="s">
        <v>221</v>
      </c>
      <c r="U415" t="s">
        <v>9333</v>
      </c>
      <c r="V415" s="871">
        <v>46293</v>
      </c>
      <c r="W41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18.600000000000001</v>
      </c>
      <c r="X41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2.44</v>
      </c>
      <c r="Y415" s="974">
        <f>IFERROR(tblConcentrado[[#This Row],[Concentrado (TMS)]]/tblConcentrado[[#This Row],[Mineral (TMS)]],"")</f>
        <v>0.68934426229508194</v>
      </c>
      <c r="Z415" s="973">
        <f>IFERROR(1/tblConcentrado[[#This Row],[% Recup.]],0)</f>
        <v>1.4506539833531511</v>
      </c>
      <c r="AA415" s="975" t="str">
        <f>IF(COUNTIFS(tblConcentrado[ID],tblConcentrado[[#This Row],[ID]])&gt;1,"Duplicado","")</f>
        <v/>
      </c>
    </row>
    <row r="416" spans="2:27">
      <c r="B416" s="976">
        <f>(YEAR(tblConcentrado[[#This Row],[Fecha]])*10000+MONTH(tblConcentrado[[#This Row],[Fecha]])*100+DAY(tblConcentrado[[#This Row],[Fecha]]))*100+tblConcentrado[[#This Row],[N° hora]]</f>
        <v>2026091814</v>
      </c>
      <c r="C416" s="871">
        <v>46283</v>
      </c>
      <c r="D416">
        <v>14</v>
      </c>
      <c r="E416" s="952">
        <v>0.91666666666666696</v>
      </c>
      <c r="F416" s="256">
        <v>1314</v>
      </c>
      <c r="G416" s="256">
        <v>661</v>
      </c>
      <c r="H416" s="970"/>
      <c r="I416" s="970"/>
      <c r="J416" s="970"/>
      <c r="K416" s="970"/>
      <c r="L416" s="970"/>
      <c r="M416" s="971"/>
      <c r="N416" s="971"/>
      <c r="O416" s="971"/>
      <c r="P416" s="971"/>
      <c r="Q416" s="971"/>
      <c r="R416" t="s">
        <v>9258</v>
      </c>
      <c r="S416" t="s">
        <v>222</v>
      </c>
      <c r="U416" t="s">
        <v>9333</v>
      </c>
      <c r="V416" s="871">
        <v>46293</v>
      </c>
      <c r="W41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1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16" s="974">
        <f>IFERROR(tblConcentrado[[#This Row],[Concentrado (TMS)]]/tblConcentrado[[#This Row],[Mineral (TMS)]],"")</f>
        <v>0.5030441400304414</v>
      </c>
      <c r="Z416" s="973">
        <f>IFERROR(1/tblConcentrado[[#This Row],[% Recup.]],0)</f>
        <v>1.9878971255673223</v>
      </c>
      <c r="AA416" s="975" t="str">
        <f>IF(COUNTIFS(tblConcentrado[ID],tblConcentrado[[#This Row],[ID]])&gt;1,"Duplicado","")</f>
        <v/>
      </c>
    </row>
    <row r="417" spans="2:27">
      <c r="B417" s="976">
        <f>(YEAR(tblConcentrado[[#This Row],[Fecha]])*10000+MONTH(tblConcentrado[[#This Row],[Fecha]])*100+DAY(tblConcentrado[[#This Row],[Fecha]]))*100+tblConcentrado[[#This Row],[N° hora]]</f>
        <v>2026091815</v>
      </c>
      <c r="C417" s="871">
        <v>46283</v>
      </c>
      <c r="D417">
        <v>15</v>
      </c>
      <c r="E417" s="952">
        <v>0.95833333333333304</v>
      </c>
      <c r="F417" s="256">
        <v>1366</v>
      </c>
      <c r="G417" s="256">
        <v>694</v>
      </c>
      <c r="H417" s="970">
        <v>0.16200000000000001</v>
      </c>
      <c r="I417" s="970">
        <v>0.63700000000000001</v>
      </c>
      <c r="J417" s="970">
        <v>0.38</v>
      </c>
      <c r="K417" s="970">
        <v>0.67100000000000004</v>
      </c>
      <c r="L417" s="970">
        <v>0.4</v>
      </c>
      <c r="M417" s="971">
        <v>26.4</v>
      </c>
      <c r="N417" s="971">
        <v>14.4</v>
      </c>
      <c r="O417" s="971">
        <v>2.5</v>
      </c>
      <c r="P417" s="971">
        <v>2</v>
      </c>
      <c r="Q417" s="971">
        <v>8</v>
      </c>
      <c r="R417" t="s">
        <v>9258</v>
      </c>
      <c r="U417" t="s">
        <v>9333</v>
      </c>
      <c r="V417" s="871">
        <v>46293</v>
      </c>
      <c r="W41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19.200000000000003</v>
      </c>
      <c r="X41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2.2000000000000002</v>
      </c>
      <c r="Y417" s="974">
        <f>IFERROR(tblConcentrado[[#This Row],[Concentrado (TMS)]]/tblConcentrado[[#This Row],[Mineral (TMS)]],"")</f>
        <v>0.50805270863836016</v>
      </c>
      <c r="Z417" s="973">
        <f>IFERROR(1/tblConcentrado[[#This Row],[% Recup.]],0)</f>
        <v>1.9682997118155621</v>
      </c>
      <c r="AA417" s="975" t="str">
        <f>IF(COUNTIFS(tblConcentrado[ID],tblConcentrado[[#This Row],[ID]])&gt;1,"Duplicado","")</f>
        <v/>
      </c>
    </row>
    <row r="418" spans="2:27">
      <c r="B418" s="976">
        <f>(YEAR(tblConcentrado[[#This Row],[Fecha]])*10000+MONTH(tblConcentrado[[#This Row],[Fecha]])*100+DAY(tblConcentrado[[#This Row],[Fecha]]))*100+tblConcentrado[[#This Row],[N° hora]]</f>
        <v>2026091816</v>
      </c>
      <c r="C418" s="871">
        <v>46283</v>
      </c>
      <c r="D418">
        <v>16</v>
      </c>
      <c r="E418" s="952">
        <v>0</v>
      </c>
      <c r="F418" s="256">
        <v>1405</v>
      </c>
      <c r="G418" s="256">
        <v>692</v>
      </c>
      <c r="H418" s="970"/>
      <c r="I418" s="970"/>
      <c r="J418" s="970"/>
      <c r="K418" s="970"/>
      <c r="L418" s="970"/>
      <c r="M418" s="971"/>
      <c r="N418" s="971"/>
      <c r="O418" s="971"/>
      <c r="P418" s="971"/>
      <c r="Q418" s="971"/>
      <c r="R418" t="s">
        <v>9258</v>
      </c>
      <c r="U418" t="s">
        <v>9333</v>
      </c>
      <c r="V418" s="871">
        <v>46293</v>
      </c>
      <c r="W41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1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18" s="974">
        <f>IFERROR(tblConcentrado[[#This Row],[Concentrado (TMS)]]/tblConcentrado[[#This Row],[Mineral (TMS)]],"")</f>
        <v>0.49252669039145908</v>
      </c>
      <c r="Z418" s="973">
        <f>IFERROR(1/tblConcentrado[[#This Row],[% Recup.]],0)</f>
        <v>2.0303468208092483</v>
      </c>
      <c r="AA418" s="975" t="str">
        <f>IF(COUNTIFS(tblConcentrado[ID],tblConcentrado[[#This Row],[ID]])&gt;1,"Duplicado","")</f>
        <v/>
      </c>
    </row>
    <row r="419" spans="2:27">
      <c r="B419" s="976">
        <f>(YEAR(tblConcentrado[[#This Row],[Fecha]])*10000+MONTH(tblConcentrado[[#This Row],[Fecha]])*100+DAY(tblConcentrado[[#This Row],[Fecha]]))*100+tblConcentrado[[#This Row],[N° hora]]</f>
        <v>2026091817</v>
      </c>
      <c r="C419" s="871">
        <v>46283</v>
      </c>
      <c r="D419">
        <v>17</v>
      </c>
      <c r="E419" s="952">
        <v>4.1666666666666699E-2</v>
      </c>
      <c r="F419" s="256">
        <v>1400</v>
      </c>
      <c r="G419" s="256">
        <v>903</v>
      </c>
      <c r="H419" s="970">
        <v>0.19400000000000001</v>
      </c>
      <c r="I419" s="970">
        <v>0.72799999999999998</v>
      </c>
      <c r="J419" s="970">
        <v>0.41</v>
      </c>
      <c r="K419" s="970">
        <v>0.58699999999999997</v>
      </c>
      <c r="L419" s="970">
        <v>0.32</v>
      </c>
      <c r="M419" s="971">
        <v>26.7</v>
      </c>
      <c r="N419" s="971">
        <v>14.2</v>
      </c>
      <c r="O419" s="971">
        <v>2.5</v>
      </c>
      <c r="P419" s="971">
        <v>1.8</v>
      </c>
      <c r="Q419" s="971">
        <v>8.1999999999999993</v>
      </c>
      <c r="R419" t="s">
        <v>9258</v>
      </c>
      <c r="U419" t="s">
        <v>9333</v>
      </c>
      <c r="V419" s="871">
        <v>46293</v>
      </c>
      <c r="W41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19.2</v>
      </c>
      <c r="X41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2.08</v>
      </c>
      <c r="Y419" s="974">
        <f>IFERROR(tblConcentrado[[#This Row],[Concentrado (TMS)]]/tblConcentrado[[#This Row],[Mineral (TMS)]],"")</f>
        <v>0.64500000000000002</v>
      </c>
      <c r="Z419" s="973">
        <f>IFERROR(1/tblConcentrado[[#This Row],[% Recup.]],0)</f>
        <v>1.5503875968992247</v>
      </c>
      <c r="AA419" s="975" t="str">
        <f>IF(COUNTIFS(tblConcentrado[ID],tblConcentrado[[#This Row],[ID]])&gt;1,"Duplicado","")</f>
        <v/>
      </c>
    </row>
    <row r="420" spans="2:27">
      <c r="B420" s="976">
        <f>(YEAR(tblConcentrado[[#This Row],[Fecha]])*10000+MONTH(tblConcentrado[[#This Row],[Fecha]])*100+DAY(tblConcentrado[[#This Row],[Fecha]]))*100+tblConcentrado[[#This Row],[N° hora]]</f>
        <v>2026091818</v>
      </c>
      <c r="C420" s="871">
        <v>46283</v>
      </c>
      <c r="D420">
        <v>18</v>
      </c>
      <c r="E420" s="952">
        <v>8.3333333333333301E-2</v>
      </c>
      <c r="F420" s="256">
        <v>1389</v>
      </c>
      <c r="G420" s="256">
        <v>872</v>
      </c>
      <c r="H420" s="970"/>
      <c r="I420" s="970"/>
      <c r="J420" s="970"/>
      <c r="K420" s="970"/>
      <c r="L420" s="970"/>
      <c r="M420" s="971"/>
      <c r="N420" s="971"/>
      <c r="O420" s="971"/>
      <c r="P420" s="971"/>
      <c r="Q420" s="971"/>
      <c r="R420" t="s">
        <v>9258</v>
      </c>
      <c r="U420" t="s">
        <v>9333</v>
      </c>
      <c r="V420" s="871">
        <v>46293</v>
      </c>
      <c r="W42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2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20" s="974">
        <f>IFERROR(tblConcentrado[[#This Row],[Concentrado (TMS)]]/tblConcentrado[[#This Row],[Mineral (TMS)]],"")</f>
        <v>0.62778977681785453</v>
      </c>
      <c r="Z420" s="973">
        <f>IFERROR(1/tblConcentrado[[#This Row],[% Recup.]],0)</f>
        <v>1.5928899082568808</v>
      </c>
      <c r="AA420" s="975" t="str">
        <f>IF(COUNTIFS(tblConcentrado[ID],tblConcentrado[[#This Row],[ID]])&gt;1,"Duplicado","")</f>
        <v/>
      </c>
    </row>
    <row r="421" spans="2:27">
      <c r="B421" s="976">
        <f>(YEAR(tblConcentrado[[#This Row],[Fecha]])*10000+MONTH(tblConcentrado[[#This Row],[Fecha]])*100+DAY(tblConcentrado[[#This Row],[Fecha]]))*100+tblConcentrado[[#This Row],[N° hora]]</f>
        <v>2026091819</v>
      </c>
      <c r="C421" s="871">
        <v>46283</v>
      </c>
      <c r="D421">
        <v>19</v>
      </c>
      <c r="E421" s="952">
        <v>0.125</v>
      </c>
      <c r="F421" s="256">
        <v>1422</v>
      </c>
      <c r="G421" s="256">
        <v>889</v>
      </c>
      <c r="H421" s="970">
        <v>0.2</v>
      </c>
      <c r="I421" s="970">
        <v>0.72599999999999998</v>
      </c>
      <c r="J421" s="970">
        <v>0.41</v>
      </c>
      <c r="K421" s="970">
        <v>0.747</v>
      </c>
      <c r="L421" s="970">
        <v>0.43</v>
      </c>
      <c r="M421" s="971">
        <v>27.2</v>
      </c>
      <c r="N421" s="971">
        <v>15.6</v>
      </c>
      <c r="O421" s="971">
        <v>2.6</v>
      </c>
      <c r="P421" s="971">
        <v>2.2000000000000002</v>
      </c>
      <c r="Q421" s="971">
        <v>8.3000000000000007</v>
      </c>
      <c r="R421" t="s">
        <v>9258</v>
      </c>
      <c r="U421" t="s">
        <v>9333</v>
      </c>
      <c r="V421" s="871">
        <v>46293</v>
      </c>
      <c r="W42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20.240000000000002</v>
      </c>
      <c r="X42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2.3600000000000003</v>
      </c>
      <c r="Y421" s="974">
        <f>IFERROR(tblConcentrado[[#This Row],[Concentrado (TMS)]]/tblConcentrado[[#This Row],[Mineral (TMS)]],"")</f>
        <v>0.62517580872011247</v>
      </c>
      <c r="Z421" s="973">
        <f>IFERROR(1/tblConcentrado[[#This Row],[% Recup.]],0)</f>
        <v>1.5995500562429696</v>
      </c>
      <c r="AA421" s="975" t="str">
        <f>IF(COUNTIFS(tblConcentrado[ID],tblConcentrado[[#This Row],[ID]])&gt;1,"Duplicado","")</f>
        <v/>
      </c>
    </row>
    <row r="422" spans="2:27">
      <c r="B422" s="976">
        <f>(YEAR(tblConcentrado[[#This Row],[Fecha]])*10000+MONTH(tblConcentrado[[#This Row],[Fecha]])*100+DAY(tblConcentrado[[#This Row],[Fecha]]))*100+tblConcentrado[[#This Row],[N° hora]]</f>
        <v>2026091820</v>
      </c>
      <c r="C422" s="871">
        <v>46283</v>
      </c>
      <c r="D422">
        <v>20</v>
      </c>
      <c r="E422" s="952">
        <v>0.16666666666666699</v>
      </c>
      <c r="F422" s="256">
        <v>1432</v>
      </c>
      <c r="G422" s="256">
        <v>1086</v>
      </c>
      <c r="H422" s="970"/>
      <c r="I422" s="970"/>
      <c r="J422" s="970"/>
      <c r="K422" s="970"/>
      <c r="L422" s="970"/>
      <c r="M422" s="971"/>
      <c r="N422" s="971"/>
      <c r="O422" s="971"/>
      <c r="P422" s="971"/>
      <c r="Q422" s="971"/>
      <c r="R422" t="s">
        <v>9258</v>
      </c>
      <c r="U422" t="s">
        <v>9333</v>
      </c>
      <c r="V422" s="871">
        <v>46293</v>
      </c>
      <c r="W42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2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22" s="974">
        <f>IFERROR(tblConcentrado[[#This Row],[Concentrado (TMS)]]/tblConcentrado[[#This Row],[Mineral (TMS)]],"")</f>
        <v>0.75837988826815639</v>
      </c>
      <c r="Z422" s="973">
        <f>IFERROR(1/tblConcentrado[[#This Row],[% Recup.]],0)</f>
        <v>1.3186003683241252</v>
      </c>
      <c r="AA422" s="975" t="str">
        <f>IF(COUNTIFS(tblConcentrado[ID],tblConcentrado[[#This Row],[ID]])&gt;1,"Duplicado","")</f>
        <v/>
      </c>
    </row>
    <row r="423" spans="2:27">
      <c r="B423" s="976">
        <f>(YEAR(tblConcentrado[[#This Row],[Fecha]])*10000+MONTH(tblConcentrado[[#This Row],[Fecha]])*100+DAY(tblConcentrado[[#This Row],[Fecha]]))*100+tblConcentrado[[#This Row],[N° hora]]</f>
        <v>2026091821</v>
      </c>
      <c r="C423" s="871">
        <v>46283</v>
      </c>
      <c r="D423">
        <v>21</v>
      </c>
      <c r="E423" s="952">
        <v>0.20833333333333301</v>
      </c>
      <c r="F423" s="256">
        <v>1428</v>
      </c>
      <c r="G423" s="256">
        <v>857</v>
      </c>
      <c r="H423" s="970">
        <v>0.2</v>
      </c>
      <c r="I423" s="970">
        <v>0.85399999999999998</v>
      </c>
      <c r="J423" s="970">
        <v>0.51</v>
      </c>
      <c r="K423" s="970">
        <v>0.80400000000000005</v>
      </c>
      <c r="L423" s="970">
        <v>0.47</v>
      </c>
      <c r="M423" s="971">
        <v>28.2</v>
      </c>
      <c r="N423" s="971">
        <v>16.2</v>
      </c>
      <c r="O423" s="971">
        <v>2.9</v>
      </c>
      <c r="P423" s="971">
        <v>2.2999999999999998</v>
      </c>
      <c r="Q423" s="971">
        <v>8.1999999999999993</v>
      </c>
      <c r="R423" t="s">
        <v>9258</v>
      </c>
      <c r="U423" t="s">
        <v>9333</v>
      </c>
      <c r="V423" s="871">
        <v>46293</v>
      </c>
      <c r="W42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v>
      </c>
      <c r="X42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2.54</v>
      </c>
      <c r="Y423" s="974">
        <f>IFERROR(tblConcentrado[[#This Row],[Concentrado (TMS)]]/tblConcentrado[[#This Row],[Mineral (TMS)]],"")</f>
        <v>0.60014005602240894</v>
      </c>
      <c r="Z423" s="973">
        <f>IFERROR(1/tblConcentrado[[#This Row],[% Recup.]],0)</f>
        <v>1.6662777129521587</v>
      </c>
      <c r="AA423" s="975" t="str">
        <f>IF(COUNTIFS(tblConcentrado[ID],tblConcentrado[[#This Row],[ID]])&gt;1,"Duplicado","")</f>
        <v/>
      </c>
    </row>
    <row r="424" spans="2:27">
      <c r="B424" s="976">
        <f>(YEAR(tblConcentrado[[#This Row],[Fecha]])*10000+MONTH(tblConcentrado[[#This Row],[Fecha]])*100+DAY(tblConcentrado[[#This Row],[Fecha]]))*100+tblConcentrado[[#This Row],[N° hora]]</f>
        <v>2026091822</v>
      </c>
      <c r="C424" s="871">
        <v>46283</v>
      </c>
      <c r="D424">
        <v>22</v>
      </c>
      <c r="E424" s="952">
        <v>0.25</v>
      </c>
      <c r="F424" s="256">
        <v>1399</v>
      </c>
      <c r="G424" s="256">
        <v>849</v>
      </c>
      <c r="H424" s="970"/>
      <c r="I424" s="970"/>
      <c r="J424" s="970"/>
      <c r="K424" s="970"/>
      <c r="L424" s="970"/>
      <c r="M424" s="971"/>
      <c r="N424" s="971"/>
      <c r="O424" s="971"/>
      <c r="P424" s="971"/>
      <c r="Q424" s="971"/>
      <c r="R424" t="s">
        <v>9258</v>
      </c>
      <c r="U424" t="s">
        <v>9333</v>
      </c>
      <c r="V424" s="871">
        <v>46293</v>
      </c>
      <c r="W42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2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24" s="974">
        <f>IFERROR(tblConcentrado[[#This Row],[Concentrado (TMS)]]/tblConcentrado[[#This Row],[Mineral (TMS)]],"")</f>
        <v>0.60686204431736956</v>
      </c>
      <c r="Z424" s="973">
        <f>IFERROR(1/tblConcentrado[[#This Row],[% Recup.]],0)</f>
        <v>1.6478209658421672</v>
      </c>
      <c r="AA424" s="975" t="str">
        <f>IF(COUNTIFS(tblConcentrado[ID],tblConcentrado[[#This Row],[ID]])&gt;1,"Duplicado","")</f>
        <v/>
      </c>
    </row>
    <row r="425" spans="2:27">
      <c r="B425" s="976">
        <f>(YEAR(tblConcentrado[[#This Row],[Fecha]])*10000+MONTH(tblConcentrado[[#This Row],[Fecha]])*100+DAY(tblConcentrado[[#This Row],[Fecha]]))*100+tblConcentrado[[#This Row],[N° hora]]</f>
        <v>2026091823</v>
      </c>
      <c r="C425" s="871">
        <v>46283</v>
      </c>
      <c r="D425">
        <v>23</v>
      </c>
      <c r="E425" s="952">
        <v>0.29166666666666702</v>
      </c>
      <c r="F425" s="256">
        <v>1447</v>
      </c>
      <c r="G425" s="256">
        <v>918</v>
      </c>
      <c r="H425" s="970">
        <v>0.20799999999999999</v>
      </c>
      <c r="I425" s="970">
        <v>0.73799999999999999</v>
      </c>
      <c r="J425" s="970">
        <v>0.42</v>
      </c>
      <c r="K425" s="970">
        <v>0.745</v>
      </c>
      <c r="L425" s="970">
        <v>0.43</v>
      </c>
      <c r="M425" s="971"/>
      <c r="N425" s="971"/>
      <c r="O425" s="971">
        <v>2.6</v>
      </c>
      <c r="P425" s="971">
        <v>2.1</v>
      </c>
      <c r="Q425" s="971">
        <v>8.1999999999999993</v>
      </c>
      <c r="R425" t="s">
        <v>9258</v>
      </c>
      <c r="U425" t="s">
        <v>9333</v>
      </c>
      <c r="V425" s="871">
        <v>46293</v>
      </c>
      <c r="W425"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2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2.2999999999999998</v>
      </c>
      <c r="Y425" s="974">
        <f>IFERROR(tblConcentrado[[#This Row],[Concentrado (TMS)]]/tblConcentrado[[#This Row],[Mineral (TMS)]],"")</f>
        <v>0.63441603317208017</v>
      </c>
      <c r="Z425" s="973">
        <f>IFERROR(1/tblConcentrado[[#This Row],[% Recup.]],0)</f>
        <v>1.5762527233115469</v>
      </c>
      <c r="AA425" s="975" t="str">
        <f>IF(COUNTIFS(tblConcentrado[ID],tblConcentrado[[#This Row],[ID]])&gt;1,"Duplicado","")</f>
        <v/>
      </c>
    </row>
    <row r="426" spans="2:27">
      <c r="B426" s="976">
        <f>(YEAR(tblConcentrado[[#This Row],[Fecha]])*10000+MONTH(tblConcentrado[[#This Row],[Fecha]])*100+DAY(tblConcentrado[[#This Row],[Fecha]]))*100+tblConcentrado[[#This Row],[N° hora]]</f>
        <v>2026091824</v>
      </c>
      <c r="C426" s="871">
        <v>46283</v>
      </c>
      <c r="D426">
        <v>24</v>
      </c>
      <c r="E426" s="952">
        <v>0.33333333333333298</v>
      </c>
      <c r="F426" s="256">
        <v>1435</v>
      </c>
      <c r="G426" s="256">
        <v>925</v>
      </c>
      <c r="H426" s="970"/>
      <c r="I426" s="970"/>
      <c r="J426" s="970"/>
      <c r="K426" s="970"/>
      <c r="L426" s="970"/>
      <c r="M426" s="971"/>
      <c r="N426" s="971"/>
      <c r="O426" s="971"/>
      <c r="P426" s="971"/>
      <c r="Q426" s="971"/>
      <c r="R426" t="s">
        <v>9258</v>
      </c>
      <c r="U426" t="s">
        <v>9333</v>
      </c>
      <c r="V426" s="871">
        <v>46293</v>
      </c>
      <c r="W42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2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26" s="974">
        <f>IFERROR(tblConcentrado[[#This Row],[Concentrado (TMS)]]/tblConcentrado[[#This Row],[Mineral (TMS)]],"")</f>
        <v>0.64459930313588854</v>
      </c>
      <c r="Z426" s="973">
        <f>IFERROR(1/tblConcentrado[[#This Row],[% Recup.]],0)</f>
        <v>1.5513513513513513</v>
      </c>
      <c r="AA426" s="975" t="str">
        <f>IF(COUNTIFS(tblConcentrado[ID],tblConcentrado[[#This Row],[ID]])&gt;1,"Duplicado","")</f>
        <v/>
      </c>
    </row>
    <row r="427" spans="2:27">
      <c r="B427" s="976">
        <f>(YEAR(tblConcentrado[[#This Row],[Fecha]])*10000+MONTH(tblConcentrado[[#This Row],[Fecha]])*100+DAY(tblConcentrado[[#This Row],[Fecha]]))*100+tblConcentrado[[#This Row],[N° hora]]</f>
        <v>2026091901</v>
      </c>
      <c r="C427" s="871">
        <v>46284</v>
      </c>
      <c r="D427">
        <v>1</v>
      </c>
      <c r="E427" s="952">
        <v>0.375</v>
      </c>
      <c r="F427" s="256">
        <v>1361</v>
      </c>
      <c r="G427" s="256">
        <v>994</v>
      </c>
      <c r="H427" s="970">
        <v>0.189</v>
      </c>
      <c r="I427" s="970">
        <v>0.58899999999999997</v>
      </c>
      <c r="J427" s="970">
        <v>0.33</v>
      </c>
      <c r="K427" s="970">
        <v>0.52900000000000003</v>
      </c>
      <c r="L427" s="970">
        <v>0.34</v>
      </c>
      <c r="M427" s="971">
        <v>27.9</v>
      </c>
      <c r="N427" s="971">
        <v>18</v>
      </c>
      <c r="O427" s="971">
        <v>3.6</v>
      </c>
      <c r="P427" s="971">
        <v>3</v>
      </c>
      <c r="Q427" s="971">
        <v>8</v>
      </c>
      <c r="R427" t="s">
        <v>9258</v>
      </c>
      <c r="U427" t="s">
        <v>9333</v>
      </c>
      <c r="V427" s="871">
        <v>46293</v>
      </c>
      <c r="W42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21.96</v>
      </c>
      <c r="X42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3.24</v>
      </c>
      <c r="Y427" s="974">
        <f>IFERROR(tblConcentrado[[#This Row],[Concentrado (TMS)]]/tblConcentrado[[#This Row],[Mineral (TMS)]],"")</f>
        <v>0.73034533431300519</v>
      </c>
      <c r="Z427" s="973">
        <f>IFERROR(1/tblConcentrado[[#This Row],[% Recup.]],0)</f>
        <v>1.3692152917505029</v>
      </c>
      <c r="AA427" s="975" t="str">
        <f>IF(COUNTIFS(tblConcentrado[ID],tblConcentrado[[#This Row],[ID]])&gt;1,"Duplicado","")</f>
        <v/>
      </c>
    </row>
    <row r="428" spans="2:27">
      <c r="B428" s="976">
        <f>(YEAR(tblConcentrado[[#This Row],[Fecha]])*10000+MONTH(tblConcentrado[[#This Row],[Fecha]])*100+DAY(tblConcentrado[[#This Row],[Fecha]]))*100+tblConcentrado[[#This Row],[N° hora]]</f>
        <v>2026091902</v>
      </c>
      <c r="C428" s="871">
        <v>46284</v>
      </c>
      <c r="D428">
        <v>2</v>
      </c>
      <c r="E428" s="952">
        <v>0.41666666666666702</v>
      </c>
      <c r="F428" s="256">
        <v>1192</v>
      </c>
      <c r="G428" s="256">
        <v>984</v>
      </c>
      <c r="H428" s="970"/>
      <c r="I428" s="970"/>
      <c r="J428" s="970"/>
      <c r="K428" s="970"/>
      <c r="L428" s="970"/>
      <c r="M428" s="971"/>
      <c r="N428" s="971"/>
      <c r="O428" s="971"/>
      <c r="P428" s="971"/>
      <c r="Q428" s="971"/>
      <c r="R428" t="s">
        <v>9258</v>
      </c>
      <c r="U428" t="s">
        <v>9333</v>
      </c>
      <c r="V428" s="871">
        <v>46293</v>
      </c>
      <c r="W42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2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28" s="974">
        <f>IFERROR(tblConcentrado[[#This Row],[Concentrado (TMS)]]/tblConcentrado[[#This Row],[Mineral (TMS)]],"")</f>
        <v>0.82550335570469802</v>
      </c>
      <c r="Z428" s="973">
        <f>IFERROR(1/tblConcentrado[[#This Row],[% Recup.]],0)</f>
        <v>1.2113821138211383</v>
      </c>
      <c r="AA428" s="975" t="str">
        <f>IF(COUNTIFS(tblConcentrado[ID],tblConcentrado[[#This Row],[ID]])&gt;1,"Duplicado","")</f>
        <v/>
      </c>
    </row>
    <row r="429" spans="2:27">
      <c r="B429" s="976">
        <f>(YEAR(tblConcentrado[[#This Row],[Fecha]])*10000+MONTH(tblConcentrado[[#This Row],[Fecha]])*100+DAY(tblConcentrado[[#This Row],[Fecha]]))*100+tblConcentrado[[#This Row],[N° hora]]</f>
        <v>2026091903</v>
      </c>
      <c r="C429" s="871">
        <v>46284</v>
      </c>
      <c r="D429">
        <v>3</v>
      </c>
      <c r="E429" s="952">
        <v>0.45833333333333298</v>
      </c>
      <c r="F429" s="256">
        <v>1184</v>
      </c>
      <c r="G429" s="256">
        <v>905</v>
      </c>
      <c r="H429" s="970">
        <v>0.188</v>
      </c>
      <c r="I429" s="970">
        <v>0.48699999999999999</v>
      </c>
      <c r="J429" s="970">
        <v>0.31</v>
      </c>
      <c r="K429" s="970">
        <v>0.58699999999999997</v>
      </c>
      <c r="L429" s="970">
        <v>0.34</v>
      </c>
      <c r="M429" s="971">
        <v>27.4</v>
      </c>
      <c r="N429" s="971">
        <v>15.5</v>
      </c>
      <c r="O429" s="971">
        <v>3</v>
      </c>
      <c r="P429" s="971">
        <v>2.8</v>
      </c>
      <c r="Q429" s="971">
        <v>8</v>
      </c>
      <c r="R429" t="s">
        <v>9258</v>
      </c>
      <c r="U429" t="s">
        <v>9333</v>
      </c>
      <c r="V429" s="871">
        <v>46293</v>
      </c>
      <c r="W42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20.259999999999998</v>
      </c>
      <c r="X42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2.88</v>
      </c>
      <c r="Y429" s="974">
        <f>IFERROR(tblConcentrado[[#This Row],[Concentrado (TMS)]]/tblConcentrado[[#This Row],[Mineral (TMS)]],"")</f>
        <v>0.76435810810810811</v>
      </c>
      <c r="Z429" s="973">
        <f>IFERROR(1/tblConcentrado[[#This Row],[% Recup.]],0)</f>
        <v>1.3082872928176796</v>
      </c>
      <c r="AA429" s="975" t="str">
        <f>IF(COUNTIFS(tblConcentrado[ID],tblConcentrado[[#This Row],[ID]])&gt;1,"Duplicado","")</f>
        <v/>
      </c>
    </row>
    <row r="430" spans="2:27">
      <c r="B430" s="976">
        <f>(YEAR(tblConcentrado[[#This Row],[Fecha]])*10000+MONTH(tblConcentrado[[#This Row],[Fecha]])*100+DAY(tblConcentrado[[#This Row],[Fecha]]))*100+tblConcentrado[[#This Row],[N° hora]]</f>
        <v>2026091904</v>
      </c>
      <c r="C430" s="871">
        <v>46284</v>
      </c>
      <c r="D430">
        <v>4</v>
      </c>
      <c r="E430" s="952">
        <v>0.5</v>
      </c>
      <c r="F430" s="256">
        <v>1179</v>
      </c>
      <c r="G430" s="256">
        <v>766</v>
      </c>
      <c r="H430" s="970"/>
      <c r="I430" s="970"/>
      <c r="J430" s="970"/>
      <c r="K430" s="970"/>
      <c r="L430" s="970"/>
      <c r="M430" s="971"/>
      <c r="N430" s="971"/>
      <c r="O430" s="971"/>
      <c r="P430" s="971"/>
      <c r="Q430" s="971"/>
      <c r="R430" t="s">
        <v>9258</v>
      </c>
      <c r="U430" t="s">
        <v>9333</v>
      </c>
      <c r="V430" s="871">
        <v>46293</v>
      </c>
      <c r="W43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3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30" s="974">
        <f>IFERROR(tblConcentrado[[#This Row],[Concentrado (TMS)]]/tblConcentrado[[#This Row],[Mineral (TMS)]],"")</f>
        <v>0.64970313825275661</v>
      </c>
      <c r="Z430" s="973">
        <f>IFERROR(1/tblConcentrado[[#This Row],[% Recup.]],0)</f>
        <v>1.5391644908616187</v>
      </c>
      <c r="AA430" s="975" t="str">
        <f>IF(COUNTIFS(tblConcentrado[ID],tblConcentrado[[#This Row],[ID]])&gt;1,"Duplicado","")</f>
        <v/>
      </c>
    </row>
    <row r="431" spans="2:27">
      <c r="B431" s="976">
        <f>(YEAR(tblConcentrado[[#This Row],[Fecha]])*10000+MONTH(tblConcentrado[[#This Row],[Fecha]])*100+DAY(tblConcentrado[[#This Row],[Fecha]]))*100+tblConcentrado[[#This Row],[N° hora]]</f>
        <v>2026091905</v>
      </c>
      <c r="C431" s="871">
        <v>46284</v>
      </c>
      <c r="D431">
        <v>5</v>
      </c>
      <c r="E431" s="952">
        <v>0.54166666666666696</v>
      </c>
      <c r="F431" s="256">
        <v>1171</v>
      </c>
      <c r="G431" s="256">
        <v>682</v>
      </c>
      <c r="H431" s="970">
        <v>0.17199999999999999</v>
      </c>
      <c r="I431" s="970">
        <v>0.54600000000000004</v>
      </c>
      <c r="J431" s="970">
        <v>0.33</v>
      </c>
      <c r="K431" s="970">
        <v>0.53500000000000003</v>
      </c>
      <c r="L431" s="970">
        <v>0.34</v>
      </c>
      <c r="M431" s="971">
        <v>29.4</v>
      </c>
      <c r="N431" s="971">
        <v>16.7</v>
      </c>
      <c r="O431" s="971">
        <v>3.4</v>
      </c>
      <c r="P431" s="971">
        <v>2.8</v>
      </c>
      <c r="Q431" s="971">
        <v>8</v>
      </c>
      <c r="R431" t="s">
        <v>9258</v>
      </c>
      <c r="U431" t="s">
        <v>9333</v>
      </c>
      <c r="V431" s="871">
        <v>46293</v>
      </c>
      <c r="W43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21.78</v>
      </c>
      <c r="X43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3.04</v>
      </c>
      <c r="Y431" s="974">
        <f>IFERROR(tblConcentrado[[#This Row],[Concentrado (TMS)]]/tblConcentrado[[#This Row],[Mineral (TMS)]],"")</f>
        <v>0.58240819812126388</v>
      </c>
      <c r="Z431" s="973">
        <f>IFERROR(1/tblConcentrado[[#This Row],[% Recup.]],0)</f>
        <v>1.717008797653959</v>
      </c>
      <c r="AA431" s="975" t="str">
        <f>IF(COUNTIFS(tblConcentrado[ID],tblConcentrado[[#This Row],[ID]])&gt;1,"Duplicado","")</f>
        <v/>
      </c>
    </row>
    <row r="432" spans="2:27">
      <c r="B432" s="976">
        <f>(YEAR(tblConcentrado[[#This Row],[Fecha]])*10000+MONTH(tblConcentrado[[#This Row],[Fecha]])*100+DAY(tblConcentrado[[#This Row],[Fecha]]))*100+tblConcentrado[[#This Row],[N° hora]]</f>
        <v>2026091906</v>
      </c>
      <c r="C432" s="871">
        <v>46284</v>
      </c>
      <c r="D432">
        <v>6</v>
      </c>
      <c r="E432" s="952">
        <v>0.58333333333333304</v>
      </c>
      <c r="F432" s="256">
        <v>1230</v>
      </c>
      <c r="G432" s="256">
        <v>862</v>
      </c>
      <c r="H432" s="970"/>
      <c r="I432" s="970"/>
      <c r="J432" s="970"/>
      <c r="K432" s="970"/>
      <c r="L432" s="970"/>
      <c r="M432" s="971"/>
      <c r="N432" s="971"/>
      <c r="O432" s="971"/>
      <c r="P432" s="971"/>
      <c r="Q432" s="971"/>
      <c r="R432" t="s">
        <v>9258</v>
      </c>
      <c r="U432" t="s">
        <v>9333</v>
      </c>
      <c r="V432" s="871">
        <v>46293</v>
      </c>
      <c r="W43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3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32" s="974">
        <f>IFERROR(tblConcentrado[[#This Row],[Concentrado (TMS)]]/tblConcentrado[[#This Row],[Mineral (TMS)]],"")</f>
        <v>0.70081300813008129</v>
      </c>
      <c r="Z432" s="973">
        <f>IFERROR(1/tblConcentrado[[#This Row],[% Recup.]],0)</f>
        <v>1.4269141531322507</v>
      </c>
      <c r="AA432" s="975" t="str">
        <f>IF(COUNTIFS(tblConcentrado[ID],tblConcentrado[[#This Row],[ID]])&gt;1,"Duplicado","")</f>
        <v/>
      </c>
    </row>
    <row r="433" spans="2:27">
      <c r="B433" s="976">
        <f>(YEAR(tblConcentrado[[#This Row],[Fecha]])*10000+MONTH(tblConcentrado[[#This Row],[Fecha]])*100+DAY(tblConcentrado[[#This Row],[Fecha]]))*100+tblConcentrado[[#This Row],[N° hora]]</f>
        <v>2026091907</v>
      </c>
      <c r="C433" s="871">
        <v>46284</v>
      </c>
      <c r="D433">
        <v>7</v>
      </c>
      <c r="E433" s="952">
        <v>0.625</v>
      </c>
      <c r="F433" s="256">
        <v>1307</v>
      </c>
      <c r="G433" s="256">
        <v>925</v>
      </c>
      <c r="H433" s="970">
        <v>0.16900000000000001</v>
      </c>
      <c r="I433" s="970">
        <v>0.60899999999999999</v>
      </c>
      <c r="J433" s="970">
        <v>0.36</v>
      </c>
      <c r="K433" s="970">
        <v>0.56899999999999995</v>
      </c>
      <c r="L433" s="970">
        <v>0.34</v>
      </c>
      <c r="M433" s="971">
        <v>39.1</v>
      </c>
      <c r="N433" s="971">
        <v>18.5</v>
      </c>
      <c r="O433" s="971">
        <v>2.9</v>
      </c>
      <c r="P433" s="971">
        <v>2</v>
      </c>
      <c r="Q433" s="971">
        <v>8.1</v>
      </c>
      <c r="R433" t="s">
        <v>9258</v>
      </c>
      <c r="U433" t="s">
        <v>9333</v>
      </c>
      <c r="V433" s="871">
        <v>46293</v>
      </c>
      <c r="W43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26.740000000000002</v>
      </c>
      <c r="X43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2.36</v>
      </c>
      <c r="Y433" s="974">
        <f>IFERROR(tblConcentrado[[#This Row],[Concentrado (TMS)]]/tblConcentrado[[#This Row],[Mineral (TMS)]],"")</f>
        <v>0.70772762050497318</v>
      </c>
      <c r="Z433" s="973">
        <f>IFERROR(1/tblConcentrado[[#This Row],[% Recup.]],0)</f>
        <v>1.412972972972973</v>
      </c>
      <c r="AA433" s="975" t="str">
        <f>IF(COUNTIFS(tblConcentrado[ID],tblConcentrado[[#This Row],[ID]])&gt;1,"Duplicado","")</f>
        <v/>
      </c>
    </row>
    <row r="434" spans="2:27">
      <c r="B434" s="976">
        <f>(YEAR(tblConcentrado[[#This Row],[Fecha]])*10000+MONTH(tblConcentrado[[#This Row],[Fecha]])*100+DAY(tblConcentrado[[#This Row],[Fecha]]))*100+tblConcentrado[[#This Row],[N° hora]]</f>
        <v>2026091908</v>
      </c>
      <c r="C434" s="871">
        <v>46284</v>
      </c>
      <c r="D434">
        <v>8</v>
      </c>
      <c r="E434" s="952">
        <v>0.66666666666666696</v>
      </c>
      <c r="F434" s="256">
        <v>1318</v>
      </c>
      <c r="G434" s="256">
        <v>825</v>
      </c>
      <c r="H434" s="970"/>
      <c r="I434" s="970"/>
      <c r="J434" s="970"/>
      <c r="K434" s="970"/>
      <c r="L434" s="970"/>
      <c r="M434" s="971"/>
      <c r="N434" s="971"/>
      <c r="O434" s="971"/>
      <c r="P434" s="971"/>
      <c r="Q434" s="971"/>
      <c r="R434" t="s">
        <v>9258</v>
      </c>
      <c r="S434" t="s">
        <v>223</v>
      </c>
      <c r="U434" t="s">
        <v>9333</v>
      </c>
      <c r="V434" s="871">
        <v>46293</v>
      </c>
      <c r="W43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3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34" s="974">
        <f>IFERROR(tblConcentrado[[#This Row],[Concentrado (TMS)]]/tblConcentrado[[#This Row],[Mineral (TMS)]],"")</f>
        <v>0.62594840667678298</v>
      </c>
      <c r="Z434" s="973">
        <f>IFERROR(1/tblConcentrado[[#This Row],[% Recup.]],0)</f>
        <v>1.5975757575757576</v>
      </c>
      <c r="AA434" s="975" t="str">
        <f>IF(COUNTIFS(tblConcentrado[ID],tblConcentrado[[#This Row],[ID]])&gt;1,"Duplicado","")</f>
        <v/>
      </c>
    </row>
    <row r="435" spans="2:27">
      <c r="B435" s="976">
        <f>(YEAR(tblConcentrado[[#This Row],[Fecha]])*10000+MONTH(tblConcentrado[[#This Row],[Fecha]])*100+DAY(tblConcentrado[[#This Row],[Fecha]]))*100+tblConcentrado[[#This Row],[N° hora]]</f>
        <v>2026091909</v>
      </c>
      <c r="C435" s="871">
        <v>46284</v>
      </c>
      <c r="D435">
        <v>9</v>
      </c>
      <c r="E435" s="952">
        <v>0.70833333333333304</v>
      </c>
      <c r="F435" s="256">
        <v>1322</v>
      </c>
      <c r="G435" s="256">
        <v>766</v>
      </c>
      <c r="H435" s="970">
        <v>0.18099999999999999</v>
      </c>
      <c r="I435" s="970">
        <v>0.56899999999999995</v>
      </c>
      <c r="J435" s="970">
        <v>0.33</v>
      </c>
      <c r="K435" s="970">
        <v>0.64900000000000002</v>
      </c>
      <c r="L435" s="970">
        <v>0.38</v>
      </c>
      <c r="M435" s="971">
        <v>30.4</v>
      </c>
      <c r="N435" s="971">
        <v>17.100000000000001</v>
      </c>
      <c r="O435" s="971">
        <v>3.3</v>
      </c>
      <c r="P435" s="971">
        <v>2.5</v>
      </c>
      <c r="Q435" s="971">
        <v>8.1999999999999993</v>
      </c>
      <c r="R435" t="s">
        <v>9258</v>
      </c>
      <c r="S435" t="s">
        <v>224</v>
      </c>
      <c r="U435" t="s">
        <v>9333</v>
      </c>
      <c r="V435" s="871">
        <v>46293</v>
      </c>
      <c r="W43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22.42</v>
      </c>
      <c r="X43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2.8200000000000003</v>
      </c>
      <c r="Y435" s="974">
        <f>IFERROR(tblConcentrado[[#This Row],[Concentrado (TMS)]]/tblConcentrado[[#This Row],[Mineral (TMS)]],"")</f>
        <v>0.57942511346444781</v>
      </c>
      <c r="Z435" s="973">
        <f>IFERROR(1/tblConcentrado[[#This Row],[% Recup.]],0)</f>
        <v>1.7258485639686685</v>
      </c>
      <c r="AA435" s="975" t="str">
        <f>IF(COUNTIFS(tblConcentrado[ID],tblConcentrado[[#This Row],[ID]])&gt;1,"Duplicado","")</f>
        <v/>
      </c>
    </row>
    <row r="436" spans="2:27">
      <c r="B436" s="976">
        <f>(YEAR(tblConcentrado[[#This Row],[Fecha]])*10000+MONTH(tblConcentrado[[#This Row],[Fecha]])*100+DAY(tblConcentrado[[#This Row],[Fecha]]))*100+tblConcentrado[[#This Row],[N° hora]]</f>
        <v>2026091910</v>
      </c>
      <c r="C436" s="871">
        <v>46284</v>
      </c>
      <c r="D436">
        <v>10</v>
      </c>
      <c r="E436" s="952">
        <v>0.75</v>
      </c>
      <c r="F436" s="256">
        <v>1330</v>
      </c>
      <c r="G436" s="256">
        <v>825</v>
      </c>
      <c r="H436" s="970"/>
      <c r="I436" s="970"/>
      <c r="J436" s="970"/>
      <c r="K436" s="970"/>
      <c r="L436" s="970"/>
      <c r="M436" s="971"/>
      <c r="N436" s="971"/>
      <c r="O436" s="971"/>
      <c r="P436" s="971"/>
      <c r="Q436" s="971"/>
      <c r="R436" t="s">
        <v>9258</v>
      </c>
      <c r="S436" t="s">
        <v>225</v>
      </c>
      <c r="U436" t="s">
        <v>9333</v>
      </c>
      <c r="V436" s="871">
        <v>46293</v>
      </c>
      <c r="W43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3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36" s="974">
        <f>IFERROR(tblConcentrado[[#This Row],[Concentrado (TMS)]]/tblConcentrado[[#This Row],[Mineral (TMS)]],"")</f>
        <v>0.62030075187969924</v>
      </c>
      <c r="Z436" s="973">
        <f>IFERROR(1/tblConcentrado[[#This Row],[% Recup.]],0)</f>
        <v>1.6121212121212121</v>
      </c>
      <c r="AA436" s="975" t="str">
        <f>IF(COUNTIFS(tblConcentrado[ID],tblConcentrado[[#This Row],[ID]])&gt;1,"Duplicado","")</f>
        <v/>
      </c>
    </row>
    <row r="437" spans="2:27">
      <c r="B437" s="976">
        <f>(YEAR(tblConcentrado[[#This Row],[Fecha]])*10000+MONTH(tblConcentrado[[#This Row],[Fecha]])*100+DAY(tblConcentrado[[#This Row],[Fecha]]))*100+tblConcentrado[[#This Row],[N° hora]]</f>
        <v>2026091911</v>
      </c>
      <c r="C437" s="871">
        <v>46284</v>
      </c>
      <c r="D437">
        <v>11</v>
      </c>
      <c r="E437" s="952">
        <v>0.79166666666666696</v>
      </c>
      <c r="F437" s="256">
        <v>1311</v>
      </c>
      <c r="G437" s="256">
        <v>818</v>
      </c>
      <c r="H437" s="970">
        <v>0.182</v>
      </c>
      <c r="I437" s="970">
        <v>0.58299999999999996</v>
      </c>
      <c r="J437" s="970">
        <v>0.34</v>
      </c>
      <c r="K437" s="970">
        <v>0.73899999999999999</v>
      </c>
      <c r="L437" s="970">
        <v>0.44</v>
      </c>
      <c r="M437" s="971">
        <v>30.1</v>
      </c>
      <c r="N437" s="971">
        <v>17.600000000000001</v>
      </c>
      <c r="O437" s="971">
        <v>3.2</v>
      </c>
      <c r="P437" s="971">
        <v>2.6</v>
      </c>
      <c r="Q437" s="971">
        <v>8.1</v>
      </c>
      <c r="R437" t="s">
        <v>9258</v>
      </c>
      <c r="S437" t="s">
        <v>226</v>
      </c>
      <c r="U437" t="s">
        <v>9333</v>
      </c>
      <c r="V437" s="871">
        <v>46293</v>
      </c>
      <c r="W43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22.6</v>
      </c>
      <c r="X43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2.8400000000000003</v>
      </c>
      <c r="Y437" s="974">
        <f>IFERROR(tblConcentrado[[#This Row],[Concentrado (TMS)]]/tblConcentrado[[#This Row],[Mineral (TMS)]],"")</f>
        <v>0.62395118230358504</v>
      </c>
      <c r="Z437" s="973">
        <f>IFERROR(1/tblConcentrado[[#This Row],[% Recup.]],0)</f>
        <v>1.6026894865525672</v>
      </c>
      <c r="AA437" s="975" t="str">
        <f>IF(COUNTIFS(tblConcentrado[ID],tblConcentrado[[#This Row],[ID]])&gt;1,"Duplicado","")</f>
        <v/>
      </c>
    </row>
    <row r="438" spans="2:27">
      <c r="B438" s="976">
        <f>(YEAR(tblConcentrado[[#This Row],[Fecha]])*10000+MONTH(tblConcentrado[[#This Row],[Fecha]])*100+DAY(tblConcentrado[[#This Row],[Fecha]]))*100+tblConcentrado[[#This Row],[N° hora]]</f>
        <v>2026091912</v>
      </c>
      <c r="C438" s="871">
        <v>46284</v>
      </c>
      <c r="D438">
        <v>12</v>
      </c>
      <c r="E438" s="952">
        <v>0.83333333333333304</v>
      </c>
      <c r="F438" s="256">
        <v>1255</v>
      </c>
      <c r="G438" s="256">
        <v>622</v>
      </c>
      <c r="H438" s="970"/>
      <c r="I438" s="970"/>
      <c r="J438" s="970"/>
      <c r="K438" s="970"/>
      <c r="L438" s="970"/>
      <c r="M438" s="971"/>
      <c r="N438" s="971"/>
      <c r="O438" s="971"/>
      <c r="P438" s="971"/>
      <c r="Q438" s="971"/>
      <c r="R438" t="s">
        <v>9258</v>
      </c>
      <c r="S438" t="s">
        <v>227</v>
      </c>
      <c r="U438" t="s">
        <v>9333</v>
      </c>
      <c r="V438" s="871">
        <v>46293</v>
      </c>
      <c r="W43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3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38" s="974">
        <f>IFERROR(tblConcentrado[[#This Row],[Concentrado (TMS)]]/tblConcentrado[[#This Row],[Mineral (TMS)]],"")</f>
        <v>0.49561752988047808</v>
      </c>
      <c r="Z438" s="973">
        <f>IFERROR(1/tblConcentrado[[#This Row],[% Recup.]],0)</f>
        <v>2.017684887459807</v>
      </c>
      <c r="AA438" s="975" t="str">
        <f>IF(COUNTIFS(tblConcentrado[ID],tblConcentrado[[#This Row],[ID]])&gt;1,"Duplicado","")</f>
        <v/>
      </c>
    </row>
    <row r="439" spans="2:27">
      <c r="B439" s="976">
        <f>(YEAR(tblConcentrado[[#This Row],[Fecha]])*10000+MONTH(tblConcentrado[[#This Row],[Fecha]])*100+DAY(tblConcentrado[[#This Row],[Fecha]]))*100+tblConcentrado[[#This Row],[N° hora]]</f>
        <v>2026091913</v>
      </c>
      <c r="C439" s="871">
        <v>46284</v>
      </c>
      <c r="D439">
        <v>13</v>
      </c>
      <c r="E439" s="952">
        <v>0.875</v>
      </c>
      <c r="F439" s="256">
        <v>1214</v>
      </c>
      <c r="G439" s="256">
        <v>920</v>
      </c>
      <c r="H439" s="970">
        <v>0.185</v>
      </c>
      <c r="I439" s="970">
        <v>0.60099999999999998</v>
      </c>
      <c r="J439" s="970">
        <v>0.37</v>
      </c>
      <c r="K439" s="970">
        <v>0.73699999999999999</v>
      </c>
      <c r="L439" s="970">
        <v>0.43</v>
      </c>
      <c r="M439" s="971">
        <v>27.2</v>
      </c>
      <c r="N439" s="971">
        <v>14</v>
      </c>
      <c r="O439" s="971">
        <v>2.4</v>
      </c>
      <c r="P439" s="971">
        <v>2</v>
      </c>
      <c r="Q439" s="971">
        <v>8.1999999999999993</v>
      </c>
      <c r="R439" t="s">
        <v>9258</v>
      </c>
      <c r="U439" t="s">
        <v>9333</v>
      </c>
      <c r="V439" s="871">
        <v>46293</v>
      </c>
      <c r="W43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19.28</v>
      </c>
      <c r="X43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2.16</v>
      </c>
      <c r="Y439" s="974">
        <f>IFERROR(tblConcentrado[[#This Row],[Concentrado (TMS)]]/tblConcentrado[[#This Row],[Mineral (TMS)]],"")</f>
        <v>0.75782537067545308</v>
      </c>
      <c r="Z439" s="973">
        <f>IFERROR(1/tblConcentrado[[#This Row],[% Recup.]],0)</f>
        <v>1.3195652173913044</v>
      </c>
      <c r="AA439" s="975" t="str">
        <f>IF(COUNTIFS(tblConcentrado[ID],tblConcentrado[[#This Row],[ID]])&gt;1,"Duplicado","")</f>
        <v/>
      </c>
    </row>
    <row r="440" spans="2:27">
      <c r="B440" s="976">
        <f>(YEAR(tblConcentrado[[#This Row],[Fecha]])*10000+MONTH(tblConcentrado[[#This Row],[Fecha]])*100+DAY(tblConcentrado[[#This Row],[Fecha]]))*100+tblConcentrado[[#This Row],[N° hora]]</f>
        <v>2026091914</v>
      </c>
      <c r="C440" s="871">
        <v>46284</v>
      </c>
      <c r="D440">
        <v>14</v>
      </c>
      <c r="E440" s="952">
        <v>0.91666666666666696</v>
      </c>
      <c r="F440" s="256">
        <v>1304</v>
      </c>
      <c r="G440" s="256">
        <v>663</v>
      </c>
      <c r="H440" s="970"/>
      <c r="I440" s="970"/>
      <c r="J440" s="970"/>
      <c r="K440" s="970"/>
      <c r="L440" s="970"/>
      <c r="M440" s="971"/>
      <c r="N440" s="971"/>
      <c r="O440" s="971"/>
      <c r="P440" s="971"/>
      <c r="Q440" s="971"/>
      <c r="R440" t="s">
        <v>9258</v>
      </c>
      <c r="S440" t="s">
        <v>228</v>
      </c>
      <c r="U440" t="s">
        <v>9333</v>
      </c>
      <c r="V440" s="871">
        <v>46293</v>
      </c>
      <c r="W44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4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40" s="974">
        <f>IFERROR(tblConcentrado[[#This Row],[Concentrado (TMS)]]/tblConcentrado[[#This Row],[Mineral (TMS)]],"")</f>
        <v>0.5084355828220859</v>
      </c>
      <c r="Z440" s="973">
        <f>IFERROR(1/tblConcentrado[[#This Row],[% Recup.]],0)</f>
        <v>1.9668174962292608</v>
      </c>
      <c r="AA440" s="975" t="str">
        <f>IF(COUNTIFS(tblConcentrado[ID],tblConcentrado[[#This Row],[ID]])&gt;1,"Duplicado","")</f>
        <v/>
      </c>
    </row>
    <row r="441" spans="2:27">
      <c r="B441" s="976">
        <f>(YEAR(tblConcentrado[[#This Row],[Fecha]])*10000+MONTH(tblConcentrado[[#This Row],[Fecha]])*100+DAY(tblConcentrado[[#This Row],[Fecha]]))*100+tblConcentrado[[#This Row],[N° hora]]</f>
        <v>2026091915</v>
      </c>
      <c r="C441" s="871">
        <v>46284</v>
      </c>
      <c r="D441">
        <v>15</v>
      </c>
      <c r="E441" s="952">
        <v>0.95833333333333304</v>
      </c>
      <c r="F441" s="256">
        <v>1356</v>
      </c>
      <c r="G441" s="256">
        <v>882</v>
      </c>
      <c r="H441" s="970">
        <v>0.20599999999999999</v>
      </c>
      <c r="I441" s="970">
        <v>0.61299999999999999</v>
      </c>
      <c r="J441" s="970">
        <v>0.4</v>
      </c>
      <c r="K441" s="970">
        <v>0.71699999999999997</v>
      </c>
      <c r="L441" s="970">
        <v>0.41</v>
      </c>
      <c r="M441" s="971">
        <v>27</v>
      </c>
      <c r="N441" s="971">
        <v>13</v>
      </c>
      <c r="O441" s="971">
        <v>2.7</v>
      </c>
      <c r="P441" s="971">
        <v>1.8</v>
      </c>
      <c r="Q441" s="971">
        <v>8.1</v>
      </c>
      <c r="R441" t="s">
        <v>9258</v>
      </c>
      <c r="S441" t="s">
        <v>229</v>
      </c>
      <c r="U441" t="s">
        <v>9333</v>
      </c>
      <c r="V441" s="871">
        <v>46293</v>
      </c>
      <c r="W44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18.600000000000001</v>
      </c>
      <c r="X44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2.16</v>
      </c>
      <c r="Y441" s="974">
        <f>IFERROR(tblConcentrado[[#This Row],[Concentrado (TMS)]]/tblConcentrado[[#This Row],[Mineral (TMS)]],"")</f>
        <v>0.65044247787610621</v>
      </c>
      <c r="Z441" s="973">
        <f>IFERROR(1/tblConcentrado[[#This Row],[% Recup.]],0)</f>
        <v>1.5374149659863945</v>
      </c>
      <c r="AA441" s="975" t="str">
        <f>IF(COUNTIFS(tblConcentrado[ID],tblConcentrado[[#This Row],[ID]])&gt;1,"Duplicado","")</f>
        <v/>
      </c>
    </row>
    <row r="442" spans="2:27">
      <c r="B442" s="976">
        <f>(YEAR(tblConcentrado[[#This Row],[Fecha]])*10000+MONTH(tblConcentrado[[#This Row],[Fecha]])*100+DAY(tblConcentrado[[#This Row],[Fecha]]))*100+tblConcentrado[[#This Row],[N° hora]]</f>
        <v>2026091916</v>
      </c>
      <c r="C442" s="871">
        <v>46284</v>
      </c>
      <c r="D442">
        <v>16</v>
      </c>
      <c r="E442" s="952">
        <v>0</v>
      </c>
      <c r="F442" s="256">
        <v>1283</v>
      </c>
      <c r="G442" s="256">
        <v>656</v>
      </c>
      <c r="H442" s="970"/>
      <c r="I442" s="970"/>
      <c r="J442" s="970"/>
      <c r="K442" s="970"/>
      <c r="L442" s="970"/>
      <c r="M442" s="971"/>
      <c r="N442" s="971"/>
      <c r="O442" s="971"/>
      <c r="P442" s="971"/>
      <c r="Q442" s="971"/>
      <c r="R442" t="s">
        <v>9258</v>
      </c>
      <c r="U442" t="s">
        <v>9333</v>
      </c>
      <c r="V442" s="871">
        <v>46293</v>
      </c>
      <c r="W44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4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42" s="974">
        <f>IFERROR(tblConcentrado[[#This Row],[Concentrado (TMS)]]/tblConcentrado[[#This Row],[Mineral (TMS)]],"")</f>
        <v>0.51130163678877627</v>
      </c>
      <c r="Z442" s="973">
        <f>IFERROR(1/tblConcentrado[[#This Row],[% Recup.]],0)</f>
        <v>1.9557926829268295</v>
      </c>
      <c r="AA442" s="975" t="str">
        <f>IF(COUNTIFS(tblConcentrado[ID],tblConcentrado[[#This Row],[ID]])&gt;1,"Duplicado","")</f>
        <v/>
      </c>
    </row>
    <row r="443" spans="2:27">
      <c r="B443" s="976">
        <f>(YEAR(tblConcentrado[[#This Row],[Fecha]])*10000+MONTH(tblConcentrado[[#This Row],[Fecha]])*100+DAY(tblConcentrado[[#This Row],[Fecha]]))*100+tblConcentrado[[#This Row],[N° hora]]</f>
        <v>2026091917</v>
      </c>
      <c r="C443" s="871">
        <v>46284</v>
      </c>
      <c r="D443">
        <v>17</v>
      </c>
      <c r="E443" s="952">
        <v>4.1666666666666699E-2</v>
      </c>
      <c r="F443" s="256">
        <v>1365</v>
      </c>
      <c r="G443" s="256">
        <v>1026</v>
      </c>
      <c r="H443" s="970">
        <v>0.20399999999999999</v>
      </c>
      <c r="I443" s="970">
        <v>0.67200000000000004</v>
      </c>
      <c r="J443" s="970">
        <v>0.4</v>
      </c>
      <c r="K443" s="970">
        <v>0.65900000000000003</v>
      </c>
      <c r="L443" s="970">
        <v>0.39</v>
      </c>
      <c r="M443" s="971">
        <v>24.6</v>
      </c>
      <c r="N443" s="971">
        <v>14.2</v>
      </c>
      <c r="O443" s="971">
        <v>2.5</v>
      </c>
      <c r="P443" s="971">
        <v>1.7</v>
      </c>
      <c r="Q443" s="971">
        <v>8.1999999999999993</v>
      </c>
      <c r="R443" t="s">
        <v>9258</v>
      </c>
      <c r="U443" t="s">
        <v>9333</v>
      </c>
      <c r="V443" s="871">
        <v>46293</v>
      </c>
      <c r="W44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18.36</v>
      </c>
      <c r="X44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2.02</v>
      </c>
      <c r="Y443" s="974">
        <f>IFERROR(tblConcentrado[[#This Row],[Concentrado (TMS)]]/tblConcentrado[[#This Row],[Mineral (TMS)]],"")</f>
        <v>0.75164835164835164</v>
      </c>
      <c r="Z443" s="973">
        <f>IFERROR(1/tblConcentrado[[#This Row],[% Recup.]],0)</f>
        <v>1.3304093567251463</v>
      </c>
      <c r="AA443" s="975" t="str">
        <f>IF(COUNTIFS(tblConcentrado[ID],tblConcentrado[[#This Row],[ID]])&gt;1,"Duplicado","")</f>
        <v/>
      </c>
    </row>
    <row r="444" spans="2:27">
      <c r="B444" s="976">
        <f>(YEAR(tblConcentrado[[#This Row],[Fecha]])*10000+MONTH(tblConcentrado[[#This Row],[Fecha]])*100+DAY(tblConcentrado[[#This Row],[Fecha]]))*100+tblConcentrado[[#This Row],[N° hora]]</f>
        <v>2026091918</v>
      </c>
      <c r="C444" s="871">
        <v>46284</v>
      </c>
      <c r="D444">
        <v>18</v>
      </c>
      <c r="E444" s="952">
        <v>8.3333333333333301E-2</v>
      </c>
      <c r="F444" s="256">
        <v>1341</v>
      </c>
      <c r="G444" s="256">
        <v>837</v>
      </c>
      <c r="H444" s="970"/>
      <c r="I444" s="970"/>
      <c r="J444" s="970"/>
      <c r="K444" s="970"/>
      <c r="L444" s="970"/>
      <c r="M444" s="971"/>
      <c r="N444" s="971"/>
      <c r="O444" s="971"/>
      <c r="P444" s="971"/>
      <c r="Q444" s="971"/>
      <c r="R444" t="s">
        <v>9258</v>
      </c>
      <c r="U444" t="s">
        <v>9333</v>
      </c>
      <c r="V444" s="871">
        <v>46293</v>
      </c>
      <c r="W44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4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44" s="974">
        <f>IFERROR(tblConcentrado[[#This Row],[Concentrado (TMS)]]/tblConcentrado[[#This Row],[Mineral (TMS)]],"")</f>
        <v>0.62416107382550334</v>
      </c>
      <c r="Z444" s="973">
        <f>IFERROR(1/tblConcentrado[[#This Row],[% Recup.]],0)</f>
        <v>1.6021505376344087</v>
      </c>
      <c r="AA444" s="975" t="str">
        <f>IF(COUNTIFS(tblConcentrado[ID],tblConcentrado[[#This Row],[ID]])&gt;1,"Duplicado","")</f>
        <v/>
      </c>
    </row>
    <row r="445" spans="2:27">
      <c r="B445" s="976">
        <f>(YEAR(tblConcentrado[[#This Row],[Fecha]])*10000+MONTH(tblConcentrado[[#This Row],[Fecha]])*100+DAY(tblConcentrado[[#This Row],[Fecha]]))*100+tblConcentrado[[#This Row],[N° hora]]</f>
        <v>2026091919</v>
      </c>
      <c r="C445" s="871">
        <v>46284</v>
      </c>
      <c r="D445">
        <v>19</v>
      </c>
      <c r="E445" s="952">
        <v>0.125</v>
      </c>
      <c r="F445" s="256">
        <v>1353</v>
      </c>
      <c r="G445" s="256">
        <v>784</v>
      </c>
      <c r="H445" s="970">
        <v>0.223</v>
      </c>
      <c r="I445" s="970">
        <v>0.625</v>
      </c>
      <c r="J445" s="970">
        <v>0.38</v>
      </c>
      <c r="K445" s="970">
        <v>0.60699999999999998</v>
      </c>
      <c r="L445" s="970">
        <v>0.37</v>
      </c>
      <c r="M445" s="971">
        <v>26</v>
      </c>
      <c r="N445" s="971">
        <v>14.2</v>
      </c>
      <c r="O445" s="971">
        <v>2.7</v>
      </c>
      <c r="P445" s="971">
        <v>2.2000000000000002</v>
      </c>
      <c r="Q445" s="971">
        <v>8.3000000000000007</v>
      </c>
      <c r="R445" t="s">
        <v>9258</v>
      </c>
      <c r="U445" t="s">
        <v>9333</v>
      </c>
      <c r="V445" s="871">
        <v>46293</v>
      </c>
      <c r="W44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18.920000000000002</v>
      </c>
      <c r="X44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2.4000000000000004</v>
      </c>
      <c r="Y445" s="974">
        <f>IFERROR(tblConcentrado[[#This Row],[Concentrado (TMS)]]/tblConcentrado[[#This Row],[Mineral (TMS)]],"")</f>
        <v>0.57945306725794532</v>
      </c>
      <c r="Z445" s="973">
        <f>IFERROR(1/tblConcentrado[[#This Row],[% Recup.]],0)</f>
        <v>1.7257653061224489</v>
      </c>
      <c r="AA445" s="975" t="str">
        <f>IF(COUNTIFS(tblConcentrado[ID],tblConcentrado[[#This Row],[ID]])&gt;1,"Duplicado","")</f>
        <v/>
      </c>
    </row>
    <row r="446" spans="2:27">
      <c r="B446" s="976">
        <f>(YEAR(tblConcentrado[[#This Row],[Fecha]])*10000+MONTH(tblConcentrado[[#This Row],[Fecha]])*100+DAY(tblConcentrado[[#This Row],[Fecha]]))*100+tblConcentrado[[#This Row],[N° hora]]</f>
        <v>2026091920</v>
      </c>
      <c r="C446" s="871">
        <v>46284</v>
      </c>
      <c r="D446">
        <v>20</v>
      </c>
      <c r="E446" s="952">
        <v>0.16666666666666699</v>
      </c>
      <c r="F446" s="256">
        <v>1375</v>
      </c>
      <c r="G446" s="256">
        <v>948</v>
      </c>
      <c r="H446" s="970"/>
      <c r="I446" s="970"/>
      <c r="J446" s="970"/>
      <c r="K446" s="970"/>
      <c r="L446" s="970"/>
      <c r="M446" s="971"/>
      <c r="N446" s="971"/>
      <c r="O446" s="971"/>
      <c r="P446" s="971"/>
      <c r="Q446" s="971"/>
      <c r="R446" t="s">
        <v>9258</v>
      </c>
      <c r="U446" t="s">
        <v>9333</v>
      </c>
      <c r="V446" s="871">
        <v>46293</v>
      </c>
      <c r="W44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4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46" s="974">
        <f>IFERROR(tblConcentrado[[#This Row],[Concentrado (TMS)]]/tblConcentrado[[#This Row],[Mineral (TMS)]],"")</f>
        <v>0.68945454545454543</v>
      </c>
      <c r="Z446" s="973">
        <f>IFERROR(1/tblConcentrado[[#This Row],[% Recup.]],0)</f>
        <v>1.4504219409282701</v>
      </c>
      <c r="AA446" s="975" t="str">
        <f>IF(COUNTIFS(tblConcentrado[ID],tblConcentrado[[#This Row],[ID]])&gt;1,"Duplicado","")</f>
        <v/>
      </c>
    </row>
    <row r="447" spans="2:27">
      <c r="B447" s="976">
        <f>(YEAR(tblConcentrado[[#This Row],[Fecha]])*10000+MONTH(tblConcentrado[[#This Row],[Fecha]])*100+DAY(tblConcentrado[[#This Row],[Fecha]]))*100+tblConcentrado[[#This Row],[N° hora]]</f>
        <v>2026091921</v>
      </c>
      <c r="C447" s="871">
        <v>46284</v>
      </c>
      <c r="D447">
        <v>21</v>
      </c>
      <c r="E447" s="952">
        <v>0.20833333333333301</v>
      </c>
      <c r="F447" s="256">
        <v>1365</v>
      </c>
      <c r="G447" s="256">
        <v>830</v>
      </c>
      <c r="H447" s="970">
        <v>0.21</v>
      </c>
      <c r="I447" s="970">
        <v>0.625</v>
      </c>
      <c r="J447" s="970">
        <v>0.38</v>
      </c>
      <c r="K447" s="970">
        <v>0.63800000000000001</v>
      </c>
      <c r="L447" s="970">
        <v>0.38</v>
      </c>
      <c r="M447" s="971">
        <v>24.8</v>
      </c>
      <c r="N447" s="971">
        <v>15.1</v>
      </c>
      <c r="O447" s="971">
        <v>2.9</v>
      </c>
      <c r="P447" s="971">
        <v>2.2000000000000002</v>
      </c>
      <c r="Q447" s="971">
        <v>8.1</v>
      </c>
      <c r="R447" t="s">
        <v>9258</v>
      </c>
      <c r="U447" t="s">
        <v>9333</v>
      </c>
      <c r="V447" s="871">
        <v>46293</v>
      </c>
      <c r="W44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18.98</v>
      </c>
      <c r="X44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2.48</v>
      </c>
      <c r="Y447" s="974">
        <f>IFERROR(tblConcentrado[[#This Row],[Concentrado (TMS)]]/tblConcentrado[[#This Row],[Mineral (TMS)]],"")</f>
        <v>0.60805860805860801</v>
      </c>
      <c r="Z447" s="973">
        <f>IFERROR(1/tblConcentrado[[#This Row],[% Recup.]],0)</f>
        <v>1.6445783132530123</v>
      </c>
      <c r="AA447" s="975" t="str">
        <f>IF(COUNTIFS(tblConcentrado[ID],tblConcentrado[[#This Row],[ID]])&gt;1,"Duplicado","")</f>
        <v/>
      </c>
    </row>
    <row r="448" spans="2:27">
      <c r="B448" s="976">
        <f>(YEAR(tblConcentrado[[#This Row],[Fecha]])*10000+MONTH(tblConcentrado[[#This Row],[Fecha]])*100+DAY(tblConcentrado[[#This Row],[Fecha]]))*100+tblConcentrado[[#This Row],[N° hora]]</f>
        <v>2026091922</v>
      </c>
      <c r="C448" s="871">
        <v>46284</v>
      </c>
      <c r="D448">
        <v>22</v>
      </c>
      <c r="E448" s="952">
        <v>0.25</v>
      </c>
      <c r="F448" s="256">
        <v>1350</v>
      </c>
      <c r="G448" s="256">
        <v>844</v>
      </c>
      <c r="H448" s="970"/>
      <c r="I448" s="970"/>
      <c r="J448" s="970"/>
      <c r="K448" s="970"/>
      <c r="L448" s="970"/>
      <c r="M448" s="971"/>
      <c r="N448" s="971"/>
      <c r="O448" s="971"/>
      <c r="P448" s="971"/>
      <c r="Q448" s="971"/>
      <c r="R448" t="s">
        <v>9258</v>
      </c>
      <c r="U448" t="s">
        <v>9333</v>
      </c>
      <c r="V448" s="871">
        <v>46293</v>
      </c>
      <c r="W44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4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48" s="974">
        <f>IFERROR(tblConcentrado[[#This Row],[Concentrado (TMS)]]/tblConcentrado[[#This Row],[Mineral (TMS)]],"")</f>
        <v>0.62518518518518518</v>
      </c>
      <c r="Z448" s="973">
        <f>IFERROR(1/tblConcentrado[[#This Row],[% Recup.]],0)</f>
        <v>1.5995260663507109</v>
      </c>
      <c r="AA448" s="975" t="str">
        <f>IF(COUNTIFS(tblConcentrado[ID],tblConcentrado[[#This Row],[ID]])&gt;1,"Duplicado","")</f>
        <v/>
      </c>
    </row>
    <row r="449" spans="2:27">
      <c r="B449" s="976">
        <f>(YEAR(tblConcentrado[[#This Row],[Fecha]])*10000+MONTH(tblConcentrado[[#This Row],[Fecha]])*100+DAY(tblConcentrado[[#This Row],[Fecha]]))*100+tblConcentrado[[#This Row],[N° hora]]</f>
        <v>2026091923</v>
      </c>
      <c r="C449" s="871">
        <v>46284</v>
      </c>
      <c r="D449">
        <v>23</v>
      </c>
      <c r="E449" s="952">
        <v>0.29166666666666702</v>
      </c>
      <c r="F449" s="256">
        <v>1349</v>
      </c>
      <c r="G449" s="256">
        <v>797</v>
      </c>
      <c r="H449" s="970">
        <v>0.187</v>
      </c>
      <c r="I449" s="970">
        <v>0.57399999999999995</v>
      </c>
      <c r="J449" s="970">
        <v>0.34</v>
      </c>
      <c r="K449" s="970">
        <v>0.64400000000000002</v>
      </c>
      <c r="L449" s="970">
        <v>0.38</v>
      </c>
      <c r="M449" s="971">
        <v>26.4</v>
      </c>
      <c r="N449" s="971">
        <v>15</v>
      </c>
      <c r="O449" s="971">
        <v>2.6</v>
      </c>
      <c r="P449" s="971">
        <v>2.2999999999999998</v>
      </c>
      <c r="Q449" s="971">
        <v>8.3000000000000007</v>
      </c>
      <c r="R449" t="s">
        <v>9258</v>
      </c>
      <c r="U449" t="s">
        <v>9333</v>
      </c>
      <c r="V449" s="871">
        <v>46293</v>
      </c>
      <c r="W44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19.560000000000002</v>
      </c>
      <c r="X44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2.42</v>
      </c>
      <c r="Y449" s="974">
        <f>IFERROR(tblConcentrado[[#This Row],[Concentrado (TMS)]]/tblConcentrado[[#This Row],[Mineral (TMS)]],"")</f>
        <v>0.59080800593031879</v>
      </c>
      <c r="Z449" s="973">
        <f>IFERROR(1/tblConcentrado[[#This Row],[% Recup.]],0)</f>
        <v>1.6925972396486824</v>
      </c>
      <c r="AA449" s="975" t="str">
        <f>IF(COUNTIFS(tblConcentrado[ID],tblConcentrado[[#This Row],[ID]])&gt;1,"Duplicado","")</f>
        <v/>
      </c>
    </row>
    <row r="450" spans="2:27">
      <c r="B450" s="976">
        <f>(YEAR(tblConcentrado[[#This Row],[Fecha]])*10000+MONTH(tblConcentrado[[#This Row],[Fecha]])*100+DAY(tblConcentrado[[#This Row],[Fecha]]))*100+tblConcentrado[[#This Row],[N° hora]]</f>
        <v>2026091924</v>
      </c>
      <c r="C450" s="871">
        <v>46284</v>
      </c>
      <c r="D450">
        <v>24</v>
      </c>
      <c r="E450" s="952">
        <v>0.33333333333333298</v>
      </c>
      <c r="F450" s="256">
        <v>1288</v>
      </c>
      <c r="G450" s="256">
        <v>777</v>
      </c>
      <c r="H450" s="970"/>
      <c r="I450" s="970"/>
      <c r="J450" s="970"/>
      <c r="K450" s="970"/>
      <c r="L450" s="970"/>
      <c r="M450" s="971"/>
      <c r="N450" s="971"/>
      <c r="O450" s="971"/>
      <c r="P450" s="971"/>
      <c r="Q450" s="971"/>
      <c r="R450" t="s">
        <v>9258</v>
      </c>
      <c r="U450" t="s">
        <v>9333</v>
      </c>
      <c r="V450" s="871">
        <v>46293</v>
      </c>
      <c r="W45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5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50" s="974">
        <f>IFERROR(tblConcentrado[[#This Row],[Concentrado (TMS)]]/tblConcentrado[[#This Row],[Mineral (TMS)]],"")</f>
        <v>0.60326086956521741</v>
      </c>
      <c r="Z450" s="973">
        <f>IFERROR(1/tblConcentrado[[#This Row],[% Recup.]],0)</f>
        <v>1.6576576576576576</v>
      </c>
      <c r="AA450" s="975" t="str">
        <f>IF(COUNTIFS(tblConcentrado[ID],tblConcentrado[[#This Row],[ID]])&gt;1,"Duplicado","")</f>
        <v/>
      </c>
    </row>
    <row r="451" spans="2:27">
      <c r="B451" s="976">
        <f>(YEAR(tblConcentrado[[#This Row],[Fecha]])*10000+MONTH(tblConcentrado[[#This Row],[Fecha]])*100+DAY(tblConcentrado[[#This Row],[Fecha]]))*100+tblConcentrado[[#This Row],[N° hora]]</f>
        <v>2026092001</v>
      </c>
      <c r="C451" s="871">
        <v>46285</v>
      </c>
      <c r="D451">
        <v>1</v>
      </c>
      <c r="E451" s="952">
        <v>0.375</v>
      </c>
      <c r="F451" s="256">
        <v>1301</v>
      </c>
      <c r="G451" s="256">
        <v>980</v>
      </c>
      <c r="H451" s="970">
        <v>0.19</v>
      </c>
      <c r="I451" s="970">
        <v>0.65700000000000003</v>
      </c>
      <c r="J451" s="970">
        <v>0.4</v>
      </c>
      <c r="K451" s="970">
        <v>0.85199999999999998</v>
      </c>
      <c r="L451" s="970">
        <v>0.49</v>
      </c>
      <c r="M451" s="971">
        <v>23.3</v>
      </c>
      <c r="N451" s="971">
        <v>16.3</v>
      </c>
      <c r="O451" s="971">
        <v>2.5</v>
      </c>
      <c r="P451" s="971">
        <v>2</v>
      </c>
      <c r="Q451" s="971">
        <v>8.1999999999999993</v>
      </c>
      <c r="R451" t="s">
        <v>9258</v>
      </c>
      <c r="S451" t="s">
        <v>230</v>
      </c>
      <c r="U451" t="s">
        <v>9333</v>
      </c>
      <c r="V451" s="871">
        <v>46293</v>
      </c>
      <c r="W45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19.100000000000001</v>
      </c>
      <c r="X45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2.2000000000000002</v>
      </c>
      <c r="Y451" s="974">
        <f>IFERROR(tblConcentrado[[#This Row],[Concentrado (TMS)]]/tblConcentrado[[#This Row],[Mineral (TMS)]],"")</f>
        <v>0.75326671790930055</v>
      </c>
      <c r="Z451" s="973">
        <f>IFERROR(1/tblConcentrado[[#This Row],[% Recup.]],0)</f>
        <v>1.3275510204081633</v>
      </c>
      <c r="AA451" s="975" t="str">
        <f>IF(COUNTIFS(tblConcentrado[ID],tblConcentrado[[#This Row],[ID]])&gt;1,"Duplicado","")</f>
        <v/>
      </c>
    </row>
    <row r="452" spans="2:27">
      <c r="B452" s="976">
        <f>(YEAR(tblConcentrado[[#This Row],[Fecha]])*10000+MONTH(tblConcentrado[[#This Row],[Fecha]])*100+DAY(tblConcentrado[[#This Row],[Fecha]]))*100+tblConcentrado[[#This Row],[N° hora]]</f>
        <v>2026092002</v>
      </c>
      <c r="C452" s="871">
        <v>46285</v>
      </c>
      <c r="D452">
        <v>2</v>
      </c>
      <c r="E452" s="952">
        <v>0.41666666666666702</v>
      </c>
      <c r="F452" s="256">
        <v>1286</v>
      </c>
      <c r="G452" s="256">
        <v>924</v>
      </c>
      <c r="H452" s="970"/>
      <c r="I452" s="970"/>
      <c r="J452" s="970"/>
      <c r="K452" s="970"/>
      <c r="L452" s="970"/>
      <c r="M452" s="971"/>
      <c r="N452" s="971"/>
      <c r="O452" s="971"/>
      <c r="P452" s="971"/>
      <c r="Q452" s="971"/>
      <c r="R452" t="s">
        <v>9258</v>
      </c>
      <c r="S452" t="s">
        <v>231</v>
      </c>
      <c r="U452" t="s">
        <v>9333</v>
      </c>
      <c r="V452" s="871">
        <v>46293</v>
      </c>
      <c r="W45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5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52" s="974">
        <f>IFERROR(tblConcentrado[[#This Row],[Concentrado (TMS)]]/tblConcentrado[[#This Row],[Mineral (TMS)]],"")</f>
        <v>0.71850699844479005</v>
      </c>
      <c r="Z452" s="973">
        <f>IFERROR(1/tblConcentrado[[#This Row],[% Recup.]],0)</f>
        <v>1.3917748917748918</v>
      </c>
      <c r="AA452" s="975" t="str">
        <f>IF(COUNTIFS(tblConcentrado[ID],tblConcentrado[[#This Row],[ID]])&gt;1,"Duplicado","")</f>
        <v/>
      </c>
    </row>
    <row r="453" spans="2:27">
      <c r="B453" s="976">
        <f>(YEAR(tblConcentrado[[#This Row],[Fecha]])*10000+MONTH(tblConcentrado[[#This Row],[Fecha]])*100+DAY(tblConcentrado[[#This Row],[Fecha]]))*100+tblConcentrado[[#This Row],[N° hora]]</f>
        <v>2026092003</v>
      </c>
      <c r="C453" s="871">
        <v>46285</v>
      </c>
      <c r="D453">
        <v>3</v>
      </c>
      <c r="E453" s="952">
        <v>0.45833333333333298</v>
      </c>
      <c r="F453" s="256">
        <v>1308</v>
      </c>
      <c r="G453" s="256">
        <v>659</v>
      </c>
      <c r="H453" s="970">
        <v>0.19500000000000001</v>
      </c>
      <c r="I453" s="970">
        <v>0.82599999999999996</v>
      </c>
      <c r="J453" s="970">
        <v>0.46</v>
      </c>
      <c r="K453" s="970">
        <v>0.83299999999999996</v>
      </c>
      <c r="L453" s="970">
        <v>0.49</v>
      </c>
      <c r="M453" s="971">
        <v>22.6</v>
      </c>
      <c r="N453" s="971">
        <v>15.4</v>
      </c>
      <c r="O453" s="971">
        <v>2.2999999999999998</v>
      </c>
      <c r="P453" s="971">
        <v>2</v>
      </c>
      <c r="Q453" s="971">
        <v>8.1</v>
      </c>
      <c r="R453" t="s">
        <v>9258</v>
      </c>
      <c r="S453" t="s">
        <v>232</v>
      </c>
      <c r="U453" t="s">
        <v>9333</v>
      </c>
      <c r="V453" s="871">
        <v>46293</v>
      </c>
      <c r="W45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18.28</v>
      </c>
      <c r="X45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2.12</v>
      </c>
      <c r="Y453" s="974">
        <f>IFERROR(tblConcentrado[[#This Row],[Concentrado (TMS)]]/tblConcentrado[[#This Row],[Mineral (TMS)]],"")</f>
        <v>0.50382262996941896</v>
      </c>
      <c r="Z453" s="973">
        <f>IFERROR(1/tblConcentrado[[#This Row],[% Recup.]],0)</f>
        <v>1.9848254931714719</v>
      </c>
      <c r="AA453" s="975" t="str">
        <f>IF(COUNTIFS(tblConcentrado[ID],tblConcentrado[[#This Row],[ID]])&gt;1,"Duplicado","")</f>
        <v/>
      </c>
    </row>
    <row r="454" spans="2:27">
      <c r="B454" s="976">
        <f>(YEAR(tblConcentrado[[#This Row],[Fecha]])*10000+MONTH(tblConcentrado[[#This Row],[Fecha]])*100+DAY(tblConcentrado[[#This Row],[Fecha]]))*100+tblConcentrado[[#This Row],[N° hora]]</f>
        <v>2026092004</v>
      </c>
      <c r="C454" s="871">
        <v>46285</v>
      </c>
      <c r="D454">
        <v>4</v>
      </c>
      <c r="E454" s="952">
        <v>0.5</v>
      </c>
      <c r="F454" s="256">
        <v>1245</v>
      </c>
      <c r="G454" s="256">
        <v>749</v>
      </c>
      <c r="H454" s="970"/>
      <c r="I454" s="970"/>
      <c r="J454" s="970"/>
      <c r="K454" s="970"/>
      <c r="L454" s="970"/>
      <c r="M454" s="971"/>
      <c r="N454" s="971"/>
      <c r="O454" s="971"/>
      <c r="P454" s="971"/>
      <c r="Q454" s="971"/>
      <c r="R454" t="s">
        <v>9258</v>
      </c>
      <c r="S454" t="s">
        <v>233</v>
      </c>
      <c r="U454" t="s">
        <v>9333</v>
      </c>
      <c r="V454" s="871">
        <v>46293</v>
      </c>
      <c r="W45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5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54" s="974">
        <f>IFERROR(tblConcentrado[[#This Row],[Concentrado (TMS)]]/tblConcentrado[[#This Row],[Mineral (TMS)]],"")</f>
        <v>0.6016064257028112</v>
      </c>
      <c r="Z454" s="973">
        <f>IFERROR(1/tblConcentrado[[#This Row],[% Recup.]],0)</f>
        <v>1.6622162883845129</v>
      </c>
      <c r="AA454" s="975" t="str">
        <f>IF(COUNTIFS(tblConcentrado[ID],tblConcentrado[[#This Row],[ID]])&gt;1,"Duplicado","")</f>
        <v/>
      </c>
    </row>
    <row r="455" spans="2:27">
      <c r="B455" s="976">
        <f>(YEAR(tblConcentrado[[#This Row],[Fecha]])*10000+MONTH(tblConcentrado[[#This Row],[Fecha]])*100+DAY(tblConcentrado[[#This Row],[Fecha]]))*100+tblConcentrado[[#This Row],[N° hora]]</f>
        <v>2026092005</v>
      </c>
      <c r="C455" s="871">
        <v>46285</v>
      </c>
      <c r="D455">
        <v>5</v>
      </c>
      <c r="E455" s="952">
        <v>0.54166666666666696</v>
      </c>
      <c r="F455" s="256">
        <v>1291</v>
      </c>
      <c r="G455" s="256">
        <v>802</v>
      </c>
      <c r="H455" s="970">
        <v>0.2</v>
      </c>
      <c r="I455" s="970">
        <v>0.59099999999999997</v>
      </c>
      <c r="J455" s="970">
        <v>0.37</v>
      </c>
      <c r="K455" s="970">
        <v>0.625</v>
      </c>
      <c r="L455" s="970">
        <v>0.41</v>
      </c>
      <c r="M455" s="971">
        <v>23.6</v>
      </c>
      <c r="N455" s="971">
        <v>15.2</v>
      </c>
      <c r="O455" s="971">
        <v>2.4</v>
      </c>
      <c r="P455" s="971">
        <v>2.2999999999999998</v>
      </c>
      <c r="Q455" s="971">
        <v>8.1999999999999993</v>
      </c>
      <c r="R455" t="s">
        <v>9258</v>
      </c>
      <c r="S455" t="s">
        <v>234</v>
      </c>
      <c r="U455" t="s">
        <v>9333</v>
      </c>
      <c r="V455" s="871">
        <v>46293</v>
      </c>
      <c r="W45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18.560000000000002</v>
      </c>
      <c r="X45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2.34</v>
      </c>
      <c r="Y455" s="974">
        <f>IFERROR(tblConcentrado[[#This Row],[Concentrado (TMS)]]/tblConcentrado[[#This Row],[Mineral (TMS)]],"")</f>
        <v>0.62122385747482567</v>
      </c>
      <c r="Z455" s="973">
        <f>IFERROR(1/tblConcentrado[[#This Row],[% Recup.]],0)</f>
        <v>1.6097256857855362</v>
      </c>
      <c r="AA455" s="975" t="str">
        <f>IF(COUNTIFS(tblConcentrado[ID],tblConcentrado[[#This Row],[ID]])&gt;1,"Duplicado","")</f>
        <v/>
      </c>
    </row>
    <row r="456" spans="2:27">
      <c r="B456" s="976">
        <f>(YEAR(tblConcentrado[[#This Row],[Fecha]])*10000+MONTH(tblConcentrado[[#This Row],[Fecha]])*100+DAY(tblConcentrado[[#This Row],[Fecha]]))*100+tblConcentrado[[#This Row],[N° hora]]</f>
        <v>2026092006</v>
      </c>
      <c r="C456" s="871">
        <v>46285</v>
      </c>
      <c r="D456">
        <v>6</v>
      </c>
      <c r="E456" s="952">
        <v>0.58333333333333304</v>
      </c>
      <c r="F456" s="256">
        <v>1296</v>
      </c>
      <c r="G456" s="256">
        <v>765</v>
      </c>
      <c r="H456" s="970"/>
      <c r="I456" s="970"/>
      <c r="J456" s="970"/>
      <c r="K456" s="970"/>
      <c r="L456" s="970"/>
      <c r="M456" s="971"/>
      <c r="N456" s="971"/>
      <c r="O456" s="971"/>
      <c r="P456" s="971"/>
      <c r="Q456" s="971"/>
      <c r="R456" t="s">
        <v>9258</v>
      </c>
      <c r="U456" t="s">
        <v>9333</v>
      </c>
      <c r="V456" s="871">
        <v>46293</v>
      </c>
      <c r="W45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5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56" s="974">
        <f>IFERROR(tblConcentrado[[#This Row],[Concentrado (TMS)]]/tblConcentrado[[#This Row],[Mineral (TMS)]],"")</f>
        <v>0.59027777777777779</v>
      </c>
      <c r="Z456" s="973">
        <f>IFERROR(1/tblConcentrado[[#This Row],[% Recup.]],0)</f>
        <v>1.6941176470588235</v>
      </c>
      <c r="AA456" s="975" t="str">
        <f>IF(COUNTIFS(tblConcentrado[ID],tblConcentrado[[#This Row],[ID]])&gt;1,"Duplicado","")</f>
        <v/>
      </c>
    </row>
    <row r="457" spans="2:27">
      <c r="B457" s="976">
        <f>(YEAR(tblConcentrado[[#This Row],[Fecha]])*10000+MONTH(tblConcentrado[[#This Row],[Fecha]])*100+DAY(tblConcentrado[[#This Row],[Fecha]]))*100+tblConcentrado[[#This Row],[N° hora]]</f>
        <v>2026092007</v>
      </c>
      <c r="C457" s="871">
        <v>46285</v>
      </c>
      <c r="D457">
        <v>7</v>
      </c>
      <c r="E457" s="952">
        <v>0.625</v>
      </c>
      <c r="F457" s="256">
        <v>1289</v>
      </c>
      <c r="G457" s="256">
        <v>1038</v>
      </c>
      <c r="H457" s="970">
        <v>0.186</v>
      </c>
      <c r="I457" s="970">
        <v>0.70899999999999996</v>
      </c>
      <c r="J457" s="970">
        <v>0.43</v>
      </c>
      <c r="K457" s="970">
        <v>0.61899999999999999</v>
      </c>
      <c r="L457" s="970">
        <v>0.41</v>
      </c>
      <c r="M457" s="971">
        <v>22.9</v>
      </c>
      <c r="N457" s="971">
        <v>15.7</v>
      </c>
      <c r="O457" s="971">
        <v>2.5</v>
      </c>
      <c r="P457" s="971">
        <v>2.1</v>
      </c>
      <c r="Q457" s="971">
        <v>8.1999999999999993</v>
      </c>
      <c r="R457" t="s">
        <v>9258</v>
      </c>
      <c r="S457" t="s">
        <v>235</v>
      </c>
      <c r="U457" t="s">
        <v>9333</v>
      </c>
      <c r="V457" s="871">
        <v>46293</v>
      </c>
      <c r="W45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18.579999999999998</v>
      </c>
      <c r="X45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2.2599999999999998</v>
      </c>
      <c r="Y457" s="974">
        <f>IFERROR(tblConcentrado[[#This Row],[Concentrado (TMS)]]/tblConcentrado[[#This Row],[Mineral (TMS)]],"")</f>
        <v>0.80527540729247482</v>
      </c>
      <c r="Z457" s="973">
        <f>IFERROR(1/tblConcentrado[[#This Row],[% Recup.]],0)</f>
        <v>1.2418111753371868</v>
      </c>
      <c r="AA457" s="975" t="str">
        <f>IF(COUNTIFS(tblConcentrado[ID],tblConcentrado[[#This Row],[ID]])&gt;1,"Duplicado","")</f>
        <v/>
      </c>
    </row>
    <row r="458" spans="2:27">
      <c r="B458" s="976">
        <f>(YEAR(tblConcentrado[[#This Row],[Fecha]])*10000+MONTH(tblConcentrado[[#This Row],[Fecha]])*100+DAY(tblConcentrado[[#This Row],[Fecha]]))*100+tblConcentrado[[#This Row],[N° hora]]</f>
        <v>2026092008</v>
      </c>
      <c r="C458" s="871">
        <v>46285</v>
      </c>
      <c r="D458">
        <v>8</v>
      </c>
      <c r="E458" s="952">
        <v>0.66666666666666696</v>
      </c>
      <c r="F458" s="256">
        <v>1251</v>
      </c>
      <c r="G458" s="256">
        <v>687</v>
      </c>
      <c r="H458" s="970"/>
      <c r="I458" s="970"/>
      <c r="J458" s="970"/>
      <c r="K458" s="970"/>
      <c r="L458" s="970"/>
      <c r="M458" s="971"/>
      <c r="N458" s="971"/>
      <c r="O458" s="971"/>
      <c r="P458" s="971"/>
      <c r="Q458" s="971"/>
      <c r="R458" t="s">
        <v>9258</v>
      </c>
      <c r="U458" t="s">
        <v>9333</v>
      </c>
      <c r="V458" s="871">
        <v>46293</v>
      </c>
      <c r="W45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5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58" s="974">
        <f>IFERROR(tblConcentrado[[#This Row],[Concentrado (TMS)]]/tblConcentrado[[#This Row],[Mineral (TMS)]],"")</f>
        <v>0.54916067146282976</v>
      </c>
      <c r="Z458" s="973">
        <f>IFERROR(1/tblConcentrado[[#This Row],[% Recup.]],0)</f>
        <v>1.8209606986899562</v>
      </c>
      <c r="AA458" s="975" t="str">
        <f>IF(COUNTIFS(tblConcentrado[ID],tblConcentrado[[#This Row],[ID]])&gt;1,"Duplicado","")</f>
        <v/>
      </c>
    </row>
    <row r="459" spans="2:27">
      <c r="B459" s="976">
        <f>(YEAR(tblConcentrado[[#This Row],[Fecha]])*10000+MONTH(tblConcentrado[[#This Row],[Fecha]])*100+DAY(tblConcentrado[[#This Row],[Fecha]]))*100+tblConcentrado[[#This Row],[N° hora]]</f>
        <v>2026092009</v>
      </c>
      <c r="C459" s="871">
        <v>46285</v>
      </c>
      <c r="D459">
        <v>9</v>
      </c>
      <c r="E459" s="952">
        <v>0.70833333333333304</v>
      </c>
      <c r="F459" s="256">
        <v>1183</v>
      </c>
      <c r="G459" s="256">
        <v>768</v>
      </c>
      <c r="H459" s="970">
        <v>0.183</v>
      </c>
      <c r="I459" s="970">
        <v>0.58099999999999996</v>
      </c>
      <c r="J459" s="970">
        <v>0.37</v>
      </c>
      <c r="K459" s="970">
        <v>0.57099999999999995</v>
      </c>
      <c r="L459" s="970">
        <v>0.38</v>
      </c>
      <c r="M459" s="971">
        <v>23.4</v>
      </c>
      <c r="N459" s="971">
        <v>15.1</v>
      </c>
      <c r="O459" s="971">
        <v>2.4</v>
      </c>
      <c r="P459" s="971">
        <v>2.1</v>
      </c>
      <c r="Q459" s="971">
        <v>8.1</v>
      </c>
      <c r="R459" t="s">
        <v>9258</v>
      </c>
      <c r="S459" t="s">
        <v>236</v>
      </c>
      <c r="U459" t="s">
        <v>9333</v>
      </c>
      <c r="V459" s="871">
        <v>46293</v>
      </c>
      <c r="W45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18.419999999999998</v>
      </c>
      <c r="X45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2.2199999999999998</v>
      </c>
      <c r="Y459" s="974">
        <f>IFERROR(tblConcentrado[[#This Row],[Concentrado (TMS)]]/tblConcentrado[[#This Row],[Mineral (TMS)]],"")</f>
        <v>0.6491969568892646</v>
      </c>
      <c r="Z459" s="973">
        <f>IFERROR(1/tblConcentrado[[#This Row],[% Recup.]],0)</f>
        <v>1.5403645833333333</v>
      </c>
      <c r="AA459" s="975" t="str">
        <f>IF(COUNTIFS(tblConcentrado[ID],tblConcentrado[[#This Row],[ID]])&gt;1,"Duplicado","")</f>
        <v/>
      </c>
    </row>
    <row r="460" spans="2:27">
      <c r="B460" s="976">
        <f>(YEAR(tblConcentrado[[#This Row],[Fecha]])*10000+MONTH(tblConcentrado[[#This Row],[Fecha]])*100+DAY(tblConcentrado[[#This Row],[Fecha]]))*100+tblConcentrado[[#This Row],[N° hora]]</f>
        <v>2026092010</v>
      </c>
      <c r="C460" s="871">
        <v>46285</v>
      </c>
      <c r="D460">
        <v>10</v>
      </c>
      <c r="E460" s="952">
        <v>0.75</v>
      </c>
      <c r="F460" s="256">
        <v>1167</v>
      </c>
      <c r="G460" s="256">
        <v>821</v>
      </c>
      <c r="H460" s="970"/>
      <c r="I460" s="970"/>
      <c r="J460" s="970"/>
      <c r="K460" s="970"/>
      <c r="L460" s="970"/>
      <c r="M460" s="971"/>
      <c r="N460" s="971"/>
      <c r="O460" s="971"/>
      <c r="P460" s="971"/>
      <c r="Q460" s="971"/>
      <c r="R460" t="s">
        <v>9258</v>
      </c>
      <c r="U460" t="s">
        <v>9333</v>
      </c>
      <c r="V460" s="871">
        <v>46293</v>
      </c>
      <c r="W46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6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60" s="974">
        <f>IFERROR(tblConcentrado[[#This Row],[Concentrado (TMS)]]/tblConcentrado[[#This Row],[Mineral (TMS)]],"")</f>
        <v>0.70351328191945162</v>
      </c>
      <c r="Z460" s="973">
        <f>IFERROR(1/tblConcentrado[[#This Row],[% Recup.]],0)</f>
        <v>1.4214372716199757</v>
      </c>
      <c r="AA460" s="975" t="str">
        <f>IF(COUNTIFS(tblConcentrado[ID],tblConcentrado[[#This Row],[ID]])&gt;1,"Duplicado","")</f>
        <v/>
      </c>
    </row>
    <row r="461" spans="2:27">
      <c r="B461" s="976">
        <f>(YEAR(tblConcentrado[[#This Row],[Fecha]])*10000+MONTH(tblConcentrado[[#This Row],[Fecha]])*100+DAY(tblConcentrado[[#This Row],[Fecha]]))*100+tblConcentrado[[#This Row],[N° hora]]</f>
        <v>2026092011</v>
      </c>
      <c r="C461" s="871">
        <v>46285</v>
      </c>
      <c r="D461">
        <v>11</v>
      </c>
      <c r="E461" s="952">
        <v>0.79166666666666696</v>
      </c>
      <c r="F461" s="256">
        <v>1298</v>
      </c>
      <c r="G461" s="256">
        <v>576</v>
      </c>
      <c r="H461" s="970">
        <v>0.16400000000000001</v>
      </c>
      <c r="I461" s="970">
        <v>0.54200000000000004</v>
      </c>
      <c r="J461" s="970">
        <v>0.37</v>
      </c>
      <c r="K461" s="970">
        <v>0.57199999999999995</v>
      </c>
      <c r="L461" s="970">
        <v>0.38</v>
      </c>
      <c r="M461" s="971">
        <v>25.9</v>
      </c>
      <c r="N461" s="971">
        <v>16.600000000000001</v>
      </c>
      <c r="O461" s="971">
        <v>2.7</v>
      </c>
      <c r="P461" s="971">
        <v>2.5</v>
      </c>
      <c r="Q461" s="971">
        <v>8.6999999999999993</v>
      </c>
      <c r="R461" t="s">
        <v>9258</v>
      </c>
      <c r="U461" t="s">
        <v>9333</v>
      </c>
      <c r="V461" s="871">
        <v>46293</v>
      </c>
      <c r="W46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20.32</v>
      </c>
      <c r="X46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2.58</v>
      </c>
      <c r="Y461" s="974">
        <f>IFERROR(tblConcentrado[[#This Row],[Concentrado (TMS)]]/tblConcentrado[[#This Row],[Mineral (TMS)]],"")</f>
        <v>0.44375963020030817</v>
      </c>
      <c r="Z461" s="973">
        <f>IFERROR(1/tblConcentrado[[#This Row],[% Recup.]],0)</f>
        <v>2.2534722222222223</v>
      </c>
      <c r="AA461" s="975" t="str">
        <f>IF(COUNTIFS(tblConcentrado[ID],tblConcentrado[[#This Row],[ID]])&gt;1,"Duplicado","")</f>
        <v/>
      </c>
    </row>
    <row r="462" spans="2:27">
      <c r="B462" s="976">
        <f>(YEAR(tblConcentrado[[#This Row],[Fecha]])*10000+MONTH(tblConcentrado[[#This Row],[Fecha]])*100+DAY(tblConcentrado[[#This Row],[Fecha]]))*100+tblConcentrado[[#This Row],[N° hora]]</f>
        <v>2026092012</v>
      </c>
      <c r="C462" s="871">
        <v>46285</v>
      </c>
      <c r="D462">
        <v>12</v>
      </c>
      <c r="E462" s="952">
        <v>0.83333333333333304</v>
      </c>
      <c r="F462" s="256">
        <v>1313</v>
      </c>
      <c r="G462" s="256">
        <v>764</v>
      </c>
      <c r="H462" s="970"/>
      <c r="I462" s="970"/>
      <c r="J462" s="970"/>
      <c r="K462" s="970"/>
      <c r="L462" s="970"/>
      <c r="M462" s="971"/>
      <c r="N462" s="971"/>
      <c r="O462" s="971"/>
      <c r="P462" s="971"/>
      <c r="Q462" s="971"/>
      <c r="R462" t="s">
        <v>9258</v>
      </c>
      <c r="U462" t="s">
        <v>9333</v>
      </c>
      <c r="V462" s="871">
        <v>46293</v>
      </c>
      <c r="W46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6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62" s="974">
        <f>IFERROR(tblConcentrado[[#This Row],[Concentrado (TMS)]]/tblConcentrado[[#This Row],[Mineral (TMS)]],"")</f>
        <v>0.58187357197258183</v>
      </c>
      <c r="Z462" s="973">
        <f>IFERROR(1/tblConcentrado[[#This Row],[% Recup.]],0)</f>
        <v>1.7185863874345551</v>
      </c>
      <c r="AA462" s="975" t="str">
        <f>IF(COUNTIFS(tblConcentrado[ID],tblConcentrado[[#This Row],[ID]])&gt;1,"Duplicado","")</f>
        <v/>
      </c>
    </row>
    <row r="463" spans="2:27">
      <c r="B463" s="976">
        <f>(YEAR(tblConcentrado[[#This Row],[Fecha]])*10000+MONTH(tblConcentrado[[#This Row],[Fecha]])*100+DAY(tblConcentrado[[#This Row],[Fecha]]))*100+tblConcentrado[[#This Row],[N° hora]]</f>
        <v>2026092013</v>
      </c>
      <c r="C463" s="871">
        <v>46285</v>
      </c>
      <c r="D463">
        <v>13</v>
      </c>
      <c r="E463" s="952">
        <v>0.875</v>
      </c>
      <c r="F463" s="256">
        <v>1305</v>
      </c>
      <c r="G463" s="256">
        <v>766</v>
      </c>
      <c r="H463" s="970">
        <v>0.16200000000000001</v>
      </c>
      <c r="I463" s="970">
        <v>0.51400000000000001</v>
      </c>
      <c r="J463" s="970">
        <v>0.37</v>
      </c>
      <c r="K463" s="970">
        <v>0.48899999999999999</v>
      </c>
      <c r="L463" s="970">
        <v>0.36</v>
      </c>
      <c r="M463" s="971">
        <v>21</v>
      </c>
      <c r="N463" s="971">
        <v>13</v>
      </c>
      <c r="O463" s="971">
        <v>2.1</v>
      </c>
      <c r="P463" s="971">
        <v>2.2999999999999998</v>
      </c>
      <c r="Q463" s="971">
        <v>8.5</v>
      </c>
      <c r="R463" t="s">
        <v>9258</v>
      </c>
      <c r="U463" t="s">
        <v>9333</v>
      </c>
      <c r="V463" s="871">
        <v>46293</v>
      </c>
      <c r="W46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16.2</v>
      </c>
      <c r="X46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2.2199999999999998</v>
      </c>
      <c r="Y463" s="974">
        <f>IFERROR(tblConcentrado[[#This Row],[Concentrado (TMS)]]/tblConcentrado[[#This Row],[Mineral (TMS)]],"")</f>
        <v>0.58697318007662835</v>
      </c>
      <c r="Z463" s="973">
        <f>IFERROR(1/tblConcentrado[[#This Row],[% Recup.]],0)</f>
        <v>1.7036553524804177</v>
      </c>
      <c r="AA463" s="975" t="str">
        <f>IF(COUNTIFS(tblConcentrado[ID],tblConcentrado[[#This Row],[ID]])&gt;1,"Duplicado","")</f>
        <v/>
      </c>
    </row>
    <row r="464" spans="2:27">
      <c r="B464" s="976">
        <f>(YEAR(tblConcentrado[[#This Row],[Fecha]])*10000+MONTH(tblConcentrado[[#This Row],[Fecha]])*100+DAY(tblConcentrado[[#This Row],[Fecha]]))*100+tblConcentrado[[#This Row],[N° hora]]</f>
        <v>2026092014</v>
      </c>
      <c r="C464" s="871">
        <v>46285</v>
      </c>
      <c r="D464">
        <v>14</v>
      </c>
      <c r="E464" s="952">
        <v>0.91666666666666696</v>
      </c>
      <c r="F464" s="256">
        <v>1290</v>
      </c>
      <c r="G464" s="256">
        <v>834</v>
      </c>
      <c r="H464" s="970"/>
      <c r="I464" s="970"/>
      <c r="J464" s="970"/>
      <c r="K464" s="970"/>
      <c r="L464" s="970"/>
      <c r="M464" s="971"/>
      <c r="N464" s="971"/>
      <c r="O464" s="971"/>
      <c r="P464" s="971"/>
      <c r="Q464" s="971"/>
      <c r="R464" t="s">
        <v>9258</v>
      </c>
      <c r="U464" t="s">
        <v>9333</v>
      </c>
      <c r="V464" s="871">
        <v>46293</v>
      </c>
      <c r="W46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6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64" s="974">
        <f>IFERROR(tblConcentrado[[#This Row],[Concentrado (TMS)]]/tblConcentrado[[#This Row],[Mineral (TMS)]],"")</f>
        <v>0.64651162790697669</v>
      </c>
      <c r="Z464" s="973">
        <f>IFERROR(1/tblConcentrado[[#This Row],[% Recup.]],0)</f>
        <v>1.5467625899280577</v>
      </c>
      <c r="AA464" s="975" t="str">
        <f>IF(COUNTIFS(tblConcentrado[ID],tblConcentrado[[#This Row],[ID]])&gt;1,"Duplicado","")</f>
        <v/>
      </c>
    </row>
    <row r="465" spans="2:27">
      <c r="B465" s="976">
        <f>(YEAR(tblConcentrado[[#This Row],[Fecha]])*10000+MONTH(tblConcentrado[[#This Row],[Fecha]])*100+DAY(tblConcentrado[[#This Row],[Fecha]]))*100+tblConcentrado[[#This Row],[N° hora]]</f>
        <v>2026092015</v>
      </c>
      <c r="C465" s="871">
        <v>46285</v>
      </c>
      <c r="D465">
        <v>15</v>
      </c>
      <c r="E465" s="952">
        <v>0.95833333333333304</v>
      </c>
      <c r="F465" s="256">
        <v>1330</v>
      </c>
      <c r="G465" s="256">
        <v>856</v>
      </c>
      <c r="H465" s="970">
        <v>0.187</v>
      </c>
      <c r="I465" s="970">
        <v>0.60599999999999998</v>
      </c>
      <c r="J465" s="970">
        <v>0.41</v>
      </c>
      <c r="K465" s="970">
        <v>0.504</v>
      </c>
      <c r="L465" s="970">
        <v>0.37</v>
      </c>
      <c r="M465" s="971">
        <v>21.7</v>
      </c>
      <c r="N465" s="971">
        <v>13.6</v>
      </c>
      <c r="O465" s="971">
        <v>2.2000000000000002</v>
      </c>
      <c r="P465" s="971">
        <v>2.2999999999999998</v>
      </c>
      <c r="Q465" s="971">
        <v>8.5</v>
      </c>
      <c r="R465" t="s">
        <v>9258</v>
      </c>
      <c r="T465" t="s">
        <v>237</v>
      </c>
      <c r="U465" t="s">
        <v>9333</v>
      </c>
      <c r="V465" s="871">
        <v>46293</v>
      </c>
      <c r="W46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16.84</v>
      </c>
      <c r="X46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2.2599999999999998</v>
      </c>
      <c r="Y465" s="974">
        <f>IFERROR(tblConcentrado[[#This Row],[Concentrado (TMS)]]/tblConcentrado[[#This Row],[Mineral (TMS)]],"")</f>
        <v>0.64360902255639096</v>
      </c>
      <c r="Z465" s="973">
        <f>IFERROR(1/tblConcentrado[[#This Row],[% Recup.]],0)</f>
        <v>1.5537383177570094</v>
      </c>
      <c r="AA465" s="975" t="str">
        <f>IF(COUNTIFS(tblConcentrado[ID],tblConcentrado[[#This Row],[ID]])&gt;1,"Duplicado","")</f>
        <v/>
      </c>
    </row>
    <row r="466" spans="2:27">
      <c r="B466" s="976">
        <f>(YEAR(tblConcentrado[[#This Row],[Fecha]])*10000+MONTH(tblConcentrado[[#This Row],[Fecha]])*100+DAY(tblConcentrado[[#This Row],[Fecha]]))*100+tblConcentrado[[#This Row],[N° hora]]</f>
        <v>2026092016</v>
      </c>
      <c r="C466" s="871">
        <v>46285</v>
      </c>
      <c r="D466">
        <v>16</v>
      </c>
      <c r="E466" s="952">
        <v>0</v>
      </c>
      <c r="F466" s="256">
        <v>1313</v>
      </c>
      <c r="G466" s="256">
        <v>603</v>
      </c>
      <c r="H466" s="970"/>
      <c r="I466" s="970"/>
      <c r="J466" s="970"/>
      <c r="K466" s="970"/>
      <c r="L466" s="970"/>
      <c r="M466" s="971"/>
      <c r="N466" s="971"/>
      <c r="O466" s="971"/>
      <c r="P466" s="971"/>
      <c r="Q466" s="971"/>
      <c r="R466" t="s">
        <v>9258</v>
      </c>
      <c r="U466" t="s">
        <v>9333</v>
      </c>
      <c r="V466" s="871">
        <v>46293</v>
      </c>
      <c r="W46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6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66" s="974">
        <f>IFERROR(tblConcentrado[[#This Row],[Concentrado (TMS)]]/tblConcentrado[[#This Row],[Mineral (TMS)]],"")</f>
        <v>0.45925361766945927</v>
      </c>
      <c r="Z466" s="973">
        <f>IFERROR(1/tblConcentrado[[#This Row],[% Recup.]],0)</f>
        <v>2.1774461028192369</v>
      </c>
      <c r="AA466" s="975" t="str">
        <f>IF(COUNTIFS(tblConcentrado[ID],tblConcentrado[[#This Row],[ID]])&gt;1,"Duplicado","")</f>
        <v/>
      </c>
    </row>
    <row r="467" spans="2:27">
      <c r="B467" s="976">
        <f>(YEAR(tblConcentrado[[#This Row],[Fecha]])*10000+MONTH(tblConcentrado[[#This Row],[Fecha]])*100+DAY(tblConcentrado[[#This Row],[Fecha]]))*100+tblConcentrado[[#This Row],[N° hora]]</f>
        <v>2026092017</v>
      </c>
      <c r="C467" s="871">
        <v>46285</v>
      </c>
      <c r="D467">
        <v>17</v>
      </c>
      <c r="E467" s="952">
        <v>4.1666666666666699E-2</v>
      </c>
      <c r="F467" s="256">
        <v>1299</v>
      </c>
      <c r="G467" s="256">
        <v>1007</v>
      </c>
      <c r="H467" s="970">
        <v>0.221</v>
      </c>
      <c r="I467" s="970">
        <v>0.66200000000000003</v>
      </c>
      <c r="J467" s="970">
        <v>0.44</v>
      </c>
      <c r="K467" s="970">
        <v>0.67300000000000004</v>
      </c>
      <c r="L467" s="970">
        <v>0.45</v>
      </c>
      <c r="M467" s="971">
        <v>25.4</v>
      </c>
      <c r="N467" s="971">
        <v>13.1</v>
      </c>
      <c r="O467" s="971">
        <v>2.2000000000000002</v>
      </c>
      <c r="P467" s="971">
        <v>1.6</v>
      </c>
      <c r="Q467" s="971">
        <v>8.3000000000000007</v>
      </c>
      <c r="R467" t="s">
        <v>9258</v>
      </c>
      <c r="S467" t="s">
        <v>9335</v>
      </c>
      <c r="U467" t="s">
        <v>9333</v>
      </c>
      <c r="V467" s="871">
        <v>46293</v>
      </c>
      <c r="W46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18.02</v>
      </c>
      <c r="X46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1.84</v>
      </c>
      <c r="Y467" s="974">
        <f>IFERROR(tblConcentrado[[#This Row],[Concentrado (TMS)]]/tblConcentrado[[#This Row],[Mineral (TMS)]],"")</f>
        <v>0.77521170130869899</v>
      </c>
      <c r="Z467" s="973">
        <f>IFERROR(1/tblConcentrado[[#This Row],[% Recup.]],0)</f>
        <v>1.2899702085402185</v>
      </c>
      <c r="AA467" s="975" t="str">
        <f>IF(COUNTIFS(tblConcentrado[ID],tblConcentrado[[#This Row],[ID]])&gt;1,"Duplicado","")</f>
        <v/>
      </c>
    </row>
    <row r="468" spans="2:27">
      <c r="B468" s="976">
        <f>(YEAR(tblConcentrado[[#This Row],[Fecha]])*10000+MONTH(tblConcentrado[[#This Row],[Fecha]])*100+DAY(tblConcentrado[[#This Row],[Fecha]]))*100+tblConcentrado[[#This Row],[N° hora]]</f>
        <v>2026092018</v>
      </c>
      <c r="C468" s="871">
        <v>46285</v>
      </c>
      <c r="D468">
        <v>18</v>
      </c>
      <c r="E468" s="952">
        <v>8.3333333333333301E-2</v>
      </c>
      <c r="F468" s="256">
        <v>1325</v>
      </c>
      <c r="G468" s="256">
        <v>972</v>
      </c>
      <c r="H468" s="970"/>
      <c r="I468" s="970"/>
      <c r="J468" s="970"/>
      <c r="K468" s="970"/>
      <c r="L468" s="970"/>
      <c r="M468" s="971"/>
      <c r="N468" s="971"/>
      <c r="O468" s="971"/>
      <c r="P468" s="971"/>
      <c r="Q468" s="971"/>
      <c r="R468" t="s">
        <v>9258</v>
      </c>
      <c r="S468" t="s">
        <v>238</v>
      </c>
      <c r="U468" t="s">
        <v>9333</v>
      </c>
      <c r="V468" s="871">
        <v>46293</v>
      </c>
      <c r="W46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6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68" s="974">
        <f>IFERROR(tblConcentrado[[#This Row],[Concentrado (TMS)]]/tblConcentrado[[#This Row],[Mineral (TMS)]],"")</f>
        <v>0.73358490566037737</v>
      </c>
      <c r="Z468" s="973">
        <f>IFERROR(1/tblConcentrado[[#This Row],[% Recup.]],0)</f>
        <v>1.3631687242798354</v>
      </c>
      <c r="AA468" s="975" t="str">
        <f>IF(COUNTIFS(tblConcentrado[ID],tblConcentrado[[#This Row],[ID]])&gt;1,"Duplicado","")</f>
        <v/>
      </c>
    </row>
    <row r="469" spans="2:27">
      <c r="B469" s="976">
        <f>(YEAR(tblConcentrado[[#This Row],[Fecha]])*10000+MONTH(tblConcentrado[[#This Row],[Fecha]])*100+DAY(tblConcentrado[[#This Row],[Fecha]]))*100+tblConcentrado[[#This Row],[N° hora]]</f>
        <v>2026092019</v>
      </c>
      <c r="C469" s="871">
        <v>46285</v>
      </c>
      <c r="D469">
        <v>19</v>
      </c>
      <c r="E469" s="952">
        <v>0.125</v>
      </c>
      <c r="F469" s="256">
        <v>1351</v>
      </c>
      <c r="G469" s="256">
        <v>859</v>
      </c>
      <c r="H469" s="970">
        <v>0.22</v>
      </c>
      <c r="I469" s="970">
        <v>0.72399999999999998</v>
      </c>
      <c r="J469" s="970">
        <v>0.47</v>
      </c>
      <c r="K469" s="970">
        <v>0.73899999999999999</v>
      </c>
      <c r="L469" s="970">
        <v>0.48</v>
      </c>
      <c r="M469" s="971">
        <v>28.8</v>
      </c>
      <c r="N469" s="971">
        <v>15</v>
      </c>
      <c r="O469" s="971">
        <v>2.7</v>
      </c>
      <c r="P469" s="971">
        <v>2</v>
      </c>
      <c r="Q469" s="971">
        <v>8.1999999999999993</v>
      </c>
      <c r="R469" t="s">
        <v>9258</v>
      </c>
      <c r="S469" t="s">
        <v>239</v>
      </c>
      <c r="U469" t="s">
        <v>9333</v>
      </c>
      <c r="V469" s="871">
        <v>46293</v>
      </c>
      <c r="W46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20.520000000000003</v>
      </c>
      <c r="X46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2.2800000000000002</v>
      </c>
      <c r="Y469" s="974">
        <f>IFERROR(tblConcentrado[[#This Row],[Concentrado (TMS)]]/tblConcentrado[[#This Row],[Mineral (TMS)]],"")</f>
        <v>0.63582531458179126</v>
      </c>
      <c r="Z469" s="973">
        <f>IFERROR(1/tblConcentrado[[#This Row],[% Recup.]],0)</f>
        <v>1.5727590221187429</v>
      </c>
      <c r="AA469" s="975" t="str">
        <f>IF(COUNTIFS(tblConcentrado[ID],tblConcentrado[[#This Row],[ID]])&gt;1,"Duplicado","")</f>
        <v/>
      </c>
    </row>
    <row r="470" spans="2:27">
      <c r="B470" s="976">
        <f>(YEAR(tblConcentrado[[#This Row],[Fecha]])*10000+MONTH(tblConcentrado[[#This Row],[Fecha]])*100+DAY(tblConcentrado[[#This Row],[Fecha]]))*100+tblConcentrado[[#This Row],[N° hora]]</f>
        <v>2026092020</v>
      </c>
      <c r="C470" s="871">
        <v>46285</v>
      </c>
      <c r="D470">
        <v>20</v>
      </c>
      <c r="E470" s="952">
        <v>0.16666666666666699</v>
      </c>
      <c r="F470" s="256">
        <v>1489</v>
      </c>
      <c r="G470" s="256">
        <v>773</v>
      </c>
      <c r="H470" s="970"/>
      <c r="I470" s="970"/>
      <c r="J470" s="970"/>
      <c r="K470" s="970"/>
      <c r="L470" s="970"/>
      <c r="M470" s="971"/>
      <c r="N470" s="971"/>
      <c r="O470" s="971"/>
      <c r="P470" s="971"/>
      <c r="Q470" s="971"/>
      <c r="R470" t="s">
        <v>9258</v>
      </c>
      <c r="U470" t="s">
        <v>9333</v>
      </c>
      <c r="V470" s="871">
        <v>46293</v>
      </c>
      <c r="W47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7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70" s="974">
        <f>IFERROR(tblConcentrado[[#This Row],[Concentrado (TMS)]]/tblConcentrado[[#This Row],[Mineral (TMS)]],"")</f>
        <v>0.51914036265950303</v>
      </c>
      <c r="Z470" s="973">
        <f>IFERROR(1/tblConcentrado[[#This Row],[% Recup.]],0)</f>
        <v>1.9262613195342819</v>
      </c>
      <c r="AA470" s="975" t="str">
        <f>IF(COUNTIFS(tblConcentrado[ID],tblConcentrado[[#This Row],[ID]])&gt;1,"Duplicado","")</f>
        <v/>
      </c>
    </row>
    <row r="471" spans="2:27">
      <c r="B471" s="976">
        <f>(YEAR(tblConcentrado[[#This Row],[Fecha]])*10000+MONTH(tblConcentrado[[#This Row],[Fecha]])*100+DAY(tblConcentrado[[#This Row],[Fecha]]))*100+tblConcentrado[[#This Row],[N° hora]]</f>
        <v>2026092021</v>
      </c>
      <c r="C471" s="871">
        <v>46285</v>
      </c>
      <c r="D471">
        <v>21</v>
      </c>
      <c r="E471" s="952">
        <v>0.20833333333333301</v>
      </c>
      <c r="F471" s="256">
        <v>1455</v>
      </c>
      <c r="G471" s="256">
        <v>880</v>
      </c>
      <c r="H471" s="970">
        <v>0.19900000000000001</v>
      </c>
      <c r="I471" s="970">
        <v>0.53600000000000003</v>
      </c>
      <c r="J471" s="970">
        <v>0.38</v>
      </c>
      <c r="K471" s="970">
        <v>0.51300000000000001</v>
      </c>
      <c r="L471" s="970">
        <v>0.37</v>
      </c>
      <c r="M471" s="971">
        <v>25.3</v>
      </c>
      <c r="N471" s="971">
        <v>14</v>
      </c>
      <c r="O471" s="971">
        <v>2.5</v>
      </c>
      <c r="P471" s="971">
        <v>2</v>
      </c>
      <c r="Q471" s="971">
        <v>8.1</v>
      </c>
      <c r="R471" t="s">
        <v>9258</v>
      </c>
      <c r="U471" t="s">
        <v>9333</v>
      </c>
      <c r="V471" s="871">
        <v>46293</v>
      </c>
      <c r="W47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18.520000000000003</v>
      </c>
      <c r="X47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2.2000000000000002</v>
      </c>
      <c r="Y471" s="974">
        <f>IFERROR(tblConcentrado[[#This Row],[Concentrado (TMS)]]/tblConcentrado[[#This Row],[Mineral (TMS)]],"")</f>
        <v>0.60481099656357384</v>
      </c>
      <c r="Z471" s="973">
        <f>IFERROR(1/tblConcentrado[[#This Row],[% Recup.]],0)</f>
        <v>1.6534090909090911</v>
      </c>
      <c r="AA471" s="975" t="str">
        <f>IF(COUNTIFS(tblConcentrado[ID],tblConcentrado[[#This Row],[ID]])&gt;1,"Duplicado","")</f>
        <v/>
      </c>
    </row>
    <row r="472" spans="2:27">
      <c r="B472" s="976">
        <f>(YEAR(tblConcentrado[[#This Row],[Fecha]])*10000+MONTH(tblConcentrado[[#This Row],[Fecha]])*100+DAY(tblConcentrado[[#This Row],[Fecha]]))*100+tblConcentrado[[#This Row],[N° hora]]</f>
        <v>2026092022</v>
      </c>
      <c r="C472" s="871">
        <v>46285</v>
      </c>
      <c r="D472">
        <v>22</v>
      </c>
      <c r="E472" s="952">
        <v>0.25</v>
      </c>
      <c r="F472" s="256">
        <v>1410</v>
      </c>
      <c r="G472" s="256">
        <v>880</v>
      </c>
      <c r="H472" s="970"/>
      <c r="I472" s="970"/>
      <c r="J472" s="970"/>
      <c r="K472" s="970"/>
      <c r="L472" s="970"/>
      <c r="M472" s="971"/>
      <c r="N472" s="971"/>
      <c r="O472" s="971"/>
      <c r="P472" s="971"/>
      <c r="Q472" s="971"/>
      <c r="R472" t="s">
        <v>9258</v>
      </c>
      <c r="U472" t="s">
        <v>9333</v>
      </c>
      <c r="V472" s="871">
        <v>46293</v>
      </c>
      <c r="W47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7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72" s="974">
        <f>IFERROR(tblConcentrado[[#This Row],[Concentrado (TMS)]]/tblConcentrado[[#This Row],[Mineral (TMS)]],"")</f>
        <v>0.62411347517730498</v>
      </c>
      <c r="Z472" s="973">
        <f>IFERROR(1/tblConcentrado[[#This Row],[% Recup.]],0)</f>
        <v>1.6022727272727273</v>
      </c>
      <c r="AA472" s="975" t="str">
        <f>IF(COUNTIFS(tblConcentrado[ID],tblConcentrado[[#This Row],[ID]])&gt;1,"Duplicado","")</f>
        <v/>
      </c>
    </row>
    <row r="473" spans="2:27">
      <c r="B473" s="976">
        <f>(YEAR(tblConcentrado[[#This Row],[Fecha]])*10000+MONTH(tblConcentrado[[#This Row],[Fecha]])*100+DAY(tblConcentrado[[#This Row],[Fecha]]))*100+tblConcentrado[[#This Row],[N° hora]]</f>
        <v>2026092023</v>
      </c>
      <c r="C473" s="871">
        <v>46285</v>
      </c>
      <c r="D473">
        <v>23</v>
      </c>
      <c r="E473" s="952">
        <v>0.29166666666666702</v>
      </c>
      <c r="F473" s="256">
        <v>1367</v>
      </c>
      <c r="G473" s="256">
        <v>962</v>
      </c>
      <c r="H473" s="970">
        <v>0.217</v>
      </c>
      <c r="I473" s="970"/>
      <c r="J473" s="970"/>
      <c r="K473" s="970"/>
      <c r="L473" s="970"/>
      <c r="M473" s="971"/>
      <c r="N473" s="971"/>
      <c r="O473" s="971">
        <v>2.7</v>
      </c>
      <c r="P473" s="971">
        <v>1.9</v>
      </c>
      <c r="Q473" s="971">
        <v>8.1</v>
      </c>
      <c r="R473" t="s">
        <v>9258</v>
      </c>
      <c r="U473" t="s">
        <v>9333</v>
      </c>
      <c r="V473" s="871">
        <v>46293</v>
      </c>
      <c r="W473"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7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2.2199999999999998</v>
      </c>
      <c r="Y473" s="974">
        <f>IFERROR(tblConcentrado[[#This Row],[Concentrado (TMS)]]/tblConcentrado[[#This Row],[Mineral (TMS)]],"")</f>
        <v>0.70373079736649602</v>
      </c>
      <c r="Z473" s="973">
        <f>IFERROR(1/tblConcentrado[[#This Row],[% Recup.]],0)</f>
        <v>1.4209979209979209</v>
      </c>
      <c r="AA473" s="975" t="str">
        <f>IF(COUNTIFS(tblConcentrado[ID],tblConcentrado[[#This Row],[ID]])&gt;1,"Duplicado","")</f>
        <v/>
      </c>
    </row>
    <row r="474" spans="2:27">
      <c r="B474" s="976">
        <f>(YEAR(tblConcentrado[[#This Row],[Fecha]])*10000+MONTH(tblConcentrado[[#This Row],[Fecha]])*100+DAY(tblConcentrado[[#This Row],[Fecha]]))*100+tblConcentrado[[#This Row],[N° hora]]</f>
        <v>2026092024</v>
      </c>
      <c r="C474" s="871">
        <v>46285</v>
      </c>
      <c r="D474">
        <v>24</v>
      </c>
      <c r="E474" s="952">
        <v>0.33333333333333298</v>
      </c>
      <c r="F474" s="256">
        <v>1127</v>
      </c>
      <c r="G474" s="256">
        <v>988</v>
      </c>
      <c r="H474" s="970"/>
      <c r="I474" s="970"/>
      <c r="J474" s="970"/>
      <c r="K474" s="970"/>
      <c r="L474" s="970"/>
      <c r="M474" s="971"/>
      <c r="N474" s="971"/>
      <c r="O474" s="971"/>
      <c r="P474" s="971"/>
      <c r="Q474" s="971"/>
      <c r="R474" t="s">
        <v>9258</v>
      </c>
      <c r="U474" t="s">
        <v>9333</v>
      </c>
      <c r="V474" s="871">
        <v>46293</v>
      </c>
      <c r="W47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7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74" s="974">
        <f>IFERROR(tblConcentrado[[#This Row],[Concentrado (TMS)]]/tblConcentrado[[#This Row],[Mineral (TMS)]],"")</f>
        <v>0.87666370896184564</v>
      </c>
      <c r="Z474" s="973">
        <f>IFERROR(1/tblConcentrado[[#This Row],[% Recup.]],0)</f>
        <v>1.1406882591093117</v>
      </c>
      <c r="AA474" s="975" t="str">
        <f>IF(COUNTIFS(tblConcentrado[ID],tblConcentrado[[#This Row],[ID]])&gt;1,"Duplicado","")</f>
        <v/>
      </c>
    </row>
    <row r="475" spans="2:27">
      <c r="B475" s="976">
        <f>(YEAR(tblConcentrado[[#This Row],[Fecha]])*10000+MONTH(tblConcentrado[[#This Row],[Fecha]])*100+DAY(tblConcentrado[[#This Row],[Fecha]]))*100+tblConcentrado[[#This Row],[N° hora]]</f>
        <v>2026092101</v>
      </c>
      <c r="C475" s="871">
        <v>46286</v>
      </c>
      <c r="D475">
        <v>1</v>
      </c>
      <c r="E475" s="952">
        <v>0.375</v>
      </c>
      <c r="F475" s="256">
        <v>1294</v>
      </c>
      <c r="G475" s="256">
        <v>912</v>
      </c>
      <c r="H475" s="970">
        <v>0.224</v>
      </c>
      <c r="I475" s="970">
        <v>0.59899999999999998</v>
      </c>
      <c r="J475" s="970">
        <v>0.37</v>
      </c>
      <c r="K475" s="970">
        <v>0.65900000000000003</v>
      </c>
      <c r="L475" s="970">
        <v>0.4</v>
      </c>
      <c r="M475" s="971">
        <v>24.1</v>
      </c>
      <c r="N475" s="971">
        <v>16.3</v>
      </c>
      <c r="O475" s="971">
        <v>2.7</v>
      </c>
      <c r="P475" s="971">
        <v>2</v>
      </c>
      <c r="Q475" s="971">
        <v>8.1</v>
      </c>
      <c r="R475" t="s">
        <v>9258</v>
      </c>
      <c r="U475" t="s">
        <v>9333</v>
      </c>
      <c r="V475" s="871">
        <v>46293</v>
      </c>
      <c r="W47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19.420000000000002</v>
      </c>
      <c r="X47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2.2800000000000002</v>
      </c>
      <c r="Y475" s="974">
        <f>IFERROR(tblConcentrado[[#This Row],[Concentrado (TMS)]]/tblConcentrado[[#This Row],[Mineral (TMS)]],"")</f>
        <v>0.70479134466769711</v>
      </c>
      <c r="Z475" s="973">
        <f>IFERROR(1/tblConcentrado[[#This Row],[% Recup.]],0)</f>
        <v>1.4188596491228069</v>
      </c>
      <c r="AA475" s="975" t="str">
        <f>IF(COUNTIFS(tblConcentrado[ID],tblConcentrado[[#This Row],[ID]])&gt;1,"Duplicado","")</f>
        <v/>
      </c>
    </row>
    <row r="476" spans="2:27">
      <c r="B476" s="976">
        <f>(YEAR(tblConcentrado[[#This Row],[Fecha]])*10000+MONTH(tblConcentrado[[#This Row],[Fecha]])*100+DAY(tblConcentrado[[#This Row],[Fecha]]))*100+tblConcentrado[[#This Row],[N° hora]]</f>
        <v>2026092102</v>
      </c>
      <c r="C476" s="871">
        <v>46286</v>
      </c>
      <c r="D476">
        <v>2</v>
      </c>
      <c r="E476" s="952">
        <v>0.41666666666666702</v>
      </c>
      <c r="F476" s="256">
        <v>1291</v>
      </c>
      <c r="G476" s="256">
        <v>712</v>
      </c>
      <c r="H476" s="970"/>
      <c r="I476" s="970"/>
      <c r="J476" s="970"/>
      <c r="K476" s="970"/>
      <c r="L476" s="970"/>
      <c r="M476" s="971"/>
      <c r="N476" s="971"/>
      <c r="O476" s="971"/>
      <c r="P476" s="971"/>
      <c r="Q476" s="971"/>
      <c r="R476" t="s">
        <v>9258</v>
      </c>
      <c r="U476" t="s">
        <v>9333</v>
      </c>
      <c r="V476" s="871">
        <v>46293</v>
      </c>
      <c r="W47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7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76" s="974">
        <f>IFERROR(tblConcentrado[[#This Row],[Concentrado (TMS)]]/tblConcentrado[[#This Row],[Mineral (TMS)]],"")</f>
        <v>0.55151045701006973</v>
      </c>
      <c r="Z476" s="973">
        <f>IFERROR(1/tblConcentrado[[#This Row],[% Recup.]],0)</f>
        <v>1.8132022471910112</v>
      </c>
      <c r="AA476" s="975" t="str">
        <f>IF(COUNTIFS(tblConcentrado[ID],tblConcentrado[[#This Row],[ID]])&gt;1,"Duplicado","")</f>
        <v/>
      </c>
    </row>
    <row r="477" spans="2:27">
      <c r="B477" s="976">
        <f>(YEAR(tblConcentrado[[#This Row],[Fecha]])*10000+MONTH(tblConcentrado[[#This Row],[Fecha]])*100+DAY(tblConcentrado[[#This Row],[Fecha]]))*100+tblConcentrado[[#This Row],[N° hora]]</f>
        <v>2026092103</v>
      </c>
      <c r="C477" s="871">
        <v>46286</v>
      </c>
      <c r="D477">
        <v>3</v>
      </c>
      <c r="E477" s="952">
        <v>0.45833333333333298</v>
      </c>
      <c r="F477" s="256">
        <v>1321</v>
      </c>
      <c r="G477" s="256">
        <v>392</v>
      </c>
      <c r="H477" s="970">
        <v>0.223</v>
      </c>
      <c r="I477" s="970">
        <v>0.57399999999999995</v>
      </c>
      <c r="J477" s="970">
        <v>0.37</v>
      </c>
      <c r="K477" s="970">
        <v>0.62</v>
      </c>
      <c r="L477" s="970">
        <v>0.4</v>
      </c>
      <c r="M477" s="971">
        <v>22.4</v>
      </c>
      <c r="N477" s="971">
        <v>15.8</v>
      </c>
      <c r="O477" s="971">
        <v>2.4</v>
      </c>
      <c r="P477" s="971">
        <v>2.4</v>
      </c>
      <c r="Q477" s="971">
        <v>8</v>
      </c>
      <c r="R477" t="s">
        <v>9258</v>
      </c>
      <c r="T477" t="s">
        <v>240</v>
      </c>
      <c r="U477" t="s">
        <v>9333</v>
      </c>
      <c r="V477" s="871">
        <v>46293</v>
      </c>
      <c r="W47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18.439999999999998</v>
      </c>
      <c r="X47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v>
      </c>
      <c r="Y477" s="974">
        <f>IFERROR(tblConcentrado[[#This Row],[Concentrado (TMS)]]/tblConcentrado[[#This Row],[Mineral (TMS)]],"")</f>
        <v>0.29674489023467071</v>
      </c>
      <c r="Z477" s="973">
        <f>IFERROR(1/tblConcentrado[[#This Row],[% Recup.]],0)</f>
        <v>3.3698979591836733</v>
      </c>
      <c r="AA477" s="975" t="str">
        <f>IF(COUNTIFS(tblConcentrado[ID],tblConcentrado[[#This Row],[ID]])&gt;1,"Duplicado","")</f>
        <v/>
      </c>
    </row>
    <row r="478" spans="2:27">
      <c r="B478" s="976">
        <f>(YEAR(tblConcentrado[[#This Row],[Fecha]])*10000+MONTH(tblConcentrado[[#This Row],[Fecha]])*100+DAY(tblConcentrado[[#This Row],[Fecha]]))*100+tblConcentrado[[#This Row],[N° hora]]</f>
        <v>2026092104</v>
      </c>
      <c r="C478" s="871">
        <v>46286</v>
      </c>
      <c r="D478">
        <v>4</v>
      </c>
      <c r="E478" s="952">
        <v>0.5</v>
      </c>
      <c r="F478" s="256">
        <v>1328</v>
      </c>
      <c r="G478" s="256">
        <v>944</v>
      </c>
      <c r="H478" s="970"/>
      <c r="I478" s="970"/>
      <c r="J478" s="970"/>
      <c r="K478" s="970"/>
      <c r="L478" s="970"/>
      <c r="M478" s="971"/>
      <c r="N478" s="971"/>
      <c r="O478" s="971"/>
      <c r="P478" s="971"/>
      <c r="Q478" s="971"/>
      <c r="R478" t="s">
        <v>9258</v>
      </c>
      <c r="U478" t="s">
        <v>9333</v>
      </c>
      <c r="V478" s="871">
        <v>46293</v>
      </c>
      <c r="W47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7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78" s="974">
        <f>IFERROR(tblConcentrado[[#This Row],[Concentrado (TMS)]]/tblConcentrado[[#This Row],[Mineral (TMS)]],"")</f>
        <v>0.71084337349397586</v>
      </c>
      <c r="Z478" s="973">
        <f>IFERROR(1/tblConcentrado[[#This Row],[% Recup.]],0)</f>
        <v>1.4067796610169492</v>
      </c>
      <c r="AA478" s="975" t="str">
        <f>IF(COUNTIFS(tblConcentrado[ID],tblConcentrado[[#This Row],[ID]])&gt;1,"Duplicado","")</f>
        <v/>
      </c>
    </row>
    <row r="479" spans="2:27">
      <c r="B479" s="976">
        <f>(YEAR(tblConcentrado[[#This Row],[Fecha]])*10000+MONTH(tblConcentrado[[#This Row],[Fecha]])*100+DAY(tblConcentrado[[#This Row],[Fecha]]))*100+tblConcentrado[[#This Row],[N° hora]]</f>
        <v>2026092105</v>
      </c>
      <c r="C479" s="871">
        <v>46286</v>
      </c>
      <c r="D479">
        <v>5</v>
      </c>
      <c r="E479" s="952">
        <v>0.54166666666666696</v>
      </c>
      <c r="F479" s="256">
        <v>1339</v>
      </c>
      <c r="G479" s="256">
        <v>780</v>
      </c>
      <c r="H479" s="970">
        <v>0.22</v>
      </c>
      <c r="I479" s="970">
        <v>0.70799999999999996</v>
      </c>
      <c r="J479" s="970">
        <v>0.5</v>
      </c>
      <c r="K479" s="970">
        <v>0.56399999999999995</v>
      </c>
      <c r="L479" s="970">
        <v>0.37</v>
      </c>
      <c r="M479" s="971">
        <v>29.7</v>
      </c>
      <c r="N479" s="971">
        <v>15.7</v>
      </c>
      <c r="O479" s="971">
        <v>2.2000000000000002</v>
      </c>
      <c r="P479" s="971">
        <v>2.2000000000000002</v>
      </c>
      <c r="Q479" s="971">
        <v>8.6999999999999993</v>
      </c>
      <c r="R479" t="s">
        <v>9258</v>
      </c>
      <c r="T479" t="s">
        <v>241</v>
      </c>
      <c r="U479" t="s">
        <v>9333</v>
      </c>
      <c r="V479" s="871">
        <v>46293</v>
      </c>
      <c r="W47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21.3</v>
      </c>
      <c r="X47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2.2000000000000002</v>
      </c>
      <c r="Y479" s="974">
        <f>IFERROR(tblConcentrado[[#This Row],[Concentrado (TMS)]]/tblConcentrado[[#This Row],[Mineral (TMS)]],"")</f>
        <v>0.58252427184466016</v>
      </c>
      <c r="Z479" s="973">
        <f>IFERROR(1/tblConcentrado[[#This Row],[% Recup.]],0)</f>
        <v>1.7166666666666668</v>
      </c>
      <c r="AA479" s="975" t="str">
        <f>IF(COUNTIFS(tblConcentrado[ID],tblConcentrado[[#This Row],[ID]])&gt;1,"Duplicado","")</f>
        <v/>
      </c>
    </row>
    <row r="480" spans="2:27">
      <c r="B480" s="976">
        <f>(YEAR(tblConcentrado[[#This Row],[Fecha]])*10000+MONTH(tblConcentrado[[#This Row],[Fecha]])*100+DAY(tblConcentrado[[#This Row],[Fecha]]))*100+tblConcentrado[[#This Row],[N° hora]]</f>
        <v>2026092106</v>
      </c>
      <c r="C480" s="871">
        <v>46286</v>
      </c>
      <c r="D480">
        <v>6</v>
      </c>
      <c r="E480" s="952">
        <v>0.58333333333333304</v>
      </c>
      <c r="F480" s="256">
        <v>1344</v>
      </c>
      <c r="G480" s="256">
        <v>820</v>
      </c>
      <c r="H480" s="970"/>
      <c r="I480" s="970"/>
      <c r="J480" s="970"/>
      <c r="K480" s="970"/>
      <c r="L480" s="970"/>
      <c r="M480" s="971"/>
      <c r="N480" s="971"/>
      <c r="O480" s="971"/>
      <c r="P480" s="971"/>
      <c r="Q480" s="971"/>
      <c r="R480" t="s">
        <v>9258</v>
      </c>
      <c r="U480" t="s">
        <v>9333</v>
      </c>
      <c r="V480" s="871">
        <v>46293</v>
      </c>
      <c r="W48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8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80" s="974">
        <f>IFERROR(tblConcentrado[[#This Row],[Concentrado (TMS)]]/tblConcentrado[[#This Row],[Mineral (TMS)]],"")</f>
        <v>0.61011904761904767</v>
      </c>
      <c r="Z480" s="973">
        <f>IFERROR(1/tblConcentrado[[#This Row],[% Recup.]],0)</f>
        <v>1.6390243902439023</v>
      </c>
      <c r="AA480" s="975" t="str">
        <f>IF(COUNTIFS(tblConcentrado[ID],tblConcentrado[[#This Row],[ID]])&gt;1,"Duplicado","")</f>
        <v/>
      </c>
    </row>
    <row r="481" spans="2:27">
      <c r="B481" s="976">
        <f>(YEAR(tblConcentrado[[#This Row],[Fecha]])*10000+MONTH(tblConcentrado[[#This Row],[Fecha]])*100+DAY(tblConcentrado[[#This Row],[Fecha]]))*100+tblConcentrado[[#This Row],[N° hora]]</f>
        <v>2026092107</v>
      </c>
      <c r="C481" s="871">
        <v>46286</v>
      </c>
      <c r="D481">
        <v>7</v>
      </c>
      <c r="E481" s="952">
        <v>0.625</v>
      </c>
      <c r="F481" s="256">
        <v>1126</v>
      </c>
      <c r="G481" s="256">
        <v>961</v>
      </c>
      <c r="H481" s="970">
        <v>0.16</v>
      </c>
      <c r="I481" s="970">
        <v>0.71099999999999997</v>
      </c>
      <c r="J481" s="970">
        <v>0.49</v>
      </c>
      <c r="K481" s="970">
        <v>0.55300000000000005</v>
      </c>
      <c r="L481" s="970">
        <v>0.38</v>
      </c>
      <c r="M481" s="971">
        <v>24.4</v>
      </c>
      <c r="N481" s="971">
        <v>16.8</v>
      </c>
      <c r="O481" s="971">
        <v>2.2000000000000002</v>
      </c>
      <c r="P481" s="971">
        <v>2.2000000000000002</v>
      </c>
      <c r="Q481" s="971">
        <v>8.5</v>
      </c>
      <c r="R481" t="s">
        <v>9258</v>
      </c>
      <c r="U481" t="s">
        <v>9333</v>
      </c>
      <c r="V481" s="871">
        <v>46293</v>
      </c>
      <c r="W48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19.84</v>
      </c>
      <c r="X48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2.2000000000000002</v>
      </c>
      <c r="Y481" s="974">
        <f>IFERROR(tblConcentrado[[#This Row],[Concentrado (TMS)]]/tblConcentrado[[#This Row],[Mineral (TMS)]],"")</f>
        <v>0.85346358792184729</v>
      </c>
      <c r="Z481" s="973">
        <f>IFERROR(1/tblConcentrado[[#This Row],[% Recup.]],0)</f>
        <v>1.1716961498439125</v>
      </c>
      <c r="AA481" s="975" t="str">
        <f>IF(COUNTIFS(tblConcentrado[ID],tblConcentrado[[#This Row],[ID]])&gt;1,"Duplicado","")</f>
        <v/>
      </c>
    </row>
    <row r="482" spans="2:27">
      <c r="B482" s="976">
        <f>(YEAR(tblConcentrado[[#This Row],[Fecha]])*10000+MONTH(tblConcentrado[[#This Row],[Fecha]])*100+DAY(tblConcentrado[[#This Row],[Fecha]]))*100+tblConcentrado[[#This Row],[N° hora]]</f>
        <v>2026092108</v>
      </c>
      <c r="C482" s="871">
        <v>46286</v>
      </c>
      <c r="D482">
        <v>8</v>
      </c>
      <c r="E482" s="952">
        <v>0.66666666666666696</v>
      </c>
      <c r="F482" s="256">
        <v>1114</v>
      </c>
      <c r="G482" s="256">
        <v>999</v>
      </c>
      <c r="H482" s="970"/>
      <c r="I482" s="970"/>
      <c r="J482" s="970"/>
      <c r="K482" s="970"/>
      <c r="L482" s="970"/>
      <c r="M482" s="971"/>
      <c r="N482" s="971"/>
      <c r="O482" s="971"/>
      <c r="P482" s="971"/>
      <c r="Q482" s="971"/>
      <c r="R482" t="s">
        <v>9258</v>
      </c>
      <c r="U482" t="s">
        <v>9333</v>
      </c>
      <c r="V482" s="871">
        <v>46293</v>
      </c>
      <c r="W48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8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82" s="974">
        <f>IFERROR(tblConcentrado[[#This Row],[Concentrado (TMS)]]/tblConcentrado[[#This Row],[Mineral (TMS)]],"")</f>
        <v>0.89676840215439857</v>
      </c>
      <c r="Z482" s="973">
        <f>IFERROR(1/tblConcentrado[[#This Row],[% Recup.]],0)</f>
        <v>1.1151151151151151</v>
      </c>
      <c r="AA482" s="975" t="str">
        <f>IF(COUNTIFS(tblConcentrado[ID],tblConcentrado[[#This Row],[ID]])&gt;1,"Duplicado","")</f>
        <v/>
      </c>
    </row>
    <row r="483" spans="2:27">
      <c r="B483" s="976">
        <f>(YEAR(tblConcentrado[[#This Row],[Fecha]])*10000+MONTH(tblConcentrado[[#This Row],[Fecha]])*100+DAY(tblConcentrado[[#This Row],[Fecha]]))*100+tblConcentrado[[#This Row],[N° hora]]</f>
        <v>2026092109</v>
      </c>
      <c r="C483" s="871">
        <v>46286</v>
      </c>
      <c r="D483">
        <v>9</v>
      </c>
      <c r="E483" s="952">
        <v>0.70833333333333304</v>
      </c>
      <c r="F483" s="256">
        <v>1118</v>
      </c>
      <c r="G483" s="256">
        <v>821</v>
      </c>
      <c r="H483" s="970">
        <v>0.161</v>
      </c>
      <c r="I483" s="970">
        <v>0.52700000000000002</v>
      </c>
      <c r="J483" s="970">
        <v>0.33</v>
      </c>
      <c r="K483" s="970">
        <v>0.48599999999999999</v>
      </c>
      <c r="L483" s="970">
        <v>0.3</v>
      </c>
      <c r="M483" s="971">
        <v>24.4</v>
      </c>
      <c r="N483" s="971">
        <v>14.7</v>
      </c>
      <c r="O483" s="971">
        <v>2.4</v>
      </c>
      <c r="P483" s="971">
        <v>2.4</v>
      </c>
      <c r="Q483" s="971">
        <v>8.1999999999999993</v>
      </c>
      <c r="R483" t="s">
        <v>9258</v>
      </c>
      <c r="S483" t="s">
        <v>242</v>
      </c>
      <c r="U483" t="s">
        <v>9333</v>
      </c>
      <c r="V483" s="871">
        <v>46293</v>
      </c>
      <c r="W48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18.579999999999998</v>
      </c>
      <c r="X48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v>
      </c>
      <c r="Y483" s="974">
        <f>IFERROR(tblConcentrado[[#This Row],[Concentrado (TMS)]]/tblConcentrado[[#This Row],[Mineral (TMS)]],"")</f>
        <v>0.73434704830053665</v>
      </c>
      <c r="Z483" s="973">
        <f>IFERROR(1/tblConcentrado[[#This Row],[% Recup.]],0)</f>
        <v>1.361753958587089</v>
      </c>
      <c r="AA483" s="975" t="str">
        <f>IF(COUNTIFS(tblConcentrado[ID],tblConcentrado[[#This Row],[ID]])&gt;1,"Duplicado","")</f>
        <v/>
      </c>
    </row>
    <row r="484" spans="2:27">
      <c r="B484" s="976">
        <f>(YEAR(tblConcentrado[[#This Row],[Fecha]])*10000+MONTH(tblConcentrado[[#This Row],[Fecha]])*100+DAY(tblConcentrado[[#This Row],[Fecha]]))*100+tblConcentrado[[#This Row],[N° hora]]</f>
        <v>2026092110</v>
      </c>
      <c r="C484" s="871">
        <v>46286</v>
      </c>
      <c r="D484">
        <v>10</v>
      </c>
      <c r="E484" s="952">
        <v>0.75</v>
      </c>
      <c r="F484" s="256">
        <v>991</v>
      </c>
      <c r="G484" s="256">
        <v>557</v>
      </c>
      <c r="H484" s="970"/>
      <c r="I484" s="970"/>
      <c r="J484" s="970"/>
      <c r="K484" s="970"/>
      <c r="L484" s="970"/>
      <c r="M484" s="971"/>
      <c r="N484" s="971"/>
      <c r="O484" s="971"/>
      <c r="P484" s="971"/>
      <c r="Q484" s="971"/>
      <c r="R484" t="s">
        <v>9258</v>
      </c>
      <c r="S484" t="s">
        <v>243</v>
      </c>
      <c r="U484" t="s">
        <v>9333</v>
      </c>
      <c r="V484" s="871">
        <v>46293</v>
      </c>
      <c r="W48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8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84" s="974">
        <f>IFERROR(tblConcentrado[[#This Row],[Concentrado (TMS)]]/tblConcentrado[[#This Row],[Mineral (TMS)]],"")</f>
        <v>0.56205852674066603</v>
      </c>
      <c r="Z484" s="973">
        <f>IFERROR(1/tblConcentrado[[#This Row],[% Recup.]],0)</f>
        <v>1.7791741472172351</v>
      </c>
      <c r="AA484" s="975" t="str">
        <f>IF(COUNTIFS(tblConcentrado[ID],tblConcentrado[[#This Row],[ID]])&gt;1,"Duplicado","")</f>
        <v/>
      </c>
    </row>
    <row r="485" spans="2:27">
      <c r="B485" s="976">
        <f>(YEAR(tblConcentrado[[#This Row],[Fecha]])*10000+MONTH(tblConcentrado[[#This Row],[Fecha]])*100+DAY(tblConcentrado[[#This Row],[Fecha]]))*100+tblConcentrado[[#This Row],[N° hora]]</f>
        <v>2026092111</v>
      </c>
      <c r="C485" s="871">
        <v>46286</v>
      </c>
      <c r="D485">
        <v>11</v>
      </c>
      <c r="E485" s="952">
        <v>0.79166666666666696</v>
      </c>
      <c r="F485" s="256">
        <v>896</v>
      </c>
      <c r="G485" s="256">
        <v>778</v>
      </c>
      <c r="H485" s="970">
        <v>0.13300000000000001</v>
      </c>
      <c r="I485" s="970">
        <v>0.56899999999999995</v>
      </c>
      <c r="J485" s="970">
        <v>0.37</v>
      </c>
      <c r="K485" s="970">
        <v>0.67200000000000004</v>
      </c>
      <c r="L485" s="970">
        <v>0.41</v>
      </c>
      <c r="M485" s="971">
        <v>26</v>
      </c>
      <c r="N485" s="971">
        <v>17.899999999999999</v>
      </c>
      <c r="O485" s="971">
        <v>3.1</v>
      </c>
      <c r="P485" s="971">
        <v>3.1</v>
      </c>
      <c r="Q485" s="971">
        <v>8.1</v>
      </c>
      <c r="R485" t="s">
        <v>9258</v>
      </c>
      <c r="S485" t="s">
        <v>9336</v>
      </c>
      <c r="U485" t="s">
        <v>9333</v>
      </c>
      <c r="V485" s="871">
        <v>46293</v>
      </c>
      <c r="W48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21.14</v>
      </c>
      <c r="X48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3.1</v>
      </c>
      <c r="Y485" s="974">
        <f>IFERROR(tblConcentrado[[#This Row],[Concentrado (TMS)]]/tblConcentrado[[#This Row],[Mineral (TMS)]],"")</f>
        <v>0.8683035714285714</v>
      </c>
      <c r="Z485" s="973">
        <f>IFERROR(1/tblConcentrado[[#This Row],[% Recup.]],0)</f>
        <v>1.1516709511568124</v>
      </c>
      <c r="AA485" s="975" t="str">
        <f>IF(COUNTIFS(tblConcentrado[ID],tblConcentrado[[#This Row],[ID]])&gt;1,"Duplicado","")</f>
        <v/>
      </c>
    </row>
    <row r="486" spans="2:27">
      <c r="B486" s="976">
        <f>(YEAR(tblConcentrado[[#This Row],[Fecha]])*10000+MONTH(tblConcentrado[[#This Row],[Fecha]])*100+DAY(tblConcentrado[[#This Row],[Fecha]]))*100+tblConcentrado[[#This Row],[N° hora]]</f>
        <v>2026092112</v>
      </c>
      <c r="C486" s="871">
        <v>46286</v>
      </c>
      <c r="D486">
        <v>12</v>
      </c>
      <c r="E486" s="952">
        <v>0.83333333333333304</v>
      </c>
      <c r="F486" s="256">
        <v>1165</v>
      </c>
      <c r="G486" s="256">
        <v>618</v>
      </c>
      <c r="H486" s="970"/>
      <c r="I486" s="970"/>
      <c r="J486" s="970"/>
      <c r="K486" s="970"/>
      <c r="L486" s="970"/>
      <c r="M486" s="971"/>
      <c r="N486" s="971"/>
      <c r="O486" s="971"/>
      <c r="P486" s="971"/>
      <c r="Q486" s="971"/>
      <c r="R486" t="s">
        <v>9258</v>
      </c>
      <c r="S486" t="s">
        <v>244</v>
      </c>
      <c r="U486" t="s">
        <v>9333</v>
      </c>
      <c r="V486" s="871">
        <v>46293</v>
      </c>
      <c r="W48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8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86" s="974">
        <f>IFERROR(tblConcentrado[[#This Row],[Concentrado (TMS)]]/tblConcentrado[[#This Row],[Mineral (TMS)]],"")</f>
        <v>0.53047210300429182</v>
      </c>
      <c r="Z486" s="973">
        <f>IFERROR(1/tblConcentrado[[#This Row],[% Recup.]],0)</f>
        <v>1.8851132686084144</v>
      </c>
      <c r="AA486" s="975" t="str">
        <f>IF(COUNTIFS(tblConcentrado[ID],tblConcentrado[[#This Row],[ID]])&gt;1,"Duplicado","")</f>
        <v/>
      </c>
    </row>
    <row r="487" spans="2:27">
      <c r="B487" s="976">
        <f>(YEAR(tblConcentrado[[#This Row],[Fecha]])*10000+MONTH(tblConcentrado[[#This Row],[Fecha]])*100+DAY(tblConcentrado[[#This Row],[Fecha]]))*100+tblConcentrado[[#This Row],[N° hora]]</f>
        <v>2026092113</v>
      </c>
      <c r="C487" s="871">
        <v>46286</v>
      </c>
      <c r="D487">
        <v>13</v>
      </c>
      <c r="E487" s="952">
        <v>0.875</v>
      </c>
      <c r="F487" s="256">
        <v>1317</v>
      </c>
      <c r="G487" s="256">
        <v>624</v>
      </c>
      <c r="H487" s="970">
        <v>0.106</v>
      </c>
      <c r="I487" s="970">
        <v>0.65100000000000002</v>
      </c>
      <c r="J487" s="970">
        <v>0.43</v>
      </c>
      <c r="K487" s="970">
        <v>0.69299999999999995</v>
      </c>
      <c r="L487" s="970">
        <v>0.46</v>
      </c>
      <c r="M487" s="971">
        <v>24.5</v>
      </c>
      <c r="N487" s="971">
        <v>19</v>
      </c>
      <c r="O487" s="971">
        <v>3.3</v>
      </c>
      <c r="P487" s="971">
        <v>3.6</v>
      </c>
      <c r="Q487" s="971">
        <v>8.1999999999999993</v>
      </c>
      <c r="R487" t="s">
        <v>9258</v>
      </c>
      <c r="S487" t="s">
        <v>245</v>
      </c>
      <c r="U487" t="s">
        <v>9333</v>
      </c>
      <c r="V487" s="871">
        <v>46293</v>
      </c>
      <c r="W48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21.200000000000003</v>
      </c>
      <c r="X48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3.4800000000000004</v>
      </c>
      <c r="Y487" s="974">
        <f>IFERROR(tblConcentrado[[#This Row],[Concentrado (TMS)]]/tblConcentrado[[#This Row],[Mineral (TMS)]],"")</f>
        <v>0.47380410022779046</v>
      </c>
      <c r="Z487" s="973">
        <f>IFERROR(1/tblConcentrado[[#This Row],[% Recup.]],0)</f>
        <v>2.1105769230769229</v>
      </c>
      <c r="AA487" s="975" t="str">
        <f>IF(COUNTIFS(tblConcentrado[ID],tblConcentrado[[#This Row],[ID]])&gt;1,"Duplicado","")</f>
        <v/>
      </c>
    </row>
    <row r="488" spans="2:27">
      <c r="B488" s="976">
        <f>(YEAR(tblConcentrado[[#This Row],[Fecha]])*10000+MONTH(tblConcentrado[[#This Row],[Fecha]])*100+DAY(tblConcentrado[[#This Row],[Fecha]]))*100+tblConcentrado[[#This Row],[N° hora]]</f>
        <v>2026092114</v>
      </c>
      <c r="C488" s="871">
        <v>46286</v>
      </c>
      <c r="D488">
        <v>14</v>
      </c>
      <c r="E488" s="952">
        <v>0.91666666666666696</v>
      </c>
      <c r="F488" s="256">
        <v>1303</v>
      </c>
      <c r="G488" s="256">
        <v>689</v>
      </c>
      <c r="H488" s="970"/>
      <c r="I488" s="970"/>
      <c r="J488" s="970"/>
      <c r="K488" s="970"/>
      <c r="L488" s="970"/>
      <c r="M488" s="971"/>
      <c r="N488" s="971"/>
      <c r="O488" s="971"/>
      <c r="P488" s="971"/>
      <c r="Q488" s="971"/>
      <c r="R488" t="s">
        <v>9258</v>
      </c>
      <c r="S488" t="s">
        <v>246</v>
      </c>
      <c r="U488" t="s">
        <v>9333</v>
      </c>
      <c r="V488" s="871">
        <v>46293</v>
      </c>
      <c r="W48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8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88" s="974">
        <f>IFERROR(tblConcentrado[[#This Row],[Concentrado (TMS)]]/tblConcentrado[[#This Row],[Mineral (TMS)]],"")</f>
        <v>0.52877973906369913</v>
      </c>
      <c r="Z488" s="973">
        <f>IFERROR(1/tblConcentrado[[#This Row],[% Recup.]],0)</f>
        <v>1.891146589259797</v>
      </c>
      <c r="AA488" s="975" t="str">
        <f>IF(COUNTIFS(tblConcentrado[ID],tblConcentrado[[#This Row],[ID]])&gt;1,"Duplicado","")</f>
        <v/>
      </c>
    </row>
    <row r="489" spans="2:27">
      <c r="B489" s="976">
        <f>(YEAR(tblConcentrado[[#This Row],[Fecha]])*10000+MONTH(tblConcentrado[[#This Row],[Fecha]])*100+DAY(tblConcentrado[[#This Row],[Fecha]]))*100+tblConcentrado[[#This Row],[N° hora]]</f>
        <v>2026092115</v>
      </c>
      <c r="C489" s="871">
        <v>46286</v>
      </c>
      <c r="D489">
        <v>15</v>
      </c>
      <c r="E489" s="952">
        <v>0.95833333333333304</v>
      </c>
      <c r="F489" s="256">
        <v>1302</v>
      </c>
      <c r="G489" s="256">
        <v>863</v>
      </c>
      <c r="H489" s="970">
        <v>0.106</v>
      </c>
      <c r="I489" s="970">
        <v>0.77500000000000002</v>
      </c>
      <c r="J489" s="970">
        <v>0.49</v>
      </c>
      <c r="K489" s="970">
        <v>0.66200000000000003</v>
      </c>
      <c r="L489" s="970">
        <v>0.44</v>
      </c>
      <c r="M489" s="971">
        <v>23</v>
      </c>
      <c r="N489" s="971">
        <v>16</v>
      </c>
      <c r="O489" s="971">
        <v>2.8</v>
      </c>
      <c r="P489" s="971">
        <v>2.7</v>
      </c>
      <c r="Q489" s="971">
        <v>8.1</v>
      </c>
      <c r="R489" t="s">
        <v>9258</v>
      </c>
      <c r="S489" t="s">
        <v>247</v>
      </c>
      <c r="U489" t="s">
        <v>9333</v>
      </c>
      <c r="V489" s="871">
        <v>46293</v>
      </c>
      <c r="W48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18.8</v>
      </c>
      <c r="X48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2.74</v>
      </c>
      <c r="Y489" s="974">
        <f>IFERROR(tblConcentrado[[#This Row],[Concentrado (TMS)]]/tblConcentrado[[#This Row],[Mineral (TMS)]],"")</f>
        <v>0.66282642089093702</v>
      </c>
      <c r="Z489" s="973">
        <f>IFERROR(1/tblConcentrado[[#This Row],[% Recup.]],0)</f>
        <v>1.5086906141367324</v>
      </c>
      <c r="AA489" s="975" t="str">
        <f>IF(COUNTIFS(tblConcentrado[ID],tblConcentrado[[#This Row],[ID]])&gt;1,"Duplicado","")</f>
        <v/>
      </c>
    </row>
    <row r="490" spans="2:27">
      <c r="B490" s="976">
        <f>(YEAR(tblConcentrado[[#This Row],[Fecha]])*10000+MONTH(tblConcentrado[[#This Row],[Fecha]])*100+DAY(tblConcentrado[[#This Row],[Fecha]]))*100+tblConcentrado[[#This Row],[N° hora]]</f>
        <v>2026092116</v>
      </c>
      <c r="C490" s="871">
        <v>46286</v>
      </c>
      <c r="D490">
        <v>16</v>
      </c>
      <c r="E490" s="952">
        <v>0</v>
      </c>
      <c r="F490" s="256">
        <v>1292</v>
      </c>
      <c r="G490" s="256">
        <v>740</v>
      </c>
      <c r="H490" s="970"/>
      <c r="I490" s="970"/>
      <c r="J490" s="970"/>
      <c r="K490" s="970"/>
      <c r="L490" s="970"/>
      <c r="M490" s="971"/>
      <c r="N490" s="971"/>
      <c r="O490" s="971"/>
      <c r="P490" s="971"/>
      <c r="Q490" s="971"/>
      <c r="R490" t="s">
        <v>9258</v>
      </c>
      <c r="U490" t="s">
        <v>9333</v>
      </c>
      <c r="V490" s="871">
        <v>46293</v>
      </c>
      <c r="W49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9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90" s="974">
        <f>IFERROR(tblConcentrado[[#This Row],[Concentrado (TMS)]]/tblConcentrado[[#This Row],[Mineral (TMS)]],"")</f>
        <v>0.5727554179566563</v>
      </c>
      <c r="Z490" s="973">
        <f>IFERROR(1/tblConcentrado[[#This Row],[% Recup.]],0)</f>
        <v>1.7459459459459461</v>
      </c>
      <c r="AA490" s="975" t="str">
        <f>IF(COUNTIFS(tblConcentrado[ID],tblConcentrado[[#This Row],[ID]])&gt;1,"Duplicado","")</f>
        <v/>
      </c>
    </row>
    <row r="491" spans="2:27">
      <c r="B491" s="976">
        <f>(YEAR(tblConcentrado[[#This Row],[Fecha]])*10000+MONTH(tblConcentrado[[#This Row],[Fecha]])*100+DAY(tblConcentrado[[#This Row],[Fecha]]))*100+tblConcentrado[[#This Row],[N° hora]]</f>
        <v>2026092117</v>
      </c>
      <c r="C491" s="871">
        <v>46286</v>
      </c>
      <c r="D491">
        <v>17</v>
      </c>
      <c r="E491" s="952">
        <v>4.1666666666666699E-2</v>
      </c>
      <c r="F491" s="256">
        <v>1293</v>
      </c>
      <c r="G491" s="256">
        <v>781</v>
      </c>
      <c r="H491" s="970">
        <v>0.157</v>
      </c>
      <c r="I491" s="970">
        <v>0.66200000000000003</v>
      </c>
      <c r="J491" s="970">
        <v>0.44</v>
      </c>
      <c r="K491" s="970">
        <v>0.78</v>
      </c>
      <c r="L491" s="970">
        <v>0.5</v>
      </c>
      <c r="M491" s="971">
        <v>22.1</v>
      </c>
      <c r="N491" s="971">
        <v>14.1</v>
      </c>
      <c r="O491" s="971">
        <v>2.2999999999999998</v>
      </c>
      <c r="P491" s="971">
        <v>2.6</v>
      </c>
      <c r="Q491" s="971">
        <v>8.1999999999999993</v>
      </c>
      <c r="R491" t="s">
        <v>9258</v>
      </c>
      <c r="U491" t="s">
        <v>9333</v>
      </c>
      <c r="V491" s="871">
        <v>46293</v>
      </c>
      <c r="W49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17.3</v>
      </c>
      <c r="X49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2.48</v>
      </c>
      <c r="Y491" s="974">
        <f>IFERROR(tblConcentrado[[#This Row],[Concentrado (TMS)]]/tblConcentrado[[#This Row],[Mineral (TMS)]],"")</f>
        <v>0.60402165506573857</v>
      </c>
      <c r="Z491" s="973">
        <f>IFERROR(1/tblConcentrado[[#This Row],[% Recup.]],0)</f>
        <v>1.6555697823303457</v>
      </c>
      <c r="AA491" s="975" t="str">
        <f>IF(COUNTIFS(tblConcentrado[ID],tblConcentrado[[#This Row],[ID]])&gt;1,"Duplicado","")</f>
        <v/>
      </c>
    </row>
    <row r="492" spans="2:27">
      <c r="B492" s="976">
        <f>(YEAR(tblConcentrado[[#This Row],[Fecha]])*10000+MONTH(tblConcentrado[[#This Row],[Fecha]])*100+DAY(tblConcentrado[[#This Row],[Fecha]]))*100+tblConcentrado[[#This Row],[N° hora]]</f>
        <v>2026092118</v>
      </c>
      <c r="C492" s="871">
        <v>46286</v>
      </c>
      <c r="D492">
        <v>18</v>
      </c>
      <c r="E492" s="952">
        <v>8.3333333333333301E-2</v>
      </c>
      <c r="F492" s="256">
        <v>1318</v>
      </c>
      <c r="G492" s="256">
        <v>763</v>
      </c>
      <c r="H492" s="970"/>
      <c r="I492" s="970"/>
      <c r="J492" s="970"/>
      <c r="K492" s="970"/>
      <c r="L492" s="970"/>
      <c r="M492" s="971"/>
      <c r="N492" s="971"/>
      <c r="O492" s="971"/>
      <c r="P492" s="971"/>
      <c r="Q492" s="971"/>
      <c r="R492" t="s">
        <v>9258</v>
      </c>
      <c r="S492" t="s">
        <v>248</v>
      </c>
      <c r="U492" t="s">
        <v>9333</v>
      </c>
      <c r="V492" s="871">
        <v>46293</v>
      </c>
      <c r="W49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9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92" s="974">
        <f>IFERROR(tblConcentrado[[#This Row],[Concentrado (TMS)]]/tblConcentrado[[#This Row],[Mineral (TMS)]],"")</f>
        <v>0.578907435508346</v>
      </c>
      <c r="Z492" s="973">
        <f>IFERROR(1/tblConcentrado[[#This Row],[% Recup.]],0)</f>
        <v>1.7273918741808649</v>
      </c>
      <c r="AA492" s="975" t="str">
        <f>IF(COUNTIFS(tblConcentrado[ID],tblConcentrado[[#This Row],[ID]])&gt;1,"Duplicado","")</f>
        <v/>
      </c>
    </row>
    <row r="493" spans="2:27">
      <c r="B493" s="976">
        <f>(YEAR(tblConcentrado[[#This Row],[Fecha]])*10000+MONTH(tblConcentrado[[#This Row],[Fecha]])*100+DAY(tblConcentrado[[#This Row],[Fecha]]))*100+tblConcentrado[[#This Row],[N° hora]]</f>
        <v>2026092119</v>
      </c>
      <c r="C493" s="871">
        <v>46286</v>
      </c>
      <c r="D493">
        <v>19</v>
      </c>
      <c r="E493" s="952">
        <v>0.125</v>
      </c>
      <c r="F493" s="256">
        <v>1300</v>
      </c>
      <c r="G493" s="256">
        <v>800</v>
      </c>
      <c r="H493" s="970">
        <v>0.17199999999999999</v>
      </c>
      <c r="I493" s="970">
        <v>0.68200000000000005</v>
      </c>
      <c r="J493" s="970">
        <v>0.46</v>
      </c>
      <c r="K493" s="970">
        <v>0.68</v>
      </c>
      <c r="L493" s="970">
        <v>0.46</v>
      </c>
      <c r="M493" s="971">
        <v>16.8</v>
      </c>
      <c r="N493" s="971">
        <v>14.4</v>
      </c>
      <c r="O493" s="971">
        <v>0.6</v>
      </c>
      <c r="P493" s="971">
        <v>2.4</v>
      </c>
      <c r="Q493" s="971">
        <v>8.1</v>
      </c>
      <c r="R493" t="s">
        <v>9258</v>
      </c>
      <c r="U493" t="s">
        <v>9333</v>
      </c>
      <c r="V493" s="871">
        <v>46293</v>
      </c>
      <c r="W49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15.360000000000001</v>
      </c>
      <c r="X49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1.68</v>
      </c>
      <c r="Y493" s="974">
        <f>IFERROR(tblConcentrado[[#This Row],[Concentrado (TMS)]]/tblConcentrado[[#This Row],[Mineral (TMS)]],"")</f>
        <v>0.61538461538461542</v>
      </c>
      <c r="Z493" s="973">
        <f>IFERROR(1/tblConcentrado[[#This Row],[% Recup.]],0)</f>
        <v>1.625</v>
      </c>
      <c r="AA493" s="975" t="str">
        <f>IF(COUNTIFS(tblConcentrado[ID],tblConcentrado[[#This Row],[ID]])&gt;1,"Duplicado","")</f>
        <v/>
      </c>
    </row>
    <row r="494" spans="2:27">
      <c r="B494" s="976">
        <f>(YEAR(tblConcentrado[[#This Row],[Fecha]])*10000+MONTH(tblConcentrado[[#This Row],[Fecha]])*100+DAY(tblConcentrado[[#This Row],[Fecha]]))*100+tblConcentrado[[#This Row],[N° hora]]</f>
        <v>2026092120</v>
      </c>
      <c r="C494" s="871">
        <v>46286</v>
      </c>
      <c r="D494">
        <v>20</v>
      </c>
      <c r="E494" s="952">
        <v>0.16666666666666699</v>
      </c>
      <c r="F494" s="256">
        <v>1307</v>
      </c>
      <c r="G494" s="256">
        <v>818</v>
      </c>
      <c r="H494" s="970"/>
      <c r="I494" s="970"/>
      <c r="J494" s="970"/>
      <c r="K494" s="970"/>
      <c r="L494" s="970"/>
      <c r="M494" s="971"/>
      <c r="N494" s="971"/>
      <c r="O494" s="971"/>
      <c r="P494" s="971"/>
      <c r="Q494" s="971"/>
      <c r="R494" t="s">
        <v>9258</v>
      </c>
      <c r="U494" t="s">
        <v>9333</v>
      </c>
      <c r="V494" s="871">
        <v>46293</v>
      </c>
      <c r="W49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9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94" s="974">
        <f>IFERROR(tblConcentrado[[#This Row],[Concentrado (TMS)]]/tblConcentrado[[#This Row],[Mineral (TMS)]],"")</f>
        <v>0.62586074980872231</v>
      </c>
      <c r="Z494" s="973">
        <f>IFERROR(1/tblConcentrado[[#This Row],[% Recup.]],0)</f>
        <v>1.597799511002445</v>
      </c>
      <c r="AA494" s="975" t="str">
        <f>IF(COUNTIFS(tblConcentrado[ID],tblConcentrado[[#This Row],[ID]])&gt;1,"Duplicado","")</f>
        <v/>
      </c>
    </row>
    <row r="495" spans="2:27">
      <c r="B495" s="976">
        <f>(YEAR(tblConcentrado[[#This Row],[Fecha]])*10000+MONTH(tblConcentrado[[#This Row],[Fecha]])*100+DAY(tblConcentrado[[#This Row],[Fecha]]))*100+tblConcentrado[[#This Row],[N° hora]]</f>
        <v>2026092121</v>
      </c>
      <c r="C495" s="871">
        <v>46286</v>
      </c>
      <c r="D495">
        <v>21</v>
      </c>
      <c r="E495" s="952">
        <v>0.20833333333333301</v>
      </c>
      <c r="F495" s="256">
        <v>1301</v>
      </c>
      <c r="G495" s="256">
        <v>789</v>
      </c>
      <c r="H495" s="970">
        <v>0.16200000000000001</v>
      </c>
      <c r="I495" s="970">
        <v>0.61399999999999999</v>
      </c>
      <c r="J495" s="970">
        <v>0.41</v>
      </c>
      <c r="K495" s="970">
        <v>0.82</v>
      </c>
      <c r="L495" s="970">
        <v>0.53</v>
      </c>
      <c r="M495" s="971">
        <v>20.100000000000001</v>
      </c>
      <c r="N495" s="971">
        <v>12.8</v>
      </c>
      <c r="O495" s="971">
        <v>1.6</v>
      </c>
      <c r="P495" s="971">
        <v>1.9</v>
      </c>
      <c r="Q495" s="971">
        <v>8.1</v>
      </c>
      <c r="R495" t="s">
        <v>9258</v>
      </c>
      <c r="U495" t="s">
        <v>9333</v>
      </c>
      <c r="V495" s="871">
        <v>46293</v>
      </c>
      <c r="W49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15.72</v>
      </c>
      <c r="X49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1.78</v>
      </c>
      <c r="Y495" s="974">
        <f>IFERROR(tblConcentrado[[#This Row],[Concentrado (TMS)]]/tblConcentrado[[#This Row],[Mineral (TMS)]],"")</f>
        <v>0.606456571867794</v>
      </c>
      <c r="Z495" s="973">
        <f>IFERROR(1/tblConcentrado[[#This Row],[% Recup.]],0)</f>
        <v>1.6489226869455007</v>
      </c>
      <c r="AA495" s="975" t="str">
        <f>IF(COUNTIFS(tblConcentrado[ID],tblConcentrado[[#This Row],[ID]])&gt;1,"Duplicado","")</f>
        <v/>
      </c>
    </row>
    <row r="496" spans="2:27">
      <c r="B496" s="976">
        <f>(YEAR(tblConcentrado[[#This Row],[Fecha]])*10000+MONTH(tblConcentrado[[#This Row],[Fecha]])*100+DAY(tblConcentrado[[#This Row],[Fecha]]))*100+tblConcentrado[[#This Row],[N° hora]]</f>
        <v>2026092122</v>
      </c>
      <c r="C496" s="871">
        <v>46286</v>
      </c>
      <c r="D496">
        <v>22</v>
      </c>
      <c r="E496" s="952">
        <v>0.25</v>
      </c>
      <c r="F496" s="256">
        <v>1317</v>
      </c>
      <c r="G496" s="256">
        <v>889</v>
      </c>
      <c r="H496" s="970"/>
      <c r="I496" s="970"/>
      <c r="J496" s="970"/>
      <c r="K496" s="970"/>
      <c r="L496" s="970"/>
      <c r="M496" s="971"/>
      <c r="N496" s="971"/>
      <c r="O496" s="971"/>
      <c r="P496" s="971"/>
      <c r="Q496" s="971"/>
      <c r="R496" t="s">
        <v>9258</v>
      </c>
      <c r="U496" t="s">
        <v>9333</v>
      </c>
      <c r="V496" s="871">
        <v>46293</v>
      </c>
      <c r="W49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9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96" s="974">
        <f>IFERROR(tblConcentrado[[#This Row],[Concentrado (TMS)]]/tblConcentrado[[#This Row],[Mineral (TMS)]],"")</f>
        <v>0.67501898253606685</v>
      </c>
      <c r="Z496" s="973">
        <f>IFERROR(1/tblConcentrado[[#This Row],[% Recup.]],0)</f>
        <v>1.4814398200224972</v>
      </c>
      <c r="AA496" s="975" t="str">
        <f>IF(COUNTIFS(tblConcentrado[ID],tblConcentrado[[#This Row],[ID]])&gt;1,"Duplicado","")</f>
        <v/>
      </c>
    </row>
    <row r="497" spans="2:27">
      <c r="B497" s="976">
        <f>(YEAR(tblConcentrado[[#This Row],[Fecha]])*10000+MONTH(tblConcentrado[[#This Row],[Fecha]])*100+DAY(tblConcentrado[[#This Row],[Fecha]]))*100+tblConcentrado[[#This Row],[N° hora]]</f>
        <v>2026092123</v>
      </c>
      <c r="C497" s="871">
        <v>46286</v>
      </c>
      <c r="D497">
        <v>23</v>
      </c>
      <c r="E497" s="952">
        <v>0.29166666666666702</v>
      </c>
      <c r="F497" s="256">
        <v>1285</v>
      </c>
      <c r="G497" s="256">
        <v>697</v>
      </c>
      <c r="H497" s="970">
        <v>0.155</v>
      </c>
      <c r="I497" s="970">
        <v>0.60399999999999998</v>
      </c>
      <c r="J497" s="970">
        <v>0.4</v>
      </c>
      <c r="K497" s="970">
        <v>0.72699999999999998</v>
      </c>
      <c r="L497" s="970">
        <v>0.48</v>
      </c>
      <c r="M497" s="971">
        <v>21.5</v>
      </c>
      <c r="N497" s="971">
        <v>16.5</v>
      </c>
      <c r="O497" s="971">
        <v>2.5</v>
      </c>
      <c r="P497" s="971">
        <v>2.5</v>
      </c>
      <c r="Q497" s="971">
        <v>8.1</v>
      </c>
      <c r="R497" t="s">
        <v>9258</v>
      </c>
      <c r="U497" t="s">
        <v>9333</v>
      </c>
      <c r="V497" s="871">
        <v>46293</v>
      </c>
      <c r="W49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18.5</v>
      </c>
      <c r="X49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v>
      </c>
      <c r="Y497" s="974">
        <f>IFERROR(tblConcentrado[[#This Row],[Concentrado (TMS)]]/tblConcentrado[[#This Row],[Mineral (TMS)]],"")</f>
        <v>0.54241245136186766</v>
      </c>
      <c r="Z497" s="973">
        <f>IFERROR(1/tblConcentrado[[#This Row],[% Recup.]],0)</f>
        <v>1.8436154949784793</v>
      </c>
      <c r="AA497" s="975" t="str">
        <f>IF(COUNTIFS(tblConcentrado[ID],tblConcentrado[[#This Row],[ID]])&gt;1,"Duplicado","")</f>
        <v/>
      </c>
    </row>
    <row r="498" spans="2:27">
      <c r="B498" s="976">
        <f>(YEAR(tblConcentrado[[#This Row],[Fecha]])*10000+MONTH(tblConcentrado[[#This Row],[Fecha]])*100+DAY(tblConcentrado[[#This Row],[Fecha]]))*100+tblConcentrado[[#This Row],[N° hora]]</f>
        <v>2026092124</v>
      </c>
      <c r="C498" s="871">
        <v>46286</v>
      </c>
      <c r="D498">
        <v>24</v>
      </c>
      <c r="E498" s="952">
        <v>0.33333333333333298</v>
      </c>
      <c r="F498" s="256">
        <v>1158</v>
      </c>
      <c r="G498" s="256">
        <v>740</v>
      </c>
      <c r="H498" s="970"/>
      <c r="I498" s="970"/>
      <c r="J498" s="970"/>
      <c r="K498" s="970"/>
      <c r="L498" s="970"/>
      <c r="M498" s="971"/>
      <c r="N498" s="971"/>
      <c r="O498" s="971"/>
      <c r="P498" s="971"/>
      <c r="Q498" s="971"/>
      <c r="R498" t="s">
        <v>9258</v>
      </c>
      <c r="U498" t="s">
        <v>9333</v>
      </c>
      <c r="V498" s="871">
        <v>46293</v>
      </c>
      <c r="W49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49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498" s="974">
        <f>IFERROR(tblConcentrado[[#This Row],[Concentrado (TMS)]]/tblConcentrado[[#This Row],[Mineral (TMS)]],"")</f>
        <v>0.63903281519861832</v>
      </c>
      <c r="Z498" s="973">
        <f>IFERROR(1/tblConcentrado[[#This Row],[% Recup.]],0)</f>
        <v>1.5648648648648649</v>
      </c>
      <c r="AA498" s="975" t="str">
        <f>IF(COUNTIFS(tblConcentrado[ID],tblConcentrado[[#This Row],[ID]])&gt;1,"Duplicado","")</f>
        <v/>
      </c>
    </row>
    <row r="499" spans="2:27">
      <c r="B499" s="976">
        <f>(YEAR(tblConcentrado[[#This Row],[Fecha]])*10000+MONTH(tblConcentrado[[#This Row],[Fecha]])*100+DAY(tblConcentrado[[#This Row],[Fecha]]))*100+tblConcentrado[[#This Row],[N° hora]]</f>
        <v>2026092201</v>
      </c>
      <c r="C499" s="871">
        <v>46287</v>
      </c>
      <c r="D499">
        <v>1</v>
      </c>
      <c r="E499" s="952">
        <v>0.375</v>
      </c>
      <c r="F499" s="256">
        <v>1181</v>
      </c>
      <c r="G499" s="256">
        <v>816</v>
      </c>
      <c r="H499" s="970">
        <v>0.13800000000000001</v>
      </c>
      <c r="I499" s="970">
        <v>0.71</v>
      </c>
      <c r="J499" s="970">
        <v>0.44</v>
      </c>
      <c r="K499" s="970">
        <v>0.56399999999999995</v>
      </c>
      <c r="L499" s="970">
        <v>0.36</v>
      </c>
      <c r="M499" s="971">
        <v>21.9</v>
      </c>
      <c r="N499" s="971">
        <v>15.4</v>
      </c>
      <c r="O499" s="971">
        <v>2.9</v>
      </c>
      <c r="P499" s="971">
        <v>2.6</v>
      </c>
      <c r="Q499" s="971">
        <v>8.4</v>
      </c>
      <c r="R499" t="s">
        <v>9258</v>
      </c>
      <c r="U499" t="s">
        <v>9333</v>
      </c>
      <c r="V499" s="871">
        <v>46293</v>
      </c>
      <c r="W49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v>
      </c>
      <c r="X49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2.7199999999999998</v>
      </c>
      <c r="Y499" s="974">
        <f>IFERROR(tblConcentrado[[#This Row],[Concentrado (TMS)]]/tblConcentrado[[#This Row],[Mineral (TMS)]],"")</f>
        <v>0.69093988145639285</v>
      </c>
      <c r="Z499" s="973">
        <f>IFERROR(1/tblConcentrado[[#This Row],[% Recup.]],0)</f>
        <v>1.4473039215686276</v>
      </c>
      <c r="AA499" s="975" t="str">
        <f>IF(COUNTIFS(tblConcentrado[ID],tblConcentrado[[#This Row],[ID]])&gt;1,"Duplicado","")</f>
        <v/>
      </c>
    </row>
    <row r="500" spans="2:27">
      <c r="B500" s="976">
        <f>(YEAR(tblConcentrado[[#This Row],[Fecha]])*10000+MONTH(tblConcentrado[[#This Row],[Fecha]])*100+DAY(tblConcentrado[[#This Row],[Fecha]]))*100+tblConcentrado[[#This Row],[N° hora]]</f>
        <v>2026092202</v>
      </c>
      <c r="C500" s="871">
        <v>46287</v>
      </c>
      <c r="D500">
        <v>2</v>
      </c>
      <c r="E500" s="952">
        <v>0.41666666666666702</v>
      </c>
      <c r="F500" s="256">
        <v>1318</v>
      </c>
      <c r="G500" s="256">
        <v>711</v>
      </c>
      <c r="H500" s="970"/>
      <c r="I500" s="970"/>
      <c r="J500" s="970"/>
      <c r="K500" s="970"/>
      <c r="L500" s="970"/>
      <c r="M500" s="971"/>
      <c r="N500" s="971"/>
      <c r="O500" s="971"/>
      <c r="P500" s="971"/>
      <c r="Q500" s="971"/>
      <c r="R500" t="s">
        <v>9258</v>
      </c>
      <c r="U500" t="s">
        <v>9333</v>
      </c>
      <c r="V500" s="871">
        <v>46293</v>
      </c>
      <c r="W50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0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00" s="974">
        <f>IFERROR(tblConcentrado[[#This Row],[Concentrado (TMS)]]/tblConcentrado[[#This Row],[Mineral (TMS)]],"")</f>
        <v>0.53945371775417295</v>
      </c>
      <c r="Z500" s="973">
        <f>IFERROR(1/tblConcentrado[[#This Row],[% Recup.]],0)</f>
        <v>1.8537271448663855</v>
      </c>
      <c r="AA500" s="975" t="str">
        <f>IF(COUNTIFS(tblConcentrado[ID],tblConcentrado[[#This Row],[ID]])&gt;1,"Duplicado","")</f>
        <v/>
      </c>
    </row>
    <row r="501" spans="2:27">
      <c r="B501" s="976">
        <f>(YEAR(tblConcentrado[[#This Row],[Fecha]])*10000+MONTH(tblConcentrado[[#This Row],[Fecha]])*100+DAY(tblConcentrado[[#This Row],[Fecha]]))*100+tblConcentrado[[#This Row],[N° hora]]</f>
        <v>2026092203</v>
      </c>
      <c r="C501" s="871">
        <v>46287</v>
      </c>
      <c r="D501">
        <v>3</v>
      </c>
      <c r="E501" s="952">
        <v>0.45833333333333298</v>
      </c>
      <c r="F501" s="256">
        <v>1434</v>
      </c>
      <c r="G501" s="256">
        <v>882</v>
      </c>
      <c r="H501" s="970">
        <v>0.126</v>
      </c>
      <c r="I501" s="970">
        <v>0.69699999999999995</v>
      </c>
      <c r="J501" s="970">
        <v>0.44</v>
      </c>
      <c r="K501" s="970">
        <v>0.53600000000000003</v>
      </c>
      <c r="L501" s="970">
        <v>0.36</v>
      </c>
      <c r="M501" s="971">
        <v>21</v>
      </c>
      <c r="N501" s="971">
        <v>14.9</v>
      </c>
      <c r="O501" s="971">
        <v>2.4</v>
      </c>
      <c r="P501" s="971">
        <v>2.4</v>
      </c>
      <c r="Q501" s="971">
        <v>8.5</v>
      </c>
      <c r="R501" t="s">
        <v>9258</v>
      </c>
      <c r="U501" t="s">
        <v>9333</v>
      </c>
      <c r="V501" s="871">
        <v>46293</v>
      </c>
      <c r="W50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17.34</v>
      </c>
      <c r="X50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v>
      </c>
      <c r="Y501" s="974">
        <f>IFERROR(tblConcentrado[[#This Row],[Concentrado (TMS)]]/tblConcentrado[[#This Row],[Mineral (TMS)]],"")</f>
        <v>0.61506276150627615</v>
      </c>
      <c r="Z501" s="973">
        <f>IFERROR(1/tblConcentrado[[#This Row],[% Recup.]],0)</f>
        <v>1.6258503401360545</v>
      </c>
      <c r="AA501" s="975" t="str">
        <f>IF(COUNTIFS(tblConcentrado[ID],tblConcentrado[[#This Row],[ID]])&gt;1,"Duplicado","")</f>
        <v/>
      </c>
    </row>
    <row r="502" spans="2:27">
      <c r="B502" s="976">
        <f>(YEAR(tblConcentrado[[#This Row],[Fecha]])*10000+MONTH(tblConcentrado[[#This Row],[Fecha]])*100+DAY(tblConcentrado[[#This Row],[Fecha]]))*100+tblConcentrado[[#This Row],[N° hora]]</f>
        <v>2026092204</v>
      </c>
      <c r="C502" s="871">
        <v>46287</v>
      </c>
      <c r="D502">
        <v>4</v>
      </c>
      <c r="E502" s="952">
        <v>0.5</v>
      </c>
      <c r="F502" s="256">
        <v>1343</v>
      </c>
      <c r="G502" s="256">
        <v>864</v>
      </c>
      <c r="H502" s="970"/>
      <c r="I502" s="970"/>
      <c r="J502" s="970"/>
      <c r="K502" s="970"/>
      <c r="L502" s="970"/>
      <c r="M502" s="971"/>
      <c r="N502" s="971"/>
      <c r="O502" s="971"/>
      <c r="P502" s="971"/>
      <c r="Q502" s="971"/>
      <c r="R502" t="s">
        <v>9258</v>
      </c>
      <c r="U502" t="s">
        <v>9333</v>
      </c>
      <c r="V502" s="871">
        <v>46293</v>
      </c>
      <c r="W50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0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02" s="974">
        <f>IFERROR(tblConcentrado[[#This Row],[Concentrado (TMS)]]/tblConcentrado[[#This Row],[Mineral (TMS)]],"")</f>
        <v>0.64333581533879369</v>
      </c>
      <c r="Z502" s="973">
        <f>IFERROR(1/tblConcentrado[[#This Row],[% Recup.]],0)</f>
        <v>1.5543981481481484</v>
      </c>
      <c r="AA502" s="975" t="str">
        <f>IF(COUNTIFS(tblConcentrado[ID],tblConcentrado[[#This Row],[ID]])&gt;1,"Duplicado","")</f>
        <v/>
      </c>
    </row>
    <row r="503" spans="2:27">
      <c r="B503" s="976">
        <f>(YEAR(tblConcentrado[[#This Row],[Fecha]])*10000+MONTH(tblConcentrado[[#This Row],[Fecha]])*100+DAY(tblConcentrado[[#This Row],[Fecha]]))*100+tblConcentrado[[#This Row],[N° hora]]</f>
        <v>2026092205</v>
      </c>
      <c r="C503" s="871">
        <v>46287</v>
      </c>
      <c r="D503">
        <v>5</v>
      </c>
      <c r="E503" s="952">
        <v>0.54166666666666696</v>
      </c>
      <c r="F503" s="256">
        <v>1418</v>
      </c>
      <c r="G503" s="256">
        <v>1070</v>
      </c>
      <c r="H503" s="970">
        <v>0.14399999999999999</v>
      </c>
      <c r="I503" s="970">
        <v>0.50700000000000001</v>
      </c>
      <c r="J503" s="970">
        <v>0.36</v>
      </c>
      <c r="K503" s="970">
        <v>0.57699999999999996</v>
      </c>
      <c r="L503" s="970">
        <v>0.37</v>
      </c>
      <c r="M503" s="971">
        <v>20.8</v>
      </c>
      <c r="N503" s="971">
        <v>14.8</v>
      </c>
      <c r="O503" s="971">
        <v>2.2999999999999998</v>
      </c>
      <c r="P503" s="971">
        <v>2.2999999999999998</v>
      </c>
      <c r="Q503" s="971">
        <v>8.5</v>
      </c>
      <c r="R503" t="s">
        <v>9258</v>
      </c>
      <c r="U503" t="s">
        <v>9333</v>
      </c>
      <c r="V503" s="871">
        <v>46293</v>
      </c>
      <c r="W50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17.200000000000003</v>
      </c>
      <c r="X50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2.2999999999999998</v>
      </c>
      <c r="Y503" s="974">
        <f>IFERROR(tblConcentrado[[#This Row],[Concentrado (TMS)]]/tblConcentrado[[#This Row],[Mineral (TMS)]],"")</f>
        <v>0.75458392101551486</v>
      </c>
      <c r="Z503" s="973">
        <f>IFERROR(1/tblConcentrado[[#This Row],[% Recup.]],0)</f>
        <v>1.325233644859813</v>
      </c>
      <c r="AA503" s="975" t="str">
        <f>IF(COUNTIFS(tblConcentrado[ID],tblConcentrado[[#This Row],[ID]])&gt;1,"Duplicado","")</f>
        <v/>
      </c>
    </row>
    <row r="504" spans="2:27">
      <c r="B504" s="976">
        <f>(YEAR(tblConcentrado[[#This Row],[Fecha]])*10000+MONTH(tblConcentrado[[#This Row],[Fecha]])*100+DAY(tblConcentrado[[#This Row],[Fecha]]))*100+tblConcentrado[[#This Row],[N° hora]]</f>
        <v>2026092206</v>
      </c>
      <c r="C504" s="871">
        <v>46287</v>
      </c>
      <c r="D504">
        <v>6</v>
      </c>
      <c r="E504" s="952">
        <v>0.58333333333333304</v>
      </c>
      <c r="F504" s="256">
        <v>1497</v>
      </c>
      <c r="G504" s="256">
        <v>985</v>
      </c>
      <c r="H504" s="970"/>
      <c r="I504" s="970"/>
      <c r="J504" s="970"/>
      <c r="K504" s="970"/>
      <c r="L504" s="970"/>
      <c r="M504" s="971"/>
      <c r="N504" s="971"/>
      <c r="O504" s="971"/>
      <c r="P504" s="971"/>
      <c r="Q504" s="971"/>
      <c r="R504" t="s">
        <v>9258</v>
      </c>
      <c r="U504" t="s">
        <v>9333</v>
      </c>
      <c r="V504" s="871">
        <v>46293</v>
      </c>
      <c r="W50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0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04" s="974">
        <f>IFERROR(tblConcentrado[[#This Row],[Concentrado (TMS)]]/tblConcentrado[[#This Row],[Mineral (TMS)]],"")</f>
        <v>0.65798263193052775</v>
      </c>
      <c r="Z504" s="973">
        <f>IFERROR(1/tblConcentrado[[#This Row],[% Recup.]],0)</f>
        <v>1.5197969543147207</v>
      </c>
      <c r="AA504" s="975" t="str">
        <f>IF(COUNTIFS(tblConcentrado[ID],tblConcentrado[[#This Row],[ID]])&gt;1,"Duplicado","")</f>
        <v/>
      </c>
    </row>
    <row r="505" spans="2:27">
      <c r="B505" s="976">
        <f>(YEAR(tblConcentrado[[#This Row],[Fecha]])*10000+MONTH(tblConcentrado[[#This Row],[Fecha]])*100+DAY(tblConcentrado[[#This Row],[Fecha]]))*100+tblConcentrado[[#This Row],[N° hora]]</f>
        <v>2026092207</v>
      </c>
      <c r="C505" s="871">
        <v>46287</v>
      </c>
      <c r="D505">
        <v>7</v>
      </c>
      <c r="E505" s="952">
        <v>0.625</v>
      </c>
      <c r="F505" s="256">
        <v>1529</v>
      </c>
      <c r="G505" s="256">
        <v>957</v>
      </c>
      <c r="H505" s="970">
        <v>0.158</v>
      </c>
      <c r="I505" s="970">
        <v>0.52400000000000002</v>
      </c>
      <c r="J505" s="970">
        <v>0.36</v>
      </c>
      <c r="K505" s="970">
        <v>0.60799999999999998</v>
      </c>
      <c r="L505" s="970">
        <v>0.38</v>
      </c>
      <c r="M505" s="971">
        <v>20.6</v>
      </c>
      <c r="N505" s="971">
        <v>15.7</v>
      </c>
      <c r="O505" s="971">
        <v>2.2000000000000002</v>
      </c>
      <c r="P505" s="971">
        <v>2.2999999999999998</v>
      </c>
      <c r="Q505" s="971">
        <v>8.4</v>
      </c>
      <c r="R505" t="s">
        <v>9258</v>
      </c>
      <c r="U505" t="s">
        <v>9333</v>
      </c>
      <c r="V505" s="871">
        <v>46293</v>
      </c>
      <c r="W50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17.66</v>
      </c>
      <c r="X50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2.2599999999999998</v>
      </c>
      <c r="Y505" s="974">
        <f>IFERROR(tblConcentrado[[#This Row],[Concentrado (TMS)]]/tblConcentrado[[#This Row],[Mineral (TMS)]],"")</f>
        <v>0.62589928057553956</v>
      </c>
      <c r="Z505" s="973">
        <f>IFERROR(1/tblConcentrado[[#This Row],[% Recup.]],0)</f>
        <v>1.5977011494252873</v>
      </c>
      <c r="AA505" s="975" t="str">
        <f>IF(COUNTIFS(tblConcentrado[ID],tblConcentrado[[#This Row],[ID]])&gt;1,"Duplicado","")</f>
        <v/>
      </c>
    </row>
    <row r="506" spans="2:27">
      <c r="B506" s="976">
        <f>(YEAR(tblConcentrado[[#This Row],[Fecha]])*10000+MONTH(tblConcentrado[[#This Row],[Fecha]])*100+DAY(tblConcentrado[[#This Row],[Fecha]]))*100+tblConcentrado[[#This Row],[N° hora]]</f>
        <v>2026092208</v>
      </c>
      <c r="C506" s="871">
        <v>46287</v>
      </c>
      <c r="D506">
        <v>8</v>
      </c>
      <c r="E506" s="952">
        <v>0.66666666666666696</v>
      </c>
      <c r="F506" s="256">
        <v>1491</v>
      </c>
      <c r="G506" s="256">
        <v>974</v>
      </c>
      <c r="H506" s="970"/>
      <c r="I506" s="970"/>
      <c r="J506" s="970"/>
      <c r="K506" s="970"/>
      <c r="L506" s="970"/>
      <c r="M506" s="971"/>
      <c r="N506" s="971"/>
      <c r="O506" s="971"/>
      <c r="P506" s="971"/>
      <c r="Q506" s="971"/>
      <c r="R506" t="s">
        <v>9258</v>
      </c>
      <c r="U506" t="s">
        <v>9333</v>
      </c>
      <c r="V506" s="871">
        <v>46293</v>
      </c>
      <c r="W50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0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06" s="974">
        <f>IFERROR(tblConcentrado[[#This Row],[Concentrado (TMS)]]/tblConcentrado[[#This Row],[Mineral (TMS)]],"")</f>
        <v>0.65325285043594905</v>
      </c>
      <c r="Z506" s="973">
        <f>IFERROR(1/tblConcentrado[[#This Row],[% Recup.]],0)</f>
        <v>1.530800821355236</v>
      </c>
      <c r="AA506" s="975" t="str">
        <f>IF(COUNTIFS(tblConcentrado[ID],tblConcentrado[[#This Row],[ID]])&gt;1,"Duplicado","")</f>
        <v/>
      </c>
    </row>
    <row r="507" spans="2:27">
      <c r="B507" s="976">
        <f>(YEAR(tblConcentrado[[#This Row],[Fecha]])*10000+MONTH(tblConcentrado[[#This Row],[Fecha]])*100+DAY(tblConcentrado[[#This Row],[Fecha]]))*100+tblConcentrado[[#This Row],[N° hora]]</f>
        <v>2026092209</v>
      </c>
      <c r="C507" s="871">
        <v>46287</v>
      </c>
      <c r="D507">
        <v>9</v>
      </c>
      <c r="E507" s="952">
        <v>0.70833333333333304</v>
      </c>
      <c r="F507" s="256">
        <v>1412</v>
      </c>
      <c r="G507" s="256">
        <v>1141</v>
      </c>
      <c r="H507" s="970">
        <v>0.185</v>
      </c>
      <c r="I507" s="970">
        <v>0.67</v>
      </c>
      <c r="J507" s="970">
        <v>0.43</v>
      </c>
      <c r="K507" s="970">
        <v>0.60299999999999998</v>
      </c>
      <c r="L507" s="970">
        <v>0.38</v>
      </c>
      <c r="M507" s="971">
        <v>22.1</v>
      </c>
      <c r="N507" s="971">
        <v>13.8</v>
      </c>
      <c r="O507" s="971">
        <v>1.9</v>
      </c>
      <c r="P507" s="971">
        <v>1.5</v>
      </c>
      <c r="Q507" s="971">
        <v>8.4</v>
      </c>
      <c r="R507" t="s">
        <v>9258</v>
      </c>
      <c r="S507" t="s">
        <v>249</v>
      </c>
      <c r="U507" t="s">
        <v>9333</v>
      </c>
      <c r="V507" s="871">
        <v>46293</v>
      </c>
      <c r="W50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17.12</v>
      </c>
      <c r="X50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1.66</v>
      </c>
      <c r="Y507" s="974">
        <f>IFERROR(tblConcentrado[[#This Row],[Concentrado (TMS)]]/tblConcentrado[[#This Row],[Mineral (TMS)]],"")</f>
        <v>0.80807365439093481</v>
      </c>
      <c r="Z507" s="973">
        <f>IFERROR(1/tblConcentrado[[#This Row],[% Recup.]],0)</f>
        <v>1.2375109553023664</v>
      </c>
      <c r="AA507" s="975" t="str">
        <f>IF(COUNTIFS(tblConcentrado[ID],tblConcentrado[[#This Row],[ID]])&gt;1,"Duplicado","")</f>
        <v/>
      </c>
    </row>
    <row r="508" spans="2:27">
      <c r="B508" s="976">
        <f>(YEAR(tblConcentrado[[#This Row],[Fecha]])*10000+MONTH(tblConcentrado[[#This Row],[Fecha]])*100+DAY(tblConcentrado[[#This Row],[Fecha]]))*100+tblConcentrado[[#This Row],[N° hora]]</f>
        <v>2026092210</v>
      </c>
      <c r="C508" s="871">
        <v>46287</v>
      </c>
      <c r="D508">
        <v>10</v>
      </c>
      <c r="E508" s="952">
        <v>0.75</v>
      </c>
      <c r="F508" s="256">
        <v>1394</v>
      </c>
      <c r="G508" s="256">
        <v>1005</v>
      </c>
      <c r="H508" s="970"/>
      <c r="I508" s="970"/>
      <c r="J508" s="970"/>
      <c r="K508" s="970"/>
      <c r="L508" s="970"/>
      <c r="M508" s="971"/>
      <c r="N508" s="971"/>
      <c r="O508" s="971"/>
      <c r="P508" s="971"/>
      <c r="Q508" s="971"/>
      <c r="R508" t="s">
        <v>9258</v>
      </c>
      <c r="S508" t="s">
        <v>250</v>
      </c>
      <c r="U508" t="s">
        <v>9333</v>
      </c>
      <c r="V508" s="871">
        <v>46293</v>
      </c>
      <c r="W50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0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08" s="974">
        <f>IFERROR(tblConcentrado[[#This Row],[Concentrado (TMS)]]/tblConcentrado[[#This Row],[Mineral (TMS)]],"")</f>
        <v>0.72094691535150646</v>
      </c>
      <c r="Z508" s="973">
        <f>IFERROR(1/tblConcentrado[[#This Row],[% Recup.]],0)</f>
        <v>1.3870646766169155</v>
      </c>
      <c r="AA508" s="975" t="str">
        <f>IF(COUNTIFS(tblConcentrado[ID],tblConcentrado[[#This Row],[ID]])&gt;1,"Duplicado","")</f>
        <v/>
      </c>
    </row>
    <row r="509" spans="2:27">
      <c r="B509" s="976">
        <f>(YEAR(tblConcentrado[[#This Row],[Fecha]])*10000+MONTH(tblConcentrado[[#This Row],[Fecha]])*100+DAY(tblConcentrado[[#This Row],[Fecha]]))*100+tblConcentrado[[#This Row],[N° hora]]</f>
        <v>2026092211</v>
      </c>
      <c r="C509" s="871">
        <v>46287</v>
      </c>
      <c r="D509">
        <v>11</v>
      </c>
      <c r="E509" s="952">
        <v>0.79166666666666696</v>
      </c>
      <c r="F509" s="256">
        <v>1265</v>
      </c>
      <c r="G509" s="256">
        <v>946</v>
      </c>
      <c r="H509" s="970">
        <v>0.19700000000000001</v>
      </c>
      <c r="I509" s="970">
        <v>0.63100000000000001</v>
      </c>
      <c r="J509" s="970">
        <v>0.41</v>
      </c>
      <c r="K509" s="970">
        <v>0.56899999999999995</v>
      </c>
      <c r="L509" s="970">
        <v>0.36</v>
      </c>
      <c r="M509" s="971">
        <v>25.7</v>
      </c>
      <c r="N509" s="971">
        <v>13.6</v>
      </c>
      <c r="O509" s="971">
        <v>2.2999999999999998</v>
      </c>
      <c r="P509" s="971">
        <v>1.9</v>
      </c>
      <c r="Q509" s="971">
        <v>8.6</v>
      </c>
      <c r="R509" t="s">
        <v>9258</v>
      </c>
      <c r="S509" t="s">
        <v>251</v>
      </c>
      <c r="U509" t="s">
        <v>9333</v>
      </c>
      <c r="V509" s="871">
        <v>46293</v>
      </c>
      <c r="W50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18.440000000000001</v>
      </c>
      <c r="X50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2.0599999999999996</v>
      </c>
      <c r="Y509" s="974">
        <f>IFERROR(tblConcentrado[[#This Row],[Concentrado (TMS)]]/tblConcentrado[[#This Row],[Mineral (TMS)]],"")</f>
        <v>0.74782608695652175</v>
      </c>
      <c r="Z509" s="973">
        <f>IFERROR(1/tblConcentrado[[#This Row],[% Recup.]],0)</f>
        <v>1.3372093023255813</v>
      </c>
      <c r="AA509" s="975" t="str">
        <f>IF(COUNTIFS(tblConcentrado[ID],tblConcentrado[[#This Row],[ID]])&gt;1,"Duplicado","")</f>
        <v/>
      </c>
    </row>
    <row r="510" spans="2:27">
      <c r="B510" s="976">
        <f>(YEAR(tblConcentrado[[#This Row],[Fecha]])*10000+MONTH(tblConcentrado[[#This Row],[Fecha]])*100+DAY(tblConcentrado[[#This Row],[Fecha]]))*100+tblConcentrado[[#This Row],[N° hora]]</f>
        <v>2026092212</v>
      </c>
      <c r="C510" s="871">
        <v>46287</v>
      </c>
      <c r="D510">
        <v>12</v>
      </c>
      <c r="E510" s="952">
        <v>0.83333333333333304</v>
      </c>
      <c r="F510" s="256">
        <v>1126</v>
      </c>
      <c r="G510" s="256">
        <v>723</v>
      </c>
      <c r="H510" s="970"/>
      <c r="I510" s="970"/>
      <c r="J510" s="970"/>
      <c r="K510" s="970"/>
      <c r="L510" s="970"/>
      <c r="M510" s="971"/>
      <c r="N510" s="971"/>
      <c r="O510" s="971"/>
      <c r="P510" s="971"/>
      <c r="Q510" s="971"/>
      <c r="R510" t="s">
        <v>9258</v>
      </c>
      <c r="S510" t="s">
        <v>252</v>
      </c>
      <c r="U510" t="s">
        <v>9333</v>
      </c>
      <c r="V510" s="871">
        <v>46293</v>
      </c>
      <c r="W51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1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10" s="974">
        <f>IFERROR(tblConcentrado[[#This Row],[Concentrado (TMS)]]/tblConcentrado[[#This Row],[Mineral (TMS)]],"")</f>
        <v>0.6420959147424512</v>
      </c>
      <c r="Z510" s="973">
        <f>IFERROR(1/tblConcentrado[[#This Row],[% Recup.]],0)</f>
        <v>1.5573997233748269</v>
      </c>
      <c r="AA510" s="975" t="str">
        <f>IF(COUNTIFS(tblConcentrado[ID],tblConcentrado[[#This Row],[ID]])&gt;1,"Duplicado","")</f>
        <v/>
      </c>
    </row>
    <row r="511" spans="2:27">
      <c r="B511" s="976">
        <f>(YEAR(tblConcentrado[[#This Row],[Fecha]])*10000+MONTH(tblConcentrado[[#This Row],[Fecha]])*100+DAY(tblConcentrado[[#This Row],[Fecha]]))*100+tblConcentrado[[#This Row],[N° hora]]</f>
        <v>2026092213</v>
      </c>
      <c r="C511" s="871">
        <v>46287</v>
      </c>
      <c r="D511">
        <v>13</v>
      </c>
      <c r="E511" s="952">
        <v>0.875</v>
      </c>
      <c r="F511" s="256">
        <v>1128</v>
      </c>
      <c r="G511" s="256">
        <v>770</v>
      </c>
      <c r="H511" s="970">
        <v>0.18</v>
      </c>
      <c r="I511" s="970">
        <v>0.61799999999999999</v>
      </c>
      <c r="J511" s="970">
        <v>0.4</v>
      </c>
      <c r="K511" s="970">
        <v>0.60699999999999998</v>
      </c>
      <c r="L511" s="970">
        <v>0.41</v>
      </c>
      <c r="M511" s="971">
        <v>30.6</v>
      </c>
      <c r="N511" s="971">
        <v>14</v>
      </c>
      <c r="O511" s="971">
        <v>2.7</v>
      </c>
      <c r="P511" s="971">
        <v>2.4</v>
      </c>
      <c r="Q511" s="971">
        <v>8.5</v>
      </c>
      <c r="R511" t="s">
        <v>9258</v>
      </c>
      <c r="U511" t="s">
        <v>9333</v>
      </c>
      <c r="V511" s="871">
        <v>46293</v>
      </c>
      <c r="W51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20.64</v>
      </c>
      <c r="X51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2.52</v>
      </c>
      <c r="Y511" s="974">
        <f>IFERROR(tblConcentrado[[#This Row],[Concentrado (TMS)]]/tblConcentrado[[#This Row],[Mineral (TMS)]],"")</f>
        <v>0.68262411347517726</v>
      </c>
      <c r="Z511" s="973">
        <f>IFERROR(1/tblConcentrado[[#This Row],[% Recup.]],0)</f>
        <v>1.464935064935065</v>
      </c>
      <c r="AA511" s="975" t="str">
        <f>IF(COUNTIFS(tblConcentrado[ID],tblConcentrado[[#This Row],[ID]])&gt;1,"Duplicado","")</f>
        <v/>
      </c>
    </row>
    <row r="512" spans="2:27">
      <c r="B512" s="976">
        <f>(YEAR(tblConcentrado[[#This Row],[Fecha]])*10000+MONTH(tblConcentrado[[#This Row],[Fecha]])*100+DAY(tblConcentrado[[#This Row],[Fecha]]))*100+tblConcentrado[[#This Row],[N° hora]]</f>
        <v>2026092214</v>
      </c>
      <c r="C512" s="871">
        <v>46287</v>
      </c>
      <c r="D512">
        <v>14</v>
      </c>
      <c r="E512" s="952">
        <v>0.91666666666666696</v>
      </c>
      <c r="F512" s="256">
        <v>1117</v>
      </c>
      <c r="G512" s="256">
        <v>784</v>
      </c>
      <c r="H512" s="970"/>
      <c r="I512" s="970"/>
      <c r="J512" s="970"/>
      <c r="K512" s="970"/>
      <c r="L512" s="970"/>
      <c r="M512" s="971"/>
      <c r="N512" s="971"/>
      <c r="O512" s="971"/>
      <c r="P512" s="971"/>
      <c r="Q512" s="971"/>
      <c r="R512" t="s">
        <v>9258</v>
      </c>
      <c r="S512" t="s">
        <v>253</v>
      </c>
      <c r="U512" t="s">
        <v>9333</v>
      </c>
      <c r="V512" s="871">
        <v>46293</v>
      </c>
      <c r="W51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1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12" s="974">
        <f>IFERROR(tblConcentrado[[#This Row],[Concentrado (TMS)]]/tblConcentrado[[#This Row],[Mineral (TMS)]],"")</f>
        <v>0.70188003581020586</v>
      </c>
      <c r="Z512" s="973">
        <f>IFERROR(1/tblConcentrado[[#This Row],[% Recup.]],0)</f>
        <v>1.4247448979591837</v>
      </c>
      <c r="AA512" s="975" t="str">
        <f>IF(COUNTIFS(tblConcentrado[ID],tblConcentrado[[#This Row],[ID]])&gt;1,"Duplicado","")</f>
        <v/>
      </c>
    </row>
    <row r="513" spans="2:27">
      <c r="B513" s="976">
        <f>(YEAR(tblConcentrado[[#This Row],[Fecha]])*10000+MONTH(tblConcentrado[[#This Row],[Fecha]])*100+DAY(tblConcentrado[[#This Row],[Fecha]]))*100+tblConcentrado[[#This Row],[N° hora]]</f>
        <v>2026092215</v>
      </c>
      <c r="C513" s="871">
        <v>46287</v>
      </c>
      <c r="D513">
        <v>15</v>
      </c>
      <c r="E513" s="952">
        <v>0.95833333333333304</v>
      </c>
      <c r="F513" s="256">
        <v>1278</v>
      </c>
      <c r="G513" s="256">
        <v>680</v>
      </c>
      <c r="H513" s="970">
        <v>0.13900000000000001</v>
      </c>
      <c r="I513" s="970">
        <v>0.58799999999999997</v>
      </c>
      <c r="J513" s="970">
        <v>0.38</v>
      </c>
      <c r="K513" s="970">
        <v>0.62</v>
      </c>
      <c r="L513" s="970">
        <v>0.43</v>
      </c>
      <c r="M513" s="971">
        <v>28.5</v>
      </c>
      <c r="N513" s="971">
        <v>14.1</v>
      </c>
      <c r="O513" s="971">
        <v>2.8</v>
      </c>
      <c r="P513" s="971">
        <v>2</v>
      </c>
      <c r="Q513" s="971">
        <v>8.4</v>
      </c>
      <c r="R513" t="s">
        <v>9258</v>
      </c>
      <c r="U513" t="s">
        <v>9333</v>
      </c>
      <c r="V513" s="871">
        <v>46293</v>
      </c>
      <c r="W51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19.86</v>
      </c>
      <c r="X51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2.3199999999999998</v>
      </c>
      <c r="Y513" s="974">
        <f>IFERROR(tblConcentrado[[#This Row],[Concentrado (TMS)]]/tblConcentrado[[#This Row],[Mineral (TMS)]],"")</f>
        <v>0.53208137715179971</v>
      </c>
      <c r="Z513" s="973">
        <f>IFERROR(1/tblConcentrado[[#This Row],[% Recup.]],0)</f>
        <v>1.8794117647058823</v>
      </c>
      <c r="AA513" s="975" t="str">
        <f>IF(COUNTIFS(tblConcentrado[ID],tblConcentrado[[#This Row],[ID]])&gt;1,"Duplicado","")</f>
        <v/>
      </c>
    </row>
    <row r="514" spans="2:27">
      <c r="B514" s="976">
        <f>(YEAR(tblConcentrado[[#This Row],[Fecha]])*10000+MONTH(tblConcentrado[[#This Row],[Fecha]])*100+DAY(tblConcentrado[[#This Row],[Fecha]]))*100+tblConcentrado[[#This Row],[N° hora]]</f>
        <v>2026092216</v>
      </c>
      <c r="C514" s="871">
        <v>46287</v>
      </c>
      <c r="D514">
        <v>16</v>
      </c>
      <c r="E514" s="952">
        <v>0</v>
      </c>
      <c r="F514" s="256">
        <v>1303</v>
      </c>
      <c r="G514" s="256">
        <v>833</v>
      </c>
      <c r="H514" s="970"/>
      <c r="I514" s="970"/>
      <c r="J514" s="970"/>
      <c r="K514" s="970"/>
      <c r="L514" s="970"/>
      <c r="M514" s="971"/>
      <c r="N514" s="971"/>
      <c r="O514" s="971"/>
      <c r="P514" s="971"/>
      <c r="Q514" s="971"/>
      <c r="R514" t="s">
        <v>9258</v>
      </c>
      <c r="U514" t="s">
        <v>9333</v>
      </c>
      <c r="V514" s="871">
        <v>46293</v>
      </c>
      <c r="W51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1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14" s="974">
        <f>IFERROR(tblConcentrado[[#This Row],[Concentrado (TMS)]]/tblConcentrado[[#This Row],[Mineral (TMS)]],"")</f>
        <v>0.63929393706830395</v>
      </c>
      <c r="Z514" s="973">
        <f>IFERROR(1/tblConcentrado[[#This Row],[% Recup.]],0)</f>
        <v>1.5642256902761102</v>
      </c>
      <c r="AA514" s="975" t="str">
        <f>IF(COUNTIFS(tblConcentrado[ID],tblConcentrado[[#This Row],[ID]])&gt;1,"Duplicado","")</f>
        <v/>
      </c>
    </row>
    <row r="515" spans="2:27">
      <c r="B515" s="976">
        <f>(YEAR(tblConcentrado[[#This Row],[Fecha]])*10000+MONTH(tblConcentrado[[#This Row],[Fecha]])*100+DAY(tblConcentrado[[#This Row],[Fecha]]))*100+tblConcentrado[[#This Row],[N° hora]]</f>
        <v>2026092217</v>
      </c>
      <c r="C515" s="871">
        <v>46287</v>
      </c>
      <c r="D515">
        <v>17</v>
      </c>
      <c r="E515" s="952">
        <v>4.1666666666666699E-2</v>
      </c>
      <c r="F515" s="256">
        <v>1312</v>
      </c>
      <c r="G515" s="256">
        <v>883</v>
      </c>
      <c r="H515" s="970">
        <v>0.16</v>
      </c>
      <c r="I515" s="970">
        <v>0.58899999999999997</v>
      </c>
      <c r="J515" s="970">
        <v>0.38</v>
      </c>
      <c r="K515" s="970">
        <v>0.66600000000000004</v>
      </c>
      <c r="L515" s="970">
        <v>0.46</v>
      </c>
      <c r="M515" s="971">
        <v>21.8</v>
      </c>
      <c r="N515" s="971">
        <v>15</v>
      </c>
      <c r="O515" s="971">
        <v>2.2000000000000002</v>
      </c>
      <c r="P515" s="971">
        <v>2.2000000000000002</v>
      </c>
      <c r="Q515" s="971">
        <v>8.1999999999999993</v>
      </c>
      <c r="R515" t="s">
        <v>9258</v>
      </c>
      <c r="U515" t="s">
        <v>9333</v>
      </c>
      <c r="V515" s="871">
        <v>46293</v>
      </c>
      <c r="W51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17.72</v>
      </c>
      <c r="X51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2.2000000000000002</v>
      </c>
      <c r="Y515" s="974">
        <f>IFERROR(tblConcentrado[[#This Row],[Concentrado (TMS)]]/tblConcentrado[[#This Row],[Mineral (TMS)]],"")</f>
        <v>0.67301829268292679</v>
      </c>
      <c r="Z515" s="973">
        <f>IFERROR(1/tblConcentrado[[#This Row],[% Recup.]],0)</f>
        <v>1.4858437146092867</v>
      </c>
      <c r="AA515" s="975" t="str">
        <f>IF(COUNTIFS(tblConcentrado[ID],tblConcentrado[[#This Row],[ID]])&gt;1,"Duplicado","")</f>
        <v/>
      </c>
    </row>
    <row r="516" spans="2:27">
      <c r="B516" s="976">
        <f>(YEAR(tblConcentrado[[#This Row],[Fecha]])*10000+MONTH(tblConcentrado[[#This Row],[Fecha]])*100+DAY(tblConcentrado[[#This Row],[Fecha]]))*100+tblConcentrado[[#This Row],[N° hora]]</f>
        <v>2026092218</v>
      </c>
      <c r="C516" s="871">
        <v>46287</v>
      </c>
      <c r="D516">
        <v>18</v>
      </c>
      <c r="E516" s="952">
        <v>8.3333333333333301E-2</v>
      </c>
      <c r="F516" s="256">
        <v>1323</v>
      </c>
      <c r="G516" s="256">
        <v>890</v>
      </c>
      <c r="H516" s="970"/>
      <c r="I516" s="970"/>
      <c r="J516" s="970"/>
      <c r="K516" s="970"/>
      <c r="L516" s="970"/>
      <c r="M516" s="971"/>
      <c r="N516" s="971"/>
      <c r="O516" s="971"/>
      <c r="P516" s="971"/>
      <c r="Q516" s="971"/>
      <c r="R516" t="s">
        <v>9258</v>
      </c>
      <c r="U516" t="s">
        <v>9333</v>
      </c>
      <c r="V516" s="871">
        <v>46293</v>
      </c>
      <c r="W51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1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16" s="974">
        <f>IFERROR(tblConcentrado[[#This Row],[Concentrado (TMS)]]/tblConcentrado[[#This Row],[Mineral (TMS)]],"")</f>
        <v>0.67271352985638699</v>
      </c>
      <c r="Z516" s="973">
        <f>IFERROR(1/tblConcentrado[[#This Row],[% Recup.]],0)</f>
        <v>1.4865168539325844</v>
      </c>
      <c r="AA516" s="975" t="str">
        <f>IF(COUNTIFS(tblConcentrado[ID],tblConcentrado[[#This Row],[ID]])&gt;1,"Duplicado","")</f>
        <v/>
      </c>
    </row>
    <row r="517" spans="2:27">
      <c r="B517" s="976">
        <f>(YEAR(tblConcentrado[[#This Row],[Fecha]])*10000+MONTH(tblConcentrado[[#This Row],[Fecha]])*100+DAY(tblConcentrado[[#This Row],[Fecha]]))*100+tblConcentrado[[#This Row],[N° hora]]</f>
        <v>2026092219</v>
      </c>
      <c r="C517" s="871">
        <v>46287</v>
      </c>
      <c r="D517">
        <v>19</v>
      </c>
      <c r="E517" s="952">
        <v>0.125</v>
      </c>
      <c r="F517" s="256">
        <v>1282</v>
      </c>
      <c r="G517" s="256">
        <v>810</v>
      </c>
      <c r="H517" s="970">
        <v>0.184</v>
      </c>
      <c r="I517" s="970">
        <v>0.64</v>
      </c>
      <c r="J517" s="970">
        <v>0.42</v>
      </c>
      <c r="K517" s="970">
        <v>0.78100000000000003</v>
      </c>
      <c r="L517" s="970">
        <v>0.54</v>
      </c>
      <c r="M517" s="971">
        <v>20.9</v>
      </c>
      <c r="N517" s="971">
        <v>15</v>
      </c>
      <c r="O517" s="971">
        <v>2.8</v>
      </c>
      <c r="P517" s="971">
        <v>2</v>
      </c>
      <c r="Q517" s="971">
        <v>8.1999999999999993</v>
      </c>
      <c r="R517" t="s">
        <v>9258</v>
      </c>
      <c r="U517" t="s">
        <v>9333</v>
      </c>
      <c r="V517" s="871">
        <v>46293</v>
      </c>
      <c r="W51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17.36</v>
      </c>
      <c r="X51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2.3199999999999998</v>
      </c>
      <c r="Y517" s="974">
        <f>IFERROR(tblConcentrado[[#This Row],[Concentrado (TMS)]]/tblConcentrado[[#This Row],[Mineral (TMS)]],"")</f>
        <v>0.6318252730109204</v>
      </c>
      <c r="Z517" s="973">
        <f>IFERROR(1/tblConcentrado[[#This Row],[% Recup.]],0)</f>
        <v>1.5827160493827162</v>
      </c>
      <c r="AA517" s="975" t="str">
        <f>IF(COUNTIFS(tblConcentrado[ID],tblConcentrado[[#This Row],[ID]])&gt;1,"Duplicado","")</f>
        <v/>
      </c>
    </row>
    <row r="518" spans="2:27">
      <c r="B518" s="976">
        <f>(YEAR(tblConcentrado[[#This Row],[Fecha]])*10000+MONTH(tblConcentrado[[#This Row],[Fecha]])*100+DAY(tblConcentrado[[#This Row],[Fecha]]))*100+tblConcentrado[[#This Row],[N° hora]]</f>
        <v>2026092220</v>
      </c>
      <c r="C518" s="871">
        <v>46287</v>
      </c>
      <c r="D518">
        <v>20</v>
      </c>
      <c r="E518" s="952">
        <v>0.16666666666666699</v>
      </c>
      <c r="F518" s="256">
        <v>1308</v>
      </c>
      <c r="G518" s="256">
        <v>883</v>
      </c>
      <c r="H518" s="970"/>
      <c r="I518" s="970"/>
      <c r="J518" s="970"/>
      <c r="K518" s="970"/>
      <c r="L518" s="970"/>
      <c r="M518" s="971"/>
      <c r="N518" s="971"/>
      <c r="O518" s="971"/>
      <c r="P518" s="971"/>
      <c r="Q518" s="971"/>
      <c r="R518" t="s">
        <v>9258</v>
      </c>
      <c r="U518" t="s">
        <v>9333</v>
      </c>
      <c r="V518" s="871">
        <v>46293</v>
      </c>
      <c r="W51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1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18" s="974">
        <f>IFERROR(tblConcentrado[[#This Row],[Concentrado (TMS)]]/tblConcentrado[[#This Row],[Mineral (TMS)]],"")</f>
        <v>0.67507645259938842</v>
      </c>
      <c r="Z518" s="973">
        <f>IFERROR(1/tblConcentrado[[#This Row],[% Recup.]],0)</f>
        <v>1.481313703284258</v>
      </c>
      <c r="AA518" s="975" t="str">
        <f>IF(COUNTIFS(tblConcentrado[ID],tblConcentrado[[#This Row],[ID]])&gt;1,"Duplicado","")</f>
        <v/>
      </c>
    </row>
    <row r="519" spans="2:27">
      <c r="B519" s="976">
        <f>(YEAR(tblConcentrado[[#This Row],[Fecha]])*10000+MONTH(tblConcentrado[[#This Row],[Fecha]])*100+DAY(tblConcentrado[[#This Row],[Fecha]]))*100+tblConcentrado[[#This Row],[N° hora]]</f>
        <v>2026092221</v>
      </c>
      <c r="C519" s="871">
        <v>46287</v>
      </c>
      <c r="D519">
        <v>21</v>
      </c>
      <c r="E519" s="952">
        <v>0.20833333333333301</v>
      </c>
      <c r="F519" s="256">
        <v>1346</v>
      </c>
      <c r="G519" s="256">
        <v>877</v>
      </c>
      <c r="H519" s="970">
        <v>0.19700000000000001</v>
      </c>
      <c r="I519" s="970">
        <v>0.69299999999999995</v>
      </c>
      <c r="J519" s="970">
        <v>0.46</v>
      </c>
      <c r="K519" s="970">
        <v>0.66800000000000004</v>
      </c>
      <c r="L519" s="970">
        <v>0.44</v>
      </c>
      <c r="M519" s="971">
        <v>18.600000000000001</v>
      </c>
      <c r="N519" s="971">
        <v>12.1</v>
      </c>
      <c r="O519" s="971">
        <v>1.6</v>
      </c>
      <c r="P519" s="971">
        <v>1.9</v>
      </c>
      <c r="Q519" s="971">
        <v>8.1</v>
      </c>
      <c r="R519" t="s">
        <v>9258</v>
      </c>
      <c r="U519" t="s">
        <v>9333</v>
      </c>
      <c r="V519" s="871">
        <v>46293</v>
      </c>
      <c r="W51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14.700000000000001</v>
      </c>
      <c r="X51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1.78</v>
      </c>
      <c r="Y519" s="974">
        <f>IFERROR(tblConcentrado[[#This Row],[Concentrado (TMS)]]/tblConcentrado[[#This Row],[Mineral (TMS)]],"")</f>
        <v>0.65156017830609214</v>
      </c>
      <c r="Z519" s="973">
        <f>IFERROR(1/tblConcentrado[[#This Row],[% Recup.]],0)</f>
        <v>1.5347776510832383</v>
      </c>
      <c r="AA519" s="975" t="str">
        <f>IF(COUNTIFS(tblConcentrado[ID],tblConcentrado[[#This Row],[ID]])&gt;1,"Duplicado","")</f>
        <v/>
      </c>
    </row>
    <row r="520" spans="2:27">
      <c r="B520" s="976">
        <f>(YEAR(tblConcentrado[[#This Row],[Fecha]])*10000+MONTH(tblConcentrado[[#This Row],[Fecha]])*100+DAY(tblConcentrado[[#This Row],[Fecha]]))*100+tblConcentrado[[#This Row],[N° hora]]</f>
        <v>2026092222</v>
      </c>
      <c r="C520" s="871">
        <v>46287</v>
      </c>
      <c r="D520">
        <v>22</v>
      </c>
      <c r="E520" s="952">
        <v>0.25</v>
      </c>
      <c r="F520" s="256">
        <v>1319</v>
      </c>
      <c r="G520" s="256">
        <v>849</v>
      </c>
      <c r="H520" s="970"/>
      <c r="I520" s="970"/>
      <c r="J520" s="970"/>
      <c r="K520" s="970"/>
      <c r="L520" s="970"/>
      <c r="M520" s="971"/>
      <c r="N520" s="971"/>
      <c r="O520" s="971"/>
      <c r="P520" s="971"/>
      <c r="Q520" s="971"/>
      <c r="R520" t="s">
        <v>9258</v>
      </c>
      <c r="U520" t="s">
        <v>9333</v>
      </c>
      <c r="V520" s="871">
        <v>46293</v>
      </c>
      <c r="W52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2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20" s="974">
        <f>IFERROR(tblConcentrado[[#This Row],[Concentrado (TMS)]]/tblConcentrado[[#This Row],[Mineral (TMS)]],"")</f>
        <v>0.64366944655041702</v>
      </c>
      <c r="Z520" s="973">
        <f>IFERROR(1/tblConcentrado[[#This Row],[% Recup.]],0)</f>
        <v>1.5535924617196701</v>
      </c>
      <c r="AA520" s="975" t="str">
        <f>IF(COUNTIFS(tblConcentrado[ID],tblConcentrado[[#This Row],[ID]])&gt;1,"Duplicado","")</f>
        <v/>
      </c>
    </row>
    <row r="521" spans="2:27">
      <c r="B521" s="976">
        <f>(YEAR(tblConcentrado[[#This Row],[Fecha]])*10000+MONTH(tblConcentrado[[#This Row],[Fecha]])*100+DAY(tblConcentrado[[#This Row],[Fecha]]))*100+tblConcentrado[[#This Row],[N° hora]]</f>
        <v>2026092223</v>
      </c>
      <c r="C521" s="871">
        <v>46287</v>
      </c>
      <c r="D521">
        <v>23</v>
      </c>
      <c r="E521" s="952">
        <v>0.29166666666666702</v>
      </c>
      <c r="F521" s="256">
        <v>1299</v>
      </c>
      <c r="G521" s="256">
        <v>817</v>
      </c>
      <c r="H521" s="970">
        <v>0.218</v>
      </c>
      <c r="I521" s="970">
        <v>0.63400000000000001</v>
      </c>
      <c r="J521" s="970">
        <v>0.41</v>
      </c>
      <c r="K521" s="970">
        <v>0.66100000000000003</v>
      </c>
      <c r="L521" s="970">
        <v>0.43</v>
      </c>
      <c r="M521" s="971"/>
      <c r="N521" s="971"/>
      <c r="O521" s="971">
        <v>2</v>
      </c>
      <c r="P521" s="971">
        <v>1.9</v>
      </c>
      <c r="Q521" s="971">
        <v>8.1999999999999993</v>
      </c>
      <c r="R521" t="s">
        <v>9258</v>
      </c>
      <c r="U521" t="s">
        <v>9333</v>
      </c>
      <c r="V521" s="871">
        <v>46293</v>
      </c>
      <c r="W521"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2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1.94</v>
      </c>
      <c r="Y521" s="974">
        <f>IFERROR(tblConcentrado[[#This Row],[Concentrado (TMS)]]/tblConcentrado[[#This Row],[Mineral (TMS)]],"")</f>
        <v>0.6289453425712086</v>
      </c>
      <c r="Z521" s="973">
        <f>IFERROR(1/tblConcentrado[[#This Row],[% Recup.]],0)</f>
        <v>1.5899632802937578</v>
      </c>
      <c r="AA521" s="975" t="str">
        <f>IF(COUNTIFS(tblConcentrado[ID],tblConcentrado[[#This Row],[ID]])&gt;1,"Duplicado","")</f>
        <v/>
      </c>
    </row>
    <row r="522" spans="2:27">
      <c r="B522" s="976">
        <f>(YEAR(tblConcentrado[[#This Row],[Fecha]])*10000+MONTH(tblConcentrado[[#This Row],[Fecha]])*100+DAY(tblConcentrado[[#This Row],[Fecha]]))*100+tblConcentrado[[#This Row],[N° hora]]</f>
        <v>2026092224</v>
      </c>
      <c r="C522" s="871">
        <v>46287</v>
      </c>
      <c r="D522">
        <v>24</v>
      </c>
      <c r="E522" s="952">
        <v>0.33333333333333298</v>
      </c>
      <c r="F522" s="256">
        <v>1247</v>
      </c>
      <c r="G522" s="256">
        <v>957</v>
      </c>
      <c r="H522" s="970"/>
      <c r="I522" s="970"/>
      <c r="J522" s="970"/>
      <c r="K522" s="970"/>
      <c r="L522" s="970"/>
      <c r="M522" s="971"/>
      <c r="N522" s="971"/>
      <c r="O522" s="971"/>
      <c r="P522" s="971"/>
      <c r="Q522" s="971"/>
      <c r="R522" t="s">
        <v>9258</v>
      </c>
      <c r="U522" t="s">
        <v>9333</v>
      </c>
      <c r="V522" s="871">
        <v>46293</v>
      </c>
      <c r="W52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2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22" s="974">
        <f>IFERROR(tblConcentrado[[#This Row],[Concentrado (TMS)]]/tblConcentrado[[#This Row],[Mineral (TMS)]],"")</f>
        <v>0.76744186046511631</v>
      </c>
      <c r="Z522" s="973">
        <f>IFERROR(1/tblConcentrado[[#This Row],[% Recup.]],0)</f>
        <v>1.303030303030303</v>
      </c>
      <c r="AA522" s="975" t="str">
        <f>IF(COUNTIFS(tblConcentrado[ID],tblConcentrado[[#This Row],[ID]])&gt;1,"Duplicado","")</f>
        <v/>
      </c>
    </row>
    <row r="523" spans="2:27">
      <c r="B523" s="976">
        <f>(YEAR(tblConcentrado[[#This Row],[Fecha]])*10000+MONTH(tblConcentrado[[#This Row],[Fecha]])*100+DAY(tblConcentrado[[#This Row],[Fecha]]))*100+tblConcentrado[[#This Row],[N° hora]]</f>
        <v>2026092301</v>
      </c>
      <c r="C523" s="1560">
        <v>46288</v>
      </c>
      <c r="D523" s="1038">
        <v>1</v>
      </c>
      <c r="E523" s="952">
        <v>0.375</v>
      </c>
      <c r="F523" s="256">
        <v>1268</v>
      </c>
      <c r="G523" s="256">
        <v>904</v>
      </c>
      <c r="H523" s="970">
        <v>0.223</v>
      </c>
      <c r="I523" s="970">
        <v>0.60099999999999998</v>
      </c>
      <c r="J523" s="970">
        <v>0.39</v>
      </c>
      <c r="K523" s="970">
        <v>0.71699999999999997</v>
      </c>
      <c r="L523" s="970">
        <v>0.41</v>
      </c>
      <c r="M523" s="971">
        <v>25.5</v>
      </c>
      <c r="N523" s="971">
        <v>18.399999999999999</v>
      </c>
      <c r="O523" s="971">
        <v>2.8</v>
      </c>
      <c r="P523" s="971">
        <v>2.6</v>
      </c>
      <c r="Q523" s="971">
        <v>8.6</v>
      </c>
      <c r="R523" s="1038" t="s">
        <v>9258</v>
      </c>
      <c r="S523" s="1038"/>
      <c r="T523" s="1038"/>
      <c r="U523" s="1038" t="s">
        <v>10345</v>
      </c>
      <c r="V523" s="1560">
        <v>46296.134975300927</v>
      </c>
      <c r="W52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21.240000000000002</v>
      </c>
      <c r="X52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2.6799999999999997</v>
      </c>
      <c r="Y523" s="974">
        <f>IFERROR(tblConcentrado[[#This Row],[Concentrado (TMS)]]/tblConcentrado[[#This Row],[Mineral (TMS)]],"")</f>
        <v>0.71293375394321767</v>
      </c>
      <c r="Z523" s="973">
        <f>IFERROR(1/tblConcentrado[[#This Row],[% Recup.]],0)</f>
        <v>1.4026548672566372</v>
      </c>
      <c r="AA523" s="1561" t="str">
        <f>IF(COUNTIFS(tblConcentrado[ID],tblConcentrado[[#This Row],[ID]])&gt;1,"Duplicado","")</f>
        <v/>
      </c>
    </row>
    <row r="524" spans="2:27">
      <c r="B524" s="976">
        <f>(YEAR(tblConcentrado[[#This Row],[Fecha]])*10000+MONTH(tblConcentrado[[#This Row],[Fecha]])*100+DAY(tblConcentrado[[#This Row],[Fecha]]))*100+tblConcentrado[[#This Row],[N° hora]]</f>
        <v>2026092302</v>
      </c>
      <c r="C524" s="1560">
        <v>46288</v>
      </c>
      <c r="D524" s="1038">
        <v>2</v>
      </c>
      <c r="E524" s="952">
        <v>0.41666666666666669</v>
      </c>
      <c r="F524" s="256">
        <v>1315</v>
      </c>
      <c r="G524" s="256">
        <v>642</v>
      </c>
      <c r="H524" s="970"/>
      <c r="I524" s="970"/>
      <c r="J524" s="970"/>
      <c r="K524" s="970"/>
      <c r="L524" s="970"/>
      <c r="M524" s="971"/>
      <c r="N524" s="971"/>
      <c r="O524" s="971"/>
      <c r="P524" s="971"/>
      <c r="Q524" s="971"/>
      <c r="R524" s="1038" t="s">
        <v>9258</v>
      </c>
      <c r="S524" s="1038"/>
      <c r="T524" s="1038"/>
      <c r="U524" s="1038" t="s">
        <v>10345</v>
      </c>
      <c r="V524" s="1560">
        <v>46296.134975300927</v>
      </c>
      <c r="W52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2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24" s="974">
        <f>IFERROR(tblConcentrado[[#This Row],[Concentrado (TMS)]]/tblConcentrado[[#This Row],[Mineral (TMS)]],"")</f>
        <v>0.48821292775665398</v>
      </c>
      <c r="Z524" s="973">
        <f>IFERROR(1/tblConcentrado[[#This Row],[% Recup.]],0)</f>
        <v>2.0482866043613708</v>
      </c>
      <c r="AA524" s="1561" t="str">
        <f>IF(COUNTIFS(tblConcentrado[ID],tblConcentrado[[#This Row],[ID]])&gt;1,"Duplicado","")</f>
        <v/>
      </c>
    </row>
    <row r="525" spans="2:27">
      <c r="B525" s="976">
        <f>(YEAR(tblConcentrado[[#This Row],[Fecha]])*10000+MONTH(tblConcentrado[[#This Row],[Fecha]])*100+DAY(tblConcentrado[[#This Row],[Fecha]]))*100+tblConcentrado[[#This Row],[N° hora]]</f>
        <v>2026092303</v>
      </c>
      <c r="C525" s="1560">
        <v>46288</v>
      </c>
      <c r="D525" s="1038">
        <v>3</v>
      </c>
      <c r="E525" s="952">
        <v>0.45833333333333331</v>
      </c>
      <c r="F525" s="256">
        <v>1471</v>
      </c>
      <c r="G525" s="256">
        <v>771</v>
      </c>
      <c r="H525" s="970">
        <v>0.2</v>
      </c>
      <c r="I525" s="970">
        <v>0.51800000000000002</v>
      </c>
      <c r="J525" s="970">
        <v>0.36</v>
      </c>
      <c r="K525" s="970">
        <v>0.59099999999999997</v>
      </c>
      <c r="L525" s="970">
        <v>0.39</v>
      </c>
      <c r="M525" s="971">
        <v>23.6</v>
      </c>
      <c r="N525" s="971">
        <v>16.5</v>
      </c>
      <c r="O525" s="971">
        <v>2.5</v>
      </c>
      <c r="P525" s="971">
        <v>2.4</v>
      </c>
      <c r="Q525" s="971">
        <v>8.4</v>
      </c>
      <c r="R525" s="1038" t="s">
        <v>9258</v>
      </c>
      <c r="S525" s="1038"/>
      <c r="T525" s="1038"/>
      <c r="U525" s="1038" t="s">
        <v>10345</v>
      </c>
      <c r="V525" s="1560">
        <v>46296.134975300927</v>
      </c>
      <c r="W52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19.340000000000003</v>
      </c>
      <c r="X52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2.44</v>
      </c>
      <c r="Y525" s="974">
        <f>IFERROR(tblConcentrado[[#This Row],[Concentrado (TMS)]]/tblConcentrado[[#This Row],[Mineral (TMS)]],"")</f>
        <v>0.5241332426920462</v>
      </c>
      <c r="Z525" s="973">
        <f>IFERROR(1/tblConcentrado[[#This Row],[% Recup.]],0)</f>
        <v>1.9079118028534372</v>
      </c>
      <c r="AA525" s="1561" t="str">
        <f>IF(COUNTIFS(tblConcentrado[ID],tblConcentrado[[#This Row],[ID]])&gt;1,"Duplicado","")</f>
        <v/>
      </c>
    </row>
    <row r="526" spans="2:27">
      <c r="B526" s="976">
        <f>(YEAR(tblConcentrado[[#This Row],[Fecha]])*10000+MONTH(tblConcentrado[[#This Row],[Fecha]])*100+DAY(tblConcentrado[[#This Row],[Fecha]]))*100+tblConcentrado[[#This Row],[N° hora]]</f>
        <v>2026092304</v>
      </c>
      <c r="C526" s="1560">
        <v>46288</v>
      </c>
      <c r="D526" s="1038">
        <v>4</v>
      </c>
      <c r="E526" s="952">
        <v>0.5</v>
      </c>
      <c r="F526" s="256">
        <v>1498</v>
      </c>
      <c r="G526" s="256">
        <v>750</v>
      </c>
      <c r="H526" s="970"/>
      <c r="I526" s="970"/>
      <c r="J526" s="970"/>
      <c r="K526" s="970"/>
      <c r="L526" s="970"/>
      <c r="M526" s="971"/>
      <c r="N526" s="971"/>
      <c r="O526" s="971"/>
      <c r="P526" s="971"/>
      <c r="Q526" s="971"/>
      <c r="R526" s="1038" t="s">
        <v>9258</v>
      </c>
      <c r="S526" s="1038"/>
      <c r="T526" s="1038"/>
      <c r="U526" s="1038" t="s">
        <v>10345</v>
      </c>
      <c r="V526" s="1560">
        <v>46296.134975300927</v>
      </c>
      <c r="W52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2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26" s="974">
        <f>IFERROR(tblConcentrado[[#This Row],[Concentrado (TMS)]]/tblConcentrado[[#This Row],[Mineral (TMS)]],"")</f>
        <v>0.50066755674232311</v>
      </c>
      <c r="Z526" s="973">
        <f>IFERROR(1/tblConcentrado[[#This Row],[% Recup.]],0)</f>
        <v>1.9973333333333334</v>
      </c>
      <c r="AA526" s="1561" t="str">
        <f>IF(COUNTIFS(tblConcentrado[ID],tblConcentrado[[#This Row],[ID]])&gt;1,"Duplicado","")</f>
        <v/>
      </c>
    </row>
    <row r="527" spans="2:27">
      <c r="B527" s="976">
        <f>(YEAR(tblConcentrado[[#This Row],[Fecha]])*10000+MONTH(tblConcentrado[[#This Row],[Fecha]])*100+DAY(tblConcentrado[[#This Row],[Fecha]]))*100+tblConcentrado[[#This Row],[N° hora]]</f>
        <v>2026092305</v>
      </c>
      <c r="C527" s="1560">
        <v>46288</v>
      </c>
      <c r="D527" s="1038">
        <v>5</v>
      </c>
      <c r="E527" s="952">
        <v>0.54166666666666663</v>
      </c>
      <c r="F527" s="256">
        <v>1351</v>
      </c>
      <c r="G527" s="256">
        <v>984</v>
      </c>
      <c r="H527" s="970">
        <v>0.219</v>
      </c>
      <c r="I527" s="970">
        <v>0.53100000000000003</v>
      </c>
      <c r="J527" s="970">
        <v>0.34</v>
      </c>
      <c r="K527" s="970">
        <v>0.61399999999999999</v>
      </c>
      <c r="L527" s="970">
        <v>0.4</v>
      </c>
      <c r="M527" s="971"/>
      <c r="N527" s="971"/>
      <c r="O527" s="971">
        <v>2.9</v>
      </c>
      <c r="P527" s="971">
        <v>2.5</v>
      </c>
      <c r="Q527" s="971">
        <v>8.3000000000000007</v>
      </c>
      <c r="R527" s="1038" t="s">
        <v>9258</v>
      </c>
      <c r="S527" s="1038"/>
      <c r="T527" s="1038"/>
      <c r="U527" s="1038" t="s">
        <v>10345</v>
      </c>
      <c r="V527" s="1560">
        <v>46296.134975300927</v>
      </c>
      <c r="W527"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2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2.66</v>
      </c>
      <c r="Y527" s="974">
        <f>IFERROR(tblConcentrado[[#This Row],[Concentrado (TMS)]]/tblConcentrado[[#This Row],[Mineral (TMS)]],"")</f>
        <v>0.72834937083641749</v>
      </c>
      <c r="Z527" s="973">
        <f>IFERROR(1/tblConcentrado[[#This Row],[% Recup.]],0)</f>
        <v>1.3729674796747968</v>
      </c>
      <c r="AA527" s="1561" t="str">
        <f>IF(COUNTIFS(tblConcentrado[ID],tblConcentrado[[#This Row],[ID]])&gt;1,"Duplicado","")</f>
        <v/>
      </c>
    </row>
    <row r="528" spans="2:27">
      <c r="B528" s="976">
        <f>(YEAR(tblConcentrado[[#This Row],[Fecha]])*10000+MONTH(tblConcentrado[[#This Row],[Fecha]])*100+DAY(tblConcentrado[[#This Row],[Fecha]]))*100+tblConcentrado[[#This Row],[N° hora]]</f>
        <v>2026092306</v>
      </c>
      <c r="C528" s="1560">
        <v>46288</v>
      </c>
      <c r="D528" s="1038">
        <v>6</v>
      </c>
      <c r="E528" s="952">
        <v>0.58333333333333337</v>
      </c>
      <c r="F528" s="256">
        <v>1487</v>
      </c>
      <c r="G528" s="256">
        <v>752</v>
      </c>
      <c r="H528" s="970"/>
      <c r="I528" s="970"/>
      <c r="J528" s="970"/>
      <c r="K528" s="970"/>
      <c r="L528" s="970"/>
      <c r="M528" s="971"/>
      <c r="N528" s="971"/>
      <c r="O528" s="971"/>
      <c r="P528" s="971"/>
      <c r="Q528" s="971"/>
      <c r="R528" s="1038" t="s">
        <v>9258</v>
      </c>
      <c r="S528" s="1038"/>
      <c r="T528" s="1038"/>
      <c r="U528" s="1038" t="s">
        <v>10345</v>
      </c>
      <c r="V528" s="1560">
        <v>46296.134975300927</v>
      </c>
      <c r="W52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2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28" s="974">
        <f>IFERROR(tblConcentrado[[#This Row],[Concentrado (TMS)]]/tblConcentrado[[#This Row],[Mineral (TMS)]],"")</f>
        <v>0.50571620712844656</v>
      </c>
      <c r="Z528" s="973">
        <f>IFERROR(1/tblConcentrado[[#This Row],[% Recup.]],0)</f>
        <v>1.9773936170212765</v>
      </c>
      <c r="AA528" s="1561" t="str">
        <f>IF(COUNTIFS(tblConcentrado[ID],tblConcentrado[[#This Row],[ID]])&gt;1,"Duplicado","")</f>
        <v/>
      </c>
    </row>
    <row r="529" spans="2:27">
      <c r="B529" s="976">
        <f>(YEAR(tblConcentrado[[#This Row],[Fecha]])*10000+MONTH(tblConcentrado[[#This Row],[Fecha]])*100+DAY(tblConcentrado[[#This Row],[Fecha]]))*100+tblConcentrado[[#This Row],[N° hora]]</f>
        <v>2026092307</v>
      </c>
      <c r="C529" s="1560">
        <v>46288</v>
      </c>
      <c r="D529" s="1038">
        <v>7</v>
      </c>
      <c r="E529" s="952">
        <v>0.625</v>
      </c>
      <c r="F529" s="256">
        <v>1465</v>
      </c>
      <c r="G529" s="256">
        <v>968</v>
      </c>
      <c r="H529" s="970">
        <v>0.23899999999999999</v>
      </c>
      <c r="I529" s="970">
        <v>0.68799999999999994</v>
      </c>
      <c r="J529" s="970">
        <v>0.43</v>
      </c>
      <c r="K529" s="970">
        <v>0.67100000000000004</v>
      </c>
      <c r="L529" s="970">
        <v>0.41</v>
      </c>
      <c r="M529" s="971">
        <v>24.5</v>
      </c>
      <c r="N529" s="971">
        <v>17.899999999999999</v>
      </c>
      <c r="O529" s="971">
        <v>2.4</v>
      </c>
      <c r="P529" s="971">
        <v>2.9</v>
      </c>
      <c r="Q529" s="971">
        <v>8.1999999999999993</v>
      </c>
      <c r="R529" s="1038" t="s">
        <v>9258</v>
      </c>
      <c r="S529" s="1038"/>
      <c r="T529" s="1038"/>
      <c r="U529" s="1038" t="s">
        <v>10345</v>
      </c>
      <c r="V529" s="1560">
        <v>46296.134975300927</v>
      </c>
      <c r="W52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20.54</v>
      </c>
      <c r="X52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2.7</v>
      </c>
      <c r="Y529" s="974">
        <f>IFERROR(tblConcentrado[[#This Row],[Concentrado (TMS)]]/tblConcentrado[[#This Row],[Mineral (TMS)]],"")</f>
        <v>0.66075085324232086</v>
      </c>
      <c r="Z529" s="973">
        <f>IFERROR(1/tblConcentrado[[#This Row],[% Recup.]],0)</f>
        <v>1.5134297520661155</v>
      </c>
      <c r="AA529" s="1561" t="str">
        <f>IF(COUNTIFS(tblConcentrado[ID],tblConcentrado[[#This Row],[ID]])&gt;1,"Duplicado","")</f>
        <v/>
      </c>
    </row>
    <row r="530" spans="2:27">
      <c r="B530" s="976">
        <f>(YEAR(tblConcentrado[[#This Row],[Fecha]])*10000+MONTH(tblConcentrado[[#This Row],[Fecha]])*100+DAY(tblConcentrado[[#This Row],[Fecha]]))*100+tblConcentrado[[#This Row],[N° hora]]</f>
        <v>2026092308</v>
      </c>
      <c r="C530" s="1560">
        <v>46288</v>
      </c>
      <c r="D530" s="1038">
        <v>8</v>
      </c>
      <c r="E530" s="952">
        <v>0.66666666666666674</v>
      </c>
      <c r="F530" s="256">
        <v>1379</v>
      </c>
      <c r="G530" s="256">
        <v>908</v>
      </c>
      <c r="H530" s="970"/>
      <c r="I530" s="970"/>
      <c r="J530" s="970"/>
      <c r="K530" s="970"/>
      <c r="L530" s="970"/>
      <c r="M530" s="971"/>
      <c r="N530" s="971"/>
      <c r="O530" s="971"/>
      <c r="P530" s="971"/>
      <c r="Q530" s="971"/>
      <c r="R530" s="1038" t="s">
        <v>9258</v>
      </c>
      <c r="S530" s="1038"/>
      <c r="T530" s="1038"/>
      <c r="U530" s="1038" t="s">
        <v>10345</v>
      </c>
      <c r="V530" s="1560">
        <v>46296.134975300927</v>
      </c>
      <c r="W53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3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30" s="974">
        <f>IFERROR(tblConcentrado[[#This Row],[Concentrado (TMS)]]/tblConcentrado[[#This Row],[Mineral (TMS)]],"")</f>
        <v>0.6584481508339376</v>
      </c>
      <c r="Z530" s="973">
        <f>IFERROR(1/tblConcentrado[[#This Row],[% Recup.]],0)</f>
        <v>1.5187224669603525</v>
      </c>
      <c r="AA530" s="1561" t="str">
        <f>IF(COUNTIFS(tblConcentrado[ID],tblConcentrado[[#This Row],[ID]])&gt;1,"Duplicado","")</f>
        <v/>
      </c>
    </row>
    <row r="531" spans="2:27">
      <c r="B531" s="976">
        <f>(YEAR(tblConcentrado[[#This Row],[Fecha]])*10000+MONTH(tblConcentrado[[#This Row],[Fecha]])*100+DAY(tblConcentrado[[#This Row],[Fecha]]))*100+tblConcentrado[[#This Row],[N° hora]]</f>
        <v>2026092309</v>
      </c>
      <c r="C531" s="1560">
        <v>46288</v>
      </c>
      <c r="D531" s="1038">
        <v>9</v>
      </c>
      <c r="E531" s="952">
        <v>0.70833333333333326</v>
      </c>
      <c r="F531" s="256">
        <v>1485</v>
      </c>
      <c r="G531" s="256">
        <v>1053</v>
      </c>
      <c r="H531" s="970">
        <v>0.217</v>
      </c>
      <c r="I531" s="970">
        <v>0.61499999999999999</v>
      </c>
      <c r="J531" s="970">
        <v>0.37</v>
      </c>
      <c r="K531" s="970">
        <v>0.78</v>
      </c>
      <c r="L531" s="970">
        <v>0.44</v>
      </c>
      <c r="M531" s="971">
        <v>24.7</v>
      </c>
      <c r="N531" s="971">
        <v>17.3</v>
      </c>
      <c r="O531" s="971">
        <v>2.5</v>
      </c>
      <c r="P531" s="971">
        <v>2.9</v>
      </c>
      <c r="Q531" s="971">
        <v>8.6999999999999993</v>
      </c>
      <c r="R531" s="1038" t="s">
        <v>9258</v>
      </c>
      <c r="S531" s="1038"/>
      <c r="T531" s="1038"/>
      <c r="U531" s="1038" t="s">
        <v>10345</v>
      </c>
      <c r="V531" s="1560">
        <v>46296.134975300927</v>
      </c>
      <c r="W53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20.260000000000002</v>
      </c>
      <c r="X53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2.74</v>
      </c>
      <c r="Y531" s="974">
        <f>IFERROR(tblConcentrado[[#This Row],[Concentrado (TMS)]]/tblConcentrado[[#This Row],[Mineral (TMS)]],"")</f>
        <v>0.70909090909090911</v>
      </c>
      <c r="Z531" s="973">
        <f>IFERROR(1/tblConcentrado[[#This Row],[% Recup.]],0)</f>
        <v>1.4102564102564101</v>
      </c>
      <c r="AA531" s="1561" t="str">
        <f>IF(COUNTIFS(tblConcentrado[ID],tblConcentrado[[#This Row],[ID]])&gt;1,"Duplicado","")</f>
        <v/>
      </c>
    </row>
    <row r="532" spans="2:27">
      <c r="B532" s="976">
        <f>(YEAR(tblConcentrado[[#This Row],[Fecha]])*10000+MONTH(tblConcentrado[[#This Row],[Fecha]])*100+DAY(tblConcentrado[[#This Row],[Fecha]]))*100+tblConcentrado[[#This Row],[N° hora]]</f>
        <v>2026092310</v>
      </c>
      <c r="C532" s="1560">
        <v>46288</v>
      </c>
      <c r="D532" s="1038">
        <v>10</v>
      </c>
      <c r="E532" s="952">
        <v>0.75</v>
      </c>
      <c r="F532" s="256">
        <v>1489</v>
      </c>
      <c r="G532" s="256">
        <v>951</v>
      </c>
      <c r="H532" s="970"/>
      <c r="I532" s="970"/>
      <c r="J532" s="970"/>
      <c r="K532" s="970"/>
      <c r="L532" s="970"/>
      <c r="M532" s="971"/>
      <c r="N532" s="971"/>
      <c r="O532" s="971"/>
      <c r="P532" s="971"/>
      <c r="Q532" s="971"/>
      <c r="R532" s="1038" t="s">
        <v>9258</v>
      </c>
      <c r="S532" s="1038"/>
      <c r="T532" s="1038"/>
      <c r="U532" s="1038" t="s">
        <v>10345</v>
      </c>
      <c r="V532" s="1560">
        <v>46296.134975300927</v>
      </c>
      <c r="W53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3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32" s="974">
        <f>IFERROR(tblConcentrado[[#This Row],[Concentrado (TMS)]]/tblConcentrado[[#This Row],[Mineral (TMS)]],"")</f>
        <v>0.638683680322364</v>
      </c>
      <c r="Z532" s="973">
        <f>IFERROR(1/tblConcentrado[[#This Row],[% Recup.]],0)</f>
        <v>1.5657202944269191</v>
      </c>
      <c r="AA532" s="1561" t="str">
        <f>IF(COUNTIFS(tblConcentrado[ID],tblConcentrado[[#This Row],[ID]])&gt;1,"Duplicado","")</f>
        <v/>
      </c>
    </row>
    <row r="533" spans="2:27">
      <c r="B533" s="976">
        <f>(YEAR(tblConcentrado[[#This Row],[Fecha]])*10000+MONTH(tblConcentrado[[#This Row],[Fecha]])*100+DAY(tblConcentrado[[#This Row],[Fecha]]))*100+tblConcentrado[[#This Row],[N° hora]]</f>
        <v>2026092311</v>
      </c>
      <c r="C533" s="1560">
        <v>46288</v>
      </c>
      <c r="D533" s="1038">
        <v>11</v>
      </c>
      <c r="E533" s="952">
        <v>0.79166666666666674</v>
      </c>
      <c r="F533" s="256">
        <v>1490</v>
      </c>
      <c r="G533" s="256">
        <v>1020</v>
      </c>
      <c r="H533" s="970">
        <v>0.23799999999999999</v>
      </c>
      <c r="I533" s="970">
        <v>0.63500000000000001</v>
      </c>
      <c r="J533" s="970">
        <v>0.38</v>
      </c>
      <c r="K533" s="970">
        <v>0.67600000000000005</v>
      </c>
      <c r="L533" s="970">
        <v>0.4</v>
      </c>
      <c r="M533" s="971">
        <v>22.6</v>
      </c>
      <c r="N533" s="971">
        <v>13.8</v>
      </c>
      <c r="O533" s="971">
        <v>2.4</v>
      </c>
      <c r="P533" s="971">
        <v>1.9</v>
      </c>
      <c r="Q533" s="971">
        <v>9.1</v>
      </c>
      <c r="R533" s="1038" t="s">
        <v>9258</v>
      </c>
      <c r="S533" s="1038"/>
      <c r="T533" s="1038"/>
      <c r="U533" s="1038" t="s">
        <v>10345</v>
      </c>
      <c r="V533" s="1560">
        <v>46296.134975300927</v>
      </c>
      <c r="W53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17.32</v>
      </c>
      <c r="X53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2.0999999999999996</v>
      </c>
      <c r="Y533" s="974">
        <f>IFERROR(tblConcentrado[[#This Row],[Concentrado (TMS)]]/tblConcentrado[[#This Row],[Mineral (TMS)]],"")</f>
        <v>0.68456375838926176</v>
      </c>
      <c r="Z533" s="973">
        <f>IFERROR(1/tblConcentrado[[#This Row],[% Recup.]],0)</f>
        <v>1.4607843137254901</v>
      </c>
      <c r="AA533" s="1561" t="str">
        <f>IF(COUNTIFS(tblConcentrado[ID],tblConcentrado[[#This Row],[ID]])&gt;1,"Duplicado","")</f>
        <v/>
      </c>
    </row>
    <row r="534" spans="2:27">
      <c r="B534" s="976">
        <f>(YEAR(tblConcentrado[[#This Row],[Fecha]])*10000+MONTH(tblConcentrado[[#This Row],[Fecha]])*100+DAY(tblConcentrado[[#This Row],[Fecha]]))*100+tblConcentrado[[#This Row],[N° hora]]</f>
        <v>2026092312</v>
      </c>
      <c r="C534" s="1560">
        <v>46288</v>
      </c>
      <c r="D534" s="1038">
        <v>12</v>
      </c>
      <c r="E534" s="952">
        <v>0.83333333333333326</v>
      </c>
      <c r="F534" s="256">
        <v>1438</v>
      </c>
      <c r="G534" s="256">
        <v>981</v>
      </c>
      <c r="H534" s="970"/>
      <c r="I534" s="970"/>
      <c r="J534" s="970"/>
      <c r="K534" s="970"/>
      <c r="L534" s="970"/>
      <c r="M534" s="971"/>
      <c r="N534" s="971"/>
      <c r="O534" s="971"/>
      <c r="P534" s="971"/>
      <c r="Q534" s="971"/>
      <c r="R534" s="1038" t="s">
        <v>9258</v>
      </c>
      <c r="S534" s="1038" t="s">
        <v>10358</v>
      </c>
      <c r="T534" s="1038"/>
      <c r="U534" s="1038" t="s">
        <v>10345</v>
      </c>
      <c r="V534" s="1560">
        <v>46296.134975300927</v>
      </c>
      <c r="W53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3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34" s="974">
        <f>IFERROR(tblConcentrado[[#This Row],[Concentrado (TMS)]]/tblConcentrado[[#This Row],[Mineral (TMS)]],"")</f>
        <v>0.68219749652294859</v>
      </c>
      <c r="Z534" s="973">
        <f>IFERROR(1/tblConcentrado[[#This Row],[% Recup.]],0)</f>
        <v>1.4658511722731906</v>
      </c>
      <c r="AA534" s="1561" t="str">
        <f>IF(COUNTIFS(tblConcentrado[ID],tblConcentrado[[#This Row],[ID]])&gt;1,"Duplicado","")</f>
        <v/>
      </c>
    </row>
    <row r="535" spans="2:27">
      <c r="B535" s="976">
        <f>(YEAR(tblConcentrado[[#This Row],[Fecha]])*10000+MONTH(tblConcentrado[[#This Row],[Fecha]])*100+DAY(tblConcentrado[[#This Row],[Fecha]]))*100+tblConcentrado[[#This Row],[N° hora]]</f>
        <v>2026092313</v>
      </c>
      <c r="C535" s="1560">
        <v>46288</v>
      </c>
      <c r="D535" s="1038">
        <v>13</v>
      </c>
      <c r="E535" s="952">
        <v>0.875</v>
      </c>
      <c r="F535" s="256">
        <v>1411</v>
      </c>
      <c r="G535" s="256">
        <v>1011</v>
      </c>
      <c r="H535" s="970">
        <v>0.22600000000000001</v>
      </c>
      <c r="I535" s="970">
        <v>0.56399999999999995</v>
      </c>
      <c r="J535" s="970">
        <v>0.34</v>
      </c>
      <c r="K535" s="970">
        <v>0.63300000000000001</v>
      </c>
      <c r="L535" s="970">
        <v>0.38</v>
      </c>
      <c r="M535" s="971">
        <v>22.8</v>
      </c>
      <c r="N535" s="971">
        <v>14.5</v>
      </c>
      <c r="O535" s="971">
        <v>2.4</v>
      </c>
      <c r="P535" s="971">
        <v>2</v>
      </c>
      <c r="Q535" s="971">
        <v>8.1999999999999993</v>
      </c>
      <c r="R535" s="1038" t="s">
        <v>9258</v>
      </c>
      <c r="S535" s="1038"/>
      <c r="T535" s="1038"/>
      <c r="U535" s="1038" t="s">
        <v>10345</v>
      </c>
      <c r="V535" s="1560">
        <v>46296.134975300927</v>
      </c>
      <c r="W53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17.82</v>
      </c>
      <c r="X53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2.16</v>
      </c>
      <c r="Y535" s="974">
        <f>IFERROR(tblConcentrado[[#This Row],[Concentrado (TMS)]]/tblConcentrado[[#This Row],[Mineral (TMS)]],"")</f>
        <v>0.71651311126860384</v>
      </c>
      <c r="Z535" s="973">
        <f>IFERROR(1/tblConcentrado[[#This Row],[% Recup.]],0)</f>
        <v>1.3956478733926805</v>
      </c>
      <c r="AA535" s="1561" t="str">
        <f>IF(COUNTIFS(tblConcentrado[ID],tblConcentrado[[#This Row],[ID]])&gt;1,"Duplicado","")</f>
        <v/>
      </c>
    </row>
    <row r="536" spans="2:27">
      <c r="B536" s="976">
        <f>(YEAR(tblConcentrado[[#This Row],[Fecha]])*10000+MONTH(tblConcentrado[[#This Row],[Fecha]])*100+DAY(tblConcentrado[[#This Row],[Fecha]]))*100+tblConcentrado[[#This Row],[N° hora]]</f>
        <v>2026092314</v>
      </c>
      <c r="C536" s="1560">
        <v>46288</v>
      </c>
      <c r="D536" s="1038">
        <v>14</v>
      </c>
      <c r="E536" s="952">
        <v>0.91666666666666663</v>
      </c>
      <c r="F536" s="256">
        <v>1433</v>
      </c>
      <c r="G536" s="256">
        <v>1021</v>
      </c>
      <c r="H536" s="970"/>
      <c r="I536" s="970"/>
      <c r="J536" s="970"/>
      <c r="K536" s="970"/>
      <c r="L536" s="970"/>
      <c r="M536" s="971"/>
      <c r="N536" s="971"/>
      <c r="O536" s="971"/>
      <c r="P536" s="971"/>
      <c r="Q536" s="971"/>
      <c r="R536" s="1038" t="s">
        <v>9258</v>
      </c>
      <c r="S536" s="1038" t="s">
        <v>10359</v>
      </c>
      <c r="T536" s="1038"/>
      <c r="U536" s="1038" t="s">
        <v>10345</v>
      </c>
      <c r="V536" s="1560">
        <v>46296.134975300927</v>
      </c>
      <c r="W53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3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36" s="974">
        <f>IFERROR(tblConcentrado[[#This Row],[Concentrado (TMS)]]/tblConcentrado[[#This Row],[Mineral (TMS)]],"")</f>
        <v>0.71249127704117232</v>
      </c>
      <c r="Z536" s="973">
        <f>IFERROR(1/tblConcentrado[[#This Row],[% Recup.]],0)</f>
        <v>1.4035259549461314</v>
      </c>
      <c r="AA536" s="1561" t="str">
        <f>IF(COUNTIFS(tblConcentrado[ID],tblConcentrado[[#This Row],[ID]])&gt;1,"Duplicado","")</f>
        <v/>
      </c>
    </row>
    <row r="537" spans="2:27">
      <c r="B537" s="976">
        <f>(YEAR(tblConcentrado[[#This Row],[Fecha]])*10000+MONTH(tblConcentrado[[#This Row],[Fecha]])*100+DAY(tblConcentrado[[#This Row],[Fecha]]))*100+tblConcentrado[[#This Row],[N° hora]]</f>
        <v>2026092315</v>
      </c>
      <c r="C537" s="1560">
        <v>46288</v>
      </c>
      <c r="D537" s="1038">
        <v>15</v>
      </c>
      <c r="E537" s="952">
        <v>0.95833333333333337</v>
      </c>
      <c r="F537" s="256">
        <v>1374</v>
      </c>
      <c r="G537" s="256">
        <v>977</v>
      </c>
      <c r="H537" s="970">
        <v>0.24299999999999999</v>
      </c>
      <c r="I537" s="970">
        <v>0.61099999999999999</v>
      </c>
      <c r="J537" s="970">
        <v>0.36</v>
      </c>
      <c r="K537" s="970">
        <v>0.60799999999999998</v>
      </c>
      <c r="L537" s="970">
        <v>0.33</v>
      </c>
      <c r="M537" s="971">
        <v>22.9</v>
      </c>
      <c r="N537" s="971">
        <v>14.2</v>
      </c>
      <c r="O537" s="971">
        <v>2.5</v>
      </c>
      <c r="P537" s="971">
        <v>2</v>
      </c>
      <c r="Q537" s="971">
        <v>8.3000000000000007</v>
      </c>
      <c r="R537" s="1038" t="s">
        <v>9258</v>
      </c>
      <c r="S537" s="1038"/>
      <c r="T537" s="1038"/>
      <c r="U537" s="1038" t="s">
        <v>10345</v>
      </c>
      <c r="V537" s="1560">
        <v>46296.134975300927</v>
      </c>
      <c r="W53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17.68</v>
      </c>
      <c r="X53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2.2000000000000002</v>
      </c>
      <c r="Y537" s="974">
        <f>IFERROR(tblConcentrado[[#This Row],[Concentrado (TMS)]]/tblConcentrado[[#This Row],[Mineral (TMS)]],"")</f>
        <v>0.7110625909752547</v>
      </c>
      <c r="Z537" s="973">
        <f>IFERROR(1/tblConcentrado[[#This Row],[% Recup.]],0)</f>
        <v>1.4063459570112591</v>
      </c>
      <c r="AA537" s="1561" t="str">
        <f>IF(COUNTIFS(tblConcentrado[ID],tblConcentrado[[#This Row],[ID]])&gt;1,"Duplicado","")</f>
        <v/>
      </c>
    </row>
    <row r="538" spans="2:27">
      <c r="B538" s="976">
        <f>(YEAR(tblConcentrado[[#This Row],[Fecha]])*10000+MONTH(tblConcentrado[[#This Row],[Fecha]])*100+DAY(tblConcentrado[[#This Row],[Fecha]]))*100+tblConcentrado[[#This Row],[N° hora]]</f>
        <v>2026092316</v>
      </c>
      <c r="C538" s="1560">
        <v>46288</v>
      </c>
      <c r="D538" s="1038">
        <v>16</v>
      </c>
      <c r="E538" s="952">
        <v>0</v>
      </c>
      <c r="F538" s="256">
        <v>1445</v>
      </c>
      <c r="G538" s="256">
        <v>975</v>
      </c>
      <c r="H538" s="970"/>
      <c r="I538" s="970"/>
      <c r="J538" s="970"/>
      <c r="K538" s="970"/>
      <c r="L538" s="970"/>
      <c r="M538" s="971"/>
      <c r="N538" s="971"/>
      <c r="O538" s="971"/>
      <c r="P538" s="971"/>
      <c r="Q538" s="971"/>
      <c r="R538" s="1038" t="s">
        <v>9258</v>
      </c>
      <c r="S538" s="1038"/>
      <c r="T538" s="1038"/>
      <c r="U538" s="1038" t="s">
        <v>10345</v>
      </c>
      <c r="V538" s="1560">
        <v>46296.134975300927</v>
      </c>
      <c r="W53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3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38" s="974">
        <f>IFERROR(tblConcentrado[[#This Row],[Concentrado (TMS)]]/tblConcentrado[[#This Row],[Mineral (TMS)]],"")</f>
        <v>0.67474048442906576</v>
      </c>
      <c r="Z538" s="973">
        <f>IFERROR(1/tblConcentrado[[#This Row],[% Recup.]],0)</f>
        <v>1.4820512820512821</v>
      </c>
      <c r="AA538" s="1561" t="str">
        <f>IF(COUNTIFS(tblConcentrado[ID],tblConcentrado[[#This Row],[ID]])&gt;1,"Duplicado","")</f>
        <v/>
      </c>
    </row>
    <row r="539" spans="2:27">
      <c r="B539" s="976">
        <f>(YEAR(tblConcentrado[[#This Row],[Fecha]])*10000+MONTH(tblConcentrado[[#This Row],[Fecha]])*100+DAY(tblConcentrado[[#This Row],[Fecha]]))*100+tblConcentrado[[#This Row],[N° hora]]</f>
        <v>2026092317</v>
      </c>
      <c r="C539" s="1560">
        <v>46288</v>
      </c>
      <c r="D539" s="1038">
        <v>17</v>
      </c>
      <c r="E539" s="952">
        <v>4.1666666666666519E-2</v>
      </c>
      <c r="F539" s="256">
        <v>1447</v>
      </c>
      <c r="G539" s="256">
        <v>854</v>
      </c>
      <c r="H539" s="970">
        <v>0.19400000000000001</v>
      </c>
      <c r="I539" s="970">
        <v>0.67700000000000005</v>
      </c>
      <c r="J539" s="970">
        <v>0.4</v>
      </c>
      <c r="K539" s="970">
        <v>0.626</v>
      </c>
      <c r="L539" s="970">
        <v>0.37</v>
      </c>
      <c r="M539" s="971">
        <v>20.6</v>
      </c>
      <c r="N539" s="971">
        <v>13</v>
      </c>
      <c r="O539" s="971">
        <v>2.4</v>
      </c>
      <c r="P539" s="971">
        <v>1.8</v>
      </c>
      <c r="Q539" s="971">
        <v>8.3000000000000007</v>
      </c>
      <c r="R539" s="1038" t="s">
        <v>9258</v>
      </c>
      <c r="S539" s="1038" t="s">
        <v>10360</v>
      </c>
      <c r="T539" s="1038"/>
      <c r="U539" s="1038" t="s">
        <v>10345</v>
      </c>
      <c r="V539" s="1560">
        <v>46296.134975300927</v>
      </c>
      <c r="W53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16.04</v>
      </c>
      <c r="X53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2.04</v>
      </c>
      <c r="Y539" s="974">
        <f>IFERROR(tblConcentrado[[#This Row],[Concentrado (TMS)]]/tblConcentrado[[#This Row],[Mineral (TMS)]],"")</f>
        <v>0.59018659295093301</v>
      </c>
      <c r="Z539" s="973">
        <f>IFERROR(1/tblConcentrado[[#This Row],[% Recup.]],0)</f>
        <v>1.6943793911007023</v>
      </c>
      <c r="AA539" s="1561" t="str">
        <f>IF(COUNTIFS(tblConcentrado[ID],tblConcentrado[[#This Row],[ID]])&gt;1,"Duplicado","")</f>
        <v/>
      </c>
    </row>
    <row r="540" spans="2:27">
      <c r="B540" s="976">
        <f>(YEAR(tblConcentrado[[#This Row],[Fecha]])*10000+MONTH(tblConcentrado[[#This Row],[Fecha]])*100+DAY(tblConcentrado[[#This Row],[Fecha]]))*100+tblConcentrado[[#This Row],[N° hora]]</f>
        <v>2026092318</v>
      </c>
      <c r="C540" s="1560">
        <v>46288</v>
      </c>
      <c r="D540" s="1038">
        <v>18</v>
      </c>
      <c r="E540" s="952">
        <v>8.3333333333333481E-2</v>
      </c>
      <c r="F540" s="256">
        <v>1457</v>
      </c>
      <c r="G540" s="256">
        <v>813</v>
      </c>
      <c r="H540" s="970"/>
      <c r="I540" s="970"/>
      <c r="J540" s="970"/>
      <c r="K540" s="970"/>
      <c r="L540" s="970"/>
      <c r="M540" s="971"/>
      <c r="N540" s="971"/>
      <c r="O540" s="971"/>
      <c r="P540" s="971"/>
      <c r="Q540" s="971"/>
      <c r="R540" s="1038" t="s">
        <v>9258</v>
      </c>
      <c r="S540" s="1038"/>
      <c r="T540" s="1038"/>
      <c r="U540" s="1038" t="s">
        <v>10345</v>
      </c>
      <c r="V540" s="1560">
        <v>46296.134975300927</v>
      </c>
      <c r="W54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4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40" s="974">
        <f>IFERROR(tblConcentrado[[#This Row],[Concentrado (TMS)]]/tblConcentrado[[#This Row],[Mineral (TMS)]],"")</f>
        <v>0.55799588194921068</v>
      </c>
      <c r="Z540" s="973">
        <f>IFERROR(1/tblConcentrado[[#This Row],[% Recup.]],0)</f>
        <v>1.7921279212792129</v>
      </c>
      <c r="AA540" s="1561" t="str">
        <f>IF(COUNTIFS(tblConcentrado[ID],tblConcentrado[[#This Row],[ID]])&gt;1,"Duplicado","")</f>
        <v/>
      </c>
    </row>
    <row r="541" spans="2:27">
      <c r="B541" s="976">
        <f>(YEAR(tblConcentrado[[#This Row],[Fecha]])*10000+MONTH(tblConcentrado[[#This Row],[Fecha]])*100+DAY(tblConcentrado[[#This Row],[Fecha]]))*100+tblConcentrado[[#This Row],[N° hora]]</f>
        <v>2026092319</v>
      </c>
      <c r="C541" s="1560">
        <v>46288</v>
      </c>
      <c r="D541" s="1038">
        <v>19</v>
      </c>
      <c r="E541" s="952">
        <v>0.125</v>
      </c>
      <c r="F541" s="256">
        <v>1510</v>
      </c>
      <c r="G541" s="256">
        <v>1060</v>
      </c>
      <c r="H541" s="970">
        <v>0.20799999999999999</v>
      </c>
      <c r="I541" s="970">
        <v>0.60899999999999999</v>
      </c>
      <c r="J541" s="970">
        <v>0.33</v>
      </c>
      <c r="K541" s="970">
        <v>0.65300000000000002</v>
      </c>
      <c r="L541" s="970">
        <v>0.39</v>
      </c>
      <c r="M541" s="971">
        <v>20</v>
      </c>
      <c r="N541" s="971">
        <v>12</v>
      </c>
      <c r="O541" s="971">
        <v>2.6</v>
      </c>
      <c r="P541" s="971">
        <v>2</v>
      </c>
      <c r="Q541" s="971">
        <v>8.6</v>
      </c>
      <c r="R541" s="1038" t="s">
        <v>9258</v>
      </c>
      <c r="S541" s="1038" t="s">
        <v>10361</v>
      </c>
      <c r="T541" s="1038"/>
      <c r="U541" s="1038" t="s">
        <v>10345</v>
      </c>
      <c r="V541" s="1560">
        <v>46296.134975300927</v>
      </c>
      <c r="W54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15.2</v>
      </c>
      <c r="X54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2.2400000000000002</v>
      </c>
      <c r="Y541" s="974">
        <f>IFERROR(tblConcentrado[[#This Row],[Concentrado (TMS)]]/tblConcentrado[[#This Row],[Mineral (TMS)]],"")</f>
        <v>0.70198675496688745</v>
      </c>
      <c r="Z541" s="973">
        <f>IFERROR(1/tblConcentrado[[#This Row],[% Recup.]],0)</f>
        <v>1.4245283018867925</v>
      </c>
      <c r="AA541" s="1561" t="str">
        <f>IF(COUNTIFS(tblConcentrado[ID],tblConcentrado[[#This Row],[ID]])&gt;1,"Duplicado","")</f>
        <v/>
      </c>
    </row>
    <row r="542" spans="2:27">
      <c r="B542" s="976">
        <f>(YEAR(tblConcentrado[[#This Row],[Fecha]])*10000+MONTH(tblConcentrado[[#This Row],[Fecha]])*100+DAY(tblConcentrado[[#This Row],[Fecha]]))*100+tblConcentrado[[#This Row],[N° hora]]</f>
        <v>2026092320</v>
      </c>
      <c r="C542" s="1560">
        <v>46288</v>
      </c>
      <c r="D542" s="1038">
        <v>20</v>
      </c>
      <c r="E542" s="952">
        <v>0.16666666666666652</v>
      </c>
      <c r="F542" s="256">
        <v>1490</v>
      </c>
      <c r="G542" s="256">
        <v>929</v>
      </c>
      <c r="H542" s="970"/>
      <c r="I542" s="970"/>
      <c r="J542" s="970"/>
      <c r="K542" s="970"/>
      <c r="L542" s="970"/>
      <c r="M542" s="971"/>
      <c r="N542" s="971"/>
      <c r="O542" s="971"/>
      <c r="P542" s="971"/>
      <c r="Q542" s="971"/>
      <c r="R542" s="1038" t="s">
        <v>9258</v>
      </c>
      <c r="S542" s="1038"/>
      <c r="T542" s="1038"/>
      <c r="U542" s="1038" t="s">
        <v>10345</v>
      </c>
      <c r="V542" s="1560">
        <v>46296.134975300927</v>
      </c>
      <c r="W54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4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42" s="974">
        <f>IFERROR(tblConcentrado[[#This Row],[Concentrado (TMS)]]/tblConcentrado[[#This Row],[Mineral (TMS)]],"")</f>
        <v>0.62348993288590604</v>
      </c>
      <c r="Z542" s="973">
        <f>IFERROR(1/tblConcentrado[[#This Row],[% Recup.]],0)</f>
        <v>1.6038751345532831</v>
      </c>
      <c r="AA542" s="1561" t="str">
        <f>IF(COUNTIFS(tblConcentrado[ID],tblConcentrado[[#This Row],[ID]])&gt;1,"Duplicado","")</f>
        <v/>
      </c>
    </row>
    <row r="543" spans="2:27">
      <c r="B543" s="976">
        <f>(YEAR(tblConcentrado[[#This Row],[Fecha]])*10000+MONTH(tblConcentrado[[#This Row],[Fecha]])*100+DAY(tblConcentrado[[#This Row],[Fecha]]))*100+tblConcentrado[[#This Row],[N° hora]]</f>
        <v>2026092321</v>
      </c>
      <c r="C543" s="1560">
        <v>46288</v>
      </c>
      <c r="D543" s="1038">
        <v>21</v>
      </c>
      <c r="E543" s="952">
        <v>0.20833333333333348</v>
      </c>
      <c r="F543" s="256">
        <v>1500</v>
      </c>
      <c r="G543" s="256">
        <v>1058</v>
      </c>
      <c r="H543" s="970">
        <v>0.22500000000000001</v>
      </c>
      <c r="I543" s="970">
        <v>0.69199999999999995</v>
      </c>
      <c r="J543" s="970">
        <v>0.43</v>
      </c>
      <c r="K543" s="970">
        <v>0.67400000000000004</v>
      </c>
      <c r="L543" s="970">
        <v>0.41</v>
      </c>
      <c r="M543" s="971"/>
      <c r="N543" s="971"/>
      <c r="O543" s="971">
        <v>2.7</v>
      </c>
      <c r="P543" s="971">
        <v>2.2000000000000002</v>
      </c>
      <c r="Q543" s="971">
        <v>8.5</v>
      </c>
      <c r="R543" s="1038" t="s">
        <v>9258</v>
      </c>
      <c r="S543" s="1038" t="s">
        <v>10362</v>
      </c>
      <c r="T543" s="1038"/>
      <c r="U543" s="1038" t="s">
        <v>10345</v>
      </c>
      <c r="V543" s="1560">
        <v>46296.134975300927</v>
      </c>
      <c r="W543"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4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2.4000000000000004</v>
      </c>
      <c r="Y543" s="974">
        <f>IFERROR(tblConcentrado[[#This Row],[Concentrado (TMS)]]/tblConcentrado[[#This Row],[Mineral (TMS)]],"")</f>
        <v>0.70533333333333337</v>
      </c>
      <c r="Z543" s="973">
        <f>IFERROR(1/tblConcentrado[[#This Row],[% Recup.]],0)</f>
        <v>1.4177693761814745</v>
      </c>
      <c r="AA543" s="1561" t="str">
        <f>IF(COUNTIFS(tblConcentrado[ID],tblConcentrado[[#This Row],[ID]])&gt;1,"Duplicado","")</f>
        <v/>
      </c>
    </row>
    <row r="544" spans="2:27">
      <c r="B544" s="976">
        <f>(YEAR(tblConcentrado[[#This Row],[Fecha]])*10000+MONTH(tblConcentrado[[#This Row],[Fecha]])*100+DAY(tblConcentrado[[#This Row],[Fecha]]))*100+tblConcentrado[[#This Row],[N° hora]]</f>
        <v>2026092322</v>
      </c>
      <c r="C544" s="1560">
        <v>46288</v>
      </c>
      <c r="D544" s="1038">
        <v>22</v>
      </c>
      <c r="E544" s="952">
        <v>0.25</v>
      </c>
      <c r="F544" s="256">
        <v>1495</v>
      </c>
      <c r="G544" s="256">
        <v>917</v>
      </c>
      <c r="H544" s="970"/>
      <c r="I544" s="970"/>
      <c r="J544" s="970"/>
      <c r="K544" s="970"/>
      <c r="L544" s="970"/>
      <c r="M544" s="971"/>
      <c r="N544" s="971"/>
      <c r="O544" s="971"/>
      <c r="P544" s="971"/>
      <c r="Q544" s="971"/>
      <c r="R544" s="1038" t="s">
        <v>9258</v>
      </c>
      <c r="S544" s="1038"/>
      <c r="T544" s="1038"/>
      <c r="U544" s="1038" t="s">
        <v>10345</v>
      </c>
      <c r="V544" s="1560">
        <v>46296.134975300927</v>
      </c>
      <c r="W54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4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44" s="974">
        <f>IFERROR(tblConcentrado[[#This Row],[Concentrado (TMS)]]/tblConcentrado[[#This Row],[Mineral (TMS)]],"")</f>
        <v>0.61337792642140465</v>
      </c>
      <c r="Z544" s="973">
        <f>IFERROR(1/tblConcentrado[[#This Row],[% Recup.]],0)</f>
        <v>1.6303162486368594</v>
      </c>
      <c r="AA544" s="1561" t="str">
        <f>IF(COUNTIFS(tblConcentrado[ID],tblConcentrado[[#This Row],[ID]])&gt;1,"Duplicado","")</f>
        <v/>
      </c>
    </row>
    <row r="545" spans="2:27">
      <c r="B545" s="976">
        <f>(YEAR(tblConcentrado[[#This Row],[Fecha]])*10000+MONTH(tblConcentrado[[#This Row],[Fecha]])*100+DAY(tblConcentrado[[#This Row],[Fecha]]))*100+tblConcentrado[[#This Row],[N° hora]]</f>
        <v>2026092323</v>
      </c>
      <c r="C545" s="1560">
        <v>46288</v>
      </c>
      <c r="D545" s="1038">
        <v>23</v>
      </c>
      <c r="E545" s="952">
        <v>0.29166666666666652</v>
      </c>
      <c r="F545" s="256">
        <v>1524</v>
      </c>
      <c r="G545" s="256">
        <v>979</v>
      </c>
      <c r="H545" s="970">
        <v>0.21299999999999999</v>
      </c>
      <c r="I545" s="970">
        <v>0.58199999999999996</v>
      </c>
      <c r="J545" s="970">
        <v>0.3</v>
      </c>
      <c r="K545" s="970">
        <v>0.67400000000000004</v>
      </c>
      <c r="L545" s="970">
        <v>0.41</v>
      </c>
      <c r="M545" s="971">
        <v>22.9</v>
      </c>
      <c r="N545" s="971">
        <v>14</v>
      </c>
      <c r="O545" s="971">
        <v>2.1</v>
      </c>
      <c r="P545" s="971">
        <v>2.2000000000000002</v>
      </c>
      <c r="Q545" s="971">
        <v>8.3000000000000007</v>
      </c>
      <c r="R545" s="1038" t="s">
        <v>9258</v>
      </c>
      <c r="S545" s="1038"/>
      <c r="T545" s="1038"/>
      <c r="U545" s="1038" t="s">
        <v>10345</v>
      </c>
      <c r="V545" s="1560">
        <v>46296.134975300927</v>
      </c>
      <c r="W54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17.560000000000002</v>
      </c>
      <c r="X54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2.16</v>
      </c>
      <c r="Y545" s="974">
        <f>IFERROR(tblConcentrado[[#This Row],[Concentrado (TMS)]]/tblConcentrado[[#This Row],[Mineral (TMS)]],"")</f>
        <v>0.6423884514435696</v>
      </c>
      <c r="Z545" s="973">
        <f>IFERROR(1/tblConcentrado[[#This Row],[% Recup.]],0)</f>
        <v>1.5566905005107252</v>
      </c>
      <c r="AA545" s="1561" t="str">
        <f>IF(COUNTIFS(tblConcentrado[ID],tblConcentrado[[#This Row],[ID]])&gt;1,"Duplicado","")</f>
        <v/>
      </c>
    </row>
    <row r="546" spans="2:27">
      <c r="B546" s="976">
        <f>(YEAR(tblConcentrado[[#This Row],[Fecha]])*10000+MONTH(tblConcentrado[[#This Row],[Fecha]])*100+DAY(tblConcentrado[[#This Row],[Fecha]]))*100+tblConcentrado[[#This Row],[N° hora]]</f>
        <v>2026092324</v>
      </c>
      <c r="C546" s="1560">
        <v>46288</v>
      </c>
      <c r="D546" s="1038">
        <v>24</v>
      </c>
      <c r="E546" s="952">
        <v>0.33333333333333348</v>
      </c>
      <c r="F546" s="256">
        <v>1503</v>
      </c>
      <c r="G546" s="256">
        <v>1024</v>
      </c>
      <c r="H546" s="970"/>
      <c r="I546" s="970"/>
      <c r="J546" s="970"/>
      <c r="K546" s="970"/>
      <c r="L546" s="970"/>
      <c r="M546" s="971"/>
      <c r="N546" s="971"/>
      <c r="O546" s="971"/>
      <c r="P546" s="971"/>
      <c r="Q546" s="971"/>
      <c r="R546" s="1038" t="s">
        <v>9258</v>
      </c>
      <c r="S546" s="1038"/>
      <c r="T546" s="1038"/>
      <c r="U546" s="1038" t="s">
        <v>10345</v>
      </c>
      <c r="V546" s="1560">
        <v>46296.134975300927</v>
      </c>
      <c r="W54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4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46" s="974">
        <f>IFERROR(tblConcentrado[[#This Row],[Concentrado (TMS)]]/tblConcentrado[[#This Row],[Mineral (TMS)]],"")</f>
        <v>0.68130405854956755</v>
      </c>
      <c r="Z546" s="973">
        <f>IFERROR(1/tblConcentrado[[#This Row],[% Recup.]],0)</f>
        <v>1.4677734375</v>
      </c>
      <c r="AA546" s="1561" t="str">
        <f>IF(COUNTIFS(tblConcentrado[ID],tblConcentrado[[#This Row],[ID]])&gt;1,"Duplicado","")</f>
        <v/>
      </c>
    </row>
    <row r="547" spans="2:27">
      <c r="B547" s="976">
        <f>(YEAR(tblConcentrado[[#This Row],[Fecha]])*10000+MONTH(tblConcentrado[[#This Row],[Fecha]])*100+DAY(tblConcentrado[[#This Row],[Fecha]]))*100+tblConcentrado[[#This Row],[N° hora]]</f>
        <v>2026092401</v>
      </c>
      <c r="C547" s="1560">
        <v>46289</v>
      </c>
      <c r="D547" s="1038">
        <v>1</v>
      </c>
      <c r="E547" s="952">
        <v>0.375</v>
      </c>
      <c r="F547" s="256">
        <v>1521</v>
      </c>
      <c r="G547" s="256">
        <v>948</v>
      </c>
      <c r="H547" s="970">
        <v>0.20799999999999999</v>
      </c>
      <c r="I547" s="970">
        <v>0.67100000000000004</v>
      </c>
      <c r="J547" s="970">
        <v>0.46</v>
      </c>
      <c r="K547" s="970">
        <v>0.77500000000000002</v>
      </c>
      <c r="L547" s="970">
        <v>0.52</v>
      </c>
      <c r="M547" s="971">
        <v>22.5</v>
      </c>
      <c r="N547" s="971">
        <v>15.5</v>
      </c>
      <c r="O547" s="971">
        <v>2.9</v>
      </c>
      <c r="P547" s="971">
        <v>2.2000000000000002</v>
      </c>
      <c r="Q547" s="971">
        <v>8.3000000000000007</v>
      </c>
      <c r="R547" s="1038" t="s">
        <v>9258</v>
      </c>
      <c r="S547" s="1038"/>
      <c r="T547" s="1038"/>
      <c r="U547" s="1038" t="s">
        <v>10345</v>
      </c>
      <c r="V547" s="1560">
        <v>46296.134975300927</v>
      </c>
      <c r="W54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18.299999999999997</v>
      </c>
      <c r="X54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2.48</v>
      </c>
      <c r="Y547" s="974">
        <f>IFERROR(tblConcentrado[[#This Row],[Concentrado (TMS)]]/tblConcentrado[[#This Row],[Mineral (TMS)]],"")</f>
        <v>0.62327416173570016</v>
      </c>
      <c r="Z547" s="973">
        <f>IFERROR(1/tblConcentrado[[#This Row],[% Recup.]],0)</f>
        <v>1.6044303797468356</v>
      </c>
      <c r="AA547" s="1561" t="str">
        <f>IF(COUNTIFS(tblConcentrado[ID],tblConcentrado[[#This Row],[ID]])&gt;1,"Duplicado","")</f>
        <v/>
      </c>
    </row>
    <row r="548" spans="2:27">
      <c r="B548" s="976">
        <f>(YEAR(tblConcentrado[[#This Row],[Fecha]])*10000+MONTH(tblConcentrado[[#This Row],[Fecha]])*100+DAY(tblConcentrado[[#This Row],[Fecha]]))*100+tblConcentrado[[#This Row],[N° hora]]</f>
        <v>2026092402</v>
      </c>
      <c r="C548" s="1560">
        <v>46289</v>
      </c>
      <c r="D548" s="1038">
        <v>2</v>
      </c>
      <c r="E548" s="952">
        <v>0.41666666666666669</v>
      </c>
      <c r="F548" s="256">
        <v>1503</v>
      </c>
      <c r="G548" s="256">
        <v>855</v>
      </c>
      <c r="H548" s="970"/>
      <c r="I548" s="970"/>
      <c r="J548" s="970"/>
      <c r="K548" s="970"/>
      <c r="L548" s="970"/>
      <c r="M548" s="971"/>
      <c r="N548" s="971"/>
      <c r="O548" s="971"/>
      <c r="P548" s="971"/>
      <c r="Q548" s="971"/>
      <c r="R548" s="1038" t="s">
        <v>9258</v>
      </c>
      <c r="S548" s="1038"/>
      <c r="T548" s="1038"/>
      <c r="U548" s="1038" t="s">
        <v>10345</v>
      </c>
      <c r="V548" s="1560">
        <v>46296.134975300927</v>
      </c>
      <c r="W54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4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48" s="974">
        <f>IFERROR(tblConcentrado[[#This Row],[Concentrado (TMS)]]/tblConcentrado[[#This Row],[Mineral (TMS)]],"")</f>
        <v>0.56886227544910184</v>
      </c>
      <c r="Z548" s="973">
        <f>IFERROR(1/tblConcentrado[[#This Row],[% Recup.]],0)</f>
        <v>1.7578947368421052</v>
      </c>
      <c r="AA548" s="1561" t="str">
        <f>IF(COUNTIFS(tblConcentrado[ID],tblConcentrado[[#This Row],[ID]])&gt;1,"Duplicado","")</f>
        <v/>
      </c>
    </row>
    <row r="549" spans="2:27">
      <c r="B549" s="976">
        <f>(YEAR(tblConcentrado[[#This Row],[Fecha]])*10000+MONTH(tblConcentrado[[#This Row],[Fecha]])*100+DAY(tblConcentrado[[#This Row],[Fecha]]))*100+tblConcentrado[[#This Row],[N° hora]]</f>
        <v>2026092403</v>
      </c>
      <c r="C549" s="1560">
        <v>46289</v>
      </c>
      <c r="D549" s="1038">
        <v>3</v>
      </c>
      <c r="E549" s="952">
        <v>0.45833333333333331</v>
      </c>
      <c r="F549" s="256">
        <v>1478</v>
      </c>
      <c r="G549" s="256">
        <v>471</v>
      </c>
      <c r="H549" s="970">
        <v>0.20899999999999999</v>
      </c>
      <c r="I549" s="970">
        <v>0.67300000000000004</v>
      </c>
      <c r="J549" s="970">
        <v>0.46</v>
      </c>
      <c r="K549" s="970">
        <v>0.70499999999999996</v>
      </c>
      <c r="L549" s="970">
        <v>0.55000000000000004</v>
      </c>
      <c r="M549" s="971">
        <v>22.9</v>
      </c>
      <c r="N549" s="971">
        <v>14.2</v>
      </c>
      <c r="O549" s="971">
        <v>3.1</v>
      </c>
      <c r="P549" s="971">
        <v>2.1</v>
      </c>
      <c r="Q549" s="971">
        <v>8.5</v>
      </c>
      <c r="R549" s="1038" t="s">
        <v>9258</v>
      </c>
      <c r="S549" s="1038"/>
      <c r="T549" s="1038" t="s">
        <v>10363</v>
      </c>
      <c r="U549" s="1038" t="s">
        <v>10345</v>
      </c>
      <c r="V549" s="1560">
        <v>46296.134975300927</v>
      </c>
      <c r="W54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17.68</v>
      </c>
      <c r="X54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v>
      </c>
      <c r="Y549" s="974">
        <f>IFERROR(tblConcentrado[[#This Row],[Concentrado (TMS)]]/tblConcentrado[[#This Row],[Mineral (TMS)]],"")</f>
        <v>0.31867388362652233</v>
      </c>
      <c r="Z549" s="973">
        <f>IFERROR(1/tblConcentrado[[#This Row],[% Recup.]],0)</f>
        <v>3.1380042462845013</v>
      </c>
      <c r="AA549" s="1561" t="str">
        <f>IF(COUNTIFS(tblConcentrado[ID],tblConcentrado[[#This Row],[ID]])&gt;1,"Duplicado","")</f>
        <v/>
      </c>
    </row>
    <row r="550" spans="2:27">
      <c r="B550" s="976">
        <f>(YEAR(tblConcentrado[[#This Row],[Fecha]])*10000+MONTH(tblConcentrado[[#This Row],[Fecha]])*100+DAY(tblConcentrado[[#This Row],[Fecha]]))*100+tblConcentrado[[#This Row],[N° hora]]</f>
        <v>2026092404</v>
      </c>
      <c r="C550" s="1560">
        <v>46289</v>
      </c>
      <c r="D550" s="1038">
        <v>4</v>
      </c>
      <c r="E550" s="952">
        <v>0.5</v>
      </c>
      <c r="F550" s="256">
        <v>1471</v>
      </c>
      <c r="G550" s="256">
        <v>956</v>
      </c>
      <c r="H550" s="970"/>
      <c r="I550" s="970"/>
      <c r="J550" s="970"/>
      <c r="K550" s="970"/>
      <c r="L550" s="970"/>
      <c r="M550" s="971"/>
      <c r="N550" s="971"/>
      <c r="O550" s="971"/>
      <c r="P550" s="971"/>
      <c r="Q550" s="971"/>
      <c r="R550" s="1038" t="s">
        <v>9258</v>
      </c>
      <c r="S550" s="1038"/>
      <c r="T550" s="1038"/>
      <c r="U550" s="1038" t="s">
        <v>10345</v>
      </c>
      <c r="V550" s="1560">
        <v>46296.134975300927</v>
      </c>
      <c r="W55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5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50" s="974">
        <f>IFERROR(tblConcentrado[[#This Row],[Concentrado (TMS)]]/tblConcentrado[[#This Row],[Mineral (TMS)]],"")</f>
        <v>0.6498980285520054</v>
      </c>
      <c r="Z550" s="973">
        <f>IFERROR(1/tblConcentrado[[#This Row],[% Recup.]],0)</f>
        <v>1.5387029288702929</v>
      </c>
      <c r="AA550" s="1561" t="str">
        <f>IF(COUNTIFS(tblConcentrado[ID],tblConcentrado[[#This Row],[ID]])&gt;1,"Duplicado","")</f>
        <v/>
      </c>
    </row>
    <row r="551" spans="2:27">
      <c r="B551" s="976">
        <f>(YEAR(tblConcentrado[[#This Row],[Fecha]])*10000+MONTH(tblConcentrado[[#This Row],[Fecha]])*100+DAY(tblConcentrado[[#This Row],[Fecha]]))*100+tblConcentrado[[#This Row],[N° hora]]</f>
        <v>2026092405</v>
      </c>
      <c r="C551" s="1560">
        <v>46289</v>
      </c>
      <c r="D551" s="1038">
        <v>5</v>
      </c>
      <c r="E551" s="952">
        <v>0.54166666666666663</v>
      </c>
      <c r="F551" s="256">
        <v>1486</v>
      </c>
      <c r="G551" s="256">
        <v>1033</v>
      </c>
      <c r="H551" s="970">
        <v>0.218</v>
      </c>
      <c r="I551" s="970">
        <v>0.82799999999999996</v>
      </c>
      <c r="J551" s="970">
        <v>0.57999999999999996</v>
      </c>
      <c r="K551" s="970">
        <v>0.68899999999999995</v>
      </c>
      <c r="L551" s="970">
        <v>0.46</v>
      </c>
      <c r="M551" s="971">
        <v>37.4</v>
      </c>
      <c r="N551" s="971">
        <v>13.9</v>
      </c>
      <c r="O551" s="971">
        <v>11.1</v>
      </c>
      <c r="P551" s="971">
        <v>2.4</v>
      </c>
      <c r="Q551" s="971">
        <v>8.3000000000000007</v>
      </c>
      <c r="R551" s="1038" t="s">
        <v>9258</v>
      </c>
      <c r="S551" s="1038"/>
      <c r="T551" s="1038"/>
      <c r="U551" s="1038" t="s">
        <v>10345</v>
      </c>
      <c r="V551" s="1560">
        <v>46296.134975300927</v>
      </c>
      <c r="W55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23.3</v>
      </c>
      <c r="X55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5.8800000000000008</v>
      </c>
      <c r="Y551" s="974">
        <f>IFERROR(tblConcentrado[[#This Row],[Concentrado (TMS)]]/tblConcentrado[[#This Row],[Mineral (TMS)]],"")</f>
        <v>0.69515477792732172</v>
      </c>
      <c r="Z551" s="973">
        <f>IFERROR(1/tblConcentrado[[#This Row],[% Recup.]],0)</f>
        <v>1.4385285575992255</v>
      </c>
      <c r="AA551" s="1561" t="str">
        <f>IF(COUNTIFS(tblConcentrado[ID],tblConcentrado[[#This Row],[ID]])&gt;1,"Duplicado","")</f>
        <v/>
      </c>
    </row>
    <row r="552" spans="2:27">
      <c r="B552" s="976">
        <f>(YEAR(tblConcentrado[[#This Row],[Fecha]])*10000+MONTH(tblConcentrado[[#This Row],[Fecha]])*100+DAY(tblConcentrado[[#This Row],[Fecha]]))*100+tblConcentrado[[#This Row],[N° hora]]</f>
        <v>2026092406</v>
      </c>
      <c r="C552" s="1560">
        <v>46289</v>
      </c>
      <c r="D552" s="1038">
        <v>6</v>
      </c>
      <c r="E552" s="952">
        <v>0.58333333333333337</v>
      </c>
      <c r="F552" s="256">
        <v>1481</v>
      </c>
      <c r="G552" s="256">
        <v>793</v>
      </c>
      <c r="H552" s="970"/>
      <c r="I552" s="970"/>
      <c r="J552" s="970"/>
      <c r="K552" s="970"/>
      <c r="L552" s="970"/>
      <c r="M552" s="971"/>
      <c r="N552" s="971"/>
      <c r="O552" s="971"/>
      <c r="P552" s="971"/>
      <c r="Q552" s="971"/>
      <c r="R552" s="1038" t="s">
        <v>9258</v>
      </c>
      <c r="S552" s="1038"/>
      <c r="T552" s="1038"/>
      <c r="U552" s="1038" t="s">
        <v>10345</v>
      </c>
      <c r="V552" s="1560">
        <v>46296.134975300927</v>
      </c>
      <c r="W55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5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52" s="974">
        <f>IFERROR(tblConcentrado[[#This Row],[Concentrado (TMS)]]/tblConcentrado[[#This Row],[Mineral (TMS)]],"")</f>
        <v>0.5354490209318028</v>
      </c>
      <c r="Z552" s="973">
        <f>IFERROR(1/tblConcentrado[[#This Row],[% Recup.]],0)</f>
        <v>1.8675914249684742</v>
      </c>
      <c r="AA552" s="1561" t="str">
        <f>IF(COUNTIFS(tblConcentrado[ID],tblConcentrado[[#This Row],[ID]])&gt;1,"Duplicado","")</f>
        <v/>
      </c>
    </row>
    <row r="553" spans="2:27">
      <c r="B553" s="976">
        <f>(YEAR(tblConcentrado[[#This Row],[Fecha]])*10000+MONTH(tblConcentrado[[#This Row],[Fecha]])*100+DAY(tblConcentrado[[#This Row],[Fecha]]))*100+tblConcentrado[[#This Row],[N° hora]]</f>
        <v>2026092407</v>
      </c>
      <c r="C553" s="1560">
        <v>46289</v>
      </c>
      <c r="D553" s="1038">
        <v>7</v>
      </c>
      <c r="E553" s="952">
        <v>0.625</v>
      </c>
      <c r="F553" s="256">
        <v>1488</v>
      </c>
      <c r="G553" s="256">
        <v>985</v>
      </c>
      <c r="H553" s="970">
        <v>0.21299999999999999</v>
      </c>
      <c r="I553" s="970">
        <v>0.66400000000000003</v>
      </c>
      <c r="J553" s="970">
        <v>0.44</v>
      </c>
      <c r="K553" s="970">
        <v>0.64800000000000002</v>
      </c>
      <c r="L553" s="970">
        <v>0.46</v>
      </c>
      <c r="M553" s="971">
        <v>22.1</v>
      </c>
      <c r="N553" s="971">
        <v>13</v>
      </c>
      <c r="O553" s="971">
        <v>2.9</v>
      </c>
      <c r="P553" s="971">
        <v>1.7</v>
      </c>
      <c r="Q553" s="971">
        <v>8.1999999999999993</v>
      </c>
      <c r="R553" s="1038" t="s">
        <v>9258</v>
      </c>
      <c r="S553" s="1038"/>
      <c r="T553" s="1038"/>
      <c r="U553" s="1038" t="s">
        <v>10345</v>
      </c>
      <c r="V553" s="1560">
        <v>46296.134975300927</v>
      </c>
      <c r="W55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16.64</v>
      </c>
      <c r="X55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2.1799999999999997</v>
      </c>
      <c r="Y553" s="974">
        <f>IFERROR(tblConcentrado[[#This Row],[Concentrado (TMS)]]/tblConcentrado[[#This Row],[Mineral (TMS)]],"")</f>
        <v>0.66196236559139787</v>
      </c>
      <c r="Z553" s="973">
        <f>IFERROR(1/tblConcentrado[[#This Row],[% Recup.]],0)</f>
        <v>1.5106598984771573</v>
      </c>
      <c r="AA553" s="1561" t="str">
        <f>IF(COUNTIFS(tblConcentrado[ID],tblConcentrado[[#This Row],[ID]])&gt;1,"Duplicado","")</f>
        <v/>
      </c>
    </row>
    <row r="554" spans="2:27">
      <c r="B554" s="976">
        <f>(YEAR(tblConcentrado[[#This Row],[Fecha]])*10000+MONTH(tblConcentrado[[#This Row],[Fecha]])*100+DAY(tblConcentrado[[#This Row],[Fecha]]))*100+tblConcentrado[[#This Row],[N° hora]]</f>
        <v>2026092408</v>
      </c>
      <c r="C554" s="1560">
        <v>46289</v>
      </c>
      <c r="D554" s="1038">
        <v>8</v>
      </c>
      <c r="E554" s="952">
        <v>0.66666666666666674</v>
      </c>
      <c r="F554" s="256">
        <v>1490</v>
      </c>
      <c r="G554" s="256">
        <v>961</v>
      </c>
      <c r="H554" s="970"/>
      <c r="I554" s="970"/>
      <c r="J554" s="970"/>
      <c r="K554" s="970"/>
      <c r="L554" s="970"/>
      <c r="M554" s="971"/>
      <c r="N554" s="971"/>
      <c r="O554" s="971"/>
      <c r="P554" s="971"/>
      <c r="Q554" s="971"/>
      <c r="R554" s="1038" t="s">
        <v>9258</v>
      </c>
      <c r="S554" s="1038"/>
      <c r="T554" s="1038"/>
      <c r="U554" s="1038" t="s">
        <v>10345</v>
      </c>
      <c r="V554" s="1560">
        <v>46296.134975300927</v>
      </c>
      <c r="W55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5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54" s="974">
        <f>IFERROR(tblConcentrado[[#This Row],[Concentrado (TMS)]]/tblConcentrado[[#This Row],[Mineral (TMS)]],"")</f>
        <v>0.64496644295302008</v>
      </c>
      <c r="Z554" s="973">
        <f>IFERROR(1/tblConcentrado[[#This Row],[% Recup.]],0)</f>
        <v>1.5504682622268471</v>
      </c>
      <c r="AA554" s="1561" t="str">
        <f>IF(COUNTIFS(tblConcentrado[ID],tblConcentrado[[#This Row],[ID]])&gt;1,"Duplicado","")</f>
        <v/>
      </c>
    </row>
    <row r="555" spans="2:27">
      <c r="B555" s="976">
        <f>(YEAR(tblConcentrado[[#This Row],[Fecha]])*10000+MONTH(tblConcentrado[[#This Row],[Fecha]])*100+DAY(tblConcentrado[[#This Row],[Fecha]]))*100+tblConcentrado[[#This Row],[N° hora]]</f>
        <v>2026092409</v>
      </c>
      <c r="C555" s="1560">
        <v>46289</v>
      </c>
      <c r="D555" s="1038">
        <v>9</v>
      </c>
      <c r="E555" s="952">
        <v>0.70833333333333326</v>
      </c>
      <c r="F555" s="256">
        <v>1483</v>
      </c>
      <c r="G555" s="256">
        <v>995</v>
      </c>
      <c r="H555" s="970">
        <v>0.22700000000000001</v>
      </c>
      <c r="I555" s="970">
        <v>0.60299999999999998</v>
      </c>
      <c r="J555" s="970">
        <v>0.4</v>
      </c>
      <c r="K555" s="970">
        <v>0.59399999999999997</v>
      </c>
      <c r="L555" s="970">
        <v>0.38</v>
      </c>
      <c r="M555" s="971">
        <v>27.5</v>
      </c>
      <c r="N555" s="971">
        <v>15.9</v>
      </c>
      <c r="O555" s="971">
        <v>4.7</v>
      </c>
      <c r="P555" s="971">
        <v>2</v>
      </c>
      <c r="Q555" s="971">
        <v>8.8000000000000007</v>
      </c>
      <c r="R555" s="1038" t="s">
        <v>9258</v>
      </c>
      <c r="S555" s="1038"/>
      <c r="T555" s="1038"/>
      <c r="U555" s="1038" t="s">
        <v>10345</v>
      </c>
      <c r="V555" s="1560">
        <v>46296.134975300927</v>
      </c>
      <c r="W55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20.54</v>
      </c>
      <c r="X55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3.08</v>
      </c>
      <c r="Y555" s="974">
        <f>IFERROR(tblConcentrado[[#This Row],[Concentrado (TMS)]]/tblConcentrado[[#This Row],[Mineral (TMS)]],"")</f>
        <v>0.6709372892784895</v>
      </c>
      <c r="Z555" s="973">
        <f>IFERROR(1/tblConcentrado[[#This Row],[% Recup.]],0)</f>
        <v>1.4904522613065327</v>
      </c>
      <c r="AA555" s="1561" t="str">
        <f>IF(COUNTIFS(tblConcentrado[ID],tblConcentrado[[#This Row],[ID]])&gt;1,"Duplicado","")</f>
        <v/>
      </c>
    </row>
    <row r="556" spans="2:27">
      <c r="B556" s="976">
        <f>(YEAR(tblConcentrado[[#This Row],[Fecha]])*10000+MONTH(tblConcentrado[[#This Row],[Fecha]])*100+DAY(tblConcentrado[[#This Row],[Fecha]]))*100+tblConcentrado[[#This Row],[N° hora]]</f>
        <v>2026092410</v>
      </c>
      <c r="C556" s="1560">
        <v>46289</v>
      </c>
      <c r="D556" s="1038">
        <v>10</v>
      </c>
      <c r="E556" s="952">
        <v>0.75</v>
      </c>
      <c r="F556" s="256">
        <v>1462</v>
      </c>
      <c r="G556" s="256">
        <v>843</v>
      </c>
      <c r="H556" s="970"/>
      <c r="I556" s="970"/>
      <c r="J556" s="970"/>
      <c r="K556" s="970"/>
      <c r="L556" s="970"/>
      <c r="M556" s="971"/>
      <c r="N556" s="971"/>
      <c r="O556" s="971"/>
      <c r="P556" s="971"/>
      <c r="Q556" s="971"/>
      <c r="R556" s="1038" t="s">
        <v>9258</v>
      </c>
      <c r="S556" s="1038"/>
      <c r="T556" s="1038"/>
      <c r="U556" s="1038" t="s">
        <v>10345</v>
      </c>
      <c r="V556" s="1560">
        <v>46296.134975300927</v>
      </c>
      <c r="W55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5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56" s="974">
        <f>IFERROR(tblConcentrado[[#This Row],[Concentrado (TMS)]]/tblConcentrado[[#This Row],[Mineral (TMS)]],"")</f>
        <v>0.57660738714090287</v>
      </c>
      <c r="Z556" s="973">
        <f>IFERROR(1/tblConcentrado[[#This Row],[% Recup.]],0)</f>
        <v>1.734282325029656</v>
      </c>
      <c r="AA556" s="1561" t="str">
        <f>IF(COUNTIFS(tblConcentrado[ID],tblConcentrado[[#This Row],[ID]])&gt;1,"Duplicado","")</f>
        <v/>
      </c>
    </row>
    <row r="557" spans="2:27">
      <c r="B557" s="976">
        <f>(YEAR(tblConcentrado[[#This Row],[Fecha]])*10000+MONTH(tblConcentrado[[#This Row],[Fecha]])*100+DAY(tblConcentrado[[#This Row],[Fecha]]))*100+tblConcentrado[[#This Row],[N° hora]]</f>
        <v>2026092411</v>
      </c>
      <c r="C557" s="1560">
        <v>46289</v>
      </c>
      <c r="D557" s="1038">
        <v>11</v>
      </c>
      <c r="E557" s="952">
        <v>0.79166666666666674</v>
      </c>
      <c r="F557" s="256">
        <v>1475</v>
      </c>
      <c r="G557" s="256">
        <v>1134</v>
      </c>
      <c r="H557" s="970">
        <v>0.224</v>
      </c>
      <c r="I557" s="970">
        <v>0.61099999999999999</v>
      </c>
      <c r="J557" s="970">
        <v>0.41</v>
      </c>
      <c r="K557" s="970">
        <v>0.69199999999999995</v>
      </c>
      <c r="L557" s="970">
        <v>0.43</v>
      </c>
      <c r="M557" s="971">
        <v>18.100000000000001</v>
      </c>
      <c r="N557" s="971">
        <v>16</v>
      </c>
      <c r="O557" s="971">
        <v>4</v>
      </c>
      <c r="P557" s="971">
        <v>2.1</v>
      </c>
      <c r="Q557" s="971">
        <v>8.5</v>
      </c>
      <c r="R557" s="1038" t="s">
        <v>9258</v>
      </c>
      <c r="S557" s="1038"/>
      <c r="T557" s="1038"/>
      <c r="U557" s="1038" t="s">
        <v>10345</v>
      </c>
      <c r="V557" s="1560">
        <v>46296.134975300927</v>
      </c>
      <c r="W55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16.84</v>
      </c>
      <c r="X55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2.8600000000000003</v>
      </c>
      <c r="Y557" s="974">
        <f>IFERROR(tblConcentrado[[#This Row],[Concentrado (TMS)]]/tblConcentrado[[#This Row],[Mineral (TMS)]],"")</f>
        <v>0.76881355932203388</v>
      </c>
      <c r="Z557" s="973">
        <f>IFERROR(1/tblConcentrado[[#This Row],[% Recup.]],0)</f>
        <v>1.3007054673721341</v>
      </c>
      <c r="AA557" s="1561" t="str">
        <f>IF(COUNTIFS(tblConcentrado[ID],tblConcentrado[[#This Row],[ID]])&gt;1,"Duplicado","")</f>
        <v/>
      </c>
    </row>
    <row r="558" spans="2:27">
      <c r="B558" s="976">
        <f>(YEAR(tblConcentrado[[#This Row],[Fecha]])*10000+MONTH(tblConcentrado[[#This Row],[Fecha]])*100+DAY(tblConcentrado[[#This Row],[Fecha]]))*100+tblConcentrado[[#This Row],[N° hora]]</f>
        <v>2026092412</v>
      </c>
      <c r="C558" s="1560">
        <v>46289</v>
      </c>
      <c r="D558" s="1038">
        <v>12</v>
      </c>
      <c r="E558" s="952">
        <v>0.83333333333333326</v>
      </c>
      <c r="F558" s="256">
        <v>1480</v>
      </c>
      <c r="G558" s="256">
        <v>974</v>
      </c>
      <c r="H558" s="970"/>
      <c r="I558" s="970"/>
      <c r="J558" s="970"/>
      <c r="K558" s="970"/>
      <c r="L558" s="970"/>
      <c r="M558" s="971"/>
      <c r="N558" s="971"/>
      <c r="O558" s="971"/>
      <c r="P558" s="971"/>
      <c r="Q558" s="971"/>
      <c r="R558" s="1038" t="s">
        <v>9258</v>
      </c>
      <c r="S558" s="1038"/>
      <c r="T558" s="1038"/>
      <c r="U558" s="1038" t="s">
        <v>10345</v>
      </c>
      <c r="V558" s="1560">
        <v>46296.134975300927</v>
      </c>
      <c r="W55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5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58" s="974">
        <f>IFERROR(tblConcentrado[[#This Row],[Concentrado (TMS)]]/tblConcentrado[[#This Row],[Mineral (TMS)]],"")</f>
        <v>0.65810810810810816</v>
      </c>
      <c r="Z558" s="973">
        <f>IFERROR(1/tblConcentrado[[#This Row],[% Recup.]],0)</f>
        <v>1.5195071868583161</v>
      </c>
      <c r="AA558" s="1561" t="str">
        <f>IF(COUNTIFS(tblConcentrado[ID],tblConcentrado[[#This Row],[ID]])&gt;1,"Duplicado","")</f>
        <v/>
      </c>
    </row>
    <row r="559" spans="2:27">
      <c r="B559" s="976">
        <f>(YEAR(tblConcentrado[[#This Row],[Fecha]])*10000+MONTH(tblConcentrado[[#This Row],[Fecha]])*100+DAY(tblConcentrado[[#This Row],[Fecha]]))*100+tblConcentrado[[#This Row],[N° hora]]</f>
        <v>2026092413</v>
      </c>
      <c r="C559" s="1560">
        <v>46289</v>
      </c>
      <c r="D559" s="1038">
        <v>13</v>
      </c>
      <c r="E559" s="952">
        <v>0.875</v>
      </c>
      <c r="F559" s="256">
        <v>1452</v>
      </c>
      <c r="G559" s="256">
        <v>1149</v>
      </c>
      <c r="H559" s="970">
        <v>0.23100000000000001</v>
      </c>
      <c r="I559" s="970">
        <v>0.66400000000000003</v>
      </c>
      <c r="J559" s="970">
        <v>0.38</v>
      </c>
      <c r="K559" s="970">
        <v>0.67</v>
      </c>
      <c r="L559" s="970">
        <v>0.4</v>
      </c>
      <c r="M559" s="971">
        <v>25</v>
      </c>
      <c r="N559" s="971">
        <v>14.9</v>
      </c>
      <c r="O559" s="971">
        <v>4</v>
      </c>
      <c r="P559" s="971">
        <v>2.7</v>
      </c>
      <c r="Q559" s="971">
        <v>8.3000000000000007</v>
      </c>
      <c r="R559" s="1038" t="s">
        <v>9258</v>
      </c>
      <c r="S559" s="1038" t="s">
        <v>10364</v>
      </c>
      <c r="T559" s="1038"/>
      <c r="U559" s="1038" t="s">
        <v>10345</v>
      </c>
      <c r="V559" s="1560">
        <v>46296.134975300927</v>
      </c>
      <c r="W55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18.939999999999998</v>
      </c>
      <c r="X55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3.22</v>
      </c>
      <c r="Y559" s="974">
        <f>IFERROR(tblConcentrado[[#This Row],[Concentrado (TMS)]]/tblConcentrado[[#This Row],[Mineral (TMS)]],"")</f>
        <v>0.79132231404958675</v>
      </c>
      <c r="Z559" s="973">
        <f>IFERROR(1/tblConcentrado[[#This Row],[% Recup.]],0)</f>
        <v>1.2637075718015667</v>
      </c>
      <c r="AA559" s="1561" t="str">
        <f>IF(COUNTIFS(tblConcentrado[ID],tblConcentrado[[#This Row],[ID]])&gt;1,"Duplicado","")</f>
        <v/>
      </c>
    </row>
    <row r="560" spans="2:27">
      <c r="B560" s="976">
        <f>(YEAR(tblConcentrado[[#This Row],[Fecha]])*10000+MONTH(tblConcentrado[[#This Row],[Fecha]])*100+DAY(tblConcentrado[[#This Row],[Fecha]]))*100+tblConcentrado[[#This Row],[N° hora]]</f>
        <v>2026092414</v>
      </c>
      <c r="C560" s="1560">
        <v>46289</v>
      </c>
      <c r="D560" s="1038">
        <v>14</v>
      </c>
      <c r="E560" s="952">
        <v>0.91666666666666663</v>
      </c>
      <c r="F560" s="256">
        <v>1455</v>
      </c>
      <c r="G560" s="256">
        <v>1074</v>
      </c>
      <c r="H560" s="970"/>
      <c r="I560" s="970"/>
      <c r="J560" s="970"/>
      <c r="K560" s="970"/>
      <c r="L560" s="970"/>
      <c r="M560" s="971"/>
      <c r="N560" s="971"/>
      <c r="O560" s="971"/>
      <c r="P560" s="971"/>
      <c r="Q560" s="971"/>
      <c r="R560" s="1038" t="s">
        <v>9258</v>
      </c>
      <c r="S560" s="1038" t="s">
        <v>10365</v>
      </c>
      <c r="T560" s="1038" t="s">
        <v>10366</v>
      </c>
      <c r="U560" s="1038" t="s">
        <v>10345</v>
      </c>
      <c r="V560" s="1560">
        <v>46296.134975300927</v>
      </c>
      <c r="W56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6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60" s="974">
        <f>IFERROR(tblConcentrado[[#This Row],[Concentrado (TMS)]]/tblConcentrado[[#This Row],[Mineral (TMS)]],"")</f>
        <v>0.73814432989690726</v>
      </c>
      <c r="Z560" s="973">
        <f>IFERROR(1/tblConcentrado[[#This Row],[% Recup.]],0)</f>
        <v>1.3547486033519551</v>
      </c>
      <c r="AA560" s="1561" t="str">
        <f>IF(COUNTIFS(tblConcentrado[ID],tblConcentrado[[#This Row],[ID]])&gt;1,"Duplicado","")</f>
        <v/>
      </c>
    </row>
    <row r="561" spans="2:27">
      <c r="B561" s="976">
        <f>(YEAR(tblConcentrado[[#This Row],[Fecha]])*10000+MONTH(tblConcentrado[[#This Row],[Fecha]])*100+DAY(tblConcentrado[[#This Row],[Fecha]]))*100+tblConcentrado[[#This Row],[N° hora]]</f>
        <v>2026092415</v>
      </c>
      <c r="C561" s="1560">
        <v>46289</v>
      </c>
      <c r="D561" s="1038">
        <v>15</v>
      </c>
      <c r="E561" s="952">
        <v>0.95833333333333337</v>
      </c>
      <c r="F561" s="256">
        <v>1428</v>
      </c>
      <c r="G561" s="256">
        <v>913</v>
      </c>
      <c r="H561" s="970">
        <v>0.22</v>
      </c>
      <c r="I561" s="970">
        <v>0.64600000000000002</v>
      </c>
      <c r="J561" s="970">
        <v>0.4</v>
      </c>
      <c r="K561" s="970">
        <v>0.65900000000000003</v>
      </c>
      <c r="L561" s="970">
        <v>0.43</v>
      </c>
      <c r="M561" s="971">
        <v>24</v>
      </c>
      <c r="N561" s="971">
        <v>13.9</v>
      </c>
      <c r="O561" s="971">
        <v>2.4</v>
      </c>
      <c r="P561" s="971">
        <v>1.6</v>
      </c>
      <c r="Q561" s="971">
        <v>8.4</v>
      </c>
      <c r="R561" s="1038" t="s">
        <v>9258</v>
      </c>
      <c r="S561" s="1038" t="s">
        <v>10367</v>
      </c>
      <c r="T561" s="1038" t="s">
        <v>10368</v>
      </c>
      <c r="U561" s="1038" t="s">
        <v>10345</v>
      </c>
      <c r="V561" s="1560">
        <v>46296.134975300927</v>
      </c>
      <c r="W56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17.940000000000001</v>
      </c>
      <c r="X56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1.92</v>
      </c>
      <c r="Y561" s="974">
        <f>IFERROR(tblConcentrado[[#This Row],[Concentrado (TMS)]]/tblConcentrado[[#This Row],[Mineral (TMS)]],"")</f>
        <v>0.63935574229691872</v>
      </c>
      <c r="Z561" s="973">
        <f>IFERROR(1/tblConcentrado[[#This Row],[% Recup.]],0)</f>
        <v>1.5640744797371304</v>
      </c>
      <c r="AA561" s="1561" t="str">
        <f>IF(COUNTIFS(tblConcentrado[ID],tblConcentrado[[#This Row],[ID]])&gt;1,"Duplicado","")</f>
        <v/>
      </c>
    </row>
    <row r="562" spans="2:27">
      <c r="B562" s="976">
        <f>(YEAR(tblConcentrado[[#This Row],[Fecha]])*10000+MONTH(tblConcentrado[[#This Row],[Fecha]])*100+DAY(tblConcentrado[[#This Row],[Fecha]]))*100+tblConcentrado[[#This Row],[N° hora]]</f>
        <v>2026092416</v>
      </c>
      <c r="C562" s="1560">
        <v>46289</v>
      </c>
      <c r="D562" s="1038">
        <v>16</v>
      </c>
      <c r="E562" s="952">
        <v>0</v>
      </c>
      <c r="F562" s="256">
        <v>1315</v>
      </c>
      <c r="G562" s="256">
        <v>911</v>
      </c>
      <c r="H562" s="970"/>
      <c r="I562" s="970"/>
      <c r="J562" s="970"/>
      <c r="K562" s="970"/>
      <c r="L562" s="970"/>
      <c r="M562" s="971"/>
      <c r="N562" s="971"/>
      <c r="O562" s="971"/>
      <c r="P562" s="971"/>
      <c r="Q562" s="971"/>
      <c r="R562" s="1038" t="s">
        <v>9258</v>
      </c>
      <c r="S562" s="1038" t="s">
        <v>10369</v>
      </c>
      <c r="T562" s="1038"/>
      <c r="U562" s="1038" t="s">
        <v>10345</v>
      </c>
      <c r="V562" s="1560">
        <v>46296.134975300927</v>
      </c>
      <c r="W56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6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62" s="974">
        <f>IFERROR(tblConcentrado[[#This Row],[Concentrado (TMS)]]/tblConcentrado[[#This Row],[Mineral (TMS)]],"")</f>
        <v>0.69277566539923952</v>
      </c>
      <c r="Z562" s="973">
        <f>IFERROR(1/tblConcentrado[[#This Row],[% Recup.]],0)</f>
        <v>1.4434687156970363</v>
      </c>
      <c r="AA562" s="1561" t="str">
        <f>IF(COUNTIFS(tblConcentrado[ID],tblConcentrado[[#This Row],[ID]])&gt;1,"Duplicado","")</f>
        <v/>
      </c>
    </row>
    <row r="563" spans="2:27">
      <c r="B563" s="976">
        <f>(YEAR(tblConcentrado[[#This Row],[Fecha]])*10000+MONTH(tblConcentrado[[#This Row],[Fecha]])*100+DAY(tblConcentrado[[#This Row],[Fecha]]))*100+tblConcentrado[[#This Row],[N° hora]]</f>
        <v>2026092417</v>
      </c>
      <c r="C563" s="1560">
        <v>46289</v>
      </c>
      <c r="D563" s="1038">
        <v>17</v>
      </c>
      <c r="E563" s="952">
        <v>4.1666666666666519E-2</v>
      </c>
      <c r="F563" s="256">
        <v>1446</v>
      </c>
      <c r="G563" s="256">
        <v>949</v>
      </c>
      <c r="H563" s="970">
        <v>0.21</v>
      </c>
      <c r="I563" s="970">
        <v>0.68899999999999995</v>
      </c>
      <c r="J563" s="970">
        <v>0.43</v>
      </c>
      <c r="K563" s="970">
        <v>0.63500000000000001</v>
      </c>
      <c r="L563" s="970">
        <v>0.39</v>
      </c>
      <c r="M563" s="971">
        <v>22.7</v>
      </c>
      <c r="N563" s="971">
        <v>11.8</v>
      </c>
      <c r="O563" s="971">
        <v>2.7</v>
      </c>
      <c r="P563" s="971">
        <v>1.9</v>
      </c>
      <c r="Q563" s="971">
        <v>8.1999999999999993</v>
      </c>
      <c r="R563" s="1038" t="s">
        <v>9258</v>
      </c>
      <c r="S563" s="1038" t="s">
        <v>10370</v>
      </c>
      <c r="T563" s="1038"/>
      <c r="U563" s="1038" t="s">
        <v>10345</v>
      </c>
      <c r="V563" s="1560">
        <v>46296.134975300927</v>
      </c>
      <c r="W56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16.16</v>
      </c>
      <c r="X56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2.2199999999999998</v>
      </c>
      <c r="Y563" s="974">
        <f>IFERROR(tblConcentrado[[#This Row],[Concentrado (TMS)]]/tblConcentrado[[#This Row],[Mineral (TMS)]],"")</f>
        <v>0.65629322268326418</v>
      </c>
      <c r="Z563" s="973">
        <f>IFERROR(1/tblConcentrado[[#This Row],[% Recup.]],0)</f>
        <v>1.523709167544784</v>
      </c>
      <c r="AA563" s="1561" t="str">
        <f>IF(COUNTIFS(tblConcentrado[ID],tblConcentrado[[#This Row],[ID]])&gt;1,"Duplicado","")</f>
        <v/>
      </c>
    </row>
    <row r="564" spans="2:27">
      <c r="B564" s="976">
        <f>(YEAR(tblConcentrado[[#This Row],[Fecha]])*10000+MONTH(tblConcentrado[[#This Row],[Fecha]])*100+DAY(tblConcentrado[[#This Row],[Fecha]]))*100+tblConcentrado[[#This Row],[N° hora]]</f>
        <v>2026092418</v>
      </c>
      <c r="C564" s="1560">
        <v>46289</v>
      </c>
      <c r="D564" s="1038">
        <v>18</v>
      </c>
      <c r="E564" s="952">
        <v>8.3333333333333481E-2</v>
      </c>
      <c r="F564" s="256">
        <v>1441</v>
      </c>
      <c r="G564" s="256">
        <v>910</v>
      </c>
      <c r="H564" s="970"/>
      <c r="I564" s="970"/>
      <c r="J564" s="970"/>
      <c r="K564" s="970"/>
      <c r="L564" s="970"/>
      <c r="M564" s="971"/>
      <c r="N564" s="971"/>
      <c r="O564" s="971"/>
      <c r="P564" s="971"/>
      <c r="Q564" s="971"/>
      <c r="R564" s="1038" t="s">
        <v>9258</v>
      </c>
      <c r="S564" s="1038" t="s">
        <v>10371</v>
      </c>
      <c r="T564" s="1038"/>
      <c r="U564" s="1038" t="s">
        <v>10345</v>
      </c>
      <c r="V564" s="1560">
        <v>46296.134975300927</v>
      </c>
      <c r="W56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6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64" s="974">
        <f>IFERROR(tblConcentrado[[#This Row],[Concentrado (TMS)]]/tblConcentrado[[#This Row],[Mineral (TMS)]],"")</f>
        <v>0.63150589868147122</v>
      </c>
      <c r="Z564" s="973">
        <f>IFERROR(1/tblConcentrado[[#This Row],[% Recup.]],0)</f>
        <v>1.5835164835164834</v>
      </c>
      <c r="AA564" s="1561" t="str">
        <f>IF(COUNTIFS(tblConcentrado[ID],tblConcentrado[[#This Row],[ID]])&gt;1,"Duplicado","")</f>
        <v/>
      </c>
    </row>
    <row r="565" spans="2:27">
      <c r="B565" s="976">
        <f>(YEAR(tblConcentrado[[#This Row],[Fecha]])*10000+MONTH(tblConcentrado[[#This Row],[Fecha]])*100+DAY(tblConcentrado[[#This Row],[Fecha]]))*100+tblConcentrado[[#This Row],[N° hora]]</f>
        <v>2026092419</v>
      </c>
      <c r="C565" s="1560">
        <v>46289</v>
      </c>
      <c r="D565" s="1038">
        <v>19</v>
      </c>
      <c r="E565" s="952">
        <v>0.125</v>
      </c>
      <c r="F565" s="256">
        <v>1323</v>
      </c>
      <c r="G565" s="256">
        <v>939</v>
      </c>
      <c r="H565" s="970">
        <v>0.23899999999999999</v>
      </c>
      <c r="I565" s="970">
        <v>0.59299999999999997</v>
      </c>
      <c r="J565" s="970">
        <v>0.36</v>
      </c>
      <c r="K565" s="970">
        <v>0.55000000000000004</v>
      </c>
      <c r="L565" s="970">
        <v>0.35</v>
      </c>
      <c r="M565" s="971">
        <v>28</v>
      </c>
      <c r="N565" s="971">
        <v>22.2</v>
      </c>
      <c r="O565" s="971">
        <v>2.8</v>
      </c>
      <c r="P565" s="971">
        <v>2.8</v>
      </c>
      <c r="Q565" s="971">
        <v>8.1999999999999993</v>
      </c>
      <c r="R565" s="1038" t="s">
        <v>9258</v>
      </c>
      <c r="S565" s="1038" t="s">
        <v>10372</v>
      </c>
      <c r="T565" s="1038" t="s">
        <v>10373</v>
      </c>
      <c r="U565" s="1038" t="s">
        <v>10345</v>
      </c>
      <c r="V565" s="1560">
        <v>46296.134975300927</v>
      </c>
      <c r="W56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24.52</v>
      </c>
      <c r="X56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2.8</v>
      </c>
      <c r="Y565" s="974">
        <f>IFERROR(tblConcentrado[[#This Row],[Concentrado (TMS)]]/tblConcentrado[[#This Row],[Mineral (TMS)]],"")</f>
        <v>0.70975056689342408</v>
      </c>
      <c r="Z565" s="973">
        <f>IFERROR(1/tblConcentrado[[#This Row],[% Recup.]],0)</f>
        <v>1.4089456869009584</v>
      </c>
      <c r="AA565" s="1561" t="str">
        <f>IF(COUNTIFS(tblConcentrado[ID],tblConcentrado[[#This Row],[ID]])&gt;1,"Duplicado","")</f>
        <v/>
      </c>
    </row>
    <row r="566" spans="2:27">
      <c r="B566" s="976">
        <f>(YEAR(tblConcentrado[[#This Row],[Fecha]])*10000+MONTH(tblConcentrado[[#This Row],[Fecha]])*100+DAY(tblConcentrado[[#This Row],[Fecha]]))*100+tblConcentrado[[#This Row],[N° hora]]</f>
        <v>2026092420</v>
      </c>
      <c r="C566" s="1560">
        <v>46289</v>
      </c>
      <c r="D566" s="1038">
        <v>20</v>
      </c>
      <c r="E566" s="952">
        <v>0.16666666666666652</v>
      </c>
      <c r="F566" s="256">
        <v>1399</v>
      </c>
      <c r="G566" s="256">
        <v>980</v>
      </c>
      <c r="H566" s="970"/>
      <c r="I566" s="970"/>
      <c r="J566" s="970"/>
      <c r="K566" s="970"/>
      <c r="L566" s="970"/>
      <c r="M566" s="971"/>
      <c r="N566" s="971"/>
      <c r="O566" s="971"/>
      <c r="P566" s="971"/>
      <c r="Q566" s="971"/>
      <c r="R566" s="1038" t="s">
        <v>9258</v>
      </c>
      <c r="S566" s="1038" t="s">
        <v>10374</v>
      </c>
      <c r="T566" s="1038"/>
      <c r="U566" s="1038" t="s">
        <v>10345</v>
      </c>
      <c r="V566" s="1560">
        <v>46296.134975300927</v>
      </c>
      <c r="W56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6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66" s="974">
        <f>IFERROR(tblConcentrado[[#This Row],[Concentrado (TMS)]]/tblConcentrado[[#This Row],[Mineral (TMS)]],"")</f>
        <v>0.70050035739814154</v>
      </c>
      <c r="Z566" s="973">
        <f>IFERROR(1/tblConcentrado[[#This Row],[% Recup.]],0)</f>
        <v>1.4275510204081632</v>
      </c>
      <c r="AA566" s="1561" t="str">
        <f>IF(COUNTIFS(tblConcentrado[ID],tblConcentrado[[#This Row],[ID]])&gt;1,"Duplicado","")</f>
        <v/>
      </c>
    </row>
    <row r="567" spans="2:27">
      <c r="B567" s="976">
        <f>(YEAR(tblConcentrado[[#This Row],[Fecha]])*10000+MONTH(tblConcentrado[[#This Row],[Fecha]])*100+DAY(tblConcentrado[[#This Row],[Fecha]]))*100+tblConcentrado[[#This Row],[N° hora]]</f>
        <v>2026092421</v>
      </c>
      <c r="C567" s="1560">
        <v>46289</v>
      </c>
      <c r="D567" s="1038">
        <v>21</v>
      </c>
      <c r="E567" s="952">
        <v>0.20833333333333348</v>
      </c>
      <c r="F567" s="256">
        <v>1419</v>
      </c>
      <c r="G567" s="256">
        <v>461</v>
      </c>
      <c r="H567" s="970">
        <v>0.26</v>
      </c>
      <c r="I567" s="970">
        <v>0.68100000000000005</v>
      </c>
      <c r="J567" s="970">
        <v>0.43</v>
      </c>
      <c r="K567" s="970">
        <v>0.67100000000000004</v>
      </c>
      <c r="L567" s="970">
        <v>0.42</v>
      </c>
      <c r="M567" s="971">
        <v>18.899999999999999</v>
      </c>
      <c r="N567" s="971">
        <v>12.8</v>
      </c>
      <c r="O567" s="971">
        <v>1.6</v>
      </c>
      <c r="P567" s="971">
        <v>1.7</v>
      </c>
      <c r="Q567" s="971">
        <v>8.4</v>
      </c>
      <c r="R567" s="1038" t="s">
        <v>9258</v>
      </c>
      <c r="S567" s="1038"/>
      <c r="T567" s="1038" t="s">
        <v>10375</v>
      </c>
      <c r="U567" s="1038" t="s">
        <v>10345</v>
      </c>
      <c r="V567" s="1560">
        <v>46296.134975300927</v>
      </c>
      <c r="W56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15.239999999999998</v>
      </c>
      <c r="X56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1.6600000000000001</v>
      </c>
      <c r="Y567" s="974">
        <f>IFERROR(tblConcentrado[[#This Row],[Concentrado (TMS)]]/tblConcentrado[[#This Row],[Mineral (TMS)]],"")</f>
        <v>0.32487667371388301</v>
      </c>
      <c r="Z567" s="973">
        <f>IFERROR(1/tblConcentrado[[#This Row],[% Recup.]],0)</f>
        <v>3.0780911062906724</v>
      </c>
      <c r="AA567" s="1561" t="str">
        <f>IF(COUNTIFS(tblConcentrado[ID],tblConcentrado[[#This Row],[ID]])&gt;1,"Duplicado","")</f>
        <v/>
      </c>
    </row>
    <row r="568" spans="2:27">
      <c r="B568" s="976">
        <f>(YEAR(tblConcentrado[[#This Row],[Fecha]])*10000+MONTH(tblConcentrado[[#This Row],[Fecha]])*100+DAY(tblConcentrado[[#This Row],[Fecha]]))*100+tblConcentrado[[#This Row],[N° hora]]</f>
        <v>2026092422</v>
      </c>
      <c r="C568" s="1560">
        <v>46289</v>
      </c>
      <c r="D568" s="1038">
        <v>22</v>
      </c>
      <c r="E568" s="952">
        <v>0.25</v>
      </c>
      <c r="F568" s="256">
        <v>1411</v>
      </c>
      <c r="G568" s="256">
        <v>949</v>
      </c>
      <c r="H568" s="970"/>
      <c r="I568" s="970"/>
      <c r="J568" s="970"/>
      <c r="K568" s="970"/>
      <c r="L568" s="970"/>
      <c r="M568" s="971"/>
      <c r="N568" s="971"/>
      <c r="O568" s="971"/>
      <c r="P568" s="971"/>
      <c r="Q568" s="971"/>
      <c r="R568" s="1038" t="s">
        <v>9258</v>
      </c>
      <c r="S568" s="1038" t="s">
        <v>10376</v>
      </c>
      <c r="T568" s="1038"/>
      <c r="U568" s="1038" t="s">
        <v>10345</v>
      </c>
      <c r="V568" s="1560">
        <v>46296.134975300927</v>
      </c>
      <c r="W56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6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68" s="974">
        <f>IFERROR(tblConcentrado[[#This Row],[Concentrado (TMS)]]/tblConcentrado[[#This Row],[Mineral (TMS)]],"")</f>
        <v>0.67257264351523738</v>
      </c>
      <c r="Z568" s="973">
        <f>IFERROR(1/tblConcentrado[[#This Row],[% Recup.]],0)</f>
        <v>1.4868282402528978</v>
      </c>
      <c r="AA568" s="1561" t="str">
        <f>IF(COUNTIFS(tblConcentrado[ID],tblConcentrado[[#This Row],[ID]])&gt;1,"Duplicado","")</f>
        <v/>
      </c>
    </row>
    <row r="569" spans="2:27">
      <c r="B569" s="976">
        <f>(YEAR(tblConcentrado[[#This Row],[Fecha]])*10000+MONTH(tblConcentrado[[#This Row],[Fecha]])*100+DAY(tblConcentrado[[#This Row],[Fecha]]))*100+tblConcentrado[[#This Row],[N° hora]]</f>
        <v>2026092423</v>
      </c>
      <c r="C569" s="1560">
        <v>46289</v>
      </c>
      <c r="D569" s="1038">
        <v>23</v>
      </c>
      <c r="E569" s="952">
        <v>0.29166666666666652</v>
      </c>
      <c r="F569" s="256">
        <v>1492</v>
      </c>
      <c r="G569" s="256">
        <v>1033</v>
      </c>
      <c r="H569" s="970">
        <v>0.189</v>
      </c>
      <c r="I569" s="970">
        <v>0.64200000000000002</v>
      </c>
      <c r="J569" s="970">
        <v>0.4</v>
      </c>
      <c r="K569" s="970">
        <v>0.64</v>
      </c>
      <c r="L569" s="970">
        <v>0.4</v>
      </c>
      <c r="M569" s="971">
        <v>18.3</v>
      </c>
      <c r="N569" s="971">
        <v>13.9</v>
      </c>
      <c r="O569" s="971">
        <v>1.6</v>
      </c>
      <c r="P569" s="971">
        <v>2.2000000000000002</v>
      </c>
      <c r="Q569" s="971">
        <v>8.6</v>
      </c>
      <c r="R569" s="1038" t="s">
        <v>9258</v>
      </c>
      <c r="S569" s="1038" t="s">
        <v>10377</v>
      </c>
      <c r="T569" s="1038"/>
      <c r="U569" s="1038" t="s">
        <v>10345</v>
      </c>
      <c r="V569" s="1560">
        <v>46296.134975300927</v>
      </c>
      <c r="W56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15.66</v>
      </c>
      <c r="X56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1.9600000000000002</v>
      </c>
      <c r="Y569" s="974">
        <f>IFERROR(tblConcentrado[[#This Row],[Concentrado (TMS)]]/tblConcentrado[[#This Row],[Mineral (TMS)]],"")</f>
        <v>0.69235924932975867</v>
      </c>
      <c r="Z569" s="973">
        <f>IFERROR(1/tblConcentrado[[#This Row],[% Recup.]],0)</f>
        <v>1.4443368828654406</v>
      </c>
      <c r="AA569" s="1561" t="str">
        <f>IF(COUNTIFS(tblConcentrado[ID],tblConcentrado[[#This Row],[ID]])&gt;1,"Duplicado","")</f>
        <v/>
      </c>
    </row>
    <row r="570" spans="2:27">
      <c r="B570" s="976">
        <f>(YEAR(tblConcentrado[[#This Row],[Fecha]])*10000+MONTH(tblConcentrado[[#This Row],[Fecha]])*100+DAY(tblConcentrado[[#This Row],[Fecha]]))*100+tblConcentrado[[#This Row],[N° hora]]</f>
        <v>2026092424</v>
      </c>
      <c r="C570" s="1560">
        <v>46289</v>
      </c>
      <c r="D570" s="1038">
        <v>24</v>
      </c>
      <c r="E570" s="952">
        <v>0.33333333333333348</v>
      </c>
      <c r="F570" s="256">
        <v>1491</v>
      </c>
      <c r="G570" s="256">
        <v>916</v>
      </c>
      <c r="H570" s="970"/>
      <c r="I570" s="970"/>
      <c r="J570" s="970"/>
      <c r="K570" s="970"/>
      <c r="L570" s="970"/>
      <c r="M570" s="971"/>
      <c r="N570" s="971"/>
      <c r="O570" s="971"/>
      <c r="P570" s="971"/>
      <c r="Q570" s="971"/>
      <c r="R570" s="1038" t="s">
        <v>9258</v>
      </c>
      <c r="S570" s="1038"/>
      <c r="T570" s="1038"/>
      <c r="U570" s="1038" t="s">
        <v>10345</v>
      </c>
      <c r="V570" s="1560">
        <v>46296.134975300927</v>
      </c>
      <c r="W57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7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70" s="974">
        <f>IFERROR(tblConcentrado[[#This Row],[Concentrado (TMS)]]/tblConcentrado[[#This Row],[Mineral (TMS)]],"")</f>
        <v>0.61435278336686783</v>
      </c>
      <c r="Z570" s="973">
        <f>IFERROR(1/tblConcentrado[[#This Row],[% Recup.]],0)</f>
        <v>1.6277292576419216</v>
      </c>
      <c r="AA570" s="1561" t="str">
        <f>IF(COUNTIFS(tblConcentrado[ID],tblConcentrado[[#This Row],[ID]])&gt;1,"Duplicado","")</f>
        <v/>
      </c>
    </row>
    <row r="571" spans="2:27">
      <c r="B571" s="976">
        <f>(YEAR(tblConcentrado[[#This Row],[Fecha]])*10000+MONTH(tblConcentrado[[#This Row],[Fecha]])*100+DAY(tblConcentrado[[#This Row],[Fecha]]))*100+tblConcentrado[[#This Row],[N° hora]]</f>
        <v>2026092501</v>
      </c>
      <c r="C571" s="1560">
        <v>46290</v>
      </c>
      <c r="D571" s="1038">
        <v>1</v>
      </c>
      <c r="E571" s="952">
        <v>0.375</v>
      </c>
      <c r="F571" s="256">
        <v>1539</v>
      </c>
      <c r="G571" s="256">
        <v>996</v>
      </c>
      <c r="H571" s="970">
        <v>0.19400000000000001</v>
      </c>
      <c r="I571" s="970">
        <v>0.499</v>
      </c>
      <c r="J571" s="970">
        <v>0.37</v>
      </c>
      <c r="K571" s="970">
        <v>0.68100000000000005</v>
      </c>
      <c r="L571" s="970">
        <v>0.44</v>
      </c>
      <c r="M571" s="971">
        <v>21</v>
      </c>
      <c r="N571" s="971">
        <v>14</v>
      </c>
      <c r="O571" s="971">
        <v>1.9</v>
      </c>
      <c r="P571" s="971">
        <v>1.5</v>
      </c>
      <c r="Q571" s="971">
        <v>8.4</v>
      </c>
      <c r="R571" s="1038" t="s">
        <v>9258</v>
      </c>
      <c r="S571" s="1038"/>
      <c r="T571" s="1038"/>
      <c r="U571" s="1038" t="s">
        <v>10345</v>
      </c>
      <c r="V571" s="1560">
        <v>46296.134975300927</v>
      </c>
      <c r="W57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16.8</v>
      </c>
      <c r="X57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1.66</v>
      </c>
      <c r="Y571" s="974">
        <f>IFERROR(tblConcentrado[[#This Row],[Concentrado (TMS)]]/tblConcentrado[[#This Row],[Mineral (TMS)]],"")</f>
        <v>0.6471734892787524</v>
      </c>
      <c r="Z571" s="973">
        <f>IFERROR(1/tblConcentrado[[#This Row],[% Recup.]],0)</f>
        <v>1.5451807228915664</v>
      </c>
      <c r="AA571" s="1561" t="str">
        <f>IF(COUNTIFS(tblConcentrado[ID],tblConcentrado[[#This Row],[ID]])&gt;1,"Duplicado","")</f>
        <v/>
      </c>
    </row>
    <row r="572" spans="2:27">
      <c r="B572" s="976">
        <f>(YEAR(tblConcentrado[[#This Row],[Fecha]])*10000+MONTH(tblConcentrado[[#This Row],[Fecha]])*100+DAY(tblConcentrado[[#This Row],[Fecha]]))*100+tblConcentrado[[#This Row],[N° hora]]</f>
        <v>2026092502</v>
      </c>
      <c r="C572" s="1560">
        <v>46290</v>
      </c>
      <c r="D572" s="1038">
        <v>2</v>
      </c>
      <c r="E572" s="952">
        <v>0.41666666666666669</v>
      </c>
      <c r="F572" s="256">
        <v>1424</v>
      </c>
      <c r="G572" s="256">
        <v>990</v>
      </c>
      <c r="H572" s="970"/>
      <c r="I572" s="970"/>
      <c r="J572" s="970"/>
      <c r="K572" s="970"/>
      <c r="L572" s="970"/>
      <c r="M572" s="971"/>
      <c r="N572" s="971"/>
      <c r="O572" s="971"/>
      <c r="P572" s="971"/>
      <c r="Q572" s="971"/>
      <c r="R572" s="1038" t="s">
        <v>9258</v>
      </c>
      <c r="S572" s="1038"/>
      <c r="T572" s="1038"/>
      <c r="U572" s="1038" t="s">
        <v>10345</v>
      </c>
      <c r="V572" s="1560">
        <v>46296.134975300927</v>
      </c>
      <c r="W57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7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72" s="974">
        <f>IFERROR(tblConcentrado[[#This Row],[Concentrado (TMS)]]/tblConcentrado[[#This Row],[Mineral (TMS)]],"")</f>
        <v>0.6952247191011236</v>
      </c>
      <c r="Z572" s="973">
        <f>IFERROR(1/tblConcentrado[[#This Row],[% Recup.]],0)</f>
        <v>1.4383838383838383</v>
      </c>
      <c r="AA572" s="1561" t="str">
        <f>IF(COUNTIFS(tblConcentrado[ID],tblConcentrado[[#This Row],[ID]])&gt;1,"Duplicado","")</f>
        <v/>
      </c>
    </row>
    <row r="573" spans="2:27">
      <c r="B573" s="976">
        <f>(YEAR(tblConcentrado[[#This Row],[Fecha]])*10000+MONTH(tblConcentrado[[#This Row],[Fecha]])*100+DAY(tblConcentrado[[#This Row],[Fecha]]))*100+tblConcentrado[[#This Row],[N° hora]]</f>
        <v>2026092503</v>
      </c>
      <c r="C573" s="1560">
        <v>46290</v>
      </c>
      <c r="D573" s="1038">
        <v>3</v>
      </c>
      <c r="E573" s="952">
        <v>0.45833333333333331</v>
      </c>
      <c r="F573" s="256">
        <v>1406</v>
      </c>
      <c r="G573" s="256">
        <v>905</v>
      </c>
      <c r="H573" s="970">
        <v>0.2</v>
      </c>
      <c r="I573" s="970">
        <v>0.52100000000000002</v>
      </c>
      <c r="J573" s="970">
        <v>0.4</v>
      </c>
      <c r="K573" s="970">
        <v>0.70899999999999996</v>
      </c>
      <c r="L573" s="970">
        <v>0.46</v>
      </c>
      <c r="M573" s="971">
        <v>24.8</v>
      </c>
      <c r="N573" s="971">
        <v>15.2</v>
      </c>
      <c r="O573" s="971">
        <v>1.7</v>
      </c>
      <c r="P573" s="971">
        <v>1.6</v>
      </c>
      <c r="Q573" s="971">
        <v>8.1999999999999993</v>
      </c>
      <c r="R573" s="1038" t="s">
        <v>9258</v>
      </c>
      <c r="S573" s="1038"/>
      <c r="T573" s="1038"/>
      <c r="U573" s="1038" t="s">
        <v>10345</v>
      </c>
      <c r="V573" s="1560">
        <v>46296.134975300927</v>
      </c>
      <c r="W57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19.04</v>
      </c>
      <c r="X57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1.6400000000000001</v>
      </c>
      <c r="Y573" s="974">
        <f>IFERROR(tblConcentrado[[#This Row],[Concentrado (TMS)]]/tblConcentrado[[#This Row],[Mineral (TMS)]],"")</f>
        <v>0.64366998577524892</v>
      </c>
      <c r="Z573" s="973">
        <f>IFERROR(1/tblConcentrado[[#This Row],[% Recup.]],0)</f>
        <v>1.5535911602209944</v>
      </c>
      <c r="AA573" s="1561" t="str">
        <f>IF(COUNTIFS(tblConcentrado[ID],tblConcentrado[[#This Row],[ID]])&gt;1,"Duplicado","")</f>
        <v/>
      </c>
    </row>
    <row r="574" spans="2:27">
      <c r="B574" s="976">
        <f>(YEAR(tblConcentrado[[#This Row],[Fecha]])*10000+MONTH(tblConcentrado[[#This Row],[Fecha]])*100+DAY(tblConcentrado[[#This Row],[Fecha]]))*100+tblConcentrado[[#This Row],[N° hora]]</f>
        <v>2026092504</v>
      </c>
      <c r="C574" s="1560">
        <v>46290</v>
      </c>
      <c r="D574" s="1038">
        <v>4</v>
      </c>
      <c r="E574" s="952">
        <v>0.5</v>
      </c>
      <c r="F574" s="256">
        <v>1410</v>
      </c>
      <c r="G574" s="256">
        <v>714</v>
      </c>
      <c r="H574" s="970"/>
      <c r="I574" s="970"/>
      <c r="J574" s="970"/>
      <c r="K574" s="970"/>
      <c r="L574" s="970"/>
      <c r="M574" s="971"/>
      <c r="N574" s="971"/>
      <c r="O574" s="971"/>
      <c r="P574" s="971"/>
      <c r="Q574" s="971"/>
      <c r="R574" s="1038" t="s">
        <v>9258</v>
      </c>
      <c r="S574" s="1038"/>
      <c r="T574" s="1038"/>
      <c r="U574" s="1038" t="s">
        <v>10345</v>
      </c>
      <c r="V574" s="1560">
        <v>46296.134975300927</v>
      </c>
      <c r="W57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7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74" s="974">
        <f>IFERROR(tblConcentrado[[#This Row],[Concentrado (TMS)]]/tblConcentrado[[#This Row],[Mineral (TMS)]],"")</f>
        <v>0.50638297872340421</v>
      </c>
      <c r="Z574" s="973">
        <f>IFERROR(1/tblConcentrado[[#This Row],[% Recup.]],0)</f>
        <v>1.9747899159663866</v>
      </c>
      <c r="AA574" s="1561" t="str">
        <f>IF(COUNTIFS(tblConcentrado[ID],tblConcentrado[[#This Row],[ID]])&gt;1,"Duplicado","")</f>
        <v/>
      </c>
    </row>
    <row r="575" spans="2:27">
      <c r="B575" s="976">
        <f>(YEAR(tblConcentrado[[#This Row],[Fecha]])*10000+MONTH(tblConcentrado[[#This Row],[Fecha]])*100+DAY(tblConcentrado[[#This Row],[Fecha]]))*100+tblConcentrado[[#This Row],[N° hora]]</f>
        <v>2026092505</v>
      </c>
      <c r="C575" s="1560">
        <v>46290</v>
      </c>
      <c r="D575" s="1038">
        <v>5</v>
      </c>
      <c r="E575" s="952">
        <v>0.54166666666666663</v>
      </c>
      <c r="F575" s="256">
        <v>1493</v>
      </c>
      <c r="G575" s="256">
        <v>1005</v>
      </c>
      <c r="H575" s="970">
        <v>0.17399999999999999</v>
      </c>
      <c r="I575" s="970">
        <v>0.69499999999999995</v>
      </c>
      <c r="J575" s="970">
        <v>0.43</v>
      </c>
      <c r="K575" s="970">
        <v>0.59799999999999998</v>
      </c>
      <c r="L575" s="970">
        <v>0.41</v>
      </c>
      <c r="M575" s="971">
        <v>22.2</v>
      </c>
      <c r="N575" s="971">
        <v>23.1</v>
      </c>
      <c r="O575" s="971">
        <v>1.8</v>
      </c>
      <c r="P575" s="971">
        <v>2</v>
      </c>
      <c r="Q575" s="971">
        <v>8.1999999999999993</v>
      </c>
      <c r="R575" s="1038" t="s">
        <v>9258</v>
      </c>
      <c r="S575" s="1038"/>
      <c r="T575" s="1038"/>
      <c r="U575" s="1038" t="s">
        <v>10345</v>
      </c>
      <c r="V575" s="1560">
        <v>46296.134975300927</v>
      </c>
      <c r="W57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22.740000000000002</v>
      </c>
      <c r="X57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1.92</v>
      </c>
      <c r="Y575" s="974">
        <f>IFERROR(tblConcentrado[[#This Row],[Concentrado (TMS)]]/tblConcentrado[[#This Row],[Mineral (TMS)]],"")</f>
        <v>0.67314132618888145</v>
      </c>
      <c r="Z575" s="973">
        <f>IFERROR(1/tblConcentrado[[#This Row],[% Recup.]],0)</f>
        <v>1.4855721393034826</v>
      </c>
      <c r="AA575" s="1561" t="str">
        <f>IF(COUNTIFS(tblConcentrado[ID],tblConcentrado[[#This Row],[ID]])&gt;1,"Duplicado","")</f>
        <v/>
      </c>
    </row>
    <row r="576" spans="2:27">
      <c r="B576" s="976">
        <f>(YEAR(tblConcentrado[[#This Row],[Fecha]])*10000+MONTH(tblConcentrado[[#This Row],[Fecha]])*100+DAY(tblConcentrado[[#This Row],[Fecha]]))*100+tblConcentrado[[#This Row],[N° hora]]</f>
        <v>2026092506</v>
      </c>
      <c r="C576" s="1560">
        <v>46290</v>
      </c>
      <c r="D576" s="1038">
        <v>6</v>
      </c>
      <c r="E576" s="952">
        <v>0.58333333333333337</v>
      </c>
      <c r="F576" s="256">
        <v>1487</v>
      </c>
      <c r="G576" s="256">
        <v>797</v>
      </c>
      <c r="H576" s="970"/>
      <c r="I576" s="970"/>
      <c r="J576" s="970"/>
      <c r="K576" s="970"/>
      <c r="L576" s="970"/>
      <c r="M576" s="971"/>
      <c r="N576" s="971"/>
      <c r="O576" s="971"/>
      <c r="P576" s="971"/>
      <c r="Q576" s="971"/>
      <c r="R576" s="1038" t="s">
        <v>9258</v>
      </c>
      <c r="S576" s="1038"/>
      <c r="T576" s="1038"/>
      <c r="U576" s="1038" t="s">
        <v>10345</v>
      </c>
      <c r="V576" s="1560">
        <v>46296.134975300927</v>
      </c>
      <c r="W57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7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76" s="974">
        <f>IFERROR(tblConcentrado[[#This Row],[Concentrado (TMS)]]/tblConcentrado[[#This Row],[Mineral (TMS)]],"")</f>
        <v>0.53597848016139882</v>
      </c>
      <c r="Z576" s="973">
        <f>IFERROR(1/tblConcentrado[[#This Row],[% Recup.]],0)</f>
        <v>1.8657465495608532</v>
      </c>
      <c r="AA576" s="1561" t="str">
        <f>IF(COUNTIFS(tblConcentrado[ID],tblConcentrado[[#This Row],[ID]])&gt;1,"Duplicado","")</f>
        <v/>
      </c>
    </row>
    <row r="577" spans="2:27">
      <c r="B577" s="976">
        <f>(YEAR(tblConcentrado[[#This Row],[Fecha]])*10000+MONTH(tblConcentrado[[#This Row],[Fecha]])*100+DAY(tblConcentrado[[#This Row],[Fecha]]))*100+tblConcentrado[[#This Row],[N° hora]]</f>
        <v>2026092507</v>
      </c>
      <c r="C577" s="1560">
        <v>46290</v>
      </c>
      <c r="D577" s="1038">
        <v>7</v>
      </c>
      <c r="E577" s="952">
        <v>0.625</v>
      </c>
      <c r="F577" s="256">
        <v>1497</v>
      </c>
      <c r="G577" s="256">
        <v>688</v>
      </c>
      <c r="H577" s="970">
        <v>0.19700000000000001</v>
      </c>
      <c r="I577" s="970">
        <v>0.63900000000000001</v>
      </c>
      <c r="J577" s="970">
        <v>0.41</v>
      </c>
      <c r="K577" s="970">
        <v>0.70699999999999996</v>
      </c>
      <c r="L577" s="970">
        <v>0.46</v>
      </c>
      <c r="M577" s="971">
        <v>23.4</v>
      </c>
      <c r="N577" s="971">
        <v>17.5</v>
      </c>
      <c r="O577" s="971">
        <v>1.8</v>
      </c>
      <c r="P577" s="971">
        <v>1.7</v>
      </c>
      <c r="Q577" s="971">
        <v>8.8000000000000007</v>
      </c>
      <c r="R577" s="1038" t="s">
        <v>9258</v>
      </c>
      <c r="S577" s="1038"/>
      <c r="T577" s="1038" t="s">
        <v>10378</v>
      </c>
      <c r="U577" s="1038" t="s">
        <v>10345</v>
      </c>
      <c r="V577" s="1560">
        <v>46296.134975300927</v>
      </c>
      <c r="W57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19.86</v>
      </c>
      <c r="X57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1.7400000000000002</v>
      </c>
      <c r="Y577" s="974">
        <f>IFERROR(tblConcentrado[[#This Row],[Concentrado (TMS)]]/tblConcentrado[[#This Row],[Mineral (TMS)]],"")</f>
        <v>0.45958583834335337</v>
      </c>
      <c r="Z577" s="973">
        <f>IFERROR(1/tblConcentrado[[#This Row],[% Recup.]],0)</f>
        <v>2.1758720930232558</v>
      </c>
      <c r="AA577" s="1561" t="str">
        <f>IF(COUNTIFS(tblConcentrado[ID],tblConcentrado[[#This Row],[ID]])&gt;1,"Duplicado","")</f>
        <v/>
      </c>
    </row>
    <row r="578" spans="2:27">
      <c r="B578" s="976">
        <f>(YEAR(tblConcentrado[[#This Row],[Fecha]])*10000+MONTH(tblConcentrado[[#This Row],[Fecha]])*100+DAY(tblConcentrado[[#This Row],[Fecha]]))*100+tblConcentrado[[#This Row],[N° hora]]</f>
        <v>2026092508</v>
      </c>
      <c r="C578" s="1560">
        <v>46290</v>
      </c>
      <c r="D578" s="1038">
        <v>8</v>
      </c>
      <c r="E578" s="952">
        <v>0.66666666666666674</v>
      </c>
      <c r="F578" s="256">
        <v>1479</v>
      </c>
      <c r="G578" s="256">
        <v>1068</v>
      </c>
      <c r="H578" s="970"/>
      <c r="I578" s="970"/>
      <c r="J578" s="970"/>
      <c r="K578" s="970"/>
      <c r="L578" s="970"/>
      <c r="M578" s="971"/>
      <c r="N578" s="971"/>
      <c r="O578" s="971"/>
      <c r="P578" s="971"/>
      <c r="Q578" s="971"/>
      <c r="R578" s="1038" t="s">
        <v>9258</v>
      </c>
      <c r="S578" s="1038"/>
      <c r="T578" s="1038"/>
      <c r="U578" s="1038" t="s">
        <v>10345</v>
      </c>
      <c r="V578" s="1560">
        <v>46296.134975300927</v>
      </c>
      <c r="W57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7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78" s="974">
        <f>IFERROR(tblConcentrado[[#This Row],[Concentrado (TMS)]]/tblConcentrado[[#This Row],[Mineral (TMS)]],"")</f>
        <v>0.72210953346855988</v>
      </c>
      <c r="Z578" s="973">
        <f>IFERROR(1/tblConcentrado[[#This Row],[% Recup.]],0)</f>
        <v>1.3848314606741572</v>
      </c>
      <c r="AA578" s="1561" t="str">
        <f>IF(COUNTIFS(tblConcentrado[ID],tblConcentrado[[#This Row],[ID]])&gt;1,"Duplicado","")</f>
        <v/>
      </c>
    </row>
    <row r="579" spans="2:27">
      <c r="B579" s="976">
        <f>(YEAR(tblConcentrado[[#This Row],[Fecha]])*10000+MONTH(tblConcentrado[[#This Row],[Fecha]])*100+DAY(tblConcentrado[[#This Row],[Fecha]]))*100+tblConcentrado[[#This Row],[N° hora]]</f>
        <v>2026092509</v>
      </c>
      <c r="C579" s="1560">
        <v>46290</v>
      </c>
      <c r="D579" s="1038">
        <v>9</v>
      </c>
      <c r="E579" s="952">
        <v>0.70833333333333326</v>
      </c>
      <c r="F579" s="256">
        <v>1412</v>
      </c>
      <c r="G579" s="256">
        <v>956</v>
      </c>
      <c r="H579" s="970">
        <v>0.187</v>
      </c>
      <c r="I579" s="970">
        <v>0.875</v>
      </c>
      <c r="J579" s="970">
        <v>0.52</v>
      </c>
      <c r="K579" s="970">
        <v>0.78</v>
      </c>
      <c r="L579" s="970">
        <v>0.49</v>
      </c>
      <c r="M579" s="971">
        <v>20</v>
      </c>
      <c r="N579" s="971">
        <v>15.5</v>
      </c>
      <c r="O579" s="971">
        <v>1.8</v>
      </c>
      <c r="P579" s="971">
        <v>2.5</v>
      </c>
      <c r="Q579" s="971">
        <v>8.3000000000000007</v>
      </c>
      <c r="R579" s="1038" t="s">
        <v>9258</v>
      </c>
      <c r="S579" s="1038" t="s">
        <v>10379</v>
      </c>
      <c r="T579" s="1038"/>
      <c r="U579" s="1038" t="s">
        <v>10345</v>
      </c>
      <c r="V579" s="1560">
        <v>46296.134975300927</v>
      </c>
      <c r="W57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17.299999999999997</v>
      </c>
      <c r="X57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2.2200000000000002</v>
      </c>
      <c r="Y579" s="974">
        <f>IFERROR(tblConcentrado[[#This Row],[Concentrado (TMS)]]/tblConcentrado[[#This Row],[Mineral (TMS)]],"")</f>
        <v>0.67705382436260619</v>
      </c>
      <c r="Z579" s="973">
        <f>IFERROR(1/tblConcentrado[[#This Row],[% Recup.]],0)</f>
        <v>1.4769874476987448</v>
      </c>
      <c r="AA579" s="1561" t="str">
        <f>IF(COUNTIFS(tblConcentrado[ID],tblConcentrado[[#This Row],[ID]])&gt;1,"Duplicado","")</f>
        <v/>
      </c>
    </row>
    <row r="580" spans="2:27">
      <c r="B580" s="976">
        <f>(YEAR(tblConcentrado[[#This Row],[Fecha]])*10000+MONTH(tblConcentrado[[#This Row],[Fecha]])*100+DAY(tblConcentrado[[#This Row],[Fecha]]))*100+tblConcentrado[[#This Row],[N° hora]]</f>
        <v>2026092510</v>
      </c>
      <c r="C580" s="1560">
        <v>46290</v>
      </c>
      <c r="D580" s="1038">
        <v>10</v>
      </c>
      <c r="E580" s="952">
        <v>0.75</v>
      </c>
      <c r="F580" s="256">
        <v>1407</v>
      </c>
      <c r="G580" s="256">
        <v>1201</v>
      </c>
      <c r="H580" s="970"/>
      <c r="I580" s="970"/>
      <c r="J580" s="970"/>
      <c r="K580" s="970"/>
      <c r="L580" s="970"/>
      <c r="M580" s="971"/>
      <c r="N580" s="971"/>
      <c r="O580" s="971"/>
      <c r="P580" s="971"/>
      <c r="Q580" s="971"/>
      <c r="R580" s="1038" t="s">
        <v>9258</v>
      </c>
      <c r="S580" s="1038"/>
      <c r="T580" s="1038"/>
      <c r="U580" s="1038" t="s">
        <v>10345</v>
      </c>
      <c r="V580" s="1560">
        <v>46296.134975300927</v>
      </c>
      <c r="W58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8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80" s="974">
        <f>IFERROR(tblConcentrado[[#This Row],[Concentrado (TMS)]]/tblConcentrado[[#This Row],[Mineral (TMS)]],"")</f>
        <v>0.85358919687277901</v>
      </c>
      <c r="Z580" s="973">
        <f>IFERROR(1/tblConcentrado[[#This Row],[% Recup.]],0)</f>
        <v>1.1715237302248125</v>
      </c>
      <c r="AA580" s="1561" t="str">
        <f>IF(COUNTIFS(tblConcentrado[ID],tblConcentrado[[#This Row],[ID]])&gt;1,"Duplicado","")</f>
        <v/>
      </c>
    </row>
    <row r="581" spans="2:27">
      <c r="B581" s="976">
        <f>(YEAR(tblConcentrado[[#This Row],[Fecha]])*10000+MONTH(tblConcentrado[[#This Row],[Fecha]])*100+DAY(tblConcentrado[[#This Row],[Fecha]]))*100+tblConcentrado[[#This Row],[N° hora]]</f>
        <v>2026092511</v>
      </c>
      <c r="C581" s="1560">
        <v>46290</v>
      </c>
      <c r="D581" s="1038">
        <v>11</v>
      </c>
      <c r="E581" s="952">
        <v>0.79166666666666674</v>
      </c>
      <c r="F581" s="256">
        <v>1484</v>
      </c>
      <c r="G581" s="256">
        <v>967</v>
      </c>
      <c r="H581" s="970">
        <v>0.21</v>
      </c>
      <c r="I581" s="970">
        <v>1.042</v>
      </c>
      <c r="J581" s="970">
        <v>0.68</v>
      </c>
      <c r="K581" s="970">
        <v>0.74299999999999999</v>
      </c>
      <c r="L581" s="970">
        <v>0.44</v>
      </c>
      <c r="M581" s="971">
        <v>19.5</v>
      </c>
      <c r="N581" s="971">
        <v>13.8</v>
      </c>
      <c r="O581" s="971">
        <v>1.7</v>
      </c>
      <c r="P581" s="971">
        <v>2</v>
      </c>
      <c r="Q581" s="971">
        <v>8.5</v>
      </c>
      <c r="R581" s="1038" t="s">
        <v>9258</v>
      </c>
      <c r="S581" s="1038"/>
      <c r="T581" s="1038"/>
      <c r="U581" s="1038" t="s">
        <v>10345</v>
      </c>
      <c r="V581" s="1560">
        <v>46296.134975300927</v>
      </c>
      <c r="W58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16.079999999999998</v>
      </c>
      <c r="X58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1.88</v>
      </c>
      <c r="Y581" s="974">
        <f>IFERROR(tblConcentrado[[#This Row],[Concentrado (TMS)]]/tblConcentrado[[#This Row],[Mineral (TMS)]],"")</f>
        <v>0.65161725067385445</v>
      </c>
      <c r="Z581" s="973">
        <f>IFERROR(1/tblConcentrado[[#This Row],[% Recup.]],0)</f>
        <v>1.5346432264736298</v>
      </c>
      <c r="AA581" s="1561" t="str">
        <f>IF(COUNTIFS(tblConcentrado[ID],tblConcentrado[[#This Row],[ID]])&gt;1,"Duplicado","")</f>
        <v/>
      </c>
    </row>
    <row r="582" spans="2:27">
      <c r="B582" s="976">
        <f>(YEAR(tblConcentrado[[#This Row],[Fecha]])*10000+MONTH(tblConcentrado[[#This Row],[Fecha]])*100+DAY(tblConcentrado[[#This Row],[Fecha]]))*100+tblConcentrado[[#This Row],[N° hora]]</f>
        <v>2026092512</v>
      </c>
      <c r="C582" s="1560">
        <v>46290</v>
      </c>
      <c r="D582" s="1038">
        <v>12</v>
      </c>
      <c r="E582" s="952">
        <v>0.83333333333333326</v>
      </c>
      <c r="F582" s="256">
        <v>1499</v>
      </c>
      <c r="G582" s="256">
        <v>865</v>
      </c>
      <c r="H582" s="970"/>
      <c r="I582" s="970"/>
      <c r="J582" s="970"/>
      <c r="K582" s="970"/>
      <c r="L582" s="970"/>
      <c r="M582" s="971"/>
      <c r="N582" s="971"/>
      <c r="O582" s="971"/>
      <c r="P582" s="971"/>
      <c r="Q582" s="971"/>
      <c r="R582" s="1038" t="s">
        <v>9258</v>
      </c>
      <c r="S582" s="1038"/>
      <c r="T582" s="1038"/>
      <c r="U582" s="1038" t="s">
        <v>10345</v>
      </c>
      <c r="V582" s="1560">
        <v>46296.134975300927</v>
      </c>
      <c r="W58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8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82" s="974">
        <f>IFERROR(tblConcentrado[[#This Row],[Concentrado (TMS)]]/tblConcentrado[[#This Row],[Mineral (TMS)]],"")</f>
        <v>0.5770513675783856</v>
      </c>
      <c r="Z582" s="973">
        <f>IFERROR(1/tblConcentrado[[#This Row],[% Recup.]],0)</f>
        <v>1.7329479768786127</v>
      </c>
      <c r="AA582" s="1561" t="str">
        <f>IF(COUNTIFS(tblConcentrado[ID],tblConcentrado[[#This Row],[ID]])&gt;1,"Duplicado","")</f>
        <v/>
      </c>
    </row>
    <row r="583" spans="2:27">
      <c r="B583" s="976">
        <f>(YEAR(tblConcentrado[[#This Row],[Fecha]])*10000+MONTH(tblConcentrado[[#This Row],[Fecha]])*100+DAY(tblConcentrado[[#This Row],[Fecha]]))*100+tblConcentrado[[#This Row],[N° hora]]</f>
        <v>2026092513</v>
      </c>
      <c r="C583" s="1560">
        <v>46290</v>
      </c>
      <c r="D583" s="1038">
        <v>13</v>
      </c>
      <c r="E583" s="952">
        <v>0.875</v>
      </c>
      <c r="F583" s="256">
        <v>1432</v>
      </c>
      <c r="G583" s="256">
        <v>896</v>
      </c>
      <c r="H583" s="970">
        <v>0.26900000000000002</v>
      </c>
      <c r="I583" s="970">
        <v>0.81699999999999995</v>
      </c>
      <c r="J583" s="970">
        <v>0.49</v>
      </c>
      <c r="K583" s="970">
        <v>0.77</v>
      </c>
      <c r="L583" s="970">
        <v>0.46</v>
      </c>
      <c r="M583" s="971">
        <v>17.600000000000001</v>
      </c>
      <c r="N583" s="971">
        <v>14.4</v>
      </c>
      <c r="O583" s="971">
        <v>0.9</v>
      </c>
      <c r="P583" s="971">
        <v>1.6</v>
      </c>
      <c r="Q583" s="971">
        <v>8.5</v>
      </c>
      <c r="R583" s="1038" t="s">
        <v>9258</v>
      </c>
      <c r="S583" s="1038" t="s">
        <v>10380</v>
      </c>
      <c r="T583" s="1038"/>
      <c r="U583" s="1038" t="s">
        <v>10345</v>
      </c>
      <c r="V583" s="1560">
        <v>46296.134975300927</v>
      </c>
      <c r="W58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15.680000000000001</v>
      </c>
      <c r="X58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1.32</v>
      </c>
      <c r="Y583" s="974">
        <f>IFERROR(tblConcentrado[[#This Row],[Concentrado (TMS)]]/tblConcentrado[[#This Row],[Mineral (TMS)]],"")</f>
        <v>0.62569832402234637</v>
      </c>
      <c r="Z583" s="973">
        <f>IFERROR(1/tblConcentrado[[#This Row],[% Recup.]],0)</f>
        <v>1.5982142857142856</v>
      </c>
      <c r="AA583" s="1561" t="str">
        <f>IF(COUNTIFS(tblConcentrado[ID],tblConcentrado[[#This Row],[ID]])&gt;1,"Duplicado","")</f>
        <v/>
      </c>
    </row>
    <row r="584" spans="2:27">
      <c r="B584" s="976">
        <f>(YEAR(tblConcentrado[[#This Row],[Fecha]])*10000+MONTH(tblConcentrado[[#This Row],[Fecha]])*100+DAY(tblConcentrado[[#This Row],[Fecha]]))*100+tblConcentrado[[#This Row],[N° hora]]</f>
        <v>2026092514</v>
      </c>
      <c r="C584" s="1560">
        <v>46290</v>
      </c>
      <c r="D584" s="1038">
        <v>14</v>
      </c>
      <c r="E584" s="952">
        <v>0.91666666666666663</v>
      </c>
      <c r="F584" s="256">
        <v>1317</v>
      </c>
      <c r="G584" s="256">
        <v>1049</v>
      </c>
      <c r="H584" s="970"/>
      <c r="I584" s="970"/>
      <c r="J584" s="970"/>
      <c r="K584" s="970"/>
      <c r="L584" s="970"/>
      <c r="M584" s="971"/>
      <c r="N584" s="971"/>
      <c r="O584" s="971"/>
      <c r="P584" s="971"/>
      <c r="Q584" s="971"/>
      <c r="R584" s="1038" t="s">
        <v>9258</v>
      </c>
      <c r="S584" s="1038"/>
      <c r="T584" s="1038"/>
      <c r="U584" s="1038" t="s">
        <v>10345</v>
      </c>
      <c r="V584" s="1560">
        <v>46296.134975300927</v>
      </c>
      <c r="W58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8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84" s="974">
        <f>IFERROR(tblConcentrado[[#This Row],[Concentrado (TMS)]]/tblConcentrado[[#This Row],[Mineral (TMS)]],"")</f>
        <v>0.79650721336370545</v>
      </c>
      <c r="Z584" s="973">
        <f>IFERROR(1/tblConcentrado[[#This Row],[% Recup.]],0)</f>
        <v>1.2554814108674928</v>
      </c>
      <c r="AA584" s="1561" t="str">
        <f>IF(COUNTIFS(tblConcentrado[ID],tblConcentrado[[#This Row],[ID]])&gt;1,"Duplicado","")</f>
        <v/>
      </c>
    </row>
    <row r="585" spans="2:27">
      <c r="B585" s="976">
        <f>(YEAR(tblConcentrado[[#This Row],[Fecha]])*10000+MONTH(tblConcentrado[[#This Row],[Fecha]])*100+DAY(tblConcentrado[[#This Row],[Fecha]]))*100+tblConcentrado[[#This Row],[N° hora]]</f>
        <v>2026092515</v>
      </c>
      <c r="C585" s="1560">
        <v>46290</v>
      </c>
      <c r="D585" s="1038">
        <v>15</v>
      </c>
      <c r="E585" s="952">
        <v>0.95833333333333337</v>
      </c>
      <c r="F585" s="256">
        <v>1404</v>
      </c>
      <c r="G585" s="256">
        <v>774</v>
      </c>
      <c r="H585" s="970">
        <v>0.26300000000000001</v>
      </c>
      <c r="I585" s="970">
        <v>0.76200000000000001</v>
      </c>
      <c r="J585" s="970">
        <v>0.43</v>
      </c>
      <c r="K585" s="970">
        <v>0.77500000000000002</v>
      </c>
      <c r="L585" s="970">
        <v>0.44</v>
      </c>
      <c r="M585" s="971">
        <v>18.899999999999999</v>
      </c>
      <c r="N585" s="971">
        <v>13.9</v>
      </c>
      <c r="O585" s="971">
        <v>1.2</v>
      </c>
      <c r="P585" s="971">
        <v>1.5</v>
      </c>
      <c r="Q585" s="971">
        <v>8.6999999999999993</v>
      </c>
      <c r="R585" s="1038" t="s">
        <v>9258</v>
      </c>
      <c r="S585" s="1038"/>
      <c r="T585" s="1038"/>
      <c r="U585" s="1038" t="s">
        <v>10345</v>
      </c>
      <c r="V585" s="1560">
        <v>46296.134975300927</v>
      </c>
      <c r="W58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15.899999999999999</v>
      </c>
      <c r="X58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1.38</v>
      </c>
      <c r="Y585" s="974">
        <f>IFERROR(tblConcentrado[[#This Row],[Concentrado (TMS)]]/tblConcentrado[[#This Row],[Mineral (TMS)]],"")</f>
        <v>0.55128205128205132</v>
      </c>
      <c r="Z585" s="973">
        <f>IFERROR(1/tblConcentrado[[#This Row],[% Recup.]],0)</f>
        <v>1.8139534883720929</v>
      </c>
      <c r="AA585" s="1561" t="str">
        <f>IF(COUNTIFS(tblConcentrado[ID],tblConcentrado[[#This Row],[ID]])&gt;1,"Duplicado","")</f>
        <v/>
      </c>
    </row>
    <row r="586" spans="2:27">
      <c r="B586" s="976">
        <f>(YEAR(tblConcentrado[[#This Row],[Fecha]])*10000+MONTH(tblConcentrado[[#This Row],[Fecha]])*100+DAY(tblConcentrado[[#This Row],[Fecha]]))*100+tblConcentrado[[#This Row],[N° hora]]</f>
        <v>2026092516</v>
      </c>
      <c r="C586" s="1560">
        <v>46290</v>
      </c>
      <c r="D586" s="1038">
        <v>16</v>
      </c>
      <c r="E586" s="952">
        <v>0</v>
      </c>
      <c r="F586" s="256">
        <v>1431</v>
      </c>
      <c r="G586" s="256">
        <v>706</v>
      </c>
      <c r="H586" s="970"/>
      <c r="I586" s="970"/>
      <c r="J586" s="970"/>
      <c r="K586" s="970"/>
      <c r="L586" s="970"/>
      <c r="M586" s="971"/>
      <c r="N586" s="971"/>
      <c r="O586" s="971"/>
      <c r="P586" s="971"/>
      <c r="Q586" s="971"/>
      <c r="R586" s="1038" t="s">
        <v>9258</v>
      </c>
      <c r="S586" s="1038"/>
      <c r="T586" s="1038"/>
      <c r="U586" s="1038" t="s">
        <v>10345</v>
      </c>
      <c r="V586" s="1560">
        <v>46296.134975300927</v>
      </c>
      <c r="W58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8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86" s="974">
        <f>IFERROR(tblConcentrado[[#This Row],[Concentrado (TMS)]]/tblConcentrado[[#This Row],[Mineral (TMS)]],"")</f>
        <v>0.49336128581411598</v>
      </c>
      <c r="Z586" s="973">
        <f>IFERROR(1/tblConcentrado[[#This Row],[% Recup.]],0)</f>
        <v>2.0269121813031163</v>
      </c>
      <c r="AA586" s="1561" t="str">
        <f>IF(COUNTIFS(tblConcentrado[ID],tblConcentrado[[#This Row],[ID]])&gt;1,"Duplicado","")</f>
        <v/>
      </c>
    </row>
    <row r="587" spans="2:27">
      <c r="B587" s="976">
        <f>(YEAR(tblConcentrado[[#This Row],[Fecha]])*10000+MONTH(tblConcentrado[[#This Row],[Fecha]])*100+DAY(tblConcentrado[[#This Row],[Fecha]]))*100+tblConcentrado[[#This Row],[N° hora]]</f>
        <v>2026092517</v>
      </c>
      <c r="C587" s="1560">
        <v>46290</v>
      </c>
      <c r="D587" s="1038">
        <v>17</v>
      </c>
      <c r="E587" s="952">
        <v>4.1666666666666519E-2</v>
      </c>
      <c r="F587" s="256">
        <v>1502</v>
      </c>
      <c r="G587" s="256">
        <v>1042</v>
      </c>
      <c r="H587" s="970">
        <v>0.26100000000000001</v>
      </c>
      <c r="I587" s="970">
        <v>0.68100000000000005</v>
      </c>
      <c r="J587" s="970">
        <v>0.41</v>
      </c>
      <c r="K587" s="970">
        <v>0.78700000000000003</v>
      </c>
      <c r="L587" s="970">
        <v>0.46</v>
      </c>
      <c r="M587" s="971">
        <v>16.3</v>
      </c>
      <c r="N587" s="971">
        <v>10.3</v>
      </c>
      <c r="O587" s="971">
        <v>1.1000000000000001</v>
      </c>
      <c r="P587" s="971">
        <v>1.2</v>
      </c>
      <c r="Q587" s="971">
        <v>8.6999999999999993</v>
      </c>
      <c r="R587" s="1038" t="s">
        <v>9258</v>
      </c>
      <c r="S587" s="1038" t="s">
        <v>10381</v>
      </c>
      <c r="T587" s="1038"/>
      <c r="U587" s="1038" t="s">
        <v>10345</v>
      </c>
      <c r="V587" s="1560">
        <v>46296.134975300927</v>
      </c>
      <c r="W58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12.700000000000001</v>
      </c>
      <c r="X58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1.1600000000000001</v>
      </c>
      <c r="Y587" s="974">
        <f>IFERROR(tblConcentrado[[#This Row],[Concentrado (TMS)]]/tblConcentrado[[#This Row],[Mineral (TMS)]],"")</f>
        <v>0.69374167776298268</v>
      </c>
      <c r="Z587" s="973">
        <f>IFERROR(1/tblConcentrado[[#This Row],[% Recup.]],0)</f>
        <v>1.4414587332053743</v>
      </c>
      <c r="AA587" s="1561" t="str">
        <f>IF(COUNTIFS(tblConcentrado[ID],tblConcentrado[[#This Row],[ID]])&gt;1,"Duplicado","")</f>
        <v/>
      </c>
    </row>
    <row r="588" spans="2:27">
      <c r="B588" s="976">
        <f>(YEAR(tblConcentrado[[#This Row],[Fecha]])*10000+MONTH(tblConcentrado[[#This Row],[Fecha]])*100+DAY(tblConcentrado[[#This Row],[Fecha]]))*100+tblConcentrado[[#This Row],[N° hora]]</f>
        <v>2026092518</v>
      </c>
      <c r="C588" s="1560">
        <v>46290</v>
      </c>
      <c r="D588" s="1038">
        <v>18</v>
      </c>
      <c r="E588" s="952">
        <v>8.3333333333333481E-2</v>
      </c>
      <c r="F588" s="256">
        <v>1511</v>
      </c>
      <c r="G588" s="256">
        <v>846</v>
      </c>
      <c r="H588" s="970"/>
      <c r="I588" s="970"/>
      <c r="J588" s="970"/>
      <c r="K588" s="970"/>
      <c r="L588" s="970"/>
      <c r="M588" s="971"/>
      <c r="N588" s="971"/>
      <c r="O588" s="971"/>
      <c r="P588" s="971"/>
      <c r="Q588" s="971"/>
      <c r="R588" s="1038" t="s">
        <v>9258</v>
      </c>
      <c r="S588" s="1038" t="s">
        <v>10382</v>
      </c>
      <c r="T588" s="1038" t="s">
        <v>10383</v>
      </c>
      <c r="U588" s="1038" t="s">
        <v>10345</v>
      </c>
      <c r="V588" s="1560">
        <v>46296.134975300927</v>
      </c>
      <c r="W58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8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88" s="974">
        <f>IFERROR(tblConcentrado[[#This Row],[Concentrado (TMS)]]/tblConcentrado[[#This Row],[Mineral (TMS)]],"")</f>
        <v>0.55989410986101917</v>
      </c>
      <c r="Z588" s="973">
        <f>IFERROR(1/tblConcentrado[[#This Row],[% Recup.]],0)</f>
        <v>1.7860520094562649</v>
      </c>
      <c r="AA588" s="1561" t="str">
        <f>IF(COUNTIFS(tblConcentrado[ID],tblConcentrado[[#This Row],[ID]])&gt;1,"Duplicado","")</f>
        <v/>
      </c>
    </row>
    <row r="589" spans="2:27">
      <c r="B589" s="976">
        <f>(YEAR(tblConcentrado[[#This Row],[Fecha]])*10000+MONTH(tblConcentrado[[#This Row],[Fecha]])*100+DAY(tblConcentrado[[#This Row],[Fecha]]))*100+tblConcentrado[[#This Row],[N° hora]]</f>
        <v>2026092519</v>
      </c>
      <c r="C589" s="1560">
        <v>46290</v>
      </c>
      <c r="D589" s="1038">
        <v>19</v>
      </c>
      <c r="E589" s="952">
        <v>0.125</v>
      </c>
      <c r="F589" s="256">
        <v>1503</v>
      </c>
      <c r="G589" s="256">
        <v>1032</v>
      </c>
      <c r="H589" s="970">
        <v>0.23499999999999999</v>
      </c>
      <c r="I589" s="970">
        <v>0.72199999999999998</v>
      </c>
      <c r="J589" s="970">
        <v>0.43</v>
      </c>
      <c r="K589" s="970">
        <v>0.72099999999999997</v>
      </c>
      <c r="L589" s="970">
        <v>0.42</v>
      </c>
      <c r="M589" s="971">
        <v>16.7</v>
      </c>
      <c r="N589" s="971">
        <v>10.199999999999999</v>
      </c>
      <c r="O589" s="971">
        <v>1.2</v>
      </c>
      <c r="P589" s="971">
        <v>1.1000000000000001</v>
      </c>
      <c r="Q589" s="971">
        <v>8.6</v>
      </c>
      <c r="R589" s="1038" t="s">
        <v>9258</v>
      </c>
      <c r="S589" s="1038" t="s">
        <v>10384</v>
      </c>
      <c r="T589" s="1038"/>
      <c r="U589" s="1038" t="s">
        <v>10345</v>
      </c>
      <c r="V589" s="1560">
        <v>46296.134975300927</v>
      </c>
      <c r="W58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12.799999999999999</v>
      </c>
      <c r="X58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1.1400000000000001</v>
      </c>
      <c r="Y589" s="974">
        <f>IFERROR(tblConcentrado[[#This Row],[Concentrado (TMS)]]/tblConcentrado[[#This Row],[Mineral (TMS)]],"")</f>
        <v>0.68662674650698607</v>
      </c>
      <c r="Z589" s="973">
        <f>IFERROR(1/tblConcentrado[[#This Row],[% Recup.]],0)</f>
        <v>1.4563953488372092</v>
      </c>
      <c r="AA589" s="1561" t="str">
        <f>IF(COUNTIFS(tblConcentrado[ID],tblConcentrado[[#This Row],[ID]])&gt;1,"Duplicado","")</f>
        <v/>
      </c>
    </row>
    <row r="590" spans="2:27">
      <c r="B590" s="976">
        <f>(YEAR(tblConcentrado[[#This Row],[Fecha]])*10000+MONTH(tblConcentrado[[#This Row],[Fecha]])*100+DAY(tblConcentrado[[#This Row],[Fecha]]))*100+tblConcentrado[[#This Row],[N° hora]]</f>
        <v>2026092520</v>
      </c>
      <c r="C590" s="1560">
        <v>46290</v>
      </c>
      <c r="D590" s="1038">
        <v>20</v>
      </c>
      <c r="E590" s="952">
        <v>0.16666666666666652</v>
      </c>
      <c r="F590" s="256">
        <v>1478</v>
      </c>
      <c r="G590" s="256">
        <v>987</v>
      </c>
      <c r="H590" s="970"/>
      <c r="I590" s="970"/>
      <c r="J590" s="970"/>
      <c r="K590" s="970"/>
      <c r="L590" s="970"/>
      <c r="M590" s="971"/>
      <c r="N590" s="971"/>
      <c r="O590" s="971"/>
      <c r="P590" s="971"/>
      <c r="Q590" s="971"/>
      <c r="R590" s="1038" t="s">
        <v>9258</v>
      </c>
      <c r="S590" s="1038" t="s">
        <v>10385</v>
      </c>
      <c r="T590" s="1038"/>
      <c r="U590" s="1038" t="s">
        <v>10345</v>
      </c>
      <c r="V590" s="1560">
        <v>46296.134975300927</v>
      </c>
      <c r="W59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9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90" s="974">
        <f>IFERROR(tblConcentrado[[#This Row],[Concentrado (TMS)]]/tblConcentrado[[#This Row],[Mineral (TMS)]],"")</f>
        <v>0.66779431664411371</v>
      </c>
      <c r="Z590" s="973">
        <f>IFERROR(1/tblConcentrado[[#This Row],[% Recup.]],0)</f>
        <v>1.497467071935157</v>
      </c>
      <c r="AA590" s="1561" t="str">
        <f>IF(COUNTIFS(tblConcentrado[ID],tblConcentrado[[#This Row],[ID]])&gt;1,"Duplicado","")</f>
        <v/>
      </c>
    </row>
    <row r="591" spans="2:27">
      <c r="B591" s="976">
        <f>(YEAR(tblConcentrado[[#This Row],[Fecha]])*10000+MONTH(tblConcentrado[[#This Row],[Fecha]])*100+DAY(tblConcentrado[[#This Row],[Fecha]]))*100+tblConcentrado[[#This Row],[N° hora]]</f>
        <v>2026092521</v>
      </c>
      <c r="C591" s="1560">
        <v>46290</v>
      </c>
      <c r="D591" s="1038">
        <v>21</v>
      </c>
      <c r="E591" s="952">
        <v>0.20833333333333348</v>
      </c>
      <c r="F591" s="256">
        <v>1480</v>
      </c>
      <c r="G591" s="256">
        <v>953</v>
      </c>
      <c r="H591" s="970">
        <v>0.26700000000000002</v>
      </c>
      <c r="I591" s="970">
        <v>0.65900000000000003</v>
      </c>
      <c r="J591" s="970">
        <v>0.41</v>
      </c>
      <c r="K591" s="970">
        <v>0.746</v>
      </c>
      <c r="L591" s="970">
        <v>0.44</v>
      </c>
      <c r="M591" s="971">
        <v>17</v>
      </c>
      <c r="N591" s="971">
        <v>10.4</v>
      </c>
      <c r="O591" s="971">
        <v>1</v>
      </c>
      <c r="P591" s="971">
        <v>1.2</v>
      </c>
      <c r="Q591" s="971">
        <v>8.4</v>
      </c>
      <c r="R591" s="1038" t="s">
        <v>9258</v>
      </c>
      <c r="S591" s="1038"/>
      <c r="T591" s="1038"/>
      <c r="U591" s="1038" t="s">
        <v>10345</v>
      </c>
      <c r="V591" s="1560">
        <v>46296.134975300927</v>
      </c>
      <c r="W59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13.040000000000001</v>
      </c>
      <c r="X59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1.1200000000000001</v>
      </c>
      <c r="Y591" s="974">
        <f>IFERROR(tblConcentrado[[#This Row],[Concentrado (TMS)]]/tblConcentrado[[#This Row],[Mineral (TMS)]],"")</f>
        <v>0.64391891891891895</v>
      </c>
      <c r="Z591" s="973">
        <f>IFERROR(1/tblConcentrado[[#This Row],[% Recup.]],0)</f>
        <v>1.55299055613851</v>
      </c>
      <c r="AA591" s="1561" t="str">
        <f>IF(COUNTIFS(tblConcentrado[ID],tblConcentrado[[#This Row],[ID]])&gt;1,"Duplicado","")</f>
        <v/>
      </c>
    </row>
    <row r="592" spans="2:27">
      <c r="B592" s="976">
        <f>(YEAR(tblConcentrado[[#This Row],[Fecha]])*10000+MONTH(tblConcentrado[[#This Row],[Fecha]])*100+DAY(tblConcentrado[[#This Row],[Fecha]]))*100+tblConcentrado[[#This Row],[N° hora]]</f>
        <v>2026092522</v>
      </c>
      <c r="C592" s="1560">
        <v>46290</v>
      </c>
      <c r="D592" s="1038">
        <v>22</v>
      </c>
      <c r="E592" s="952">
        <v>0.25</v>
      </c>
      <c r="F592" s="256">
        <v>1475</v>
      </c>
      <c r="G592" s="256">
        <v>966</v>
      </c>
      <c r="H592" s="970"/>
      <c r="I592" s="970"/>
      <c r="J592" s="970"/>
      <c r="K592" s="970"/>
      <c r="L592" s="970"/>
      <c r="M592" s="971"/>
      <c r="N592" s="971"/>
      <c r="O592" s="971"/>
      <c r="P592" s="971"/>
      <c r="Q592" s="971"/>
      <c r="R592" s="1038" t="s">
        <v>9258</v>
      </c>
      <c r="S592" s="1038" t="s">
        <v>10386</v>
      </c>
      <c r="T592" s="1038"/>
      <c r="U592" s="1038" t="s">
        <v>10345</v>
      </c>
      <c r="V592" s="1560">
        <v>46296.134975300927</v>
      </c>
      <c r="W59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9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92" s="974">
        <f>IFERROR(tblConcentrado[[#This Row],[Concentrado (TMS)]]/tblConcentrado[[#This Row],[Mineral (TMS)]],"")</f>
        <v>0.65491525423728814</v>
      </c>
      <c r="Z592" s="973">
        <f>IFERROR(1/tblConcentrado[[#This Row],[% Recup.]],0)</f>
        <v>1.5269151138716357</v>
      </c>
      <c r="AA592" s="1561" t="str">
        <f>IF(COUNTIFS(tblConcentrado[ID],tblConcentrado[[#This Row],[ID]])&gt;1,"Duplicado","")</f>
        <v/>
      </c>
    </row>
    <row r="593" spans="2:27">
      <c r="B593" s="976">
        <f>(YEAR(tblConcentrado[[#This Row],[Fecha]])*10000+MONTH(tblConcentrado[[#This Row],[Fecha]])*100+DAY(tblConcentrado[[#This Row],[Fecha]]))*100+tblConcentrado[[#This Row],[N° hora]]</f>
        <v>2026092523</v>
      </c>
      <c r="C593" s="1560">
        <v>46290</v>
      </c>
      <c r="D593" s="1038">
        <v>23</v>
      </c>
      <c r="E593" s="952">
        <v>0.29166666666666652</v>
      </c>
      <c r="F593" s="256">
        <v>1476</v>
      </c>
      <c r="G593" s="256">
        <v>828</v>
      </c>
      <c r="H593" s="970">
        <v>0.216</v>
      </c>
      <c r="I593" s="970">
        <v>0.76200000000000001</v>
      </c>
      <c r="J593" s="970">
        <v>0.45</v>
      </c>
      <c r="K593" s="970">
        <v>0.63</v>
      </c>
      <c r="L593" s="970">
        <v>0.4</v>
      </c>
      <c r="M593" s="971">
        <v>17.600000000000001</v>
      </c>
      <c r="N593" s="971">
        <v>10.5</v>
      </c>
      <c r="O593" s="971">
        <v>1.1000000000000001</v>
      </c>
      <c r="P593" s="971">
        <v>1.2</v>
      </c>
      <c r="Q593" s="971">
        <v>8.3000000000000007</v>
      </c>
      <c r="R593" s="1038" t="s">
        <v>9258</v>
      </c>
      <c r="S593" s="1038" t="s">
        <v>10387</v>
      </c>
      <c r="T593" s="1038"/>
      <c r="U593" s="1038" t="s">
        <v>10345</v>
      </c>
      <c r="V593" s="1560">
        <v>46296.134975300927</v>
      </c>
      <c r="W59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13.34</v>
      </c>
      <c r="X59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1.1600000000000001</v>
      </c>
      <c r="Y593" s="974">
        <f>IFERROR(tblConcentrado[[#This Row],[Concentrado (TMS)]]/tblConcentrado[[#This Row],[Mineral (TMS)]],"")</f>
        <v>0.56097560975609762</v>
      </c>
      <c r="Z593" s="973">
        <f>IFERROR(1/tblConcentrado[[#This Row],[% Recup.]],0)</f>
        <v>1.7826086956521738</v>
      </c>
      <c r="AA593" s="1561" t="str">
        <f>IF(COUNTIFS(tblConcentrado[ID],tblConcentrado[[#This Row],[ID]])&gt;1,"Duplicado","")</f>
        <v/>
      </c>
    </row>
    <row r="594" spans="2:27">
      <c r="B594" s="976">
        <f>(YEAR(tblConcentrado[[#This Row],[Fecha]])*10000+MONTH(tblConcentrado[[#This Row],[Fecha]])*100+DAY(tblConcentrado[[#This Row],[Fecha]]))*100+tblConcentrado[[#This Row],[N° hora]]</f>
        <v>2026092524</v>
      </c>
      <c r="C594" s="1560">
        <v>46290</v>
      </c>
      <c r="D594" s="1038">
        <v>24</v>
      </c>
      <c r="E594" s="952">
        <v>0.33333333333333348</v>
      </c>
      <c r="F594" s="256">
        <v>1425</v>
      </c>
      <c r="G594" s="256">
        <v>769</v>
      </c>
      <c r="H594" s="970"/>
      <c r="I594" s="970"/>
      <c r="J594" s="970"/>
      <c r="K594" s="970"/>
      <c r="L594" s="970"/>
      <c r="M594" s="971"/>
      <c r="N594" s="971"/>
      <c r="O594" s="971"/>
      <c r="P594" s="971"/>
      <c r="Q594" s="971"/>
      <c r="R594" s="1038" t="s">
        <v>9258</v>
      </c>
      <c r="S594" s="1038"/>
      <c r="T594" s="1038"/>
      <c r="U594" s="1038" t="s">
        <v>10345</v>
      </c>
      <c r="V594" s="1560">
        <v>46296.134975300927</v>
      </c>
      <c r="W59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9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94" s="974">
        <f>IFERROR(tblConcentrado[[#This Row],[Concentrado (TMS)]]/tblConcentrado[[#This Row],[Mineral (TMS)]],"")</f>
        <v>0.53964912280701749</v>
      </c>
      <c r="Z594" s="973">
        <f>IFERROR(1/tblConcentrado[[#This Row],[% Recup.]],0)</f>
        <v>1.8530559167750327</v>
      </c>
      <c r="AA594" s="1561" t="str">
        <f>IF(COUNTIFS(tblConcentrado[ID],tblConcentrado[[#This Row],[ID]])&gt;1,"Duplicado","")</f>
        <v/>
      </c>
    </row>
    <row r="595" spans="2:27">
      <c r="B595" s="976">
        <f>(YEAR(tblConcentrado[[#This Row],[Fecha]])*10000+MONTH(tblConcentrado[[#This Row],[Fecha]])*100+DAY(tblConcentrado[[#This Row],[Fecha]]))*100+tblConcentrado[[#This Row],[N° hora]]</f>
        <v>2026092601</v>
      </c>
      <c r="C595" s="1560">
        <v>46291</v>
      </c>
      <c r="D595" s="1038">
        <v>1</v>
      </c>
      <c r="E595" s="952">
        <v>0.375</v>
      </c>
      <c r="F595" s="256">
        <v>1257</v>
      </c>
      <c r="G595" s="256">
        <v>731</v>
      </c>
      <c r="H595" s="970">
        <v>0.191</v>
      </c>
      <c r="I595" s="970">
        <v>0.66900000000000004</v>
      </c>
      <c r="J595" s="970">
        <v>0.4</v>
      </c>
      <c r="K595" s="970">
        <v>0.68200000000000005</v>
      </c>
      <c r="L595" s="970">
        <v>0.4</v>
      </c>
      <c r="M595" s="971">
        <v>17.5</v>
      </c>
      <c r="N595" s="971">
        <v>12.6</v>
      </c>
      <c r="O595" s="971">
        <v>1.4</v>
      </c>
      <c r="P595" s="971">
        <v>1.6</v>
      </c>
      <c r="Q595" s="971">
        <v>9.1</v>
      </c>
      <c r="R595" s="1038" t="s">
        <v>9258</v>
      </c>
      <c r="S595" s="1038"/>
      <c r="T595" s="1038"/>
      <c r="U595" s="1038" t="s">
        <v>10345</v>
      </c>
      <c r="V595" s="1560">
        <v>46296.134975300927</v>
      </c>
      <c r="W59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14.559999999999999</v>
      </c>
      <c r="X59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1.52</v>
      </c>
      <c r="Y595" s="974">
        <f>IFERROR(tblConcentrado[[#This Row],[Concentrado (TMS)]]/tblConcentrado[[#This Row],[Mineral (TMS)]],"")</f>
        <v>0.58154335719968175</v>
      </c>
      <c r="Z595" s="973">
        <f>IFERROR(1/tblConcentrado[[#This Row],[% Recup.]],0)</f>
        <v>1.7195622435020521</v>
      </c>
      <c r="AA595" s="1561" t="str">
        <f>IF(COUNTIFS(tblConcentrado[ID],tblConcentrado[[#This Row],[ID]])&gt;1,"Duplicado","")</f>
        <v/>
      </c>
    </row>
    <row r="596" spans="2:27">
      <c r="B596" s="976">
        <f>(YEAR(tblConcentrado[[#This Row],[Fecha]])*10000+MONTH(tblConcentrado[[#This Row],[Fecha]])*100+DAY(tblConcentrado[[#This Row],[Fecha]]))*100+tblConcentrado[[#This Row],[N° hora]]</f>
        <v>2026092602</v>
      </c>
      <c r="C596" s="1560">
        <v>46291</v>
      </c>
      <c r="D596" s="1038">
        <v>2</v>
      </c>
      <c r="E596" s="952">
        <v>0.41666666666666669</v>
      </c>
      <c r="F596" s="256">
        <v>1243</v>
      </c>
      <c r="G596" s="256">
        <v>703</v>
      </c>
      <c r="H596" s="970"/>
      <c r="I596" s="970"/>
      <c r="J596" s="970"/>
      <c r="K596" s="970"/>
      <c r="L596" s="970"/>
      <c r="M596" s="971"/>
      <c r="N596" s="971"/>
      <c r="O596" s="971"/>
      <c r="P596" s="971"/>
      <c r="Q596" s="971"/>
      <c r="R596" s="1038" t="s">
        <v>9258</v>
      </c>
      <c r="S596" s="1038"/>
      <c r="T596" s="1038"/>
      <c r="U596" s="1038" t="s">
        <v>10345</v>
      </c>
      <c r="V596" s="1560">
        <v>46296.134975300927</v>
      </c>
      <c r="W59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9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96" s="974">
        <f>IFERROR(tblConcentrado[[#This Row],[Concentrado (TMS)]]/tblConcentrado[[#This Row],[Mineral (TMS)]],"")</f>
        <v>0.5655671761866452</v>
      </c>
      <c r="Z596" s="973">
        <f>IFERROR(1/tblConcentrado[[#This Row],[% Recup.]],0)</f>
        <v>1.7681365576102419</v>
      </c>
      <c r="AA596" s="1561" t="str">
        <f>IF(COUNTIFS(tblConcentrado[ID],tblConcentrado[[#This Row],[ID]])&gt;1,"Duplicado","")</f>
        <v/>
      </c>
    </row>
    <row r="597" spans="2:27">
      <c r="B597" s="976">
        <f>(YEAR(tblConcentrado[[#This Row],[Fecha]])*10000+MONTH(tblConcentrado[[#This Row],[Fecha]])*100+DAY(tblConcentrado[[#This Row],[Fecha]]))*100+tblConcentrado[[#This Row],[N° hora]]</f>
        <v>2026092603</v>
      </c>
      <c r="C597" s="1560">
        <v>46291</v>
      </c>
      <c r="D597" s="1038">
        <v>3</v>
      </c>
      <c r="E597" s="952">
        <v>0.45833333333333331</v>
      </c>
      <c r="F597" s="256">
        <v>1249</v>
      </c>
      <c r="G597" s="256">
        <v>825</v>
      </c>
      <c r="H597" s="970">
        <v>0.16600000000000001</v>
      </c>
      <c r="I597" s="970">
        <v>0.70899999999999996</v>
      </c>
      <c r="J597" s="970">
        <v>0.43</v>
      </c>
      <c r="K597" s="970">
        <v>0.68799999999999994</v>
      </c>
      <c r="L597" s="970">
        <v>0.41</v>
      </c>
      <c r="M597" s="971">
        <v>17.5</v>
      </c>
      <c r="N597" s="971">
        <v>13.5</v>
      </c>
      <c r="O597" s="971">
        <v>1.3</v>
      </c>
      <c r="P597" s="971">
        <v>1.7</v>
      </c>
      <c r="Q597" s="971">
        <v>10.6</v>
      </c>
      <c r="R597" s="1038" t="s">
        <v>9258</v>
      </c>
      <c r="S597" s="1038"/>
      <c r="T597" s="1038"/>
      <c r="U597" s="1038" t="s">
        <v>10345</v>
      </c>
      <c r="V597" s="1560">
        <v>46296.134975300927</v>
      </c>
      <c r="W59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15.1</v>
      </c>
      <c r="X59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1.54</v>
      </c>
      <c r="Y597" s="974">
        <f>IFERROR(tblConcentrado[[#This Row],[Concentrado (TMS)]]/tblConcentrado[[#This Row],[Mineral (TMS)]],"")</f>
        <v>0.66052842273819057</v>
      </c>
      <c r="Z597" s="973">
        <f>IFERROR(1/tblConcentrado[[#This Row],[% Recup.]],0)</f>
        <v>1.5139393939393939</v>
      </c>
      <c r="AA597" s="1561" t="str">
        <f>IF(COUNTIFS(tblConcentrado[ID],tblConcentrado[[#This Row],[ID]])&gt;1,"Duplicado","")</f>
        <v/>
      </c>
    </row>
    <row r="598" spans="2:27">
      <c r="B598" s="976">
        <f>(YEAR(tblConcentrado[[#This Row],[Fecha]])*10000+MONTH(tblConcentrado[[#This Row],[Fecha]])*100+DAY(tblConcentrado[[#This Row],[Fecha]]))*100+tblConcentrado[[#This Row],[N° hora]]</f>
        <v>2026092604</v>
      </c>
      <c r="C598" s="1560">
        <v>46291</v>
      </c>
      <c r="D598" s="1038">
        <v>4</v>
      </c>
      <c r="E598" s="952">
        <v>0.5</v>
      </c>
      <c r="F598" s="256">
        <v>1228</v>
      </c>
      <c r="G598" s="256">
        <v>799</v>
      </c>
      <c r="H598" s="970"/>
      <c r="I598" s="970"/>
      <c r="J598" s="970"/>
      <c r="K598" s="970"/>
      <c r="L598" s="970"/>
      <c r="M598" s="971"/>
      <c r="N598" s="971"/>
      <c r="O598" s="971"/>
      <c r="P598" s="971"/>
      <c r="Q598" s="971"/>
      <c r="R598" s="1038" t="s">
        <v>9258</v>
      </c>
      <c r="S598" s="1038"/>
      <c r="T598" s="1038"/>
      <c r="U598" s="1038" t="s">
        <v>10345</v>
      </c>
      <c r="V598" s="1560">
        <v>46296.134975300927</v>
      </c>
      <c r="W59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59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598" s="974">
        <f>IFERROR(tblConcentrado[[#This Row],[Concentrado (TMS)]]/tblConcentrado[[#This Row],[Mineral (TMS)]],"")</f>
        <v>0.65065146579804556</v>
      </c>
      <c r="Z598" s="973">
        <f>IFERROR(1/tblConcentrado[[#This Row],[% Recup.]],0)</f>
        <v>1.5369211514392993</v>
      </c>
      <c r="AA598" s="1561" t="str">
        <f>IF(COUNTIFS(tblConcentrado[ID],tblConcentrado[[#This Row],[ID]])&gt;1,"Duplicado","")</f>
        <v/>
      </c>
    </row>
    <row r="599" spans="2:27">
      <c r="B599" s="976">
        <f>(YEAR(tblConcentrado[[#This Row],[Fecha]])*10000+MONTH(tblConcentrado[[#This Row],[Fecha]])*100+DAY(tblConcentrado[[#This Row],[Fecha]]))*100+tblConcentrado[[#This Row],[N° hora]]</f>
        <v>2026092605</v>
      </c>
      <c r="C599" s="1560">
        <v>46291</v>
      </c>
      <c r="D599" s="1038">
        <v>5</v>
      </c>
      <c r="E599" s="952">
        <v>0.54166666666666663</v>
      </c>
      <c r="F599" s="256">
        <v>1237</v>
      </c>
      <c r="G599" s="256">
        <v>931</v>
      </c>
      <c r="H599" s="970">
        <v>0.161</v>
      </c>
      <c r="I599" s="970">
        <v>0.67600000000000005</v>
      </c>
      <c r="J599" s="970">
        <v>0.4</v>
      </c>
      <c r="K599" s="970">
        <v>0.68300000000000005</v>
      </c>
      <c r="L599" s="970">
        <v>0.38</v>
      </c>
      <c r="M599" s="971">
        <v>21.4</v>
      </c>
      <c r="N599" s="971">
        <v>15</v>
      </c>
      <c r="O599" s="971">
        <v>2.2999999999999998</v>
      </c>
      <c r="P599" s="971">
        <v>2.6</v>
      </c>
      <c r="Q599" s="971">
        <v>9.1999999999999993</v>
      </c>
      <c r="R599" s="1038" t="s">
        <v>9258</v>
      </c>
      <c r="S599" s="1038"/>
      <c r="T599" s="1038"/>
      <c r="U599" s="1038" t="s">
        <v>10345</v>
      </c>
      <c r="V599" s="1560">
        <v>46296.134975300927</v>
      </c>
      <c r="W59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17.560000000000002</v>
      </c>
      <c r="X59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2.48</v>
      </c>
      <c r="Y599" s="974">
        <f>IFERROR(tblConcentrado[[#This Row],[Concentrado (TMS)]]/tblConcentrado[[#This Row],[Mineral (TMS)]],"")</f>
        <v>0.75262732417138234</v>
      </c>
      <c r="Z599" s="973">
        <f>IFERROR(1/tblConcentrado[[#This Row],[% Recup.]],0)</f>
        <v>1.3286788399570355</v>
      </c>
      <c r="AA599" s="1561" t="str">
        <f>IF(COUNTIFS(tblConcentrado[ID],tblConcentrado[[#This Row],[ID]])&gt;1,"Duplicado","")</f>
        <v/>
      </c>
    </row>
    <row r="600" spans="2:27">
      <c r="B600" s="976">
        <f>(YEAR(tblConcentrado[[#This Row],[Fecha]])*10000+MONTH(tblConcentrado[[#This Row],[Fecha]])*100+DAY(tblConcentrado[[#This Row],[Fecha]]))*100+tblConcentrado[[#This Row],[N° hora]]</f>
        <v>2026092606</v>
      </c>
      <c r="C600" s="1560">
        <v>46291</v>
      </c>
      <c r="D600" s="1038">
        <v>6</v>
      </c>
      <c r="E600" s="952">
        <v>0.58333333333333337</v>
      </c>
      <c r="F600" s="256">
        <v>1224</v>
      </c>
      <c r="G600" s="256">
        <v>644</v>
      </c>
      <c r="H600" s="970"/>
      <c r="I600" s="970"/>
      <c r="J600" s="970"/>
      <c r="K600" s="970"/>
      <c r="L600" s="970"/>
      <c r="M600" s="971"/>
      <c r="N600" s="971"/>
      <c r="O600" s="971"/>
      <c r="P600" s="971"/>
      <c r="Q600" s="971"/>
      <c r="R600" s="1038" t="s">
        <v>9258</v>
      </c>
      <c r="S600" s="1038"/>
      <c r="T600" s="1038"/>
      <c r="U600" s="1038" t="s">
        <v>10345</v>
      </c>
      <c r="V600" s="1560">
        <v>46296.134975300927</v>
      </c>
      <c r="W60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0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00" s="974">
        <f>IFERROR(tblConcentrado[[#This Row],[Concentrado (TMS)]]/tblConcentrado[[#This Row],[Mineral (TMS)]],"")</f>
        <v>0.52614379084967322</v>
      </c>
      <c r="Z600" s="973">
        <f>IFERROR(1/tblConcentrado[[#This Row],[% Recup.]],0)</f>
        <v>1.9006211180124224</v>
      </c>
      <c r="AA600" s="1561" t="str">
        <f>IF(COUNTIFS(tblConcentrado[ID],tblConcentrado[[#This Row],[ID]])&gt;1,"Duplicado","")</f>
        <v/>
      </c>
    </row>
    <row r="601" spans="2:27">
      <c r="B601" s="976">
        <f>(YEAR(tblConcentrado[[#This Row],[Fecha]])*10000+MONTH(tblConcentrado[[#This Row],[Fecha]])*100+DAY(tblConcentrado[[#This Row],[Fecha]]))*100+tblConcentrado[[#This Row],[N° hora]]</f>
        <v>2026092607</v>
      </c>
      <c r="C601" s="1560">
        <v>46291</v>
      </c>
      <c r="D601" s="1038">
        <v>7</v>
      </c>
      <c r="E601" s="952">
        <v>0.625</v>
      </c>
      <c r="F601" s="256">
        <v>1247</v>
      </c>
      <c r="G601" s="256">
        <v>528</v>
      </c>
      <c r="H601" s="970">
        <v>0.151</v>
      </c>
      <c r="I601" s="970">
        <v>0.66400000000000003</v>
      </c>
      <c r="J601" s="970">
        <v>0.38</v>
      </c>
      <c r="K601" s="970">
        <v>0.67</v>
      </c>
      <c r="L601" s="970">
        <v>0.4</v>
      </c>
      <c r="M601" s="971">
        <v>21</v>
      </c>
      <c r="N601" s="971">
        <v>16.600000000000001</v>
      </c>
      <c r="O601" s="971">
        <v>1.7</v>
      </c>
      <c r="P601" s="971">
        <v>2.9</v>
      </c>
      <c r="Q601" s="971">
        <v>8.5</v>
      </c>
      <c r="R601" s="1038" t="s">
        <v>9258</v>
      </c>
      <c r="S601" s="1038"/>
      <c r="T601" s="1038"/>
      <c r="U601" s="1038" t="s">
        <v>10345</v>
      </c>
      <c r="V601" s="1560">
        <v>46296.134975300927</v>
      </c>
      <c r="W60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18.36</v>
      </c>
      <c r="X60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2.42</v>
      </c>
      <c r="Y601" s="974">
        <f>IFERROR(tblConcentrado[[#This Row],[Concentrado (TMS)]]/tblConcentrado[[#This Row],[Mineral (TMS)]],"")</f>
        <v>0.42341619887730553</v>
      </c>
      <c r="Z601" s="973">
        <f>IFERROR(1/tblConcentrado[[#This Row],[% Recup.]],0)</f>
        <v>2.3617424242424243</v>
      </c>
      <c r="AA601" s="1561" t="str">
        <f>IF(COUNTIFS(tblConcentrado[ID],tblConcentrado[[#This Row],[ID]])&gt;1,"Duplicado","")</f>
        <v/>
      </c>
    </row>
    <row r="602" spans="2:27">
      <c r="B602" s="976">
        <f>(YEAR(tblConcentrado[[#This Row],[Fecha]])*10000+MONTH(tblConcentrado[[#This Row],[Fecha]])*100+DAY(tblConcentrado[[#This Row],[Fecha]]))*100+tblConcentrado[[#This Row],[N° hora]]</f>
        <v>2026092608</v>
      </c>
      <c r="C602" s="1560">
        <v>46291</v>
      </c>
      <c r="D602" s="1038">
        <v>8</v>
      </c>
      <c r="E602" s="952">
        <v>0.66666666666666674</v>
      </c>
      <c r="F602" s="256">
        <v>1250</v>
      </c>
      <c r="G602" s="256">
        <v>651</v>
      </c>
      <c r="H602" s="970"/>
      <c r="I602" s="970"/>
      <c r="J602" s="970"/>
      <c r="K602" s="970"/>
      <c r="L602" s="970"/>
      <c r="M602" s="971"/>
      <c r="N602" s="971"/>
      <c r="O602" s="971"/>
      <c r="P602" s="971"/>
      <c r="Q602" s="971"/>
      <c r="R602" s="1038" t="s">
        <v>9258</v>
      </c>
      <c r="S602" s="1038"/>
      <c r="T602" s="1038"/>
      <c r="U602" s="1038" t="s">
        <v>10345</v>
      </c>
      <c r="V602" s="1560">
        <v>46296.134975300927</v>
      </c>
      <c r="W60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0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02" s="974">
        <f>IFERROR(tblConcentrado[[#This Row],[Concentrado (TMS)]]/tblConcentrado[[#This Row],[Mineral (TMS)]],"")</f>
        <v>0.52080000000000004</v>
      </c>
      <c r="Z602" s="973">
        <f>IFERROR(1/tblConcentrado[[#This Row],[% Recup.]],0)</f>
        <v>1.9201228878648231</v>
      </c>
      <c r="AA602" s="1561" t="str">
        <f>IF(COUNTIFS(tblConcentrado[ID],tblConcentrado[[#This Row],[ID]])&gt;1,"Duplicado","")</f>
        <v/>
      </c>
    </row>
    <row r="603" spans="2:27">
      <c r="B603" s="976">
        <f>(YEAR(tblConcentrado[[#This Row],[Fecha]])*10000+MONTH(tblConcentrado[[#This Row],[Fecha]])*100+DAY(tblConcentrado[[#This Row],[Fecha]]))*100+tblConcentrado[[#This Row],[N° hora]]</f>
        <v>2026092609</v>
      </c>
      <c r="C603" s="1560">
        <v>46291</v>
      </c>
      <c r="D603" s="1038">
        <v>9</v>
      </c>
      <c r="E603" s="952">
        <v>0.70833333333333326</v>
      </c>
      <c r="F603" s="256">
        <v>1220</v>
      </c>
      <c r="G603" s="256">
        <v>747</v>
      </c>
      <c r="H603" s="970">
        <v>0.15</v>
      </c>
      <c r="I603" s="970">
        <v>0.65600000000000003</v>
      </c>
      <c r="J603" s="970">
        <v>0.37</v>
      </c>
      <c r="K603" s="970">
        <v>0.55400000000000005</v>
      </c>
      <c r="L603" s="970">
        <v>0.34</v>
      </c>
      <c r="M603" s="971">
        <v>21.1</v>
      </c>
      <c r="N603" s="971">
        <v>19.5</v>
      </c>
      <c r="O603" s="971">
        <v>2.7</v>
      </c>
      <c r="P603" s="971">
        <v>4.2</v>
      </c>
      <c r="Q603" s="971">
        <v>8.8000000000000007</v>
      </c>
      <c r="R603" s="1038" t="s">
        <v>9258</v>
      </c>
      <c r="S603" s="1038"/>
      <c r="T603" s="1038"/>
      <c r="U603" s="1038" t="s">
        <v>10345</v>
      </c>
      <c r="V603" s="1560">
        <v>46296.134975300927</v>
      </c>
      <c r="W60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20.14</v>
      </c>
      <c r="X60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3.6</v>
      </c>
      <c r="Y603" s="974">
        <f>IFERROR(tblConcentrado[[#This Row],[Concentrado (TMS)]]/tblConcentrado[[#This Row],[Mineral (TMS)]],"")</f>
        <v>0.61229508196721316</v>
      </c>
      <c r="Z603" s="973">
        <f>IFERROR(1/tblConcentrado[[#This Row],[% Recup.]],0)</f>
        <v>1.6331994645247656</v>
      </c>
      <c r="AA603" s="1561" t="str">
        <f>IF(COUNTIFS(tblConcentrado[ID],tblConcentrado[[#This Row],[ID]])&gt;1,"Duplicado","")</f>
        <v/>
      </c>
    </row>
    <row r="604" spans="2:27">
      <c r="B604" s="976">
        <f>(YEAR(tblConcentrado[[#This Row],[Fecha]])*10000+MONTH(tblConcentrado[[#This Row],[Fecha]])*100+DAY(tblConcentrado[[#This Row],[Fecha]]))*100+tblConcentrado[[#This Row],[N° hora]]</f>
        <v>2026092610</v>
      </c>
      <c r="C604" s="1560">
        <v>46291</v>
      </c>
      <c r="D604" s="1038">
        <v>10</v>
      </c>
      <c r="E604" s="952">
        <v>0.75</v>
      </c>
      <c r="F604" s="256">
        <v>1320</v>
      </c>
      <c r="G604" s="256">
        <v>870</v>
      </c>
      <c r="H604" s="970"/>
      <c r="I604" s="970"/>
      <c r="J604" s="970"/>
      <c r="K604" s="970"/>
      <c r="L604" s="970"/>
      <c r="M604" s="971"/>
      <c r="N604" s="971"/>
      <c r="O604" s="971"/>
      <c r="P604" s="971"/>
      <c r="Q604" s="971"/>
      <c r="R604" s="1038" t="s">
        <v>9258</v>
      </c>
      <c r="S604" s="1038" t="s">
        <v>10388</v>
      </c>
      <c r="T604" s="1038"/>
      <c r="U604" s="1038" t="s">
        <v>10345</v>
      </c>
      <c r="V604" s="1560">
        <v>46296.134975300927</v>
      </c>
      <c r="W60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0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04" s="974">
        <f>IFERROR(tblConcentrado[[#This Row],[Concentrado (TMS)]]/tblConcentrado[[#This Row],[Mineral (TMS)]],"")</f>
        <v>0.65909090909090906</v>
      </c>
      <c r="Z604" s="973">
        <f>IFERROR(1/tblConcentrado[[#This Row],[% Recup.]],0)</f>
        <v>1.517241379310345</v>
      </c>
      <c r="AA604" s="1561" t="str">
        <f>IF(COUNTIFS(tblConcentrado[ID],tblConcentrado[[#This Row],[ID]])&gt;1,"Duplicado","")</f>
        <v/>
      </c>
    </row>
    <row r="605" spans="2:27">
      <c r="B605" s="976">
        <f>(YEAR(tblConcentrado[[#This Row],[Fecha]])*10000+MONTH(tblConcentrado[[#This Row],[Fecha]])*100+DAY(tblConcentrado[[#This Row],[Fecha]]))*100+tblConcentrado[[#This Row],[N° hora]]</f>
        <v>2026092611</v>
      </c>
      <c r="C605" s="1560">
        <v>46291</v>
      </c>
      <c r="D605" s="1038">
        <v>11</v>
      </c>
      <c r="E605" s="952">
        <v>0.79166666666666674</v>
      </c>
      <c r="F605" s="256">
        <v>1240</v>
      </c>
      <c r="G605" s="256">
        <v>1039</v>
      </c>
      <c r="H605" s="970">
        <v>0.14499999999999999</v>
      </c>
      <c r="I605" s="970">
        <v>0.68500000000000005</v>
      </c>
      <c r="J605" s="970">
        <v>0.4</v>
      </c>
      <c r="K605" s="970">
        <v>0.60499999999999998</v>
      </c>
      <c r="L605" s="970">
        <v>0.37</v>
      </c>
      <c r="M605" s="971">
        <v>23.7</v>
      </c>
      <c r="N605" s="971">
        <v>15.3</v>
      </c>
      <c r="O605" s="971">
        <v>2</v>
      </c>
      <c r="P605" s="971">
        <v>2</v>
      </c>
      <c r="Q605" s="971">
        <v>8.6</v>
      </c>
      <c r="R605" s="1038" t="s">
        <v>9258</v>
      </c>
      <c r="S605" s="1038"/>
      <c r="T605" s="1038"/>
      <c r="U605" s="1038" t="s">
        <v>10345</v>
      </c>
      <c r="V605" s="1560">
        <v>46296.134975300927</v>
      </c>
      <c r="W60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18.66</v>
      </c>
      <c r="X60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v>
      </c>
      <c r="Y605" s="974">
        <f>IFERROR(tblConcentrado[[#This Row],[Concentrado (TMS)]]/tblConcentrado[[#This Row],[Mineral (TMS)]],"")</f>
        <v>0.8379032258064516</v>
      </c>
      <c r="Z605" s="973">
        <f>IFERROR(1/tblConcentrado[[#This Row],[% Recup.]],0)</f>
        <v>1.1934552454282965</v>
      </c>
      <c r="AA605" s="1561" t="str">
        <f>IF(COUNTIFS(tblConcentrado[ID],tblConcentrado[[#This Row],[ID]])&gt;1,"Duplicado","")</f>
        <v/>
      </c>
    </row>
    <row r="606" spans="2:27">
      <c r="B606" s="976">
        <f>(YEAR(tblConcentrado[[#This Row],[Fecha]])*10000+MONTH(tblConcentrado[[#This Row],[Fecha]])*100+DAY(tblConcentrado[[#This Row],[Fecha]]))*100+tblConcentrado[[#This Row],[N° hora]]</f>
        <v>2026092612</v>
      </c>
      <c r="C606" s="1560">
        <v>46291</v>
      </c>
      <c r="D606" s="1038">
        <v>12</v>
      </c>
      <c r="E606" s="952">
        <v>0.83333333333333326</v>
      </c>
      <c r="F606" s="256">
        <v>1218</v>
      </c>
      <c r="G606" s="256">
        <v>786</v>
      </c>
      <c r="H606" s="970"/>
      <c r="I606" s="970"/>
      <c r="J606" s="970"/>
      <c r="K606" s="970"/>
      <c r="L606" s="970"/>
      <c r="M606" s="971"/>
      <c r="N606" s="971"/>
      <c r="O606" s="971"/>
      <c r="P606" s="971"/>
      <c r="Q606" s="971"/>
      <c r="R606" s="1038" t="s">
        <v>9258</v>
      </c>
      <c r="S606" s="1038"/>
      <c r="T606" s="1038"/>
      <c r="U606" s="1038" t="s">
        <v>10345</v>
      </c>
      <c r="V606" s="1560">
        <v>46296.134975300927</v>
      </c>
      <c r="W60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0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06" s="974">
        <f>IFERROR(tblConcentrado[[#This Row],[Concentrado (TMS)]]/tblConcentrado[[#This Row],[Mineral (TMS)]],"")</f>
        <v>0.64532019704433496</v>
      </c>
      <c r="Z606" s="973">
        <f>IFERROR(1/tblConcentrado[[#This Row],[% Recup.]],0)</f>
        <v>1.5496183206106871</v>
      </c>
      <c r="AA606" s="1561" t="str">
        <f>IF(COUNTIFS(tblConcentrado[ID],tblConcentrado[[#This Row],[ID]])&gt;1,"Duplicado","")</f>
        <v/>
      </c>
    </row>
    <row r="607" spans="2:27">
      <c r="B607" s="976">
        <f>(YEAR(tblConcentrado[[#This Row],[Fecha]])*10000+MONTH(tblConcentrado[[#This Row],[Fecha]])*100+DAY(tblConcentrado[[#This Row],[Fecha]]))*100+tblConcentrado[[#This Row],[N° hora]]</f>
        <v>2026092613</v>
      </c>
      <c r="C607" s="1560">
        <v>46291</v>
      </c>
      <c r="D607" s="1038">
        <v>13</v>
      </c>
      <c r="E607" s="952">
        <v>0.875</v>
      </c>
      <c r="F607" s="256">
        <v>1227</v>
      </c>
      <c r="G607" s="256">
        <v>649</v>
      </c>
      <c r="H607" s="970">
        <v>0.16200000000000001</v>
      </c>
      <c r="I607" s="970">
        <v>0.7</v>
      </c>
      <c r="J607" s="970">
        <v>0.43</v>
      </c>
      <c r="K607" s="970">
        <v>0.75800000000000001</v>
      </c>
      <c r="L607" s="970">
        <v>0.46</v>
      </c>
      <c r="M607" s="971">
        <v>18</v>
      </c>
      <c r="N607" s="971">
        <v>14.1</v>
      </c>
      <c r="O607" s="971">
        <v>0.9</v>
      </c>
      <c r="P607" s="971">
        <v>1.9</v>
      </c>
      <c r="Q607" s="971">
        <v>8.1999999999999993</v>
      </c>
      <c r="R607" s="1038" t="s">
        <v>9258</v>
      </c>
      <c r="S607" s="1038"/>
      <c r="T607" s="1038"/>
      <c r="U607" s="1038" t="s">
        <v>10345</v>
      </c>
      <c r="V607" s="1560">
        <v>46296.134975300927</v>
      </c>
      <c r="W60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15.66</v>
      </c>
      <c r="X60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1.5</v>
      </c>
      <c r="Y607" s="974">
        <f>IFERROR(tblConcentrado[[#This Row],[Concentrado (TMS)]]/tblConcentrado[[#This Row],[Mineral (TMS)]],"")</f>
        <v>0.52893235533822336</v>
      </c>
      <c r="Z607" s="973">
        <f>IFERROR(1/tblConcentrado[[#This Row],[% Recup.]],0)</f>
        <v>1.8906009244992295</v>
      </c>
      <c r="AA607" s="1561" t="str">
        <f>IF(COUNTIFS(tblConcentrado[ID],tblConcentrado[[#This Row],[ID]])&gt;1,"Duplicado","")</f>
        <v/>
      </c>
    </row>
    <row r="608" spans="2:27">
      <c r="B608" s="976">
        <f>(YEAR(tblConcentrado[[#This Row],[Fecha]])*10000+MONTH(tblConcentrado[[#This Row],[Fecha]])*100+DAY(tblConcentrado[[#This Row],[Fecha]]))*100+tblConcentrado[[#This Row],[N° hora]]</f>
        <v>2026092614</v>
      </c>
      <c r="C608" s="1560">
        <v>46291</v>
      </c>
      <c r="D608" s="1038">
        <v>14</v>
      </c>
      <c r="E608" s="952">
        <v>0.91666666666666663</v>
      </c>
      <c r="F608" s="256">
        <v>1329</v>
      </c>
      <c r="G608" s="256">
        <v>805</v>
      </c>
      <c r="H608" s="970"/>
      <c r="I608" s="970"/>
      <c r="J608" s="970"/>
      <c r="K608" s="970"/>
      <c r="L608" s="970"/>
      <c r="M608" s="971"/>
      <c r="N608" s="971"/>
      <c r="O608" s="971"/>
      <c r="P608" s="971"/>
      <c r="Q608" s="971"/>
      <c r="R608" s="1038" t="s">
        <v>9258</v>
      </c>
      <c r="S608" s="1038"/>
      <c r="T608" s="1038"/>
      <c r="U608" s="1038" t="s">
        <v>10345</v>
      </c>
      <c r="V608" s="1560">
        <v>46296.134975300927</v>
      </c>
      <c r="W60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0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08" s="974">
        <f>IFERROR(tblConcentrado[[#This Row],[Concentrado (TMS)]]/tblConcentrado[[#This Row],[Mineral (TMS)]],"")</f>
        <v>0.6057185854025583</v>
      </c>
      <c r="Z608" s="973">
        <f>IFERROR(1/tblConcentrado[[#This Row],[% Recup.]],0)</f>
        <v>1.6509316770186335</v>
      </c>
      <c r="AA608" s="1561" t="str">
        <f>IF(COUNTIFS(tblConcentrado[ID],tblConcentrado[[#This Row],[ID]])&gt;1,"Duplicado","")</f>
        <v/>
      </c>
    </row>
    <row r="609" spans="2:27">
      <c r="B609" s="976">
        <f>(YEAR(tblConcentrado[[#This Row],[Fecha]])*10000+MONTH(tblConcentrado[[#This Row],[Fecha]])*100+DAY(tblConcentrado[[#This Row],[Fecha]]))*100+tblConcentrado[[#This Row],[N° hora]]</f>
        <v>2026092615</v>
      </c>
      <c r="C609" s="1560">
        <v>46291</v>
      </c>
      <c r="D609" s="1038">
        <v>15</v>
      </c>
      <c r="E609" s="952">
        <v>0.95833333333333337</v>
      </c>
      <c r="F609" s="256">
        <v>1325</v>
      </c>
      <c r="G609" s="256">
        <v>912</v>
      </c>
      <c r="H609" s="970">
        <v>0.182</v>
      </c>
      <c r="I609" s="970">
        <v>0.55500000000000005</v>
      </c>
      <c r="J609" s="970">
        <v>0.3</v>
      </c>
      <c r="K609" s="970">
        <v>0.69199999999999995</v>
      </c>
      <c r="L609" s="970">
        <v>0.36</v>
      </c>
      <c r="M609" s="971">
        <v>17.5</v>
      </c>
      <c r="N609" s="971">
        <v>15.1</v>
      </c>
      <c r="O609" s="971">
        <v>0.9</v>
      </c>
      <c r="P609" s="971">
        <v>2</v>
      </c>
      <c r="Q609" s="971">
        <v>8.6999999999999993</v>
      </c>
      <c r="R609" s="1038" t="s">
        <v>9258</v>
      </c>
      <c r="S609" s="1038"/>
      <c r="T609" s="1038"/>
      <c r="U609" s="1038" t="s">
        <v>10345</v>
      </c>
      <c r="V609" s="1560">
        <v>46296.134975300927</v>
      </c>
      <c r="W60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16.059999999999999</v>
      </c>
      <c r="X60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1.56</v>
      </c>
      <c r="Y609" s="974">
        <f>IFERROR(tblConcentrado[[#This Row],[Concentrado (TMS)]]/tblConcentrado[[#This Row],[Mineral (TMS)]],"")</f>
        <v>0.68830188679245285</v>
      </c>
      <c r="Z609" s="973">
        <f>IFERROR(1/tblConcentrado[[#This Row],[% Recup.]],0)</f>
        <v>1.4528508771929824</v>
      </c>
      <c r="AA609" s="1561" t="str">
        <f>IF(COUNTIFS(tblConcentrado[ID],tblConcentrado[[#This Row],[ID]])&gt;1,"Duplicado","")</f>
        <v/>
      </c>
    </row>
    <row r="610" spans="2:27">
      <c r="B610" s="976">
        <f>(YEAR(tblConcentrado[[#This Row],[Fecha]])*10000+MONTH(tblConcentrado[[#This Row],[Fecha]])*100+DAY(tblConcentrado[[#This Row],[Fecha]]))*100+tblConcentrado[[#This Row],[N° hora]]</f>
        <v>2026092616</v>
      </c>
      <c r="C610" s="1560">
        <v>46291</v>
      </c>
      <c r="D610" s="1038">
        <v>16</v>
      </c>
      <c r="E610" s="952">
        <v>0</v>
      </c>
      <c r="F610" s="256">
        <v>1247</v>
      </c>
      <c r="G610" s="256">
        <v>652</v>
      </c>
      <c r="H610" s="970"/>
      <c r="I610" s="970"/>
      <c r="J610" s="970"/>
      <c r="K610" s="970"/>
      <c r="L610" s="970"/>
      <c r="M610" s="971"/>
      <c r="N610" s="971"/>
      <c r="O610" s="971"/>
      <c r="P610" s="971"/>
      <c r="Q610" s="971"/>
      <c r="R610" s="1038" t="s">
        <v>9258</v>
      </c>
      <c r="S610" s="1038"/>
      <c r="T610" s="1038"/>
      <c r="U610" s="1038" t="s">
        <v>10345</v>
      </c>
      <c r="V610" s="1560">
        <v>46296.134975300927</v>
      </c>
      <c r="W61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1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10" s="974">
        <f>IFERROR(tblConcentrado[[#This Row],[Concentrado (TMS)]]/tblConcentrado[[#This Row],[Mineral (TMS)]],"")</f>
        <v>0.52285485164394552</v>
      </c>
      <c r="Z610" s="973">
        <f>IFERROR(1/tblConcentrado[[#This Row],[% Recup.]],0)</f>
        <v>1.9125766871165641</v>
      </c>
      <c r="AA610" s="1561" t="str">
        <f>IF(COUNTIFS(tblConcentrado[ID],tblConcentrado[[#This Row],[ID]])&gt;1,"Duplicado","")</f>
        <v/>
      </c>
    </row>
    <row r="611" spans="2:27">
      <c r="B611" s="976">
        <f>(YEAR(tblConcentrado[[#This Row],[Fecha]])*10000+MONTH(tblConcentrado[[#This Row],[Fecha]])*100+DAY(tblConcentrado[[#This Row],[Fecha]]))*100+tblConcentrado[[#This Row],[N° hora]]</f>
        <v>2026092617</v>
      </c>
      <c r="C611" s="1560">
        <v>46291</v>
      </c>
      <c r="D611" s="1038">
        <v>17</v>
      </c>
      <c r="E611" s="952">
        <v>4.1666666666666519E-2</v>
      </c>
      <c r="F611" s="256">
        <v>1275</v>
      </c>
      <c r="G611" s="256">
        <v>860</v>
      </c>
      <c r="H611" s="970">
        <v>0.19</v>
      </c>
      <c r="I611" s="970">
        <v>0.77900000000000003</v>
      </c>
      <c r="J611" s="970">
        <v>0.47</v>
      </c>
      <c r="K611" s="970">
        <v>0.67300000000000004</v>
      </c>
      <c r="L611" s="970">
        <v>0.4</v>
      </c>
      <c r="M611" s="971">
        <v>23.7</v>
      </c>
      <c r="N611" s="971">
        <v>15.3</v>
      </c>
      <c r="O611" s="971">
        <v>1.7</v>
      </c>
      <c r="P611" s="971">
        <v>2.2999999999999998</v>
      </c>
      <c r="Q611" s="971">
        <v>8.5</v>
      </c>
      <c r="R611" s="1038" t="s">
        <v>9258</v>
      </c>
      <c r="S611" s="1038" t="s">
        <v>10389</v>
      </c>
      <c r="T611" s="1038"/>
      <c r="U611" s="1038" t="s">
        <v>10345</v>
      </c>
      <c r="V611" s="1560">
        <v>46296.134975300927</v>
      </c>
      <c r="W61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18.66</v>
      </c>
      <c r="X61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2.06</v>
      </c>
      <c r="Y611" s="974">
        <f>IFERROR(tblConcentrado[[#This Row],[Concentrado (TMS)]]/tblConcentrado[[#This Row],[Mineral (TMS)]],"")</f>
        <v>0.67450980392156867</v>
      </c>
      <c r="Z611" s="973">
        <f>IFERROR(1/tblConcentrado[[#This Row],[% Recup.]],0)</f>
        <v>1.4825581395348837</v>
      </c>
      <c r="AA611" s="1561" t="str">
        <f>IF(COUNTIFS(tblConcentrado[ID],tblConcentrado[[#This Row],[ID]])&gt;1,"Duplicado","")</f>
        <v/>
      </c>
    </row>
    <row r="612" spans="2:27">
      <c r="B612" s="976">
        <f>(YEAR(tblConcentrado[[#This Row],[Fecha]])*10000+MONTH(tblConcentrado[[#This Row],[Fecha]])*100+DAY(tblConcentrado[[#This Row],[Fecha]]))*100+tblConcentrado[[#This Row],[N° hora]]</f>
        <v>2026092618</v>
      </c>
      <c r="C612" s="1560">
        <v>46291</v>
      </c>
      <c r="D612" s="1038">
        <v>18</v>
      </c>
      <c r="E612" s="952">
        <v>8.3333333333333481E-2</v>
      </c>
      <c r="F612" s="256">
        <v>1347</v>
      </c>
      <c r="G612" s="256">
        <v>766</v>
      </c>
      <c r="H612" s="970"/>
      <c r="I612" s="970"/>
      <c r="J612" s="970"/>
      <c r="K612" s="970"/>
      <c r="L612" s="970"/>
      <c r="M612" s="971"/>
      <c r="N612" s="971"/>
      <c r="O612" s="971"/>
      <c r="P612" s="971"/>
      <c r="Q612" s="971"/>
      <c r="R612" s="1038" t="s">
        <v>9258</v>
      </c>
      <c r="S612" s="1038" t="s">
        <v>10390</v>
      </c>
      <c r="T612" s="1038" t="s">
        <v>10391</v>
      </c>
      <c r="U612" s="1038" t="s">
        <v>10345</v>
      </c>
      <c r="V612" s="1560">
        <v>46296.134975300927</v>
      </c>
      <c r="W61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1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12" s="974">
        <f>IFERROR(tblConcentrado[[#This Row],[Concentrado (TMS)]]/tblConcentrado[[#This Row],[Mineral (TMS)]],"")</f>
        <v>0.56867112100965111</v>
      </c>
      <c r="Z612" s="973">
        <f>IFERROR(1/tblConcentrado[[#This Row],[% Recup.]],0)</f>
        <v>1.7584856396866839</v>
      </c>
      <c r="AA612" s="1561" t="str">
        <f>IF(COUNTIFS(tblConcentrado[ID],tblConcentrado[[#This Row],[ID]])&gt;1,"Duplicado","")</f>
        <v/>
      </c>
    </row>
    <row r="613" spans="2:27">
      <c r="B613" s="976">
        <f>(YEAR(tblConcentrado[[#This Row],[Fecha]])*10000+MONTH(tblConcentrado[[#This Row],[Fecha]])*100+DAY(tblConcentrado[[#This Row],[Fecha]]))*100+tblConcentrado[[#This Row],[N° hora]]</f>
        <v>2026092619</v>
      </c>
      <c r="C613" s="1560">
        <v>46291</v>
      </c>
      <c r="D613" s="1038">
        <v>19</v>
      </c>
      <c r="E613" s="952">
        <v>0.125</v>
      </c>
      <c r="F613" s="256">
        <v>1515</v>
      </c>
      <c r="G613" s="256">
        <v>819</v>
      </c>
      <c r="H613" s="970">
        <v>0.18099999999999999</v>
      </c>
      <c r="I613" s="970">
        <v>0.63800000000000001</v>
      </c>
      <c r="J613" s="970">
        <v>0.41</v>
      </c>
      <c r="K613" s="970">
        <v>0.83199999999999996</v>
      </c>
      <c r="L613" s="970">
        <v>0.49</v>
      </c>
      <c r="M613" s="971">
        <v>17.8</v>
      </c>
      <c r="N613" s="971">
        <v>13</v>
      </c>
      <c r="O613" s="971">
        <v>1.7</v>
      </c>
      <c r="P613" s="971">
        <v>2.1</v>
      </c>
      <c r="Q613" s="971">
        <v>8.1999999999999993</v>
      </c>
      <c r="R613" s="1038" t="s">
        <v>9258</v>
      </c>
      <c r="S613" s="1038" t="s">
        <v>10392</v>
      </c>
      <c r="T613" s="1038"/>
      <c r="U613" s="1038" t="s">
        <v>10345</v>
      </c>
      <c r="V613" s="1560">
        <v>46296.134975300927</v>
      </c>
      <c r="W61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14.920000000000002</v>
      </c>
      <c r="X61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1.94</v>
      </c>
      <c r="Y613" s="974">
        <f>IFERROR(tblConcentrado[[#This Row],[Concentrado (TMS)]]/tblConcentrado[[#This Row],[Mineral (TMS)]],"")</f>
        <v>0.54059405940594063</v>
      </c>
      <c r="Z613" s="973">
        <f>IFERROR(1/tblConcentrado[[#This Row],[% Recup.]],0)</f>
        <v>1.8498168498168497</v>
      </c>
      <c r="AA613" s="1561" t="str">
        <f>IF(COUNTIFS(tblConcentrado[ID],tblConcentrado[[#This Row],[ID]])&gt;1,"Duplicado","")</f>
        <v/>
      </c>
    </row>
    <row r="614" spans="2:27">
      <c r="B614" s="976">
        <f>(YEAR(tblConcentrado[[#This Row],[Fecha]])*10000+MONTH(tblConcentrado[[#This Row],[Fecha]])*100+DAY(tblConcentrado[[#This Row],[Fecha]]))*100+tblConcentrado[[#This Row],[N° hora]]</f>
        <v>2026092620</v>
      </c>
      <c r="C614" s="1560">
        <v>46291</v>
      </c>
      <c r="D614" s="1038">
        <v>20</v>
      </c>
      <c r="E614" s="952">
        <v>0.16666666666666652</v>
      </c>
      <c r="F614" s="256">
        <v>1514</v>
      </c>
      <c r="G614" s="256">
        <v>746</v>
      </c>
      <c r="H614" s="970"/>
      <c r="I614" s="970"/>
      <c r="J614" s="970"/>
      <c r="K614" s="970"/>
      <c r="L614" s="970"/>
      <c r="M614" s="971"/>
      <c r="N614" s="971"/>
      <c r="O614" s="971"/>
      <c r="P614" s="971"/>
      <c r="Q614" s="971"/>
      <c r="R614" s="1038" t="s">
        <v>9258</v>
      </c>
      <c r="S614" s="1038" t="s">
        <v>10393</v>
      </c>
      <c r="T614" s="1038"/>
      <c r="U614" s="1038" t="s">
        <v>10345</v>
      </c>
      <c r="V614" s="1560">
        <v>46296.134975300927</v>
      </c>
      <c r="W61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1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14" s="974">
        <f>IFERROR(tblConcentrado[[#This Row],[Concentrado (TMS)]]/tblConcentrado[[#This Row],[Mineral (TMS)]],"")</f>
        <v>0.49273447820343463</v>
      </c>
      <c r="Z614" s="973">
        <f>IFERROR(1/tblConcentrado[[#This Row],[% Recup.]],0)</f>
        <v>2.0294906166219837</v>
      </c>
      <c r="AA614" s="1561" t="str">
        <f>IF(COUNTIFS(tblConcentrado[ID],tblConcentrado[[#This Row],[ID]])&gt;1,"Duplicado","")</f>
        <v/>
      </c>
    </row>
    <row r="615" spans="2:27">
      <c r="B615" s="976">
        <f>(YEAR(tblConcentrado[[#This Row],[Fecha]])*10000+MONTH(tblConcentrado[[#This Row],[Fecha]])*100+DAY(tblConcentrado[[#This Row],[Fecha]]))*100+tblConcentrado[[#This Row],[N° hora]]</f>
        <v>2026092621</v>
      </c>
      <c r="C615" s="1560">
        <v>46291</v>
      </c>
      <c r="D615" s="1038">
        <v>21</v>
      </c>
      <c r="E615" s="952">
        <v>0.20833333333333348</v>
      </c>
      <c r="F615" s="256">
        <v>1509</v>
      </c>
      <c r="G615" s="256">
        <v>928</v>
      </c>
      <c r="H615" s="970">
        <v>0.189</v>
      </c>
      <c r="I615" s="970">
        <v>0.68799999999999994</v>
      </c>
      <c r="J615" s="970">
        <v>0.42</v>
      </c>
      <c r="K615" s="970">
        <v>0.78900000000000003</v>
      </c>
      <c r="L615" s="970">
        <v>0.46</v>
      </c>
      <c r="M615" s="971">
        <v>21.1</v>
      </c>
      <c r="N615" s="971">
        <v>13.7</v>
      </c>
      <c r="O615" s="971">
        <v>2.2999999999999998</v>
      </c>
      <c r="P615" s="971">
        <v>2.6</v>
      </c>
      <c r="Q615" s="971">
        <v>8.1</v>
      </c>
      <c r="R615" s="1038" t="s">
        <v>9258</v>
      </c>
      <c r="S615" s="1038" t="s">
        <v>10394</v>
      </c>
      <c r="T615" s="1038"/>
      <c r="U615" s="1038" t="s">
        <v>10345</v>
      </c>
      <c r="V615" s="1560">
        <v>46296.134975300927</v>
      </c>
      <c r="W61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16.66</v>
      </c>
      <c r="X61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2.48</v>
      </c>
      <c r="Y615" s="974">
        <f>IFERROR(tblConcentrado[[#This Row],[Concentrado (TMS)]]/tblConcentrado[[#This Row],[Mineral (TMS)]],"")</f>
        <v>0.61497680583167658</v>
      </c>
      <c r="Z615" s="973">
        <f>IFERROR(1/tblConcentrado[[#This Row],[% Recup.]],0)</f>
        <v>1.6260775862068966</v>
      </c>
      <c r="AA615" s="1561" t="str">
        <f>IF(COUNTIFS(tblConcentrado[ID],tblConcentrado[[#This Row],[ID]])&gt;1,"Duplicado","")</f>
        <v/>
      </c>
    </row>
    <row r="616" spans="2:27">
      <c r="B616" s="976">
        <f>(YEAR(tblConcentrado[[#This Row],[Fecha]])*10000+MONTH(tblConcentrado[[#This Row],[Fecha]])*100+DAY(tblConcentrado[[#This Row],[Fecha]]))*100+tblConcentrado[[#This Row],[N° hora]]</f>
        <v>2026092622</v>
      </c>
      <c r="C616" s="1560">
        <v>46291</v>
      </c>
      <c r="D616" s="1038">
        <v>22</v>
      </c>
      <c r="E616" s="952">
        <v>0.25</v>
      </c>
      <c r="F616" s="256">
        <v>1512</v>
      </c>
      <c r="G616" s="256">
        <v>1031</v>
      </c>
      <c r="H616" s="970"/>
      <c r="I616" s="970"/>
      <c r="J616" s="970"/>
      <c r="K616" s="970"/>
      <c r="L616" s="970"/>
      <c r="M616" s="971"/>
      <c r="N616" s="971"/>
      <c r="O616" s="971"/>
      <c r="P616" s="971"/>
      <c r="Q616" s="971"/>
      <c r="R616" s="1038" t="s">
        <v>9258</v>
      </c>
      <c r="S616" s="1038"/>
      <c r="T616" s="1038"/>
      <c r="U616" s="1038" t="s">
        <v>10345</v>
      </c>
      <c r="V616" s="1560">
        <v>46296.134975300927</v>
      </c>
      <c r="W61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1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16" s="974">
        <f>IFERROR(tblConcentrado[[#This Row],[Concentrado (TMS)]]/tblConcentrado[[#This Row],[Mineral (TMS)]],"")</f>
        <v>0.68187830687830686</v>
      </c>
      <c r="Z616" s="973">
        <f>IFERROR(1/tblConcentrado[[#This Row],[% Recup.]],0)</f>
        <v>1.4665373423860331</v>
      </c>
      <c r="AA616" s="1561" t="str">
        <f>IF(COUNTIFS(tblConcentrado[ID],tblConcentrado[[#This Row],[ID]])&gt;1,"Duplicado","")</f>
        <v/>
      </c>
    </row>
    <row r="617" spans="2:27">
      <c r="B617" s="976">
        <f>(YEAR(tblConcentrado[[#This Row],[Fecha]])*10000+MONTH(tblConcentrado[[#This Row],[Fecha]])*100+DAY(tblConcentrado[[#This Row],[Fecha]]))*100+tblConcentrado[[#This Row],[N° hora]]</f>
        <v>2026092623</v>
      </c>
      <c r="C617" s="1560">
        <v>46291</v>
      </c>
      <c r="D617" s="1038">
        <v>23</v>
      </c>
      <c r="E617" s="952">
        <v>0.29166666666666652</v>
      </c>
      <c r="F617" s="256">
        <v>1557</v>
      </c>
      <c r="G617" s="256">
        <v>835</v>
      </c>
      <c r="H617" s="970">
        <v>0.192</v>
      </c>
      <c r="I617" s="970">
        <v>0.81799999999999995</v>
      </c>
      <c r="J617" s="970">
        <v>0.51</v>
      </c>
      <c r="K617" s="970">
        <v>0.66600000000000004</v>
      </c>
      <c r="L617" s="970">
        <v>0.41</v>
      </c>
      <c r="M617" s="971">
        <v>22.5</v>
      </c>
      <c r="N617" s="971">
        <v>14.8</v>
      </c>
      <c r="O617" s="971">
        <v>2.7</v>
      </c>
      <c r="P617" s="971">
        <v>2.8</v>
      </c>
      <c r="Q617" s="971">
        <v>8.1</v>
      </c>
      <c r="R617" s="1038" t="s">
        <v>9258</v>
      </c>
      <c r="S617" s="1038"/>
      <c r="T617" s="1038"/>
      <c r="U617" s="1038" t="s">
        <v>10345</v>
      </c>
      <c r="V617" s="1560">
        <v>46296.134975300927</v>
      </c>
      <c r="W61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17.880000000000003</v>
      </c>
      <c r="X61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2.76</v>
      </c>
      <c r="Y617" s="974">
        <f>IFERROR(tblConcentrado[[#This Row],[Concentrado (TMS)]]/tblConcentrado[[#This Row],[Mineral (TMS)]],"")</f>
        <v>0.53628773281952469</v>
      </c>
      <c r="Z617" s="973">
        <f>IFERROR(1/tblConcentrado[[#This Row],[% Recup.]],0)</f>
        <v>1.8646706586826349</v>
      </c>
      <c r="AA617" s="1561" t="str">
        <f>IF(COUNTIFS(tblConcentrado[ID],tblConcentrado[[#This Row],[ID]])&gt;1,"Duplicado","")</f>
        <v/>
      </c>
    </row>
    <row r="618" spans="2:27">
      <c r="B618" s="976">
        <f>(YEAR(tblConcentrado[[#This Row],[Fecha]])*10000+MONTH(tblConcentrado[[#This Row],[Fecha]])*100+DAY(tblConcentrado[[#This Row],[Fecha]]))*100+tblConcentrado[[#This Row],[N° hora]]</f>
        <v>2026092624</v>
      </c>
      <c r="C618" s="1560">
        <v>46291</v>
      </c>
      <c r="D618" s="1038">
        <v>24</v>
      </c>
      <c r="E618" s="952">
        <v>0.33333333333333348</v>
      </c>
      <c r="F618" s="256">
        <v>1543</v>
      </c>
      <c r="G618" s="256">
        <v>1015</v>
      </c>
      <c r="H618" s="970"/>
      <c r="I618" s="970"/>
      <c r="J618" s="970"/>
      <c r="K618" s="970"/>
      <c r="L618" s="970"/>
      <c r="M618" s="971"/>
      <c r="N618" s="971"/>
      <c r="O618" s="971"/>
      <c r="P618" s="971"/>
      <c r="Q618" s="971"/>
      <c r="R618" s="1038" t="s">
        <v>9258</v>
      </c>
      <c r="S618" s="1038"/>
      <c r="T618" s="1038"/>
      <c r="U618" s="1038" t="s">
        <v>10345</v>
      </c>
      <c r="V618" s="1560">
        <v>46296.134975300927</v>
      </c>
      <c r="W61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1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18" s="974">
        <f>IFERROR(tblConcentrado[[#This Row],[Concentrado (TMS)]]/tblConcentrado[[#This Row],[Mineral (TMS)]],"")</f>
        <v>0.65780946208684377</v>
      </c>
      <c r="Z618" s="973">
        <f>IFERROR(1/tblConcentrado[[#This Row],[% Recup.]],0)</f>
        <v>1.5201970443349755</v>
      </c>
      <c r="AA618" s="1561" t="str">
        <f>IF(COUNTIFS(tblConcentrado[ID],tblConcentrado[[#This Row],[ID]])&gt;1,"Duplicado","")</f>
        <v/>
      </c>
    </row>
    <row r="619" spans="2:27">
      <c r="B619" s="976">
        <f>(YEAR(tblConcentrado[[#This Row],[Fecha]])*10000+MONTH(tblConcentrado[[#This Row],[Fecha]])*100+DAY(tblConcentrado[[#This Row],[Fecha]]))*100+tblConcentrado[[#This Row],[N° hora]]</f>
        <v>2026092701</v>
      </c>
      <c r="C619" s="1560">
        <v>46292</v>
      </c>
      <c r="D619" s="1038">
        <v>1</v>
      </c>
      <c r="E619" s="952">
        <v>0.375</v>
      </c>
      <c r="F619" s="256">
        <v>1554</v>
      </c>
      <c r="G619" s="256">
        <v>974</v>
      </c>
      <c r="H619" s="970">
        <v>0.193</v>
      </c>
      <c r="I619" s="970">
        <v>0.64700000000000002</v>
      </c>
      <c r="J619" s="970">
        <v>0.37</v>
      </c>
      <c r="K619" s="970">
        <v>0.8</v>
      </c>
      <c r="L619" s="970">
        <v>0.49</v>
      </c>
      <c r="M619" s="971">
        <v>24.4</v>
      </c>
      <c r="N619" s="971">
        <v>13.4</v>
      </c>
      <c r="O619" s="971">
        <v>3.1</v>
      </c>
      <c r="P619" s="971">
        <v>2.1</v>
      </c>
      <c r="Q619" s="971">
        <v>8.5</v>
      </c>
      <c r="R619" s="1038" t="s">
        <v>9258</v>
      </c>
      <c r="S619" s="1038"/>
      <c r="T619" s="1038"/>
      <c r="U619" s="1038" t="s">
        <v>10345</v>
      </c>
      <c r="V619" s="1560">
        <v>46296.135703460648</v>
      </c>
      <c r="W61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17.799999999999997</v>
      </c>
      <c r="X61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v>
      </c>
      <c r="Y619" s="974">
        <f>IFERROR(tblConcentrado[[#This Row],[Concentrado (TMS)]]/tblConcentrado[[#This Row],[Mineral (TMS)]],"")</f>
        <v>0.62676962676962678</v>
      </c>
      <c r="Z619" s="973">
        <f>IFERROR(1/tblConcentrado[[#This Row],[% Recup.]],0)</f>
        <v>1.5954825462012321</v>
      </c>
      <c r="AA619" s="1561" t="str">
        <f>IF(COUNTIFS(tblConcentrado[ID],tblConcentrado[[#This Row],[ID]])&gt;1,"Duplicado","")</f>
        <v/>
      </c>
    </row>
    <row r="620" spans="2:27">
      <c r="B620" s="976">
        <f>(YEAR(tblConcentrado[[#This Row],[Fecha]])*10000+MONTH(tblConcentrado[[#This Row],[Fecha]])*100+DAY(tblConcentrado[[#This Row],[Fecha]]))*100+tblConcentrado[[#This Row],[N° hora]]</f>
        <v>2026092702</v>
      </c>
      <c r="C620" s="1560">
        <v>46292</v>
      </c>
      <c r="D620" s="1038">
        <v>2</v>
      </c>
      <c r="E620" s="952">
        <v>0.41666666666666669</v>
      </c>
      <c r="F620" s="256">
        <v>1545</v>
      </c>
      <c r="G620" s="256">
        <v>864</v>
      </c>
      <c r="H620" s="970"/>
      <c r="I620" s="970"/>
      <c r="J620" s="970"/>
      <c r="K620" s="970"/>
      <c r="L620" s="970"/>
      <c r="M620" s="971"/>
      <c r="N620" s="971"/>
      <c r="O620" s="971"/>
      <c r="P620" s="971"/>
      <c r="Q620" s="971"/>
      <c r="R620" s="1038" t="s">
        <v>9258</v>
      </c>
      <c r="S620" s="1038" t="s">
        <v>10395</v>
      </c>
      <c r="T620" s="1038"/>
      <c r="U620" s="1038" t="s">
        <v>10345</v>
      </c>
      <c r="V620" s="1560">
        <v>46296.135703460648</v>
      </c>
      <c r="W62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2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20" s="974">
        <f>IFERROR(tblConcentrado[[#This Row],[Concentrado (TMS)]]/tblConcentrado[[#This Row],[Mineral (TMS)]],"")</f>
        <v>0.5592233009708738</v>
      </c>
      <c r="Z620" s="973">
        <f>IFERROR(1/tblConcentrado[[#This Row],[% Recup.]],0)</f>
        <v>1.7881944444444444</v>
      </c>
      <c r="AA620" s="1561" t="str">
        <f>IF(COUNTIFS(tblConcentrado[ID],tblConcentrado[[#This Row],[ID]])&gt;1,"Duplicado","")</f>
        <v/>
      </c>
    </row>
    <row r="621" spans="2:27">
      <c r="B621" s="976">
        <f>(YEAR(tblConcentrado[[#This Row],[Fecha]])*10000+MONTH(tblConcentrado[[#This Row],[Fecha]])*100+DAY(tblConcentrado[[#This Row],[Fecha]]))*100+tblConcentrado[[#This Row],[N° hora]]</f>
        <v>2026092703</v>
      </c>
      <c r="C621" s="1560">
        <v>46292</v>
      </c>
      <c r="D621" s="1038">
        <v>3</v>
      </c>
      <c r="E621" s="952">
        <v>0.45833333333333331</v>
      </c>
      <c r="F621" s="256">
        <v>1242</v>
      </c>
      <c r="G621" s="256">
        <v>922</v>
      </c>
      <c r="H621" s="970">
        <v>0.191</v>
      </c>
      <c r="I621" s="970">
        <v>0.69199999999999995</v>
      </c>
      <c r="J621" s="970">
        <v>0.4</v>
      </c>
      <c r="K621" s="970">
        <v>0.84699999999999998</v>
      </c>
      <c r="L621" s="970">
        <v>0.53</v>
      </c>
      <c r="M621" s="971">
        <v>26.5</v>
      </c>
      <c r="N621" s="971">
        <v>14.5</v>
      </c>
      <c r="O621" s="971">
        <v>3</v>
      </c>
      <c r="P621" s="971">
        <v>2.4</v>
      </c>
      <c r="Q621" s="971">
        <v>8.4</v>
      </c>
      <c r="R621" s="1038" t="s">
        <v>9258</v>
      </c>
      <c r="S621" s="1038"/>
      <c r="T621" s="1038"/>
      <c r="U621" s="1038" t="s">
        <v>10345</v>
      </c>
      <c r="V621" s="1560">
        <v>46296.135703460648</v>
      </c>
      <c r="W62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19.3</v>
      </c>
      <c r="X62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2.64</v>
      </c>
      <c r="Y621" s="974">
        <f>IFERROR(tblConcentrado[[#This Row],[Concentrado (TMS)]]/tblConcentrado[[#This Row],[Mineral (TMS)]],"")</f>
        <v>0.74235104669887275</v>
      </c>
      <c r="Z621" s="973">
        <f>IFERROR(1/tblConcentrado[[#This Row],[% Recup.]],0)</f>
        <v>1.3470715835140998</v>
      </c>
      <c r="AA621" s="1561" t="str">
        <f>IF(COUNTIFS(tblConcentrado[ID],tblConcentrado[[#This Row],[ID]])&gt;1,"Duplicado","")</f>
        <v/>
      </c>
    </row>
    <row r="622" spans="2:27">
      <c r="B622" s="976">
        <f>(YEAR(tblConcentrado[[#This Row],[Fecha]])*10000+MONTH(tblConcentrado[[#This Row],[Fecha]])*100+DAY(tblConcentrado[[#This Row],[Fecha]]))*100+tblConcentrado[[#This Row],[N° hora]]</f>
        <v>2026092704</v>
      </c>
      <c r="C622" s="1560">
        <v>46292</v>
      </c>
      <c r="D622" s="1038">
        <v>4</v>
      </c>
      <c r="E622" s="952">
        <v>0.5</v>
      </c>
      <c r="F622" s="256">
        <v>1499</v>
      </c>
      <c r="G622" s="256">
        <v>900</v>
      </c>
      <c r="H622" s="970"/>
      <c r="I622" s="970"/>
      <c r="J622" s="970"/>
      <c r="K622" s="970"/>
      <c r="L622" s="970"/>
      <c r="M622" s="971"/>
      <c r="N622" s="971"/>
      <c r="O622" s="971"/>
      <c r="P622" s="971"/>
      <c r="Q622" s="971"/>
      <c r="R622" s="1038" t="s">
        <v>9258</v>
      </c>
      <c r="S622" s="1038"/>
      <c r="T622" s="1038"/>
      <c r="U622" s="1038" t="s">
        <v>10345</v>
      </c>
      <c r="V622" s="1560">
        <v>46296.135703460648</v>
      </c>
      <c r="W62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2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22" s="974">
        <f>IFERROR(tblConcentrado[[#This Row],[Concentrado (TMS)]]/tblConcentrado[[#This Row],[Mineral (TMS)]],"")</f>
        <v>0.60040026684456305</v>
      </c>
      <c r="Z622" s="973">
        <f>IFERROR(1/tblConcentrado[[#This Row],[% Recup.]],0)</f>
        <v>1.6655555555555555</v>
      </c>
      <c r="AA622" s="1561" t="str">
        <f>IF(COUNTIFS(tblConcentrado[ID],tblConcentrado[[#This Row],[ID]])&gt;1,"Duplicado","")</f>
        <v/>
      </c>
    </row>
    <row r="623" spans="2:27">
      <c r="B623" s="976">
        <f>(YEAR(tblConcentrado[[#This Row],[Fecha]])*10000+MONTH(tblConcentrado[[#This Row],[Fecha]])*100+DAY(tblConcentrado[[#This Row],[Fecha]]))*100+tblConcentrado[[#This Row],[N° hora]]</f>
        <v>2026092705</v>
      </c>
      <c r="C623" s="1560">
        <v>46292</v>
      </c>
      <c r="D623" s="1038">
        <v>5</v>
      </c>
      <c r="E623" s="952">
        <v>0.54166666666666663</v>
      </c>
      <c r="F623" s="256">
        <v>1501</v>
      </c>
      <c r="G623" s="256">
        <v>837</v>
      </c>
      <c r="H623" s="970">
        <v>0.18099999999999999</v>
      </c>
      <c r="I623" s="970">
        <v>0.68200000000000005</v>
      </c>
      <c r="J623" s="970">
        <v>0.38</v>
      </c>
      <c r="K623" s="970">
        <v>0.83199999999999996</v>
      </c>
      <c r="L623" s="970">
        <v>0.52</v>
      </c>
      <c r="M623" s="971">
        <v>19</v>
      </c>
      <c r="N623" s="971">
        <v>14.5</v>
      </c>
      <c r="O623" s="971">
        <v>2.8</v>
      </c>
      <c r="P623" s="971">
        <v>2.2999999999999998</v>
      </c>
      <c r="Q623" s="971">
        <v>8.4</v>
      </c>
      <c r="R623" s="1038" t="s">
        <v>9258</v>
      </c>
      <c r="S623" s="1038"/>
      <c r="T623" s="1038"/>
      <c r="U623" s="1038" t="s">
        <v>10345</v>
      </c>
      <c r="V623" s="1560">
        <v>46296.135703460648</v>
      </c>
      <c r="W62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16.3</v>
      </c>
      <c r="X62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v>
      </c>
      <c r="Y623" s="974">
        <f>IFERROR(tblConcentrado[[#This Row],[Concentrado (TMS)]]/tblConcentrado[[#This Row],[Mineral (TMS)]],"")</f>
        <v>0.55762824783477682</v>
      </c>
      <c r="Z623" s="973">
        <f>IFERROR(1/tblConcentrado[[#This Row],[% Recup.]],0)</f>
        <v>1.7933094384707287</v>
      </c>
      <c r="AA623" s="1561" t="str">
        <f>IF(COUNTIFS(tblConcentrado[ID],tblConcentrado[[#This Row],[ID]])&gt;1,"Duplicado","")</f>
        <v/>
      </c>
    </row>
    <row r="624" spans="2:27">
      <c r="B624" s="976">
        <f>(YEAR(tblConcentrado[[#This Row],[Fecha]])*10000+MONTH(tblConcentrado[[#This Row],[Fecha]])*100+DAY(tblConcentrado[[#This Row],[Fecha]]))*100+tblConcentrado[[#This Row],[N° hora]]</f>
        <v>2026092706</v>
      </c>
      <c r="C624" s="1560">
        <v>46292</v>
      </c>
      <c r="D624" s="1038">
        <v>6</v>
      </c>
      <c r="E624" s="952">
        <v>0.58333333333333337</v>
      </c>
      <c r="F624" s="256">
        <v>1511</v>
      </c>
      <c r="G624" s="256">
        <v>861</v>
      </c>
      <c r="H624" s="970"/>
      <c r="I624" s="970"/>
      <c r="J624" s="970"/>
      <c r="K624" s="970"/>
      <c r="L624" s="970"/>
      <c r="M624" s="971"/>
      <c r="N624" s="971"/>
      <c r="O624" s="971"/>
      <c r="P624" s="971"/>
      <c r="Q624" s="971"/>
      <c r="R624" s="1038" t="s">
        <v>9258</v>
      </c>
      <c r="S624" s="1038" t="s">
        <v>10396</v>
      </c>
      <c r="T624" s="1038"/>
      <c r="U624" s="1038" t="s">
        <v>10345</v>
      </c>
      <c r="V624" s="1560">
        <v>46296.135703460648</v>
      </c>
      <c r="W62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2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24" s="974">
        <f>IFERROR(tblConcentrado[[#This Row],[Concentrado (TMS)]]/tblConcentrado[[#This Row],[Mineral (TMS)]],"")</f>
        <v>0.5698213103904699</v>
      </c>
      <c r="Z624" s="973">
        <f>IFERROR(1/tblConcentrado[[#This Row],[% Recup.]],0)</f>
        <v>1.7549361207897793</v>
      </c>
      <c r="AA624" s="1561" t="str">
        <f>IF(COUNTIFS(tblConcentrado[ID],tblConcentrado[[#This Row],[ID]])&gt;1,"Duplicado","")</f>
        <v/>
      </c>
    </row>
    <row r="625" spans="2:27">
      <c r="B625" s="976">
        <f>(YEAR(tblConcentrado[[#This Row],[Fecha]])*10000+MONTH(tblConcentrado[[#This Row],[Fecha]])*100+DAY(tblConcentrado[[#This Row],[Fecha]]))*100+tblConcentrado[[#This Row],[N° hora]]</f>
        <v>2026092707</v>
      </c>
      <c r="C625" s="1560">
        <v>46292</v>
      </c>
      <c r="D625" s="1038">
        <v>7</v>
      </c>
      <c r="E625" s="952">
        <v>0.625</v>
      </c>
      <c r="F625" s="256">
        <v>1408</v>
      </c>
      <c r="G625" s="256">
        <v>705</v>
      </c>
      <c r="H625" s="970">
        <v>0.17299999999999999</v>
      </c>
      <c r="I625" s="970">
        <v>0.59499999999999997</v>
      </c>
      <c r="J625" s="970">
        <v>0.33</v>
      </c>
      <c r="K625" s="970">
        <v>0.66100000000000003</v>
      </c>
      <c r="L625" s="970">
        <v>0.36</v>
      </c>
      <c r="M625" s="971">
        <v>24.4</v>
      </c>
      <c r="N625" s="971">
        <v>13.8</v>
      </c>
      <c r="O625" s="971">
        <v>2.6</v>
      </c>
      <c r="P625" s="971">
        <v>2.1</v>
      </c>
      <c r="Q625" s="971">
        <v>8.3000000000000007</v>
      </c>
      <c r="R625" s="1038" t="s">
        <v>9258</v>
      </c>
      <c r="S625" s="1038"/>
      <c r="T625" s="1038"/>
      <c r="U625" s="1038" t="s">
        <v>10345</v>
      </c>
      <c r="V625" s="1560">
        <v>46296.135703460648</v>
      </c>
      <c r="W62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18.04</v>
      </c>
      <c r="X62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2.2999999999999998</v>
      </c>
      <c r="Y625" s="974">
        <f>IFERROR(tblConcentrado[[#This Row],[Concentrado (TMS)]]/tblConcentrado[[#This Row],[Mineral (TMS)]],"")</f>
        <v>0.50071022727272729</v>
      </c>
      <c r="Z625" s="973">
        <f>IFERROR(1/tblConcentrado[[#This Row],[% Recup.]],0)</f>
        <v>1.9971631205673759</v>
      </c>
      <c r="AA625" s="1561" t="str">
        <f>IF(COUNTIFS(tblConcentrado[ID],tblConcentrado[[#This Row],[ID]])&gt;1,"Duplicado","")</f>
        <v/>
      </c>
    </row>
    <row r="626" spans="2:27">
      <c r="B626" s="976">
        <f>(YEAR(tblConcentrado[[#This Row],[Fecha]])*10000+MONTH(tblConcentrado[[#This Row],[Fecha]])*100+DAY(tblConcentrado[[#This Row],[Fecha]]))*100+tblConcentrado[[#This Row],[N° hora]]</f>
        <v>2026092708</v>
      </c>
      <c r="C626" s="1560">
        <v>46292</v>
      </c>
      <c r="D626" s="1038">
        <v>8</v>
      </c>
      <c r="E626" s="952">
        <v>0.66666666666666674</v>
      </c>
      <c r="F626" s="256">
        <v>1533</v>
      </c>
      <c r="G626" s="256">
        <v>986</v>
      </c>
      <c r="H626" s="970"/>
      <c r="I626" s="970"/>
      <c r="J626" s="970"/>
      <c r="K626" s="970"/>
      <c r="L626" s="970"/>
      <c r="M626" s="971"/>
      <c r="N626" s="971"/>
      <c r="O626" s="971"/>
      <c r="P626" s="971"/>
      <c r="Q626" s="971"/>
      <c r="R626" s="1038" t="s">
        <v>9258</v>
      </c>
      <c r="S626" s="1038"/>
      <c r="T626" s="1038"/>
      <c r="U626" s="1038" t="s">
        <v>10345</v>
      </c>
      <c r="V626" s="1560">
        <v>46296.135703460648</v>
      </c>
      <c r="W62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2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26" s="974">
        <f>IFERROR(tblConcentrado[[#This Row],[Concentrado (TMS)]]/tblConcentrado[[#This Row],[Mineral (TMS)]],"")</f>
        <v>0.64318330071754726</v>
      </c>
      <c r="Z626" s="973">
        <f>IFERROR(1/tblConcentrado[[#This Row],[% Recup.]],0)</f>
        <v>1.554766734279919</v>
      </c>
      <c r="AA626" s="1561" t="str">
        <f>IF(COUNTIFS(tblConcentrado[ID],tblConcentrado[[#This Row],[ID]])&gt;1,"Duplicado","")</f>
        <v/>
      </c>
    </row>
    <row r="627" spans="2:27">
      <c r="B627" s="976">
        <f>(YEAR(tblConcentrado[[#This Row],[Fecha]])*10000+MONTH(tblConcentrado[[#This Row],[Fecha]])*100+DAY(tblConcentrado[[#This Row],[Fecha]]))*100+tblConcentrado[[#This Row],[N° hora]]</f>
        <v>2026092709</v>
      </c>
      <c r="C627" s="1560">
        <v>46292</v>
      </c>
      <c r="D627" s="1038">
        <v>9</v>
      </c>
      <c r="E627" s="952">
        <v>0.70833333333333326</v>
      </c>
      <c r="F627" s="256">
        <v>1403</v>
      </c>
      <c r="G627" s="256">
        <v>1033</v>
      </c>
      <c r="H627" s="970">
        <v>0.2</v>
      </c>
      <c r="I627" s="970">
        <v>0.65400000000000003</v>
      </c>
      <c r="J627" s="970">
        <v>0.36</v>
      </c>
      <c r="K627" s="970">
        <v>0.66900000000000004</v>
      </c>
      <c r="L627" s="970">
        <v>0.38</v>
      </c>
      <c r="M627" s="971">
        <v>21.8</v>
      </c>
      <c r="N627" s="971">
        <v>17.8</v>
      </c>
      <c r="O627" s="971">
        <v>2.7</v>
      </c>
      <c r="P627" s="971">
        <v>3.3</v>
      </c>
      <c r="Q627" s="971">
        <v>8.5</v>
      </c>
      <c r="R627" s="1038" t="s">
        <v>9258</v>
      </c>
      <c r="S627" s="1038"/>
      <c r="T627" s="1038"/>
      <c r="U627" s="1038" t="s">
        <v>10345</v>
      </c>
      <c r="V627" s="1560">
        <v>46296.135703460648</v>
      </c>
      <c r="W62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19.399999999999999</v>
      </c>
      <c r="X62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3.0599999999999996</v>
      </c>
      <c r="Y627" s="974">
        <f>IFERROR(tblConcentrado[[#This Row],[Concentrado (TMS)]]/tblConcentrado[[#This Row],[Mineral (TMS)]],"")</f>
        <v>0.7362794012829651</v>
      </c>
      <c r="Z627" s="973">
        <f>IFERROR(1/tblConcentrado[[#This Row],[% Recup.]],0)</f>
        <v>1.3581800580832526</v>
      </c>
      <c r="AA627" s="1561" t="str">
        <f>IF(COUNTIFS(tblConcentrado[ID],tblConcentrado[[#This Row],[ID]])&gt;1,"Duplicado","")</f>
        <v/>
      </c>
    </row>
    <row r="628" spans="2:27">
      <c r="B628" s="976">
        <f>(YEAR(tblConcentrado[[#This Row],[Fecha]])*10000+MONTH(tblConcentrado[[#This Row],[Fecha]])*100+DAY(tblConcentrado[[#This Row],[Fecha]]))*100+tblConcentrado[[#This Row],[N° hora]]</f>
        <v>2026092710</v>
      </c>
      <c r="C628" s="1560">
        <v>46292</v>
      </c>
      <c r="D628" s="1038">
        <v>10</v>
      </c>
      <c r="E628" s="952">
        <v>0.75</v>
      </c>
      <c r="F628" s="256">
        <v>1506</v>
      </c>
      <c r="G628" s="256">
        <v>974</v>
      </c>
      <c r="H628" s="970"/>
      <c r="I628" s="970"/>
      <c r="J628" s="970"/>
      <c r="K628" s="970"/>
      <c r="L628" s="970"/>
      <c r="M628" s="971"/>
      <c r="N628" s="971"/>
      <c r="O628" s="971"/>
      <c r="P628" s="971"/>
      <c r="Q628" s="971"/>
      <c r="R628" s="1038" t="s">
        <v>9258</v>
      </c>
      <c r="S628" s="1038"/>
      <c r="T628" s="1038"/>
      <c r="U628" s="1038" t="s">
        <v>10345</v>
      </c>
      <c r="V628" s="1560">
        <v>46296.135703460648</v>
      </c>
      <c r="W62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2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28" s="974">
        <f>IFERROR(tblConcentrado[[#This Row],[Concentrado (TMS)]]/tblConcentrado[[#This Row],[Mineral (TMS)]],"")</f>
        <v>0.64674634794156705</v>
      </c>
      <c r="Z628" s="973">
        <f>IFERROR(1/tblConcentrado[[#This Row],[% Recup.]],0)</f>
        <v>1.5462012320328542</v>
      </c>
      <c r="AA628" s="1561" t="str">
        <f>IF(COUNTIFS(tblConcentrado[ID],tblConcentrado[[#This Row],[ID]])&gt;1,"Duplicado","")</f>
        <v/>
      </c>
    </row>
    <row r="629" spans="2:27">
      <c r="B629" s="976">
        <f>(YEAR(tblConcentrado[[#This Row],[Fecha]])*10000+MONTH(tblConcentrado[[#This Row],[Fecha]])*100+DAY(tblConcentrado[[#This Row],[Fecha]]))*100+tblConcentrado[[#This Row],[N° hora]]</f>
        <v>2026092711</v>
      </c>
      <c r="C629" s="1560">
        <v>46292</v>
      </c>
      <c r="D629" s="1038">
        <v>11</v>
      </c>
      <c r="E629" s="952">
        <v>0.79166666666666674</v>
      </c>
      <c r="F629" s="256">
        <v>1550</v>
      </c>
      <c r="G629" s="256">
        <v>986</v>
      </c>
      <c r="H629" s="970">
        <v>0.19</v>
      </c>
      <c r="I629" s="970">
        <v>0.65200000000000002</v>
      </c>
      <c r="J629" s="970">
        <v>0.36</v>
      </c>
      <c r="K629" s="970">
        <v>0.64700000000000002</v>
      </c>
      <c r="L629" s="970">
        <v>0.34</v>
      </c>
      <c r="M629" s="971">
        <v>24.3</v>
      </c>
      <c r="N629" s="971">
        <v>13.9</v>
      </c>
      <c r="O629" s="971">
        <v>2.5</v>
      </c>
      <c r="P629" s="971">
        <v>2.1</v>
      </c>
      <c r="Q629" s="971">
        <v>8.5</v>
      </c>
      <c r="R629" s="1038" t="s">
        <v>9258</v>
      </c>
      <c r="S629" s="1038"/>
      <c r="T629" s="1038"/>
      <c r="U629" s="1038" t="s">
        <v>10345</v>
      </c>
      <c r="V629" s="1560">
        <v>46296.135703460648</v>
      </c>
      <c r="W62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18.060000000000002</v>
      </c>
      <c r="X62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2.2599999999999998</v>
      </c>
      <c r="Y629" s="974">
        <f>IFERROR(tblConcentrado[[#This Row],[Concentrado (TMS)]]/tblConcentrado[[#This Row],[Mineral (TMS)]],"")</f>
        <v>0.6361290322580645</v>
      </c>
      <c r="Z629" s="973">
        <f>IFERROR(1/tblConcentrado[[#This Row],[% Recup.]],0)</f>
        <v>1.5720081135902637</v>
      </c>
      <c r="AA629" s="1561" t="str">
        <f>IF(COUNTIFS(tblConcentrado[ID],tblConcentrado[[#This Row],[ID]])&gt;1,"Duplicado","")</f>
        <v/>
      </c>
    </row>
    <row r="630" spans="2:27">
      <c r="B630" s="976">
        <f>(YEAR(tblConcentrado[[#This Row],[Fecha]])*10000+MONTH(tblConcentrado[[#This Row],[Fecha]])*100+DAY(tblConcentrado[[#This Row],[Fecha]]))*100+tblConcentrado[[#This Row],[N° hora]]</f>
        <v>2026092712</v>
      </c>
      <c r="C630" s="1560">
        <v>46292</v>
      </c>
      <c r="D630" s="1038">
        <v>12</v>
      </c>
      <c r="E630" s="952">
        <v>0.83333333333333326</v>
      </c>
      <c r="F630" s="256">
        <v>1548</v>
      </c>
      <c r="G630" s="256">
        <v>992</v>
      </c>
      <c r="H630" s="970"/>
      <c r="I630" s="970"/>
      <c r="J630" s="970"/>
      <c r="K630" s="970"/>
      <c r="L630" s="970"/>
      <c r="M630" s="971"/>
      <c r="N630" s="971"/>
      <c r="O630" s="971"/>
      <c r="P630" s="971"/>
      <c r="Q630" s="971"/>
      <c r="R630" s="1038" t="s">
        <v>9258</v>
      </c>
      <c r="S630" s="1038"/>
      <c r="T630" s="1038"/>
      <c r="U630" s="1038" t="s">
        <v>10345</v>
      </c>
      <c r="V630" s="1560">
        <v>46296.135703460648</v>
      </c>
      <c r="W63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3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30" s="974">
        <f>IFERROR(tblConcentrado[[#This Row],[Concentrado (TMS)]]/tblConcentrado[[#This Row],[Mineral (TMS)]],"")</f>
        <v>0.64082687338501287</v>
      </c>
      <c r="Z630" s="973">
        <f>IFERROR(1/tblConcentrado[[#This Row],[% Recup.]],0)</f>
        <v>1.560483870967742</v>
      </c>
      <c r="AA630" s="1561" t="str">
        <f>IF(COUNTIFS(tblConcentrado[ID],tblConcentrado[[#This Row],[ID]])&gt;1,"Duplicado","")</f>
        <v/>
      </c>
    </row>
    <row r="631" spans="2:27">
      <c r="B631" s="976">
        <f>(YEAR(tblConcentrado[[#This Row],[Fecha]])*10000+MONTH(tblConcentrado[[#This Row],[Fecha]])*100+DAY(tblConcentrado[[#This Row],[Fecha]]))*100+tblConcentrado[[#This Row],[N° hora]]</f>
        <v>2026092713</v>
      </c>
      <c r="C631" s="1560">
        <v>46292</v>
      </c>
      <c r="D631" s="1038">
        <v>13</v>
      </c>
      <c r="E631" s="952">
        <v>0.875</v>
      </c>
      <c r="F631" s="256">
        <v>1551</v>
      </c>
      <c r="G631" s="256">
        <v>944</v>
      </c>
      <c r="H631" s="970">
        <v>0.20599999999999999</v>
      </c>
      <c r="I631" s="970">
        <v>0.47799999999999998</v>
      </c>
      <c r="J631" s="970">
        <v>0.21</v>
      </c>
      <c r="K631" s="970">
        <v>0.627</v>
      </c>
      <c r="L631" s="970">
        <v>0.4</v>
      </c>
      <c r="M631" s="971">
        <v>19</v>
      </c>
      <c r="N631" s="971">
        <v>14.5</v>
      </c>
      <c r="O631" s="971">
        <v>1.5</v>
      </c>
      <c r="P631" s="971">
        <v>1.8</v>
      </c>
      <c r="Q631" s="971">
        <v>8.1</v>
      </c>
      <c r="R631" s="1038" t="s">
        <v>9258</v>
      </c>
      <c r="S631" s="1038" t="s">
        <v>10397</v>
      </c>
      <c r="T631" s="1038"/>
      <c r="U631" s="1038" t="s">
        <v>10345</v>
      </c>
      <c r="V631" s="1560">
        <v>46296.135703460648</v>
      </c>
      <c r="W63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16.3</v>
      </c>
      <c r="X63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1.6800000000000002</v>
      </c>
      <c r="Y631" s="974">
        <f>IFERROR(tblConcentrado[[#This Row],[Concentrado (TMS)]]/tblConcentrado[[#This Row],[Mineral (TMS)]],"")</f>
        <v>0.60863958736299162</v>
      </c>
      <c r="Z631" s="973">
        <f>IFERROR(1/tblConcentrado[[#This Row],[% Recup.]],0)</f>
        <v>1.6430084745762712</v>
      </c>
      <c r="AA631" s="1561" t="str">
        <f>IF(COUNTIFS(tblConcentrado[ID],tblConcentrado[[#This Row],[ID]])&gt;1,"Duplicado","")</f>
        <v/>
      </c>
    </row>
    <row r="632" spans="2:27">
      <c r="B632" s="976">
        <f>(YEAR(tblConcentrado[[#This Row],[Fecha]])*10000+MONTH(tblConcentrado[[#This Row],[Fecha]])*100+DAY(tblConcentrado[[#This Row],[Fecha]]))*100+tblConcentrado[[#This Row],[N° hora]]</f>
        <v>2026092714</v>
      </c>
      <c r="C632" s="1560">
        <v>46292</v>
      </c>
      <c r="D632" s="1038">
        <v>14</v>
      </c>
      <c r="E632" s="952">
        <v>0.91666666666666663</v>
      </c>
      <c r="F632" s="256">
        <v>1559</v>
      </c>
      <c r="G632" s="256">
        <v>988</v>
      </c>
      <c r="H632" s="970"/>
      <c r="I632" s="970"/>
      <c r="J632" s="970"/>
      <c r="K632" s="970"/>
      <c r="L632" s="970"/>
      <c r="M632" s="971"/>
      <c r="N632" s="971"/>
      <c r="O632" s="971"/>
      <c r="P632" s="971"/>
      <c r="Q632" s="971"/>
      <c r="R632" s="1038" t="s">
        <v>9258</v>
      </c>
      <c r="S632" s="1038" t="s">
        <v>10398</v>
      </c>
      <c r="T632" s="1038"/>
      <c r="U632" s="1038" t="s">
        <v>10345</v>
      </c>
      <c r="V632" s="1560">
        <v>46296.135703460648</v>
      </c>
      <c r="W63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3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32" s="974">
        <f>IFERROR(tblConcentrado[[#This Row],[Concentrado (TMS)]]/tblConcentrado[[#This Row],[Mineral (TMS)]],"")</f>
        <v>0.63373957665169978</v>
      </c>
      <c r="Z632" s="973">
        <f>IFERROR(1/tblConcentrado[[#This Row],[% Recup.]],0)</f>
        <v>1.5779352226720649</v>
      </c>
      <c r="AA632" s="1561" t="str">
        <f>IF(COUNTIFS(tblConcentrado[ID],tblConcentrado[[#This Row],[ID]])&gt;1,"Duplicado","")</f>
        <v/>
      </c>
    </row>
    <row r="633" spans="2:27">
      <c r="B633" s="976">
        <f>(YEAR(tblConcentrado[[#This Row],[Fecha]])*10000+MONTH(tblConcentrado[[#This Row],[Fecha]])*100+DAY(tblConcentrado[[#This Row],[Fecha]]))*100+tblConcentrado[[#This Row],[N° hora]]</f>
        <v>2026092715</v>
      </c>
      <c r="C633" s="1560">
        <v>46292</v>
      </c>
      <c r="D633" s="1038">
        <v>15</v>
      </c>
      <c r="E633" s="952">
        <v>0.95833333333333337</v>
      </c>
      <c r="F633" s="256">
        <v>1535</v>
      </c>
      <c r="G633" s="256">
        <v>1108</v>
      </c>
      <c r="H633" s="970">
        <v>0.214</v>
      </c>
      <c r="I633" s="970">
        <v>0.53</v>
      </c>
      <c r="J633" s="970">
        <v>0.26</v>
      </c>
      <c r="K633" s="970">
        <v>0.621</v>
      </c>
      <c r="L633" s="970">
        <v>0.4</v>
      </c>
      <c r="M633" s="971">
        <v>20.8</v>
      </c>
      <c r="N633" s="971">
        <v>13.4</v>
      </c>
      <c r="O633" s="971">
        <v>1.7</v>
      </c>
      <c r="P633" s="971">
        <v>1.7</v>
      </c>
      <c r="Q633" s="971">
        <v>8.3000000000000007</v>
      </c>
      <c r="R633" s="1038" t="s">
        <v>9258</v>
      </c>
      <c r="S633" s="1038" t="s">
        <v>10399</v>
      </c>
      <c r="T633" s="1038"/>
      <c r="U633" s="1038" t="s">
        <v>10345</v>
      </c>
      <c r="V633" s="1560">
        <v>46296.135703460648</v>
      </c>
      <c r="W63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16.36</v>
      </c>
      <c r="X63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1.7000000000000002</v>
      </c>
      <c r="Y633" s="974">
        <f>IFERROR(tblConcentrado[[#This Row],[Concentrado (TMS)]]/tblConcentrado[[#This Row],[Mineral (TMS)]],"")</f>
        <v>0.7218241042345277</v>
      </c>
      <c r="Z633" s="973">
        <f>IFERROR(1/tblConcentrado[[#This Row],[% Recup.]],0)</f>
        <v>1.3853790613718411</v>
      </c>
      <c r="AA633" s="1561" t="str">
        <f>IF(COUNTIFS(tblConcentrado[ID],tblConcentrado[[#This Row],[ID]])&gt;1,"Duplicado","")</f>
        <v/>
      </c>
    </row>
    <row r="634" spans="2:27">
      <c r="B634" s="976">
        <f>(YEAR(tblConcentrado[[#This Row],[Fecha]])*10000+MONTH(tblConcentrado[[#This Row],[Fecha]])*100+DAY(tblConcentrado[[#This Row],[Fecha]]))*100+tblConcentrado[[#This Row],[N° hora]]</f>
        <v>2026092716</v>
      </c>
      <c r="C634" s="1560">
        <v>46292</v>
      </c>
      <c r="D634" s="1038">
        <v>16</v>
      </c>
      <c r="E634" s="952">
        <v>0</v>
      </c>
      <c r="F634" s="256">
        <v>1516</v>
      </c>
      <c r="G634" s="256">
        <v>940</v>
      </c>
      <c r="H634" s="970"/>
      <c r="I634" s="970"/>
      <c r="J634" s="970"/>
      <c r="K634" s="970"/>
      <c r="L634" s="970"/>
      <c r="M634" s="971"/>
      <c r="N634" s="971"/>
      <c r="O634" s="971"/>
      <c r="P634" s="971"/>
      <c r="Q634" s="971"/>
      <c r="R634" s="1038" t="s">
        <v>9258</v>
      </c>
      <c r="S634" s="1038"/>
      <c r="T634" s="1038"/>
      <c r="U634" s="1038" t="s">
        <v>10345</v>
      </c>
      <c r="V634" s="1560">
        <v>46296.135703460648</v>
      </c>
      <c r="W63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3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34" s="974">
        <f>IFERROR(tblConcentrado[[#This Row],[Concentrado (TMS)]]/tblConcentrado[[#This Row],[Mineral (TMS)]],"")</f>
        <v>0.62005277044854878</v>
      </c>
      <c r="Z634" s="973">
        <f>IFERROR(1/tblConcentrado[[#This Row],[% Recup.]],0)</f>
        <v>1.6127659574468085</v>
      </c>
      <c r="AA634" s="1561" t="str">
        <f>IF(COUNTIFS(tblConcentrado[ID],tblConcentrado[[#This Row],[ID]])&gt;1,"Duplicado","")</f>
        <v/>
      </c>
    </row>
    <row r="635" spans="2:27">
      <c r="B635" s="976">
        <f>(YEAR(tblConcentrado[[#This Row],[Fecha]])*10000+MONTH(tblConcentrado[[#This Row],[Fecha]])*100+DAY(tblConcentrado[[#This Row],[Fecha]]))*100+tblConcentrado[[#This Row],[N° hora]]</f>
        <v>2026092717</v>
      </c>
      <c r="C635" s="1560">
        <v>46292</v>
      </c>
      <c r="D635" s="1038">
        <v>17</v>
      </c>
      <c r="E635" s="952">
        <v>4.1666666666666519E-2</v>
      </c>
      <c r="F635" s="256">
        <v>1499</v>
      </c>
      <c r="G635" s="256">
        <v>887</v>
      </c>
      <c r="H635" s="970">
        <v>0.21299999999999999</v>
      </c>
      <c r="I635" s="970">
        <v>0.53</v>
      </c>
      <c r="J635" s="970">
        <v>0.34</v>
      </c>
      <c r="K635" s="970">
        <v>0.71699999999999997</v>
      </c>
      <c r="L635" s="970">
        <v>0.37</v>
      </c>
      <c r="M635" s="971">
        <v>21.4</v>
      </c>
      <c r="N635" s="971">
        <v>14</v>
      </c>
      <c r="O635" s="971">
        <v>2.2999999999999998</v>
      </c>
      <c r="P635" s="971">
        <v>1.9</v>
      </c>
      <c r="Q635" s="971">
        <v>8.1999999999999993</v>
      </c>
      <c r="R635" s="1038" t="s">
        <v>9258</v>
      </c>
      <c r="S635" s="1038" t="s">
        <v>10400</v>
      </c>
      <c r="T635" s="1038"/>
      <c r="U635" s="1038" t="s">
        <v>10345</v>
      </c>
      <c r="V635" s="1560">
        <v>46296.135703460648</v>
      </c>
      <c r="W63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16.96</v>
      </c>
      <c r="X63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2.0599999999999996</v>
      </c>
      <c r="Y635" s="974">
        <f>IFERROR(tblConcentrado[[#This Row],[Concentrado (TMS)]]/tblConcentrado[[#This Row],[Mineral (TMS)]],"")</f>
        <v>0.59172781854569712</v>
      </c>
      <c r="Z635" s="973">
        <f>IFERROR(1/tblConcentrado[[#This Row],[% Recup.]],0)</f>
        <v>1.6899661781285231</v>
      </c>
      <c r="AA635" s="1561" t="str">
        <f>IF(COUNTIFS(tblConcentrado[ID],tblConcentrado[[#This Row],[ID]])&gt;1,"Duplicado","")</f>
        <v/>
      </c>
    </row>
    <row r="636" spans="2:27">
      <c r="B636" s="976">
        <f>(YEAR(tblConcentrado[[#This Row],[Fecha]])*10000+MONTH(tblConcentrado[[#This Row],[Fecha]])*100+DAY(tblConcentrado[[#This Row],[Fecha]]))*100+tblConcentrado[[#This Row],[N° hora]]</f>
        <v>2026092718</v>
      </c>
      <c r="C636" s="1560">
        <v>46292</v>
      </c>
      <c r="D636" s="1038">
        <v>18</v>
      </c>
      <c r="E636" s="952">
        <v>8.3333333333333481E-2</v>
      </c>
      <c r="F636" s="256">
        <v>1495</v>
      </c>
      <c r="G636" s="256">
        <v>918</v>
      </c>
      <c r="H636" s="970"/>
      <c r="I636" s="970"/>
      <c r="J636" s="970"/>
      <c r="K636" s="970"/>
      <c r="L636" s="970"/>
      <c r="M636" s="971"/>
      <c r="N636" s="971"/>
      <c r="O636" s="971"/>
      <c r="P636" s="971"/>
      <c r="Q636" s="971"/>
      <c r="R636" s="1038" t="s">
        <v>9258</v>
      </c>
      <c r="S636" s="1038" t="s">
        <v>10401</v>
      </c>
      <c r="T636" s="1038"/>
      <c r="U636" s="1038" t="s">
        <v>10345</v>
      </c>
      <c r="V636" s="1560">
        <v>46296.135703460648</v>
      </c>
      <c r="W63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3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36" s="974">
        <f>IFERROR(tblConcentrado[[#This Row],[Concentrado (TMS)]]/tblConcentrado[[#This Row],[Mineral (TMS)]],"")</f>
        <v>0.61404682274247491</v>
      </c>
      <c r="Z636" s="973">
        <f>IFERROR(1/tblConcentrado[[#This Row],[% Recup.]],0)</f>
        <v>1.6285403050108933</v>
      </c>
      <c r="AA636" s="1561" t="str">
        <f>IF(COUNTIFS(tblConcentrado[ID],tblConcentrado[[#This Row],[ID]])&gt;1,"Duplicado","")</f>
        <v/>
      </c>
    </row>
    <row r="637" spans="2:27">
      <c r="B637" s="976">
        <f>(YEAR(tblConcentrado[[#This Row],[Fecha]])*10000+MONTH(tblConcentrado[[#This Row],[Fecha]])*100+DAY(tblConcentrado[[#This Row],[Fecha]]))*100+tblConcentrado[[#This Row],[N° hora]]</f>
        <v>2026092719</v>
      </c>
      <c r="C637" s="1560">
        <v>46292</v>
      </c>
      <c r="D637" s="1038">
        <v>19</v>
      </c>
      <c r="E637" s="952">
        <v>0.125</v>
      </c>
      <c r="F637" s="256">
        <v>1500</v>
      </c>
      <c r="G637" s="256">
        <v>972</v>
      </c>
      <c r="H637" s="970">
        <v>0.2</v>
      </c>
      <c r="I637" s="970">
        <v>0.52200000000000002</v>
      </c>
      <c r="J637" s="970">
        <v>0.31</v>
      </c>
      <c r="K637" s="970">
        <v>0.625</v>
      </c>
      <c r="L637" s="970">
        <v>0.36</v>
      </c>
      <c r="M637" s="971">
        <v>19.600000000000001</v>
      </c>
      <c r="N637" s="971">
        <v>14.4</v>
      </c>
      <c r="O637" s="971">
        <v>1.5</v>
      </c>
      <c r="P637" s="971">
        <v>2.1</v>
      </c>
      <c r="Q637" s="971">
        <v>8.1999999999999993</v>
      </c>
      <c r="R637" s="1038" t="s">
        <v>9258</v>
      </c>
      <c r="S637" s="1038" t="s">
        <v>10402</v>
      </c>
      <c r="T637" s="1038"/>
      <c r="U637" s="1038" t="s">
        <v>10345</v>
      </c>
      <c r="V637" s="1560">
        <v>46296.135703460648</v>
      </c>
      <c r="W63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16.48</v>
      </c>
      <c r="X63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1.86</v>
      </c>
      <c r="Y637" s="974">
        <f>IFERROR(tblConcentrado[[#This Row],[Concentrado (TMS)]]/tblConcentrado[[#This Row],[Mineral (TMS)]],"")</f>
        <v>0.64800000000000002</v>
      </c>
      <c r="Z637" s="973">
        <f>IFERROR(1/tblConcentrado[[#This Row],[% Recup.]],0)</f>
        <v>1.5432098765432098</v>
      </c>
      <c r="AA637" s="1561" t="str">
        <f>IF(COUNTIFS(tblConcentrado[ID],tblConcentrado[[#This Row],[ID]])&gt;1,"Duplicado","")</f>
        <v/>
      </c>
    </row>
    <row r="638" spans="2:27">
      <c r="B638" s="976">
        <f>(YEAR(tblConcentrado[[#This Row],[Fecha]])*10000+MONTH(tblConcentrado[[#This Row],[Fecha]])*100+DAY(tblConcentrado[[#This Row],[Fecha]]))*100+tblConcentrado[[#This Row],[N° hora]]</f>
        <v>2026092720</v>
      </c>
      <c r="C638" s="1560">
        <v>46292</v>
      </c>
      <c r="D638" s="1038">
        <v>20</v>
      </c>
      <c r="E638" s="952">
        <v>0.16666666666666652</v>
      </c>
      <c r="F638" s="256">
        <v>1487</v>
      </c>
      <c r="G638" s="256">
        <v>922</v>
      </c>
      <c r="H638" s="970"/>
      <c r="I638" s="970"/>
      <c r="J638" s="970"/>
      <c r="K638" s="970"/>
      <c r="L638" s="970"/>
      <c r="M638" s="971"/>
      <c r="N638" s="971"/>
      <c r="O638" s="971"/>
      <c r="P638" s="971"/>
      <c r="Q638" s="971"/>
      <c r="R638" s="1038" t="s">
        <v>9258</v>
      </c>
      <c r="S638" s="1038" t="s">
        <v>10403</v>
      </c>
      <c r="T638" s="1038"/>
      <c r="U638" s="1038" t="s">
        <v>10345</v>
      </c>
      <c r="V638" s="1560">
        <v>46296.135703460648</v>
      </c>
      <c r="W63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3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38" s="974">
        <f>IFERROR(tblConcentrado[[#This Row],[Concentrado (TMS)]]/tblConcentrado[[#This Row],[Mineral (TMS)]],"")</f>
        <v>0.62004034969737731</v>
      </c>
      <c r="Z638" s="973">
        <f>IFERROR(1/tblConcentrado[[#This Row],[% Recup.]],0)</f>
        <v>1.6127982646420824</v>
      </c>
      <c r="AA638" s="1561" t="str">
        <f>IF(COUNTIFS(tblConcentrado[ID],tblConcentrado[[#This Row],[ID]])&gt;1,"Duplicado","")</f>
        <v/>
      </c>
    </row>
    <row r="639" spans="2:27">
      <c r="B639" s="976">
        <f>(YEAR(tblConcentrado[[#This Row],[Fecha]])*10000+MONTH(tblConcentrado[[#This Row],[Fecha]])*100+DAY(tblConcentrado[[#This Row],[Fecha]]))*100+tblConcentrado[[#This Row],[N° hora]]</f>
        <v>2026092721</v>
      </c>
      <c r="C639" s="1560">
        <v>46292</v>
      </c>
      <c r="D639" s="1038">
        <v>21</v>
      </c>
      <c r="E639" s="952">
        <v>0.20833333333333348</v>
      </c>
      <c r="F639" s="256">
        <v>1491</v>
      </c>
      <c r="G639" s="256">
        <v>942</v>
      </c>
      <c r="H639" s="970">
        <v>0.24299999999999999</v>
      </c>
      <c r="I639" s="970">
        <v>0.67500000000000004</v>
      </c>
      <c r="J639" s="970">
        <v>0.36</v>
      </c>
      <c r="K639" s="970">
        <v>0.746</v>
      </c>
      <c r="L639" s="970">
        <v>0.41</v>
      </c>
      <c r="M639" s="971">
        <v>19.8</v>
      </c>
      <c r="N639" s="971">
        <v>14.5</v>
      </c>
      <c r="O639" s="971">
        <v>1.9</v>
      </c>
      <c r="P639" s="971">
        <v>2.4</v>
      </c>
      <c r="Q639" s="971">
        <v>8.1</v>
      </c>
      <c r="R639" s="1038" t="s">
        <v>9258</v>
      </c>
      <c r="S639" s="1038" t="s">
        <v>10404</v>
      </c>
      <c r="T639" s="1038"/>
      <c r="U639" s="1038" t="s">
        <v>10345</v>
      </c>
      <c r="V639" s="1560">
        <v>46296.135703460648</v>
      </c>
      <c r="W63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16.62</v>
      </c>
      <c r="X63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2.2000000000000002</v>
      </c>
      <c r="Y639" s="974">
        <f>IFERROR(tblConcentrado[[#This Row],[Concentrado (TMS)]]/tblConcentrado[[#This Row],[Mineral (TMS)]],"")</f>
        <v>0.63179074446680084</v>
      </c>
      <c r="Z639" s="973">
        <f>IFERROR(1/tblConcentrado[[#This Row],[% Recup.]],0)</f>
        <v>1.5828025477707006</v>
      </c>
      <c r="AA639" s="1561" t="str">
        <f>IF(COUNTIFS(tblConcentrado[ID],tblConcentrado[[#This Row],[ID]])&gt;1,"Duplicado","")</f>
        <v/>
      </c>
    </row>
    <row r="640" spans="2:27">
      <c r="B640" s="976">
        <f>(YEAR(tblConcentrado[[#This Row],[Fecha]])*10000+MONTH(tblConcentrado[[#This Row],[Fecha]])*100+DAY(tblConcentrado[[#This Row],[Fecha]]))*100+tblConcentrado[[#This Row],[N° hora]]</f>
        <v>2026092722</v>
      </c>
      <c r="C640" s="1560">
        <v>46292</v>
      </c>
      <c r="D640" s="1038">
        <v>22</v>
      </c>
      <c r="E640" s="952">
        <v>0.25</v>
      </c>
      <c r="F640" s="256">
        <v>1511</v>
      </c>
      <c r="G640" s="256">
        <v>891</v>
      </c>
      <c r="H640" s="970"/>
      <c r="I640" s="970"/>
      <c r="J640" s="970"/>
      <c r="K640" s="970"/>
      <c r="L640" s="970"/>
      <c r="M640" s="971"/>
      <c r="N640" s="971"/>
      <c r="O640" s="971"/>
      <c r="P640" s="971"/>
      <c r="Q640" s="971"/>
      <c r="R640" s="1038" t="s">
        <v>9258</v>
      </c>
      <c r="S640" s="1038" t="s">
        <v>10405</v>
      </c>
      <c r="T640" s="1038"/>
      <c r="U640" s="1038" t="s">
        <v>10345</v>
      </c>
      <c r="V640" s="1560">
        <v>46296.135703460648</v>
      </c>
      <c r="W64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4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40" s="974">
        <f>IFERROR(tblConcentrado[[#This Row],[Concentrado (TMS)]]/tblConcentrado[[#This Row],[Mineral (TMS)]],"")</f>
        <v>0.58967571144937125</v>
      </c>
      <c r="Z640" s="973">
        <f>IFERROR(1/tblConcentrado[[#This Row],[% Recup.]],0)</f>
        <v>1.6958473625140293</v>
      </c>
      <c r="AA640" s="1561" t="str">
        <f>IF(COUNTIFS(tblConcentrado[ID],tblConcentrado[[#This Row],[ID]])&gt;1,"Duplicado","")</f>
        <v/>
      </c>
    </row>
    <row r="641" spans="2:27">
      <c r="B641" s="976">
        <f>(YEAR(tblConcentrado[[#This Row],[Fecha]])*10000+MONTH(tblConcentrado[[#This Row],[Fecha]])*100+DAY(tblConcentrado[[#This Row],[Fecha]]))*100+tblConcentrado[[#This Row],[N° hora]]</f>
        <v>2026092723</v>
      </c>
      <c r="C641" s="1560">
        <v>46292</v>
      </c>
      <c r="D641" s="1038">
        <v>23</v>
      </c>
      <c r="E641" s="952">
        <v>0.29166666666666652</v>
      </c>
      <c r="F641" s="256">
        <v>1496</v>
      </c>
      <c r="G641" s="256">
        <v>1045</v>
      </c>
      <c r="H641" s="970">
        <v>0.19700000000000001</v>
      </c>
      <c r="I641" s="970">
        <v>0.50800000000000001</v>
      </c>
      <c r="J641" s="970">
        <v>0.33</v>
      </c>
      <c r="K641" s="970">
        <v>0.77200000000000002</v>
      </c>
      <c r="L641" s="970">
        <v>0.36</v>
      </c>
      <c r="M641" s="971">
        <v>21.9</v>
      </c>
      <c r="N641" s="971">
        <v>13.1</v>
      </c>
      <c r="O641" s="971">
        <v>2.2999999999999998</v>
      </c>
      <c r="P641" s="971">
        <v>1.9</v>
      </c>
      <c r="Q641" s="971">
        <v>8</v>
      </c>
      <c r="R641" s="1038" t="s">
        <v>9258</v>
      </c>
      <c r="S641" s="1038"/>
      <c r="T641" s="1038"/>
      <c r="U641" s="1038" t="s">
        <v>10345</v>
      </c>
      <c r="V641" s="1560">
        <v>46296.135703460648</v>
      </c>
      <c r="W64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16.619999999999997</v>
      </c>
      <c r="X64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2.0599999999999996</v>
      </c>
      <c r="Y641" s="974">
        <f>IFERROR(tblConcentrado[[#This Row],[Concentrado (TMS)]]/tblConcentrado[[#This Row],[Mineral (TMS)]],"")</f>
        <v>0.69852941176470584</v>
      </c>
      <c r="Z641" s="973">
        <f>IFERROR(1/tblConcentrado[[#This Row],[% Recup.]],0)</f>
        <v>1.4315789473684211</v>
      </c>
      <c r="AA641" s="1561" t="str">
        <f>IF(COUNTIFS(tblConcentrado[ID],tblConcentrado[[#This Row],[ID]])&gt;1,"Duplicado","")</f>
        <v/>
      </c>
    </row>
    <row r="642" spans="2:27">
      <c r="B642" s="976">
        <f>(YEAR(tblConcentrado[[#This Row],[Fecha]])*10000+MONTH(tblConcentrado[[#This Row],[Fecha]])*100+DAY(tblConcentrado[[#This Row],[Fecha]]))*100+tblConcentrado[[#This Row],[N° hora]]</f>
        <v>2026092724</v>
      </c>
      <c r="C642" s="1560">
        <v>46292</v>
      </c>
      <c r="D642" s="1038">
        <v>24</v>
      </c>
      <c r="E642" s="952">
        <v>0.33333333333333348</v>
      </c>
      <c r="F642" s="256">
        <v>1500</v>
      </c>
      <c r="G642" s="256">
        <v>964</v>
      </c>
      <c r="H642" s="970"/>
      <c r="I642" s="970"/>
      <c r="J642" s="970"/>
      <c r="K642" s="970"/>
      <c r="L642" s="970"/>
      <c r="M642" s="971"/>
      <c r="N642" s="971"/>
      <c r="O642" s="971"/>
      <c r="P642" s="971"/>
      <c r="Q642" s="971"/>
      <c r="R642" s="1038" t="s">
        <v>9258</v>
      </c>
      <c r="S642" s="1038"/>
      <c r="T642" s="1038"/>
      <c r="U642" s="1038" t="s">
        <v>10345</v>
      </c>
      <c r="V642" s="1560">
        <v>46296.135703460648</v>
      </c>
      <c r="W64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4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42" s="974">
        <f>IFERROR(tblConcentrado[[#This Row],[Concentrado (TMS)]]/tblConcentrado[[#This Row],[Mineral (TMS)]],"")</f>
        <v>0.64266666666666672</v>
      </c>
      <c r="Z642" s="973">
        <f>IFERROR(1/tblConcentrado[[#This Row],[% Recup.]],0)</f>
        <v>1.5560165975103732</v>
      </c>
      <c r="AA642" s="1561" t="str">
        <f>IF(COUNTIFS(tblConcentrado[ID],tblConcentrado[[#This Row],[ID]])&gt;1,"Duplicado","")</f>
        <v/>
      </c>
    </row>
    <row r="643" spans="2:27">
      <c r="B643" s="976">
        <f>(YEAR(tblConcentrado[[#This Row],[Fecha]])*10000+MONTH(tblConcentrado[[#This Row],[Fecha]])*100+DAY(tblConcentrado[[#This Row],[Fecha]]))*100+tblConcentrado[[#This Row],[N° hora]]</f>
        <v>2026092801</v>
      </c>
      <c r="C643" s="1560">
        <v>46293</v>
      </c>
      <c r="D643" s="1038">
        <v>1</v>
      </c>
      <c r="E643" s="952">
        <v>0.375</v>
      </c>
      <c r="F643" s="256">
        <v>1541</v>
      </c>
      <c r="G643" s="256">
        <v>911</v>
      </c>
      <c r="H643" s="970">
        <v>0.19400000000000001</v>
      </c>
      <c r="I643" s="970">
        <v>0.56799999999999995</v>
      </c>
      <c r="J643" s="970">
        <v>0.33</v>
      </c>
      <c r="K643" s="970">
        <v>0.60899999999999999</v>
      </c>
      <c r="L643" s="970">
        <v>0.38</v>
      </c>
      <c r="M643" s="971">
        <v>23.5</v>
      </c>
      <c r="N643" s="971">
        <v>11.1</v>
      </c>
      <c r="O643" s="971">
        <v>1.5</v>
      </c>
      <c r="P643" s="971">
        <v>1.5</v>
      </c>
      <c r="Q643" s="971">
        <v>8.3000000000000007</v>
      </c>
      <c r="R643" s="1038" t="s">
        <v>9258</v>
      </c>
      <c r="S643" s="1038"/>
      <c r="T643" s="1038"/>
      <c r="U643" s="1038" t="s">
        <v>10345</v>
      </c>
      <c r="V643" s="1560">
        <v>46296.135703460648</v>
      </c>
      <c r="W64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16.059999999999999</v>
      </c>
      <c r="X64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1.5</v>
      </c>
      <c r="Y643" s="974">
        <f>IFERROR(tblConcentrado[[#This Row],[Concentrado (TMS)]]/tblConcentrado[[#This Row],[Mineral (TMS)]],"")</f>
        <v>0.59117456197274498</v>
      </c>
      <c r="Z643" s="973">
        <f>IFERROR(1/tblConcentrado[[#This Row],[% Recup.]],0)</f>
        <v>1.6915477497255762</v>
      </c>
      <c r="AA643" s="1561" t="str">
        <f>IF(COUNTIFS(tblConcentrado[ID],tblConcentrado[[#This Row],[ID]])&gt;1,"Duplicado","")</f>
        <v/>
      </c>
    </row>
    <row r="644" spans="2:27">
      <c r="B644" s="976">
        <f>(YEAR(tblConcentrado[[#This Row],[Fecha]])*10000+MONTH(tblConcentrado[[#This Row],[Fecha]])*100+DAY(tblConcentrado[[#This Row],[Fecha]]))*100+tblConcentrado[[#This Row],[N° hora]]</f>
        <v>2026092802</v>
      </c>
      <c r="C644" s="1560">
        <v>46293</v>
      </c>
      <c r="D644" s="1038">
        <v>2</v>
      </c>
      <c r="E644" s="952">
        <v>0.41666666666666669</v>
      </c>
      <c r="F644" s="256">
        <v>1516</v>
      </c>
      <c r="G644" s="256">
        <v>563</v>
      </c>
      <c r="H644" s="970"/>
      <c r="I644" s="970"/>
      <c r="J644" s="970"/>
      <c r="K644" s="970"/>
      <c r="L644" s="970"/>
      <c r="M644" s="971"/>
      <c r="N644" s="971"/>
      <c r="O644" s="971"/>
      <c r="P644" s="971"/>
      <c r="Q644" s="971"/>
      <c r="R644" s="1038" t="s">
        <v>9258</v>
      </c>
      <c r="S644" s="1038"/>
      <c r="T644" s="1038" t="s">
        <v>10406</v>
      </c>
      <c r="U644" s="1038" t="s">
        <v>10345</v>
      </c>
      <c r="V644" s="1560">
        <v>46296.135703460648</v>
      </c>
      <c r="W64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4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44" s="974">
        <f>IFERROR(tblConcentrado[[#This Row],[Concentrado (TMS)]]/tblConcentrado[[#This Row],[Mineral (TMS)]],"")</f>
        <v>0.37137203166226912</v>
      </c>
      <c r="Z644" s="973">
        <f>IFERROR(1/tblConcentrado[[#This Row],[% Recup.]],0)</f>
        <v>2.6927175843694493</v>
      </c>
      <c r="AA644" s="1561" t="str">
        <f>IF(COUNTIFS(tblConcentrado[ID],tblConcentrado[[#This Row],[ID]])&gt;1,"Duplicado","")</f>
        <v/>
      </c>
    </row>
    <row r="645" spans="2:27">
      <c r="B645" s="976">
        <f>(YEAR(tblConcentrado[[#This Row],[Fecha]])*10000+MONTH(tblConcentrado[[#This Row],[Fecha]])*100+DAY(tblConcentrado[[#This Row],[Fecha]]))*100+tblConcentrado[[#This Row],[N° hora]]</f>
        <v>2026092803</v>
      </c>
      <c r="C645" s="1560">
        <v>46293</v>
      </c>
      <c r="D645" s="1038">
        <v>3</v>
      </c>
      <c r="E645" s="952">
        <v>0.45833333333333331</v>
      </c>
      <c r="F645" s="256">
        <v>1593</v>
      </c>
      <c r="G645" s="256">
        <v>930</v>
      </c>
      <c r="H645" s="970">
        <v>0.20599999999999999</v>
      </c>
      <c r="I645" s="970">
        <v>0.54700000000000004</v>
      </c>
      <c r="J645" s="970">
        <v>0.31</v>
      </c>
      <c r="K645" s="970">
        <v>0.57399999999999995</v>
      </c>
      <c r="L645" s="970">
        <v>0.36</v>
      </c>
      <c r="M645" s="971">
        <v>20.100000000000001</v>
      </c>
      <c r="N645" s="971">
        <v>12.4</v>
      </c>
      <c r="O645" s="971">
        <v>1.5</v>
      </c>
      <c r="P645" s="971">
        <v>2</v>
      </c>
      <c r="Q645" s="971">
        <v>8.1999999999999993</v>
      </c>
      <c r="R645" s="1038" t="s">
        <v>9258</v>
      </c>
      <c r="S645" s="1038"/>
      <c r="T645" s="1038"/>
      <c r="U645" s="1038" t="s">
        <v>10345</v>
      </c>
      <c r="V645" s="1560">
        <v>46296.135703460648</v>
      </c>
      <c r="W64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15.48</v>
      </c>
      <c r="X64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1.8</v>
      </c>
      <c r="Y645" s="974">
        <f>IFERROR(tblConcentrado[[#This Row],[Concentrado (TMS)]]/tblConcentrado[[#This Row],[Mineral (TMS)]],"")</f>
        <v>0.58380414312617701</v>
      </c>
      <c r="Z645" s="973">
        <f>IFERROR(1/tblConcentrado[[#This Row],[% Recup.]],0)</f>
        <v>1.7129032258064516</v>
      </c>
      <c r="AA645" s="1561" t="str">
        <f>IF(COUNTIFS(tblConcentrado[ID],tblConcentrado[[#This Row],[ID]])&gt;1,"Duplicado","")</f>
        <v/>
      </c>
    </row>
    <row r="646" spans="2:27">
      <c r="B646" s="976">
        <f>(YEAR(tblConcentrado[[#This Row],[Fecha]])*10000+MONTH(tblConcentrado[[#This Row],[Fecha]])*100+DAY(tblConcentrado[[#This Row],[Fecha]]))*100+tblConcentrado[[#This Row],[N° hora]]</f>
        <v>2026092804</v>
      </c>
      <c r="C646" s="1560">
        <v>46293</v>
      </c>
      <c r="D646" s="1038">
        <v>4</v>
      </c>
      <c r="E646" s="952">
        <v>0.5</v>
      </c>
      <c r="F646" s="256">
        <v>1547</v>
      </c>
      <c r="G646" s="256">
        <v>998</v>
      </c>
      <c r="H646" s="970"/>
      <c r="I646" s="970"/>
      <c r="J646" s="970"/>
      <c r="K646" s="970"/>
      <c r="L646" s="970"/>
      <c r="M646" s="971"/>
      <c r="N646" s="971"/>
      <c r="O646" s="971"/>
      <c r="P646" s="971"/>
      <c r="Q646" s="971"/>
      <c r="R646" s="1038" t="s">
        <v>9258</v>
      </c>
      <c r="S646" s="1038"/>
      <c r="T646" s="1038"/>
      <c r="U646" s="1038" t="s">
        <v>10345</v>
      </c>
      <c r="V646" s="1560">
        <v>46296.135703460648</v>
      </c>
      <c r="W64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4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46" s="974">
        <f>IFERROR(tblConcentrado[[#This Row],[Concentrado (TMS)]]/tblConcentrado[[#This Row],[Mineral (TMS)]],"")</f>
        <v>0.64511958629605692</v>
      </c>
      <c r="Z646" s="973">
        <f>IFERROR(1/tblConcentrado[[#This Row],[% Recup.]],0)</f>
        <v>1.5501002004008015</v>
      </c>
      <c r="AA646" s="1561" t="str">
        <f>IF(COUNTIFS(tblConcentrado[ID],tblConcentrado[[#This Row],[ID]])&gt;1,"Duplicado","")</f>
        <v/>
      </c>
    </row>
    <row r="647" spans="2:27">
      <c r="B647" s="976">
        <f>(YEAR(tblConcentrado[[#This Row],[Fecha]])*10000+MONTH(tblConcentrado[[#This Row],[Fecha]])*100+DAY(tblConcentrado[[#This Row],[Fecha]]))*100+tblConcentrado[[#This Row],[N° hora]]</f>
        <v>2026092805</v>
      </c>
      <c r="C647" s="1560">
        <v>46293</v>
      </c>
      <c r="D647" s="1038">
        <v>5</v>
      </c>
      <c r="E647" s="952">
        <v>0.54166666666666663</v>
      </c>
      <c r="F647" s="256">
        <v>1518</v>
      </c>
      <c r="G647" s="256">
        <v>1035</v>
      </c>
      <c r="H647" s="970">
        <v>0.19900000000000001</v>
      </c>
      <c r="I647" s="970">
        <v>0.627</v>
      </c>
      <c r="J647" s="970">
        <v>0.34</v>
      </c>
      <c r="K647" s="970">
        <v>0.66500000000000004</v>
      </c>
      <c r="L647" s="970">
        <v>0.4</v>
      </c>
      <c r="M647" s="971">
        <v>21.5</v>
      </c>
      <c r="N647" s="971">
        <v>11.4</v>
      </c>
      <c r="O647" s="971">
        <v>1.5</v>
      </c>
      <c r="P647" s="971">
        <v>1.4</v>
      </c>
      <c r="Q647" s="971">
        <v>8.4</v>
      </c>
      <c r="R647" s="1038" t="s">
        <v>9258</v>
      </c>
      <c r="S647" s="1038"/>
      <c r="T647" s="1038"/>
      <c r="U647" s="1038" t="s">
        <v>10345</v>
      </c>
      <c r="V647" s="1560">
        <v>46296.135703460648</v>
      </c>
      <c r="W64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15.44</v>
      </c>
      <c r="X64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1.44</v>
      </c>
      <c r="Y647" s="974">
        <f>IFERROR(tblConcentrado[[#This Row],[Concentrado (TMS)]]/tblConcentrado[[#This Row],[Mineral (TMS)]],"")</f>
        <v>0.68181818181818177</v>
      </c>
      <c r="Z647" s="973">
        <f>IFERROR(1/tblConcentrado[[#This Row],[% Recup.]],0)</f>
        <v>1.4666666666666668</v>
      </c>
      <c r="AA647" s="1561" t="str">
        <f>IF(COUNTIFS(tblConcentrado[ID],tblConcentrado[[#This Row],[ID]])&gt;1,"Duplicado","")</f>
        <v/>
      </c>
    </row>
    <row r="648" spans="2:27">
      <c r="B648" s="976">
        <f>(YEAR(tblConcentrado[[#This Row],[Fecha]])*10000+MONTH(tblConcentrado[[#This Row],[Fecha]])*100+DAY(tblConcentrado[[#This Row],[Fecha]]))*100+tblConcentrado[[#This Row],[N° hora]]</f>
        <v>2026092806</v>
      </c>
      <c r="C648" s="1560">
        <v>46293</v>
      </c>
      <c r="D648" s="1038">
        <v>6</v>
      </c>
      <c r="E648" s="952">
        <v>0.58333333333333337</v>
      </c>
      <c r="F648" s="256">
        <v>1526</v>
      </c>
      <c r="G648" s="256">
        <v>1099</v>
      </c>
      <c r="H648" s="970"/>
      <c r="I648" s="970"/>
      <c r="J648" s="970"/>
      <c r="K648" s="970"/>
      <c r="L648" s="970"/>
      <c r="M648" s="971"/>
      <c r="N648" s="971"/>
      <c r="O648" s="971"/>
      <c r="P648" s="971"/>
      <c r="Q648" s="971"/>
      <c r="R648" s="1038" t="s">
        <v>9258</v>
      </c>
      <c r="S648" s="1038"/>
      <c r="T648" s="1038"/>
      <c r="U648" s="1038" t="s">
        <v>10345</v>
      </c>
      <c r="V648" s="1560">
        <v>46296.135703460648</v>
      </c>
      <c r="W64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4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48" s="974">
        <f>IFERROR(tblConcentrado[[#This Row],[Concentrado (TMS)]]/tblConcentrado[[#This Row],[Mineral (TMS)]],"")</f>
        <v>0.72018348623853212</v>
      </c>
      <c r="Z648" s="973">
        <f>IFERROR(1/tblConcentrado[[#This Row],[% Recup.]],0)</f>
        <v>1.3885350318471337</v>
      </c>
      <c r="AA648" s="1561" t="str">
        <f>IF(COUNTIFS(tblConcentrado[ID],tblConcentrado[[#This Row],[ID]])&gt;1,"Duplicado","")</f>
        <v/>
      </c>
    </row>
    <row r="649" spans="2:27">
      <c r="B649" s="976">
        <f>(YEAR(tblConcentrado[[#This Row],[Fecha]])*10000+MONTH(tblConcentrado[[#This Row],[Fecha]])*100+DAY(tblConcentrado[[#This Row],[Fecha]]))*100+tblConcentrado[[#This Row],[N° hora]]</f>
        <v>2026092807</v>
      </c>
      <c r="C649" s="1560">
        <v>46293</v>
      </c>
      <c r="D649" s="1038">
        <v>7</v>
      </c>
      <c r="E649" s="952">
        <v>0.625</v>
      </c>
      <c r="F649" s="256">
        <v>1476</v>
      </c>
      <c r="G649" s="256">
        <v>1055</v>
      </c>
      <c r="H649" s="970">
        <v>0.187</v>
      </c>
      <c r="I649" s="970">
        <v>0.59499999999999997</v>
      </c>
      <c r="J649" s="970">
        <v>0.33</v>
      </c>
      <c r="K649" s="970">
        <v>0.56899999999999995</v>
      </c>
      <c r="L649" s="970">
        <v>0.31</v>
      </c>
      <c r="M649" s="971">
        <v>23.3</v>
      </c>
      <c r="N649" s="971">
        <v>11.7</v>
      </c>
      <c r="O649" s="971">
        <v>1.7</v>
      </c>
      <c r="P649" s="971">
        <v>1.6</v>
      </c>
      <c r="Q649" s="971">
        <v>8.1999999999999993</v>
      </c>
      <c r="R649" s="1038" t="s">
        <v>9258</v>
      </c>
      <c r="S649" s="1038"/>
      <c r="T649" s="1038"/>
      <c r="U649" s="1038" t="s">
        <v>10345</v>
      </c>
      <c r="V649" s="1560">
        <v>46296.135703460648</v>
      </c>
      <c r="W64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16.34</v>
      </c>
      <c r="X64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1.6400000000000001</v>
      </c>
      <c r="Y649" s="974">
        <f>IFERROR(tblConcentrado[[#This Row],[Concentrado (TMS)]]/tblConcentrado[[#This Row],[Mineral (TMS)]],"")</f>
        <v>0.714769647696477</v>
      </c>
      <c r="Z649" s="973">
        <f>IFERROR(1/tblConcentrado[[#This Row],[% Recup.]],0)</f>
        <v>1.3990521327014218</v>
      </c>
      <c r="AA649" s="1561" t="str">
        <f>IF(COUNTIFS(tblConcentrado[ID],tblConcentrado[[#This Row],[ID]])&gt;1,"Duplicado","")</f>
        <v/>
      </c>
    </row>
    <row r="650" spans="2:27">
      <c r="B650" s="976">
        <f>(YEAR(tblConcentrado[[#This Row],[Fecha]])*10000+MONTH(tblConcentrado[[#This Row],[Fecha]])*100+DAY(tblConcentrado[[#This Row],[Fecha]]))*100+tblConcentrado[[#This Row],[N° hora]]</f>
        <v>2026092808</v>
      </c>
      <c r="C650" s="1560">
        <v>46293</v>
      </c>
      <c r="D650" s="1038">
        <v>8</v>
      </c>
      <c r="E650" s="952">
        <v>0.66666666666666674</v>
      </c>
      <c r="F650" s="256">
        <v>1490</v>
      </c>
      <c r="G650" s="256">
        <v>969</v>
      </c>
      <c r="H650" s="970"/>
      <c r="I650" s="970"/>
      <c r="J650" s="970"/>
      <c r="K650" s="970"/>
      <c r="L650" s="970"/>
      <c r="M650" s="971"/>
      <c r="N650" s="971"/>
      <c r="O650" s="971"/>
      <c r="P650" s="971"/>
      <c r="Q650" s="971"/>
      <c r="R650" s="1038" t="s">
        <v>9258</v>
      </c>
      <c r="S650" s="1038"/>
      <c r="T650" s="1038"/>
      <c r="U650" s="1038" t="s">
        <v>10345</v>
      </c>
      <c r="V650" s="1560">
        <v>46296.135703460648</v>
      </c>
      <c r="W65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5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50" s="974">
        <f>IFERROR(tblConcentrado[[#This Row],[Concentrado (TMS)]]/tblConcentrado[[#This Row],[Mineral (TMS)]],"")</f>
        <v>0.65033557046979862</v>
      </c>
      <c r="Z650" s="973">
        <f>IFERROR(1/tblConcentrado[[#This Row],[% Recup.]],0)</f>
        <v>1.5376676986584108</v>
      </c>
      <c r="AA650" s="1561" t="str">
        <f>IF(COUNTIFS(tblConcentrado[ID],tblConcentrado[[#This Row],[ID]])&gt;1,"Duplicado","")</f>
        <v/>
      </c>
    </row>
    <row r="651" spans="2:27">
      <c r="B651" s="976">
        <f>(YEAR(tblConcentrado[[#This Row],[Fecha]])*10000+MONTH(tblConcentrado[[#This Row],[Fecha]])*100+DAY(tblConcentrado[[#This Row],[Fecha]]))*100+tblConcentrado[[#This Row],[N° hora]]</f>
        <v>2026092809</v>
      </c>
      <c r="C651" s="1560">
        <v>46293</v>
      </c>
      <c r="D651" s="1038">
        <v>9</v>
      </c>
      <c r="E651" s="952">
        <v>0.70833333333333326</v>
      </c>
      <c r="F651" s="256">
        <v>1466</v>
      </c>
      <c r="G651" s="256">
        <v>1058</v>
      </c>
      <c r="H651" s="970">
        <v>0.19900000000000001</v>
      </c>
      <c r="I651" s="970">
        <v>0.52</v>
      </c>
      <c r="J651" s="970">
        <v>0.31</v>
      </c>
      <c r="K651" s="970">
        <v>0.53300000000000003</v>
      </c>
      <c r="L651" s="970">
        <v>0.31</v>
      </c>
      <c r="M651" s="971">
        <v>19.600000000000001</v>
      </c>
      <c r="N651" s="971">
        <v>11.9</v>
      </c>
      <c r="O651" s="971">
        <v>1.7</v>
      </c>
      <c r="P651" s="971">
        <v>1.5</v>
      </c>
      <c r="Q651" s="971">
        <v>8.1999999999999993</v>
      </c>
      <c r="R651" s="1038" t="s">
        <v>9258</v>
      </c>
      <c r="S651" s="1038"/>
      <c r="T651" s="1038"/>
      <c r="U651" s="1038" t="s">
        <v>10345</v>
      </c>
      <c r="V651" s="1560">
        <v>46296.135703460648</v>
      </c>
      <c r="W65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14.98</v>
      </c>
      <c r="X65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1.58</v>
      </c>
      <c r="Y651" s="974">
        <f>IFERROR(tblConcentrado[[#This Row],[Concentrado (TMS)]]/tblConcentrado[[#This Row],[Mineral (TMS)]],"")</f>
        <v>0.72169167803547063</v>
      </c>
      <c r="Z651" s="973">
        <f>IFERROR(1/tblConcentrado[[#This Row],[% Recup.]],0)</f>
        <v>1.3856332703213612</v>
      </c>
      <c r="AA651" s="1561" t="str">
        <f>IF(COUNTIFS(tblConcentrado[ID],tblConcentrado[[#This Row],[ID]])&gt;1,"Duplicado","")</f>
        <v/>
      </c>
    </row>
    <row r="652" spans="2:27">
      <c r="B652" s="976">
        <f>(YEAR(tblConcentrado[[#This Row],[Fecha]])*10000+MONTH(tblConcentrado[[#This Row],[Fecha]])*100+DAY(tblConcentrado[[#This Row],[Fecha]]))*100+tblConcentrado[[#This Row],[N° hora]]</f>
        <v>2026092810</v>
      </c>
      <c r="C652" s="1560">
        <v>46293</v>
      </c>
      <c r="D652" s="1038">
        <v>10</v>
      </c>
      <c r="E652" s="952">
        <v>0.75</v>
      </c>
      <c r="F652" s="256">
        <v>1501</v>
      </c>
      <c r="G652" s="256">
        <v>992</v>
      </c>
      <c r="H652" s="970"/>
      <c r="I652" s="970"/>
      <c r="J652" s="970"/>
      <c r="K652" s="970"/>
      <c r="L652" s="970"/>
      <c r="M652" s="971"/>
      <c r="N652" s="971"/>
      <c r="O652" s="971"/>
      <c r="P652" s="971"/>
      <c r="Q652" s="971"/>
      <c r="R652" s="1038" t="s">
        <v>9258</v>
      </c>
      <c r="S652" s="1038"/>
      <c r="T652" s="1038"/>
      <c r="U652" s="1038" t="s">
        <v>10345</v>
      </c>
      <c r="V652" s="1560">
        <v>46296.135703460648</v>
      </c>
      <c r="W65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5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52" s="974">
        <f>IFERROR(tblConcentrado[[#This Row],[Concentrado (TMS)]]/tblConcentrado[[#This Row],[Mineral (TMS)]],"")</f>
        <v>0.6608927381745503</v>
      </c>
      <c r="Z652" s="973">
        <f>IFERROR(1/tblConcentrado[[#This Row],[% Recup.]],0)</f>
        <v>1.5131048387096775</v>
      </c>
      <c r="AA652" s="1561" t="str">
        <f>IF(COUNTIFS(tblConcentrado[ID],tblConcentrado[[#This Row],[ID]])&gt;1,"Duplicado","")</f>
        <v/>
      </c>
    </row>
    <row r="653" spans="2:27">
      <c r="B653" s="976">
        <f>(YEAR(tblConcentrado[[#This Row],[Fecha]])*10000+MONTH(tblConcentrado[[#This Row],[Fecha]])*100+DAY(tblConcentrado[[#This Row],[Fecha]]))*100+tblConcentrado[[#This Row],[N° hora]]</f>
        <v>2026092811</v>
      </c>
      <c r="C653" s="1560">
        <v>46293</v>
      </c>
      <c r="D653" s="1038">
        <v>11</v>
      </c>
      <c r="E653" s="952">
        <v>0.79166666666666674</v>
      </c>
      <c r="F653" s="256">
        <v>1556</v>
      </c>
      <c r="G653" s="256">
        <v>995</v>
      </c>
      <c r="H653" s="970">
        <v>0.22</v>
      </c>
      <c r="I653" s="970">
        <v>0.46200000000000002</v>
      </c>
      <c r="J653" s="970">
        <v>0.24</v>
      </c>
      <c r="K653" s="970">
        <v>0.44800000000000001</v>
      </c>
      <c r="L653" s="970">
        <v>0.24</v>
      </c>
      <c r="M653" s="971">
        <v>21.1</v>
      </c>
      <c r="N653" s="971">
        <v>10.9</v>
      </c>
      <c r="O653" s="971">
        <v>1.6</v>
      </c>
      <c r="P653" s="971">
        <v>1.2</v>
      </c>
      <c r="Q653" s="971">
        <v>8.1</v>
      </c>
      <c r="R653" s="1038" t="s">
        <v>9258</v>
      </c>
      <c r="S653" s="1038"/>
      <c r="T653" s="1038"/>
      <c r="U653" s="1038" t="s">
        <v>10345</v>
      </c>
      <c r="V653" s="1560">
        <v>46296.135703460648</v>
      </c>
      <c r="W65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14.98</v>
      </c>
      <c r="X65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1.36</v>
      </c>
      <c r="Y653" s="974">
        <f>IFERROR(tblConcentrado[[#This Row],[Concentrado (TMS)]]/tblConcentrado[[#This Row],[Mineral (TMS)]],"")</f>
        <v>0.63946015424164526</v>
      </c>
      <c r="Z653" s="973">
        <f>IFERROR(1/tblConcentrado[[#This Row],[% Recup.]],0)</f>
        <v>1.563819095477387</v>
      </c>
      <c r="AA653" s="1561" t="str">
        <f>IF(COUNTIFS(tblConcentrado[ID],tblConcentrado[[#This Row],[ID]])&gt;1,"Duplicado","")</f>
        <v/>
      </c>
    </row>
    <row r="654" spans="2:27">
      <c r="B654" s="976">
        <f>(YEAR(tblConcentrado[[#This Row],[Fecha]])*10000+MONTH(tblConcentrado[[#This Row],[Fecha]])*100+DAY(tblConcentrado[[#This Row],[Fecha]]))*100+tblConcentrado[[#This Row],[N° hora]]</f>
        <v>2026092812</v>
      </c>
      <c r="C654" s="1560">
        <v>46293</v>
      </c>
      <c r="D654" s="1038">
        <v>12</v>
      </c>
      <c r="E654" s="952">
        <v>0.83333333333333326</v>
      </c>
      <c r="F654" s="256">
        <v>1553</v>
      </c>
      <c r="G654" s="256">
        <v>1030</v>
      </c>
      <c r="H654" s="970"/>
      <c r="I654" s="970"/>
      <c r="J654" s="970"/>
      <c r="K654" s="970"/>
      <c r="L654" s="970"/>
      <c r="M654" s="971"/>
      <c r="N654" s="971"/>
      <c r="O654" s="971"/>
      <c r="P654" s="971"/>
      <c r="Q654" s="971"/>
      <c r="R654" s="1038" t="s">
        <v>9258</v>
      </c>
      <c r="S654" s="1038"/>
      <c r="T654" s="1038"/>
      <c r="U654" s="1038" t="s">
        <v>10345</v>
      </c>
      <c r="V654" s="1560">
        <v>46296.135703460648</v>
      </c>
      <c r="W65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5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54" s="974">
        <f>IFERROR(tblConcentrado[[#This Row],[Concentrado (TMS)]]/tblConcentrado[[#This Row],[Mineral (TMS)]],"")</f>
        <v>0.66323245331616232</v>
      </c>
      <c r="Z654" s="973">
        <f>IFERROR(1/tblConcentrado[[#This Row],[% Recup.]],0)</f>
        <v>1.507766990291262</v>
      </c>
      <c r="AA654" s="1561" t="str">
        <f>IF(COUNTIFS(tblConcentrado[ID],tblConcentrado[[#This Row],[ID]])&gt;1,"Duplicado","")</f>
        <v/>
      </c>
    </row>
    <row r="655" spans="2:27">
      <c r="B655" s="976">
        <f>(YEAR(tblConcentrado[[#This Row],[Fecha]])*10000+MONTH(tblConcentrado[[#This Row],[Fecha]])*100+DAY(tblConcentrado[[#This Row],[Fecha]]))*100+tblConcentrado[[#This Row],[N° hora]]</f>
        <v>2026092813</v>
      </c>
      <c r="C655" s="1560">
        <v>46293</v>
      </c>
      <c r="D655" s="1038">
        <v>13</v>
      </c>
      <c r="E655" s="952">
        <v>0.875</v>
      </c>
      <c r="F655" s="256">
        <v>1525</v>
      </c>
      <c r="G655" s="256">
        <v>1038</v>
      </c>
      <c r="H655" s="970">
        <v>0.20899999999999999</v>
      </c>
      <c r="I655" s="970">
        <v>0.54600000000000004</v>
      </c>
      <c r="J655" s="970">
        <v>0.31</v>
      </c>
      <c r="K655" s="970">
        <v>0.45900000000000002</v>
      </c>
      <c r="L655" s="970">
        <v>0.24</v>
      </c>
      <c r="M655" s="971">
        <v>32.6</v>
      </c>
      <c r="N655" s="971"/>
      <c r="O655" s="971">
        <v>2.1</v>
      </c>
      <c r="P655" s="971">
        <v>2.2999999999999998</v>
      </c>
      <c r="Q655" s="971">
        <v>8.1</v>
      </c>
      <c r="R655" s="1038" t="s">
        <v>9258</v>
      </c>
      <c r="S655" s="1038" t="s">
        <v>10407</v>
      </c>
      <c r="T655" s="1038"/>
      <c r="U655" s="1038" t="s">
        <v>10345</v>
      </c>
      <c r="V655" s="1560">
        <v>46296.135703460648</v>
      </c>
      <c r="W65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13.040000000000001</v>
      </c>
      <c r="X65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2.2199999999999998</v>
      </c>
      <c r="Y655" s="974">
        <f>IFERROR(tblConcentrado[[#This Row],[Concentrado (TMS)]]/tblConcentrado[[#This Row],[Mineral (TMS)]],"")</f>
        <v>0.68065573770491805</v>
      </c>
      <c r="Z655" s="973">
        <f>IFERROR(1/tblConcentrado[[#This Row],[% Recup.]],0)</f>
        <v>1.4691714836223506</v>
      </c>
      <c r="AA655" s="1561" t="str">
        <f>IF(COUNTIFS(tblConcentrado[ID],tblConcentrado[[#This Row],[ID]])&gt;1,"Duplicado","")</f>
        <v/>
      </c>
    </row>
    <row r="656" spans="2:27">
      <c r="B656" s="976">
        <f>(YEAR(tblConcentrado[[#This Row],[Fecha]])*10000+MONTH(tblConcentrado[[#This Row],[Fecha]])*100+DAY(tblConcentrado[[#This Row],[Fecha]]))*100+tblConcentrado[[#This Row],[N° hora]]</f>
        <v>2026092814</v>
      </c>
      <c r="C656" s="1560">
        <v>46293</v>
      </c>
      <c r="D656" s="1038">
        <v>14</v>
      </c>
      <c r="E656" s="952">
        <v>0.91666666666666663</v>
      </c>
      <c r="F656" s="256">
        <v>1529</v>
      </c>
      <c r="G656" s="256">
        <v>965</v>
      </c>
      <c r="H656" s="970"/>
      <c r="I656" s="970"/>
      <c r="J656" s="970"/>
      <c r="K656" s="970"/>
      <c r="L656" s="970"/>
      <c r="M656" s="971"/>
      <c r="N656" s="971"/>
      <c r="O656" s="971"/>
      <c r="P656" s="971"/>
      <c r="Q656" s="971"/>
      <c r="R656" s="1038" t="s">
        <v>9258</v>
      </c>
      <c r="S656" s="1038"/>
      <c r="T656" s="1038"/>
      <c r="U656" s="1038" t="s">
        <v>10345</v>
      </c>
      <c r="V656" s="1560">
        <v>46296.135703460648</v>
      </c>
      <c r="W65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5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56" s="974">
        <f>IFERROR(tblConcentrado[[#This Row],[Concentrado (TMS)]]/tblConcentrado[[#This Row],[Mineral (TMS)]],"")</f>
        <v>0.63113145846958796</v>
      </c>
      <c r="Z656" s="973">
        <f>IFERROR(1/tblConcentrado[[#This Row],[% Recup.]],0)</f>
        <v>1.5844559585492228</v>
      </c>
      <c r="AA656" s="1561" t="str">
        <f>IF(COUNTIFS(tblConcentrado[ID],tblConcentrado[[#This Row],[ID]])&gt;1,"Duplicado","")</f>
        <v/>
      </c>
    </row>
    <row r="657" spans="2:27">
      <c r="B657" s="976">
        <f>(YEAR(tblConcentrado[[#This Row],[Fecha]])*10000+MONTH(tblConcentrado[[#This Row],[Fecha]])*100+DAY(tblConcentrado[[#This Row],[Fecha]]))*100+tblConcentrado[[#This Row],[N° hora]]</f>
        <v>2026092815</v>
      </c>
      <c r="C657" s="1560">
        <v>46293</v>
      </c>
      <c r="D657" s="1038">
        <v>15</v>
      </c>
      <c r="E657" s="952">
        <v>0.95833333333333337</v>
      </c>
      <c r="F657" s="256">
        <v>1547</v>
      </c>
      <c r="G657" s="256">
        <v>885</v>
      </c>
      <c r="H657" s="970">
        <v>0.20200000000000001</v>
      </c>
      <c r="I657" s="970">
        <v>0.502</v>
      </c>
      <c r="J657" s="970">
        <v>0.3</v>
      </c>
      <c r="K657" s="970">
        <v>0.44</v>
      </c>
      <c r="L657" s="970">
        <v>0.24</v>
      </c>
      <c r="M657" s="971">
        <v>20.3</v>
      </c>
      <c r="N657" s="971">
        <v>13.7</v>
      </c>
      <c r="O657" s="971">
        <v>2.1</v>
      </c>
      <c r="P657" s="971">
        <v>2.4</v>
      </c>
      <c r="Q657" s="971">
        <v>8.1999999999999993</v>
      </c>
      <c r="R657" s="1038" t="s">
        <v>9258</v>
      </c>
      <c r="S657" s="1038"/>
      <c r="T657" s="1038"/>
      <c r="U657" s="1038" t="s">
        <v>10345</v>
      </c>
      <c r="V657" s="1560">
        <v>46296.135703460648</v>
      </c>
      <c r="W65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16.34</v>
      </c>
      <c r="X65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2.2800000000000002</v>
      </c>
      <c r="Y657" s="974">
        <f>IFERROR(tblConcentrado[[#This Row],[Concentrado (TMS)]]/tblConcentrado[[#This Row],[Mineral (TMS)]],"")</f>
        <v>0.57207498383968969</v>
      </c>
      <c r="Z657" s="973">
        <f>IFERROR(1/tblConcentrado[[#This Row],[% Recup.]],0)</f>
        <v>1.7480225988700566</v>
      </c>
      <c r="AA657" s="1561" t="str">
        <f>IF(COUNTIFS(tblConcentrado[ID],tblConcentrado[[#This Row],[ID]])&gt;1,"Duplicado","")</f>
        <v/>
      </c>
    </row>
    <row r="658" spans="2:27">
      <c r="B658" s="976">
        <f>(YEAR(tblConcentrado[[#This Row],[Fecha]])*10000+MONTH(tblConcentrado[[#This Row],[Fecha]])*100+DAY(tblConcentrado[[#This Row],[Fecha]]))*100+tblConcentrado[[#This Row],[N° hora]]</f>
        <v>2026092816</v>
      </c>
      <c r="C658" s="1560">
        <v>46293</v>
      </c>
      <c r="D658" s="1038">
        <v>16</v>
      </c>
      <c r="E658" s="952">
        <v>0</v>
      </c>
      <c r="F658" s="256">
        <v>1528</v>
      </c>
      <c r="G658" s="256">
        <v>1048</v>
      </c>
      <c r="H658" s="970"/>
      <c r="I658" s="970"/>
      <c r="J658" s="970"/>
      <c r="K658" s="970"/>
      <c r="L658" s="970"/>
      <c r="M658" s="971"/>
      <c r="N658" s="971"/>
      <c r="O658" s="971"/>
      <c r="P658" s="971"/>
      <c r="Q658" s="971"/>
      <c r="R658" s="1038" t="s">
        <v>9258</v>
      </c>
      <c r="S658" s="1038"/>
      <c r="T658" s="1038"/>
      <c r="U658" s="1038" t="s">
        <v>10345</v>
      </c>
      <c r="V658" s="1560">
        <v>46296.135703460648</v>
      </c>
      <c r="W65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5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58" s="974">
        <f>IFERROR(tblConcentrado[[#This Row],[Concentrado (TMS)]]/tblConcentrado[[#This Row],[Mineral (TMS)]],"")</f>
        <v>0.68586387434554974</v>
      </c>
      <c r="Z658" s="973">
        <f>IFERROR(1/tblConcentrado[[#This Row],[% Recup.]],0)</f>
        <v>1.4580152671755726</v>
      </c>
      <c r="AA658" s="1561" t="str">
        <f>IF(COUNTIFS(tblConcentrado[ID],tblConcentrado[[#This Row],[ID]])&gt;1,"Duplicado","")</f>
        <v/>
      </c>
    </row>
    <row r="659" spans="2:27">
      <c r="B659" s="976">
        <f>(YEAR(tblConcentrado[[#This Row],[Fecha]])*10000+MONTH(tblConcentrado[[#This Row],[Fecha]])*100+DAY(tblConcentrado[[#This Row],[Fecha]]))*100+tblConcentrado[[#This Row],[N° hora]]</f>
        <v>2026092817</v>
      </c>
      <c r="C659" s="1560">
        <v>46293</v>
      </c>
      <c r="D659" s="1038">
        <v>17</v>
      </c>
      <c r="E659" s="952">
        <v>4.1666666666666519E-2</v>
      </c>
      <c r="F659" s="256">
        <v>1543</v>
      </c>
      <c r="G659" s="256">
        <v>1033</v>
      </c>
      <c r="H659" s="970">
        <v>0.2</v>
      </c>
      <c r="I659" s="970">
        <v>0.45500000000000002</v>
      </c>
      <c r="J659" s="970">
        <v>0.38</v>
      </c>
      <c r="K659" s="970">
        <v>0.55600000000000005</v>
      </c>
      <c r="L659" s="970">
        <v>0.41</v>
      </c>
      <c r="M659" s="971">
        <v>22.4</v>
      </c>
      <c r="N659" s="971">
        <v>13.4</v>
      </c>
      <c r="O659" s="971">
        <v>2.4</v>
      </c>
      <c r="P659" s="971">
        <v>1.9</v>
      </c>
      <c r="Q659" s="971">
        <v>8.6</v>
      </c>
      <c r="R659" s="1038" t="s">
        <v>9258</v>
      </c>
      <c r="S659" s="1038" t="s">
        <v>10408</v>
      </c>
      <c r="T659" s="1038"/>
      <c r="U659" s="1038" t="s">
        <v>10345</v>
      </c>
      <c r="V659" s="1560">
        <v>46296.135703460648</v>
      </c>
      <c r="W65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v>
      </c>
      <c r="X65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2.0999999999999996</v>
      </c>
      <c r="Y659" s="974">
        <f>IFERROR(tblConcentrado[[#This Row],[Concentrado (TMS)]]/tblConcentrado[[#This Row],[Mineral (TMS)]],"")</f>
        <v>0.66947504860661045</v>
      </c>
      <c r="Z659" s="973">
        <f>IFERROR(1/tblConcentrado[[#This Row],[% Recup.]],0)</f>
        <v>1.4937076476282674</v>
      </c>
      <c r="AA659" s="1561" t="str">
        <f>IF(COUNTIFS(tblConcentrado[ID],tblConcentrado[[#This Row],[ID]])&gt;1,"Duplicado","")</f>
        <v/>
      </c>
    </row>
    <row r="660" spans="2:27">
      <c r="B660" s="976">
        <f>(YEAR(tblConcentrado[[#This Row],[Fecha]])*10000+MONTH(tblConcentrado[[#This Row],[Fecha]])*100+DAY(tblConcentrado[[#This Row],[Fecha]]))*100+tblConcentrado[[#This Row],[N° hora]]</f>
        <v>2026092818</v>
      </c>
      <c r="C660" s="1560">
        <v>46293</v>
      </c>
      <c r="D660" s="1038">
        <v>18</v>
      </c>
      <c r="E660" s="952">
        <v>8.3333333333333481E-2</v>
      </c>
      <c r="F660" s="256">
        <v>1514</v>
      </c>
      <c r="G660" s="256">
        <v>909</v>
      </c>
      <c r="H660" s="970"/>
      <c r="I660" s="970"/>
      <c r="J660" s="970"/>
      <c r="K660" s="970"/>
      <c r="L660" s="970"/>
      <c r="M660" s="971"/>
      <c r="N660" s="971"/>
      <c r="O660" s="971"/>
      <c r="P660" s="971"/>
      <c r="Q660" s="971"/>
      <c r="R660" s="1038" t="s">
        <v>9258</v>
      </c>
      <c r="S660" s="1038" t="s">
        <v>10409</v>
      </c>
      <c r="T660" s="1038"/>
      <c r="U660" s="1038" t="s">
        <v>10345</v>
      </c>
      <c r="V660" s="1560">
        <v>46296.135703460648</v>
      </c>
      <c r="W66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6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60" s="974">
        <f>IFERROR(tblConcentrado[[#This Row],[Concentrado (TMS)]]/tblConcentrado[[#This Row],[Mineral (TMS)]],"")</f>
        <v>0.60039630118890353</v>
      </c>
      <c r="Z660" s="973">
        <f>IFERROR(1/tblConcentrado[[#This Row],[% Recup.]],0)</f>
        <v>1.6655665566556657</v>
      </c>
      <c r="AA660" s="1561" t="str">
        <f>IF(COUNTIFS(tblConcentrado[ID],tblConcentrado[[#This Row],[ID]])&gt;1,"Duplicado","")</f>
        <v/>
      </c>
    </row>
    <row r="661" spans="2:27">
      <c r="B661" s="976">
        <f>(YEAR(tblConcentrado[[#This Row],[Fecha]])*10000+MONTH(tblConcentrado[[#This Row],[Fecha]])*100+DAY(tblConcentrado[[#This Row],[Fecha]]))*100+tblConcentrado[[#This Row],[N° hora]]</f>
        <v>2026092819</v>
      </c>
      <c r="C661" s="1560">
        <v>46293</v>
      </c>
      <c r="D661" s="1038">
        <v>19</v>
      </c>
      <c r="E661" s="952">
        <v>0.125</v>
      </c>
      <c r="F661" s="256">
        <v>1395</v>
      </c>
      <c r="G661" s="256">
        <v>917</v>
      </c>
      <c r="H661" s="970">
        <v>0.19700000000000001</v>
      </c>
      <c r="I661" s="970">
        <v>0.44500000000000001</v>
      </c>
      <c r="J661" s="970">
        <v>0.33</v>
      </c>
      <c r="K661" s="970">
        <v>0.54100000000000004</v>
      </c>
      <c r="L661" s="970">
        <v>0.36</v>
      </c>
      <c r="M661" s="971">
        <v>21.9</v>
      </c>
      <c r="N661" s="971">
        <v>14.5</v>
      </c>
      <c r="O661" s="971">
        <v>2.2000000000000002</v>
      </c>
      <c r="P661" s="971">
        <v>2.2000000000000002</v>
      </c>
      <c r="Q661" s="971">
        <v>8.3000000000000007</v>
      </c>
      <c r="R661" s="1038" t="s">
        <v>9258</v>
      </c>
      <c r="S661" s="1038" t="s">
        <v>10410</v>
      </c>
      <c r="T661" s="1038"/>
      <c r="U661" s="1038" t="s">
        <v>10345</v>
      </c>
      <c r="V661" s="1560">
        <v>46296.135703460648</v>
      </c>
      <c r="W66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17.46</v>
      </c>
      <c r="X66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2.2000000000000002</v>
      </c>
      <c r="Y661" s="974">
        <f>IFERROR(tblConcentrado[[#This Row],[Concentrado (TMS)]]/tblConcentrado[[#This Row],[Mineral (TMS)]],"")</f>
        <v>0.65734767025089602</v>
      </c>
      <c r="Z661" s="973">
        <f>IFERROR(1/tblConcentrado[[#This Row],[% Recup.]],0)</f>
        <v>1.5212649945474375</v>
      </c>
      <c r="AA661" s="1561" t="str">
        <f>IF(COUNTIFS(tblConcentrado[ID],tblConcentrado[[#This Row],[ID]])&gt;1,"Duplicado","")</f>
        <v/>
      </c>
    </row>
    <row r="662" spans="2:27">
      <c r="B662" s="976">
        <f>(YEAR(tblConcentrado[[#This Row],[Fecha]])*10000+MONTH(tblConcentrado[[#This Row],[Fecha]])*100+DAY(tblConcentrado[[#This Row],[Fecha]]))*100+tblConcentrado[[#This Row],[N° hora]]</f>
        <v>2026092820</v>
      </c>
      <c r="C662" s="1560">
        <v>46293</v>
      </c>
      <c r="D662" s="1038">
        <v>20</v>
      </c>
      <c r="E662" s="952">
        <v>0.16666666666666652</v>
      </c>
      <c r="F662" s="256">
        <v>1460</v>
      </c>
      <c r="G662" s="256">
        <v>823</v>
      </c>
      <c r="H662" s="970"/>
      <c r="I662" s="970"/>
      <c r="J662" s="970"/>
      <c r="K662" s="970"/>
      <c r="L662" s="970"/>
      <c r="M662" s="971"/>
      <c r="N662" s="971"/>
      <c r="O662" s="971"/>
      <c r="P662" s="971"/>
      <c r="Q662" s="971"/>
      <c r="R662" s="1038" t="s">
        <v>9258</v>
      </c>
      <c r="S662" s="1038" t="s">
        <v>10411</v>
      </c>
      <c r="T662" s="1038"/>
      <c r="U662" s="1038" t="s">
        <v>10345</v>
      </c>
      <c r="V662" s="1560">
        <v>46296.135703460648</v>
      </c>
      <c r="W66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6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62" s="974">
        <f>IFERROR(tblConcentrado[[#This Row],[Concentrado (TMS)]]/tblConcentrado[[#This Row],[Mineral (TMS)]],"")</f>
        <v>0.56369863013698629</v>
      </c>
      <c r="Z662" s="973">
        <f>IFERROR(1/tblConcentrado[[#This Row],[% Recup.]],0)</f>
        <v>1.7739975698663426</v>
      </c>
      <c r="AA662" s="1561" t="str">
        <f>IF(COUNTIFS(tblConcentrado[ID],tblConcentrado[[#This Row],[ID]])&gt;1,"Duplicado","")</f>
        <v/>
      </c>
    </row>
    <row r="663" spans="2:27">
      <c r="B663" s="976">
        <f>(YEAR(tblConcentrado[[#This Row],[Fecha]])*10000+MONTH(tblConcentrado[[#This Row],[Fecha]])*100+DAY(tblConcentrado[[#This Row],[Fecha]]))*100+tblConcentrado[[#This Row],[N° hora]]</f>
        <v>2026092821</v>
      </c>
      <c r="C663" s="1560">
        <v>46293</v>
      </c>
      <c r="D663" s="1038">
        <v>21</v>
      </c>
      <c r="E663" s="952">
        <v>0.20833333333333348</v>
      </c>
      <c r="F663" s="256">
        <v>1529</v>
      </c>
      <c r="G663" s="256">
        <v>892</v>
      </c>
      <c r="H663" s="970">
        <v>0.19800000000000001</v>
      </c>
      <c r="I663" s="970">
        <v>0.442</v>
      </c>
      <c r="J663" s="970">
        <v>0.38</v>
      </c>
      <c r="K663" s="970">
        <v>0.55700000000000005</v>
      </c>
      <c r="L663" s="970">
        <v>0.41</v>
      </c>
      <c r="M663" s="971">
        <v>21.5</v>
      </c>
      <c r="N663" s="971">
        <v>14.7</v>
      </c>
      <c r="O663" s="971">
        <v>2.1</v>
      </c>
      <c r="P663" s="971">
        <v>2.2000000000000002</v>
      </c>
      <c r="Q663" s="971">
        <v>8.1</v>
      </c>
      <c r="R663" s="1038" t="s">
        <v>9258</v>
      </c>
      <c r="S663" s="1038" t="s">
        <v>10412</v>
      </c>
      <c r="T663" s="1038"/>
      <c r="U663" s="1038" t="s">
        <v>10345</v>
      </c>
      <c r="V663" s="1560">
        <v>46296.135703460648</v>
      </c>
      <c r="W66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17.419999999999998</v>
      </c>
      <c r="X66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2.16</v>
      </c>
      <c r="Y663" s="974">
        <f>IFERROR(tblConcentrado[[#This Row],[Concentrado (TMS)]]/tblConcentrado[[#This Row],[Mineral (TMS)]],"")</f>
        <v>0.58338783518639636</v>
      </c>
      <c r="Z663" s="973">
        <f>IFERROR(1/tblConcentrado[[#This Row],[% Recup.]],0)</f>
        <v>1.7141255605381165</v>
      </c>
      <c r="AA663" s="1561" t="str">
        <f>IF(COUNTIFS(tblConcentrado[ID],tblConcentrado[[#This Row],[ID]])&gt;1,"Duplicado","")</f>
        <v/>
      </c>
    </row>
    <row r="664" spans="2:27">
      <c r="B664" s="976">
        <f>(YEAR(tblConcentrado[[#This Row],[Fecha]])*10000+MONTH(tblConcentrado[[#This Row],[Fecha]])*100+DAY(tblConcentrado[[#This Row],[Fecha]]))*100+tblConcentrado[[#This Row],[N° hora]]</f>
        <v>2026092822</v>
      </c>
      <c r="C664" s="1560">
        <v>46293</v>
      </c>
      <c r="D664" s="1038">
        <v>22</v>
      </c>
      <c r="E664" s="952">
        <v>0.25</v>
      </c>
      <c r="F664" s="256">
        <v>1551</v>
      </c>
      <c r="G664" s="256">
        <v>896</v>
      </c>
      <c r="H664" s="970"/>
      <c r="I664" s="970"/>
      <c r="J664" s="970"/>
      <c r="K664" s="970"/>
      <c r="L664" s="970"/>
      <c r="M664" s="971"/>
      <c r="N664" s="971"/>
      <c r="O664" s="971"/>
      <c r="P664" s="971"/>
      <c r="Q664" s="971"/>
      <c r="R664" s="1038" t="s">
        <v>9258</v>
      </c>
      <c r="S664" s="1038" t="s">
        <v>10413</v>
      </c>
      <c r="T664" s="1038"/>
      <c r="U664" s="1038" t="s">
        <v>10345</v>
      </c>
      <c r="V664" s="1560">
        <v>46296.135703460648</v>
      </c>
      <c r="W66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6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64" s="974">
        <f>IFERROR(tblConcentrado[[#This Row],[Concentrado (TMS)]]/tblConcentrado[[#This Row],[Mineral (TMS)]],"")</f>
        <v>0.5776918117343649</v>
      </c>
      <c r="Z664" s="973">
        <f>IFERROR(1/tblConcentrado[[#This Row],[% Recup.]],0)</f>
        <v>1.7310267857142858</v>
      </c>
      <c r="AA664" s="1561" t="str">
        <f>IF(COUNTIFS(tblConcentrado[ID],tblConcentrado[[#This Row],[ID]])&gt;1,"Duplicado","")</f>
        <v/>
      </c>
    </row>
    <row r="665" spans="2:27">
      <c r="B665" s="976">
        <f>(YEAR(tblConcentrado[[#This Row],[Fecha]])*10000+MONTH(tblConcentrado[[#This Row],[Fecha]])*100+DAY(tblConcentrado[[#This Row],[Fecha]]))*100+tblConcentrado[[#This Row],[N° hora]]</f>
        <v>2026092823</v>
      </c>
      <c r="C665" s="1560">
        <v>46293</v>
      </c>
      <c r="D665" s="1038">
        <v>23</v>
      </c>
      <c r="E665" s="952">
        <v>0.29166666666666652</v>
      </c>
      <c r="F665" s="256">
        <v>1564</v>
      </c>
      <c r="G665" s="256">
        <v>1192</v>
      </c>
      <c r="H665" s="970">
        <v>0.2</v>
      </c>
      <c r="I665" s="970">
        <v>0.54100000000000004</v>
      </c>
      <c r="J665" s="970"/>
      <c r="K665" s="970">
        <v>0.73899999999999999</v>
      </c>
      <c r="L665" s="970"/>
      <c r="M665" s="971">
        <v>21.1</v>
      </c>
      <c r="N665" s="971">
        <v>12.4</v>
      </c>
      <c r="O665" s="971">
        <v>2</v>
      </c>
      <c r="P665" s="971">
        <v>1.8</v>
      </c>
      <c r="Q665" s="971">
        <v>8.1</v>
      </c>
      <c r="R665" s="1038" t="s">
        <v>9258</v>
      </c>
      <c r="S665" s="1038"/>
      <c r="T665" s="1038"/>
      <c r="U665" s="1038" t="s">
        <v>10345</v>
      </c>
      <c r="V665" s="1560">
        <v>46296.135703460648</v>
      </c>
      <c r="W66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15.88</v>
      </c>
      <c r="X66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1.8800000000000001</v>
      </c>
      <c r="Y665" s="974">
        <f>IFERROR(tblConcentrado[[#This Row],[Concentrado (TMS)]]/tblConcentrado[[#This Row],[Mineral (TMS)]],"")</f>
        <v>0.76214833759590794</v>
      </c>
      <c r="Z665" s="973">
        <f>IFERROR(1/tblConcentrado[[#This Row],[% Recup.]],0)</f>
        <v>1.3120805369127517</v>
      </c>
      <c r="AA665" s="1561" t="str">
        <f>IF(COUNTIFS(tblConcentrado[ID],tblConcentrado[[#This Row],[ID]])&gt;1,"Duplicado","")</f>
        <v/>
      </c>
    </row>
    <row r="666" spans="2:27">
      <c r="B666" s="976">
        <f>(YEAR(tblConcentrado[[#This Row],[Fecha]])*10000+MONTH(tblConcentrado[[#This Row],[Fecha]])*100+DAY(tblConcentrado[[#This Row],[Fecha]]))*100+tblConcentrado[[#This Row],[N° hora]]</f>
        <v>2026092824</v>
      </c>
      <c r="C666" s="1560">
        <v>46293</v>
      </c>
      <c r="D666" s="1038">
        <v>24</v>
      </c>
      <c r="E666" s="952">
        <v>0.33333333333333348</v>
      </c>
      <c r="F666" s="256">
        <v>1560</v>
      </c>
      <c r="G666" s="256">
        <v>943</v>
      </c>
      <c r="H666" s="970"/>
      <c r="I666" s="970"/>
      <c r="J666" s="970"/>
      <c r="K666" s="970"/>
      <c r="L666" s="970"/>
      <c r="M666" s="971"/>
      <c r="N666" s="971"/>
      <c r="O666" s="971"/>
      <c r="P666" s="971"/>
      <c r="Q666" s="971"/>
      <c r="R666" s="1038" t="s">
        <v>9258</v>
      </c>
      <c r="S666" s="1038"/>
      <c r="T666" s="1038"/>
      <c r="U666" s="1038" t="s">
        <v>10345</v>
      </c>
      <c r="V666" s="1560">
        <v>46296.135703460648</v>
      </c>
      <c r="W66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6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66" s="974">
        <f>IFERROR(tblConcentrado[[#This Row],[Concentrado (TMS)]]/tblConcentrado[[#This Row],[Mineral (TMS)]],"")</f>
        <v>0.60448717948717945</v>
      </c>
      <c r="Z666" s="973">
        <f>IFERROR(1/tblConcentrado[[#This Row],[% Recup.]],0)</f>
        <v>1.6542948038176035</v>
      </c>
      <c r="AA666" s="1561" t="str">
        <f>IF(COUNTIFS(tblConcentrado[ID],tblConcentrado[[#This Row],[ID]])&gt;1,"Duplicado","")</f>
        <v/>
      </c>
    </row>
    <row r="667" spans="2:27">
      <c r="B667" s="976">
        <f>(YEAR(tblConcentrado[[#This Row],[Fecha]])*10000+MONTH(tblConcentrado[[#This Row],[Fecha]])*100+DAY(tblConcentrado[[#This Row],[Fecha]]))*100+tblConcentrado[[#This Row],[N° hora]]</f>
        <v>2026092901</v>
      </c>
      <c r="C667" s="1560">
        <v>46294</v>
      </c>
      <c r="D667" s="1038">
        <v>1</v>
      </c>
      <c r="E667" s="952">
        <v>0.375</v>
      </c>
      <c r="F667" s="256">
        <v>1564</v>
      </c>
      <c r="G667" s="256">
        <v>991</v>
      </c>
      <c r="H667" s="970">
        <v>0.22800000000000001</v>
      </c>
      <c r="I667" s="970">
        <v>0.63100000000000001</v>
      </c>
      <c r="J667" s="970">
        <v>0.36</v>
      </c>
      <c r="K667" s="970">
        <v>0.63100000000000001</v>
      </c>
      <c r="L667" s="970">
        <v>0.36</v>
      </c>
      <c r="M667" s="971">
        <v>24.8</v>
      </c>
      <c r="N667" s="971">
        <v>12.6</v>
      </c>
      <c r="O667" s="971">
        <v>2.2999999999999998</v>
      </c>
      <c r="P667" s="971">
        <v>1.5</v>
      </c>
      <c r="Q667" s="971">
        <v>8.3000000000000007</v>
      </c>
      <c r="R667" s="1038" t="s">
        <v>9258</v>
      </c>
      <c r="S667" s="1038"/>
      <c r="T667" s="1038"/>
      <c r="U667" s="1038" t="s">
        <v>10345</v>
      </c>
      <c r="V667" s="1560">
        <v>46296.135703460648</v>
      </c>
      <c r="W66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17.48</v>
      </c>
      <c r="X66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1.8199999999999998</v>
      </c>
      <c r="Y667" s="974">
        <f>IFERROR(tblConcentrado[[#This Row],[Concentrado (TMS)]]/tblConcentrado[[#This Row],[Mineral (TMS)]],"")</f>
        <v>0.63363171355498726</v>
      </c>
      <c r="Z667" s="973">
        <f>IFERROR(1/tblConcentrado[[#This Row],[% Recup.]],0)</f>
        <v>1.5782038345105953</v>
      </c>
      <c r="AA667" s="1561" t="str">
        <f>IF(COUNTIFS(tblConcentrado[ID],tblConcentrado[[#This Row],[ID]])&gt;1,"Duplicado","")</f>
        <v/>
      </c>
    </row>
    <row r="668" spans="2:27">
      <c r="B668" s="976">
        <f>(YEAR(tblConcentrado[[#This Row],[Fecha]])*10000+MONTH(tblConcentrado[[#This Row],[Fecha]])*100+DAY(tblConcentrado[[#This Row],[Fecha]]))*100+tblConcentrado[[#This Row],[N° hora]]</f>
        <v>2026092902</v>
      </c>
      <c r="C668" s="1560">
        <v>46294</v>
      </c>
      <c r="D668" s="1038">
        <v>2</v>
      </c>
      <c r="E668" s="952">
        <v>0.41666666666666669</v>
      </c>
      <c r="F668" s="256">
        <v>1505</v>
      </c>
      <c r="G668" s="256">
        <v>975</v>
      </c>
      <c r="H668" s="970"/>
      <c r="I668" s="970"/>
      <c r="J668" s="970"/>
      <c r="K668" s="970"/>
      <c r="L668" s="970"/>
      <c r="M668" s="971"/>
      <c r="N668" s="971"/>
      <c r="O668" s="971"/>
      <c r="P668" s="971"/>
      <c r="Q668" s="971"/>
      <c r="R668" s="1038" t="s">
        <v>9258</v>
      </c>
      <c r="S668" s="1038"/>
      <c r="T668" s="1038" t="s">
        <v>10414</v>
      </c>
      <c r="U668" s="1038" t="s">
        <v>10345</v>
      </c>
      <c r="V668" s="1560">
        <v>46296.135703460648</v>
      </c>
      <c r="W66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6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68" s="974">
        <f>IFERROR(tblConcentrado[[#This Row],[Concentrado (TMS)]]/tblConcentrado[[#This Row],[Mineral (TMS)]],"")</f>
        <v>0.64784053156146182</v>
      </c>
      <c r="Z668" s="973">
        <f>IFERROR(1/tblConcentrado[[#This Row],[% Recup.]],0)</f>
        <v>1.5435897435897434</v>
      </c>
      <c r="AA668" s="1561" t="str">
        <f>IF(COUNTIFS(tblConcentrado[ID],tblConcentrado[[#This Row],[ID]])&gt;1,"Duplicado","")</f>
        <v/>
      </c>
    </row>
    <row r="669" spans="2:27">
      <c r="B669" s="976">
        <f>(YEAR(tblConcentrado[[#This Row],[Fecha]])*10000+MONTH(tblConcentrado[[#This Row],[Fecha]])*100+DAY(tblConcentrado[[#This Row],[Fecha]]))*100+tblConcentrado[[#This Row],[N° hora]]</f>
        <v>2026092903</v>
      </c>
      <c r="C669" s="1560">
        <v>46294</v>
      </c>
      <c r="D669" s="1038">
        <v>3</v>
      </c>
      <c r="E669" s="952">
        <v>0.45833333333333331</v>
      </c>
      <c r="F669" s="256">
        <v>1364</v>
      </c>
      <c r="G669" s="256">
        <v>763</v>
      </c>
      <c r="H669" s="970">
        <v>0.20100000000000001</v>
      </c>
      <c r="I669" s="970">
        <v>0.63400000000000001</v>
      </c>
      <c r="J669" s="970">
        <v>0.38</v>
      </c>
      <c r="K669" s="970">
        <v>0.63400000000000001</v>
      </c>
      <c r="L669" s="970">
        <v>0.38</v>
      </c>
      <c r="M669" s="971">
        <v>21</v>
      </c>
      <c r="N669" s="971">
        <v>13.6</v>
      </c>
      <c r="O669" s="971">
        <v>1.9</v>
      </c>
      <c r="P669" s="971">
        <v>1.9</v>
      </c>
      <c r="Q669" s="971">
        <v>8.1999999999999993</v>
      </c>
      <c r="R669" s="1038" t="s">
        <v>9258</v>
      </c>
      <c r="S669" s="1038"/>
      <c r="T669" s="1038" t="s">
        <v>10415</v>
      </c>
      <c r="U669" s="1038" t="s">
        <v>10345</v>
      </c>
      <c r="V669" s="1560">
        <v>46296.135703460648</v>
      </c>
      <c r="W66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16.560000000000002</v>
      </c>
      <c r="X66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1.9</v>
      </c>
      <c r="Y669" s="974">
        <f>IFERROR(tblConcentrado[[#This Row],[Concentrado (TMS)]]/tblConcentrado[[#This Row],[Mineral (TMS)]],"")</f>
        <v>0.55938416422287385</v>
      </c>
      <c r="Z669" s="973">
        <f>IFERROR(1/tblConcentrado[[#This Row],[% Recup.]],0)</f>
        <v>1.7876802096985585</v>
      </c>
      <c r="AA669" s="1561" t="str">
        <f>IF(COUNTIFS(tblConcentrado[ID],tblConcentrado[[#This Row],[ID]])&gt;1,"Duplicado","")</f>
        <v/>
      </c>
    </row>
    <row r="670" spans="2:27">
      <c r="B670" s="976">
        <f>(YEAR(tblConcentrado[[#This Row],[Fecha]])*10000+MONTH(tblConcentrado[[#This Row],[Fecha]])*100+DAY(tblConcentrado[[#This Row],[Fecha]]))*100+tblConcentrado[[#This Row],[N° hora]]</f>
        <v>2026092904</v>
      </c>
      <c r="C670" s="1560">
        <v>46294</v>
      </c>
      <c r="D670" s="1038">
        <v>4</v>
      </c>
      <c r="E670" s="952">
        <v>0.5</v>
      </c>
      <c r="F670" s="256">
        <v>1317</v>
      </c>
      <c r="G670" s="256">
        <v>458</v>
      </c>
      <c r="H670" s="970"/>
      <c r="I670" s="970"/>
      <c r="J670" s="970"/>
      <c r="K670" s="970"/>
      <c r="L670" s="970"/>
      <c r="M670" s="971"/>
      <c r="N670" s="971"/>
      <c r="O670" s="971"/>
      <c r="P670" s="971"/>
      <c r="Q670" s="971"/>
      <c r="R670" s="1038" t="s">
        <v>9258</v>
      </c>
      <c r="S670" s="1038"/>
      <c r="T670" s="1038"/>
      <c r="U670" s="1038" t="s">
        <v>10345</v>
      </c>
      <c r="V670" s="1560">
        <v>46296.135703460648</v>
      </c>
      <c r="W67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7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70" s="974">
        <f>IFERROR(tblConcentrado[[#This Row],[Concentrado (TMS)]]/tblConcentrado[[#This Row],[Mineral (TMS)]],"")</f>
        <v>0.34776006074411542</v>
      </c>
      <c r="Z670" s="973">
        <f>IFERROR(1/tblConcentrado[[#This Row],[% Recup.]],0)</f>
        <v>2.875545851528384</v>
      </c>
      <c r="AA670" s="1561" t="str">
        <f>IF(COUNTIFS(tblConcentrado[ID],tblConcentrado[[#This Row],[ID]])&gt;1,"Duplicado","")</f>
        <v/>
      </c>
    </row>
    <row r="671" spans="2:27">
      <c r="B671" s="976">
        <f>(YEAR(tblConcentrado[[#This Row],[Fecha]])*10000+MONTH(tblConcentrado[[#This Row],[Fecha]])*100+DAY(tblConcentrado[[#This Row],[Fecha]]))*100+tblConcentrado[[#This Row],[N° hora]]</f>
        <v>2026092905</v>
      </c>
      <c r="C671" s="1560">
        <v>46294</v>
      </c>
      <c r="D671" s="1038">
        <v>5</v>
      </c>
      <c r="E671" s="952">
        <v>0.54166666666666663</v>
      </c>
      <c r="F671" s="256">
        <v>1292</v>
      </c>
      <c r="G671" s="256">
        <v>787</v>
      </c>
      <c r="H671" s="970">
        <v>0.222</v>
      </c>
      <c r="I671" s="970">
        <v>0.71299999999999997</v>
      </c>
      <c r="J671" s="970">
        <v>0.4</v>
      </c>
      <c r="K671" s="970">
        <v>0.71299999999999997</v>
      </c>
      <c r="L671" s="970">
        <v>0.4</v>
      </c>
      <c r="M671" s="971">
        <v>26</v>
      </c>
      <c r="N671" s="971">
        <v>13.3</v>
      </c>
      <c r="O671" s="971">
        <v>2.4</v>
      </c>
      <c r="P671" s="971">
        <v>2</v>
      </c>
      <c r="Q671" s="971">
        <v>8</v>
      </c>
      <c r="R671" s="1038" t="s">
        <v>9258</v>
      </c>
      <c r="S671" s="1038"/>
      <c r="T671" s="1038"/>
      <c r="U671" s="1038" t="s">
        <v>10345</v>
      </c>
      <c r="V671" s="1560">
        <v>46296.135703460648</v>
      </c>
      <c r="W67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18.380000000000003</v>
      </c>
      <c r="X67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2.16</v>
      </c>
      <c r="Y671" s="974">
        <f>IFERROR(tblConcentrado[[#This Row],[Concentrado (TMS)]]/tblConcentrado[[#This Row],[Mineral (TMS)]],"")</f>
        <v>0.60913312693498456</v>
      </c>
      <c r="Z671" s="973">
        <f>IFERROR(1/tblConcentrado[[#This Row],[% Recup.]],0)</f>
        <v>1.6416772554002541</v>
      </c>
      <c r="AA671" s="1561" t="str">
        <f>IF(COUNTIFS(tblConcentrado[ID],tblConcentrado[[#This Row],[ID]])&gt;1,"Duplicado","")</f>
        <v/>
      </c>
    </row>
    <row r="672" spans="2:27">
      <c r="B672" s="976">
        <f>(YEAR(tblConcentrado[[#This Row],[Fecha]])*10000+MONTH(tblConcentrado[[#This Row],[Fecha]])*100+DAY(tblConcentrado[[#This Row],[Fecha]]))*100+tblConcentrado[[#This Row],[N° hora]]</f>
        <v>2026092906</v>
      </c>
      <c r="C672" s="1560">
        <v>46294</v>
      </c>
      <c r="D672" s="1038">
        <v>6</v>
      </c>
      <c r="E672" s="952">
        <v>0.58333333333333337</v>
      </c>
      <c r="F672" s="256">
        <v>1226</v>
      </c>
      <c r="G672" s="256">
        <v>840</v>
      </c>
      <c r="H672" s="970"/>
      <c r="I672" s="970"/>
      <c r="J672" s="970"/>
      <c r="K672" s="970"/>
      <c r="L672" s="970"/>
      <c r="M672" s="971"/>
      <c r="N672" s="971"/>
      <c r="O672" s="971"/>
      <c r="P672" s="971"/>
      <c r="Q672" s="971"/>
      <c r="R672" s="1038" t="s">
        <v>9258</v>
      </c>
      <c r="S672" s="1038"/>
      <c r="T672" s="1038"/>
      <c r="U672" s="1038" t="s">
        <v>10345</v>
      </c>
      <c r="V672" s="1560">
        <v>46296.135703460648</v>
      </c>
      <c r="W67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7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72" s="974">
        <f>IFERROR(tblConcentrado[[#This Row],[Concentrado (TMS)]]/tblConcentrado[[#This Row],[Mineral (TMS)]],"")</f>
        <v>0.68515497553017946</v>
      </c>
      <c r="Z672" s="973">
        <f>IFERROR(1/tblConcentrado[[#This Row],[% Recup.]],0)</f>
        <v>1.4595238095238094</v>
      </c>
      <c r="AA672" s="1561" t="str">
        <f>IF(COUNTIFS(tblConcentrado[ID],tblConcentrado[[#This Row],[ID]])&gt;1,"Duplicado","")</f>
        <v/>
      </c>
    </row>
    <row r="673" spans="2:27">
      <c r="B673" s="976">
        <f>(YEAR(tblConcentrado[[#This Row],[Fecha]])*10000+MONTH(tblConcentrado[[#This Row],[Fecha]])*100+DAY(tblConcentrado[[#This Row],[Fecha]]))*100+tblConcentrado[[#This Row],[N° hora]]</f>
        <v>2026092907</v>
      </c>
      <c r="C673" s="1560">
        <v>46294</v>
      </c>
      <c r="D673" s="1038">
        <v>7</v>
      </c>
      <c r="E673" s="952">
        <v>0.625</v>
      </c>
      <c r="F673" s="256">
        <v>1327</v>
      </c>
      <c r="G673" s="256">
        <v>1078</v>
      </c>
      <c r="H673" s="970">
        <v>0.17499999999999999</v>
      </c>
      <c r="I673" s="970">
        <v>0.66500000000000004</v>
      </c>
      <c r="J673" s="970">
        <v>0.4</v>
      </c>
      <c r="K673" s="970">
        <v>0.66500000000000004</v>
      </c>
      <c r="L673" s="970">
        <v>0.4</v>
      </c>
      <c r="M673" s="971">
        <v>26.5</v>
      </c>
      <c r="N673" s="971">
        <v>14.9</v>
      </c>
      <c r="O673" s="971">
        <v>1.9</v>
      </c>
      <c r="P673" s="971">
        <v>1.9</v>
      </c>
      <c r="Q673" s="971">
        <v>8</v>
      </c>
      <c r="R673" s="1038" t="s">
        <v>9258</v>
      </c>
      <c r="S673" s="1038"/>
      <c r="T673" s="1038"/>
      <c r="U673" s="1038" t="s">
        <v>10345</v>
      </c>
      <c r="V673" s="1560">
        <v>46296.135703460648</v>
      </c>
      <c r="W67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19.54</v>
      </c>
      <c r="X67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1.9</v>
      </c>
      <c r="Y673" s="974">
        <f>IFERROR(tblConcentrado[[#This Row],[Concentrado (TMS)]]/tblConcentrado[[#This Row],[Mineral (TMS)]],"")</f>
        <v>0.81235870384325548</v>
      </c>
      <c r="Z673" s="973">
        <f>IFERROR(1/tblConcentrado[[#This Row],[% Recup.]],0)</f>
        <v>1.2309833024118737</v>
      </c>
      <c r="AA673" s="1561" t="str">
        <f>IF(COUNTIFS(tblConcentrado[ID],tblConcentrado[[#This Row],[ID]])&gt;1,"Duplicado","")</f>
        <v/>
      </c>
    </row>
    <row r="674" spans="2:27">
      <c r="B674" s="976">
        <f>(YEAR(tblConcentrado[[#This Row],[Fecha]])*10000+MONTH(tblConcentrado[[#This Row],[Fecha]])*100+DAY(tblConcentrado[[#This Row],[Fecha]]))*100+tblConcentrado[[#This Row],[N° hora]]</f>
        <v>2026092908</v>
      </c>
      <c r="C674" s="1560">
        <v>46294</v>
      </c>
      <c r="D674" s="1038">
        <v>8</v>
      </c>
      <c r="E674" s="952">
        <v>0.66666666666666674</v>
      </c>
      <c r="F674" s="256">
        <v>1380</v>
      </c>
      <c r="G674" s="256">
        <v>988</v>
      </c>
      <c r="H674" s="970"/>
      <c r="I674" s="970"/>
      <c r="J674" s="970"/>
      <c r="K674" s="970"/>
      <c r="L674" s="970"/>
      <c r="M674" s="971"/>
      <c r="N674" s="971"/>
      <c r="O674" s="971"/>
      <c r="P674" s="971"/>
      <c r="Q674" s="971"/>
      <c r="R674" s="1038" t="s">
        <v>9258</v>
      </c>
      <c r="S674" s="1038"/>
      <c r="T674" s="1038"/>
      <c r="U674" s="1038" t="s">
        <v>10345</v>
      </c>
      <c r="V674" s="1560">
        <v>46296.135703460648</v>
      </c>
      <c r="W67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7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74" s="974">
        <f>IFERROR(tblConcentrado[[#This Row],[Concentrado (TMS)]]/tblConcentrado[[#This Row],[Mineral (TMS)]],"")</f>
        <v>0.71594202898550729</v>
      </c>
      <c r="Z674" s="973">
        <f>IFERROR(1/tblConcentrado[[#This Row],[% Recup.]],0)</f>
        <v>1.3967611336032388</v>
      </c>
      <c r="AA674" s="1561" t="str">
        <f>IF(COUNTIFS(tblConcentrado[ID],tblConcentrado[[#This Row],[ID]])&gt;1,"Duplicado","")</f>
        <v/>
      </c>
    </row>
    <row r="675" spans="2:27">
      <c r="B675" s="976">
        <f>(YEAR(tblConcentrado[[#This Row],[Fecha]])*10000+MONTH(tblConcentrado[[#This Row],[Fecha]])*100+DAY(tblConcentrado[[#This Row],[Fecha]]))*100+tblConcentrado[[#This Row],[N° hora]]</f>
        <v>2026092909</v>
      </c>
      <c r="C675" s="1560">
        <v>46294</v>
      </c>
      <c r="D675" s="1038">
        <v>9</v>
      </c>
      <c r="E675" s="952">
        <v>0.70833333333333326</v>
      </c>
      <c r="F675" s="256">
        <v>1353</v>
      </c>
      <c r="G675" s="256">
        <v>1151</v>
      </c>
      <c r="H675" s="970">
        <v>0.19</v>
      </c>
      <c r="I675" s="970">
        <v>0.59699999999999998</v>
      </c>
      <c r="J675" s="970">
        <v>0.36</v>
      </c>
      <c r="K675" s="970">
        <v>0.59699999999999998</v>
      </c>
      <c r="L675" s="970">
        <v>0.36</v>
      </c>
      <c r="M675" s="971">
        <v>24.2</v>
      </c>
      <c r="N675" s="971">
        <v>13.7</v>
      </c>
      <c r="O675" s="971">
        <v>2.2000000000000002</v>
      </c>
      <c r="P675" s="971">
        <v>2</v>
      </c>
      <c r="Q675" s="971">
        <v>8.4</v>
      </c>
      <c r="R675" s="1038" t="s">
        <v>9258</v>
      </c>
      <c r="S675" s="1038"/>
      <c r="T675" s="1038"/>
      <c r="U675" s="1038" t="s">
        <v>10345</v>
      </c>
      <c r="V675" s="1560">
        <v>46296.135703460648</v>
      </c>
      <c r="W67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17.899999999999999</v>
      </c>
      <c r="X67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2.08</v>
      </c>
      <c r="Y675" s="974">
        <f>IFERROR(tblConcentrado[[#This Row],[Concentrado (TMS)]]/tblConcentrado[[#This Row],[Mineral (TMS)]],"")</f>
        <v>0.85070214338507022</v>
      </c>
      <c r="Z675" s="973">
        <f>IFERROR(1/tblConcentrado[[#This Row],[% Recup.]],0)</f>
        <v>1.1754995655951346</v>
      </c>
      <c r="AA675" s="1561" t="str">
        <f>IF(COUNTIFS(tblConcentrado[ID],tblConcentrado[[#This Row],[ID]])&gt;1,"Duplicado","")</f>
        <v/>
      </c>
    </row>
    <row r="676" spans="2:27">
      <c r="B676" s="976">
        <f>(YEAR(tblConcentrado[[#This Row],[Fecha]])*10000+MONTH(tblConcentrado[[#This Row],[Fecha]])*100+DAY(tblConcentrado[[#This Row],[Fecha]]))*100+tblConcentrado[[#This Row],[N° hora]]</f>
        <v>2026092910</v>
      </c>
      <c r="C676" s="1560">
        <v>46294</v>
      </c>
      <c r="D676" s="1038">
        <v>10</v>
      </c>
      <c r="E676" s="952">
        <v>0.75</v>
      </c>
      <c r="F676" s="256">
        <v>1397</v>
      </c>
      <c r="G676" s="256">
        <v>1194</v>
      </c>
      <c r="H676" s="970"/>
      <c r="I676" s="970"/>
      <c r="J676" s="970"/>
      <c r="K676" s="970"/>
      <c r="L676" s="970"/>
      <c r="M676" s="971"/>
      <c r="N676" s="971"/>
      <c r="O676" s="971"/>
      <c r="P676" s="971"/>
      <c r="Q676" s="971"/>
      <c r="R676" s="1038" t="s">
        <v>9258</v>
      </c>
      <c r="S676" s="1038"/>
      <c r="T676" s="1038"/>
      <c r="U676" s="1038" t="s">
        <v>10345</v>
      </c>
      <c r="V676" s="1560">
        <v>46296.135703460648</v>
      </c>
      <c r="W67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7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76" s="974">
        <f>IFERROR(tblConcentrado[[#This Row],[Concentrado (TMS)]]/tblConcentrado[[#This Row],[Mineral (TMS)]],"")</f>
        <v>0.85468861846814603</v>
      </c>
      <c r="Z676" s="973">
        <f>IFERROR(1/tblConcentrado[[#This Row],[% Recup.]],0)</f>
        <v>1.1700167504187604</v>
      </c>
      <c r="AA676" s="1561" t="str">
        <f>IF(COUNTIFS(tblConcentrado[ID],tblConcentrado[[#This Row],[ID]])&gt;1,"Duplicado","")</f>
        <v/>
      </c>
    </row>
    <row r="677" spans="2:27">
      <c r="B677" s="976">
        <f>(YEAR(tblConcentrado[[#This Row],[Fecha]])*10000+MONTH(tblConcentrado[[#This Row],[Fecha]])*100+DAY(tblConcentrado[[#This Row],[Fecha]]))*100+tblConcentrado[[#This Row],[N° hora]]</f>
        <v>2026092911</v>
      </c>
      <c r="C677" s="1560">
        <v>46294</v>
      </c>
      <c r="D677" s="1038">
        <v>11</v>
      </c>
      <c r="E677" s="952">
        <v>0.79166666666666674</v>
      </c>
      <c r="F677" s="256">
        <v>1412</v>
      </c>
      <c r="G677" s="256">
        <v>1001</v>
      </c>
      <c r="H677" s="970">
        <v>0.17899999999999999</v>
      </c>
      <c r="I677" s="970">
        <v>0.62</v>
      </c>
      <c r="J677" s="970">
        <v>0.4</v>
      </c>
      <c r="K677" s="970">
        <v>0.62</v>
      </c>
      <c r="L677" s="970">
        <v>0.4</v>
      </c>
      <c r="M677" s="971">
        <v>25</v>
      </c>
      <c r="N677" s="971">
        <v>14.3</v>
      </c>
      <c r="O677" s="971">
        <v>2.6</v>
      </c>
      <c r="P677" s="971">
        <v>1.9</v>
      </c>
      <c r="Q677" s="971">
        <v>8.8000000000000007</v>
      </c>
      <c r="R677" s="1038" t="s">
        <v>9258</v>
      </c>
      <c r="S677" s="1038"/>
      <c r="T677" s="1038" t="s">
        <v>10416</v>
      </c>
      <c r="U677" s="1038" t="s">
        <v>10345</v>
      </c>
      <c r="V677" s="1560">
        <v>46296.135703460648</v>
      </c>
      <c r="W67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18.579999999999998</v>
      </c>
      <c r="X67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2.1799999999999997</v>
      </c>
      <c r="Y677" s="974">
        <f>IFERROR(tblConcentrado[[#This Row],[Concentrado (TMS)]]/tblConcentrado[[#This Row],[Mineral (TMS)]],"")</f>
        <v>0.70892351274787535</v>
      </c>
      <c r="Z677" s="973">
        <f>IFERROR(1/tblConcentrado[[#This Row],[% Recup.]],0)</f>
        <v>1.4105894105894106</v>
      </c>
      <c r="AA677" s="1561" t="str">
        <f>IF(COUNTIFS(tblConcentrado[ID],tblConcentrado[[#This Row],[ID]])&gt;1,"Duplicado","")</f>
        <v/>
      </c>
    </row>
    <row r="678" spans="2:27">
      <c r="B678" s="976">
        <f>(YEAR(tblConcentrado[[#This Row],[Fecha]])*10000+MONTH(tblConcentrado[[#This Row],[Fecha]])*100+DAY(tblConcentrado[[#This Row],[Fecha]]))*100+tblConcentrado[[#This Row],[N° hora]]</f>
        <v>2026092912</v>
      </c>
      <c r="C678" s="1560">
        <v>46294</v>
      </c>
      <c r="D678" s="1038">
        <v>12</v>
      </c>
      <c r="E678" s="952">
        <v>0.83333333333333326</v>
      </c>
      <c r="F678" s="256">
        <v>1399</v>
      </c>
      <c r="G678" s="256">
        <v>464</v>
      </c>
      <c r="H678" s="970"/>
      <c r="I678" s="970"/>
      <c r="J678" s="970"/>
      <c r="K678" s="970"/>
      <c r="L678" s="970"/>
      <c r="M678" s="971"/>
      <c r="N678" s="971"/>
      <c r="O678" s="971"/>
      <c r="P678" s="971"/>
      <c r="Q678" s="971"/>
      <c r="R678" s="1038" t="s">
        <v>9258</v>
      </c>
      <c r="S678" s="1038"/>
      <c r="T678" s="1038"/>
      <c r="U678" s="1038" t="s">
        <v>10345</v>
      </c>
      <c r="V678" s="1560">
        <v>46296.135703460648</v>
      </c>
      <c r="W67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7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78" s="974">
        <f>IFERROR(tblConcentrado[[#This Row],[Concentrado (TMS)]]/tblConcentrado[[#This Row],[Mineral (TMS)]],"")</f>
        <v>0.33166547533952823</v>
      </c>
      <c r="Z678" s="973">
        <f>IFERROR(1/tblConcentrado[[#This Row],[% Recup.]],0)</f>
        <v>3.0150862068965516</v>
      </c>
      <c r="AA678" s="1561" t="str">
        <f>IF(COUNTIFS(tblConcentrado[ID],tblConcentrado[[#This Row],[ID]])&gt;1,"Duplicado","")</f>
        <v/>
      </c>
    </row>
    <row r="679" spans="2:27">
      <c r="B679" s="976">
        <f>(YEAR(tblConcentrado[[#This Row],[Fecha]])*10000+MONTH(tblConcentrado[[#This Row],[Fecha]])*100+DAY(tblConcentrado[[#This Row],[Fecha]]))*100+tblConcentrado[[#This Row],[N° hora]]</f>
        <v>2026092913</v>
      </c>
      <c r="C679" s="1560">
        <v>46294</v>
      </c>
      <c r="D679" s="1038">
        <v>13</v>
      </c>
      <c r="E679" s="952">
        <v>0.875</v>
      </c>
      <c r="F679" s="256">
        <v>1390</v>
      </c>
      <c r="G679" s="256">
        <v>1065</v>
      </c>
      <c r="H679" s="970">
        <v>0.16700000000000001</v>
      </c>
      <c r="I679" s="970">
        <v>0.56499999999999995</v>
      </c>
      <c r="J679" s="970">
        <v>0.37</v>
      </c>
      <c r="K679" s="970">
        <v>0.56499999999999995</v>
      </c>
      <c r="L679" s="970">
        <v>0.37</v>
      </c>
      <c r="M679" s="971">
        <v>23</v>
      </c>
      <c r="N679" s="971">
        <v>15.5</v>
      </c>
      <c r="O679" s="971">
        <v>2.7</v>
      </c>
      <c r="P679" s="971">
        <v>2.6</v>
      </c>
      <c r="Q679" s="971">
        <v>8.6</v>
      </c>
      <c r="R679" s="1038" t="s">
        <v>9258</v>
      </c>
      <c r="S679" s="1038"/>
      <c r="T679" s="1038"/>
      <c r="U679" s="1038" t="s">
        <v>10345</v>
      </c>
      <c r="V679" s="1560">
        <v>46296.135703460648</v>
      </c>
      <c r="W679"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18.5</v>
      </c>
      <c r="X67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2.64</v>
      </c>
      <c r="Y679" s="974">
        <f>IFERROR(tblConcentrado[[#This Row],[Concentrado (TMS)]]/tblConcentrado[[#This Row],[Mineral (TMS)]],"")</f>
        <v>0.76618705035971224</v>
      </c>
      <c r="Z679" s="973">
        <f>IFERROR(1/tblConcentrado[[#This Row],[% Recup.]],0)</f>
        <v>1.3051643192488263</v>
      </c>
      <c r="AA679" s="1561" t="str">
        <f>IF(COUNTIFS(tblConcentrado[ID],tblConcentrado[[#This Row],[ID]])&gt;1,"Duplicado","")</f>
        <v/>
      </c>
    </row>
    <row r="680" spans="2:27">
      <c r="B680" s="976">
        <f>(YEAR(tblConcentrado[[#This Row],[Fecha]])*10000+MONTH(tblConcentrado[[#This Row],[Fecha]])*100+DAY(tblConcentrado[[#This Row],[Fecha]]))*100+tblConcentrado[[#This Row],[N° hora]]</f>
        <v>2026092914</v>
      </c>
      <c r="C680" s="1560">
        <v>46294</v>
      </c>
      <c r="D680" s="1038">
        <v>14</v>
      </c>
      <c r="E680" s="952">
        <v>0.91666666666666663</v>
      </c>
      <c r="F680" s="256">
        <v>1227</v>
      </c>
      <c r="G680" s="256">
        <v>1069</v>
      </c>
      <c r="H680" s="970"/>
      <c r="I680" s="970"/>
      <c r="J680" s="970"/>
      <c r="K680" s="970"/>
      <c r="L680" s="970"/>
      <c r="M680" s="971"/>
      <c r="N680" s="971"/>
      <c r="O680" s="971"/>
      <c r="P680" s="971"/>
      <c r="Q680" s="971"/>
      <c r="R680" s="1038" t="s">
        <v>9258</v>
      </c>
      <c r="S680" s="1038"/>
      <c r="T680" s="1038"/>
      <c r="U680" s="1038" t="s">
        <v>10345</v>
      </c>
      <c r="V680" s="1560">
        <v>46296.135703460648</v>
      </c>
      <c r="W68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8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80" s="974">
        <f>IFERROR(tblConcentrado[[#This Row],[Concentrado (TMS)]]/tblConcentrado[[#This Row],[Mineral (TMS)]],"")</f>
        <v>0.87123064384678073</v>
      </c>
      <c r="Z680" s="973">
        <f>IFERROR(1/tblConcentrado[[#This Row],[% Recup.]],0)</f>
        <v>1.1478016838166512</v>
      </c>
      <c r="AA680" s="1561" t="str">
        <f>IF(COUNTIFS(tblConcentrado[ID],tblConcentrado[[#This Row],[ID]])&gt;1,"Duplicado","")</f>
        <v/>
      </c>
    </row>
    <row r="681" spans="2:27">
      <c r="B681" s="976">
        <f>(YEAR(tblConcentrado[[#This Row],[Fecha]])*10000+MONTH(tblConcentrado[[#This Row],[Fecha]])*100+DAY(tblConcentrado[[#This Row],[Fecha]]))*100+tblConcentrado[[#This Row],[N° hora]]</f>
        <v>2026092915</v>
      </c>
      <c r="C681" s="1560">
        <v>46294</v>
      </c>
      <c r="D681" s="1038">
        <v>15</v>
      </c>
      <c r="E681" s="952">
        <v>0.95833333333333337</v>
      </c>
      <c r="F681" s="256">
        <v>1389</v>
      </c>
      <c r="G681" s="256">
        <v>980</v>
      </c>
      <c r="H681" s="970">
        <v>0.17699999999999999</v>
      </c>
      <c r="I681" s="970">
        <v>0.59399999999999997</v>
      </c>
      <c r="J681" s="970">
        <v>0.38</v>
      </c>
      <c r="K681" s="970">
        <v>0.59399999999999997</v>
      </c>
      <c r="L681" s="970">
        <v>0.38</v>
      </c>
      <c r="M681" s="971">
        <v>23.6</v>
      </c>
      <c r="N681" s="971">
        <v>14.4</v>
      </c>
      <c r="O681" s="971">
        <v>2.4</v>
      </c>
      <c r="P681" s="971">
        <v>2.2000000000000002</v>
      </c>
      <c r="Q681" s="971">
        <v>8.1999999999999993</v>
      </c>
      <c r="R681" s="1038" t="s">
        <v>9258</v>
      </c>
      <c r="S681" s="1038" t="s">
        <v>10417</v>
      </c>
      <c r="T681" s="1038"/>
      <c r="U681" s="1038" t="s">
        <v>10345</v>
      </c>
      <c r="V681" s="1560">
        <v>46296.135703460648</v>
      </c>
      <c r="W681"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18.080000000000002</v>
      </c>
      <c r="X68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2.2800000000000002</v>
      </c>
      <c r="Y681" s="974">
        <f>IFERROR(tblConcentrado[[#This Row],[Concentrado (TMS)]]/tblConcentrado[[#This Row],[Mineral (TMS)]],"")</f>
        <v>0.70554355651547873</v>
      </c>
      <c r="Z681" s="973">
        <f>IFERROR(1/tblConcentrado[[#This Row],[% Recup.]],0)</f>
        <v>1.4173469387755102</v>
      </c>
      <c r="AA681" s="1561" t="str">
        <f>IF(COUNTIFS(tblConcentrado[ID],tblConcentrado[[#This Row],[ID]])&gt;1,"Duplicado","")</f>
        <v/>
      </c>
    </row>
    <row r="682" spans="2:27">
      <c r="B682" s="976">
        <f>(YEAR(tblConcentrado[[#This Row],[Fecha]])*10000+MONTH(tblConcentrado[[#This Row],[Fecha]])*100+DAY(tblConcentrado[[#This Row],[Fecha]]))*100+tblConcentrado[[#This Row],[N° hora]]</f>
        <v>2026092916</v>
      </c>
      <c r="C682" s="1560">
        <v>46294</v>
      </c>
      <c r="D682" s="1038">
        <v>16</v>
      </c>
      <c r="E682" s="952">
        <v>0</v>
      </c>
      <c r="F682" s="256">
        <v>1312</v>
      </c>
      <c r="G682" s="256">
        <v>756</v>
      </c>
      <c r="H682" s="970"/>
      <c r="I682" s="970"/>
      <c r="J682" s="970"/>
      <c r="K682" s="970"/>
      <c r="L682" s="970"/>
      <c r="M682" s="971"/>
      <c r="N682" s="971"/>
      <c r="O682" s="971"/>
      <c r="P682" s="971"/>
      <c r="Q682" s="971"/>
      <c r="R682" s="1038" t="s">
        <v>9258</v>
      </c>
      <c r="S682" s="1038"/>
      <c r="T682" s="1038"/>
      <c r="U682" s="1038" t="s">
        <v>10345</v>
      </c>
      <c r="V682" s="1560">
        <v>46296.135703460648</v>
      </c>
      <c r="W68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8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82" s="974">
        <f>IFERROR(tblConcentrado[[#This Row],[Concentrado (TMS)]]/tblConcentrado[[#This Row],[Mineral (TMS)]],"")</f>
        <v>0.57621951219512191</v>
      </c>
      <c r="Z682" s="973">
        <f>IFERROR(1/tblConcentrado[[#This Row],[% Recup.]],0)</f>
        <v>1.7354497354497356</v>
      </c>
      <c r="AA682" s="1561" t="str">
        <f>IF(COUNTIFS(tblConcentrado[ID],tblConcentrado[[#This Row],[ID]])&gt;1,"Duplicado","")</f>
        <v/>
      </c>
    </row>
    <row r="683" spans="2:27">
      <c r="B683" s="976">
        <f>(YEAR(tblConcentrado[[#This Row],[Fecha]])*10000+MONTH(tblConcentrado[[#This Row],[Fecha]])*100+DAY(tblConcentrado[[#This Row],[Fecha]]))*100+tblConcentrado[[#This Row],[N° hora]]</f>
        <v>2026092917</v>
      </c>
      <c r="C683" s="1560">
        <v>46294</v>
      </c>
      <c r="D683" s="1038">
        <v>17</v>
      </c>
      <c r="E683" s="952">
        <v>4.1666666666666519E-2</v>
      </c>
      <c r="F683" s="256">
        <v>1376</v>
      </c>
      <c r="G683" s="256">
        <v>891</v>
      </c>
      <c r="H683" s="970">
        <v>0.16</v>
      </c>
      <c r="I683" s="970">
        <v>0.59699999999999998</v>
      </c>
      <c r="J683" s="970">
        <v>0.35</v>
      </c>
      <c r="K683" s="970">
        <v>0.59699999999999998</v>
      </c>
      <c r="L683" s="970">
        <v>0.35</v>
      </c>
      <c r="M683" s="971">
        <v>22.6</v>
      </c>
      <c r="N683" s="971">
        <v>14.9</v>
      </c>
      <c r="O683" s="971">
        <v>2.8</v>
      </c>
      <c r="P683" s="971">
        <v>2.4</v>
      </c>
      <c r="Q683" s="971">
        <v>8.3000000000000007</v>
      </c>
      <c r="R683" s="1038" t="s">
        <v>9258</v>
      </c>
      <c r="S683" s="1038" t="s">
        <v>10418</v>
      </c>
      <c r="T683" s="1038"/>
      <c r="U683" s="1038" t="s">
        <v>10345</v>
      </c>
      <c r="V683" s="1560">
        <v>46296.135703460648</v>
      </c>
      <c r="W683"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17.98</v>
      </c>
      <c r="X68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2.5599999999999996</v>
      </c>
      <c r="Y683" s="974">
        <f>IFERROR(tblConcentrado[[#This Row],[Concentrado (TMS)]]/tblConcentrado[[#This Row],[Mineral (TMS)]],"")</f>
        <v>0.64752906976744184</v>
      </c>
      <c r="Z683" s="973">
        <f>IFERROR(1/tblConcentrado[[#This Row],[% Recup.]],0)</f>
        <v>1.5443322109988777</v>
      </c>
      <c r="AA683" s="1561" t="str">
        <f>IF(COUNTIFS(tblConcentrado[ID],tblConcentrado[[#This Row],[ID]])&gt;1,"Duplicado","")</f>
        <v/>
      </c>
    </row>
    <row r="684" spans="2:27">
      <c r="B684" s="976">
        <f>(YEAR(tblConcentrado[[#This Row],[Fecha]])*10000+MONTH(tblConcentrado[[#This Row],[Fecha]])*100+DAY(tblConcentrado[[#This Row],[Fecha]]))*100+tblConcentrado[[#This Row],[N° hora]]</f>
        <v>2026092918</v>
      </c>
      <c r="C684" s="1560">
        <v>46294</v>
      </c>
      <c r="D684" s="1038">
        <v>18</v>
      </c>
      <c r="E684" s="952">
        <v>8.3333333333333481E-2</v>
      </c>
      <c r="F684" s="256">
        <v>1391</v>
      </c>
      <c r="G684" s="256">
        <v>792</v>
      </c>
      <c r="H684" s="970"/>
      <c r="I684" s="970"/>
      <c r="J684" s="970"/>
      <c r="K684" s="970"/>
      <c r="L684" s="970"/>
      <c r="M684" s="971"/>
      <c r="N684" s="971"/>
      <c r="O684" s="971"/>
      <c r="P684" s="971"/>
      <c r="Q684" s="971"/>
      <c r="R684" s="1038" t="s">
        <v>9258</v>
      </c>
      <c r="S684" s="1038" t="s">
        <v>10419</v>
      </c>
      <c r="T684" s="1038"/>
      <c r="U684" s="1038" t="s">
        <v>10345</v>
      </c>
      <c r="V684" s="1560">
        <v>46296.135703460648</v>
      </c>
      <c r="W68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8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84" s="974">
        <f>IFERROR(tblConcentrado[[#This Row],[Concentrado (TMS)]]/tblConcentrado[[#This Row],[Mineral (TMS)]],"")</f>
        <v>0.56937455068296194</v>
      </c>
      <c r="Z684" s="973">
        <f>IFERROR(1/tblConcentrado[[#This Row],[% Recup.]],0)</f>
        <v>1.7563131313131313</v>
      </c>
      <c r="AA684" s="1561" t="str">
        <f>IF(COUNTIFS(tblConcentrado[ID],tblConcentrado[[#This Row],[ID]])&gt;1,"Duplicado","")</f>
        <v/>
      </c>
    </row>
    <row r="685" spans="2:27">
      <c r="B685" s="976">
        <f>(YEAR(tblConcentrado[[#This Row],[Fecha]])*10000+MONTH(tblConcentrado[[#This Row],[Fecha]])*100+DAY(tblConcentrado[[#This Row],[Fecha]]))*100+tblConcentrado[[#This Row],[N° hora]]</f>
        <v>2026092919</v>
      </c>
      <c r="C685" s="1560">
        <v>46294</v>
      </c>
      <c r="D685" s="1038">
        <v>19</v>
      </c>
      <c r="E685" s="952">
        <v>0.125</v>
      </c>
      <c r="F685" s="256">
        <v>1409</v>
      </c>
      <c r="G685" s="256">
        <v>868</v>
      </c>
      <c r="H685" s="970">
        <v>0.189</v>
      </c>
      <c r="I685" s="970">
        <v>0.627</v>
      </c>
      <c r="J685" s="970">
        <v>0.38</v>
      </c>
      <c r="K685" s="970">
        <v>0.627</v>
      </c>
      <c r="L685" s="970">
        <v>0.38</v>
      </c>
      <c r="M685" s="971">
        <v>21.3</v>
      </c>
      <c r="N685" s="971">
        <v>14.3</v>
      </c>
      <c r="O685" s="971">
        <v>2.7</v>
      </c>
      <c r="P685" s="971">
        <v>2.2000000000000002</v>
      </c>
      <c r="Q685" s="971">
        <v>8.1999999999999993</v>
      </c>
      <c r="R685" s="1038" t="s">
        <v>9258</v>
      </c>
      <c r="S685" s="1038" t="s">
        <v>10420</v>
      </c>
      <c r="T685" s="1038"/>
      <c r="U685" s="1038" t="s">
        <v>10345</v>
      </c>
      <c r="V685" s="1560">
        <v>46296.135703460648</v>
      </c>
      <c r="W685"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17.100000000000001</v>
      </c>
      <c r="X68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2.4000000000000004</v>
      </c>
      <c r="Y685" s="974">
        <f>IFERROR(tblConcentrado[[#This Row],[Concentrado (TMS)]]/tblConcentrado[[#This Row],[Mineral (TMS)]],"")</f>
        <v>0.61603974449964516</v>
      </c>
      <c r="Z685" s="973">
        <f>IFERROR(1/tblConcentrado[[#This Row],[% Recup.]],0)</f>
        <v>1.6232718894009217</v>
      </c>
      <c r="AA685" s="1561" t="str">
        <f>IF(COUNTIFS(tblConcentrado[ID],tblConcentrado[[#This Row],[ID]])&gt;1,"Duplicado","")</f>
        <v/>
      </c>
    </row>
    <row r="686" spans="2:27">
      <c r="B686" s="976">
        <f>(YEAR(tblConcentrado[[#This Row],[Fecha]])*10000+MONTH(tblConcentrado[[#This Row],[Fecha]])*100+DAY(tblConcentrado[[#This Row],[Fecha]]))*100+tblConcentrado[[#This Row],[N° hora]]</f>
        <v>2026092920</v>
      </c>
      <c r="C686" s="1560">
        <v>46294</v>
      </c>
      <c r="D686" s="1038">
        <v>20</v>
      </c>
      <c r="E686" s="952">
        <v>0.16666666666666652</v>
      </c>
      <c r="F686" s="256">
        <v>1452</v>
      </c>
      <c r="G686" s="256">
        <v>807</v>
      </c>
      <c r="H686" s="970"/>
      <c r="I686" s="970"/>
      <c r="J686" s="970"/>
      <c r="K686" s="970"/>
      <c r="L686" s="970"/>
      <c r="M686" s="971"/>
      <c r="N686" s="971"/>
      <c r="O686" s="971"/>
      <c r="P686" s="971"/>
      <c r="Q686" s="971"/>
      <c r="R686" s="1038" t="s">
        <v>9258</v>
      </c>
      <c r="S686" s="1038" t="s">
        <v>10421</v>
      </c>
      <c r="T686" s="1038"/>
      <c r="U686" s="1038" t="s">
        <v>10345</v>
      </c>
      <c r="V686" s="1560">
        <v>46296.135703460648</v>
      </c>
      <c r="W68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8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86" s="974">
        <f>IFERROR(tblConcentrado[[#This Row],[Concentrado (TMS)]]/tblConcentrado[[#This Row],[Mineral (TMS)]],"")</f>
        <v>0.55578512396694213</v>
      </c>
      <c r="Z686" s="973">
        <f>IFERROR(1/tblConcentrado[[#This Row],[% Recup.]],0)</f>
        <v>1.7992565055762082</v>
      </c>
      <c r="AA686" s="1561" t="str">
        <f>IF(COUNTIFS(tblConcentrado[ID],tblConcentrado[[#This Row],[ID]])&gt;1,"Duplicado","")</f>
        <v/>
      </c>
    </row>
    <row r="687" spans="2:27">
      <c r="B687" s="976">
        <f>(YEAR(tblConcentrado[[#This Row],[Fecha]])*10000+MONTH(tblConcentrado[[#This Row],[Fecha]])*100+DAY(tblConcentrado[[#This Row],[Fecha]]))*100+tblConcentrado[[#This Row],[N° hora]]</f>
        <v>2026092921</v>
      </c>
      <c r="C687" s="1560">
        <v>46294</v>
      </c>
      <c r="D687" s="1038">
        <v>21</v>
      </c>
      <c r="E687" s="952">
        <v>0.20833333333333348</v>
      </c>
      <c r="F687" s="256">
        <v>1465</v>
      </c>
      <c r="G687" s="256">
        <v>910</v>
      </c>
      <c r="H687" s="970">
        <v>0.19</v>
      </c>
      <c r="I687" s="970">
        <v>0.6</v>
      </c>
      <c r="J687" s="970">
        <v>0.37</v>
      </c>
      <c r="K687" s="970">
        <v>0.6</v>
      </c>
      <c r="L687" s="970">
        <v>0.37</v>
      </c>
      <c r="M687" s="971">
        <v>22.6</v>
      </c>
      <c r="N687" s="971">
        <v>15.4</v>
      </c>
      <c r="O687" s="971">
        <v>2.5</v>
      </c>
      <c r="P687" s="971">
        <v>2.1</v>
      </c>
      <c r="Q687" s="971">
        <v>8.5</v>
      </c>
      <c r="R687" s="1038" t="s">
        <v>9258</v>
      </c>
      <c r="S687" s="1038" t="s">
        <v>10422</v>
      </c>
      <c r="T687" s="1038"/>
      <c r="U687" s="1038" t="s">
        <v>10345</v>
      </c>
      <c r="V687" s="1560">
        <v>46296.135703460648</v>
      </c>
      <c r="W687" s="973">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18.28</v>
      </c>
      <c r="X687"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2.2599999999999998</v>
      </c>
      <c r="Y687" s="974">
        <f>IFERROR(tblConcentrado[[#This Row],[Concentrado (TMS)]]/tblConcentrado[[#This Row],[Mineral (TMS)]],"")</f>
        <v>0.62116040955631402</v>
      </c>
      <c r="Z687" s="973">
        <f>IFERROR(1/tblConcentrado[[#This Row],[% Recup.]],0)</f>
        <v>1.6098901098901097</v>
      </c>
      <c r="AA687" s="1561" t="str">
        <f>IF(COUNTIFS(tblConcentrado[ID],tblConcentrado[[#This Row],[ID]])&gt;1,"Duplicado","")</f>
        <v/>
      </c>
    </row>
    <row r="688" spans="2:27">
      <c r="B688" s="976">
        <f>(YEAR(tblConcentrado[[#This Row],[Fecha]])*10000+MONTH(tblConcentrado[[#This Row],[Fecha]])*100+DAY(tblConcentrado[[#This Row],[Fecha]]))*100+tblConcentrado[[#This Row],[N° hora]]</f>
        <v>2026092922</v>
      </c>
      <c r="C688" s="1560">
        <v>46294</v>
      </c>
      <c r="D688" s="1038">
        <v>22</v>
      </c>
      <c r="E688" s="952">
        <v>0.25</v>
      </c>
      <c r="F688" s="256">
        <v>1455</v>
      </c>
      <c r="G688" s="256">
        <v>963</v>
      </c>
      <c r="H688" s="970"/>
      <c r="I688" s="970"/>
      <c r="J688" s="970"/>
      <c r="K688" s="970"/>
      <c r="L688" s="970"/>
      <c r="M688" s="971"/>
      <c r="N688" s="971"/>
      <c r="O688" s="971"/>
      <c r="P688" s="971"/>
      <c r="Q688" s="971"/>
      <c r="R688" s="1038" t="s">
        <v>9258</v>
      </c>
      <c r="S688" s="1038" t="s">
        <v>10423</v>
      </c>
      <c r="T688" s="1038"/>
      <c r="U688" s="1038" t="s">
        <v>10345</v>
      </c>
      <c r="V688" s="1560">
        <v>46296.135703460648</v>
      </c>
      <c r="W688"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88"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88" s="974">
        <f>IFERROR(tblConcentrado[[#This Row],[Concentrado (TMS)]]/tblConcentrado[[#This Row],[Mineral (TMS)]],"")</f>
        <v>0.66185567010309276</v>
      </c>
      <c r="Z688" s="973">
        <f>IFERROR(1/tblConcentrado[[#This Row],[% Recup.]],0)</f>
        <v>1.5109034267912773</v>
      </c>
      <c r="AA688" s="1561" t="str">
        <f>IF(COUNTIFS(tblConcentrado[ID],tblConcentrado[[#This Row],[ID]])&gt;1,"Duplicado","")</f>
        <v/>
      </c>
    </row>
    <row r="689" spans="2:27">
      <c r="B689" s="976">
        <f>(YEAR(tblConcentrado[[#This Row],[Fecha]])*10000+MONTH(tblConcentrado[[#This Row],[Fecha]])*100+DAY(tblConcentrado[[#This Row],[Fecha]]))*100+tblConcentrado[[#This Row],[N° hora]]</f>
        <v>2026092923</v>
      </c>
      <c r="C689" s="1560">
        <v>46294</v>
      </c>
      <c r="D689" s="1038">
        <v>23</v>
      </c>
      <c r="E689" s="952">
        <v>0.29166666666666652</v>
      </c>
      <c r="F689" s="256">
        <v>1481</v>
      </c>
      <c r="G689" s="256">
        <v>847</v>
      </c>
      <c r="H689" s="970">
        <v>0.21099999999999999</v>
      </c>
      <c r="I689" s="970">
        <v>0.54300000000000004</v>
      </c>
      <c r="J689" s="970"/>
      <c r="K689" s="970">
        <v>0.54300000000000004</v>
      </c>
      <c r="L689" s="970"/>
      <c r="M689" s="971"/>
      <c r="N689" s="971"/>
      <c r="O689" s="971">
        <v>2.8</v>
      </c>
      <c r="P689" s="971">
        <v>1.9</v>
      </c>
      <c r="Q689" s="971">
        <v>8.1999999999999993</v>
      </c>
      <c r="R689" s="1038" t="s">
        <v>9258</v>
      </c>
      <c r="S689" s="1038" t="s">
        <v>10424</v>
      </c>
      <c r="T689" s="1038"/>
      <c r="U689" s="1038" t="s">
        <v>10345</v>
      </c>
      <c r="V689" s="1560">
        <v>46296.135703460648</v>
      </c>
      <c r="W689"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89"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2.2599999999999998</v>
      </c>
      <c r="Y689" s="974">
        <f>IFERROR(tblConcentrado[[#This Row],[Concentrado (TMS)]]/tblConcentrado[[#This Row],[Mineral (TMS)]],"")</f>
        <v>0.5719108710330858</v>
      </c>
      <c r="Z689" s="973">
        <f>IFERROR(1/tblConcentrado[[#This Row],[% Recup.]],0)</f>
        <v>1.7485242030696575</v>
      </c>
      <c r="AA689" s="1561" t="str">
        <f>IF(COUNTIFS(tblConcentrado[ID],tblConcentrado[[#This Row],[ID]])&gt;1,"Duplicado","")</f>
        <v/>
      </c>
    </row>
    <row r="690" spans="2:27">
      <c r="B690" s="976">
        <f>(YEAR(tblConcentrado[[#This Row],[Fecha]])*10000+MONTH(tblConcentrado[[#This Row],[Fecha]])*100+DAY(tblConcentrado[[#This Row],[Fecha]]))*100+tblConcentrado[[#This Row],[N° hora]]</f>
        <v>2026092924</v>
      </c>
      <c r="C690" s="1560">
        <v>46294</v>
      </c>
      <c r="D690" s="1038">
        <v>24</v>
      </c>
      <c r="E690" s="952">
        <v>0.33333333333333348</v>
      </c>
      <c r="F690" s="256">
        <v>1464</v>
      </c>
      <c r="G690" s="256">
        <v>961</v>
      </c>
      <c r="H690" s="970"/>
      <c r="I690" s="970"/>
      <c r="J690" s="970"/>
      <c r="K690" s="970"/>
      <c r="L690" s="970"/>
      <c r="M690" s="971"/>
      <c r="N690" s="971"/>
      <c r="O690" s="971"/>
      <c r="P690" s="971"/>
      <c r="Q690" s="971"/>
      <c r="R690" s="1038" t="s">
        <v>9258</v>
      </c>
      <c r="S690" s="1038"/>
      <c r="T690" s="1038"/>
      <c r="U690" s="1038" t="s">
        <v>10345</v>
      </c>
      <c r="V690" s="1560">
        <v>46296.135703460648</v>
      </c>
      <c r="W690"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90"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90" s="974">
        <f>IFERROR(tblConcentrado[[#This Row],[Concentrado (TMS)]]/tblConcentrado[[#This Row],[Mineral (TMS)]],"")</f>
        <v>0.65642076502732238</v>
      </c>
      <c r="Z690" s="973">
        <f>IFERROR(1/tblConcentrado[[#This Row],[% Recup.]],0)</f>
        <v>1.5234131113423517</v>
      </c>
      <c r="AA690" s="1561" t="str">
        <f>IF(COUNTIFS(tblConcentrado[ID],tblConcentrado[[#This Row],[ID]])&gt;1,"Duplicado","")</f>
        <v/>
      </c>
    </row>
    <row r="691" spans="2:27">
      <c r="B691" s="976">
        <f>(YEAR(tblConcentrado[[#This Row],[Fecha]])*10000+MONTH(tblConcentrado[[#This Row],[Fecha]])*100+DAY(tblConcentrado[[#This Row],[Fecha]]))*100+tblConcentrado[[#This Row],[N° hora]]</f>
        <v>2026093001</v>
      </c>
      <c r="C691" s="1560">
        <v>46295</v>
      </c>
      <c r="D691" s="1038">
        <v>1</v>
      </c>
      <c r="E691" s="952">
        <v>0.375</v>
      </c>
      <c r="F691" s="256">
        <v>1439</v>
      </c>
      <c r="G691" s="256">
        <v>928</v>
      </c>
      <c r="H691" s="970">
        <v>0.216</v>
      </c>
      <c r="I691" s="970">
        <v>0.876</v>
      </c>
      <c r="J691" s="970"/>
      <c r="K691" s="970">
        <v>0.876</v>
      </c>
      <c r="L691" s="970"/>
      <c r="M691" s="971"/>
      <c r="N691" s="971"/>
      <c r="O691" s="971">
        <v>3</v>
      </c>
      <c r="P691" s="971">
        <v>2</v>
      </c>
      <c r="Q691" s="971">
        <v>8.1</v>
      </c>
      <c r="R691" s="1038" t="s">
        <v>9258</v>
      </c>
      <c r="S691" s="1038"/>
      <c r="T691" s="1038"/>
      <c r="U691" s="1038" t="s">
        <v>10345</v>
      </c>
      <c r="V691" s="1560">
        <v>46296.135703460648</v>
      </c>
      <c r="W691"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91"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2.4000000000000004</v>
      </c>
      <c r="Y691" s="974">
        <f>IFERROR(tblConcentrado[[#This Row],[Concentrado (TMS)]]/tblConcentrado[[#This Row],[Mineral (TMS)]],"")</f>
        <v>0.64489228630993745</v>
      </c>
      <c r="Z691" s="973">
        <f>IFERROR(1/tblConcentrado[[#This Row],[% Recup.]],0)</f>
        <v>1.5506465517241379</v>
      </c>
      <c r="AA691" s="1561" t="str">
        <f>IF(COUNTIFS(tblConcentrado[ID],tblConcentrado[[#This Row],[ID]])&gt;1,"Duplicado","")</f>
        <v/>
      </c>
    </row>
    <row r="692" spans="2:27">
      <c r="B692" s="976">
        <f>(YEAR(tblConcentrado[[#This Row],[Fecha]])*10000+MONTH(tblConcentrado[[#This Row],[Fecha]])*100+DAY(tblConcentrado[[#This Row],[Fecha]]))*100+tblConcentrado[[#This Row],[N° hora]]</f>
        <v>2026093002</v>
      </c>
      <c r="C692" s="1560">
        <v>46295</v>
      </c>
      <c r="D692" s="1038">
        <v>2</v>
      </c>
      <c r="E692" s="952">
        <v>0.41666666666666669</v>
      </c>
      <c r="F692" s="256">
        <v>1431</v>
      </c>
      <c r="G692" s="256">
        <v>908</v>
      </c>
      <c r="H692" s="970"/>
      <c r="I692" s="970"/>
      <c r="J692" s="970"/>
      <c r="K692" s="970"/>
      <c r="L692" s="970"/>
      <c r="M692" s="971"/>
      <c r="N692" s="971"/>
      <c r="O692" s="971"/>
      <c r="P692" s="971"/>
      <c r="Q692" s="971"/>
      <c r="R692" s="1038" t="s">
        <v>9258</v>
      </c>
      <c r="S692" s="1038"/>
      <c r="T692" s="1038"/>
      <c r="U692" s="1038" t="s">
        <v>10345</v>
      </c>
      <c r="V692" s="1560">
        <v>46296.135703460648</v>
      </c>
      <c r="W692"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92"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92" s="974">
        <f>IFERROR(tblConcentrado[[#This Row],[Concentrado (TMS)]]/tblConcentrado[[#This Row],[Mineral (TMS)]],"")</f>
        <v>0.63452131376659682</v>
      </c>
      <c r="Z692" s="973">
        <f>IFERROR(1/tblConcentrado[[#This Row],[% Recup.]],0)</f>
        <v>1.5759911894273126</v>
      </c>
      <c r="AA692" s="1561" t="str">
        <f>IF(COUNTIFS(tblConcentrado[ID],tblConcentrado[[#This Row],[ID]])&gt;1,"Duplicado","")</f>
        <v/>
      </c>
    </row>
    <row r="693" spans="2:27">
      <c r="B693" s="976">
        <f>(YEAR(tblConcentrado[[#This Row],[Fecha]])*10000+MONTH(tblConcentrado[[#This Row],[Fecha]])*100+DAY(tblConcentrado[[#This Row],[Fecha]]))*100+tblConcentrado[[#This Row],[N° hora]]</f>
        <v>2026093003</v>
      </c>
      <c r="C693" s="1560">
        <v>46295</v>
      </c>
      <c r="D693" s="1038">
        <v>3</v>
      </c>
      <c r="E693" s="952">
        <v>0.45833333333333331</v>
      </c>
      <c r="F693" s="256">
        <v>1415</v>
      </c>
      <c r="G693" s="256">
        <v>1016</v>
      </c>
      <c r="H693" s="970">
        <v>0.248</v>
      </c>
      <c r="I693" s="970">
        <v>0.57399999999999995</v>
      </c>
      <c r="J693" s="970">
        <v>0.41</v>
      </c>
      <c r="K693" s="970">
        <v>0.57399999999999995</v>
      </c>
      <c r="L693" s="970">
        <v>0.41</v>
      </c>
      <c r="M693" s="971"/>
      <c r="N693" s="971"/>
      <c r="O693" s="971">
        <v>2.4</v>
      </c>
      <c r="P693" s="971">
        <v>2</v>
      </c>
      <c r="Q693" s="971">
        <v>8.1999999999999993</v>
      </c>
      <c r="R693" s="1038" t="s">
        <v>9258</v>
      </c>
      <c r="S693" s="1038"/>
      <c r="T693" s="1038"/>
      <c r="U693" s="1038" t="s">
        <v>10345</v>
      </c>
      <c r="V693" s="1560">
        <v>46296.135703460648</v>
      </c>
      <c r="W693"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93"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2.16</v>
      </c>
      <c r="Y693" s="974">
        <f>IFERROR(tblConcentrado[[#This Row],[Concentrado (TMS)]]/tblConcentrado[[#This Row],[Mineral (TMS)]],"")</f>
        <v>0.71802120141342751</v>
      </c>
      <c r="Z693" s="973">
        <f>IFERROR(1/tblConcentrado[[#This Row],[% Recup.]],0)</f>
        <v>1.3927165354330711</v>
      </c>
      <c r="AA693" s="1561" t="str">
        <f>IF(COUNTIFS(tblConcentrado[ID],tblConcentrado[[#This Row],[ID]])&gt;1,"Duplicado","")</f>
        <v/>
      </c>
    </row>
    <row r="694" spans="2:27">
      <c r="B694" s="976">
        <f>(YEAR(tblConcentrado[[#This Row],[Fecha]])*10000+MONTH(tblConcentrado[[#This Row],[Fecha]])*100+DAY(tblConcentrado[[#This Row],[Fecha]]))*100+tblConcentrado[[#This Row],[N° hora]]</f>
        <v>2026093004</v>
      </c>
      <c r="C694" s="1560">
        <v>46295</v>
      </c>
      <c r="D694" s="1038">
        <v>4</v>
      </c>
      <c r="E694" s="952">
        <v>0.5</v>
      </c>
      <c r="F694" s="256">
        <v>1401</v>
      </c>
      <c r="G694" s="256">
        <v>904</v>
      </c>
      <c r="H694" s="970"/>
      <c r="I694" s="970"/>
      <c r="J694" s="970"/>
      <c r="K694" s="970"/>
      <c r="L694" s="970"/>
      <c r="M694" s="971"/>
      <c r="N694" s="971"/>
      <c r="O694" s="971"/>
      <c r="P694" s="971"/>
      <c r="Q694" s="971"/>
      <c r="R694" s="1038" t="s">
        <v>9258</v>
      </c>
      <c r="S694" s="1038"/>
      <c r="T694" s="1038"/>
      <c r="U694" s="1038" t="s">
        <v>10345</v>
      </c>
      <c r="V694" s="1560">
        <v>46296.135703460648</v>
      </c>
      <c r="W694"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94"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94" s="974">
        <f>IFERROR(tblConcentrado[[#This Row],[Concentrado (TMS)]]/tblConcentrado[[#This Row],[Mineral (TMS)]],"")</f>
        <v>0.64525339043540331</v>
      </c>
      <c r="Z694" s="973">
        <f>IFERROR(1/tblConcentrado[[#This Row],[% Recup.]],0)</f>
        <v>1.5497787610619469</v>
      </c>
      <c r="AA694" s="1561" t="str">
        <f>IF(COUNTIFS(tblConcentrado[ID],tblConcentrado[[#This Row],[ID]])&gt;1,"Duplicado","")</f>
        <v/>
      </c>
    </row>
    <row r="695" spans="2:27">
      <c r="B695" s="976">
        <f>(YEAR(tblConcentrado[[#This Row],[Fecha]])*10000+MONTH(tblConcentrado[[#This Row],[Fecha]])*100+DAY(tblConcentrado[[#This Row],[Fecha]]))*100+tblConcentrado[[#This Row],[N° hora]]</f>
        <v>2026093005</v>
      </c>
      <c r="C695" s="1560">
        <v>46295</v>
      </c>
      <c r="D695" s="1038">
        <v>5</v>
      </c>
      <c r="E695" s="952">
        <v>0.54166666666666663</v>
      </c>
      <c r="F695" s="256">
        <v>1422</v>
      </c>
      <c r="G695" s="256">
        <v>972</v>
      </c>
      <c r="H695" s="970">
        <v>0.20699999999999999</v>
      </c>
      <c r="I695" s="970">
        <v>0.61299999999999999</v>
      </c>
      <c r="J695" s="970"/>
      <c r="K695" s="970">
        <v>0.61299999999999999</v>
      </c>
      <c r="L695" s="970"/>
      <c r="M695" s="971"/>
      <c r="N695" s="971"/>
      <c r="O695" s="971">
        <v>2.2999999999999998</v>
      </c>
      <c r="P695" s="971">
        <v>2.1</v>
      </c>
      <c r="Q695" s="971">
        <v>8.1999999999999993</v>
      </c>
      <c r="R695" s="1038" t="s">
        <v>9258</v>
      </c>
      <c r="S695" s="1038"/>
      <c r="T695" s="1038"/>
      <c r="U695" s="1038" t="s">
        <v>10345</v>
      </c>
      <c r="V695" s="1560">
        <v>46296.135703460648</v>
      </c>
      <c r="W695"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95" s="973">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2.1799999999999997</v>
      </c>
      <c r="Y695" s="974">
        <f>IFERROR(tblConcentrado[[#This Row],[Concentrado (TMS)]]/tblConcentrado[[#This Row],[Mineral (TMS)]],"")</f>
        <v>0.68354430379746833</v>
      </c>
      <c r="Z695" s="973">
        <f>IFERROR(1/tblConcentrado[[#This Row],[% Recup.]],0)</f>
        <v>1.462962962962963</v>
      </c>
      <c r="AA695" s="1561" t="str">
        <f>IF(COUNTIFS(tblConcentrado[ID],tblConcentrado[[#This Row],[ID]])&gt;1,"Duplicado","")</f>
        <v/>
      </c>
    </row>
    <row r="696" spans="2:27">
      <c r="B696" s="976">
        <f>(YEAR(tblConcentrado[[#This Row],[Fecha]])*10000+MONTH(tblConcentrado[[#This Row],[Fecha]])*100+DAY(tblConcentrado[[#This Row],[Fecha]]))*100+tblConcentrado[[#This Row],[N° hora]]</f>
        <v>2026093006</v>
      </c>
      <c r="C696" s="1560">
        <v>46295</v>
      </c>
      <c r="D696" s="1038">
        <v>6</v>
      </c>
      <c r="E696" s="952">
        <v>0.58333333333333337</v>
      </c>
      <c r="F696" s="256">
        <v>1414</v>
      </c>
      <c r="G696" s="256">
        <v>962</v>
      </c>
      <c r="H696" s="970"/>
      <c r="I696" s="970"/>
      <c r="J696" s="970"/>
      <c r="K696" s="970"/>
      <c r="L696" s="970"/>
      <c r="M696" s="971"/>
      <c r="N696" s="971"/>
      <c r="O696" s="971"/>
      <c r="P696" s="971"/>
      <c r="Q696" s="971"/>
      <c r="R696" s="1038" t="s">
        <v>9258</v>
      </c>
      <c r="S696" s="1038"/>
      <c r="T696" s="1038"/>
      <c r="U696" s="1038" t="s">
        <v>10345</v>
      </c>
      <c r="V696" s="1560">
        <v>46296.135703460648</v>
      </c>
      <c r="W696"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96"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96" s="974">
        <f>IFERROR(tblConcentrado[[#This Row],[Concentrado (TMS)]]/tblConcentrado[[#This Row],[Mineral (TMS)]],"")</f>
        <v>0.68033946251768029</v>
      </c>
      <c r="Z696" s="973">
        <f>IFERROR(1/tblConcentrado[[#This Row],[% Recup.]],0)</f>
        <v>1.46985446985447</v>
      </c>
      <c r="AA696" s="1561" t="str">
        <f>IF(COUNTIFS(tblConcentrado[ID],tblConcentrado[[#This Row],[ID]])&gt;1,"Duplicado","")</f>
        <v/>
      </c>
    </row>
    <row r="697" spans="2:27">
      <c r="B697" s="976">
        <f>(YEAR(tblConcentrado[[#This Row],[Fecha]])*10000+MONTH(tblConcentrado[[#This Row],[Fecha]])*100+DAY(tblConcentrado[[#This Row],[Fecha]]))*100+tblConcentrado[[#This Row],[N° hora]]</f>
        <v>2026093007</v>
      </c>
      <c r="C697" s="1560">
        <v>46295</v>
      </c>
      <c r="D697" s="1038">
        <v>7</v>
      </c>
      <c r="E697" s="952">
        <v>0.625</v>
      </c>
      <c r="F697" s="256"/>
      <c r="G697" s="256">
        <v>897</v>
      </c>
      <c r="H697" s="970"/>
      <c r="I697" s="970"/>
      <c r="J697" s="970"/>
      <c r="K697" s="970"/>
      <c r="L697" s="970"/>
      <c r="M697" s="971"/>
      <c r="N697" s="971"/>
      <c r="O697" s="971"/>
      <c r="P697" s="971"/>
      <c r="Q697" s="971">
        <v>8.6</v>
      </c>
      <c r="R697" s="1038" t="s">
        <v>9258</v>
      </c>
      <c r="S697" s="1038"/>
      <c r="T697" s="1038"/>
      <c r="U697" s="1038" t="s">
        <v>10345</v>
      </c>
      <c r="V697" s="1560">
        <v>46296.135703460648</v>
      </c>
      <c r="W697" s="973" t="str">
        <f>IF(COUNT(tblConcentrado[[#This Row],[ESP.Ant Fe]],tblConcentrado[[#This Row],[ESP.N Fe Sol]])=0,"",tblConcentrado[[#This Row],[ESP.Ant Fe]]*SUMIFS(tblMetas[Valor],tblMetas[Código],"W_ANT",tblMetas[Desde],"&lt;="&amp;tblConcentrado[[#This Row],[Fecha]],tblMetas[Hasta],"&gt;="&amp;tblConcentrado[[#This Row],[Fecha]])+tblConcentrado[[#This Row],[ESP.N Fe Sol]]*SUMIFS(tblMetas[Valor],tblMetas[Código],"W_NUEVO",tblMetas[Desde],"&lt;="&amp;tblConcentrado[[#This Row],[Fecha]],tblMetas[Hasta],"&gt;="&amp;tblConcentrado[[#This Row],[Fecha]]))</f>
        <v/>
      </c>
      <c r="X697" s="973" t="str">
        <f>IF(COUNT(tblConcentrado[[#This Row],[ESP.Ant FeO]],tblConcentrado[[#This Row],[ESP.N FeO]])=0,"",tblConcentrado[[#This Row],[ESP.Ant FeO]]*SUMIFS(tblMetas[Valor],tblMetas[Código],"W_ANT",tblMetas[Desde],"&lt;="&amp;tblConcentrado[[#This Row],[Fecha]],tblMetas[Hasta],"&gt;="&amp;tblConcentrado[[#This Row],[Fecha]])+tblConcentrado[[#This Row],[ESP.N FeO]]*SUMIFS(tblMetas[Valor],tblMetas[Código],"W_NUEVO",tblMetas[Desde],"&lt;="&amp;tblConcentrado[[#This Row],[Fecha]],tblMetas[Hasta],"&gt;="&amp;tblConcentrado[[#This Row],[Fecha]]))</f>
        <v/>
      </c>
      <c r="Y697" s="974" t="str">
        <f>IFERROR(tblConcentrado[[#This Row],[Concentrado (TMS)]]/tblConcentrado[[#This Row],[Mineral (TMS)]],"")</f>
        <v/>
      </c>
      <c r="Z697" s="973">
        <f>IFERROR(1/tblConcentrado[[#This Row],[% Recup.]],0)</f>
        <v>0</v>
      </c>
      <c r="AA697" s="1561" t="str">
        <f>IF(COUNTIFS(tblConcentrado[ID],tblConcentrado[[#This Row],[ID]])&gt;1,"Duplicado","")</f>
        <v/>
      </c>
    </row>
  </sheetData>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Datos Concentrado — Página &amp;P de &amp;F</oddFooter>
  </headerFooter>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32142-F812-48AA-A662-DADAA637C497}">
  <sheetPr codeName="Hoja21">
    <tabColor rgb="FF1F3864"/>
    <pageSetUpPr fitToPage="1"/>
  </sheetPr>
  <dimension ref="B1:K2962"/>
  <sheetViews>
    <sheetView showGridLines="0" workbookViewId="0">
      <pane xSplit="3" ySplit="4" topLeftCell="F1865" activePane="bottomRight" state="frozen"/>
      <selection pane="topRight" activeCell="D1" sqref="D1"/>
      <selection pane="bottomLeft" activeCell="A5" sqref="A5"/>
      <selection pane="bottomRight" activeCell="B4" sqref="B4:K1897"/>
    </sheetView>
  </sheetViews>
  <sheetFormatPr baseColWidth="10" defaultRowHeight="15"/>
  <cols>
    <col min="1" max="1" width="2.85546875" customWidth="1"/>
    <col min="2" max="2" width="38.140625" customWidth="1"/>
    <col min="3" max="3" width="14.28515625" customWidth="1"/>
    <col min="4" max="4" width="32.42578125" customWidth="1"/>
    <col min="5" max="5" width="28.5703125" customWidth="1"/>
    <col min="6" max="6" width="22.85546875" customWidth="1"/>
    <col min="7" max="7" width="17.140625" customWidth="1"/>
    <col min="8" max="8" width="21" customWidth="1"/>
    <col min="9" max="9" width="17.140625" customWidth="1"/>
    <col min="10" max="10" width="57.140625" customWidth="1"/>
    <col min="11" max="11" width="14.28515625" customWidth="1"/>
  </cols>
  <sheetData>
    <row r="1" spans="2:11" ht="18.75">
      <c r="B1" s="948" t="s">
        <v>9520</v>
      </c>
    </row>
    <row r="2" spans="2:11">
      <c r="B2" s="949" t="s">
        <v>9521</v>
      </c>
    </row>
    <row r="4" spans="2:11" ht="24" customHeight="1">
      <c r="B4" s="988" t="s">
        <v>9522</v>
      </c>
      <c r="C4" s="988" t="s">
        <v>3</v>
      </c>
      <c r="D4" s="988" t="s">
        <v>9425</v>
      </c>
      <c r="E4" s="988" t="s">
        <v>9460</v>
      </c>
      <c r="F4" s="988" t="s">
        <v>366</v>
      </c>
      <c r="G4" s="988" t="s">
        <v>2408</v>
      </c>
      <c r="H4" s="988" t="s">
        <v>9327</v>
      </c>
      <c r="I4" s="988" t="s">
        <v>9328</v>
      </c>
      <c r="J4" s="988" t="s">
        <v>2523</v>
      </c>
      <c r="K4" s="988" t="s">
        <v>9332</v>
      </c>
    </row>
    <row r="5" spans="2:11">
      <c r="B5" s="975" t="str">
        <f>tblControles[[#This Row],[Fecha]]&amp;"|"&amp;tblControles[[#This Row],[Módulo]]&amp;"|"&amp;tblControles[[#This Row],[Ítem]]&amp;"|"&amp;tblControles[[#This Row],[Turno]]</f>
        <v>46238|CARGA MOLINOS|RM - 1|% carga</v>
      </c>
      <c r="C5" s="871">
        <v>46238</v>
      </c>
      <c r="D5" t="s">
        <v>9455</v>
      </c>
      <c r="E5" t="s">
        <v>435</v>
      </c>
      <c r="F5" t="s">
        <v>9457</v>
      </c>
      <c r="G5">
        <v>90.6</v>
      </c>
      <c r="H5" t="s">
        <v>9333</v>
      </c>
      <c r="I5" s="871">
        <v>46293.93683766204</v>
      </c>
      <c r="J5" t="s">
        <v>9523</v>
      </c>
      <c r="K5" s="975" t="str">
        <f>IF(COUNTIFS(tblControles[Clave],tblControles[[#This Row],[Clave]])&gt;1,"Duplicado","")</f>
        <v/>
      </c>
    </row>
    <row r="6" spans="2:11">
      <c r="B6" s="975" t="str">
        <f>tblControles[[#This Row],[Fecha]]&amp;"|"&amp;tblControles[[#This Row],[Módulo]]&amp;"|"&amp;tblControles[[#This Row],[Ítem]]&amp;"|"&amp;tblControles[[#This Row],[Turno]]</f>
        <v>46238|CARGA MOLINOS|RM - 2|% carga</v>
      </c>
      <c r="C6" s="871">
        <v>46238</v>
      </c>
      <c r="D6" t="s">
        <v>9455</v>
      </c>
      <c r="E6" t="s">
        <v>436</v>
      </c>
      <c r="F6" t="s">
        <v>9457</v>
      </c>
      <c r="G6">
        <v>85.3</v>
      </c>
      <c r="H6" t="s">
        <v>9333</v>
      </c>
      <c r="I6" s="871">
        <v>46293.93683766204</v>
      </c>
      <c r="J6" t="s">
        <v>9523</v>
      </c>
      <c r="K6" s="975" t="str">
        <f>IF(COUNTIFS(tblControles[Clave],tblControles[[#This Row],[Clave]])&gt;1,"Duplicado","")</f>
        <v/>
      </c>
    </row>
    <row r="7" spans="2:11">
      <c r="B7" s="975" t="str">
        <f>tblControles[[#This Row],[Fecha]]&amp;"|"&amp;tblControles[[#This Row],[Módulo]]&amp;"|"&amp;tblControles[[#This Row],[Ítem]]&amp;"|"&amp;tblControles[[#This Row],[Turno]]</f>
        <v>46238|CARGA MOLINOS|RM - 3|% carga</v>
      </c>
      <c r="C7" s="871">
        <v>46238</v>
      </c>
      <c r="D7" t="s">
        <v>9455</v>
      </c>
      <c r="E7" t="s">
        <v>437</v>
      </c>
      <c r="F7" t="s">
        <v>9457</v>
      </c>
      <c r="G7">
        <v>93.5</v>
      </c>
      <c r="H7" t="s">
        <v>9333</v>
      </c>
      <c r="I7" s="871">
        <v>46293.93683766204</v>
      </c>
      <c r="J7" t="s">
        <v>9523</v>
      </c>
      <c r="K7" s="975" t="str">
        <f>IF(COUNTIFS(tblControles[Clave],tblControles[[#This Row],[Clave]])&gt;1,"Duplicado","")</f>
        <v/>
      </c>
    </row>
    <row r="8" spans="2:11">
      <c r="B8" s="975" t="str">
        <f>tblControles[[#This Row],[Fecha]]&amp;"|"&amp;tblControles[[#This Row],[Módulo]]&amp;"|"&amp;tblControles[[#This Row],[Ítem]]&amp;"|"&amp;tblControles[[#This Row],[Turno]]</f>
        <v>46238|CARGA MOLINOS|RM - 4|% carga</v>
      </c>
      <c r="C8" s="871">
        <v>46238</v>
      </c>
      <c r="D8" t="s">
        <v>9455</v>
      </c>
      <c r="E8" t="s">
        <v>438</v>
      </c>
      <c r="F8" t="s">
        <v>9457</v>
      </c>
      <c r="G8">
        <v>91.8</v>
      </c>
      <c r="H8" t="s">
        <v>9333</v>
      </c>
      <c r="I8" s="871">
        <v>46293.93683766204</v>
      </c>
      <c r="J8" t="s">
        <v>9523</v>
      </c>
      <c r="K8" s="975" t="str">
        <f>IF(COUNTIFS(tblControles[Clave],tblControles[[#This Row],[Clave]])&gt;1,"Duplicado","")</f>
        <v/>
      </c>
    </row>
    <row r="9" spans="2:11">
      <c r="B9" s="975" t="str">
        <f>tblControles[[#This Row],[Fecha]]&amp;"|"&amp;tblControles[[#This Row],[Módulo]]&amp;"|"&amp;tblControles[[#This Row],[Ítem]]&amp;"|"&amp;tblControles[[#This Row],[Turno]]</f>
        <v>46238|CARGA MOLINOS|RM - 5|% carga</v>
      </c>
      <c r="C9" s="871">
        <v>46238</v>
      </c>
      <c r="D9" t="s">
        <v>9455</v>
      </c>
      <c r="E9" t="s">
        <v>439</v>
      </c>
      <c r="F9" t="s">
        <v>9457</v>
      </c>
      <c r="G9">
        <v>89.8</v>
      </c>
      <c r="H9" t="s">
        <v>9333</v>
      </c>
      <c r="I9" s="871">
        <v>46293.93683766204</v>
      </c>
      <c r="J9" t="s">
        <v>9523</v>
      </c>
      <c r="K9" s="975" t="str">
        <f>IF(COUNTIFS(tblControles[Clave],tblControles[[#This Row],[Clave]])&gt;1,"Duplicado","")</f>
        <v/>
      </c>
    </row>
    <row r="10" spans="2:11">
      <c r="B10" s="975" t="str">
        <f>tblControles[[#This Row],[Fecha]]&amp;"|"&amp;tblControles[[#This Row],[Módulo]]&amp;"|"&amp;tblControles[[#This Row],[Ítem]]&amp;"|"&amp;tblControles[[#This Row],[Turno]]</f>
        <v>46238|CARGA MOLINOS|RM - 6|% carga</v>
      </c>
      <c r="C10" s="871">
        <v>46238</v>
      </c>
      <c r="D10" t="s">
        <v>9455</v>
      </c>
      <c r="E10" t="s">
        <v>440</v>
      </c>
      <c r="F10" t="s">
        <v>9457</v>
      </c>
      <c r="G10">
        <v>93.9</v>
      </c>
      <c r="H10" t="s">
        <v>9333</v>
      </c>
      <c r="I10" s="871">
        <v>46293.93683766204</v>
      </c>
      <c r="J10" t="s">
        <v>9523</v>
      </c>
      <c r="K10" s="975" t="str">
        <f>IF(COUNTIFS(tblControles[Clave],tblControles[[#This Row],[Clave]])&gt;1,"Duplicado","")</f>
        <v/>
      </c>
    </row>
    <row r="11" spans="2:11">
      <c r="B11" s="975" t="str">
        <f>tblControles[[#This Row],[Fecha]]&amp;"|"&amp;tblControles[[#This Row],[Módulo]]&amp;"|"&amp;tblControles[[#This Row],[Ítem]]&amp;"|"&amp;tblControles[[#This Row],[Turno]]</f>
        <v>46238|CARGA MOLINOS|RM - 7|% carga</v>
      </c>
      <c r="C11" s="871">
        <v>46238</v>
      </c>
      <c r="D11" t="s">
        <v>9455</v>
      </c>
      <c r="E11" t="s">
        <v>441</v>
      </c>
      <c r="F11" t="s">
        <v>9457</v>
      </c>
      <c r="G11">
        <v>90.6</v>
      </c>
      <c r="H11" t="s">
        <v>9333</v>
      </c>
      <c r="I11" s="871">
        <v>46293.93683766204</v>
      </c>
      <c r="J11" t="s">
        <v>9523</v>
      </c>
      <c r="K11" s="975" t="str">
        <f>IF(COUNTIFS(tblControles[Clave],tblControles[[#This Row],[Clave]])&gt;1,"Duplicado","")</f>
        <v/>
      </c>
    </row>
    <row r="12" spans="2:11">
      <c r="B12" s="975" t="str">
        <f>tblControles[[#This Row],[Fecha]]&amp;"|"&amp;tblControles[[#This Row],[Módulo]]&amp;"|"&amp;tblControles[[#This Row],[Ítem]]&amp;"|"&amp;tblControles[[#This Row],[Turno]]</f>
        <v>46238|CARGA MOLINOS|RM - 8|% carga</v>
      </c>
      <c r="C12" s="871">
        <v>46238</v>
      </c>
      <c r="D12" t="s">
        <v>9455</v>
      </c>
      <c r="E12" t="s">
        <v>442</v>
      </c>
      <c r="F12" t="s">
        <v>9457</v>
      </c>
      <c r="G12">
        <v>87.5</v>
      </c>
      <c r="H12" t="s">
        <v>9333</v>
      </c>
      <c r="I12" s="871">
        <v>46293.93683766204</v>
      </c>
      <c r="J12" t="s">
        <v>9523</v>
      </c>
      <c r="K12" s="975" t="str">
        <f>IF(COUNTIFS(tblControles[Clave],tblControles[[#This Row],[Clave]])&gt;1,"Duplicado","")</f>
        <v/>
      </c>
    </row>
    <row r="13" spans="2:11">
      <c r="B13" s="975" t="str">
        <f>tblControles[[#This Row],[Fecha]]&amp;"|"&amp;tblControles[[#This Row],[Módulo]]&amp;"|"&amp;tblControles[[#This Row],[Ítem]]&amp;"|"&amp;tblControles[[#This Row],[Turno]]</f>
        <v>46238|CARGA MOLINOS|BM - 1|% carga</v>
      </c>
      <c r="C13" s="871">
        <v>46238</v>
      </c>
      <c r="D13" t="s">
        <v>9455</v>
      </c>
      <c r="E13" t="s">
        <v>444</v>
      </c>
      <c r="F13" t="s">
        <v>9457</v>
      </c>
      <c r="G13">
        <v>83.5</v>
      </c>
      <c r="H13" t="s">
        <v>9333</v>
      </c>
      <c r="I13" s="871">
        <v>46293.93683766204</v>
      </c>
      <c r="J13" t="s">
        <v>9523</v>
      </c>
      <c r="K13" s="975" t="str">
        <f>IF(COUNTIFS(tblControles[Clave],tblControles[[#This Row],[Clave]])&gt;1,"Duplicado","")</f>
        <v/>
      </c>
    </row>
    <row r="14" spans="2:11">
      <c r="B14" s="975" t="str">
        <f>tblControles[[#This Row],[Fecha]]&amp;"|"&amp;tblControles[[#This Row],[Módulo]]&amp;"|"&amp;tblControles[[#This Row],[Ítem]]&amp;"|"&amp;tblControles[[#This Row],[Turno]]</f>
        <v>46238|CARGA MOLINOS|BM - 2|% carga</v>
      </c>
      <c r="C14" s="871">
        <v>46238</v>
      </c>
      <c r="D14" t="s">
        <v>9455</v>
      </c>
      <c r="E14" t="s">
        <v>9519</v>
      </c>
      <c r="F14" t="s">
        <v>9457</v>
      </c>
      <c r="G14">
        <v>64.599999999999994</v>
      </c>
      <c r="H14" t="s">
        <v>9333</v>
      </c>
      <c r="I14" s="871">
        <v>46293.93683766204</v>
      </c>
      <c r="J14" t="s">
        <v>9523</v>
      </c>
      <c r="K14" s="975" t="str">
        <f>IF(COUNTIFS(tblControles[Clave],tblControles[[#This Row],[Clave]])&gt;1,"Duplicado","")</f>
        <v/>
      </c>
    </row>
    <row r="15" spans="2:11">
      <c r="B15" s="975" t="str">
        <f>tblControles[[#This Row],[Fecha]]&amp;"|"&amp;tblControles[[#This Row],[Módulo]]&amp;"|"&amp;tblControles[[#This Row],[Ítem]]&amp;"|"&amp;tblControles[[#This Row],[Turno]]</f>
        <v>46238|CARGA MOLINOS|BM - 3|% carga</v>
      </c>
      <c r="C15" s="871">
        <v>46238</v>
      </c>
      <c r="D15" t="s">
        <v>9455</v>
      </c>
      <c r="E15" t="s">
        <v>445</v>
      </c>
      <c r="F15" t="s">
        <v>9457</v>
      </c>
      <c r="G15">
        <v>95.3</v>
      </c>
      <c r="H15" t="s">
        <v>9333</v>
      </c>
      <c r="I15" s="871">
        <v>46293.93683766204</v>
      </c>
      <c r="J15" t="s">
        <v>9523</v>
      </c>
      <c r="K15" s="975" t="str">
        <f>IF(COUNTIFS(tblControles[Clave],tblControles[[#This Row],[Clave]])&gt;1,"Duplicado","")</f>
        <v/>
      </c>
    </row>
    <row r="16" spans="2:11">
      <c r="B16" s="975" t="str">
        <f>tblControles[[#This Row],[Fecha]]&amp;"|"&amp;tblControles[[#This Row],[Módulo]]&amp;"|"&amp;tblControles[[#This Row],[Ítem]]&amp;"|"&amp;tblControles[[#This Row],[Turno]]</f>
        <v>46238|CARGA MOLINOS|BM - 4|% carga</v>
      </c>
      <c r="C16" s="871">
        <v>46238</v>
      </c>
      <c r="D16" t="s">
        <v>9455</v>
      </c>
      <c r="E16" t="s">
        <v>446</v>
      </c>
      <c r="F16" t="s">
        <v>9457</v>
      </c>
      <c r="G16">
        <v>87.4</v>
      </c>
      <c r="H16" t="s">
        <v>9333</v>
      </c>
      <c r="I16" s="871">
        <v>46293.93683766204</v>
      </c>
      <c r="J16" t="s">
        <v>9523</v>
      </c>
      <c r="K16" s="975" t="str">
        <f>IF(COUNTIFS(tblControles[Clave],tblControles[[#This Row],[Clave]])&gt;1,"Duplicado","")</f>
        <v/>
      </c>
    </row>
    <row r="17" spans="2:11">
      <c r="B17" s="975" t="str">
        <f>tblControles[[#This Row],[Fecha]]&amp;"|"&amp;tblControles[[#This Row],[Módulo]]&amp;"|"&amp;tblControles[[#This Row],[Ítem]]&amp;"|"&amp;tblControles[[#This Row],[Turno]]</f>
        <v>46238|CARGA MOLINOS|BM - 5|% carga</v>
      </c>
      <c r="C17" s="871">
        <v>46238</v>
      </c>
      <c r="D17" t="s">
        <v>9455</v>
      </c>
      <c r="E17" t="s">
        <v>447</v>
      </c>
      <c r="F17" t="s">
        <v>9457</v>
      </c>
      <c r="G17">
        <v>91.4</v>
      </c>
      <c r="H17" t="s">
        <v>9333</v>
      </c>
      <c r="I17" s="871">
        <v>46293.93683766204</v>
      </c>
      <c r="J17" t="s">
        <v>9523</v>
      </c>
      <c r="K17" s="975" t="str">
        <f>IF(COUNTIFS(tblControles[Clave],tblControles[[#This Row],[Clave]])&gt;1,"Duplicado","")</f>
        <v/>
      </c>
    </row>
    <row r="18" spans="2:11">
      <c r="B18" s="975" t="str">
        <f>tblControles[[#This Row],[Fecha]]&amp;"|"&amp;tblControles[[#This Row],[Módulo]]&amp;"|"&amp;tblControles[[#This Row],[Ítem]]&amp;"|"&amp;tblControles[[#This Row],[Turno]]</f>
        <v>46238|CARGA MOLINOS|BM - 6|% carga</v>
      </c>
      <c r="C18" s="871">
        <v>46238</v>
      </c>
      <c r="D18" t="s">
        <v>9455</v>
      </c>
      <c r="E18" t="s">
        <v>448</v>
      </c>
      <c r="F18" t="s">
        <v>9457</v>
      </c>
      <c r="G18">
        <v>91.9</v>
      </c>
      <c r="H18" t="s">
        <v>9333</v>
      </c>
      <c r="I18" s="871">
        <v>46293.93683766204</v>
      </c>
      <c r="J18" t="s">
        <v>9523</v>
      </c>
      <c r="K18" s="975" t="str">
        <f>IF(COUNTIFS(tblControles[Clave],tblControles[[#This Row],[Clave]])&gt;1,"Duplicado","")</f>
        <v/>
      </c>
    </row>
    <row r="19" spans="2:11">
      <c r="B19" s="975" t="str">
        <f>tblControles[[#This Row],[Fecha]]&amp;"|"&amp;tblControles[[#This Row],[Módulo]]&amp;"|"&amp;tblControles[[#This Row],[Ítem]]&amp;"|"&amp;tblControles[[#This Row],[Turno]]</f>
        <v>46238|CARGA MOLINOS|BM - 7|% carga</v>
      </c>
      <c r="C19" s="871">
        <v>46238</v>
      </c>
      <c r="D19" t="s">
        <v>9455</v>
      </c>
      <c r="E19" t="s">
        <v>449</v>
      </c>
      <c r="F19" t="s">
        <v>9457</v>
      </c>
      <c r="G19">
        <v>93.2</v>
      </c>
      <c r="H19" t="s">
        <v>9333</v>
      </c>
      <c r="I19" s="871">
        <v>46293.93683766204</v>
      </c>
      <c r="J19" t="s">
        <v>9523</v>
      </c>
      <c r="K19" s="975" t="str">
        <f>IF(COUNTIFS(tblControles[Clave],tblControles[[#This Row],[Clave]])&gt;1,"Duplicado","")</f>
        <v/>
      </c>
    </row>
    <row r="20" spans="2:11">
      <c r="B20" s="975" t="str">
        <f>tblControles[[#This Row],[Fecha]]&amp;"|"&amp;tblControles[[#This Row],[Módulo]]&amp;"|"&amp;tblControles[[#This Row],[Ítem]]&amp;"|"&amp;tblControles[[#This Row],[Turno]]</f>
        <v>46238|CARGA MOLINOS|BM - 8|% carga</v>
      </c>
      <c r="C20" s="871">
        <v>46238</v>
      </c>
      <c r="D20" t="s">
        <v>9455</v>
      </c>
      <c r="E20" t="s">
        <v>450</v>
      </c>
      <c r="F20" t="s">
        <v>9457</v>
      </c>
      <c r="G20">
        <v>90.9</v>
      </c>
      <c r="H20" t="s">
        <v>9333</v>
      </c>
      <c r="I20" s="871">
        <v>46293.93683766204</v>
      </c>
      <c r="J20" t="s">
        <v>9523</v>
      </c>
      <c r="K20" s="975" t="str">
        <f>IF(COUNTIFS(tblControles[Clave],tblControles[[#This Row],[Clave]])&gt;1,"Duplicado","")</f>
        <v/>
      </c>
    </row>
    <row r="21" spans="2:11">
      <c r="B21" s="975" t="str">
        <f>tblControles[[#This Row],[Fecha]]&amp;"|"&amp;tblControles[[#This Row],[Módulo]]&amp;"|"&amp;tblControles[[#This Row],[Ítem]]&amp;"|"&amp;tblControles[[#This Row],[Turno]]</f>
        <v>46238|CARGA MOLINOS|BM - 9|% carga</v>
      </c>
      <c r="C21" s="871">
        <v>46238</v>
      </c>
      <c r="D21" t="s">
        <v>9455</v>
      </c>
      <c r="E21" t="s">
        <v>451</v>
      </c>
      <c r="F21" t="s">
        <v>9457</v>
      </c>
      <c r="G21">
        <v>77.7</v>
      </c>
      <c r="H21" t="s">
        <v>9333</v>
      </c>
      <c r="I21" s="871">
        <v>46293.93683766204</v>
      </c>
      <c r="J21" t="s">
        <v>9523</v>
      </c>
      <c r="K21" s="975" t="str">
        <f>IF(COUNTIFS(tblControles[Clave],tblControles[[#This Row],[Clave]])&gt;1,"Duplicado","")</f>
        <v/>
      </c>
    </row>
    <row r="22" spans="2:11">
      <c r="B22" s="975" t="str">
        <f>tblControles[[#This Row],[Fecha]]&amp;"|"&amp;tblControles[[#This Row],[Módulo]]&amp;"|"&amp;tblControles[[#This Row],[Ítem]]&amp;"|"&amp;tblControles[[#This Row],[Turno]]</f>
        <v>46238|CARGA MOLINOS|BM - 10|% carga</v>
      </c>
      <c r="C22" s="871">
        <v>46238</v>
      </c>
      <c r="D22" t="s">
        <v>9455</v>
      </c>
      <c r="E22" t="s">
        <v>452</v>
      </c>
      <c r="F22" t="s">
        <v>9457</v>
      </c>
      <c r="G22">
        <v>72.5</v>
      </c>
      <c r="H22" t="s">
        <v>9333</v>
      </c>
      <c r="I22" s="871">
        <v>46293.93683766204</v>
      </c>
      <c r="J22" t="s">
        <v>9523</v>
      </c>
      <c r="K22" s="975" t="str">
        <f>IF(COUNTIFS(tblControles[Clave],tblControles[[#This Row],[Clave]])&gt;1,"Duplicado","")</f>
        <v/>
      </c>
    </row>
    <row r="23" spans="2:11">
      <c r="B23" s="975" t="str">
        <f>tblControles[[#This Row],[Fecha]]&amp;"|"&amp;tblControles[[#This Row],[Módulo]]&amp;"|"&amp;tblControles[[#This Row],[Ítem]]&amp;"|"&amp;tblControles[[#This Row],[Turno]]</f>
        <v>46239|CARGA MOLINOS|RM - 2|% carga</v>
      </c>
      <c r="C23" s="871">
        <v>46239</v>
      </c>
      <c r="D23" t="s">
        <v>9455</v>
      </c>
      <c r="E23" t="s">
        <v>436</v>
      </c>
      <c r="F23" t="s">
        <v>9457</v>
      </c>
      <c r="G23">
        <v>81.599999999999994</v>
      </c>
      <c r="H23" t="s">
        <v>9333</v>
      </c>
      <c r="I23" s="871">
        <v>46293.93683766204</v>
      </c>
      <c r="J23" t="s">
        <v>9523</v>
      </c>
      <c r="K23" s="975" t="str">
        <f>IF(COUNTIFS(tblControles[Clave],tblControles[[#This Row],[Clave]])&gt;1,"Duplicado","")</f>
        <v/>
      </c>
    </row>
    <row r="24" spans="2:11">
      <c r="B24" s="975" t="str">
        <f>tblControles[[#This Row],[Fecha]]&amp;"|"&amp;tblControles[[#This Row],[Módulo]]&amp;"|"&amp;tblControles[[#This Row],[Ítem]]&amp;"|"&amp;tblControles[[#This Row],[Turno]]</f>
        <v>46239|CARGA MOLINOS|RM - 4|% carga</v>
      </c>
      <c r="C24" s="871">
        <v>46239</v>
      </c>
      <c r="D24" t="s">
        <v>9455</v>
      </c>
      <c r="E24" t="s">
        <v>438</v>
      </c>
      <c r="F24" t="s">
        <v>9457</v>
      </c>
      <c r="G24">
        <v>87.9</v>
      </c>
      <c r="H24" t="s">
        <v>9333</v>
      </c>
      <c r="I24" s="871">
        <v>46293.93683766204</v>
      </c>
      <c r="J24" t="s">
        <v>9523</v>
      </c>
      <c r="K24" s="975" t="str">
        <f>IF(COUNTIFS(tblControles[Clave],tblControles[[#This Row],[Clave]])&gt;1,"Duplicado","")</f>
        <v/>
      </c>
    </row>
    <row r="25" spans="2:11">
      <c r="B25" s="975" t="str">
        <f>tblControles[[#This Row],[Fecha]]&amp;"|"&amp;tblControles[[#This Row],[Módulo]]&amp;"|"&amp;tblControles[[#This Row],[Ítem]]&amp;"|"&amp;tblControles[[#This Row],[Turno]]</f>
        <v>46239|CARGA MOLINOS|RM - 5|% carga</v>
      </c>
      <c r="C25" s="871">
        <v>46239</v>
      </c>
      <c r="D25" t="s">
        <v>9455</v>
      </c>
      <c r="E25" t="s">
        <v>439</v>
      </c>
      <c r="F25" t="s">
        <v>9457</v>
      </c>
      <c r="G25">
        <v>87.4</v>
      </c>
      <c r="H25" t="s">
        <v>9333</v>
      </c>
      <c r="I25" s="871">
        <v>46293.93683766204</v>
      </c>
      <c r="J25" t="s">
        <v>9523</v>
      </c>
      <c r="K25" s="975" t="str">
        <f>IF(COUNTIFS(tblControles[Clave],tblControles[[#This Row],[Clave]])&gt;1,"Duplicado","")</f>
        <v/>
      </c>
    </row>
    <row r="26" spans="2:11">
      <c r="B26" s="975" t="str">
        <f>tblControles[[#This Row],[Fecha]]&amp;"|"&amp;tblControles[[#This Row],[Módulo]]&amp;"|"&amp;tblControles[[#This Row],[Ítem]]&amp;"|"&amp;tblControles[[#This Row],[Turno]]</f>
        <v>46239|CARGA MOLINOS|RM - 6|% carga</v>
      </c>
      <c r="C26" s="871">
        <v>46239</v>
      </c>
      <c r="D26" t="s">
        <v>9455</v>
      </c>
      <c r="E26" t="s">
        <v>440</v>
      </c>
      <c r="F26" t="s">
        <v>9457</v>
      </c>
      <c r="G26">
        <v>90.2</v>
      </c>
      <c r="H26" t="s">
        <v>9333</v>
      </c>
      <c r="I26" s="871">
        <v>46293.93683766204</v>
      </c>
      <c r="J26" t="s">
        <v>9523</v>
      </c>
      <c r="K26" s="975" t="str">
        <f>IF(COUNTIFS(tblControles[Clave],tblControles[[#This Row],[Clave]])&gt;1,"Duplicado","")</f>
        <v/>
      </c>
    </row>
    <row r="27" spans="2:11">
      <c r="B27" s="975" t="str">
        <f>tblControles[[#This Row],[Fecha]]&amp;"|"&amp;tblControles[[#This Row],[Módulo]]&amp;"|"&amp;tblControles[[#This Row],[Ítem]]&amp;"|"&amp;tblControles[[#This Row],[Turno]]</f>
        <v>46239|CARGA MOLINOS|RM - 7|% carga</v>
      </c>
      <c r="C27" s="871">
        <v>46239</v>
      </c>
      <c r="D27" t="s">
        <v>9455</v>
      </c>
      <c r="E27" t="s">
        <v>441</v>
      </c>
      <c r="F27" t="s">
        <v>9457</v>
      </c>
      <c r="G27">
        <v>86.4</v>
      </c>
      <c r="H27" t="s">
        <v>9333</v>
      </c>
      <c r="I27" s="871">
        <v>46293.93683766204</v>
      </c>
      <c r="J27" t="s">
        <v>9523</v>
      </c>
      <c r="K27" s="975" t="str">
        <f>IF(COUNTIFS(tblControles[Clave],tblControles[[#This Row],[Clave]])&gt;1,"Duplicado","")</f>
        <v/>
      </c>
    </row>
    <row r="28" spans="2:11">
      <c r="B28" s="975" t="str">
        <f>tblControles[[#This Row],[Fecha]]&amp;"|"&amp;tblControles[[#This Row],[Módulo]]&amp;"|"&amp;tblControles[[#This Row],[Ítem]]&amp;"|"&amp;tblControles[[#This Row],[Turno]]</f>
        <v>46239|CARGA MOLINOS|RM - 8|% carga</v>
      </c>
      <c r="C28" s="871">
        <v>46239</v>
      </c>
      <c r="D28" t="s">
        <v>9455</v>
      </c>
      <c r="E28" t="s">
        <v>442</v>
      </c>
      <c r="F28" t="s">
        <v>9457</v>
      </c>
      <c r="G28">
        <v>86.2</v>
      </c>
      <c r="H28" t="s">
        <v>9333</v>
      </c>
      <c r="I28" s="871">
        <v>46293.93683766204</v>
      </c>
      <c r="J28" t="s">
        <v>9523</v>
      </c>
      <c r="K28" s="975" t="str">
        <f>IF(COUNTIFS(tblControles[Clave],tblControles[[#This Row],[Clave]])&gt;1,"Duplicado","")</f>
        <v/>
      </c>
    </row>
    <row r="29" spans="2:11">
      <c r="B29" s="975" t="str">
        <f>tblControles[[#This Row],[Fecha]]&amp;"|"&amp;tblControles[[#This Row],[Módulo]]&amp;"|"&amp;tblControles[[#This Row],[Ítem]]&amp;"|"&amp;tblControles[[#This Row],[Turno]]</f>
        <v>46239|CARGA MOLINOS|BM - 1|% carga</v>
      </c>
      <c r="C29" s="871">
        <v>46239</v>
      </c>
      <c r="D29" t="s">
        <v>9455</v>
      </c>
      <c r="E29" t="s">
        <v>444</v>
      </c>
      <c r="F29" t="s">
        <v>9457</v>
      </c>
      <c r="G29">
        <v>86.1</v>
      </c>
      <c r="H29" t="s">
        <v>9333</v>
      </c>
      <c r="I29" s="871">
        <v>46293.93683766204</v>
      </c>
      <c r="J29" t="s">
        <v>9523</v>
      </c>
      <c r="K29" s="975" t="str">
        <f>IF(COUNTIFS(tblControles[Clave],tblControles[[#This Row],[Clave]])&gt;1,"Duplicado","")</f>
        <v/>
      </c>
    </row>
    <row r="30" spans="2:11">
      <c r="B30" s="975" t="str">
        <f>tblControles[[#This Row],[Fecha]]&amp;"|"&amp;tblControles[[#This Row],[Módulo]]&amp;"|"&amp;tblControles[[#This Row],[Ítem]]&amp;"|"&amp;tblControles[[#This Row],[Turno]]</f>
        <v>46239|CARGA MOLINOS|BM - 2|% carga</v>
      </c>
      <c r="C30" s="871">
        <v>46239</v>
      </c>
      <c r="D30" t="s">
        <v>9455</v>
      </c>
      <c r="E30" t="s">
        <v>9519</v>
      </c>
      <c r="F30" t="s">
        <v>9457</v>
      </c>
      <c r="G30">
        <v>60.9</v>
      </c>
      <c r="H30" t="s">
        <v>9333</v>
      </c>
      <c r="I30" s="871">
        <v>46293.93683766204</v>
      </c>
      <c r="J30" t="s">
        <v>9523</v>
      </c>
      <c r="K30" s="975" t="str">
        <f>IF(COUNTIFS(tblControles[Clave],tblControles[[#This Row],[Clave]])&gt;1,"Duplicado","")</f>
        <v/>
      </c>
    </row>
    <row r="31" spans="2:11">
      <c r="B31" s="975" t="str">
        <f>tblControles[[#This Row],[Fecha]]&amp;"|"&amp;tblControles[[#This Row],[Módulo]]&amp;"|"&amp;tblControles[[#This Row],[Ítem]]&amp;"|"&amp;tblControles[[#This Row],[Turno]]</f>
        <v>46239|CARGA MOLINOS|BM - 3|% carga</v>
      </c>
      <c r="C31" s="871">
        <v>46239</v>
      </c>
      <c r="D31" t="s">
        <v>9455</v>
      </c>
      <c r="E31" t="s">
        <v>445</v>
      </c>
      <c r="F31" t="s">
        <v>9457</v>
      </c>
      <c r="G31">
        <v>96.6</v>
      </c>
      <c r="H31" t="s">
        <v>9333</v>
      </c>
      <c r="I31" s="871">
        <v>46293.93683766204</v>
      </c>
      <c r="J31" t="s">
        <v>9523</v>
      </c>
      <c r="K31" s="975" t="str">
        <f>IF(COUNTIFS(tblControles[Clave],tblControles[[#This Row],[Clave]])&gt;1,"Duplicado","")</f>
        <v/>
      </c>
    </row>
    <row r="32" spans="2:11">
      <c r="B32" s="975" t="str">
        <f>tblControles[[#This Row],[Fecha]]&amp;"|"&amp;tblControles[[#This Row],[Módulo]]&amp;"|"&amp;tblControles[[#This Row],[Ítem]]&amp;"|"&amp;tblControles[[#This Row],[Turno]]</f>
        <v>46239|CARGA MOLINOS|BM - 4|% carga</v>
      </c>
      <c r="C32" s="871">
        <v>46239</v>
      </c>
      <c r="D32" t="s">
        <v>9455</v>
      </c>
      <c r="E32" t="s">
        <v>446</v>
      </c>
      <c r="F32" t="s">
        <v>9457</v>
      </c>
      <c r="G32">
        <v>85.7</v>
      </c>
      <c r="H32" t="s">
        <v>9333</v>
      </c>
      <c r="I32" s="871">
        <v>46293.93683766204</v>
      </c>
      <c r="J32" t="s">
        <v>9523</v>
      </c>
      <c r="K32" s="975" t="str">
        <f>IF(COUNTIFS(tblControles[Clave],tblControles[[#This Row],[Clave]])&gt;1,"Duplicado","")</f>
        <v/>
      </c>
    </row>
    <row r="33" spans="2:11">
      <c r="B33" s="975" t="str">
        <f>tblControles[[#This Row],[Fecha]]&amp;"|"&amp;tblControles[[#This Row],[Módulo]]&amp;"|"&amp;tblControles[[#This Row],[Ítem]]&amp;"|"&amp;tblControles[[#This Row],[Turno]]</f>
        <v>46239|CARGA MOLINOS|BM - 6|% carga</v>
      </c>
      <c r="C33" s="871">
        <v>46239</v>
      </c>
      <c r="D33" t="s">
        <v>9455</v>
      </c>
      <c r="E33" t="s">
        <v>448</v>
      </c>
      <c r="F33" t="s">
        <v>9457</v>
      </c>
      <c r="G33">
        <v>88.6</v>
      </c>
      <c r="H33" t="s">
        <v>9333</v>
      </c>
      <c r="I33" s="871">
        <v>46293.93683766204</v>
      </c>
      <c r="J33" t="s">
        <v>9523</v>
      </c>
      <c r="K33" s="975" t="str">
        <f>IF(COUNTIFS(tblControles[Clave],tblControles[[#This Row],[Clave]])&gt;1,"Duplicado","")</f>
        <v/>
      </c>
    </row>
    <row r="34" spans="2:11">
      <c r="B34" s="975" t="str">
        <f>tblControles[[#This Row],[Fecha]]&amp;"|"&amp;tblControles[[#This Row],[Módulo]]&amp;"|"&amp;tblControles[[#This Row],[Ítem]]&amp;"|"&amp;tblControles[[#This Row],[Turno]]</f>
        <v>46239|CARGA MOLINOS|BM - 7|% carga</v>
      </c>
      <c r="C34" s="871">
        <v>46239</v>
      </c>
      <c r="D34" t="s">
        <v>9455</v>
      </c>
      <c r="E34" t="s">
        <v>449</v>
      </c>
      <c r="F34" t="s">
        <v>9457</v>
      </c>
      <c r="G34">
        <v>92.3</v>
      </c>
      <c r="H34" t="s">
        <v>9333</v>
      </c>
      <c r="I34" s="871">
        <v>46293.93683766204</v>
      </c>
      <c r="J34" t="s">
        <v>9523</v>
      </c>
      <c r="K34" s="975" t="str">
        <f>IF(COUNTIFS(tblControles[Clave],tblControles[[#This Row],[Clave]])&gt;1,"Duplicado","")</f>
        <v/>
      </c>
    </row>
    <row r="35" spans="2:11">
      <c r="B35" s="975" t="str">
        <f>tblControles[[#This Row],[Fecha]]&amp;"|"&amp;tblControles[[#This Row],[Módulo]]&amp;"|"&amp;tblControles[[#This Row],[Ítem]]&amp;"|"&amp;tblControles[[#This Row],[Turno]]</f>
        <v>46239|CARGA MOLINOS|BM - 8|% carga</v>
      </c>
      <c r="C35" s="871">
        <v>46239</v>
      </c>
      <c r="D35" t="s">
        <v>9455</v>
      </c>
      <c r="E35" t="s">
        <v>450</v>
      </c>
      <c r="F35" t="s">
        <v>9457</v>
      </c>
      <c r="G35">
        <v>86.9</v>
      </c>
      <c r="H35" t="s">
        <v>9333</v>
      </c>
      <c r="I35" s="871">
        <v>46293.93683766204</v>
      </c>
      <c r="J35" t="s">
        <v>9523</v>
      </c>
      <c r="K35" s="975" t="str">
        <f>IF(COUNTIFS(tblControles[Clave],tblControles[[#This Row],[Clave]])&gt;1,"Duplicado","")</f>
        <v/>
      </c>
    </row>
    <row r="36" spans="2:11">
      <c r="B36" s="975" t="str">
        <f>tblControles[[#This Row],[Fecha]]&amp;"|"&amp;tblControles[[#This Row],[Módulo]]&amp;"|"&amp;tblControles[[#This Row],[Ítem]]&amp;"|"&amp;tblControles[[#This Row],[Turno]]</f>
        <v>46239|CARGA MOLINOS|BM - 9|% carga</v>
      </c>
      <c r="C36" s="871">
        <v>46239</v>
      </c>
      <c r="D36" t="s">
        <v>9455</v>
      </c>
      <c r="E36" t="s">
        <v>451</v>
      </c>
      <c r="F36" t="s">
        <v>9457</v>
      </c>
      <c r="G36">
        <v>73.900000000000006</v>
      </c>
      <c r="H36" t="s">
        <v>9333</v>
      </c>
      <c r="I36" s="871">
        <v>46293.93683766204</v>
      </c>
      <c r="J36" t="s">
        <v>9523</v>
      </c>
      <c r="K36" s="975" t="str">
        <f>IF(COUNTIFS(tblControles[Clave],tblControles[[#This Row],[Clave]])&gt;1,"Duplicado","")</f>
        <v/>
      </c>
    </row>
    <row r="37" spans="2:11">
      <c r="B37" s="975" t="str">
        <f>tblControles[[#This Row],[Fecha]]&amp;"|"&amp;tblControles[[#This Row],[Módulo]]&amp;"|"&amp;tblControles[[#This Row],[Ítem]]&amp;"|"&amp;tblControles[[#This Row],[Turno]]</f>
        <v>46239|CARGA MOLINOS|BM - 10|% carga</v>
      </c>
      <c r="C37" s="871">
        <v>46239</v>
      </c>
      <c r="D37" t="s">
        <v>9455</v>
      </c>
      <c r="E37" t="s">
        <v>452</v>
      </c>
      <c r="F37" t="s">
        <v>9457</v>
      </c>
      <c r="G37">
        <v>72.3</v>
      </c>
      <c r="H37" t="s">
        <v>9333</v>
      </c>
      <c r="I37" s="871">
        <v>46293.93683766204</v>
      </c>
      <c r="J37" t="s">
        <v>9523</v>
      </c>
      <c r="K37" s="975" t="str">
        <f>IF(COUNTIFS(tblControles[Clave],tblControles[[#This Row],[Clave]])&gt;1,"Duplicado","")</f>
        <v/>
      </c>
    </row>
    <row r="38" spans="2:11">
      <c r="B38" s="975" t="str">
        <f>tblControles[[#This Row],[Fecha]]&amp;"|"&amp;tblControles[[#This Row],[Módulo]]&amp;"|"&amp;tblControles[[#This Row],[Ítem]]&amp;"|"&amp;tblControles[[#This Row],[Turno]]</f>
        <v>46240|CARGA MOLINOS|RM - 1|% carga</v>
      </c>
      <c r="C38" s="871">
        <v>46240</v>
      </c>
      <c r="D38" t="s">
        <v>9455</v>
      </c>
      <c r="E38" t="s">
        <v>435</v>
      </c>
      <c r="F38" t="s">
        <v>9457</v>
      </c>
      <c r="G38">
        <v>89.3</v>
      </c>
      <c r="H38" t="s">
        <v>9333</v>
      </c>
      <c r="I38" s="871">
        <v>46293.93683766204</v>
      </c>
      <c r="J38" t="s">
        <v>9523</v>
      </c>
      <c r="K38" s="975" t="str">
        <f>IF(COUNTIFS(tblControles[Clave],tblControles[[#This Row],[Clave]])&gt;1,"Duplicado","")</f>
        <v/>
      </c>
    </row>
    <row r="39" spans="2:11">
      <c r="B39" s="975" t="str">
        <f>tblControles[[#This Row],[Fecha]]&amp;"|"&amp;tblControles[[#This Row],[Módulo]]&amp;"|"&amp;tblControles[[#This Row],[Ítem]]&amp;"|"&amp;tblControles[[#This Row],[Turno]]</f>
        <v>46240|CARGA MOLINOS|RM - 3|% carga</v>
      </c>
      <c r="C39" s="871">
        <v>46240</v>
      </c>
      <c r="D39" t="s">
        <v>9455</v>
      </c>
      <c r="E39" t="s">
        <v>437</v>
      </c>
      <c r="F39" t="s">
        <v>9457</v>
      </c>
      <c r="G39">
        <v>91.2</v>
      </c>
      <c r="H39" t="s">
        <v>9333</v>
      </c>
      <c r="I39" s="871">
        <v>46293.93683766204</v>
      </c>
      <c r="J39" t="s">
        <v>9523</v>
      </c>
      <c r="K39" s="975" t="str">
        <f>IF(COUNTIFS(tblControles[Clave],tblControles[[#This Row],[Clave]])&gt;1,"Duplicado","")</f>
        <v/>
      </c>
    </row>
    <row r="40" spans="2:11">
      <c r="B40" s="975" t="str">
        <f>tblControles[[#This Row],[Fecha]]&amp;"|"&amp;tblControles[[#This Row],[Módulo]]&amp;"|"&amp;tblControles[[#This Row],[Ítem]]&amp;"|"&amp;tblControles[[#This Row],[Turno]]</f>
        <v>46240|CARGA MOLINOS|RM - 4|% carga</v>
      </c>
      <c r="C40" s="871">
        <v>46240</v>
      </c>
      <c r="D40" t="s">
        <v>9455</v>
      </c>
      <c r="E40" t="s">
        <v>438</v>
      </c>
      <c r="F40" t="s">
        <v>9457</v>
      </c>
      <c r="G40">
        <v>91.4</v>
      </c>
      <c r="H40" t="s">
        <v>9333</v>
      </c>
      <c r="I40" s="871">
        <v>46293.93683766204</v>
      </c>
      <c r="J40" t="s">
        <v>9523</v>
      </c>
      <c r="K40" s="975" t="str">
        <f>IF(COUNTIFS(tblControles[Clave],tblControles[[#This Row],[Clave]])&gt;1,"Duplicado","")</f>
        <v/>
      </c>
    </row>
    <row r="41" spans="2:11">
      <c r="B41" s="975" t="str">
        <f>tblControles[[#This Row],[Fecha]]&amp;"|"&amp;tblControles[[#This Row],[Módulo]]&amp;"|"&amp;tblControles[[#This Row],[Ítem]]&amp;"|"&amp;tblControles[[#This Row],[Turno]]</f>
        <v>46240|CARGA MOLINOS|RM - 5|% carga</v>
      </c>
      <c r="C41" s="871">
        <v>46240</v>
      </c>
      <c r="D41" t="s">
        <v>9455</v>
      </c>
      <c r="E41" t="s">
        <v>439</v>
      </c>
      <c r="F41" t="s">
        <v>9457</v>
      </c>
      <c r="G41">
        <v>90</v>
      </c>
      <c r="H41" t="s">
        <v>9333</v>
      </c>
      <c r="I41" s="871">
        <v>46293.93683766204</v>
      </c>
      <c r="J41" t="s">
        <v>9523</v>
      </c>
      <c r="K41" s="975" t="str">
        <f>IF(COUNTIFS(tblControles[Clave],tblControles[[#This Row],[Clave]])&gt;1,"Duplicado","")</f>
        <v/>
      </c>
    </row>
    <row r="42" spans="2:11">
      <c r="B42" s="975" t="str">
        <f>tblControles[[#This Row],[Fecha]]&amp;"|"&amp;tblControles[[#This Row],[Módulo]]&amp;"|"&amp;tblControles[[#This Row],[Ítem]]&amp;"|"&amp;tblControles[[#This Row],[Turno]]</f>
        <v>46240|CARGA MOLINOS|RM - 6|% carga</v>
      </c>
      <c r="C42" s="871">
        <v>46240</v>
      </c>
      <c r="D42" t="s">
        <v>9455</v>
      </c>
      <c r="E42" t="s">
        <v>440</v>
      </c>
      <c r="F42" t="s">
        <v>9457</v>
      </c>
      <c r="G42">
        <v>94.3</v>
      </c>
      <c r="H42" t="s">
        <v>9333</v>
      </c>
      <c r="I42" s="871">
        <v>46293.93683766204</v>
      </c>
      <c r="J42" t="s">
        <v>9523</v>
      </c>
      <c r="K42" s="975" t="str">
        <f>IF(COUNTIFS(tblControles[Clave],tblControles[[#This Row],[Clave]])&gt;1,"Duplicado","")</f>
        <v/>
      </c>
    </row>
    <row r="43" spans="2:11">
      <c r="B43" s="975" t="str">
        <f>tblControles[[#This Row],[Fecha]]&amp;"|"&amp;tblControles[[#This Row],[Módulo]]&amp;"|"&amp;tblControles[[#This Row],[Ítem]]&amp;"|"&amp;tblControles[[#This Row],[Turno]]</f>
        <v>46240|CARGA MOLINOS|RM - 7|% carga</v>
      </c>
      <c r="C43" s="871">
        <v>46240</v>
      </c>
      <c r="D43" t="s">
        <v>9455</v>
      </c>
      <c r="E43" t="s">
        <v>441</v>
      </c>
      <c r="F43" t="s">
        <v>9457</v>
      </c>
      <c r="G43">
        <v>89.3</v>
      </c>
      <c r="H43" t="s">
        <v>9333</v>
      </c>
      <c r="I43" s="871">
        <v>46293.93683766204</v>
      </c>
      <c r="J43" t="s">
        <v>9523</v>
      </c>
      <c r="K43" s="975" t="str">
        <f>IF(COUNTIFS(tblControles[Clave],tblControles[[#This Row],[Clave]])&gt;1,"Duplicado","")</f>
        <v/>
      </c>
    </row>
    <row r="44" spans="2:11">
      <c r="B44" s="975" t="str">
        <f>tblControles[[#This Row],[Fecha]]&amp;"|"&amp;tblControles[[#This Row],[Módulo]]&amp;"|"&amp;tblControles[[#This Row],[Ítem]]&amp;"|"&amp;tblControles[[#This Row],[Turno]]</f>
        <v>46240|CARGA MOLINOS|RM - 8|% carga</v>
      </c>
      <c r="C44" s="871">
        <v>46240</v>
      </c>
      <c r="D44" t="s">
        <v>9455</v>
      </c>
      <c r="E44" t="s">
        <v>442</v>
      </c>
      <c r="F44" t="s">
        <v>9457</v>
      </c>
      <c r="G44">
        <v>83.7</v>
      </c>
      <c r="H44" t="s">
        <v>9333</v>
      </c>
      <c r="I44" s="871">
        <v>46293.93683766204</v>
      </c>
      <c r="J44" t="s">
        <v>9523</v>
      </c>
      <c r="K44" s="975" t="str">
        <f>IF(COUNTIFS(tblControles[Clave],tblControles[[#This Row],[Clave]])&gt;1,"Duplicado","")</f>
        <v/>
      </c>
    </row>
    <row r="45" spans="2:11">
      <c r="B45" s="975" t="str">
        <f>tblControles[[#This Row],[Fecha]]&amp;"|"&amp;tblControles[[#This Row],[Módulo]]&amp;"|"&amp;tblControles[[#This Row],[Ítem]]&amp;"|"&amp;tblControles[[#This Row],[Turno]]</f>
        <v>46240|CARGA MOLINOS|BM - 1|% carga</v>
      </c>
      <c r="C45" s="871">
        <v>46240</v>
      </c>
      <c r="D45" t="s">
        <v>9455</v>
      </c>
      <c r="E45" t="s">
        <v>444</v>
      </c>
      <c r="F45" t="s">
        <v>9457</v>
      </c>
      <c r="G45">
        <v>83.5</v>
      </c>
      <c r="H45" t="s">
        <v>9333</v>
      </c>
      <c r="I45" s="871">
        <v>46293.93683766204</v>
      </c>
      <c r="J45" t="s">
        <v>9523</v>
      </c>
      <c r="K45" s="975" t="str">
        <f>IF(COUNTIFS(tblControles[Clave],tblControles[[#This Row],[Clave]])&gt;1,"Duplicado","")</f>
        <v/>
      </c>
    </row>
    <row r="46" spans="2:11">
      <c r="B46" s="975" t="str">
        <f>tblControles[[#This Row],[Fecha]]&amp;"|"&amp;tblControles[[#This Row],[Módulo]]&amp;"|"&amp;tblControles[[#This Row],[Ítem]]&amp;"|"&amp;tblControles[[#This Row],[Turno]]</f>
        <v>46240|CARGA MOLINOS|BM - 2|% carga</v>
      </c>
      <c r="C46" s="871">
        <v>46240</v>
      </c>
      <c r="D46" t="s">
        <v>9455</v>
      </c>
      <c r="E46" t="s">
        <v>9519</v>
      </c>
      <c r="F46" t="s">
        <v>9457</v>
      </c>
      <c r="G46">
        <v>62</v>
      </c>
      <c r="H46" t="s">
        <v>9333</v>
      </c>
      <c r="I46" s="871">
        <v>46293.93683766204</v>
      </c>
      <c r="J46" t="s">
        <v>9523</v>
      </c>
      <c r="K46" s="975" t="str">
        <f>IF(COUNTIFS(tblControles[Clave],tblControles[[#This Row],[Clave]])&gt;1,"Duplicado","")</f>
        <v/>
      </c>
    </row>
    <row r="47" spans="2:11">
      <c r="B47" s="975" t="str">
        <f>tblControles[[#This Row],[Fecha]]&amp;"|"&amp;tblControles[[#This Row],[Módulo]]&amp;"|"&amp;tblControles[[#This Row],[Ítem]]&amp;"|"&amp;tblControles[[#This Row],[Turno]]</f>
        <v>46240|CARGA MOLINOS|BM - 3|% carga</v>
      </c>
      <c r="C47" s="871">
        <v>46240</v>
      </c>
      <c r="D47" t="s">
        <v>9455</v>
      </c>
      <c r="E47" t="s">
        <v>445</v>
      </c>
      <c r="F47" t="s">
        <v>9457</v>
      </c>
      <c r="G47">
        <v>99.8</v>
      </c>
      <c r="H47" t="s">
        <v>9333</v>
      </c>
      <c r="I47" s="871">
        <v>46293.93683766204</v>
      </c>
      <c r="J47" t="s">
        <v>9523</v>
      </c>
      <c r="K47" s="975" t="str">
        <f>IF(COUNTIFS(tblControles[Clave],tblControles[[#This Row],[Clave]])&gt;1,"Duplicado","")</f>
        <v/>
      </c>
    </row>
    <row r="48" spans="2:11">
      <c r="B48" s="975" t="str">
        <f>tblControles[[#This Row],[Fecha]]&amp;"|"&amp;tblControles[[#This Row],[Módulo]]&amp;"|"&amp;tblControles[[#This Row],[Ítem]]&amp;"|"&amp;tblControles[[#This Row],[Turno]]</f>
        <v>46240|CARGA MOLINOS|BM - 4|% carga</v>
      </c>
      <c r="C48" s="871">
        <v>46240</v>
      </c>
      <c r="D48" t="s">
        <v>9455</v>
      </c>
      <c r="E48" t="s">
        <v>446</v>
      </c>
      <c r="F48" t="s">
        <v>9457</v>
      </c>
      <c r="G48">
        <v>77.900000000000006</v>
      </c>
      <c r="H48" t="s">
        <v>9333</v>
      </c>
      <c r="I48" s="871">
        <v>46293.93683766204</v>
      </c>
      <c r="J48" t="s">
        <v>9523</v>
      </c>
      <c r="K48" s="975" t="str">
        <f>IF(COUNTIFS(tblControles[Clave],tblControles[[#This Row],[Clave]])&gt;1,"Duplicado","")</f>
        <v/>
      </c>
    </row>
    <row r="49" spans="2:11">
      <c r="B49" s="975" t="str">
        <f>tblControles[[#This Row],[Fecha]]&amp;"|"&amp;tblControles[[#This Row],[Módulo]]&amp;"|"&amp;tblControles[[#This Row],[Ítem]]&amp;"|"&amp;tblControles[[#This Row],[Turno]]</f>
        <v>46240|CARGA MOLINOS|BM - 5|% carga</v>
      </c>
      <c r="C49" s="871">
        <v>46240</v>
      </c>
      <c r="D49" t="s">
        <v>9455</v>
      </c>
      <c r="E49" t="s">
        <v>447</v>
      </c>
      <c r="F49" t="s">
        <v>9457</v>
      </c>
      <c r="G49">
        <v>90.8</v>
      </c>
      <c r="H49" t="s">
        <v>9333</v>
      </c>
      <c r="I49" s="871">
        <v>46293.93683766204</v>
      </c>
      <c r="J49" t="s">
        <v>9523</v>
      </c>
      <c r="K49" s="975" t="str">
        <f>IF(COUNTIFS(tblControles[Clave],tblControles[[#This Row],[Clave]])&gt;1,"Duplicado","")</f>
        <v/>
      </c>
    </row>
    <row r="50" spans="2:11">
      <c r="B50" s="975" t="str">
        <f>tblControles[[#This Row],[Fecha]]&amp;"|"&amp;tblControles[[#This Row],[Módulo]]&amp;"|"&amp;tblControles[[#This Row],[Ítem]]&amp;"|"&amp;tblControles[[#This Row],[Turno]]</f>
        <v>46240|CARGA MOLINOS|BM - 6|% carga</v>
      </c>
      <c r="C50" s="871">
        <v>46240</v>
      </c>
      <c r="D50" t="s">
        <v>9455</v>
      </c>
      <c r="E50" t="s">
        <v>448</v>
      </c>
      <c r="F50" t="s">
        <v>9457</v>
      </c>
      <c r="G50">
        <v>87.8</v>
      </c>
      <c r="H50" t="s">
        <v>9333</v>
      </c>
      <c r="I50" s="871">
        <v>46293.93683766204</v>
      </c>
      <c r="J50" t="s">
        <v>9523</v>
      </c>
      <c r="K50" s="975" t="str">
        <f>IF(COUNTIFS(tblControles[Clave],tblControles[[#This Row],[Clave]])&gt;1,"Duplicado","")</f>
        <v/>
      </c>
    </row>
    <row r="51" spans="2:11">
      <c r="B51" s="975" t="str">
        <f>tblControles[[#This Row],[Fecha]]&amp;"|"&amp;tblControles[[#This Row],[Módulo]]&amp;"|"&amp;tblControles[[#This Row],[Ítem]]&amp;"|"&amp;tblControles[[#This Row],[Turno]]</f>
        <v>46240|CARGA MOLINOS|BM - 7|% carga</v>
      </c>
      <c r="C51" s="871">
        <v>46240</v>
      </c>
      <c r="D51" t="s">
        <v>9455</v>
      </c>
      <c r="E51" t="s">
        <v>449</v>
      </c>
      <c r="F51" t="s">
        <v>9457</v>
      </c>
      <c r="G51">
        <v>93.7</v>
      </c>
      <c r="H51" t="s">
        <v>9333</v>
      </c>
      <c r="I51" s="871">
        <v>46293.93683766204</v>
      </c>
      <c r="J51" t="s">
        <v>9523</v>
      </c>
      <c r="K51" s="975" t="str">
        <f>IF(COUNTIFS(tblControles[Clave],tblControles[[#This Row],[Clave]])&gt;1,"Duplicado","")</f>
        <v/>
      </c>
    </row>
    <row r="52" spans="2:11">
      <c r="B52" s="975" t="str">
        <f>tblControles[[#This Row],[Fecha]]&amp;"|"&amp;tblControles[[#This Row],[Módulo]]&amp;"|"&amp;tblControles[[#This Row],[Ítem]]&amp;"|"&amp;tblControles[[#This Row],[Turno]]</f>
        <v>46240|CARGA MOLINOS|BM - 8|% carga</v>
      </c>
      <c r="C52" s="871">
        <v>46240</v>
      </c>
      <c r="D52" t="s">
        <v>9455</v>
      </c>
      <c r="E52" t="s">
        <v>450</v>
      </c>
      <c r="F52" t="s">
        <v>9457</v>
      </c>
      <c r="G52">
        <v>87.2</v>
      </c>
      <c r="H52" t="s">
        <v>9333</v>
      </c>
      <c r="I52" s="871">
        <v>46293.93683766204</v>
      </c>
      <c r="J52" t="s">
        <v>9523</v>
      </c>
      <c r="K52" s="975" t="str">
        <f>IF(COUNTIFS(tblControles[Clave],tblControles[[#This Row],[Clave]])&gt;1,"Duplicado","")</f>
        <v/>
      </c>
    </row>
    <row r="53" spans="2:11">
      <c r="B53" s="975" t="str">
        <f>tblControles[[#This Row],[Fecha]]&amp;"|"&amp;tblControles[[#This Row],[Módulo]]&amp;"|"&amp;tblControles[[#This Row],[Ítem]]&amp;"|"&amp;tblControles[[#This Row],[Turno]]</f>
        <v>46240|CARGA MOLINOS|BM - 9|% carga</v>
      </c>
      <c r="C53" s="871">
        <v>46240</v>
      </c>
      <c r="D53" t="s">
        <v>9455</v>
      </c>
      <c r="E53" t="s">
        <v>451</v>
      </c>
      <c r="F53" t="s">
        <v>9457</v>
      </c>
      <c r="G53">
        <v>75.5</v>
      </c>
      <c r="H53" t="s">
        <v>9333</v>
      </c>
      <c r="I53" s="871">
        <v>46293.93683766204</v>
      </c>
      <c r="J53" t="s">
        <v>9523</v>
      </c>
      <c r="K53" s="975" t="str">
        <f>IF(COUNTIFS(tblControles[Clave],tblControles[[#This Row],[Clave]])&gt;1,"Duplicado","")</f>
        <v/>
      </c>
    </row>
    <row r="54" spans="2:11">
      <c r="B54" s="975" t="str">
        <f>tblControles[[#This Row],[Fecha]]&amp;"|"&amp;tblControles[[#This Row],[Módulo]]&amp;"|"&amp;tblControles[[#This Row],[Ítem]]&amp;"|"&amp;tblControles[[#This Row],[Turno]]</f>
        <v>46240|CARGA MOLINOS|BM - 10|% carga</v>
      </c>
      <c r="C54" s="871">
        <v>46240</v>
      </c>
      <c r="D54" t="s">
        <v>9455</v>
      </c>
      <c r="E54" t="s">
        <v>452</v>
      </c>
      <c r="F54" t="s">
        <v>9457</v>
      </c>
      <c r="G54">
        <v>79.900000000000006</v>
      </c>
      <c r="H54" t="s">
        <v>9333</v>
      </c>
      <c r="I54" s="871">
        <v>46293.93683766204</v>
      </c>
      <c r="J54" t="s">
        <v>9523</v>
      </c>
      <c r="K54" s="975" t="str">
        <f>IF(COUNTIFS(tblControles[Clave],tblControles[[#This Row],[Clave]])&gt;1,"Duplicado","")</f>
        <v/>
      </c>
    </row>
    <row r="55" spans="2:11">
      <c r="B55" s="975" t="str">
        <f>tblControles[[#This Row],[Fecha]]&amp;"|"&amp;tblControles[[#This Row],[Módulo]]&amp;"|"&amp;tblControles[[#This Row],[Ítem]]&amp;"|"&amp;tblControles[[#This Row],[Turno]]</f>
        <v>46241|CARGA MOLINOS|RM - 3|% carga</v>
      </c>
      <c r="C55" s="871">
        <v>46241</v>
      </c>
      <c r="D55" t="s">
        <v>9455</v>
      </c>
      <c r="E55" t="s">
        <v>437</v>
      </c>
      <c r="F55" t="s">
        <v>9457</v>
      </c>
      <c r="G55">
        <v>92</v>
      </c>
      <c r="H55" t="s">
        <v>9333</v>
      </c>
      <c r="I55" s="871">
        <v>46293.93683766204</v>
      </c>
      <c r="J55" t="s">
        <v>9523</v>
      </c>
      <c r="K55" s="975" t="str">
        <f>IF(COUNTIFS(tblControles[Clave],tblControles[[#This Row],[Clave]])&gt;1,"Duplicado","")</f>
        <v/>
      </c>
    </row>
    <row r="56" spans="2:11">
      <c r="B56" s="975" t="str">
        <f>tblControles[[#This Row],[Fecha]]&amp;"|"&amp;tblControles[[#This Row],[Módulo]]&amp;"|"&amp;tblControles[[#This Row],[Ítem]]&amp;"|"&amp;tblControles[[#This Row],[Turno]]</f>
        <v>46241|CARGA MOLINOS|RM - 4|% carga</v>
      </c>
      <c r="C56" s="871">
        <v>46241</v>
      </c>
      <c r="D56" t="s">
        <v>9455</v>
      </c>
      <c r="E56" t="s">
        <v>438</v>
      </c>
      <c r="F56" t="s">
        <v>9457</v>
      </c>
      <c r="G56">
        <v>89.7</v>
      </c>
      <c r="H56" t="s">
        <v>9333</v>
      </c>
      <c r="I56" s="871">
        <v>46293.93683766204</v>
      </c>
      <c r="J56" t="s">
        <v>9523</v>
      </c>
      <c r="K56" s="975" t="str">
        <f>IF(COUNTIFS(tblControles[Clave],tblControles[[#This Row],[Clave]])&gt;1,"Duplicado","")</f>
        <v/>
      </c>
    </row>
    <row r="57" spans="2:11">
      <c r="B57" s="975" t="str">
        <f>tblControles[[#This Row],[Fecha]]&amp;"|"&amp;tblControles[[#This Row],[Módulo]]&amp;"|"&amp;tblControles[[#This Row],[Ítem]]&amp;"|"&amp;tblControles[[#This Row],[Turno]]</f>
        <v>46241|CARGA MOLINOS|RM - 5|% carga</v>
      </c>
      <c r="C57" s="871">
        <v>46241</v>
      </c>
      <c r="D57" t="s">
        <v>9455</v>
      </c>
      <c r="E57" t="s">
        <v>439</v>
      </c>
      <c r="F57" t="s">
        <v>9457</v>
      </c>
      <c r="G57">
        <v>88.1</v>
      </c>
      <c r="H57" t="s">
        <v>9333</v>
      </c>
      <c r="I57" s="871">
        <v>46293.93683766204</v>
      </c>
      <c r="J57" t="s">
        <v>9523</v>
      </c>
      <c r="K57" s="975" t="str">
        <f>IF(COUNTIFS(tblControles[Clave],tblControles[[#This Row],[Clave]])&gt;1,"Duplicado","")</f>
        <v/>
      </c>
    </row>
    <row r="58" spans="2:11">
      <c r="B58" s="975" t="str">
        <f>tblControles[[#This Row],[Fecha]]&amp;"|"&amp;tblControles[[#This Row],[Módulo]]&amp;"|"&amp;tblControles[[#This Row],[Ítem]]&amp;"|"&amp;tblControles[[#This Row],[Turno]]</f>
        <v>46241|CARGA MOLINOS|RM - 6|% carga</v>
      </c>
      <c r="C58" s="871">
        <v>46241</v>
      </c>
      <c r="D58" t="s">
        <v>9455</v>
      </c>
      <c r="E58" t="s">
        <v>440</v>
      </c>
      <c r="F58" t="s">
        <v>9457</v>
      </c>
      <c r="G58">
        <v>93.1</v>
      </c>
      <c r="H58" t="s">
        <v>9333</v>
      </c>
      <c r="I58" s="871">
        <v>46293.93683766204</v>
      </c>
      <c r="J58" t="s">
        <v>9523</v>
      </c>
      <c r="K58" s="975" t="str">
        <f>IF(COUNTIFS(tblControles[Clave],tblControles[[#This Row],[Clave]])&gt;1,"Duplicado","")</f>
        <v/>
      </c>
    </row>
    <row r="59" spans="2:11">
      <c r="B59" s="975" t="str">
        <f>tblControles[[#This Row],[Fecha]]&amp;"|"&amp;tblControles[[#This Row],[Módulo]]&amp;"|"&amp;tblControles[[#This Row],[Ítem]]&amp;"|"&amp;tblControles[[#This Row],[Turno]]</f>
        <v>46241|CARGA MOLINOS|RM - 7|% carga</v>
      </c>
      <c r="C59" s="871">
        <v>46241</v>
      </c>
      <c r="D59" t="s">
        <v>9455</v>
      </c>
      <c r="E59" t="s">
        <v>441</v>
      </c>
      <c r="F59" t="s">
        <v>9457</v>
      </c>
      <c r="G59">
        <v>88.1</v>
      </c>
      <c r="H59" t="s">
        <v>9333</v>
      </c>
      <c r="I59" s="871">
        <v>46293.93683766204</v>
      </c>
      <c r="J59" t="s">
        <v>9523</v>
      </c>
      <c r="K59" s="975" t="str">
        <f>IF(COUNTIFS(tblControles[Clave],tblControles[[#This Row],[Clave]])&gt;1,"Duplicado","")</f>
        <v/>
      </c>
    </row>
    <row r="60" spans="2:11">
      <c r="B60" s="975" t="str">
        <f>tblControles[[#This Row],[Fecha]]&amp;"|"&amp;tblControles[[#This Row],[Módulo]]&amp;"|"&amp;tblControles[[#This Row],[Ítem]]&amp;"|"&amp;tblControles[[#This Row],[Turno]]</f>
        <v>46241|CARGA MOLINOS|RM - 8|% carga</v>
      </c>
      <c r="C60" s="871">
        <v>46241</v>
      </c>
      <c r="D60" t="s">
        <v>9455</v>
      </c>
      <c r="E60" t="s">
        <v>442</v>
      </c>
      <c r="F60" t="s">
        <v>9457</v>
      </c>
      <c r="G60">
        <v>82.2</v>
      </c>
      <c r="H60" t="s">
        <v>9333</v>
      </c>
      <c r="I60" s="871">
        <v>46293.93683766204</v>
      </c>
      <c r="J60" t="s">
        <v>9523</v>
      </c>
      <c r="K60" s="975" t="str">
        <f>IF(COUNTIFS(tblControles[Clave],tblControles[[#This Row],[Clave]])&gt;1,"Duplicado","")</f>
        <v/>
      </c>
    </row>
    <row r="61" spans="2:11">
      <c r="B61" s="975" t="str">
        <f>tblControles[[#This Row],[Fecha]]&amp;"|"&amp;tblControles[[#This Row],[Módulo]]&amp;"|"&amp;tblControles[[#This Row],[Ítem]]&amp;"|"&amp;tblControles[[#This Row],[Turno]]</f>
        <v>46241|CARGA MOLINOS|RM - 9|% carga</v>
      </c>
      <c r="C61" s="871">
        <v>46241</v>
      </c>
      <c r="D61" t="s">
        <v>9455</v>
      </c>
      <c r="E61" t="s">
        <v>443</v>
      </c>
      <c r="F61" t="s">
        <v>9457</v>
      </c>
      <c r="G61">
        <v>49.3</v>
      </c>
      <c r="H61" t="s">
        <v>9333</v>
      </c>
      <c r="I61" s="871">
        <v>46293.93683766204</v>
      </c>
      <c r="J61" t="s">
        <v>9523</v>
      </c>
      <c r="K61" s="975" t="str">
        <f>IF(COUNTIFS(tblControles[Clave],tblControles[[#This Row],[Clave]])&gt;1,"Duplicado","")</f>
        <v/>
      </c>
    </row>
    <row r="62" spans="2:11">
      <c r="B62" s="975" t="str">
        <f>tblControles[[#This Row],[Fecha]]&amp;"|"&amp;tblControles[[#This Row],[Módulo]]&amp;"|"&amp;tblControles[[#This Row],[Ítem]]&amp;"|"&amp;tblControles[[#This Row],[Turno]]</f>
        <v>46241|CARGA MOLINOS|BM - 2|% carga</v>
      </c>
      <c r="C62" s="871">
        <v>46241</v>
      </c>
      <c r="D62" t="s">
        <v>9455</v>
      </c>
      <c r="E62" t="s">
        <v>9519</v>
      </c>
      <c r="F62" t="s">
        <v>9457</v>
      </c>
      <c r="G62">
        <v>60.8</v>
      </c>
      <c r="H62" t="s">
        <v>9333</v>
      </c>
      <c r="I62" s="871">
        <v>46293.93683766204</v>
      </c>
      <c r="J62" t="s">
        <v>9523</v>
      </c>
      <c r="K62" s="975" t="str">
        <f>IF(COUNTIFS(tblControles[Clave],tblControles[[#This Row],[Clave]])&gt;1,"Duplicado","")</f>
        <v/>
      </c>
    </row>
    <row r="63" spans="2:11">
      <c r="B63" s="975" t="str">
        <f>tblControles[[#This Row],[Fecha]]&amp;"|"&amp;tblControles[[#This Row],[Módulo]]&amp;"|"&amp;tblControles[[#This Row],[Ítem]]&amp;"|"&amp;tblControles[[#This Row],[Turno]]</f>
        <v>46241|CARGA MOLINOS|BM - 3|% carga</v>
      </c>
      <c r="C63" s="871">
        <v>46241</v>
      </c>
      <c r="D63" t="s">
        <v>9455</v>
      </c>
      <c r="E63" t="s">
        <v>445</v>
      </c>
      <c r="F63" t="s">
        <v>9457</v>
      </c>
      <c r="G63">
        <v>99.9</v>
      </c>
      <c r="H63" t="s">
        <v>9333</v>
      </c>
      <c r="I63" s="871">
        <v>46293.93683766204</v>
      </c>
      <c r="J63" t="s">
        <v>9523</v>
      </c>
      <c r="K63" s="975" t="str">
        <f>IF(COUNTIFS(tblControles[Clave],tblControles[[#This Row],[Clave]])&gt;1,"Duplicado","")</f>
        <v/>
      </c>
    </row>
    <row r="64" spans="2:11">
      <c r="B64" s="975" t="str">
        <f>tblControles[[#This Row],[Fecha]]&amp;"|"&amp;tblControles[[#This Row],[Módulo]]&amp;"|"&amp;tblControles[[#This Row],[Ítem]]&amp;"|"&amp;tblControles[[#This Row],[Turno]]</f>
        <v>46241|CARGA MOLINOS|BM - 4|% carga</v>
      </c>
      <c r="C64" s="871">
        <v>46241</v>
      </c>
      <c r="D64" t="s">
        <v>9455</v>
      </c>
      <c r="E64" t="s">
        <v>446</v>
      </c>
      <c r="F64" t="s">
        <v>9457</v>
      </c>
      <c r="G64">
        <v>78.900000000000006</v>
      </c>
      <c r="H64" t="s">
        <v>9333</v>
      </c>
      <c r="I64" s="871">
        <v>46293.93683766204</v>
      </c>
      <c r="J64" t="s">
        <v>9523</v>
      </c>
      <c r="K64" s="975" t="str">
        <f>IF(COUNTIFS(tblControles[Clave],tblControles[[#This Row],[Clave]])&gt;1,"Duplicado","")</f>
        <v/>
      </c>
    </row>
    <row r="65" spans="2:11">
      <c r="B65" s="975" t="str">
        <f>tblControles[[#This Row],[Fecha]]&amp;"|"&amp;tblControles[[#This Row],[Módulo]]&amp;"|"&amp;tblControles[[#This Row],[Ítem]]&amp;"|"&amp;tblControles[[#This Row],[Turno]]</f>
        <v>46241|CARGA MOLINOS|BM - 5|% carga</v>
      </c>
      <c r="C65" s="871">
        <v>46241</v>
      </c>
      <c r="D65" t="s">
        <v>9455</v>
      </c>
      <c r="E65" t="s">
        <v>447</v>
      </c>
      <c r="F65" t="s">
        <v>9457</v>
      </c>
      <c r="G65">
        <v>93.2</v>
      </c>
      <c r="H65" t="s">
        <v>9333</v>
      </c>
      <c r="I65" s="871">
        <v>46293.93683766204</v>
      </c>
      <c r="J65" t="s">
        <v>9523</v>
      </c>
      <c r="K65" s="975" t="str">
        <f>IF(COUNTIFS(tblControles[Clave],tblControles[[#This Row],[Clave]])&gt;1,"Duplicado","")</f>
        <v/>
      </c>
    </row>
    <row r="66" spans="2:11">
      <c r="B66" s="975" t="str">
        <f>tblControles[[#This Row],[Fecha]]&amp;"|"&amp;tblControles[[#This Row],[Módulo]]&amp;"|"&amp;tblControles[[#This Row],[Ítem]]&amp;"|"&amp;tblControles[[#This Row],[Turno]]</f>
        <v>46241|CARGA MOLINOS|BM - 6|% carga</v>
      </c>
      <c r="C66" s="871">
        <v>46241</v>
      </c>
      <c r="D66" t="s">
        <v>9455</v>
      </c>
      <c r="E66" t="s">
        <v>448</v>
      </c>
      <c r="F66" t="s">
        <v>9457</v>
      </c>
      <c r="G66">
        <v>92.5</v>
      </c>
      <c r="H66" t="s">
        <v>9333</v>
      </c>
      <c r="I66" s="871">
        <v>46293.93683766204</v>
      </c>
      <c r="J66" t="s">
        <v>9523</v>
      </c>
      <c r="K66" s="975" t="str">
        <f>IF(COUNTIFS(tblControles[Clave],tblControles[[#This Row],[Clave]])&gt;1,"Duplicado","")</f>
        <v/>
      </c>
    </row>
    <row r="67" spans="2:11">
      <c r="B67" s="975" t="str">
        <f>tblControles[[#This Row],[Fecha]]&amp;"|"&amp;tblControles[[#This Row],[Módulo]]&amp;"|"&amp;tblControles[[#This Row],[Ítem]]&amp;"|"&amp;tblControles[[#This Row],[Turno]]</f>
        <v>46241|CARGA MOLINOS|BM - 7|% carga</v>
      </c>
      <c r="C67" s="871">
        <v>46241</v>
      </c>
      <c r="D67" t="s">
        <v>9455</v>
      </c>
      <c r="E67" t="s">
        <v>449</v>
      </c>
      <c r="F67" t="s">
        <v>9457</v>
      </c>
      <c r="G67">
        <v>92.7</v>
      </c>
      <c r="H67" t="s">
        <v>9333</v>
      </c>
      <c r="I67" s="871">
        <v>46293.93683766204</v>
      </c>
      <c r="J67" t="s">
        <v>9523</v>
      </c>
      <c r="K67" s="975" t="str">
        <f>IF(COUNTIFS(tblControles[Clave],tblControles[[#This Row],[Clave]])&gt;1,"Duplicado","")</f>
        <v/>
      </c>
    </row>
    <row r="68" spans="2:11">
      <c r="B68" s="975" t="str">
        <f>tblControles[[#This Row],[Fecha]]&amp;"|"&amp;tblControles[[#This Row],[Módulo]]&amp;"|"&amp;tblControles[[#This Row],[Ítem]]&amp;"|"&amp;tblControles[[#This Row],[Turno]]</f>
        <v>46241|CARGA MOLINOS|BM - 8|% carga</v>
      </c>
      <c r="C68" s="871">
        <v>46241</v>
      </c>
      <c r="D68" t="s">
        <v>9455</v>
      </c>
      <c r="E68" t="s">
        <v>450</v>
      </c>
      <c r="F68" t="s">
        <v>9457</v>
      </c>
      <c r="G68">
        <v>88</v>
      </c>
      <c r="H68" t="s">
        <v>9333</v>
      </c>
      <c r="I68" s="871">
        <v>46293.93683766204</v>
      </c>
      <c r="J68" t="s">
        <v>9523</v>
      </c>
      <c r="K68" s="975" t="str">
        <f>IF(COUNTIFS(tblControles[Clave],tblControles[[#This Row],[Clave]])&gt;1,"Duplicado","")</f>
        <v/>
      </c>
    </row>
    <row r="69" spans="2:11">
      <c r="B69" s="975" t="str">
        <f>tblControles[[#This Row],[Fecha]]&amp;"|"&amp;tblControles[[#This Row],[Módulo]]&amp;"|"&amp;tblControles[[#This Row],[Ítem]]&amp;"|"&amp;tblControles[[#This Row],[Turno]]</f>
        <v>46241|CARGA MOLINOS|BM - 9|% carga</v>
      </c>
      <c r="C69" s="871">
        <v>46241</v>
      </c>
      <c r="D69" t="s">
        <v>9455</v>
      </c>
      <c r="E69" t="s">
        <v>451</v>
      </c>
      <c r="F69" t="s">
        <v>9457</v>
      </c>
      <c r="G69">
        <v>75.599999999999994</v>
      </c>
      <c r="H69" t="s">
        <v>9333</v>
      </c>
      <c r="I69" s="871">
        <v>46293.93683766204</v>
      </c>
      <c r="J69" t="s">
        <v>9523</v>
      </c>
      <c r="K69" s="975" t="str">
        <f>IF(COUNTIFS(tblControles[Clave],tblControles[[#This Row],[Clave]])&gt;1,"Duplicado","")</f>
        <v/>
      </c>
    </row>
    <row r="70" spans="2:11">
      <c r="B70" s="975" t="str">
        <f>tblControles[[#This Row],[Fecha]]&amp;"|"&amp;tblControles[[#This Row],[Módulo]]&amp;"|"&amp;tblControles[[#This Row],[Ítem]]&amp;"|"&amp;tblControles[[#This Row],[Turno]]</f>
        <v>46241|CARGA MOLINOS|BM - 10|% carga</v>
      </c>
      <c r="C70" s="871">
        <v>46241</v>
      </c>
      <c r="D70" t="s">
        <v>9455</v>
      </c>
      <c r="E70" t="s">
        <v>452</v>
      </c>
      <c r="F70" t="s">
        <v>9457</v>
      </c>
      <c r="G70">
        <v>74.7</v>
      </c>
      <c r="H70" t="s">
        <v>9333</v>
      </c>
      <c r="I70" s="871">
        <v>46293.93683766204</v>
      </c>
      <c r="J70" t="s">
        <v>9523</v>
      </c>
      <c r="K70" s="975" t="str">
        <f>IF(COUNTIFS(tblControles[Clave],tblControles[[#This Row],[Clave]])&gt;1,"Duplicado","")</f>
        <v/>
      </c>
    </row>
    <row r="71" spans="2:11">
      <c r="B71" s="975" t="str">
        <f>tblControles[[#This Row],[Fecha]]&amp;"|"&amp;tblControles[[#This Row],[Módulo]]&amp;"|"&amp;tblControles[[#This Row],[Ítem]]&amp;"|"&amp;tblControles[[#This Row],[Turno]]</f>
        <v>46242|CARGA MOLINOS|RM - 1|% carga</v>
      </c>
      <c r="C71" s="871">
        <v>46242</v>
      </c>
      <c r="D71" t="s">
        <v>9455</v>
      </c>
      <c r="E71" t="s">
        <v>435</v>
      </c>
      <c r="F71" t="s">
        <v>9457</v>
      </c>
      <c r="G71">
        <v>93.2</v>
      </c>
      <c r="H71" t="s">
        <v>9333</v>
      </c>
      <c r="I71" s="871">
        <v>46293.93683766204</v>
      </c>
      <c r="J71" t="s">
        <v>9523</v>
      </c>
      <c r="K71" s="975" t="str">
        <f>IF(COUNTIFS(tblControles[Clave],tblControles[[#This Row],[Clave]])&gt;1,"Duplicado","")</f>
        <v/>
      </c>
    </row>
    <row r="72" spans="2:11">
      <c r="B72" s="975" t="str">
        <f>tblControles[[#This Row],[Fecha]]&amp;"|"&amp;tblControles[[#This Row],[Módulo]]&amp;"|"&amp;tblControles[[#This Row],[Ítem]]&amp;"|"&amp;tblControles[[#This Row],[Turno]]</f>
        <v>46242|CARGA MOLINOS|RM - 3|% carga</v>
      </c>
      <c r="C72" s="871">
        <v>46242</v>
      </c>
      <c r="D72" t="s">
        <v>9455</v>
      </c>
      <c r="E72" t="s">
        <v>437</v>
      </c>
      <c r="F72" t="s">
        <v>9457</v>
      </c>
      <c r="G72">
        <v>89.3</v>
      </c>
      <c r="H72" t="s">
        <v>9333</v>
      </c>
      <c r="I72" s="871">
        <v>46293.93683766204</v>
      </c>
      <c r="J72" t="s">
        <v>9523</v>
      </c>
      <c r="K72" s="975" t="str">
        <f>IF(COUNTIFS(tblControles[Clave],tblControles[[#This Row],[Clave]])&gt;1,"Duplicado","")</f>
        <v/>
      </c>
    </row>
    <row r="73" spans="2:11">
      <c r="B73" s="975" t="str">
        <f>tblControles[[#This Row],[Fecha]]&amp;"|"&amp;tblControles[[#This Row],[Módulo]]&amp;"|"&amp;tblControles[[#This Row],[Ítem]]&amp;"|"&amp;tblControles[[#This Row],[Turno]]</f>
        <v>46242|CARGA MOLINOS|RM - 4|% carga</v>
      </c>
      <c r="C73" s="871">
        <v>46242</v>
      </c>
      <c r="D73" t="s">
        <v>9455</v>
      </c>
      <c r="E73" t="s">
        <v>438</v>
      </c>
      <c r="F73" t="s">
        <v>9457</v>
      </c>
      <c r="G73">
        <v>91.6</v>
      </c>
      <c r="H73" t="s">
        <v>9333</v>
      </c>
      <c r="I73" s="871">
        <v>46293.93683766204</v>
      </c>
      <c r="J73" t="s">
        <v>9523</v>
      </c>
      <c r="K73" s="975" t="str">
        <f>IF(COUNTIFS(tblControles[Clave],tblControles[[#This Row],[Clave]])&gt;1,"Duplicado","")</f>
        <v/>
      </c>
    </row>
    <row r="74" spans="2:11">
      <c r="B74" s="975" t="str">
        <f>tblControles[[#This Row],[Fecha]]&amp;"|"&amp;tblControles[[#This Row],[Módulo]]&amp;"|"&amp;tblControles[[#This Row],[Ítem]]&amp;"|"&amp;tblControles[[#This Row],[Turno]]</f>
        <v>46242|CARGA MOLINOS|RM - 5|% carga</v>
      </c>
      <c r="C74" s="871">
        <v>46242</v>
      </c>
      <c r="D74" t="s">
        <v>9455</v>
      </c>
      <c r="E74" t="s">
        <v>439</v>
      </c>
      <c r="F74" t="s">
        <v>9457</v>
      </c>
      <c r="G74">
        <v>91.2</v>
      </c>
      <c r="H74" t="s">
        <v>9333</v>
      </c>
      <c r="I74" s="871">
        <v>46293.93683766204</v>
      </c>
      <c r="J74" t="s">
        <v>9523</v>
      </c>
      <c r="K74" s="975" t="str">
        <f>IF(COUNTIFS(tblControles[Clave],tblControles[[#This Row],[Clave]])&gt;1,"Duplicado","")</f>
        <v/>
      </c>
    </row>
    <row r="75" spans="2:11">
      <c r="B75" s="975" t="str">
        <f>tblControles[[#This Row],[Fecha]]&amp;"|"&amp;tblControles[[#This Row],[Módulo]]&amp;"|"&amp;tblControles[[#This Row],[Ítem]]&amp;"|"&amp;tblControles[[#This Row],[Turno]]</f>
        <v>46242|CARGA MOLINOS|RM - 6|% carga</v>
      </c>
      <c r="C75" s="871">
        <v>46242</v>
      </c>
      <c r="D75" t="s">
        <v>9455</v>
      </c>
      <c r="E75" t="s">
        <v>440</v>
      </c>
      <c r="F75" t="s">
        <v>9457</v>
      </c>
      <c r="G75">
        <v>91</v>
      </c>
      <c r="H75" t="s">
        <v>9333</v>
      </c>
      <c r="I75" s="871">
        <v>46293.93683766204</v>
      </c>
      <c r="J75" t="s">
        <v>9523</v>
      </c>
      <c r="K75" s="975" t="str">
        <f>IF(COUNTIFS(tblControles[Clave],tblControles[[#This Row],[Clave]])&gt;1,"Duplicado","")</f>
        <v/>
      </c>
    </row>
    <row r="76" spans="2:11">
      <c r="B76" s="975" t="str">
        <f>tblControles[[#This Row],[Fecha]]&amp;"|"&amp;tblControles[[#This Row],[Módulo]]&amp;"|"&amp;tblControles[[#This Row],[Ítem]]&amp;"|"&amp;tblControles[[#This Row],[Turno]]</f>
        <v>46242|CARGA MOLINOS|RM - 7|% carga</v>
      </c>
      <c r="C76" s="871">
        <v>46242</v>
      </c>
      <c r="D76" t="s">
        <v>9455</v>
      </c>
      <c r="E76" t="s">
        <v>441</v>
      </c>
      <c r="F76" t="s">
        <v>9457</v>
      </c>
      <c r="G76">
        <v>88.1</v>
      </c>
      <c r="H76" t="s">
        <v>9333</v>
      </c>
      <c r="I76" s="871">
        <v>46293.93683766204</v>
      </c>
      <c r="J76" t="s">
        <v>9523</v>
      </c>
      <c r="K76" s="975" t="str">
        <f>IF(COUNTIFS(tblControles[Clave],tblControles[[#This Row],[Clave]])&gt;1,"Duplicado","")</f>
        <v/>
      </c>
    </row>
    <row r="77" spans="2:11">
      <c r="B77" s="975" t="str">
        <f>tblControles[[#This Row],[Fecha]]&amp;"|"&amp;tblControles[[#This Row],[Módulo]]&amp;"|"&amp;tblControles[[#This Row],[Ítem]]&amp;"|"&amp;tblControles[[#This Row],[Turno]]</f>
        <v>46242|CARGA MOLINOS|RM - 8|% carga</v>
      </c>
      <c r="C77" s="871">
        <v>46242</v>
      </c>
      <c r="D77" t="s">
        <v>9455</v>
      </c>
      <c r="E77" t="s">
        <v>442</v>
      </c>
      <c r="F77" t="s">
        <v>9457</v>
      </c>
      <c r="G77">
        <v>82.2</v>
      </c>
      <c r="H77" t="s">
        <v>9333</v>
      </c>
      <c r="I77" s="871">
        <v>46293.93683766204</v>
      </c>
      <c r="J77" t="s">
        <v>9523</v>
      </c>
      <c r="K77" s="975" t="str">
        <f>IF(COUNTIFS(tblControles[Clave],tblControles[[#This Row],[Clave]])&gt;1,"Duplicado","")</f>
        <v/>
      </c>
    </row>
    <row r="78" spans="2:11">
      <c r="B78" s="975" t="str">
        <f>tblControles[[#This Row],[Fecha]]&amp;"|"&amp;tblControles[[#This Row],[Módulo]]&amp;"|"&amp;tblControles[[#This Row],[Ítem]]&amp;"|"&amp;tblControles[[#This Row],[Turno]]</f>
        <v>46242|CARGA MOLINOS|BM - 1|% carga</v>
      </c>
      <c r="C78" s="871">
        <v>46242</v>
      </c>
      <c r="D78" t="s">
        <v>9455</v>
      </c>
      <c r="E78" t="s">
        <v>444</v>
      </c>
      <c r="F78" t="s">
        <v>9457</v>
      </c>
      <c r="G78">
        <v>86.3</v>
      </c>
      <c r="H78" t="s">
        <v>9333</v>
      </c>
      <c r="I78" s="871">
        <v>46293.93683766204</v>
      </c>
      <c r="J78" t="s">
        <v>9523</v>
      </c>
      <c r="K78" s="975" t="str">
        <f>IF(COUNTIFS(tblControles[Clave],tblControles[[#This Row],[Clave]])&gt;1,"Duplicado","")</f>
        <v/>
      </c>
    </row>
    <row r="79" spans="2:11">
      <c r="B79" s="975" t="str">
        <f>tblControles[[#This Row],[Fecha]]&amp;"|"&amp;tblControles[[#This Row],[Módulo]]&amp;"|"&amp;tblControles[[#This Row],[Ítem]]&amp;"|"&amp;tblControles[[#This Row],[Turno]]</f>
        <v>46242|CARGA MOLINOS|BM - 2|% carga</v>
      </c>
      <c r="C79" s="871">
        <v>46242</v>
      </c>
      <c r="D79" t="s">
        <v>9455</v>
      </c>
      <c r="E79" t="s">
        <v>9519</v>
      </c>
      <c r="F79" t="s">
        <v>9457</v>
      </c>
      <c r="G79">
        <v>68.599999999999994</v>
      </c>
      <c r="H79" t="s">
        <v>9333</v>
      </c>
      <c r="I79" s="871">
        <v>46293.93683766204</v>
      </c>
      <c r="J79" t="s">
        <v>9523</v>
      </c>
      <c r="K79" s="975" t="str">
        <f>IF(COUNTIFS(tblControles[Clave],tblControles[[#This Row],[Clave]])&gt;1,"Duplicado","")</f>
        <v/>
      </c>
    </row>
    <row r="80" spans="2:11">
      <c r="B80" s="975" t="str">
        <f>tblControles[[#This Row],[Fecha]]&amp;"|"&amp;tblControles[[#This Row],[Módulo]]&amp;"|"&amp;tblControles[[#This Row],[Ítem]]&amp;"|"&amp;tblControles[[#This Row],[Turno]]</f>
        <v>46242|CARGA MOLINOS|BM - 3|% carga</v>
      </c>
      <c r="C80" s="871">
        <v>46242</v>
      </c>
      <c r="D80" t="s">
        <v>9455</v>
      </c>
      <c r="E80" t="s">
        <v>445</v>
      </c>
      <c r="F80" t="s">
        <v>9457</v>
      </c>
      <c r="G80">
        <v>95.7</v>
      </c>
      <c r="H80" t="s">
        <v>9333</v>
      </c>
      <c r="I80" s="871">
        <v>46293.93683766204</v>
      </c>
      <c r="J80" t="s">
        <v>9523</v>
      </c>
      <c r="K80" s="975" t="str">
        <f>IF(COUNTIFS(tblControles[Clave],tblControles[[#This Row],[Clave]])&gt;1,"Duplicado","")</f>
        <v/>
      </c>
    </row>
    <row r="81" spans="2:11">
      <c r="B81" s="975" t="str">
        <f>tblControles[[#This Row],[Fecha]]&amp;"|"&amp;tblControles[[#This Row],[Módulo]]&amp;"|"&amp;tblControles[[#This Row],[Ítem]]&amp;"|"&amp;tblControles[[#This Row],[Turno]]</f>
        <v>46242|CARGA MOLINOS|BM - 4|% carga</v>
      </c>
      <c r="C81" s="871">
        <v>46242</v>
      </c>
      <c r="D81" t="s">
        <v>9455</v>
      </c>
      <c r="E81" t="s">
        <v>446</v>
      </c>
      <c r="F81" t="s">
        <v>9457</v>
      </c>
      <c r="G81">
        <v>90.7</v>
      </c>
      <c r="H81" t="s">
        <v>9333</v>
      </c>
      <c r="I81" s="871">
        <v>46293.93683766204</v>
      </c>
      <c r="J81" t="s">
        <v>9523</v>
      </c>
      <c r="K81" s="975" t="str">
        <f>IF(COUNTIFS(tblControles[Clave],tblControles[[#This Row],[Clave]])&gt;1,"Duplicado","")</f>
        <v/>
      </c>
    </row>
    <row r="82" spans="2:11">
      <c r="B82" s="975" t="str">
        <f>tblControles[[#This Row],[Fecha]]&amp;"|"&amp;tblControles[[#This Row],[Módulo]]&amp;"|"&amp;tblControles[[#This Row],[Ítem]]&amp;"|"&amp;tblControles[[#This Row],[Turno]]</f>
        <v>46242|CARGA MOLINOS|BM - 5|% carga</v>
      </c>
      <c r="C82" s="871">
        <v>46242</v>
      </c>
      <c r="D82" t="s">
        <v>9455</v>
      </c>
      <c r="E82" t="s">
        <v>447</v>
      </c>
      <c r="F82" t="s">
        <v>9457</v>
      </c>
      <c r="G82">
        <v>92.2</v>
      </c>
      <c r="H82" t="s">
        <v>9333</v>
      </c>
      <c r="I82" s="871">
        <v>46293.93683766204</v>
      </c>
      <c r="J82" t="s">
        <v>9523</v>
      </c>
      <c r="K82" s="975" t="str">
        <f>IF(COUNTIFS(tblControles[Clave],tblControles[[#This Row],[Clave]])&gt;1,"Duplicado","")</f>
        <v/>
      </c>
    </row>
    <row r="83" spans="2:11">
      <c r="B83" s="975" t="str">
        <f>tblControles[[#This Row],[Fecha]]&amp;"|"&amp;tblControles[[#This Row],[Módulo]]&amp;"|"&amp;tblControles[[#This Row],[Ítem]]&amp;"|"&amp;tblControles[[#This Row],[Turno]]</f>
        <v>46242|CARGA MOLINOS|BM - 6|% carga</v>
      </c>
      <c r="C83" s="871">
        <v>46242</v>
      </c>
      <c r="D83" t="s">
        <v>9455</v>
      </c>
      <c r="E83" t="s">
        <v>448</v>
      </c>
      <c r="F83" t="s">
        <v>9457</v>
      </c>
      <c r="G83">
        <v>92.2</v>
      </c>
      <c r="H83" t="s">
        <v>9333</v>
      </c>
      <c r="I83" s="871">
        <v>46293.93683766204</v>
      </c>
      <c r="J83" t="s">
        <v>9523</v>
      </c>
      <c r="K83" s="975" t="str">
        <f>IF(COUNTIFS(tblControles[Clave],tblControles[[#This Row],[Clave]])&gt;1,"Duplicado","")</f>
        <v/>
      </c>
    </row>
    <row r="84" spans="2:11">
      <c r="B84" s="975" t="str">
        <f>tblControles[[#This Row],[Fecha]]&amp;"|"&amp;tblControles[[#This Row],[Módulo]]&amp;"|"&amp;tblControles[[#This Row],[Ítem]]&amp;"|"&amp;tblControles[[#This Row],[Turno]]</f>
        <v>46242|CARGA MOLINOS|BM - 7|% carga</v>
      </c>
      <c r="C84" s="871">
        <v>46242</v>
      </c>
      <c r="D84" t="s">
        <v>9455</v>
      </c>
      <c r="E84" t="s">
        <v>449</v>
      </c>
      <c r="F84" t="s">
        <v>9457</v>
      </c>
      <c r="G84">
        <v>90.4</v>
      </c>
      <c r="H84" t="s">
        <v>9333</v>
      </c>
      <c r="I84" s="871">
        <v>46293.93683766204</v>
      </c>
      <c r="J84" t="s">
        <v>9523</v>
      </c>
      <c r="K84" s="975" t="str">
        <f>IF(COUNTIFS(tblControles[Clave],tblControles[[#This Row],[Clave]])&gt;1,"Duplicado","")</f>
        <v/>
      </c>
    </row>
    <row r="85" spans="2:11">
      <c r="B85" s="975" t="str">
        <f>tblControles[[#This Row],[Fecha]]&amp;"|"&amp;tblControles[[#This Row],[Módulo]]&amp;"|"&amp;tblControles[[#This Row],[Ítem]]&amp;"|"&amp;tblControles[[#This Row],[Turno]]</f>
        <v>46242|CARGA MOLINOS|BM - 8|% carga</v>
      </c>
      <c r="C85" s="871">
        <v>46242</v>
      </c>
      <c r="D85" t="s">
        <v>9455</v>
      </c>
      <c r="E85" t="s">
        <v>450</v>
      </c>
      <c r="F85" t="s">
        <v>9457</v>
      </c>
      <c r="G85">
        <v>90.4</v>
      </c>
      <c r="H85" t="s">
        <v>9333</v>
      </c>
      <c r="I85" s="871">
        <v>46293.93683766204</v>
      </c>
      <c r="J85" t="s">
        <v>9523</v>
      </c>
      <c r="K85" s="975" t="str">
        <f>IF(COUNTIFS(tblControles[Clave],tblControles[[#This Row],[Clave]])&gt;1,"Duplicado","")</f>
        <v/>
      </c>
    </row>
    <row r="86" spans="2:11">
      <c r="B86" s="975" t="str">
        <f>tblControles[[#This Row],[Fecha]]&amp;"|"&amp;tblControles[[#This Row],[Módulo]]&amp;"|"&amp;tblControles[[#This Row],[Ítem]]&amp;"|"&amp;tblControles[[#This Row],[Turno]]</f>
        <v>46242|CARGA MOLINOS|BM - 9|% carga</v>
      </c>
      <c r="C86" s="871">
        <v>46242</v>
      </c>
      <c r="D86" t="s">
        <v>9455</v>
      </c>
      <c r="E86" t="s">
        <v>451</v>
      </c>
      <c r="F86" t="s">
        <v>9457</v>
      </c>
      <c r="G86">
        <v>77.599999999999994</v>
      </c>
      <c r="H86" t="s">
        <v>9333</v>
      </c>
      <c r="I86" s="871">
        <v>46293.93683766204</v>
      </c>
      <c r="J86" t="s">
        <v>9523</v>
      </c>
      <c r="K86" s="975" t="str">
        <f>IF(COUNTIFS(tblControles[Clave],tblControles[[#This Row],[Clave]])&gt;1,"Duplicado","")</f>
        <v/>
      </c>
    </row>
    <row r="87" spans="2:11">
      <c r="B87" s="975" t="str">
        <f>tblControles[[#This Row],[Fecha]]&amp;"|"&amp;tblControles[[#This Row],[Módulo]]&amp;"|"&amp;tblControles[[#This Row],[Ítem]]&amp;"|"&amp;tblControles[[#This Row],[Turno]]</f>
        <v>46242|CARGA MOLINOS|BM - 10|% carga</v>
      </c>
      <c r="C87" s="871">
        <v>46242</v>
      </c>
      <c r="D87" t="s">
        <v>9455</v>
      </c>
      <c r="E87" t="s">
        <v>452</v>
      </c>
      <c r="F87" t="s">
        <v>9457</v>
      </c>
      <c r="G87">
        <v>73.8</v>
      </c>
      <c r="H87" t="s">
        <v>9333</v>
      </c>
      <c r="I87" s="871">
        <v>46293.93683766204</v>
      </c>
      <c r="J87" t="s">
        <v>9523</v>
      </c>
      <c r="K87" s="975" t="str">
        <f>IF(COUNTIFS(tblControles[Clave],tblControles[[#This Row],[Clave]])&gt;1,"Duplicado","")</f>
        <v/>
      </c>
    </row>
    <row r="88" spans="2:11">
      <c r="B88" s="975" t="str">
        <f>tblControles[[#This Row],[Fecha]]&amp;"|"&amp;tblControles[[#This Row],[Módulo]]&amp;"|"&amp;tblControles[[#This Row],[Ítem]]&amp;"|"&amp;tblControles[[#This Row],[Turno]]</f>
        <v>46243|CARGA MOLINOS|RM - 1|% carga</v>
      </c>
      <c r="C88" s="871">
        <v>46243</v>
      </c>
      <c r="D88" t="s">
        <v>9455</v>
      </c>
      <c r="E88" t="s">
        <v>435</v>
      </c>
      <c r="F88" t="s">
        <v>9457</v>
      </c>
      <c r="G88">
        <v>90.2</v>
      </c>
      <c r="H88" t="s">
        <v>9333</v>
      </c>
      <c r="I88" s="871">
        <v>46293.93683766204</v>
      </c>
      <c r="J88" t="s">
        <v>9523</v>
      </c>
      <c r="K88" s="975" t="str">
        <f>IF(COUNTIFS(tblControles[Clave],tblControles[[#This Row],[Clave]])&gt;1,"Duplicado","")</f>
        <v/>
      </c>
    </row>
    <row r="89" spans="2:11">
      <c r="B89" s="975" t="str">
        <f>tblControles[[#This Row],[Fecha]]&amp;"|"&amp;tblControles[[#This Row],[Módulo]]&amp;"|"&amp;tblControles[[#This Row],[Ítem]]&amp;"|"&amp;tblControles[[#This Row],[Turno]]</f>
        <v>46243|CARGA MOLINOS|RM - 3|% carga</v>
      </c>
      <c r="C89" s="871">
        <v>46243</v>
      </c>
      <c r="D89" t="s">
        <v>9455</v>
      </c>
      <c r="E89" t="s">
        <v>437</v>
      </c>
      <c r="F89" t="s">
        <v>9457</v>
      </c>
      <c r="G89">
        <v>86</v>
      </c>
      <c r="H89" t="s">
        <v>9333</v>
      </c>
      <c r="I89" s="871">
        <v>46293.93683766204</v>
      </c>
      <c r="J89" t="s">
        <v>9523</v>
      </c>
      <c r="K89" s="975" t="str">
        <f>IF(COUNTIFS(tblControles[Clave],tblControles[[#This Row],[Clave]])&gt;1,"Duplicado","")</f>
        <v/>
      </c>
    </row>
    <row r="90" spans="2:11">
      <c r="B90" s="975" t="str">
        <f>tblControles[[#This Row],[Fecha]]&amp;"|"&amp;tblControles[[#This Row],[Módulo]]&amp;"|"&amp;tblControles[[#This Row],[Ítem]]&amp;"|"&amp;tblControles[[#This Row],[Turno]]</f>
        <v>46243|CARGA MOLINOS|RM - 4|% carga</v>
      </c>
      <c r="C90" s="871">
        <v>46243</v>
      </c>
      <c r="D90" t="s">
        <v>9455</v>
      </c>
      <c r="E90" t="s">
        <v>438</v>
      </c>
      <c r="F90" t="s">
        <v>9457</v>
      </c>
      <c r="G90">
        <v>90.8</v>
      </c>
      <c r="H90" t="s">
        <v>9333</v>
      </c>
      <c r="I90" s="871">
        <v>46293.93683766204</v>
      </c>
      <c r="J90" t="s">
        <v>9523</v>
      </c>
      <c r="K90" s="975" t="str">
        <f>IF(COUNTIFS(tblControles[Clave],tblControles[[#This Row],[Clave]])&gt;1,"Duplicado","")</f>
        <v/>
      </c>
    </row>
    <row r="91" spans="2:11">
      <c r="B91" s="975" t="str">
        <f>tblControles[[#This Row],[Fecha]]&amp;"|"&amp;tblControles[[#This Row],[Módulo]]&amp;"|"&amp;tblControles[[#This Row],[Ítem]]&amp;"|"&amp;tblControles[[#This Row],[Turno]]</f>
        <v>46243|CARGA MOLINOS|RM - 5|% carga</v>
      </c>
      <c r="C91" s="871">
        <v>46243</v>
      </c>
      <c r="D91" t="s">
        <v>9455</v>
      </c>
      <c r="E91" t="s">
        <v>439</v>
      </c>
      <c r="F91" t="s">
        <v>9457</v>
      </c>
      <c r="G91">
        <v>88.9</v>
      </c>
      <c r="H91" t="s">
        <v>9333</v>
      </c>
      <c r="I91" s="871">
        <v>46293.93683766204</v>
      </c>
      <c r="J91" t="s">
        <v>9523</v>
      </c>
      <c r="K91" s="975" t="str">
        <f>IF(COUNTIFS(tblControles[Clave],tblControles[[#This Row],[Clave]])&gt;1,"Duplicado","")</f>
        <v/>
      </c>
    </row>
    <row r="92" spans="2:11">
      <c r="B92" s="975" t="str">
        <f>tblControles[[#This Row],[Fecha]]&amp;"|"&amp;tblControles[[#This Row],[Módulo]]&amp;"|"&amp;tblControles[[#This Row],[Ítem]]&amp;"|"&amp;tblControles[[#This Row],[Turno]]</f>
        <v>46243|CARGA MOLINOS|RM - 6|% carga</v>
      </c>
      <c r="C92" s="871">
        <v>46243</v>
      </c>
      <c r="D92" t="s">
        <v>9455</v>
      </c>
      <c r="E92" t="s">
        <v>440</v>
      </c>
      <c r="F92" t="s">
        <v>9457</v>
      </c>
      <c r="G92">
        <v>89.3</v>
      </c>
      <c r="H92" t="s">
        <v>9333</v>
      </c>
      <c r="I92" s="871">
        <v>46293.93683766204</v>
      </c>
      <c r="J92" t="s">
        <v>9523</v>
      </c>
      <c r="K92" s="975" t="str">
        <f>IF(COUNTIFS(tblControles[Clave],tblControles[[#This Row],[Clave]])&gt;1,"Duplicado","")</f>
        <v/>
      </c>
    </row>
    <row r="93" spans="2:11">
      <c r="B93" s="975" t="str">
        <f>tblControles[[#This Row],[Fecha]]&amp;"|"&amp;tblControles[[#This Row],[Módulo]]&amp;"|"&amp;tblControles[[#This Row],[Ítem]]&amp;"|"&amp;tblControles[[#This Row],[Turno]]</f>
        <v>46243|CARGA MOLINOS|RM - 7|% carga</v>
      </c>
      <c r="C93" s="871">
        <v>46243</v>
      </c>
      <c r="D93" t="s">
        <v>9455</v>
      </c>
      <c r="E93" t="s">
        <v>441</v>
      </c>
      <c r="F93" t="s">
        <v>9457</v>
      </c>
      <c r="G93">
        <v>87.7</v>
      </c>
      <c r="H93" t="s">
        <v>9333</v>
      </c>
      <c r="I93" s="871">
        <v>46293.93683766204</v>
      </c>
      <c r="J93" t="s">
        <v>9523</v>
      </c>
      <c r="K93" s="975" t="str">
        <f>IF(COUNTIFS(tblControles[Clave],tblControles[[#This Row],[Clave]])&gt;1,"Duplicado","")</f>
        <v/>
      </c>
    </row>
    <row r="94" spans="2:11">
      <c r="B94" s="975" t="str">
        <f>tblControles[[#This Row],[Fecha]]&amp;"|"&amp;tblControles[[#This Row],[Módulo]]&amp;"|"&amp;tblControles[[#This Row],[Ítem]]&amp;"|"&amp;tblControles[[#This Row],[Turno]]</f>
        <v>46243|CARGA MOLINOS|RM - 8|% carga</v>
      </c>
      <c r="C94" s="871">
        <v>46243</v>
      </c>
      <c r="D94" t="s">
        <v>9455</v>
      </c>
      <c r="E94" t="s">
        <v>442</v>
      </c>
      <c r="F94" t="s">
        <v>9457</v>
      </c>
      <c r="G94">
        <v>85.4</v>
      </c>
      <c r="H94" t="s">
        <v>9333</v>
      </c>
      <c r="I94" s="871">
        <v>46293.93683766204</v>
      </c>
      <c r="J94" t="s">
        <v>9523</v>
      </c>
      <c r="K94" s="975" t="str">
        <f>IF(COUNTIFS(tblControles[Clave],tblControles[[#This Row],[Clave]])&gt;1,"Duplicado","")</f>
        <v/>
      </c>
    </row>
    <row r="95" spans="2:11">
      <c r="B95" s="975" t="str">
        <f>tblControles[[#This Row],[Fecha]]&amp;"|"&amp;tblControles[[#This Row],[Módulo]]&amp;"|"&amp;tblControles[[#This Row],[Ítem]]&amp;"|"&amp;tblControles[[#This Row],[Turno]]</f>
        <v>46243|CARGA MOLINOS|BM - 1|% carga</v>
      </c>
      <c r="C95" s="871">
        <v>46243</v>
      </c>
      <c r="D95" t="s">
        <v>9455</v>
      </c>
      <c r="E95" t="s">
        <v>444</v>
      </c>
      <c r="F95" t="s">
        <v>9457</v>
      </c>
      <c r="G95">
        <v>91.1</v>
      </c>
      <c r="H95" t="s">
        <v>9333</v>
      </c>
      <c r="I95" s="871">
        <v>46293.93683766204</v>
      </c>
      <c r="J95" t="s">
        <v>9523</v>
      </c>
      <c r="K95" s="975" t="str">
        <f>IF(COUNTIFS(tblControles[Clave],tblControles[[#This Row],[Clave]])&gt;1,"Duplicado","")</f>
        <v/>
      </c>
    </row>
    <row r="96" spans="2:11">
      <c r="B96" s="975" t="str">
        <f>tblControles[[#This Row],[Fecha]]&amp;"|"&amp;tblControles[[#This Row],[Módulo]]&amp;"|"&amp;tblControles[[#This Row],[Ítem]]&amp;"|"&amp;tblControles[[#This Row],[Turno]]</f>
        <v>46243|CARGA MOLINOS|BM - 2|% carga</v>
      </c>
      <c r="C96" s="871">
        <v>46243</v>
      </c>
      <c r="D96" t="s">
        <v>9455</v>
      </c>
      <c r="E96" t="s">
        <v>9519</v>
      </c>
      <c r="F96" t="s">
        <v>9457</v>
      </c>
      <c r="G96">
        <v>70.8</v>
      </c>
      <c r="H96" t="s">
        <v>9333</v>
      </c>
      <c r="I96" s="871">
        <v>46293.93683766204</v>
      </c>
      <c r="J96" t="s">
        <v>9523</v>
      </c>
      <c r="K96" s="975" t="str">
        <f>IF(COUNTIFS(tblControles[Clave],tblControles[[#This Row],[Clave]])&gt;1,"Duplicado","")</f>
        <v/>
      </c>
    </row>
    <row r="97" spans="2:11">
      <c r="B97" s="975" t="str">
        <f>tblControles[[#This Row],[Fecha]]&amp;"|"&amp;tblControles[[#This Row],[Módulo]]&amp;"|"&amp;tblControles[[#This Row],[Ítem]]&amp;"|"&amp;tblControles[[#This Row],[Turno]]</f>
        <v>46243|CARGA MOLINOS|BM - 5|% carga</v>
      </c>
      <c r="C97" s="871">
        <v>46243</v>
      </c>
      <c r="D97" t="s">
        <v>9455</v>
      </c>
      <c r="E97" t="s">
        <v>447</v>
      </c>
      <c r="F97" t="s">
        <v>9457</v>
      </c>
      <c r="G97">
        <v>92.5</v>
      </c>
      <c r="H97" t="s">
        <v>9333</v>
      </c>
      <c r="I97" s="871">
        <v>46293.93683766204</v>
      </c>
      <c r="J97" t="s">
        <v>9523</v>
      </c>
      <c r="K97" s="975" t="str">
        <f>IF(COUNTIFS(tblControles[Clave],tblControles[[#This Row],[Clave]])&gt;1,"Duplicado","")</f>
        <v/>
      </c>
    </row>
    <row r="98" spans="2:11">
      <c r="B98" s="975" t="str">
        <f>tblControles[[#This Row],[Fecha]]&amp;"|"&amp;tblControles[[#This Row],[Módulo]]&amp;"|"&amp;tblControles[[#This Row],[Ítem]]&amp;"|"&amp;tblControles[[#This Row],[Turno]]</f>
        <v>46243|CARGA MOLINOS|BM - 6|% carga</v>
      </c>
      <c r="C98" s="871">
        <v>46243</v>
      </c>
      <c r="D98" t="s">
        <v>9455</v>
      </c>
      <c r="E98" t="s">
        <v>448</v>
      </c>
      <c r="F98" t="s">
        <v>9457</v>
      </c>
      <c r="G98">
        <v>92.4</v>
      </c>
      <c r="H98" t="s">
        <v>9333</v>
      </c>
      <c r="I98" s="871">
        <v>46293.93683766204</v>
      </c>
      <c r="J98" t="s">
        <v>9523</v>
      </c>
      <c r="K98" s="975" t="str">
        <f>IF(COUNTIFS(tblControles[Clave],tblControles[[#This Row],[Clave]])&gt;1,"Duplicado","")</f>
        <v/>
      </c>
    </row>
    <row r="99" spans="2:11">
      <c r="B99" s="975" t="str">
        <f>tblControles[[#This Row],[Fecha]]&amp;"|"&amp;tblControles[[#This Row],[Módulo]]&amp;"|"&amp;tblControles[[#This Row],[Ítem]]&amp;"|"&amp;tblControles[[#This Row],[Turno]]</f>
        <v>46243|CARGA MOLINOS|BM - 7|% carga</v>
      </c>
      <c r="C99" s="871">
        <v>46243</v>
      </c>
      <c r="D99" t="s">
        <v>9455</v>
      </c>
      <c r="E99" t="s">
        <v>449</v>
      </c>
      <c r="F99" t="s">
        <v>9457</v>
      </c>
      <c r="G99">
        <v>91.3</v>
      </c>
      <c r="H99" t="s">
        <v>9333</v>
      </c>
      <c r="I99" s="871">
        <v>46293.93683766204</v>
      </c>
      <c r="J99" t="s">
        <v>9523</v>
      </c>
      <c r="K99" s="975" t="str">
        <f>IF(COUNTIFS(tblControles[Clave],tblControles[[#This Row],[Clave]])&gt;1,"Duplicado","")</f>
        <v/>
      </c>
    </row>
    <row r="100" spans="2:11">
      <c r="B100" s="975" t="str">
        <f>tblControles[[#This Row],[Fecha]]&amp;"|"&amp;tblControles[[#This Row],[Módulo]]&amp;"|"&amp;tblControles[[#This Row],[Ítem]]&amp;"|"&amp;tblControles[[#This Row],[Turno]]</f>
        <v>46243|CARGA MOLINOS|BM - 8|% carga</v>
      </c>
      <c r="C100" s="871">
        <v>46243</v>
      </c>
      <c r="D100" t="s">
        <v>9455</v>
      </c>
      <c r="E100" t="s">
        <v>450</v>
      </c>
      <c r="F100" t="s">
        <v>9457</v>
      </c>
      <c r="G100">
        <v>91</v>
      </c>
      <c r="H100" t="s">
        <v>9333</v>
      </c>
      <c r="I100" s="871">
        <v>46293.93683766204</v>
      </c>
      <c r="J100" t="s">
        <v>9523</v>
      </c>
      <c r="K100" s="975" t="str">
        <f>IF(COUNTIFS(tblControles[Clave],tblControles[[#This Row],[Clave]])&gt;1,"Duplicado","")</f>
        <v/>
      </c>
    </row>
    <row r="101" spans="2:11">
      <c r="B101" s="975" t="str">
        <f>tblControles[[#This Row],[Fecha]]&amp;"|"&amp;tblControles[[#This Row],[Módulo]]&amp;"|"&amp;tblControles[[#This Row],[Ítem]]&amp;"|"&amp;tblControles[[#This Row],[Turno]]</f>
        <v>46243|CARGA MOLINOS|BM - 9|% carga</v>
      </c>
      <c r="C101" s="871">
        <v>46243</v>
      </c>
      <c r="D101" t="s">
        <v>9455</v>
      </c>
      <c r="E101" t="s">
        <v>451</v>
      </c>
      <c r="F101" t="s">
        <v>9457</v>
      </c>
      <c r="G101">
        <v>79.5</v>
      </c>
      <c r="H101" t="s">
        <v>9333</v>
      </c>
      <c r="I101" s="871">
        <v>46293.93683766204</v>
      </c>
      <c r="J101" t="s">
        <v>9523</v>
      </c>
      <c r="K101" s="975" t="str">
        <f>IF(COUNTIFS(tblControles[Clave],tblControles[[#This Row],[Clave]])&gt;1,"Duplicado","")</f>
        <v/>
      </c>
    </row>
    <row r="102" spans="2:11">
      <c r="B102" s="975" t="str">
        <f>tblControles[[#This Row],[Fecha]]&amp;"|"&amp;tblControles[[#This Row],[Módulo]]&amp;"|"&amp;tblControles[[#This Row],[Ítem]]&amp;"|"&amp;tblControles[[#This Row],[Turno]]</f>
        <v>46243|CARGA MOLINOS|BM - 10|% carga</v>
      </c>
      <c r="C102" s="871">
        <v>46243</v>
      </c>
      <c r="D102" t="s">
        <v>9455</v>
      </c>
      <c r="E102" t="s">
        <v>452</v>
      </c>
      <c r="F102" t="s">
        <v>9457</v>
      </c>
      <c r="G102">
        <v>74.400000000000006</v>
      </c>
      <c r="H102" t="s">
        <v>9333</v>
      </c>
      <c r="I102" s="871">
        <v>46293.93683766204</v>
      </c>
      <c r="J102" t="s">
        <v>9523</v>
      </c>
      <c r="K102" s="975" t="str">
        <f>IF(COUNTIFS(tblControles[Clave],tblControles[[#This Row],[Clave]])&gt;1,"Duplicado","")</f>
        <v/>
      </c>
    </row>
    <row r="103" spans="2:11">
      <c r="B103" s="975" t="str">
        <f>tblControles[[#This Row],[Fecha]]&amp;"|"&amp;tblControles[[#This Row],[Módulo]]&amp;"|"&amp;tblControles[[#This Row],[Ítem]]&amp;"|"&amp;tblControles[[#This Row],[Turno]]</f>
        <v>46244|CARGA MOLINOS|RM - 1|% carga</v>
      </c>
      <c r="C103" s="871">
        <v>46244</v>
      </c>
      <c r="D103" t="s">
        <v>9455</v>
      </c>
      <c r="E103" t="s">
        <v>435</v>
      </c>
      <c r="F103" t="s">
        <v>9457</v>
      </c>
      <c r="G103">
        <v>95</v>
      </c>
      <c r="H103" t="s">
        <v>9333</v>
      </c>
      <c r="I103" s="871">
        <v>46293.93683766204</v>
      </c>
      <c r="J103" t="s">
        <v>9523</v>
      </c>
      <c r="K103" s="975" t="str">
        <f>IF(COUNTIFS(tblControles[Clave],tblControles[[#This Row],[Clave]])&gt;1,"Duplicado","")</f>
        <v/>
      </c>
    </row>
    <row r="104" spans="2:11">
      <c r="B104" s="975" t="str">
        <f>tblControles[[#This Row],[Fecha]]&amp;"|"&amp;tblControles[[#This Row],[Módulo]]&amp;"|"&amp;tblControles[[#This Row],[Ítem]]&amp;"|"&amp;tblControles[[#This Row],[Turno]]</f>
        <v>46244|CARGA MOLINOS|RM - 2|% carga</v>
      </c>
      <c r="C104" s="871">
        <v>46244</v>
      </c>
      <c r="D104" t="s">
        <v>9455</v>
      </c>
      <c r="E104" t="s">
        <v>436</v>
      </c>
      <c r="F104" t="s">
        <v>9457</v>
      </c>
      <c r="G104">
        <v>89.5</v>
      </c>
      <c r="H104" t="s">
        <v>9333</v>
      </c>
      <c r="I104" s="871">
        <v>46293.93683766204</v>
      </c>
      <c r="J104" t="s">
        <v>9523</v>
      </c>
      <c r="K104" s="975" t="str">
        <f>IF(COUNTIFS(tblControles[Clave],tblControles[[#This Row],[Clave]])&gt;1,"Duplicado","")</f>
        <v/>
      </c>
    </row>
    <row r="105" spans="2:11">
      <c r="B105" s="975" t="str">
        <f>tblControles[[#This Row],[Fecha]]&amp;"|"&amp;tblControles[[#This Row],[Módulo]]&amp;"|"&amp;tblControles[[#This Row],[Ítem]]&amp;"|"&amp;tblControles[[#This Row],[Turno]]</f>
        <v>46244|CARGA MOLINOS|RM - 3|% carga</v>
      </c>
      <c r="C105" s="871">
        <v>46244</v>
      </c>
      <c r="D105" t="s">
        <v>9455</v>
      </c>
      <c r="E105" t="s">
        <v>437</v>
      </c>
      <c r="F105" t="s">
        <v>9457</v>
      </c>
      <c r="G105">
        <v>91.8</v>
      </c>
      <c r="H105" t="s">
        <v>9333</v>
      </c>
      <c r="I105" s="871">
        <v>46293.93683766204</v>
      </c>
      <c r="J105" t="s">
        <v>9523</v>
      </c>
      <c r="K105" s="975" t="str">
        <f>IF(COUNTIFS(tblControles[Clave],tblControles[[#This Row],[Clave]])&gt;1,"Duplicado","")</f>
        <v/>
      </c>
    </row>
    <row r="106" spans="2:11">
      <c r="B106" s="975" t="str">
        <f>tblControles[[#This Row],[Fecha]]&amp;"|"&amp;tblControles[[#This Row],[Módulo]]&amp;"|"&amp;tblControles[[#This Row],[Ítem]]&amp;"|"&amp;tblControles[[#This Row],[Turno]]</f>
        <v>46244|CARGA MOLINOS|RM - 5|% carga</v>
      </c>
      <c r="C106" s="871">
        <v>46244</v>
      </c>
      <c r="D106" t="s">
        <v>9455</v>
      </c>
      <c r="E106" t="s">
        <v>439</v>
      </c>
      <c r="F106" t="s">
        <v>9457</v>
      </c>
      <c r="G106">
        <v>93.9</v>
      </c>
      <c r="H106" t="s">
        <v>9333</v>
      </c>
      <c r="I106" s="871">
        <v>46293.93683766204</v>
      </c>
      <c r="J106" t="s">
        <v>9523</v>
      </c>
      <c r="K106" s="975" t="str">
        <f>IF(COUNTIFS(tblControles[Clave],tblControles[[#This Row],[Clave]])&gt;1,"Duplicado","")</f>
        <v/>
      </c>
    </row>
    <row r="107" spans="2:11">
      <c r="B107" s="975" t="str">
        <f>tblControles[[#This Row],[Fecha]]&amp;"|"&amp;tblControles[[#This Row],[Módulo]]&amp;"|"&amp;tblControles[[#This Row],[Ítem]]&amp;"|"&amp;tblControles[[#This Row],[Turno]]</f>
        <v>46244|CARGA MOLINOS|RM - 6|% carga</v>
      </c>
      <c r="C107" s="871">
        <v>46244</v>
      </c>
      <c r="D107" t="s">
        <v>9455</v>
      </c>
      <c r="E107" t="s">
        <v>440</v>
      </c>
      <c r="F107" t="s">
        <v>9457</v>
      </c>
      <c r="G107">
        <v>94.8</v>
      </c>
      <c r="H107" t="s">
        <v>9333</v>
      </c>
      <c r="I107" s="871">
        <v>46293.93683766204</v>
      </c>
      <c r="J107" t="s">
        <v>9523</v>
      </c>
      <c r="K107" s="975" t="str">
        <f>IF(COUNTIFS(tblControles[Clave],tblControles[[#This Row],[Clave]])&gt;1,"Duplicado","")</f>
        <v/>
      </c>
    </row>
    <row r="108" spans="2:11">
      <c r="B108" s="975" t="str">
        <f>tblControles[[#This Row],[Fecha]]&amp;"|"&amp;tblControles[[#This Row],[Módulo]]&amp;"|"&amp;tblControles[[#This Row],[Ítem]]&amp;"|"&amp;tblControles[[#This Row],[Turno]]</f>
        <v>46244|CARGA MOLINOS|RM - 7|% carga</v>
      </c>
      <c r="C108" s="871">
        <v>46244</v>
      </c>
      <c r="D108" t="s">
        <v>9455</v>
      </c>
      <c r="E108" t="s">
        <v>441</v>
      </c>
      <c r="F108" t="s">
        <v>9457</v>
      </c>
      <c r="G108">
        <v>92.5</v>
      </c>
      <c r="H108" t="s">
        <v>9333</v>
      </c>
      <c r="I108" s="871">
        <v>46293.93683766204</v>
      </c>
      <c r="J108" t="s">
        <v>9523</v>
      </c>
      <c r="K108" s="975" t="str">
        <f>IF(COUNTIFS(tblControles[Clave],tblControles[[#This Row],[Clave]])&gt;1,"Duplicado","")</f>
        <v/>
      </c>
    </row>
    <row r="109" spans="2:11">
      <c r="B109" s="975" t="str">
        <f>tblControles[[#This Row],[Fecha]]&amp;"|"&amp;tblControles[[#This Row],[Módulo]]&amp;"|"&amp;tblControles[[#This Row],[Ítem]]&amp;"|"&amp;tblControles[[#This Row],[Turno]]</f>
        <v>46244|CARGA MOLINOS|RM - 8|% carga</v>
      </c>
      <c r="C109" s="871">
        <v>46244</v>
      </c>
      <c r="D109" t="s">
        <v>9455</v>
      </c>
      <c r="E109" t="s">
        <v>442</v>
      </c>
      <c r="F109" t="s">
        <v>9457</v>
      </c>
      <c r="G109">
        <v>92</v>
      </c>
      <c r="H109" t="s">
        <v>9333</v>
      </c>
      <c r="I109" s="871">
        <v>46293.93683766204</v>
      </c>
      <c r="J109" t="s">
        <v>9523</v>
      </c>
      <c r="K109" s="975" t="str">
        <f>IF(COUNTIFS(tblControles[Clave],tblControles[[#This Row],[Clave]])&gt;1,"Duplicado","")</f>
        <v/>
      </c>
    </row>
    <row r="110" spans="2:11">
      <c r="B110" s="975" t="str">
        <f>tblControles[[#This Row],[Fecha]]&amp;"|"&amp;tblControles[[#This Row],[Módulo]]&amp;"|"&amp;tblControles[[#This Row],[Ítem]]&amp;"|"&amp;tblControles[[#This Row],[Turno]]</f>
        <v>46244|CARGA MOLINOS|BM - 1|% carga</v>
      </c>
      <c r="C110" s="871">
        <v>46244</v>
      </c>
      <c r="D110" t="s">
        <v>9455</v>
      </c>
      <c r="E110" t="s">
        <v>444</v>
      </c>
      <c r="F110" t="s">
        <v>9457</v>
      </c>
      <c r="G110">
        <v>90.9</v>
      </c>
      <c r="H110" t="s">
        <v>9333</v>
      </c>
      <c r="I110" s="871">
        <v>46293.93683766204</v>
      </c>
      <c r="J110" t="s">
        <v>9523</v>
      </c>
      <c r="K110" s="975" t="str">
        <f>IF(COUNTIFS(tblControles[Clave],tblControles[[#This Row],[Clave]])&gt;1,"Duplicado","")</f>
        <v/>
      </c>
    </row>
    <row r="111" spans="2:11">
      <c r="B111" s="975" t="str">
        <f>tblControles[[#This Row],[Fecha]]&amp;"|"&amp;tblControles[[#This Row],[Módulo]]&amp;"|"&amp;tblControles[[#This Row],[Ítem]]&amp;"|"&amp;tblControles[[#This Row],[Turno]]</f>
        <v>46244|CARGA MOLINOS|BM - 2|% carga</v>
      </c>
      <c r="C111" s="871">
        <v>46244</v>
      </c>
      <c r="D111" t="s">
        <v>9455</v>
      </c>
      <c r="E111" t="s">
        <v>9519</v>
      </c>
      <c r="F111" t="s">
        <v>9457</v>
      </c>
      <c r="G111">
        <v>91</v>
      </c>
      <c r="H111" t="s">
        <v>9333</v>
      </c>
      <c r="I111" s="871">
        <v>46293.93683766204</v>
      </c>
      <c r="J111" t="s">
        <v>9523</v>
      </c>
      <c r="K111" s="975" t="str">
        <f>IF(COUNTIFS(tblControles[Clave],tblControles[[#This Row],[Clave]])&gt;1,"Duplicado","")</f>
        <v/>
      </c>
    </row>
    <row r="112" spans="2:11">
      <c r="B112" s="975" t="str">
        <f>tblControles[[#This Row],[Fecha]]&amp;"|"&amp;tblControles[[#This Row],[Módulo]]&amp;"|"&amp;tblControles[[#This Row],[Ítem]]&amp;"|"&amp;tblControles[[#This Row],[Turno]]</f>
        <v>46244|CARGA MOLINOS|BM - 3|% carga</v>
      </c>
      <c r="C112" s="871">
        <v>46244</v>
      </c>
      <c r="D112" t="s">
        <v>9455</v>
      </c>
      <c r="E112" t="s">
        <v>445</v>
      </c>
      <c r="F112" t="s">
        <v>9457</v>
      </c>
      <c r="G112">
        <v>93.8</v>
      </c>
      <c r="H112" t="s">
        <v>9333</v>
      </c>
      <c r="I112" s="871">
        <v>46293.93683766204</v>
      </c>
      <c r="J112" t="s">
        <v>9523</v>
      </c>
      <c r="K112" s="975" t="str">
        <f>IF(COUNTIFS(tblControles[Clave],tblControles[[#This Row],[Clave]])&gt;1,"Duplicado","")</f>
        <v/>
      </c>
    </row>
    <row r="113" spans="2:11">
      <c r="B113" s="975" t="str">
        <f>tblControles[[#This Row],[Fecha]]&amp;"|"&amp;tblControles[[#This Row],[Módulo]]&amp;"|"&amp;tblControles[[#This Row],[Ítem]]&amp;"|"&amp;tblControles[[#This Row],[Turno]]</f>
        <v>46244|CARGA MOLINOS|BM - 4|% carga</v>
      </c>
      <c r="C113" s="871">
        <v>46244</v>
      </c>
      <c r="D113" t="s">
        <v>9455</v>
      </c>
      <c r="E113" t="s">
        <v>446</v>
      </c>
      <c r="F113" t="s">
        <v>9457</v>
      </c>
      <c r="G113">
        <v>93.4</v>
      </c>
      <c r="H113" t="s">
        <v>9333</v>
      </c>
      <c r="I113" s="871">
        <v>46293.93683766204</v>
      </c>
      <c r="J113" t="s">
        <v>9523</v>
      </c>
      <c r="K113" s="975" t="str">
        <f>IF(COUNTIFS(tblControles[Clave],tblControles[[#This Row],[Clave]])&gt;1,"Duplicado","")</f>
        <v/>
      </c>
    </row>
    <row r="114" spans="2:11">
      <c r="B114" s="975" t="str">
        <f>tblControles[[#This Row],[Fecha]]&amp;"|"&amp;tblControles[[#This Row],[Módulo]]&amp;"|"&amp;tblControles[[#This Row],[Ítem]]&amp;"|"&amp;tblControles[[#This Row],[Turno]]</f>
        <v>46244|CARGA MOLINOS|BM - 5|% carga</v>
      </c>
      <c r="C114" s="871">
        <v>46244</v>
      </c>
      <c r="D114" t="s">
        <v>9455</v>
      </c>
      <c r="E114" t="s">
        <v>447</v>
      </c>
      <c r="F114" t="s">
        <v>9457</v>
      </c>
      <c r="G114">
        <v>87.3</v>
      </c>
      <c r="H114" t="s">
        <v>9333</v>
      </c>
      <c r="I114" s="871">
        <v>46293.93683766204</v>
      </c>
      <c r="J114" t="s">
        <v>9523</v>
      </c>
      <c r="K114" s="975" t="str">
        <f>IF(COUNTIFS(tblControles[Clave],tblControles[[#This Row],[Clave]])&gt;1,"Duplicado","")</f>
        <v/>
      </c>
    </row>
    <row r="115" spans="2:11">
      <c r="B115" s="975" t="str">
        <f>tblControles[[#This Row],[Fecha]]&amp;"|"&amp;tblControles[[#This Row],[Módulo]]&amp;"|"&amp;tblControles[[#This Row],[Ítem]]&amp;"|"&amp;tblControles[[#This Row],[Turno]]</f>
        <v>46244|CARGA MOLINOS|BM - 6|% carga</v>
      </c>
      <c r="C115" s="871">
        <v>46244</v>
      </c>
      <c r="D115" t="s">
        <v>9455</v>
      </c>
      <c r="E115" t="s">
        <v>448</v>
      </c>
      <c r="F115" t="s">
        <v>9457</v>
      </c>
      <c r="G115">
        <v>94.2</v>
      </c>
      <c r="H115" t="s">
        <v>9333</v>
      </c>
      <c r="I115" s="871">
        <v>46293.93683766204</v>
      </c>
      <c r="J115" t="s">
        <v>9523</v>
      </c>
      <c r="K115" s="975" t="str">
        <f>IF(COUNTIFS(tblControles[Clave],tblControles[[#This Row],[Clave]])&gt;1,"Duplicado","")</f>
        <v/>
      </c>
    </row>
    <row r="116" spans="2:11">
      <c r="B116" s="975" t="str">
        <f>tblControles[[#This Row],[Fecha]]&amp;"|"&amp;tblControles[[#This Row],[Módulo]]&amp;"|"&amp;tblControles[[#This Row],[Ítem]]&amp;"|"&amp;tblControles[[#This Row],[Turno]]</f>
        <v>46244|CARGA MOLINOS|BM - 7|% carga</v>
      </c>
      <c r="C116" s="871">
        <v>46244</v>
      </c>
      <c r="D116" t="s">
        <v>9455</v>
      </c>
      <c r="E116" t="s">
        <v>449</v>
      </c>
      <c r="F116" t="s">
        <v>9457</v>
      </c>
      <c r="G116">
        <v>92.1</v>
      </c>
      <c r="H116" t="s">
        <v>9333</v>
      </c>
      <c r="I116" s="871">
        <v>46293.93683766204</v>
      </c>
      <c r="J116" t="s">
        <v>9523</v>
      </c>
      <c r="K116" s="975" t="str">
        <f>IF(COUNTIFS(tblControles[Clave],tblControles[[#This Row],[Clave]])&gt;1,"Duplicado","")</f>
        <v/>
      </c>
    </row>
    <row r="117" spans="2:11">
      <c r="B117" s="975" t="str">
        <f>tblControles[[#This Row],[Fecha]]&amp;"|"&amp;tblControles[[#This Row],[Módulo]]&amp;"|"&amp;tblControles[[#This Row],[Ítem]]&amp;"|"&amp;tblControles[[#This Row],[Turno]]</f>
        <v>46244|CARGA MOLINOS|BM - 8|% carga</v>
      </c>
      <c r="C117" s="871">
        <v>46244</v>
      </c>
      <c r="D117" t="s">
        <v>9455</v>
      </c>
      <c r="E117" t="s">
        <v>450</v>
      </c>
      <c r="F117" t="s">
        <v>9457</v>
      </c>
      <c r="G117">
        <v>91.2</v>
      </c>
      <c r="H117" t="s">
        <v>9333</v>
      </c>
      <c r="I117" s="871">
        <v>46293.93683766204</v>
      </c>
      <c r="J117" t="s">
        <v>9523</v>
      </c>
      <c r="K117" s="975" t="str">
        <f>IF(COUNTIFS(tblControles[Clave],tblControles[[#This Row],[Clave]])&gt;1,"Duplicado","")</f>
        <v/>
      </c>
    </row>
    <row r="118" spans="2:11">
      <c r="B118" s="975" t="str">
        <f>tblControles[[#This Row],[Fecha]]&amp;"|"&amp;tblControles[[#This Row],[Módulo]]&amp;"|"&amp;tblControles[[#This Row],[Ítem]]&amp;"|"&amp;tblControles[[#This Row],[Turno]]</f>
        <v>46244|CARGA MOLINOS|BM - 10|% carga</v>
      </c>
      <c r="C118" s="871">
        <v>46244</v>
      </c>
      <c r="D118" t="s">
        <v>9455</v>
      </c>
      <c r="E118" t="s">
        <v>452</v>
      </c>
      <c r="F118" t="s">
        <v>9457</v>
      </c>
      <c r="G118">
        <v>88.9</v>
      </c>
      <c r="H118" t="s">
        <v>9333</v>
      </c>
      <c r="I118" s="871">
        <v>46293.93683766204</v>
      </c>
      <c r="J118" t="s">
        <v>9523</v>
      </c>
      <c r="K118" s="975" t="str">
        <f>IF(COUNTIFS(tblControles[Clave],tblControles[[#This Row],[Clave]])&gt;1,"Duplicado","")</f>
        <v/>
      </c>
    </row>
    <row r="119" spans="2:11">
      <c r="B119" s="975" t="str">
        <f>tblControles[[#This Row],[Fecha]]&amp;"|"&amp;tblControles[[#This Row],[Módulo]]&amp;"|"&amp;tblControles[[#This Row],[Ítem]]&amp;"|"&amp;tblControles[[#This Row],[Turno]]</f>
        <v>46245|CARGA MOLINOS|RM - 1|% carga</v>
      </c>
      <c r="C119" s="871">
        <v>46245</v>
      </c>
      <c r="D119" t="s">
        <v>9455</v>
      </c>
      <c r="E119" t="s">
        <v>435</v>
      </c>
      <c r="F119" t="s">
        <v>9457</v>
      </c>
      <c r="G119">
        <v>92.3</v>
      </c>
      <c r="H119" t="s">
        <v>9333</v>
      </c>
      <c r="I119" s="871">
        <v>46293.93683766204</v>
      </c>
      <c r="J119" t="s">
        <v>9523</v>
      </c>
      <c r="K119" s="975" t="str">
        <f>IF(COUNTIFS(tblControles[Clave],tblControles[[#This Row],[Clave]])&gt;1,"Duplicado","")</f>
        <v/>
      </c>
    </row>
    <row r="120" spans="2:11">
      <c r="B120" s="975" t="str">
        <f>tblControles[[#This Row],[Fecha]]&amp;"|"&amp;tblControles[[#This Row],[Módulo]]&amp;"|"&amp;tblControles[[#This Row],[Ítem]]&amp;"|"&amp;tblControles[[#This Row],[Turno]]</f>
        <v>46245|CARGA MOLINOS|RM - 2|% carga</v>
      </c>
      <c r="C120" s="871">
        <v>46245</v>
      </c>
      <c r="D120" t="s">
        <v>9455</v>
      </c>
      <c r="E120" t="s">
        <v>436</v>
      </c>
      <c r="F120" t="s">
        <v>9457</v>
      </c>
      <c r="G120">
        <v>88.7</v>
      </c>
      <c r="H120" t="s">
        <v>9333</v>
      </c>
      <c r="I120" s="871">
        <v>46293.93683766204</v>
      </c>
      <c r="J120" t="s">
        <v>9523</v>
      </c>
      <c r="K120" s="975" t="str">
        <f>IF(COUNTIFS(tblControles[Clave],tblControles[[#This Row],[Clave]])&gt;1,"Duplicado","")</f>
        <v/>
      </c>
    </row>
    <row r="121" spans="2:11">
      <c r="B121" s="975" t="str">
        <f>tblControles[[#This Row],[Fecha]]&amp;"|"&amp;tblControles[[#This Row],[Módulo]]&amp;"|"&amp;tblControles[[#This Row],[Ítem]]&amp;"|"&amp;tblControles[[#This Row],[Turno]]</f>
        <v>46245|CARGA MOLINOS|RM - 3|% carga</v>
      </c>
      <c r="C121" s="871">
        <v>46245</v>
      </c>
      <c r="D121" t="s">
        <v>9455</v>
      </c>
      <c r="E121" t="s">
        <v>437</v>
      </c>
      <c r="F121" t="s">
        <v>9457</v>
      </c>
      <c r="G121">
        <v>86.2</v>
      </c>
      <c r="H121" t="s">
        <v>9333</v>
      </c>
      <c r="I121" s="871">
        <v>46293.93683766204</v>
      </c>
      <c r="J121" t="s">
        <v>9523</v>
      </c>
      <c r="K121" s="975" t="str">
        <f>IF(COUNTIFS(tblControles[Clave],tblControles[[#This Row],[Clave]])&gt;1,"Duplicado","")</f>
        <v/>
      </c>
    </row>
    <row r="122" spans="2:11">
      <c r="B122" s="975" t="str">
        <f>tblControles[[#This Row],[Fecha]]&amp;"|"&amp;tblControles[[#This Row],[Módulo]]&amp;"|"&amp;tblControles[[#This Row],[Ítem]]&amp;"|"&amp;tblControles[[#This Row],[Turno]]</f>
        <v>46245|CARGA MOLINOS|RM - 5|% carga</v>
      </c>
      <c r="C122" s="871">
        <v>46245</v>
      </c>
      <c r="D122" t="s">
        <v>9455</v>
      </c>
      <c r="E122" t="s">
        <v>439</v>
      </c>
      <c r="F122" t="s">
        <v>9457</v>
      </c>
      <c r="G122">
        <v>92.3</v>
      </c>
      <c r="H122" t="s">
        <v>9333</v>
      </c>
      <c r="I122" s="871">
        <v>46293.93683766204</v>
      </c>
      <c r="J122" t="s">
        <v>9523</v>
      </c>
      <c r="K122" s="975" t="str">
        <f>IF(COUNTIFS(tblControles[Clave],tblControles[[#This Row],[Clave]])&gt;1,"Duplicado","")</f>
        <v/>
      </c>
    </row>
    <row r="123" spans="2:11">
      <c r="B123" s="975" t="str">
        <f>tblControles[[#This Row],[Fecha]]&amp;"|"&amp;tblControles[[#This Row],[Módulo]]&amp;"|"&amp;tblControles[[#This Row],[Ítem]]&amp;"|"&amp;tblControles[[#This Row],[Turno]]</f>
        <v>46245|CARGA MOLINOS|RM - 6|% carga</v>
      </c>
      <c r="C123" s="871">
        <v>46245</v>
      </c>
      <c r="D123" t="s">
        <v>9455</v>
      </c>
      <c r="E123" t="s">
        <v>440</v>
      </c>
      <c r="F123" t="s">
        <v>9457</v>
      </c>
      <c r="G123">
        <v>93.1</v>
      </c>
      <c r="H123" t="s">
        <v>9333</v>
      </c>
      <c r="I123" s="871">
        <v>46293.93683766204</v>
      </c>
      <c r="J123" t="s">
        <v>9523</v>
      </c>
      <c r="K123" s="975" t="str">
        <f>IF(COUNTIFS(tblControles[Clave],tblControles[[#This Row],[Clave]])&gt;1,"Duplicado","")</f>
        <v/>
      </c>
    </row>
    <row r="124" spans="2:11">
      <c r="B124" s="975" t="str">
        <f>tblControles[[#This Row],[Fecha]]&amp;"|"&amp;tblControles[[#This Row],[Módulo]]&amp;"|"&amp;tblControles[[#This Row],[Ítem]]&amp;"|"&amp;tblControles[[#This Row],[Turno]]</f>
        <v>46245|CARGA MOLINOS|RM - 7|% carga</v>
      </c>
      <c r="C124" s="871">
        <v>46245</v>
      </c>
      <c r="D124" t="s">
        <v>9455</v>
      </c>
      <c r="E124" t="s">
        <v>441</v>
      </c>
      <c r="F124" t="s">
        <v>9457</v>
      </c>
      <c r="G124">
        <v>94.4</v>
      </c>
      <c r="H124" t="s">
        <v>9333</v>
      </c>
      <c r="I124" s="871">
        <v>46293.93683766204</v>
      </c>
      <c r="J124" t="s">
        <v>9523</v>
      </c>
      <c r="K124" s="975" t="str">
        <f>IF(COUNTIFS(tblControles[Clave],tblControles[[#This Row],[Clave]])&gt;1,"Duplicado","")</f>
        <v/>
      </c>
    </row>
    <row r="125" spans="2:11">
      <c r="B125" s="975" t="str">
        <f>tblControles[[#This Row],[Fecha]]&amp;"|"&amp;tblControles[[#This Row],[Módulo]]&amp;"|"&amp;tblControles[[#This Row],[Ítem]]&amp;"|"&amp;tblControles[[#This Row],[Turno]]</f>
        <v>46245|CARGA MOLINOS|RM - 8|% carga</v>
      </c>
      <c r="C125" s="871">
        <v>46245</v>
      </c>
      <c r="D125" t="s">
        <v>9455</v>
      </c>
      <c r="E125" t="s">
        <v>442</v>
      </c>
      <c r="F125" t="s">
        <v>9457</v>
      </c>
      <c r="G125">
        <v>93.1</v>
      </c>
      <c r="H125" t="s">
        <v>9333</v>
      </c>
      <c r="I125" s="871">
        <v>46293.93683766204</v>
      </c>
      <c r="J125" t="s">
        <v>9523</v>
      </c>
      <c r="K125" s="975" t="str">
        <f>IF(COUNTIFS(tblControles[Clave],tblControles[[#This Row],[Clave]])&gt;1,"Duplicado","")</f>
        <v/>
      </c>
    </row>
    <row r="126" spans="2:11">
      <c r="B126" s="975" t="str">
        <f>tblControles[[#This Row],[Fecha]]&amp;"|"&amp;tblControles[[#This Row],[Módulo]]&amp;"|"&amp;tblControles[[#This Row],[Ítem]]&amp;"|"&amp;tblControles[[#This Row],[Turno]]</f>
        <v>46245|CARGA MOLINOS|RM - 9|% carga</v>
      </c>
      <c r="C126" s="871">
        <v>46245</v>
      </c>
      <c r="D126" t="s">
        <v>9455</v>
      </c>
      <c r="E126" t="s">
        <v>443</v>
      </c>
      <c r="F126" t="s">
        <v>9457</v>
      </c>
      <c r="G126">
        <v>65.400000000000006</v>
      </c>
      <c r="H126" t="s">
        <v>9333</v>
      </c>
      <c r="I126" s="871">
        <v>46293.93683766204</v>
      </c>
      <c r="J126" t="s">
        <v>9523</v>
      </c>
      <c r="K126" s="975" t="str">
        <f>IF(COUNTIFS(tblControles[Clave],tblControles[[#This Row],[Clave]])&gt;1,"Duplicado","")</f>
        <v/>
      </c>
    </row>
    <row r="127" spans="2:11">
      <c r="B127" s="975" t="str">
        <f>tblControles[[#This Row],[Fecha]]&amp;"|"&amp;tblControles[[#This Row],[Módulo]]&amp;"|"&amp;tblControles[[#This Row],[Ítem]]&amp;"|"&amp;tblControles[[#This Row],[Turno]]</f>
        <v>46245|CARGA MOLINOS|BM - 1|% carga</v>
      </c>
      <c r="C127" s="871">
        <v>46245</v>
      </c>
      <c r="D127" t="s">
        <v>9455</v>
      </c>
      <c r="E127" t="s">
        <v>444</v>
      </c>
      <c r="F127" t="s">
        <v>9457</v>
      </c>
      <c r="G127">
        <v>92.6</v>
      </c>
      <c r="H127" t="s">
        <v>9333</v>
      </c>
      <c r="I127" s="871">
        <v>46293.93683766204</v>
      </c>
      <c r="J127" t="s">
        <v>9523</v>
      </c>
      <c r="K127" s="975" t="str">
        <f>IF(COUNTIFS(tblControles[Clave],tblControles[[#This Row],[Clave]])&gt;1,"Duplicado","")</f>
        <v/>
      </c>
    </row>
    <row r="128" spans="2:11">
      <c r="B128" s="975" t="str">
        <f>tblControles[[#This Row],[Fecha]]&amp;"|"&amp;tblControles[[#This Row],[Módulo]]&amp;"|"&amp;tblControles[[#This Row],[Ítem]]&amp;"|"&amp;tblControles[[#This Row],[Turno]]</f>
        <v>46245|CARGA MOLINOS|BM - 2|% carga</v>
      </c>
      <c r="C128" s="871">
        <v>46245</v>
      </c>
      <c r="D128" t="s">
        <v>9455</v>
      </c>
      <c r="E128" t="s">
        <v>9519</v>
      </c>
      <c r="F128" t="s">
        <v>9457</v>
      </c>
      <c r="G128">
        <v>88.9</v>
      </c>
      <c r="H128" t="s">
        <v>9333</v>
      </c>
      <c r="I128" s="871">
        <v>46293.93683766204</v>
      </c>
      <c r="J128" t="s">
        <v>9523</v>
      </c>
      <c r="K128" s="975" t="str">
        <f>IF(COUNTIFS(tblControles[Clave],tblControles[[#This Row],[Clave]])&gt;1,"Duplicado","")</f>
        <v/>
      </c>
    </row>
    <row r="129" spans="2:11">
      <c r="B129" s="975" t="str">
        <f>tblControles[[#This Row],[Fecha]]&amp;"|"&amp;tblControles[[#This Row],[Módulo]]&amp;"|"&amp;tblControles[[#This Row],[Ítem]]&amp;"|"&amp;tblControles[[#This Row],[Turno]]</f>
        <v>46245|CARGA MOLINOS|BM - 3|% carga</v>
      </c>
      <c r="C129" s="871">
        <v>46245</v>
      </c>
      <c r="D129" t="s">
        <v>9455</v>
      </c>
      <c r="E129" t="s">
        <v>445</v>
      </c>
      <c r="F129" t="s">
        <v>9457</v>
      </c>
      <c r="G129">
        <v>91.7</v>
      </c>
      <c r="H129" t="s">
        <v>9333</v>
      </c>
      <c r="I129" s="871">
        <v>46293.93683766204</v>
      </c>
      <c r="J129" t="s">
        <v>9523</v>
      </c>
      <c r="K129" s="975" t="str">
        <f>IF(COUNTIFS(tblControles[Clave],tblControles[[#This Row],[Clave]])&gt;1,"Duplicado","")</f>
        <v/>
      </c>
    </row>
    <row r="130" spans="2:11">
      <c r="B130" s="975" t="str">
        <f>tblControles[[#This Row],[Fecha]]&amp;"|"&amp;tblControles[[#This Row],[Módulo]]&amp;"|"&amp;tblControles[[#This Row],[Ítem]]&amp;"|"&amp;tblControles[[#This Row],[Turno]]</f>
        <v>46245|CARGA MOLINOS|BM - 4|% carga</v>
      </c>
      <c r="C130" s="871">
        <v>46245</v>
      </c>
      <c r="D130" t="s">
        <v>9455</v>
      </c>
      <c r="E130" t="s">
        <v>446</v>
      </c>
      <c r="F130" t="s">
        <v>9457</v>
      </c>
      <c r="G130">
        <v>90.5</v>
      </c>
      <c r="H130" t="s">
        <v>9333</v>
      </c>
      <c r="I130" s="871">
        <v>46293.93683766204</v>
      </c>
      <c r="J130" t="s">
        <v>9523</v>
      </c>
      <c r="K130" s="975" t="str">
        <f>IF(COUNTIFS(tblControles[Clave],tblControles[[#This Row],[Clave]])&gt;1,"Duplicado","")</f>
        <v/>
      </c>
    </row>
    <row r="131" spans="2:11">
      <c r="B131" s="975" t="str">
        <f>tblControles[[#This Row],[Fecha]]&amp;"|"&amp;tblControles[[#This Row],[Módulo]]&amp;"|"&amp;tblControles[[#This Row],[Ítem]]&amp;"|"&amp;tblControles[[#This Row],[Turno]]</f>
        <v>46245|CARGA MOLINOS|BM - 5|% carga</v>
      </c>
      <c r="C131" s="871">
        <v>46245</v>
      </c>
      <c r="D131" t="s">
        <v>9455</v>
      </c>
      <c r="E131" t="s">
        <v>447</v>
      </c>
      <c r="F131" t="s">
        <v>9457</v>
      </c>
      <c r="G131">
        <v>90.3</v>
      </c>
      <c r="H131" t="s">
        <v>9333</v>
      </c>
      <c r="I131" s="871">
        <v>46293.93683766204</v>
      </c>
      <c r="J131" t="s">
        <v>9523</v>
      </c>
      <c r="K131" s="975" t="str">
        <f>IF(COUNTIFS(tblControles[Clave],tblControles[[#This Row],[Clave]])&gt;1,"Duplicado","")</f>
        <v/>
      </c>
    </row>
    <row r="132" spans="2:11">
      <c r="B132" s="975" t="str">
        <f>tblControles[[#This Row],[Fecha]]&amp;"|"&amp;tblControles[[#This Row],[Módulo]]&amp;"|"&amp;tblControles[[#This Row],[Ítem]]&amp;"|"&amp;tblControles[[#This Row],[Turno]]</f>
        <v>46245|CARGA MOLINOS|BM - 6|% carga</v>
      </c>
      <c r="C132" s="871">
        <v>46245</v>
      </c>
      <c r="D132" t="s">
        <v>9455</v>
      </c>
      <c r="E132" t="s">
        <v>448</v>
      </c>
      <c r="F132" t="s">
        <v>9457</v>
      </c>
      <c r="G132">
        <v>91.9</v>
      </c>
      <c r="H132" t="s">
        <v>9333</v>
      </c>
      <c r="I132" s="871">
        <v>46293.93683766204</v>
      </c>
      <c r="J132" t="s">
        <v>9523</v>
      </c>
      <c r="K132" s="975" t="str">
        <f>IF(COUNTIFS(tblControles[Clave],tblControles[[#This Row],[Clave]])&gt;1,"Duplicado","")</f>
        <v/>
      </c>
    </row>
    <row r="133" spans="2:11">
      <c r="B133" s="975" t="str">
        <f>tblControles[[#This Row],[Fecha]]&amp;"|"&amp;tblControles[[#This Row],[Módulo]]&amp;"|"&amp;tblControles[[#This Row],[Ítem]]&amp;"|"&amp;tblControles[[#This Row],[Turno]]</f>
        <v>46245|CARGA MOLINOS|BM - 7|% carga</v>
      </c>
      <c r="C133" s="871">
        <v>46245</v>
      </c>
      <c r="D133" t="s">
        <v>9455</v>
      </c>
      <c r="E133" t="s">
        <v>449</v>
      </c>
      <c r="F133" t="s">
        <v>9457</v>
      </c>
      <c r="G133">
        <v>91.7</v>
      </c>
      <c r="H133" t="s">
        <v>9333</v>
      </c>
      <c r="I133" s="871">
        <v>46293.93683766204</v>
      </c>
      <c r="J133" t="s">
        <v>9523</v>
      </c>
      <c r="K133" s="975" t="str">
        <f>IF(COUNTIFS(tblControles[Clave],tblControles[[#This Row],[Clave]])&gt;1,"Duplicado","")</f>
        <v/>
      </c>
    </row>
    <row r="134" spans="2:11">
      <c r="B134" s="975" t="str">
        <f>tblControles[[#This Row],[Fecha]]&amp;"|"&amp;tblControles[[#This Row],[Módulo]]&amp;"|"&amp;tblControles[[#This Row],[Ítem]]&amp;"|"&amp;tblControles[[#This Row],[Turno]]</f>
        <v>46245|CARGA MOLINOS|BM - 8|% carga</v>
      </c>
      <c r="C134" s="871">
        <v>46245</v>
      </c>
      <c r="D134" t="s">
        <v>9455</v>
      </c>
      <c r="E134" t="s">
        <v>450</v>
      </c>
      <c r="F134" t="s">
        <v>9457</v>
      </c>
      <c r="G134">
        <v>90.9</v>
      </c>
      <c r="H134" t="s">
        <v>9333</v>
      </c>
      <c r="I134" s="871">
        <v>46293.93683766204</v>
      </c>
      <c r="J134" t="s">
        <v>9523</v>
      </c>
      <c r="K134" s="975" t="str">
        <f>IF(COUNTIFS(tblControles[Clave],tblControles[[#This Row],[Clave]])&gt;1,"Duplicado","")</f>
        <v/>
      </c>
    </row>
    <row r="135" spans="2:11">
      <c r="B135" s="975" t="str">
        <f>tblControles[[#This Row],[Fecha]]&amp;"|"&amp;tblControles[[#This Row],[Módulo]]&amp;"|"&amp;tblControles[[#This Row],[Ítem]]&amp;"|"&amp;tblControles[[#This Row],[Turno]]</f>
        <v>46245|CARGA MOLINOS|BM - 9|% carga</v>
      </c>
      <c r="C135" s="871">
        <v>46245</v>
      </c>
      <c r="D135" t="s">
        <v>9455</v>
      </c>
      <c r="E135" t="s">
        <v>451</v>
      </c>
      <c r="F135" t="s">
        <v>9457</v>
      </c>
      <c r="G135">
        <v>78.7</v>
      </c>
      <c r="H135" t="s">
        <v>9333</v>
      </c>
      <c r="I135" s="871">
        <v>46293.93683766204</v>
      </c>
      <c r="J135" t="s">
        <v>9523</v>
      </c>
      <c r="K135" s="975" t="str">
        <f>IF(COUNTIFS(tblControles[Clave],tblControles[[#This Row],[Clave]])&gt;1,"Duplicado","")</f>
        <v/>
      </c>
    </row>
    <row r="136" spans="2:11">
      <c r="B136" s="975" t="str">
        <f>tblControles[[#This Row],[Fecha]]&amp;"|"&amp;tblControles[[#This Row],[Módulo]]&amp;"|"&amp;tblControles[[#This Row],[Ítem]]&amp;"|"&amp;tblControles[[#This Row],[Turno]]</f>
        <v>46245|CARGA MOLINOS|BM - 10|% carga</v>
      </c>
      <c r="C136" s="871">
        <v>46245</v>
      </c>
      <c r="D136" t="s">
        <v>9455</v>
      </c>
      <c r="E136" t="s">
        <v>452</v>
      </c>
      <c r="F136" t="s">
        <v>9457</v>
      </c>
      <c r="G136">
        <v>88.9</v>
      </c>
      <c r="H136" t="s">
        <v>9333</v>
      </c>
      <c r="I136" s="871">
        <v>46293.93683766204</v>
      </c>
      <c r="J136" t="s">
        <v>9523</v>
      </c>
      <c r="K136" s="975" t="str">
        <f>IF(COUNTIFS(tblControles[Clave],tblControles[[#This Row],[Clave]])&gt;1,"Duplicado","")</f>
        <v/>
      </c>
    </row>
    <row r="137" spans="2:11">
      <c r="B137" s="975" t="str">
        <f>tblControles[[#This Row],[Fecha]]&amp;"|"&amp;tblControles[[#This Row],[Módulo]]&amp;"|"&amp;tblControles[[#This Row],[Ítem]]&amp;"|"&amp;tblControles[[#This Row],[Turno]]</f>
        <v>46248|CARGA MOLINOS|RM - 2|% carga</v>
      </c>
      <c r="C137" s="871">
        <v>46248</v>
      </c>
      <c r="D137" t="s">
        <v>9455</v>
      </c>
      <c r="E137" t="s">
        <v>436</v>
      </c>
      <c r="F137" t="s">
        <v>9457</v>
      </c>
      <c r="G137">
        <v>91.4</v>
      </c>
      <c r="H137" t="s">
        <v>9333</v>
      </c>
      <c r="I137" s="871">
        <v>46293.93683766204</v>
      </c>
      <c r="J137" t="s">
        <v>9523</v>
      </c>
      <c r="K137" s="975" t="str">
        <f>IF(COUNTIFS(tblControles[Clave],tblControles[[#This Row],[Clave]])&gt;1,"Duplicado","")</f>
        <v/>
      </c>
    </row>
    <row r="138" spans="2:11">
      <c r="B138" s="975" t="str">
        <f>tblControles[[#This Row],[Fecha]]&amp;"|"&amp;tblControles[[#This Row],[Módulo]]&amp;"|"&amp;tblControles[[#This Row],[Ítem]]&amp;"|"&amp;tblControles[[#This Row],[Turno]]</f>
        <v>46248|CARGA MOLINOS|RM - 3|% carga</v>
      </c>
      <c r="C138" s="871">
        <v>46248</v>
      </c>
      <c r="D138" t="s">
        <v>9455</v>
      </c>
      <c r="E138" t="s">
        <v>437</v>
      </c>
      <c r="F138" t="s">
        <v>9457</v>
      </c>
      <c r="G138">
        <v>90</v>
      </c>
      <c r="H138" t="s">
        <v>9333</v>
      </c>
      <c r="I138" s="871">
        <v>46293.93683766204</v>
      </c>
      <c r="J138" t="s">
        <v>9523</v>
      </c>
      <c r="K138" s="975" t="str">
        <f>IF(COUNTIFS(tblControles[Clave],tblControles[[#This Row],[Clave]])&gt;1,"Duplicado","")</f>
        <v/>
      </c>
    </row>
    <row r="139" spans="2:11">
      <c r="B139" s="975" t="str">
        <f>tblControles[[#This Row],[Fecha]]&amp;"|"&amp;tblControles[[#This Row],[Módulo]]&amp;"|"&amp;tblControles[[#This Row],[Ítem]]&amp;"|"&amp;tblControles[[#This Row],[Turno]]</f>
        <v>46248|CARGA MOLINOS|RM - 4|% carga</v>
      </c>
      <c r="C139" s="871">
        <v>46248</v>
      </c>
      <c r="D139" t="s">
        <v>9455</v>
      </c>
      <c r="E139" t="s">
        <v>438</v>
      </c>
      <c r="F139" t="s">
        <v>9457</v>
      </c>
      <c r="G139">
        <v>93.7</v>
      </c>
      <c r="H139" t="s">
        <v>9333</v>
      </c>
      <c r="I139" s="871">
        <v>46293.93683766204</v>
      </c>
      <c r="J139" t="s">
        <v>9523</v>
      </c>
      <c r="K139" s="975" t="str">
        <f>IF(COUNTIFS(tblControles[Clave],tblControles[[#This Row],[Clave]])&gt;1,"Duplicado","")</f>
        <v/>
      </c>
    </row>
    <row r="140" spans="2:11">
      <c r="B140" s="975" t="str">
        <f>tblControles[[#This Row],[Fecha]]&amp;"|"&amp;tblControles[[#This Row],[Módulo]]&amp;"|"&amp;tblControles[[#This Row],[Ítem]]&amp;"|"&amp;tblControles[[#This Row],[Turno]]</f>
        <v>46248|CARGA MOLINOS|RM - 5|% carga</v>
      </c>
      <c r="C140" s="871">
        <v>46248</v>
      </c>
      <c r="D140" t="s">
        <v>9455</v>
      </c>
      <c r="E140" t="s">
        <v>439</v>
      </c>
      <c r="F140" t="s">
        <v>9457</v>
      </c>
      <c r="G140">
        <v>91.4</v>
      </c>
      <c r="H140" t="s">
        <v>9333</v>
      </c>
      <c r="I140" s="871">
        <v>46293.93683766204</v>
      </c>
      <c r="J140" t="s">
        <v>9523</v>
      </c>
      <c r="K140" s="975" t="str">
        <f>IF(COUNTIFS(tblControles[Clave],tblControles[[#This Row],[Clave]])&gt;1,"Duplicado","")</f>
        <v/>
      </c>
    </row>
    <row r="141" spans="2:11">
      <c r="B141" s="975" t="str">
        <f>tblControles[[#This Row],[Fecha]]&amp;"|"&amp;tblControles[[#This Row],[Módulo]]&amp;"|"&amp;tblControles[[#This Row],[Ítem]]&amp;"|"&amp;tblControles[[#This Row],[Turno]]</f>
        <v>46248|CARGA MOLINOS|RM - 6|% carga</v>
      </c>
      <c r="C141" s="871">
        <v>46248</v>
      </c>
      <c r="D141" t="s">
        <v>9455</v>
      </c>
      <c r="E141" t="s">
        <v>440</v>
      </c>
      <c r="F141" t="s">
        <v>9457</v>
      </c>
      <c r="G141">
        <v>93.1</v>
      </c>
      <c r="H141" t="s">
        <v>9333</v>
      </c>
      <c r="I141" s="871">
        <v>46293.93683766204</v>
      </c>
      <c r="J141" t="s">
        <v>9523</v>
      </c>
      <c r="K141" s="975" t="str">
        <f>IF(COUNTIFS(tblControles[Clave],tblControles[[#This Row],[Clave]])&gt;1,"Duplicado","")</f>
        <v/>
      </c>
    </row>
    <row r="142" spans="2:11">
      <c r="B142" s="975" t="str">
        <f>tblControles[[#This Row],[Fecha]]&amp;"|"&amp;tblControles[[#This Row],[Módulo]]&amp;"|"&amp;tblControles[[#This Row],[Ítem]]&amp;"|"&amp;tblControles[[#This Row],[Turno]]</f>
        <v>46248|CARGA MOLINOS|RM - 7|% carga</v>
      </c>
      <c r="C142" s="871">
        <v>46248</v>
      </c>
      <c r="D142" t="s">
        <v>9455</v>
      </c>
      <c r="E142" t="s">
        <v>441</v>
      </c>
      <c r="F142" t="s">
        <v>9457</v>
      </c>
      <c r="G142">
        <v>94.8</v>
      </c>
      <c r="H142" t="s">
        <v>9333</v>
      </c>
      <c r="I142" s="871">
        <v>46293.93683766204</v>
      </c>
      <c r="J142" t="s">
        <v>9523</v>
      </c>
      <c r="K142" s="975" t="str">
        <f>IF(COUNTIFS(tblControles[Clave],tblControles[[#This Row],[Clave]])&gt;1,"Duplicado","")</f>
        <v/>
      </c>
    </row>
    <row r="143" spans="2:11">
      <c r="B143" s="975" t="str">
        <f>tblControles[[#This Row],[Fecha]]&amp;"|"&amp;tblControles[[#This Row],[Módulo]]&amp;"|"&amp;tblControles[[#This Row],[Ítem]]&amp;"|"&amp;tblControles[[#This Row],[Turno]]</f>
        <v>46248|CARGA MOLINOS|RM - 8|% carga</v>
      </c>
      <c r="C143" s="871">
        <v>46248</v>
      </c>
      <c r="D143" t="s">
        <v>9455</v>
      </c>
      <c r="E143" t="s">
        <v>442</v>
      </c>
      <c r="F143" t="s">
        <v>9457</v>
      </c>
      <c r="G143">
        <v>95.4</v>
      </c>
      <c r="H143" t="s">
        <v>9333</v>
      </c>
      <c r="I143" s="871">
        <v>46293.93683766204</v>
      </c>
      <c r="J143" t="s">
        <v>9523</v>
      </c>
      <c r="K143" s="975" t="str">
        <f>IF(COUNTIFS(tblControles[Clave],tblControles[[#This Row],[Clave]])&gt;1,"Duplicado","")</f>
        <v/>
      </c>
    </row>
    <row r="144" spans="2:11">
      <c r="B144" s="975" t="str">
        <f>tblControles[[#This Row],[Fecha]]&amp;"|"&amp;tblControles[[#This Row],[Módulo]]&amp;"|"&amp;tblControles[[#This Row],[Ítem]]&amp;"|"&amp;tblControles[[#This Row],[Turno]]</f>
        <v>46248|CARGA MOLINOS|RM - 9|% carga</v>
      </c>
      <c r="C144" s="871">
        <v>46248</v>
      </c>
      <c r="D144" t="s">
        <v>9455</v>
      </c>
      <c r="E144" t="s">
        <v>443</v>
      </c>
      <c r="F144" t="s">
        <v>9457</v>
      </c>
      <c r="G144">
        <v>62.7</v>
      </c>
      <c r="H144" t="s">
        <v>9333</v>
      </c>
      <c r="I144" s="871">
        <v>46293.93683766204</v>
      </c>
      <c r="J144" t="s">
        <v>9523</v>
      </c>
      <c r="K144" s="975" t="str">
        <f>IF(COUNTIFS(tblControles[Clave],tblControles[[#This Row],[Clave]])&gt;1,"Duplicado","")</f>
        <v/>
      </c>
    </row>
    <row r="145" spans="2:11">
      <c r="B145" s="975" t="str">
        <f>tblControles[[#This Row],[Fecha]]&amp;"|"&amp;tblControles[[#This Row],[Módulo]]&amp;"|"&amp;tblControles[[#This Row],[Ítem]]&amp;"|"&amp;tblControles[[#This Row],[Turno]]</f>
        <v>46248|CARGA MOLINOS|BM - 1|% carga</v>
      </c>
      <c r="C145" s="871">
        <v>46248</v>
      </c>
      <c r="D145" t="s">
        <v>9455</v>
      </c>
      <c r="E145" t="s">
        <v>444</v>
      </c>
      <c r="F145" t="s">
        <v>9457</v>
      </c>
      <c r="G145">
        <v>92.9</v>
      </c>
      <c r="H145" t="s">
        <v>9333</v>
      </c>
      <c r="I145" s="871">
        <v>46293.93683766204</v>
      </c>
      <c r="J145" t="s">
        <v>9523</v>
      </c>
      <c r="K145" s="975" t="str">
        <f>IF(COUNTIFS(tblControles[Clave],tblControles[[#This Row],[Clave]])&gt;1,"Duplicado","")</f>
        <v/>
      </c>
    </row>
    <row r="146" spans="2:11">
      <c r="B146" s="975" t="str">
        <f>tblControles[[#This Row],[Fecha]]&amp;"|"&amp;tblControles[[#This Row],[Módulo]]&amp;"|"&amp;tblControles[[#This Row],[Ítem]]&amp;"|"&amp;tblControles[[#This Row],[Turno]]</f>
        <v>46248|CARGA MOLINOS|BM - 2|% carga</v>
      </c>
      <c r="C146" s="871">
        <v>46248</v>
      </c>
      <c r="D146" t="s">
        <v>9455</v>
      </c>
      <c r="E146" t="s">
        <v>9519</v>
      </c>
      <c r="F146" t="s">
        <v>9457</v>
      </c>
      <c r="G146">
        <v>90</v>
      </c>
      <c r="H146" t="s">
        <v>9333</v>
      </c>
      <c r="I146" s="871">
        <v>46293.93683766204</v>
      </c>
      <c r="J146" t="s">
        <v>9523</v>
      </c>
      <c r="K146" s="975" t="str">
        <f>IF(COUNTIFS(tblControles[Clave],tblControles[[#This Row],[Clave]])&gt;1,"Duplicado","")</f>
        <v/>
      </c>
    </row>
    <row r="147" spans="2:11">
      <c r="B147" s="975" t="str">
        <f>tblControles[[#This Row],[Fecha]]&amp;"|"&amp;tblControles[[#This Row],[Módulo]]&amp;"|"&amp;tblControles[[#This Row],[Ítem]]&amp;"|"&amp;tblControles[[#This Row],[Turno]]</f>
        <v>46248|CARGA MOLINOS|BM - 3|% carga</v>
      </c>
      <c r="C147" s="871">
        <v>46248</v>
      </c>
      <c r="D147" t="s">
        <v>9455</v>
      </c>
      <c r="E147" t="s">
        <v>445</v>
      </c>
      <c r="F147" t="s">
        <v>9457</v>
      </c>
      <c r="G147">
        <v>88.9</v>
      </c>
      <c r="H147" t="s">
        <v>9333</v>
      </c>
      <c r="I147" s="871">
        <v>46293.93683766204</v>
      </c>
      <c r="J147" t="s">
        <v>9523</v>
      </c>
      <c r="K147" s="975" t="str">
        <f>IF(COUNTIFS(tblControles[Clave],tblControles[[#This Row],[Clave]])&gt;1,"Duplicado","")</f>
        <v/>
      </c>
    </row>
    <row r="148" spans="2:11">
      <c r="B148" s="975" t="str">
        <f>tblControles[[#This Row],[Fecha]]&amp;"|"&amp;tblControles[[#This Row],[Módulo]]&amp;"|"&amp;tblControles[[#This Row],[Ítem]]&amp;"|"&amp;tblControles[[#This Row],[Turno]]</f>
        <v>46248|CARGA MOLINOS|BM - 5|% carga</v>
      </c>
      <c r="C148" s="871">
        <v>46248</v>
      </c>
      <c r="D148" t="s">
        <v>9455</v>
      </c>
      <c r="E148" t="s">
        <v>447</v>
      </c>
      <c r="F148" t="s">
        <v>9457</v>
      </c>
      <c r="G148">
        <v>87.7</v>
      </c>
      <c r="H148" t="s">
        <v>9333</v>
      </c>
      <c r="I148" s="871">
        <v>46293.93683766204</v>
      </c>
      <c r="J148" t="s">
        <v>9523</v>
      </c>
      <c r="K148" s="975" t="str">
        <f>IF(COUNTIFS(tblControles[Clave],tblControles[[#This Row],[Clave]])&gt;1,"Duplicado","")</f>
        <v/>
      </c>
    </row>
    <row r="149" spans="2:11">
      <c r="B149" s="975" t="str">
        <f>tblControles[[#This Row],[Fecha]]&amp;"|"&amp;tblControles[[#This Row],[Módulo]]&amp;"|"&amp;tblControles[[#This Row],[Ítem]]&amp;"|"&amp;tblControles[[#This Row],[Turno]]</f>
        <v>46248|CARGA MOLINOS|BM - 6|% carga</v>
      </c>
      <c r="C149" s="871">
        <v>46248</v>
      </c>
      <c r="D149" t="s">
        <v>9455</v>
      </c>
      <c r="E149" t="s">
        <v>448</v>
      </c>
      <c r="F149" t="s">
        <v>9457</v>
      </c>
      <c r="G149">
        <v>89.7</v>
      </c>
      <c r="H149" t="s">
        <v>9333</v>
      </c>
      <c r="I149" s="871">
        <v>46293.93683766204</v>
      </c>
      <c r="J149" t="s">
        <v>9523</v>
      </c>
      <c r="K149" s="975" t="str">
        <f>IF(COUNTIFS(tblControles[Clave],tblControles[[#This Row],[Clave]])&gt;1,"Duplicado","")</f>
        <v/>
      </c>
    </row>
    <row r="150" spans="2:11">
      <c r="B150" s="975" t="str">
        <f>tblControles[[#This Row],[Fecha]]&amp;"|"&amp;tblControles[[#This Row],[Módulo]]&amp;"|"&amp;tblControles[[#This Row],[Ítem]]&amp;"|"&amp;tblControles[[#This Row],[Turno]]</f>
        <v>46248|CARGA MOLINOS|BM - 7|% carga</v>
      </c>
      <c r="C150" s="871">
        <v>46248</v>
      </c>
      <c r="D150" t="s">
        <v>9455</v>
      </c>
      <c r="E150" t="s">
        <v>449</v>
      </c>
      <c r="F150" t="s">
        <v>9457</v>
      </c>
      <c r="G150">
        <v>87.5</v>
      </c>
      <c r="H150" t="s">
        <v>9333</v>
      </c>
      <c r="I150" s="871">
        <v>46293.93683766204</v>
      </c>
      <c r="J150" t="s">
        <v>9523</v>
      </c>
      <c r="K150" s="975" t="str">
        <f>IF(COUNTIFS(tblControles[Clave],tblControles[[#This Row],[Clave]])&gt;1,"Duplicado","")</f>
        <v/>
      </c>
    </row>
    <row r="151" spans="2:11">
      <c r="B151" s="975" t="str">
        <f>tblControles[[#This Row],[Fecha]]&amp;"|"&amp;tblControles[[#This Row],[Módulo]]&amp;"|"&amp;tblControles[[#This Row],[Ítem]]&amp;"|"&amp;tblControles[[#This Row],[Turno]]</f>
        <v>46248|CARGA MOLINOS|BM - 8|% carga</v>
      </c>
      <c r="C151" s="871">
        <v>46248</v>
      </c>
      <c r="D151" t="s">
        <v>9455</v>
      </c>
      <c r="E151" t="s">
        <v>450</v>
      </c>
      <c r="F151" t="s">
        <v>9457</v>
      </c>
      <c r="G151">
        <v>90</v>
      </c>
      <c r="H151" t="s">
        <v>9333</v>
      </c>
      <c r="I151" s="871">
        <v>46293.93683766204</v>
      </c>
      <c r="J151" t="s">
        <v>9523</v>
      </c>
      <c r="K151" s="975" t="str">
        <f>IF(COUNTIFS(tblControles[Clave],tblControles[[#This Row],[Clave]])&gt;1,"Duplicado","")</f>
        <v/>
      </c>
    </row>
    <row r="152" spans="2:11">
      <c r="B152" s="975" t="str">
        <f>tblControles[[#This Row],[Fecha]]&amp;"|"&amp;tblControles[[#This Row],[Módulo]]&amp;"|"&amp;tblControles[[#This Row],[Ítem]]&amp;"|"&amp;tblControles[[#This Row],[Turno]]</f>
        <v>46248|CARGA MOLINOS|BM - 9|% carga</v>
      </c>
      <c r="C152" s="871">
        <v>46248</v>
      </c>
      <c r="D152" t="s">
        <v>9455</v>
      </c>
      <c r="E152" t="s">
        <v>451</v>
      </c>
      <c r="F152" t="s">
        <v>9457</v>
      </c>
      <c r="G152">
        <v>76</v>
      </c>
      <c r="H152" t="s">
        <v>9333</v>
      </c>
      <c r="I152" s="871">
        <v>46293.93683766204</v>
      </c>
      <c r="J152" t="s">
        <v>9523</v>
      </c>
      <c r="K152" s="975" t="str">
        <f>IF(COUNTIFS(tblControles[Clave],tblControles[[#This Row],[Clave]])&gt;1,"Duplicado","")</f>
        <v/>
      </c>
    </row>
    <row r="153" spans="2:11">
      <c r="B153" s="975" t="str">
        <f>tblControles[[#This Row],[Fecha]]&amp;"|"&amp;tblControles[[#This Row],[Módulo]]&amp;"|"&amp;tblControles[[#This Row],[Ítem]]&amp;"|"&amp;tblControles[[#This Row],[Turno]]</f>
        <v>46248|CARGA MOLINOS|BM - 10|% carga</v>
      </c>
      <c r="C153" s="871">
        <v>46248</v>
      </c>
      <c r="D153" t="s">
        <v>9455</v>
      </c>
      <c r="E153" t="s">
        <v>452</v>
      </c>
      <c r="F153" t="s">
        <v>9457</v>
      </c>
      <c r="G153">
        <v>88.8</v>
      </c>
      <c r="H153" t="s">
        <v>9333</v>
      </c>
      <c r="I153" s="871">
        <v>46293.93683766204</v>
      </c>
      <c r="J153" t="s">
        <v>9523</v>
      </c>
      <c r="K153" s="975" t="str">
        <f>IF(COUNTIFS(tblControles[Clave],tblControles[[#This Row],[Clave]])&gt;1,"Duplicado","")</f>
        <v/>
      </c>
    </row>
    <row r="154" spans="2:11">
      <c r="B154" s="975" t="str">
        <f>tblControles[[#This Row],[Fecha]]&amp;"|"&amp;tblControles[[#This Row],[Módulo]]&amp;"|"&amp;tblControles[[#This Row],[Ítem]]&amp;"|"&amp;tblControles[[#This Row],[Turno]]</f>
        <v>46249|CARGA MOLINOS|RM - 1|% carga</v>
      </c>
      <c r="C154" s="871">
        <v>46249</v>
      </c>
      <c r="D154" t="s">
        <v>9455</v>
      </c>
      <c r="E154" t="s">
        <v>435</v>
      </c>
      <c r="F154" t="s">
        <v>9457</v>
      </c>
      <c r="G154">
        <v>92.5</v>
      </c>
      <c r="H154" t="s">
        <v>9333</v>
      </c>
      <c r="I154" s="871">
        <v>46293.93683766204</v>
      </c>
      <c r="J154" t="s">
        <v>9523</v>
      </c>
      <c r="K154" s="975" t="str">
        <f>IF(COUNTIFS(tblControles[Clave],tblControles[[#This Row],[Clave]])&gt;1,"Duplicado","")</f>
        <v/>
      </c>
    </row>
    <row r="155" spans="2:11">
      <c r="B155" s="975" t="str">
        <f>tblControles[[#This Row],[Fecha]]&amp;"|"&amp;tblControles[[#This Row],[Módulo]]&amp;"|"&amp;tblControles[[#This Row],[Ítem]]&amp;"|"&amp;tblControles[[#This Row],[Turno]]</f>
        <v>46249|CARGA MOLINOS|RM - 2|% carga</v>
      </c>
      <c r="C155" s="871">
        <v>46249</v>
      </c>
      <c r="D155" t="s">
        <v>9455</v>
      </c>
      <c r="E155" t="s">
        <v>436</v>
      </c>
      <c r="F155" t="s">
        <v>9457</v>
      </c>
      <c r="G155">
        <v>90.8</v>
      </c>
      <c r="H155" t="s">
        <v>9333</v>
      </c>
      <c r="I155" s="871">
        <v>46293.93683766204</v>
      </c>
      <c r="J155" t="s">
        <v>9523</v>
      </c>
      <c r="K155" s="975" t="str">
        <f>IF(COUNTIFS(tblControles[Clave],tblControles[[#This Row],[Clave]])&gt;1,"Duplicado","")</f>
        <v/>
      </c>
    </row>
    <row r="156" spans="2:11">
      <c r="B156" s="975" t="str">
        <f>tblControles[[#This Row],[Fecha]]&amp;"|"&amp;tblControles[[#This Row],[Módulo]]&amp;"|"&amp;tblControles[[#This Row],[Ítem]]&amp;"|"&amp;tblControles[[#This Row],[Turno]]</f>
        <v>46249|CARGA MOLINOS|RM - 5|% carga</v>
      </c>
      <c r="C156" s="871">
        <v>46249</v>
      </c>
      <c r="D156" t="s">
        <v>9455</v>
      </c>
      <c r="E156" t="s">
        <v>439</v>
      </c>
      <c r="F156" t="s">
        <v>9457</v>
      </c>
      <c r="G156">
        <v>94.4</v>
      </c>
      <c r="H156" t="s">
        <v>9333</v>
      </c>
      <c r="I156" s="871">
        <v>46293.93683766204</v>
      </c>
      <c r="J156" t="s">
        <v>9523</v>
      </c>
      <c r="K156" s="975" t="str">
        <f>IF(COUNTIFS(tblControles[Clave],tblControles[[#This Row],[Clave]])&gt;1,"Duplicado","")</f>
        <v/>
      </c>
    </row>
    <row r="157" spans="2:11">
      <c r="B157" s="975" t="str">
        <f>tblControles[[#This Row],[Fecha]]&amp;"|"&amp;tblControles[[#This Row],[Módulo]]&amp;"|"&amp;tblControles[[#This Row],[Ítem]]&amp;"|"&amp;tblControles[[#This Row],[Turno]]</f>
        <v>46249|CARGA MOLINOS|RM - 6|% carga</v>
      </c>
      <c r="C157" s="871">
        <v>46249</v>
      </c>
      <c r="D157" t="s">
        <v>9455</v>
      </c>
      <c r="E157" t="s">
        <v>440</v>
      </c>
      <c r="F157" t="s">
        <v>9457</v>
      </c>
      <c r="G157">
        <v>91</v>
      </c>
      <c r="H157" t="s">
        <v>9333</v>
      </c>
      <c r="I157" s="871">
        <v>46293.93683766204</v>
      </c>
      <c r="J157" t="s">
        <v>9523</v>
      </c>
      <c r="K157" s="975" t="str">
        <f>IF(COUNTIFS(tblControles[Clave],tblControles[[#This Row],[Clave]])&gt;1,"Duplicado","")</f>
        <v/>
      </c>
    </row>
    <row r="158" spans="2:11">
      <c r="B158" s="975" t="str">
        <f>tblControles[[#This Row],[Fecha]]&amp;"|"&amp;tblControles[[#This Row],[Módulo]]&amp;"|"&amp;tblControles[[#This Row],[Ítem]]&amp;"|"&amp;tblControles[[#This Row],[Turno]]</f>
        <v>46249|CARGA MOLINOS|RM - 7|% carga</v>
      </c>
      <c r="C158" s="871">
        <v>46249</v>
      </c>
      <c r="D158" t="s">
        <v>9455</v>
      </c>
      <c r="E158" t="s">
        <v>441</v>
      </c>
      <c r="F158" t="s">
        <v>9457</v>
      </c>
      <c r="G158">
        <v>93.1</v>
      </c>
      <c r="H158" t="s">
        <v>9333</v>
      </c>
      <c r="I158" s="871">
        <v>46293.93683766204</v>
      </c>
      <c r="J158" t="s">
        <v>9523</v>
      </c>
      <c r="K158" s="975" t="str">
        <f>IF(COUNTIFS(tblControles[Clave],tblControles[[#This Row],[Clave]])&gt;1,"Duplicado","")</f>
        <v/>
      </c>
    </row>
    <row r="159" spans="2:11">
      <c r="B159" s="975" t="str">
        <f>tblControles[[#This Row],[Fecha]]&amp;"|"&amp;tblControles[[#This Row],[Módulo]]&amp;"|"&amp;tblControles[[#This Row],[Ítem]]&amp;"|"&amp;tblControles[[#This Row],[Turno]]</f>
        <v>46249|CARGA MOLINOS|RM - 8|% carga</v>
      </c>
      <c r="C159" s="871">
        <v>46249</v>
      </c>
      <c r="D159" t="s">
        <v>9455</v>
      </c>
      <c r="E159" t="s">
        <v>442</v>
      </c>
      <c r="F159" t="s">
        <v>9457</v>
      </c>
      <c r="G159">
        <v>95.2</v>
      </c>
      <c r="H159" t="s">
        <v>9333</v>
      </c>
      <c r="I159" s="871">
        <v>46293.93683766204</v>
      </c>
      <c r="J159" t="s">
        <v>9523</v>
      </c>
      <c r="K159" s="975" t="str">
        <f>IF(COUNTIFS(tblControles[Clave],tblControles[[#This Row],[Clave]])&gt;1,"Duplicado","")</f>
        <v/>
      </c>
    </row>
    <row r="160" spans="2:11">
      <c r="B160" s="975" t="str">
        <f>tblControles[[#This Row],[Fecha]]&amp;"|"&amp;tblControles[[#This Row],[Módulo]]&amp;"|"&amp;tblControles[[#This Row],[Ítem]]&amp;"|"&amp;tblControles[[#This Row],[Turno]]</f>
        <v>46249|CARGA MOLINOS|RM - 9|% carga</v>
      </c>
      <c r="C160" s="871">
        <v>46249</v>
      </c>
      <c r="D160" t="s">
        <v>9455</v>
      </c>
      <c r="E160" t="s">
        <v>443</v>
      </c>
      <c r="F160" t="s">
        <v>9457</v>
      </c>
      <c r="G160">
        <v>67.7</v>
      </c>
      <c r="H160" t="s">
        <v>9333</v>
      </c>
      <c r="I160" s="871">
        <v>46293.93683766204</v>
      </c>
      <c r="J160" t="s">
        <v>9523</v>
      </c>
      <c r="K160" s="975" t="str">
        <f>IF(COUNTIFS(tblControles[Clave],tblControles[[#This Row],[Clave]])&gt;1,"Duplicado","")</f>
        <v/>
      </c>
    </row>
    <row r="161" spans="2:11">
      <c r="B161" s="975" t="str">
        <f>tblControles[[#This Row],[Fecha]]&amp;"|"&amp;tblControles[[#This Row],[Módulo]]&amp;"|"&amp;tblControles[[#This Row],[Ítem]]&amp;"|"&amp;tblControles[[#This Row],[Turno]]</f>
        <v>46249|CARGA MOLINOS|BM - 1|% carga</v>
      </c>
      <c r="C161" s="871">
        <v>46249</v>
      </c>
      <c r="D161" t="s">
        <v>9455</v>
      </c>
      <c r="E161" t="s">
        <v>444</v>
      </c>
      <c r="F161" t="s">
        <v>9457</v>
      </c>
      <c r="G161">
        <v>91.3</v>
      </c>
      <c r="H161" t="s">
        <v>9333</v>
      </c>
      <c r="I161" s="871">
        <v>46293.93683766204</v>
      </c>
      <c r="J161" t="s">
        <v>9523</v>
      </c>
      <c r="K161" s="975" t="str">
        <f>IF(COUNTIFS(tblControles[Clave],tblControles[[#This Row],[Clave]])&gt;1,"Duplicado","")</f>
        <v/>
      </c>
    </row>
    <row r="162" spans="2:11">
      <c r="B162" s="975" t="str">
        <f>tblControles[[#This Row],[Fecha]]&amp;"|"&amp;tblControles[[#This Row],[Módulo]]&amp;"|"&amp;tblControles[[#This Row],[Ítem]]&amp;"|"&amp;tblControles[[#This Row],[Turno]]</f>
        <v>46249|CARGA MOLINOS|BM - 2|% carga</v>
      </c>
      <c r="C162" s="871">
        <v>46249</v>
      </c>
      <c r="D162" t="s">
        <v>9455</v>
      </c>
      <c r="E162" t="s">
        <v>9519</v>
      </c>
      <c r="F162" t="s">
        <v>9457</v>
      </c>
      <c r="G162">
        <v>92.2</v>
      </c>
      <c r="H162" t="s">
        <v>9333</v>
      </c>
      <c r="I162" s="871">
        <v>46293.93683766204</v>
      </c>
      <c r="J162" t="s">
        <v>9523</v>
      </c>
      <c r="K162" s="975" t="str">
        <f>IF(COUNTIFS(tblControles[Clave],tblControles[[#This Row],[Clave]])&gt;1,"Duplicado","")</f>
        <v/>
      </c>
    </row>
    <row r="163" spans="2:11">
      <c r="B163" s="975" t="str">
        <f>tblControles[[#This Row],[Fecha]]&amp;"|"&amp;tblControles[[#This Row],[Módulo]]&amp;"|"&amp;tblControles[[#This Row],[Ítem]]&amp;"|"&amp;tblControles[[#This Row],[Turno]]</f>
        <v>46249|CARGA MOLINOS|BM - 3|% carga</v>
      </c>
      <c r="C163" s="871">
        <v>46249</v>
      </c>
      <c r="D163" t="s">
        <v>9455</v>
      </c>
      <c r="E163" t="s">
        <v>445</v>
      </c>
      <c r="F163" t="s">
        <v>9457</v>
      </c>
      <c r="G163">
        <v>94.9</v>
      </c>
      <c r="H163" t="s">
        <v>9333</v>
      </c>
      <c r="I163" s="871">
        <v>46293.93683766204</v>
      </c>
      <c r="J163" t="s">
        <v>9523</v>
      </c>
      <c r="K163" s="975" t="str">
        <f>IF(COUNTIFS(tblControles[Clave],tblControles[[#This Row],[Clave]])&gt;1,"Duplicado","")</f>
        <v/>
      </c>
    </row>
    <row r="164" spans="2:11">
      <c r="B164" s="975" t="str">
        <f>tblControles[[#This Row],[Fecha]]&amp;"|"&amp;tblControles[[#This Row],[Módulo]]&amp;"|"&amp;tblControles[[#This Row],[Ítem]]&amp;"|"&amp;tblControles[[#This Row],[Turno]]</f>
        <v>46249|CARGA MOLINOS|BM - 5|% carga</v>
      </c>
      <c r="C164" s="871">
        <v>46249</v>
      </c>
      <c r="D164" t="s">
        <v>9455</v>
      </c>
      <c r="E164" t="s">
        <v>447</v>
      </c>
      <c r="F164" t="s">
        <v>9457</v>
      </c>
      <c r="G164">
        <v>87.9</v>
      </c>
      <c r="H164" t="s">
        <v>9333</v>
      </c>
      <c r="I164" s="871">
        <v>46293.93683766204</v>
      </c>
      <c r="J164" t="s">
        <v>9523</v>
      </c>
      <c r="K164" s="975" t="str">
        <f>IF(COUNTIFS(tblControles[Clave],tblControles[[#This Row],[Clave]])&gt;1,"Duplicado","")</f>
        <v/>
      </c>
    </row>
    <row r="165" spans="2:11">
      <c r="B165" s="975" t="str">
        <f>tblControles[[#This Row],[Fecha]]&amp;"|"&amp;tblControles[[#This Row],[Módulo]]&amp;"|"&amp;tblControles[[#This Row],[Ítem]]&amp;"|"&amp;tblControles[[#This Row],[Turno]]</f>
        <v>46249|CARGA MOLINOS|BM - 6|% carga</v>
      </c>
      <c r="C165" s="871">
        <v>46249</v>
      </c>
      <c r="D165" t="s">
        <v>9455</v>
      </c>
      <c r="E165" t="s">
        <v>448</v>
      </c>
      <c r="F165" t="s">
        <v>9457</v>
      </c>
      <c r="G165">
        <v>90</v>
      </c>
      <c r="H165" t="s">
        <v>9333</v>
      </c>
      <c r="I165" s="871">
        <v>46293.93683766204</v>
      </c>
      <c r="J165" t="s">
        <v>9523</v>
      </c>
      <c r="K165" s="975" t="str">
        <f>IF(COUNTIFS(tblControles[Clave],tblControles[[#This Row],[Clave]])&gt;1,"Duplicado","")</f>
        <v/>
      </c>
    </row>
    <row r="166" spans="2:11">
      <c r="B166" s="975" t="str">
        <f>tblControles[[#This Row],[Fecha]]&amp;"|"&amp;tblControles[[#This Row],[Módulo]]&amp;"|"&amp;tblControles[[#This Row],[Ítem]]&amp;"|"&amp;tblControles[[#This Row],[Turno]]</f>
        <v>46249|CARGA MOLINOS|BM - 7|% carga</v>
      </c>
      <c r="C166" s="871">
        <v>46249</v>
      </c>
      <c r="D166" t="s">
        <v>9455</v>
      </c>
      <c r="E166" t="s">
        <v>449</v>
      </c>
      <c r="F166" t="s">
        <v>9457</v>
      </c>
      <c r="G166">
        <v>88.9</v>
      </c>
      <c r="H166" t="s">
        <v>9333</v>
      </c>
      <c r="I166" s="871">
        <v>46293.93683766204</v>
      </c>
      <c r="J166" t="s">
        <v>9523</v>
      </c>
      <c r="K166" s="975" t="str">
        <f>IF(COUNTIFS(tblControles[Clave],tblControles[[#This Row],[Clave]])&gt;1,"Duplicado","")</f>
        <v/>
      </c>
    </row>
    <row r="167" spans="2:11">
      <c r="B167" s="975" t="str">
        <f>tblControles[[#This Row],[Fecha]]&amp;"|"&amp;tblControles[[#This Row],[Módulo]]&amp;"|"&amp;tblControles[[#This Row],[Ítem]]&amp;"|"&amp;tblControles[[#This Row],[Turno]]</f>
        <v>46249|CARGA MOLINOS|BM - 8|% carga</v>
      </c>
      <c r="C167" s="871">
        <v>46249</v>
      </c>
      <c r="D167" t="s">
        <v>9455</v>
      </c>
      <c r="E167" t="s">
        <v>450</v>
      </c>
      <c r="F167" t="s">
        <v>9457</v>
      </c>
      <c r="G167">
        <v>91.7</v>
      </c>
      <c r="H167" t="s">
        <v>9333</v>
      </c>
      <c r="I167" s="871">
        <v>46293.93683766204</v>
      </c>
      <c r="J167" t="s">
        <v>9523</v>
      </c>
      <c r="K167" s="975" t="str">
        <f>IF(COUNTIFS(tblControles[Clave],tblControles[[#This Row],[Clave]])&gt;1,"Duplicado","")</f>
        <v/>
      </c>
    </row>
    <row r="168" spans="2:11">
      <c r="B168" s="975" t="str">
        <f>tblControles[[#This Row],[Fecha]]&amp;"|"&amp;tblControles[[#This Row],[Módulo]]&amp;"|"&amp;tblControles[[#This Row],[Ítem]]&amp;"|"&amp;tblControles[[#This Row],[Turno]]</f>
        <v>46249|CARGA MOLINOS|BM - 9|% carga</v>
      </c>
      <c r="C168" s="871">
        <v>46249</v>
      </c>
      <c r="D168" t="s">
        <v>9455</v>
      </c>
      <c r="E168" t="s">
        <v>451</v>
      </c>
      <c r="F168" t="s">
        <v>9457</v>
      </c>
      <c r="G168">
        <v>76.3</v>
      </c>
      <c r="H168" t="s">
        <v>9333</v>
      </c>
      <c r="I168" s="871">
        <v>46293.93683766204</v>
      </c>
      <c r="J168" t="s">
        <v>9523</v>
      </c>
      <c r="K168" s="975" t="str">
        <f>IF(COUNTIFS(tblControles[Clave],tblControles[[#This Row],[Clave]])&gt;1,"Duplicado","")</f>
        <v/>
      </c>
    </row>
    <row r="169" spans="2:11">
      <c r="B169" s="975" t="str">
        <f>tblControles[[#This Row],[Fecha]]&amp;"|"&amp;tblControles[[#This Row],[Módulo]]&amp;"|"&amp;tblControles[[#This Row],[Ítem]]&amp;"|"&amp;tblControles[[#This Row],[Turno]]</f>
        <v>46250|CARGA MOLINOS|RM - 1|% carga</v>
      </c>
      <c r="C169" s="871">
        <v>46250</v>
      </c>
      <c r="D169" t="s">
        <v>9455</v>
      </c>
      <c r="E169" t="s">
        <v>435</v>
      </c>
      <c r="F169" t="s">
        <v>9457</v>
      </c>
      <c r="G169">
        <v>91.8</v>
      </c>
      <c r="H169" t="s">
        <v>9333</v>
      </c>
      <c r="I169" s="871">
        <v>46293.93683766204</v>
      </c>
      <c r="J169" t="s">
        <v>9523</v>
      </c>
      <c r="K169" s="975" t="str">
        <f>IF(COUNTIFS(tblControles[Clave],tblControles[[#This Row],[Clave]])&gt;1,"Duplicado","")</f>
        <v/>
      </c>
    </row>
    <row r="170" spans="2:11">
      <c r="B170" s="975" t="str">
        <f>tblControles[[#This Row],[Fecha]]&amp;"|"&amp;tblControles[[#This Row],[Módulo]]&amp;"|"&amp;tblControles[[#This Row],[Ítem]]&amp;"|"&amp;tblControles[[#This Row],[Turno]]</f>
        <v>46250|CARGA MOLINOS|RM - 2|% carga</v>
      </c>
      <c r="C170" s="871">
        <v>46250</v>
      </c>
      <c r="D170" t="s">
        <v>9455</v>
      </c>
      <c r="E170" t="s">
        <v>436</v>
      </c>
      <c r="F170" t="s">
        <v>9457</v>
      </c>
      <c r="G170">
        <v>89.8</v>
      </c>
      <c r="H170" t="s">
        <v>9333</v>
      </c>
      <c r="I170" s="871">
        <v>46293.93683766204</v>
      </c>
      <c r="J170" t="s">
        <v>9523</v>
      </c>
      <c r="K170" s="975" t="str">
        <f>IF(COUNTIFS(tblControles[Clave],tblControles[[#This Row],[Clave]])&gt;1,"Duplicado","")</f>
        <v/>
      </c>
    </row>
    <row r="171" spans="2:11">
      <c r="B171" s="975" t="str">
        <f>tblControles[[#This Row],[Fecha]]&amp;"|"&amp;tblControles[[#This Row],[Módulo]]&amp;"|"&amp;tblControles[[#This Row],[Ítem]]&amp;"|"&amp;tblControles[[#This Row],[Turno]]</f>
        <v>46250|CARGA MOLINOS|RM - 5|% carga</v>
      </c>
      <c r="C171" s="871">
        <v>46250</v>
      </c>
      <c r="D171" t="s">
        <v>9455</v>
      </c>
      <c r="E171" t="s">
        <v>439</v>
      </c>
      <c r="F171" t="s">
        <v>9457</v>
      </c>
      <c r="G171">
        <v>92.5</v>
      </c>
      <c r="H171" t="s">
        <v>9333</v>
      </c>
      <c r="I171" s="871">
        <v>46293.93683766204</v>
      </c>
      <c r="J171" t="s">
        <v>9523</v>
      </c>
      <c r="K171" s="975" t="str">
        <f>IF(COUNTIFS(tblControles[Clave],tblControles[[#This Row],[Clave]])&gt;1,"Duplicado","")</f>
        <v/>
      </c>
    </row>
    <row r="172" spans="2:11">
      <c r="B172" s="975" t="str">
        <f>tblControles[[#This Row],[Fecha]]&amp;"|"&amp;tblControles[[#This Row],[Módulo]]&amp;"|"&amp;tblControles[[#This Row],[Ítem]]&amp;"|"&amp;tblControles[[#This Row],[Turno]]</f>
        <v>46250|CARGA MOLINOS|RM - 6|% carga</v>
      </c>
      <c r="C172" s="871">
        <v>46250</v>
      </c>
      <c r="D172" t="s">
        <v>9455</v>
      </c>
      <c r="E172" t="s">
        <v>440</v>
      </c>
      <c r="F172" t="s">
        <v>9457</v>
      </c>
      <c r="G172">
        <v>92.9</v>
      </c>
      <c r="H172" t="s">
        <v>9333</v>
      </c>
      <c r="I172" s="871">
        <v>46293.93683766204</v>
      </c>
      <c r="J172" t="s">
        <v>9523</v>
      </c>
      <c r="K172" s="975" t="str">
        <f>IF(COUNTIFS(tblControles[Clave],tblControles[[#This Row],[Clave]])&gt;1,"Duplicado","")</f>
        <v/>
      </c>
    </row>
    <row r="173" spans="2:11">
      <c r="B173" s="975" t="str">
        <f>tblControles[[#This Row],[Fecha]]&amp;"|"&amp;tblControles[[#This Row],[Módulo]]&amp;"|"&amp;tblControles[[#This Row],[Ítem]]&amp;"|"&amp;tblControles[[#This Row],[Turno]]</f>
        <v>46250|CARGA MOLINOS|RM - 7|% carga</v>
      </c>
      <c r="C173" s="871">
        <v>46250</v>
      </c>
      <c r="D173" t="s">
        <v>9455</v>
      </c>
      <c r="E173" t="s">
        <v>441</v>
      </c>
      <c r="F173" t="s">
        <v>9457</v>
      </c>
      <c r="G173">
        <v>91.8</v>
      </c>
      <c r="H173" t="s">
        <v>9333</v>
      </c>
      <c r="I173" s="871">
        <v>46293.93683766204</v>
      </c>
      <c r="J173" t="s">
        <v>9523</v>
      </c>
      <c r="K173" s="975" t="str">
        <f>IF(COUNTIFS(tblControles[Clave],tblControles[[#This Row],[Clave]])&gt;1,"Duplicado","")</f>
        <v/>
      </c>
    </row>
    <row r="174" spans="2:11">
      <c r="B174" s="975" t="str">
        <f>tblControles[[#This Row],[Fecha]]&amp;"|"&amp;tblControles[[#This Row],[Módulo]]&amp;"|"&amp;tblControles[[#This Row],[Ítem]]&amp;"|"&amp;tblControles[[#This Row],[Turno]]</f>
        <v>46250|CARGA MOLINOS|RM - 8|% carga</v>
      </c>
      <c r="C174" s="871">
        <v>46250</v>
      </c>
      <c r="D174" t="s">
        <v>9455</v>
      </c>
      <c r="E174" t="s">
        <v>442</v>
      </c>
      <c r="F174" t="s">
        <v>9457</v>
      </c>
      <c r="G174">
        <v>92.7</v>
      </c>
      <c r="H174" t="s">
        <v>9333</v>
      </c>
      <c r="I174" s="871">
        <v>46293.93683766204</v>
      </c>
      <c r="J174" t="s">
        <v>9523</v>
      </c>
      <c r="K174" s="975" t="str">
        <f>IF(COUNTIFS(tblControles[Clave],tblControles[[#This Row],[Clave]])&gt;1,"Duplicado","")</f>
        <v/>
      </c>
    </row>
    <row r="175" spans="2:11">
      <c r="B175" s="975" t="str">
        <f>tblControles[[#This Row],[Fecha]]&amp;"|"&amp;tblControles[[#This Row],[Módulo]]&amp;"|"&amp;tblControles[[#This Row],[Ítem]]&amp;"|"&amp;tblControles[[#This Row],[Turno]]</f>
        <v>46250|CARGA MOLINOS|RM - 9|% carga</v>
      </c>
      <c r="C175" s="871">
        <v>46250</v>
      </c>
      <c r="D175" t="s">
        <v>9455</v>
      </c>
      <c r="E175" t="s">
        <v>443</v>
      </c>
      <c r="F175" t="s">
        <v>9457</v>
      </c>
      <c r="G175">
        <v>64.400000000000006</v>
      </c>
      <c r="H175" t="s">
        <v>9333</v>
      </c>
      <c r="I175" s="871">
        <v>46293.93683766204</v>
      </c>
      <c r="J175" t="s">
        <v>9523</v>
      </c>
      <c r="K175" s="975" t="str">
        <f>IF(COUNTIFS(tblControles[Clave],tblControles[[#This Row],[Clave]])&gt;1,"Duplicado","")</f>
        <v/>
      </c>
    </row>
    <row r="176" spans="2:11">
      <c r="B176" s="975" t="str">
        <f>tblControles[[#This Row],[Fecha]]&amp;"|"&amp;tblControles[[#This Row],[Módulo]]&amp;"|"&amp;tblControles[[#This Row],[Ítem]]&amp;"|"&amp;tblControles[[#This Row],[Turno]]</f>
        <v>46250|CARGA MOLINOS|BM - 1|% carga</v>
      </c>
      <c r="C176" s="871">
        <v>46250</v>
      </c>
      <c r="D176" t="s">
        <v>9455</v>
      </c>
      <c r="E176" t="s">
        <v>444</v>
      </c>
      <c r="F176" t="s">
        <v>9457</v>
      </c>
      <c r="G176">
        <v>92.5</v>
      </c>
      <c r="H176" t="s">
        <v>9333</v>
      </c>
      <c r="I176" s="871">
        <v>46293.93683766204</v>
      </c>
      <c r="J176" t="s">
        <v>9523</v>
      </c>
      <c r="K176" s="975" t="str">
        <f>IF(COUNTIFS(tblControles[Clave],tblControles[[#This Row],[Clave]])&gt;1,"Duplicado","")</f>
        <v/>
      </c>
    </row>
    <row r="177" spans="2:11">
      <c r="B177" s="975" t="str">
        <f>tblControles[[#This Row],[Fecha]]&amp;"|"&amp;tblControles[[#This Row],[Módulo]]&amp;"|"&amp;tblControles[[#This Row],[Ítem]]&amp;"|"&amp;tblControles[[#This Row],[Turno]]</f>
        <v>46250|CARGA MOLINOS|BM - 2|% carga</v>
      </c>
      <c r="C177" s="871">
        <v>46250</v>
      </c>
      <c r="D177" t="s">
        <v>9455</v>
      </c>
      <c r="E177" t="s">
        <v>9519</v>
      </c>
      <c r="F177" t="s">
        <v>9457</v>
      </c>
      <c r="G177">
        <v>92.3</v>
      </c>
      <c r="H177" t="s">
        <v>9333</v>
      </c>
      <c r="I177" s="871">
        <v>46293.93683766204</v>
      </c>
      <c r="J177" t="s">
        <v>9523</v>
      </c>
      <c r="K177" s="975" t="str">
        <f>IF(COUNTIFS(tblControles[Clave],tblControles[[#This Row],[Clave]])&gt;1,"Duplicado","")</f>
        <v/>
      </c>
    </row>
    <row r="178" spans="2:11">
      <c r="B178" s="975" t="str">
        <f>tblControles[[#This Row],[Fecha]]&amp;"|"&amp;tblControles[[#This Row],[Módulo]]&amp;"|"&amp;tblControles[[#This Row],[Ítem]]&amp;"|"&amp;tblControles[[#This Row],[Turno]]</f>
        <v>46250|CARGA MOLINOS|BM - 3|% carga</v>
      </c>
      <c r="C178" s="871">
        <v>46250</v>
      </c>
      <c r="D178" t="s">
        <v>9455</v>
      </c>
      <c r="E178" t="s">
        <v>445</v>
      </c>
      <c r="F178" t="s">
        <v>9457</v>
      </c>
      <c r="G178">
        <v>92.5</v>
      </c>
      <c r="H178" t="s">
        <v>9333</v>
      </c>
      <c r="I178" s="871">
        <v>46293.93683766204</v>
      </c>
      <c r="J178" t="s">
        <v>9523</v>
      </c>
      <c r="K178" s="975" t="str">
        <f>IF(COUNTIFS(tblControles[Clave],tblControles[[#This Row],[Clave]])&gt;1,"Duplicado","")</f>
        <v/>
      </c>
    </row>
    <row r="179" spans="2:11">
      <c r="B179" s="975" t="str">
        <f>tblControles[[#This Row],[Fecha]]&amp;"|"&amp;tblControles[[#This Row],[Módulo]]&amp;"|"&amp;tblControles[[#This Row],[Ítem]]&amp;"|"&amp;tblControles[[#This Row],[Turno]]</f>
        <v>46250|CARGA MOLINOS|BM - 4|% carga</v>
      </c>
      <c r="C179" s="871">
        <v>46250</v>
      </c>
      <c r="D179" t="s">
        <v>9455</v>
      </c>
      <c r="E179" t="s">
        <v>446</v>
      </c>
      <c r="F179" t="s">
        <v>9457</v>
      </c>
      <c r="G179">
        <v>91.2</v>
      </c>
      <c r="H179" t="s">
        <v>9333</v>
      </c>
      <c r="I179" s="871">
        <v>46293.93683766204</v>
      </c>
      <c r="J179" t="s">
        <v>9523</v>
      </c>
      <c r="K179" s="975" t="str">
        <f>IF(COUNTIFS(tblControles[Clave],tblControles[[#This Row],[Clave]])&gt;1,"Duplicado","")</f>
        <v/>
      </c>
    </row>
    <row r="180" spans="2:11">
      <c r="B180" s="975" t="str">
        <f>tblControles[[#This Row],[Fecha]]&amp;"|"&amp;tblControles[[#This Row],[Módulo]]&amp;"|"&amp;tblControles[[#This Row],[Ítem]]&amp;"|"&amp;tblControles[[#This Row],[Turno]]</f>
        <v>46250|CARGA MOLINOS|BM - 5|% carga</v>
      </c>
      <c r="C180" s="871">
        <v>46250</v>
      </c>
      <c r="D180" t="s">
        <v>9455</v>
      </c>
      <c r="E180" t="s">
        <v>447</v>
      </c>
      <c r="F180" t="s">
        <v>9457</v>
      </c>
      <c r="G180">
        <v>89.1</v>
      </c>
      <c r="H180" t="s">
        <v>9333</v>
      </c>
      <c r="I180" s="871">
        <v>46293.93683766204</v>
      </c>
      <c r="J180" t="s">
        <v>9523</v>
      </c>
      <c r="K180" s="975" t="str">
        <f>IF(COUNTIFS(tblControles[Clave],tblControles[[#This Row],[Clave]])&gt;1,"Duplicado","")</f>
        <v/>
      </c>
    </row>
    <row r="181" spans="2:11">
      <c r="B181" s="975" t="str">
        <f>tblControles[[#This Row],[Fecha]]&amp;"|"&amp;tblControles[[#This Row],[Módulo]]&amp;"|"&amp;tblControles[[#This Row],[Ítem]]&amp;"|"&amp;tblControles[[#This Row],[Turno]]</f>
        <v>46250|CARGA MOLINOS|BM - 6|% carga</v>
      </c>
      <c r="C181" s="871">
        <v>46250</v>
      </c>
      <c r="D181" t="s">
        <v>9455</v>
      </c>
      <c r="E181" t="s">
        <v>448</v>
      </c>
      <c r="F181" t="s">
        <v>9457</v>
      </c>
      <c r="G181">
        <v>90.4</v>
      </c>
      <c r="H181" t="s">
        <v>9333</v>
      </c>
      <c r="I181" s="871">
        <v>46293.93683766204</v>
      </c>
      <c r="J181" t="s">
        <v>9523</v>
      </c>
      <c r="K181" s="975" t="str">
        <f>IF(COUNTIFS(tblControles[Clave],tblControles[[#This Row],[Clave]])&gt;1,"Duplicado","")</f>
        <v/>
      </c>
    </row>
    <row r="182" spans="2:11">
      <c r="B182" s="975" t="str">
        <f>tblControles[[#This Row],[Fecha]]&amp;"|"&amp;tblControles[[#This Row],[Módulo]]&amp;"|"&amp;tblControles[[#This Row],[Ítem]]&amp;"|"&amp;tblControles[[#This Row],[Turno]]</f>
        <v>46250|CARGA MOLINOS|BM - 7|% carga</v>
      </c>
      <c r="C182" s="871">
        <v>46250</v>
      </c>
      <c r="D182" t="s">
        <v>9455</v>
      </c>
      <c r="E182" t="s">
        <v>449</v>
      </c>
      <c r="F182" t="s">
        <v>9457</v>
      </c>
      <c r="G182">
        <v>88.2</v>
      </c>
      <c r="H182" t="s">
        <v>9333</v>
      </c>
      <c r="I182" s="871">
        <v>46293.93683766204</v>
      </c>
      <c r="J182" t="s">
        <v>9523</v>
      </c>
      <c r="K182" s="975" t="str">
        <f>IF(COUNTIFS(tblControles[Clave],tblControles[[#This Row],[Clave]])&gt;1,"Duplicado","")</f>
        <v/>
      </c>
    </row>
    <row r="183" spans="2:11">
      <c r="B183" s="975" t="str">
        <f>tblControles[[#This Row],[Fecha]]&amp;"|"&amp;tblControles[[#This Row],[Módulo]]&amp;"|"&amp;tblControles[[#This Row],[Ítem]]&amp;"|"&amp;tblControles[[#This Row],[Turno]]</f>
        <v>46250|CARGA MOLINOS|BM - 8|% carga</v>
      </c>
      <c r="C183" s="871">
        <v>46250</v>
      </c>
      <c r="D183" t="s">
        <v>9455</v>
      </c>
      <c r="E183" t="s">
        <v>450</v>
      </c>
      <c r="F183" t="s">
        <v>9457</v>
      </c>
      <c r="G183">
        <v>90.9</v>
      </c>
      <c r="H183" t="s">
        <v>9333</v>
      </c>
      <c r="I183" s="871">
        <v>46293.93683766204</v>
      </c>
      <c r="J183" t="s">
        <v>9523</v>
      </c>
      <c r="K183" s="975" t="str">
        <f>IF(COUNTIFS(tblControles[Clave],tblControles[[#This Row],[Clave]])&gt;1,"Duplicado","")</f>
        <v/>
      </c>
    </row>
    <row r="184" spans="2:11">
      <c r="B184" s="975" t="str">
        <f>tblControles[[#This Row],[Fecha]]&amp;"|"&amp;tblControles[[#This Row],[Módulo]]&amp;"|"&amp;tblControles[[#This Row],[Ítem]]&amp;"|"&amp;tblControles[[#This Row],[Turno]]</f>
        <v>46250|CARGA MOLINOS|BM - 9|% carga</v>
      </c>
      <c r="C184" s="871">
        <v>46250</v>
      </c>
      <c r="D184" t="s">
        <v>9455</v>
      </c>
      <c r="E184" t="s">
        <v>451</v>
      </c>
      <c r="F184" t="s">
        <v>9457</v>
      </c>
      <c r="G184">
        <v>75.8</v>
      </c>
      <c r="H184" t="s">
        <v>9333</v>
      </c>
      <c r="I184" s="871">
        <v>46293.93683766204</v>
      </c>
      <c r="J184" t="s">
        <v>9523</v>
      </c>
      <c r="K184" s="975" t="str">
        <f>IF(COUNTIFS(tblControles[Clave],tblControles[[#This Row],[Clave]])&gt;1,"Duplicado","")</f>
        <v/>
      </c>
    </row>
    <row r="185" spans="2:11">
      <c r="B185" s="975" t="str">
        <f>tblControles[[#This Row],[Fecha]]&amp;"|"&amp;tblControles[[#This Row],[Módulo]]&amp;"|"&amp;tblControles[[#This Row],[Ítem]]&amp;"|"&amp;tblControles[[#This Row],[Turno]]</f>
        <v>46251|CARGA MOLINOS|RM - 1|% carga</v>
      </c>
      <c r="C185" s="871">
        <v>46251</v>
      </c>
      <c r="D185" t="s">
        <v>9455</v>
      </c>
      <c r="E185" t="s">
        <v>435</v>
      </c>
      <c r="F185" t="s">
        <v>9457</v>
      </c>
      <c r="G185">
        <v>90.9</v>
      </c>
      <c r="H185" t="s">
        <v>9333</v>
      </c>
      <c r="I185" s="871">
        <v>46293.93683766204</v>
      </c>
      <c r="J185" t="s">
        <v>9523</v>
      </c>
      <c r="K185" s="975" t="str">
        <f>IF(COUNTIFS(tblControles[Clave],tblControles[[#This Row],[Clave]])&gt;1,"Duplicado","")</f>
        <v/>
      </c>
    </row>
    <row r="186" spans="2:11">
      <c r="B186" s="975" t="str">
        <f>tblControles[[#This Row],[Fecha]]&amp;"|"&amp;tblControles[[#This Row],[Módulo]]&amp;"|"&amp;tblControles[[#This Row],[Ítem]]&amp;"|"&amp;tblControles[[#This Row],[Turno]]</f>
        <v>46251|CARGA MOLINOS|RM - 2|% carga</v>
      </c>
      <c r="C186" s="871">
        <v>46251</v>
      </c>
      <c r="D186" t="s">
        <v>9455</v>
      </c>
      <c r="E186" t="s">
        <v>436</v>
      </c>
      <c r="F186" t="s">
        <v>9457</v>
      </c>
      <c r="G186">
        <v>93.3</v>
      </c>
      <c r="H186" t="s">
        <v>9333</v>
      </c>
      <c r="I186" s="871">
        <v>46293.93683766204</v>
      </c>
      <c r="J186" t="s">
        <v>9523</v>
      </c>
      <c r="K186" s="975" t="str">
        <f>IF(COUNTIFS(tblControles[Clave],tblControles[[#This Row],[Clave]])&gt;1,"Duplicado","")</f>
        <v/>
      </c>
    </row>
    <row r="187" spans="2:11">
      <c r="B187" s="975" t="str">
        <f>tblControles[[#This Row],[Fecha]]&amp;"|"&amp;tblControles[[#This Row],[Módulo]]&amp;"|"&amp;tblControles[[#This Row],[Ítem]]&amp;"|"&amp;tblControles[[#This Row],[Turno]]</f>
        <v>46251|CARGA MOLINOS|RM - 5|% carga</v>
      </c>
      <c r="C187" s="871">
        <v>46251</v>
      </c>
      <c r="D187" t="s">
        <v>9455</v>
      </c>
      <c r="E187" t="s">
        <v>439</v>
      </c>
      <c r="F187" t="s">
        <v>9457</v>
      </c>
      <c r="G187">
        <v>90.2</v>
      </c>
      <c r="H187" t="s">
        <v>9333</v>
      </c>
      <c r="I187" s="871">
        <v>46293.93683766204</v>
      </c>
      <c r="J187" t="s">
        <v>9523</v>
      </c>
      <c r="K187" s="975" t="str">
        <f>IF(COUNTIFS(tblControles[Clave],tblControles[[#This Row],[Clave]])&gt;1,"Duplicado","")</f>
        <v/>
      </c>
    </row>
    <row r="188" spans="2:11">
      <c r="B188" s="975" t="str">
        <f>tblControles[[#This Row],[Fecha]]&amp;"|"&amp;tblControles[[#This Row],[Módulo]]&amp;"|"&amp;tblControles[[#This Row],[Ítem]]&amp;"|"&amp;tblControles[[#This Row],[Turno]]</f>
        <v>46251|CARGA MOLINOS|RM - 6|% carga</v>
      </c>
      <c r="C188" s="871">
        <v>46251</v>
      </c>
      <c r="D188" t="s">
        <v>9455</v>
      </c>
      <c r="E188" t="s">
        <v>440</v>
      </c>
      <c r="F188" t="s">
        <v>9457</v>
      </c>
      <c r="G188">
        <v>90.8</v>
      </c>
      <c r="H188" t="s">
        <v>9333</v>
      </c>
      <c r="I188" s="871">
        <v>46293.93683766204</v>
      </c>
      <c r="J188" t="s">
        <v>9523</v>
      </c>
      <c r="K188" s="975" t="str">
        <f>IF(COUNTIFS(tblControles[Clave],tblControles[[#This Row],[Clave]])&gt;1,"Duplicado","")</f>
        <v/>
      </c>
    </row>
    <row r="189" spans="2:11">
      <c r="B189" s="975" t="str">
        <f>tblControles[[#This Row],[Fecha]]&amp;"|"&amp;tblControles[[#This Row],[Módulo]]&amp;"|"&amp;tblControles[[#This Row],[Ítem]]&amp;"|"&amp;tblControles[[#This Row],[Turno]]</f>
        <v>46251|CARGA MOLINOS|RM - 8|% carga</v>
      </c>
      <c r="C189" s="871">
        <v>46251</v>
      </c>
      <c r="D189" t="s">
        <v>9455</v>
      </c>
      <c r="E189" t="s">
        <v>442</v>
      </c>
      <c r="F189" t="s">
        <v>9457</v>
      </c>
      <c r="G189">
        <v>92.1</v>
      </c>
      <c r="H189" t="s">
        <v>9333</v>
      </c>
      <c r="I189" s="871">
        <v>46293.93683766204</v>
      </c>
      <c r="J189" t="s">
        <v>9523</v>
      </c>
      <c r="K189" s="975" t="str">
        <f>IF(COUNTIFS(tblControles[Clave],tblControles[[#This Row],[Clave]])&gt;1,"Duplicado","")</f>
        <v/>
      </c>
    </row>
    <row r="190" spans="2:11">
      <c r="B190" s="975" t="str">
        <f>tblControles[[#This Row],[Fecha]]&amp;"|"&amp;tblControles[[#This Row],[Módulo]]&amp;"|"&amp;tblControles[[#This Row],[Ítem]]&amp;"|"&amp;tblControles[[#This Row],[Turno]]</f>
        <v>46251|CARGA MOLINOS|RM - 9|% carga</v>
      </c>
      <c r="C190" s="871">
        <v>46251</v>
      </c>
      <c r="D190" t="s">
        <v>9455</v>
      </c>
      <c r="E190" t="s">
        <v>443</v>
      </c>
      <c r="F190" t="s">
        <v>9457</v>
      </c>
      <c r="G190">
        <v>66.3</v>
      </c>
      <c r="H190" t="s">
        <v>9333</v>
      </c>
      <c r="I190" s="871">
        <v>46293.93683766204</v>
      </c>
      <c r="J190" t="s">
        <v>9523</v>
      </c>
      <c r="K190" s="975" t="str">
        <f>IF(COUNTIFS(tblControles[Clave],tblControles[[#This Row],[Clave]])&gt;1,"Duplicado","")</f>
        <v/>
      </c>
    </row>
    <row r="191" spans="2:11">
      <c r="B191" s="975" t="str">
        <f>tblControles[[#This Row],[Fecha]]&amp;"|"&amp;tblControles[[#This Row],[Módulo]]&amp;"|"&amp;tblControles[[#This Row],[Ítem]]&amp;"|"&amp;tblControles[[#This Row],[Turno]]</f>
        <v>46251|CARGA MOLINOS|BM - 1|% carga</v>
      </c>
      <c r="C191" s="871">
        <v>46251</v>
      </c>
      <c r="D191" t="s">
        <v>9455</v>
      </c>
      <c r="E191" t="s">
        <v>444</v>
      </c>
      <c r="F191" t="s">
        <v>9457</v>
      </c>
      <c r="G191">
        <v>92.1</v>
      </c>
      <c r="H191" t="s">
        <v>9333</v>
      </c>
      <c r="I191" s="871">
        <v>46293.93683766204</v>
      </c>
      <c r="J191" t="s">
        <v>9523</v>
      </c>
      <c r="K191" s="975" t="str">
        <f>IF(COUNTIFS(tblControles[Clave],tblControles[[#This Row],[Clave]])&gt;1,"Duplicado","")</f>
        <v/>
      </c>
    </row>
    <row r="192" spans="2:11">
      <c r="B192" s="975" t="str">
        <f>tblControles[[#This Row],[Fecha]]&amp;"|"&amp;tblControles[[#This Row],[Módulo]]&amp;"|"&amp;tblControles[[#This Row],[Ítem]]&amp;"|"&amp;tblControles[[#This Row],[Turno]]</f>
        <v>46251|CARGA MOLINOS|BM - 2|% carga</v>
      </c>
      <c r="C192" s="871">
        <v>46251</v>
      </c>
      <c r="D192" t="s">
        <v>9455</v>
      </c>
      <c r="E192" t="s">
        <v>9519</v>
      </c>
      <c r="F192" t="s">
        <v>9457</v>
      </c>
      <c r="G192">
        <v>90.7</v>
      </c>
      <c r="H192" t="s">
        <v>9333</v>
      </c>
      <c r="I192" s="871">
        <v>46293.93683766204</v>
      </c>
      <c r="J192" t="s">
        <v>9523</v>
      </c>
      <c r="K192" s="975" t="str">
        <f>IF(COUNTIFS(tblControles[Clave],tblControles[[#This Row],[Clave]])&gt;1,"Duplicado","")</f>
        <v/>
      </c>
    </row>
    <row r="193" spans="2:11">
      <c r="B193" s="975" t="str">
        <f>tblControles[[#This Row],[Fecha]]&amp;"|"&amp;tblControles[[#This Row],[Módulo]]&amp;"|"&amp;tblControles[[#This Row],[Ítem]]&amp;"|"&amp;tblControles[[#This Row],[Turno]]</f>
        <v>46251|CARGA MOLINOS|BM - 3|% carga</v>
      </c>
      <c r="C193" s="871">
        <v>46251</v>
      </c>
      <c r="D193" t="s">
        <v>9455</v>
      </c>
      <c r="E193" t="s">
        <v>445</v>
      </c>
      <c r="F193" t="s">
        <v>9457</v>
      </c>
      <c r="G193">
        <v>92.2</v>
      </c>
      <c r="H193" t="s">
        <v>9333</v>
      </c>
      <c r="I193" s="871">
        <v>46293.93683766204</v>
      </c>
      <c r="J193" t="s">
        <v>9523</v>
      </c>
      <c r="K193" s="975" t="str">
        <f>IF(COUNTIFS(tblControles[Clave],tblControles[[#This Row],[Clave]])&gt;1,"Duplicado","")</f>
        <v/>
      </c>
    </row>
    <row r="194" spans="2:11">
      <c r="B194" s="975" t="str">
        <f>tblControles[[#This Row],[Fecha]]&amp;"|"&amp;tblControles[[#This Row],[Módulo]]&amp;"|"&amp;tblControles[[#This Row],[Ítem]]&amp;"|"&amp;tblControles[[#This Row],[Turno]]</f>
        <v>46251|CARGA MOLINOS|BM - 4|% carga</v>
      </c>
      <c r="C194" s="871">
        <v>46251</v>
      </c>
      <c r="D194" t="s">
        <v>9455</v>
      </c>
      <c r="E194" t="s">
        <v>446</v>
      </c>
      <c r="F194" t="s">
        <v>9457</v>
      </c>
      <c r="G194">
        <v>85</v>
      </c>
      <c r="H194" t="s">
        <v>9333</v>
      </c>
      <c r="I194" s="871">
        <v>46293.93683766204</v>
      </c>
      <c r="J194" t="s">
        <v>9523</v>
      </c>
      <c r="K194" s="975" t="str">
        <f>IF(COUNTIFS(tblControles[Clave],tblControles[[#This Row],[Clave]])&gt;1,"Duplicado","")</f>
        <v/>
      </c>
    </row>
    <row r="195" spans="2:11">
      <c r="B195" s="975" t="str">
        <f>tblControles[[#This Row],[Fecha]]&amp;"|"&amp;tblControles[[#This Row],[Módulo]]&amp;"|"&amp;tblControles[[#This Row],[Ítem]]&amp;"|"&amp;tblControles[[#This Row],[Turno]]</f>
        <v>46251|CARGA MOLINOS|BM - 5|% carga</v>
      </c>
      <c r="C195" s="871">
        <v>46251</v>
      </c>
      <c r="D195" t="s">
        <v>9455</v>
      </c>
      <c r="E195" t="s">
        <v>447</v>
      </c>
      <c r="F195" t="s">
        <v>9457</v>
      </c>
      <c r="G195">
        <v>91.2</v>
      </c>
      <c r="H195" t="s">
        <v>9333</v>
      </c>
      <c r="I195" s="871">
        <v>46293.93683766204</v>
      </c>
      <c r="J195" t="s">
        <v>9523</v>
      </c>
      <c r="K195" s="975" t="str">
        <f>IF(COUNTIFS(tblControles[Clave],tblControles[[#This Row],[Clave]])&gt;1,"Duplicado","")</f>
        <v/>
      </c>
    </row>
    <row r="196" spans="2:11">
      <c r="B196" s="975" t="str">
        <f>tblControles[[#This Row],[Fecha]]&amp;"|"&amp;tblControles[[#This Row],[Módulo]]&amp;"|"&amp;tblControles[[#This Row],[Ítem]]&amp;"|"&amp;tblControles[[#This Row],[Turno]]</f>
        <v>46251|CARGA MOLINOS|BM - 6|% carga</v>
      </c>
      <c r="C196" s="871">
        <v>46251</v>
      </c>
      <c r="D196" t="s">
        <v>9455</v>
      </c>
      <c r="E196" t="s">
        <v>448</v>
      </c>
      <c r="F196" t="s">
        <v>9457</v>
      </c>
      <c r="G196">
        <v>87.1</v>
      </c>
      <c r="H196" t="s">
        <v>9333</v>
      </c>
      <c r="I196" s="871">
        <v>46293.93683766204</v>
      </c>
      <c r="J196" t="s">
        <v>9523</v>
      </c>
      <c r="K196" s="975" t="str">
        <f>IF(COUNTIFS(tblControles[Clave],tblControles[[#This Row],[Clave]])&gt;1,"Duplicado","")</f>
        <v/>
      </c>
    </row>
    <row r="197" spans="2:11">
      <c r="B197" s="975" t="str">
        <f>tblControles[[#This Row],[Fecha]]&amp;"|"&amp;tblControles[[#This Row],[Módulo]]&amp;"|"&amp;tblControles[[#This Row],[Ítem]]&amp;"|"&amp;tblControles[[#This Row],[Turno]]</f>
        <v>46251|CARGA MOLINOS|BM - 8|% carga</v>
      </c>
      <c r="C197" s="871">
        <v>46251</v>
      </c>
      <c r="D197" t="s">
        <v>9455</v>
      </c>
      <c r="E197" t="s">
        <v>450</v>
      </c>
      <c r="F197" t="s">
        <v>9457</v>
      </c>
      <c r="G197">
        <v>90.1</v>
      </c>
      <c r="H197" t="s">
        <v>9333</v>
      </c>
      <c r="I197" s="871">
        <v>46293.93683766204</v>
      </c>
      <c r="J197" t="s">
        <v>9523</v>
      </c>
      <c r="K197" s="975" t="str">
        <f>IF(COUNTIFS(tblControles[Clave],tblControles[[#This Row],[Clave]])&gt;1,"Duplicado","")</f>
        <v/>
      </c>
    </row>
    <row r="198" spans="2:11">
      <c r="B198" s="975" t="str">
        <f>tblControles[[#This Row],[Fecha]]&amp;"|"&amp;tblControles[[#This Row],[Módulo]]&amp;"|"&amp;tblControles[[#This Row],[Ítem]]&amp;"|"&amp;tblControles[[#This Row],[Turno]]</f>
        <v>46251|CARGA MOLINOS|BM - 9|% carga</v>
      </c>
      <c r="C198" s="871">
        <v>46251</v>
      </c>
      <c r="D198" t="s">
        <v>9455</v>
      </c>
      <c r="E198" t="s">
        <v>451</v>
      </c>
      <c r="F198" t="s">
        <v>9457</v>
      </c>
      <c r="G198">
        <v>76.8</v>
      </c>
      <c r="H198" t="s">
        <v>9333</v>
      </c>
      <c r="I198" s="871">
        <v>46293.93683766204</v>
      </c>
      <c r="J198" t="s">
        <v>9523</v>
      </c>
      <c r="K198" s="975" t="str">
        <f>IF(COUNTIFS(tblControles[Clave],tblControles[[#This Row],[Clave]])&gt;1,"Duplicado","")</f>
        <v/>
      </c>
    </row>
    <row r="199" spans="2:11">
      <c r="B199" s="975" t="str">
        <f>tblControles[[#This Row],[Fecha]]&amp;"|"&amp;tblControles[[#This Row],[Módulo]]&amp;"|"&amp;tblControles[[#This Row],[Ítem]]&amp;"|"&amp;tblControles[[#This Row],[Turno]]</f>
        <v>46252|CARGA MOLINOS|RM - 1|% carga</v>
      </c>
      <c r="C199" s="871">
        <v>46252</v>
      </c>
      <c r="D199" t="s">
        <v>9455</v>
      </c>
      <c r="E199" t="s">
        <v>435</v>
      </c>
      <c r="F199" t="s">
        <v>9457</v>
      </c>
      <c r="G199">
        <v>90.5</v>
      </c>
      <c r="H199" t="s">
        <v>9333</v>
      </c>
      <c r="I199" s="871">
        <v>46293.93683766204</v>
      </c>
      <c r="J199" t="s">
        <v>9523</v>
      </c>
      <c r="K199" s="975" t="str">
        <f>IF(COUNTIFS(tblControles[Clave],tblControles[[#This Row],[Clave]])&gt;1,"Duplicado","")</f>
        <v/>
      </c>
    </row>
    <row r="200" spans="2:11">
      <c r="B200" s="975" t="str">
        <f>tblControles[[#This Row],[Fecha]]&amp;"|"&amp;tblControles[[#This Row],[Módulo]]&amp;"|"&amp;tblControles[[#This Row],[Ítem]]&amp;"|"&amp;tblControles[[#This Row],[Turno]]</f>
        <v>46252|CARGA MOLINOS|RM - 2|% carga</v>
      </c>
      <c r="C200" s="871">
        <v>46252</v>
      </c>
      <c r="D200" t="s">
        <v>9455</v>
      </c>
      <c r="E200" t="s">
        <v>436</v>
      </c>
      <c r="F200" t="s">
        <v>9457</v>
      </c>
      <c r="G200">
        <v>90.2</v>
      </c>
      <c r="H200" t="s">
        <v>9333</v>
      </c>
      <c r="I200" s="871">
        <v>46293.93683766204</v>
      </c>
      <c r="J200" t="s">
        <v>9523</v>
      </c>
      <c r="K200" s="975" t="str">
        <f>IF(COUNTIFS(tblControles[Clave],tblControles[[#This Row],[Clave]])&gt;1,"Duplicado","")</f>
        <v/>
      </c>
    </row>
    <row r="201" spans="2:11">
      <c r="B201" s="975" t="str">
        <f>tblControles[[#This Row],[Fecha]]&amp;"|"&amp;tblControles[[#This Row],[Módulo]]&amp;"|"&amp;tblControles[[#This Row],[Ítem]]&amp;"|"&amp;tblControles[[#This Row],[Turno]]</f>
        <v>46252|CARGA MOLINOS|RM - 4|% carga</v>
      </c>
      <c r="C201" s="871">
        <v>46252</v>
      </c>
      <c r="D201" t="s">
        <v>9455</v>
      </c>
      <c r="E201" t="s">
        <v>438</v>
      </c>
      <c r="F201" t="s">
        <v>9457</v>
      </c>
      <c r="G201">
        <v>91.4</v>
      </c>
      <c r="H201" t="s">
        <v>9333</v>
      </c>
      <c r="I201" s="871">
        <v>46293.93683766204</v>
      </c>
      <c r="J201" t="s">
        <v>9523</v>
      </c>
      <c r="K201" s="975" t="str">
        <f>IF(COUNTIFS(tblControles[Clave],tblControles[[#This Row],[Clave]])&gt;1,"Duplicado","")</f>
        <v/>
      </c>
    </row>
    <row r="202" spans="2:11">
      <c r="B202" s="975" t="str">
        <f>tblControles[[#This Row],[Fecha]]&amp;"|"&amp;tblControles[[#This Row],[Módulo]]&amp;"|"&amp;tblControles[[#This Row],[Ítem]]&amp;"|"&amp;tblControles[[#This Row],[Turno]]</f>
        <v>46252|CARGA MOLINOS|RM - 5|% carga</v>
      </c>
      <c r="C202" s="871">
        <v>46252</v>
      </c>
      <c r="D202" t="s">
        <v>9455</v>
      </c>
      <c r="E202" t="s">
        <v>439</v>
      </c>
      <c r="F202" t="s">
        <v>9457</v>
      </c>
      <c r="G202">
        <v>87.5</v>
      </c>
      <c r="H202" t="s">
        <v>9333</v>
      </c>
      <c r="I202" s="871">
        <v>46293.93683766204</v>
      </c>
      <c r="J202" t="s">
        <v>9523</v>
      </c>
      <c r="K202" s="975" t="str">
        <f>IF(COUNTIFS(tblControles[Clave],tblControles[[#This Row],[Clave]])&gt;1,"Duplicado","")</f>
        <v/>
      </c>
    </row>
    <row r="203" spans="2:11">
      <c r="B203" s="975" t="str">
        <f>tblControles[[#This Row],[Fecha]]&amp;"|"&amp;tblControles[[#This Row],[Módulo]]&amp;"|"&amp;tblControles[[#This Row],[Ítem]]&amp;"|"&amp;tblControles[[#This Row],[Turno]]</f>
        <v>46252|CARGA MOLINOS|RM - 6|% carga</v>
      </c>
      <c r="C203" s="871">
        <v>46252</v>
      </c>
      <c r="D203" t="s">
        <v>9455</v>
      </c>
      <c r="E203" t="s">
        <v>440</v>
      </c>
      <c r="F203" t="s">
        <v>9457</v>
      </c>
      <c r="G203">
        <v>90.2</v>
      </c>
      <c r="H203" t="s">
        <v>9333</v>
      </c>
      <c r="I203" s="871">
        <v>46293.93683766204</v>
      </c>
      <c r="J203" t="s">
        <v>9523</v>
      </c>
      <c r="K203" s="975" t="str">
        <f>IF(COUNTIFS(tblControles[Clave],tblControles[[#This Row],[Clave]])&gt;1,"Duplicado","")</f>
        <v/>
      </c>
    </row>
    <row r="204" spans="2:11">
      <c r="B204" s="975" t="str">
        <f>tblControles[[#This Row],[Fecha]]&amp;"|"&amp;tblControles[[#This Row],[Módulo]]&amp;"|"&amp;tblControles[[#This Row],[Ítem]]&amp;"|"&amp;tblControles[[#This Row],[Turno]]</f>
        <v>46252|CARGA MOLINOS|RM - 8|% carga</v>
      </c>
      <c r="C204" s="871">
        <v>46252</v>
      </c>
      <c r="D204" t="s">
        <v>9455</v>
      </c>
      <c r="E204" t="s">
        <v>442</v>
      </c>
      <c r="F204" t="s">
        <v>9457</v>
      </c>
      <c r="G204">
        <v>89.5</v>
      </c>
      <c r="H204" t="s">
        <v>9333</v>
      </c>
      <c r="I204" s="871">
        <v>46293.93683766204</v>
      </c>
      <c r="J204" t="s">
        <v>9523</v>
      </c>
      <c r="K204" s="975" t="str">
        <f>IF(COUNTIFS(tblControles[Clave],tblControles[[#This Row],[Clave]])&gt;1,"Duplicado","")</f>
        <v/>
      </c>
    </row>
    <row r="205" spans="2:11">
      <c r="B205" s="975" t="str">
        <f>tblControles[[#This Row],[Fecha]]&amp;"|"&amp;tblControles[[#This Row],[Módulo]]&amp;"|"&amp;tblControles[[#This Row],[Ítem]]&amp;"|"&amp;tblControles[[#This Row],[Turno]]</f>
        <v>46252|CARGA MOLINOS|RM - 9|% carga</v>
      </c>
      <c r="C205" s="871">
        <v>46252</v>
      </c>
      <c r="D205" t="s">
        <v>9455</v>
      </c>
      <c r="E205" t="s">
        <v>443</v>
      </c>
      <c r="F205" t="s">
        <v>9457</v>
      </c>
      <c r="G205">
        <v>64.8</v>
      </c>
      <c r="H205" t="s">
        <v>9333</v>
      </c>
      <c r="I205" s="871">
        <v>46293.93683766204</v>
      </c>
      <c r="J205" t="s">
        <v>9523</v>
      </c>
      <c r="K205" s="975" t="str">
        <f>IF(COUNTIFS(tblControles[Clave],tblControles[[#This Row],[Clave]])&gt;1,"Duplicado","")</f>
        <v/>
      </c>
    </row>
    <row r="206" spans="2:11">
      <c r="B206" s="975" t="str">
        <f>tblControles[[#This Row],[Fecha]]&amp;"|"&amp;tblControles[[#This Row],[Módulo]]&amp;"|"&amp;tblControles[[#This Row],[Ítem]]&amp;"|"&amp;tblControles[[#This Row],[Turno]]</f>
        <v>46252|CARGA MOLINOS|BM - 1|% carga</v>
      </c>
      <c r="C206" s="871">
        <v>46252</v>
      </c>
      <c r="D206" t="s">
        <v>9455</v>
      </c>
      <c r="E206" t="s">
        <v>444</v>
      </c>
      <c r="F206" t="s">
        <v>9457</v>
      </c>
      <c r="G206">
        <v>90.3</v>
      </c>
      <c r="H206" t="s">
        <v>9333</v>
      </c>
      <c r="I206" s="871">
        <v>46293.93683766204</v>
      </c>
      <c r="J206" t="s">
        <v>9523</v>
      </c>
      <c r="K206" s="975" t="str">
        <f>IF(COUNTIFS(tblControles[Clave],tblControles[[#This Row],[Clave]])&gt;1,"Duplicado","")</f>
        <v/>
      </c>
    </row>
    <row r="207" spans="2:11">
      <c r="B207" s="975" t="str">
        <f>tblControles[[#This Row],[Fecha]]&amp;"|"&amp;tblControles[[#This Row],[Módulo]]&amp;"|"&amp;tblControles[[#This Row],[Ítem]]&amp;"|"&amp;tblControles[[#This Row],[Turno]]</f>
        <v>46252|CARGA MOLINOS|BM - 2|% carga</v>
      </c>
      <c r="C207" s="871">
        <v>46252</v>
      </c>
      <c r="D207" t="s">
        <v>9455</v>
      </c>
      <c r="E207" t="s">
        <v>9519</v>
      </c>
      <c r="F207" t="s">
        <v>9457</v>
      </c>
      <c r="G207">
        <v>91.4</v>
      </c>
      <c r="H207" t="s">
        <v>9333</v>
      </c>
      <c r="I207" s="871">
        <v>46293.93683766204</v>
      </c>
      <c r="J207" t="s">
        <v>9523</v>
      </c>
      <c r="K207" s="975" t="str">
        <f>IF(COUNTIFS(tblControles[Clave],tblControles[[#This Row],[Clave]])&gt;1,"Duplicado","")</f>
        <v/>
      </c>
    </row>
    <row r="208" spans="2:11">
      <c r="B208" s="975" t="str">
        <f>tblControles[[#This Row],[Fecha]]&amp;"|"&amp;tblControles[[#This Row],[Módulo]]&amp;"|"&amp;tblControles[[#This Row],[Ítem]]&amp;"|"&amp;tblControles[[#This Row],[Turno]]</f>
        <v>46252|CARGA MOLINOS|BM - 3|% carga</v>
      </c>
      <c r="C208" s="871">
        <v>46252</v>
      </c>
      <c r="D208" t="s">
        <v>9455</v>
      </c>
      <c r="E208" t="s">
        <v>445</v>
      </c>
      <c r="F208" t="s">
        <v>9457</v>
      </c>
      <c r="G208">
        <v>90.4</v>
      </c>
      <c r="H208" t="s">
        <v>9333</v>
      </c>
      <c r="I208" s="871">
        <v>46293.93683766204</v>
      </c>
      <c r="J208" t="s">
        <v>9523</v>
      </c>
      <c r="K208" s="975" t="str">
        <f>IF(COUNTIFS(tblControles[Clave],tblControles[[#This Row],[Clave]])&gt;1,"Duplicado","")</f>
        <v/>
      </c>
    </row>
    <row r="209" spans="2:11">
      <c r="B209" s="975" t="str">
        <f>tblControles[[#This Row],[Fecha]]&amp;"|"&amp;tblControles[[#This Row],[Módulo]]&amp;"|"&amp;tblControles[[#This Row],[Ítem]]&amp;"|"&amp;tblControles[[#This Row],[Turno]]</f>
        <v>46252|CARGA MOLINOS|BM - 4|% carga</v>
      </c>
      <c r="C209" s="871">
        <v>46252</v>
      </c>
      <c r="D209" t="s">
        <v>9455</v>
      </c>
      <c r="E209" t="s">
        <v>446</v>
      </c>
      <c r="F209" t="s">
        <v>9457</v>
      </c>
      <c r="G209">
        <v>93.3</v>
      </c>
      <c r="H209" t="s">
        <v>9333</v>
      </c>
      <c r="I209" s="871">
        <v>46293.93683766204</v>
      </c>
      <c r="J209" t="s">
        <v>9523</v>
      </c>
      <c r="K209" s="975" t="str">
        <f>IF(COUNTIFS(tblControles[Clave],tblControles[[#This Row],[Clave]])&gt;1,"Duplicado","")</f>
        <v/>
      </c>
    </row>
    <row r="210" spans="2:11">
      <c r="B210" s="975" t="str">
        <f>tblControles[[#This Row],[Fecha]]&amp;"|"&amp;tblControles[[#This Row],[Módulo]]&amp;"|"&amp;tblControles[[#This Row],[Ítem]]&amp;"|"&amp;tblControles[[#This Row],[Turno]]</f>
        <v>46252|CARGA MOLINOS|BM - 5|% carga</v>
      </c>
      <c r="C210" s="871">
        <v>46252</v>
      </c>
      <c r="D210" t="s">
        <v>9455</v>
      </c>
      <c r="E210" t="s">
        <v>447</v>
      </c>
      <c r="F210" t="s">
        <v>9457</v>
      </c>
      <c r="G210">
        <v>90.3</v>
      </c>
      <c r="H210" t="s">
        <v>9333</v>
      </c>
      <c r="I210" s="871">
        <v>46293.93683766204</v>
      </c>
      <c r="J210" t="s">
        <v>9523</v>
      </c>
      <c r="K210" s="975" t="str">
        <f>IF(COUNTIFS(tblControles[Clave],tblControles[[#This Row],[Clave]])&gt;1,"Duplicado","")</f>
        <v/>
      </c>
    </row>
    <row r="211" spans="2:11">
      <c r="B211" s="975" t="str">
        <f>tblControles[[#This Row],[Fecha]]&amp;"|"&amp;tblControles[[#This Row],[Módulo]]&amp;"|"&amp;tblControles[[#This Row],[Ítem]]&amp;"|"&amp;tblControles[[#This Row],[Turno]]</f>
        <v>46252|CARGA MOLINOS|BM - 6|% carga</v>
      </c>
      <c r="C211" s="871">
        <v>46252</v>
      </c>
      <c r="D211" t="s">
        <v>9455</v>
      </c>
      <c r="E211" t="s">
        <v>448</v>
      </c>
      <c r="F211" t="s">
        <v>9457</v>
      </c>
      <c r="G211">
        <v>88.4</v>
      </c>
      <c r="H211" t="s">
        <v>9333</v>
      </c>
      <c r="I211" s="871">
        <v>46293.93683766204</v>
      </c>
      <c r="J211" t="s">
        <v>9523</v>
      </c>
      <c r="K211" s="975" t="str">
        <f>IF(COUNTIFS(tblControles[Clave],tblControles[[#This Row],[Clave]])&gt;1,"Duplicado","")</f>
        <v/>
      </c>
    </row>
    <row r="212" spans="2:11">
      <c r="B212" s="975" t="str">
        <f>tblControles[[#This Row],[Fecha]]&amp;"|"&amp;tblControles[[#This Row],[Módulo]]&amp;"|"&amp;tblControles[[#This Row],[Ítem]]&amp;"|"&amp;tblControles[[#This Row],[Turno]]</f>
        <v>46252|CARGA MOLINOS|BM - 7|% carga</v>
      </c>
      <c r="C212" s="871">
        <v>46252</v>
      </c>
      <c r="D212" t="s">
        <v>9455</v>
      </c>
      <c r="E212" t="s">
        <v>449</v>
      </c>
      <c r="F212" t="s">
        <v>9457</v>
      </c>
      <c r="G212">
        <v>83.3</v>
      </c>
      <c r="H212" t="s">
        <v>9333</v>
      </c>
      <c r="I212" s="871">
        <v>46293.93683766204</v>
      </c>
      <c r="J212" t="s">
        <v>9523</v>
      </c>
      <c r="K212" s="975" t="str">
        <f>IF(COUNTIFS(tblControles[Clave],tblControles[[#This Row],[Clave]])&gt;1,"Duplicado","")</f>
        <v/>
      </c>
    </row>
    <row r="213" spans="2:11">
      <c r="B213" s="975" t="str">
        <f>tblControles[[#This Row],[Fecha]]&amp;"|"&amp;tblControles[[#This Row],[Módulo]]&amp;"|"&amp;tblControles[[#This Row],[Ítem]]&amp;"|"&amp;tblControles[[#This Row],[Turno]]</f>
        <v>46252|CARGA MOLINOS|BM - 8|% carga</v>
      </c>
      <c r="C213" s="871">
        <v>46252</v>
      </c>
      <c r="D213" t="s">
        <v>9455</v>
      </c>
      <c r="E213" t="s">
        <v>450</v>
      </c>
      <c r="F213" t="s">
        <v>9457</v>
      </c>
      <c r="G213">
        <v>89.4</v>
      </c>
      <c r="H213" t="s">
        <v>9333</v>
      </c>
      <c r="I213" s="871">
        <v>46293.93683766204</v>
      </c>
      <c r="J213" t="s">
        <v>9523</v>
      </c>
      <c r="K213" s="975" t="str">
        <f>IF(COUNTIFS(tblControles[Clave],tblControles[[#This Row],[Clave]])&gt;1,"Duplicado","")</f>
        <v/>
      </c>
    </row>
    <row r="214" spans="2:11">
      <c r="B214" s="975" t="str">
        <f>tblControles[[#This Row],[Fecha]]&amp;"|"&amp;tblControles[[#This Row],[Módulo]]&amp;"|"&amp;tblControles[[#This Row],[Ítem]]&amp;"|"&amp;tblControles[[#This Row],[Turno]]</f>
        <v>46252|CARGA MOLINOS|BM - 9|% carga</v>
      </c>
      <c r="C214" s="871">
        <v>46252</v>
      </c>
      <c r="D214" t="s">
        <v>9455</v>
      </c>
      <c r="E214" t="s">
        <v>451</v>
      </c>
      <c r="F214" t="s">
        <v>9457</v>
      </c>
      <c r="G214">
        <v>77.3</v>
      </c>
      <c r="H214" t="s">
        <v>9333</v>
      </c>
      <c r="I214" s="871">
        <v>46293.93683766204</v>
      </c>
      <c r="J214" t="s">
        <v>9523</v>
      </c>
      <c r="K214" s="975" t="str">
        <f>IF(COUNTIFS(tblControles[Clave],tblControles[[#This Row],[Clave]])&gt;1,"Duplicado","")</f>
        <v/>
      </c>
    </row>
    <row r="215" spans="2:11">
      <c r="B215" s="975" t="str">
        <f>tblControles[[#This Row],[Fecha]]&amp;"|"&amp;tblControles[[#This Row],[Módulo]]&amp;"|"&amp;tblControles[[#This Row],[Ítem]]&amp;"|"&amp;tblControles[[#This Row],[Turno]]</f>
        <v>46253|CARGA MOLINOS|RM - 1|% carga</v>
      </c>
      <c r="C215" s="871">
        <v>46253</v>
      </c>
      <c r="D215" t="s">
        <v>9455</v>
      </c>
      <c r="E215" t="s">
        <v>435</v>
      </c>
      <c r="F215" t="s">
        <v>9457</v>
      </c>
      <c r="G215">
        <v>91.6</v>
      </c>
      <c r="H215" t="s">
        <v>9333</v>
      </c>
      <c r="I215" s="871">
        <v>46293.93683766204</v>
      </c>
      <c r="J215" t="s">
        <v>9523</v>
      </c>
      <c r="K215" s="975" t="str">
        <f>IF(COUNTIFS(tblControles[Clave],tblControles[[#This Row],[Clave]])&gt;1,"Duplicado","")</f>
        <v/>
      </c>
    </row>
    <row r="216" spans="2:11">
      <c r="B216" s="975" t="str">
        <f>tblControles[[#This Row],[Fecha]]&amp;"|"&amp;tblControles[[#This Row],[Módulo]]&amp;"|"&amp;tblControles[[#This Row],[Ítem]]&amp;"|"&amp;tblControles[[#This Row],[Turno]]</f>
        <v>46253|CARGA MOLINOS|RM - 2|% carga</v>
      </c>
      <c r="C216" s="871">
        <v>46253</v>
      </c>
      <c r="D216" t="s">
        <v>9455</v>
      </c>
      <c r="E216" t="s">
        <v>436</v>
      </c>
      <c r="F216" t="s">
        <v>9457</v>
      </c>
      <c r="G216">
        <v>86.8</v>
      </c>
      <c r="H216" t="s">
        <v>9333</v>
      </c>
      <c r="I216" s="871">
        <v>46293.93683766204</v>
      </c>
      <c r="J216" t="s">
        <v>9523</v>
      </c>
      <c r="K216" s="975" t="str">
        <f>IF(COUNTIFS(tblControles[Clave],tblControles[[#This Row],[Clave]])&gt;1,"Duplicado","")</f>
        <v/>
      </c>
    </row>
    <row r="217" spans="2:11">
      <c r="B217" s="975" t="str">
        <f>tblControles[[#This Row],[Fecha]]&amp;"|"&amp;tblControles[[#This Row],[Módulo]]&amp;"|"&amp;tblControles[[#This Row],[Ítem]]&amp;"|"&amp;tblControles[[#This Row],[Turno]]</f>
        <v>46253|CARGA MOLINOS|RM - 5|% carga</v>
      </c>
      <c r="C217" s="871">
        <v>46253</v>
      </c>
      <c r="D217" t="s">
        <v>9455</v>
      </c>
      <c r="E217" t="s">
        <v>439</v>
      </c>
      <c r="F217" t="s">
        <v>9457</v>
      </c>
      <c r="G217">
        <v>94.1</v>
      </c>
      <c r="H217" t="s">
        <v>9333</v>
      </c>
      <c r="I217" s="871">
        <v>46293.93683766204</v>
      </c>
      <c r="J217" t="s">
        <v>9523</v>
      </c>
      <c r="K217" s="975" t="str">
        <f>IF(COUNTIFS(tblControles[Clave],tblControles[[#This Row],[Clave]])&gt;1,"Duplicado","")</f>
        <v/>
      </c>
    </row>
    <row r="218" spans="2:11">
      <c r="B218" s="975" t="str">
        <f>tblControles[[#This Row],[Fecha]]&amp;"|"&amp;tblControles[[#This Row],[Módulo]]&amp;"|"&amp;tblControles[[#This Row],[Ítem]]&amp;"|"&amp;tblControles[[#This Row],[Turno]]</f>
        <v>46253|CARGA MOLINOS|RM - 6|% carga</v>
      </c>
      <c r="C218" s="871">
        <v>46253</v>
      </c>
      <c r="D218" t="s">
        <v>9455</v>
      </c>
      <c r="E218" t="s">
        <v>440</v>
      </c>
      <c r="F218" t="s">
        <v>9457</v>
      </c>
      <c r="G218">
        <v>92</v>
      </c>
      <c r="H218" t="s">
        <v>9333</v>
      </c>
      <c r="I218" s="871">
        <v>46293.93683766204</v>
      </c>
      <c r="J218" t="s">
        <v>9523</v>
      </c>
      <c r="K218" s="975" t="str">
        <f>IF(COUNTIFS(tblControles[Clave],tblControles[[#This Row],[Clave]])&gt;1,"Duplicado","")</f>
        <v/>
      </c>
    </row>
    <row r="219" spans="2:11">
      <c r="B219" s="975" t="str">
        <f>tblControles[[#This Row],[Fecha]]&amp;"|"&amp;tblControles[[#This Row],[Módulo]]&amp;"|"&amp;tblControles[[#This Row],[Ítem]]&amp;"|"&amp;tblControles[[#This Row],[Turno]]</f>
        <v>46253|CARGA MOLINOS|RM - 8|% carga</v>
      </c>
      <c r="C219" s="871">
        <v>46253</v>
      </c>
      <c r="D219" t="s">
        <v>9455</v>
      </c>
      <c r="E219" t="s">
        <v>442</v>
      </c>
      <c r="F219" t="s">
        <v>9457</v>
      </c>
      <c r="G219">
        <v>94.4</v>
      </c>
      <c r="H219" t="s">
        <v>9333</v>
      </c>
      <c r="I219" s="871">
        <v>46293.93683766204</v>
      </c>
      <c r="J219" t="s">
        <v>9523</v>
      </c>
      <c r="K219" s="975" t="str">
        <f>IF(COUNTIFS(tblControles[Clave],tblControles[[#This Row],[Clave]])&gt;1,"Duplicado","")</f>
        <v/>
      </c>
    </row>
    <row r="220" spans="2:11">
      <c r="B220" s="975" t="str">
        <f>tblControles[[#This Row],[Fecha]]&amp;"|"&amp;tblControles[[#This Row],[Módulo]]&amp;"|"&amp;tblControles[[#This Row],[Ítem]]&amp;"|"&amp;tblControles[[#This Row],[Turno]]</f>
        <v>46253|CARGA MOLINOS|RM - 9|% carga</v>
      </c>
      <c r="C220" s="871">
        <v>46253</v>
      </c>
      <c r="D220" t="s">
        <v>9455</v>
      </c>
      <c r="E220" t="s">
        <v>443</v>
      </c>
      <c r="F220" t="s">
        <v>9457</v>
      </c>
      <c r="G220">
        <v>65.3</v>
      </c>
      <c r="H220" t="s">
        <v>9333</v>
      </c>
      <c r="I220" s="871">
        <v>46293.93683766204</v>
      </c>
      <c r="J220" t="s">
        <v>9523</v>
      </c>
      <c r="K220" s="975" t="str">
        <f>IF(COUNTIFS(tblControles[Clave],tblControles[[#This Row],[Clave]])&gt;1,"Duplicado","")</f>
        <v/>
      </c>
    </row>
    <row r="221" spans="2:11">
      <c r="B221" s="975" t="str">
        <f>tblControles[[#This Row],[Fecha]]&amp;"|"&amp;tblControles[[#This Row],[Módulo]]&amp;"|"&amp;tblControles[[#This Row],[Ítem]]&amp;"|"&amp;tblControles[[#This Row],[Turno]]</f>
        <v>46253|CARGA MOLINOS|BM - 1|% carga</v>
      </c>
      <c r="C221" s="871">
        <v>46253</v>
      </c>
      <c r="D221" t="s">
        <v>9455</v>
      </c>
      <c r="E221" t="s">
        <v>444</v>
      </c>
      <c r="F221" t="s">
        <v>9457</v>
      </c>
      <c r="G221">
        <v>91.6</v>
      </c>
      <c r="H221" t="s">
        <v>9333</v>
      </c>
      <c r="I221" s="871">
        <v>46293.93683766204</v>
      </c>
      <c r="J221" t="s">
        <v>9523</v>
      </c>
      <c r="K221" s="975" t="str">
        <f>IF(COUNTIFS(tblControles[Clave],tblControles[[#This Row],[Clave]])&gt;1,"Duplicado","")</f>
        <v/>
      </c>
    </row>
    <row r="222" spans="2:11">
      <c r="B222" s="975" t="str">
        <f>tblControles[[#This Row],[Fecha]]&amp;"|"&amp;tblControles[[#This Row],[Módulo]]&amp;"|"&amp;tblControles[[#This Row],[Ítem]]&amp;"|"&amp;tblControles[[#This Row],[Turno]]</f>
        <v>46253|CARGA MOLINOS|BM - 2|% carga</v>
      </c>
      <c r="C222" s="871">
        <v>46253</v>
      </c>
      <c r="D222" t="s">
        <v>9455</v>
      </c>
      <c r="E222" t="s">
        <v>9519</v>
      </c>
      <c r="F222" t="s">
        <v>9457</v>
      </c>
      <c r="G222">
        <v>92.9</v>
      </c>
      <c r="H222" t="s">
        <v>9333</v>
      </c>
      <c r="I222" s="871">
        <v>46293.93683766204</v>
      </c>
      <c r="J222" t="s">
        <v>9523</v>
      </c>
      <c r="K222" s="975" t="str">
        <f>IF(COUNTIFS(tblControles[Clave],tblControles[[#This Row],[Clave]])&gt;1,"Duplicado","")</f>
        <v/>
      </c>
    </row>
    <row r="223" spans="2:11">
      <c r="B223" s="975" t="str">
        <f>tblControles[[#This Row],[Fecha]]&amp;"|"&amp;tblControles[[#This Row],[Módulo]]&amp;"|"&amp;tblControles[[#This Row],[Ítem]]&amp;"|"&amp;tblControles[[#This Row],[Turno]]</f>
        <v>46253|CARGA MOLINOS|BM - 3|% carga</v>
      </c>
      <c r="C223" s="871">
        <v>46253</v>
      </c>
      <c r="D223" t="s">
        <v>9455</v>
      </c>
      <c r="E223" t="s">
        <v>445</v>
      </c>
      <c r="F223" t="s">
        <v>9457</v>
      </c>
      <c r="G223">
        <v>89.1</v>
      </c>
      <c r="H223" t="s">
        <v>9333</v>
      </c>
      <c r="I223" s="871">
        <v>46293.93683766204</v>
      </c>
      <c r="J223" t="s">
        <v>9523</v>
      </c>
      <c r="K223" s="975" t="str">
        <f>IF(COUNTIFS(tblControles[Clave],tblControles[[#This Row],[Clave]])&gt;1,"Duplicado","")</f>
        <v/>
      </c>
    </row>
    <row r="224" spans="2:11">
      <c r="B224" s="975" t="str">
        <f>tblControles[[#This Row],[Fecha]]&amp;"|"&amp;tblControles[[#This Row],[Módulo]]&amp;"|"&amp;tblControles[[#This Row],[Ítem]]&amp;"|"&amp;tblControles[[#This Row],[Turno]]</f>
        <v>46253|CARGA MOLINOS|BM - 5|% carga</v>
      </c>
      <c r="C224" s="871">
        <v>46253</v>
      </c>
      <c r="D224" t="s">
        <v>9455</v>
      </c>
      <c r="E224" t="s">
        <v>447</v>
      </c>
      <c r="F224" t="s">
        <v>9457</v>
      </c>
      <c r="G224">
        <v>92.2</v>
      </c>
      <c r="H224" t="s">
        <v>9333</v>
      </c>
      <c r="I224" s="871">
        <v>46293.93683766204</v>
      </c>
      <c r="J224" t="s">
        <v>9523</v>
      </c>
      <c r="K224" s="975" t="str">
        <f>IF(COUNTIFS(tblControles[Clave],tblControles[[#This Row],[Clave]])&gt;1,"Duplicado","")</f>
        <v/>
      </c>
    </row>
    <row r="225" spans="2:11">
      <c r="B225" s="975" t="str">
        <f>tblControles[[#This Row],[Fecha]]&amp;"|"&amp;tblControles[[#This Row],[Módulo]]&amp;"|"&amp;tblControles[[#This Row],[Ítem]]&amp;"|"&amp;tblControles[[#This Row],[Turno]]</f>
        <v>46253|CARGA MOLINOS|BM - 6|% carga</v>
      </c>
      <c r="C225" s="871">
        <v>46253</v>
      </c>
      <c r="D225" t="s">
        <v>9455</v>
      </c>
      <c r="E225" t="s">
        <v>448</v>
      </c>
      <c r="F225" t="s">
        <v>9457</v>
      </c>
      <c r="G225">
        <v>89.2</v>
      </c>
      <c r="H225" t="s">
        <v>9333</v>
      </c>
      <c r="I225" s="871">
        <v>46293.93683766204</v>
      </c>
      <c r="J225" t="s">
        <v>9523</v>
      </c>
      <c r="K225" s="975" t="str">
        <f>IF(COUNTIFS(tblControles[Clave],tblControles[[#This Row],[Clave]])&gt;1,"Duplicado","")</f>
        <v/>
      </c>
    </row>
    <row r="226" spans="2:11">
      <c r="B226" s="975" t="str">
        <f>tblControles[[#This Row],[Fecha]]&amp;"|"&amp;tblControles[[#This Row],[Módulo]]&amp;"|"&amp;tblControles[[#This Row],[Ítem]]&amp;"|"&amp;tblControles[[#This Row],[Turno]]</f>
        <v>46253|CARGA MOLINOS|BM - 8|% carga</v>
      </c>
      <c r="C226" s="871">
        <v>46253</v>
      </c>
      <c r="D226" t="s">
        <v>9455</v>
      </c>
      <c r="E226" t="s">
        <v>450</v>
      </c>
      <c r="F226" t="s">
        <v>9457</v>
      </c>
      <c r="G226">
        <v>90</v>
      </c>
      <c r="H226" t="s">
        <v>9333</v>
      </c>
      <c r="I226" s="871">
        <v>46293.93683766204</v>
      </c>
      <c r="J226" t="s">
        <v>9523</v>
      </c>
      <c r="K226" s="975" t="str">
        <f>IF(COUNTIFS(tblControles[Clave],tblControles[[#This Row],[Clave]])&gt;1,"Duplicado","")</f>
        <v/>
      </c>
    </row>
    <row r="227" spans="2:11">
      <c r="B227" s="975" t="str">
        <f>tblControles[[#This Row],[Fecha]]&amp;"|"&amp;tblControles[[#This Row],[Módulo]]&amp;"|"&amp;tblControles[[#This Row],[Ítem]]&amp;"|"&amp;tblControles[[#This Row],[Turno]]</f>
        <v>46253|CARGA MOLINOS|BM - 9|% carga</v>
      </c>
      <c r="C227" s="871">
        <v>46253</v>
      </c>
      <c r="D227" t="s">
        <v>9455</v>
      </c>
      <c r="E227" t="s">
        <v>451</v>
      </c>
      <c r="F227" t="s">
        <v>9457</v>
      </c>
      <c r="G227">
        <v>79.099999999999994</v>
      </c>
      <c r="H227" t="s">
        <v>9333</v>
      </c>
      <c r="I227" s="871">
        <v>46293.93683766204</v>
      </c>
      <c r="J227" t="s">
        <v>9523</v>
      </c>
      <c r="K227" s="975" t="str">
        <f>IF(COUNTIFS(tblControles[Clave],tblControles[[#This Row],[Clave]])&gt;1,"Duplicado","")</f>
        <v/>
      </c>
    </row>
    <row r="228" spans="2:11">
      <c r="B228" s="975" t="str">
        <f>tblControles[[#This Row],[Fecha]]&amp;"|"&amp;tblControles[[#This Row],[Módulo]]&amp;"|"&amp;tblControles[[#This Row],[Ítem]]&amp;"|"&amp;tblControles[[#This Row],[Turno]]</f>
        <v>46254|CARGA MOLINOS|BM - 2|% carga</v>
      </c>
      <c r="C228" s="871">
        <v>46254</v>
      </c>
      <c r="D228" t="s">
        <v>9455</v>
      </c>
      <c r="E228" t="s">
        <v>9519</v>
      </c>
      <c r="F228" t="s">
        <v>9457</v>
      </c>
      <c r="G228">
        <v>86.8</v>
      </c>
      <c r="H228" t="s">
        <v>9333</v>
      </c>
      <c r="I228" s="871">
        <v>46293.93683766204</v>
      </c>
      <c r="J228" t="s">
        <v>9523</v>
      </c>
      <c r="K228" s="975" t="str">
        <f>IF(COUNTIFS(tblControles[Clave],tblControles[[#This Row],[Clave]])&gt;1,"Duplicado","")</f>
        <v/>
      </c>
    </row>
    <row r="229" spans="2:11">
      <c r="B229" s="975" t="str">
        <f>tblControles[[#This Row],[Fecha]]&amp;"|"&amp;tblControles[[#This Row],[Módulo]]&amp;"|"&amp;tblControles[[#This Row],[Ítem]]&amp;"|"&amp;tblControles[[#This Row],[Turno]]</f>
        <v>46255|CARGA MOLINOS|RM - 1|% carga</v>
      </c>
      <c r="C229" s="871">
        <v>46255</v>
      </c>
      <c r="D229" t="s">
        <v>9455</v>
      </c>
      <c r="E229" t="s">
        <v>435</v>
      </c>
      <c r="F229" t="s">
        <v>9457</v>
      </c>
      <c r="G229">
        <v>89.1</v>
      </c>
      <c r="H229" t="s">
        <v>9333</v>
      </c>
      <c r="I229" s="871">
        <v>46293.93683766204</v>
      </c>
      <c r="J229" t="s">
        <v>9523</v>
      </c>
      <c r="K229" s="975" t="str">
        <f>IF(COUNTIFS(tblControles[Clave],tblControles[[#This Row],[Clave]])&gt;1,"Duplicado","")</f>
        <v/>
      </c>
    </row>
    <row r="230" spans="2:11">
      <c r="B230" s="975" t="str">
        <f>tblControles[[#This Row],[Fecha]]&amp;"|"&amp;tblControles[[#This Row],[Módulo]]&amp;"|"&amp;tblControles[[#This Row],[Ítem]]&amp;"|"&amp;tblControles[[#This Row],[Turno]]</f>
        <v>46255|CARGA MOLINOS|RM - 3|% carga</v>
      </c>
      <c r="C230" s="871">
        <v>46255</v>
      </c>
      <c r="D230" t="s">
        <v>9455</v>
      </c>
      <c r="E230" t="s">
        <v>437</v>
      </c>
      <c r="F230" t="s">
        <v>9457</v>
      </c>
      <c r="G230">
        <v>89.5</v>
      </c>
      <c r="H230" t="s">
        <v>9333</v>
      </c>
      <c r="I230" s="871">
        <v>46293.93683766204</v>
      </c>
      <c r="J230" t="s">
        <v>9523</v>
      </c>
      <c r="K230" s="975" t="str">
        <f>IF(COUNTIFS(tblControles[Clave],tblControles[[#This Row],[Clave]])&gt;1,"Duplicado","")</f>
        <v/>
      </c>
    </row>
    <row r="231" spans="2:11">
      <c r="B231" s="975" t="str">
        <f>tblControles[[#This Row],[Fecha]]&amp;"|"&amp;tblControles[[#This Row],[Módulo]]&amp;"|"&amp;tblControles[[#This Row],[Ítem]]&amp;"|"&amp;tblControles[[#This Row],[Turno]]</f>
        <v>46255|CARGA MOLINOS|RM - 4|% carga</v>
      </c>
      <c r="C231" s="871">
        <v>46255</v>
      </c>
      <c r="D231" t="s">
        <v>9455</v>
      </c>
      <c r="E231" t="s">
        <v>438</v>
      </c>
      <c r="F231" t="s">
        <v>9457</v>
      </c>
      <c r="G231">
        <v>87.2</v>
      </c>
      <c r="H231" t="s">
        <v>9333</v>
      </c>
      <c r="I231" s="871">
        <v>46293.93683766204</v>
      </c>
      <c r="J231" t="s">
        <v>9523</v>
      </c>
      <c r="K231" s="975" t="str">
        <f>IF(COUNTIFS(tblControles[Clave],tblControles[[#This Row],[Clave]])&gt;1,"Duplicado","")</f>
        <v/>
      </c>
    </row>
    <row r="232" spans="2:11">
      <c r="B232" s="975" t="str">
        <f>tblControles[[#This Row],[Fecha]]&amp;"|"&amp;tblControles[[#This Row],[Módulo]]&amp;"|"&amp;tblControles[[#This Row],[Ítem]]&amp;"|"&amp;tblControles[[#This Row],[Turno]]</f>
        <v>46255|CARGA MOLINOS|RM - 5|% carga</v>
      </c>
      <c r="C232" s="871">
        <v>46255</v>
      </c>
      <c r="D232" t="s">
        <v>9455</v>
      </c>
      <c r="E232" t="s">
        <v>439</v>
      </c>
      <c r="F232" t="s">
        <v>9457</v>
      </c>
      <c r="G232">
        <v>90.4</v>
      </c>
      <c r="H232" t="s">
        <v>9333</v>
      </c>
      <c r="I232" s="871">
        <v>46293.93683766204</v>
      </c>
      <c r="J232" t="s">
        <v>9523</v>
      </c>
      <c r="K232" s="975" t="str">
        <f>IF(COUNTIFS(tblControles[Clave],tblControles[[#This Row],[Clave]])&gt;1,"Duplicado","")</f>
        <v/>
      </c>
    </row>
    <row r="233" spans="2:11">
      <c r="B233" s="975" t="str">
        <f>tblControles[[#This Row],[Fecha]]&amp;"|"&amp;tblControles[[#This Row],[Módulo]]&amp;"|"&amp;tblControles[[#This Row],[Ítem]]&amp;"|"&amp;tblControles[[#This Row],[Turno]]</f>
        <v>46255|CARGA MOLINOS|RM - 6|% carga</v>
      </c>
      <c r="C233" s="871">
        <v>46255</v>
      </c>
      <c r="D233" t="s">
        <v>9455</v>
      </c>
      <c r="E233" t="s">
        <v>440</v>
      </c>
      <c r="F233" t="s">
        <v>9457</v>
      </c>
      <c r="G233">
        <v>88.1</v>
      </c>
      <c r="H233" t="s">
        <v>9333</v>
      </c>
      <c r="I233" s="871">
        <v>46293.93683766204</v>
      </c>
      <c r="J233" t="s">
        <v>9523</v>
      </c>
      <c r="K233" s="975" t="str">
        <f>IF(COUNTIFS(tblControles[Clave],tblControles[[#This Row],[Clave]])&gt;1,"Duplicado","")</f>
        <v/>
      </c>
    </row>
    <row r="234" spans="2:11">
      <c r="B234" s="975" t="str">
        <f>tblControles[[#This Row],[Fecha]]&amp;"|"&amp;tblControles[[#This Row],[Módulo]]&amp;"|"&amp;tblControles[[#This Row],[Ítem]]&amp;"|"&amp;tblControles[[#This Row],[Turno]]</f>
        <v>46255|CARGA MOLINOS|RM - 8|% carga</v>
      </c>
      <c r="C234" s="871">
        <v>46255</v>
      </c>
      <c r="D234" t="s">
        <v>9455</v>
      </c>
      <c r="E234" t="s">
        <v>442</v>
      </c>
      <c r="F234" t="s">
        <v>9457</v>
      </c>
      <c r="G234">
        <v>90</v>
      </c>
      <c r="H234" t="s">
        <v>9333</v>
      </c>
      <c r="I234" s="871">
        <v>46293.93683766204</v>
      </c>
      <c r="J234" t="s">
        <v>9523</v>
      </c>
      <c r="K234" s="975" t="str">
        <f>IF(COUNTIFS(tblControles[Clave],tblControles[[#This Row],[Clave]])&gt;1,"Duplicado","")</f>
        <v/>
      </c>
    </row>
    <row r="235" spans="2:11">
      <c r="B235" s="975" t="str">
        <f>tblControles[[#This Row],[Fecha]]&amp;"|"&amp;tblControles[[#This Row],[Módulo]]&amp;"|"&amp;tblControles[[#This Row],[Ítem]]&amp;"|"&amp;tblControles[[#This Row],[Turno]]</f>
        <v>46255|CARGA MOLINOS|RM - 9|% carga</v>
      </c>
      <c r="C235" s="871">
        <v>46255</v>
      </c>
      <c r="D235" t="s">
        <v>9455</v>
      </c>
      <c r="E235" t="s">
        <v>443</v>
      </c>
      <c r="F235" t="s">
        <v>9457</v>
      </c>
      <c r="G235">
        <v>63.7</v>
      </c>
      <c r="H235" t="s">
        <v>9333</v>
      </c>
      <c r="I235" s="871">
        <v>46293.93683766204</v>
      </c>
      <c r="J235" t="s">
        <v>9523</v>
      </c>
      <c r="K235" s="975" t="str">
        <f>IF(COUNTIFS(tblControles[Clave],tblControles[[#This Row],[Clave]])&gt;1,"Duplicado","")</f>
        <v/>
      </c>
    </row>
    <row r="236" spans="2:11">
      <c r="B236" s="975" t="str">
        <f>tblControles[[#This Row],[Fecha]]&amp;"|"&amp;tblControles[[#This Row],[Módulo]]&amp;"|"&amp;tblControles[[#This Row],[Ítem]]&amp;"|"&amp;tblControles[[#This Row],[Turno]]</f>
        <v>46255|CARGA MOLINOS|BM - 1|% carga</v>
      </c>
      <c r="C236" s="871">
        <v>46255</v>
      </c>
      <c r="D236" t="s">
        <v>9455</v>
      </c>
      <c r="E236" t="s">
        <v>444</v>
      </c>
      <c r="F236" t="s">
        <v>9457</v>
      </c>
      <c r="G236">
        <v>89.6</v>
      </c>
      <c r="H236" t="s">
        <v>9333</v>
      </c>
      <c r="I236" s="871">
        <v>46293.93683766204</v>
      </c>
      <c r="J236" t="s">
        <v>9523</v>
      </c>
      <c r="K236" s="975" t="str">
        <f>IF(COUNTIFS(tblControles[Clave],tblControles[[#This Row],[Clave]])&gt;1,"Duplicado","")</f>
        <v/>
      </c>
    </row>
    <row r="237" spans="2:11">
      <c r="B237" s="975" t="str">
        <f>tblControles[[#This Row],[Fecha]]&amp;"|"&amp;tblControles[[#This Row],[Módulo]]&amp;"|"&amp;tblControles[[#This Row],[Ítem]]&amp;"|"&amp;tblControles[[#This Row],[Turno]]</f>
        <v>46255|CARGA MOLINOS|BM - 2|% carga</v>
      </c>
      <c r="C237" s="871">
        <v>46255</v>
      </c>
      <c r="D237" t="s">
        <v>9455</v>
      </c>
      <c r="E237" t="s">
        <v>9519</v>
      </c>
      <c r="F237" t="s">
        <v>9457</v>
      </c>
      <c r="G237">
        <v>81.400000000000006</v>
      </c>
      <c r="H237" t="s">
        <v>9333</v>
      </c>
      <c r="I237" s="871">
        <v>46293.93683766204</v>
      </c>
      <c r="J237" t="s">
        <v>9523</v>
      </c>
      <c r="K237" s="975" t="str">
        <f>IF(COUNTIFS(tblControles[Clave],tblControles[[#This Row],[Clave]])&gt;1,"Duplicado","")</f>
        <v/>
      </c>
    </row>
    <row r="238" spans="2:11">
      <c r="B238" s="975" t="str">
        <f>tblControles[[#This Row],[Fecha]]&amp;"|"&amp;tblControles[[#This Row],[Módulo]]&amp;"|"&amp;tblControles[[#This Row],[Ítem]]&amp;"|"&amp;tblControles[[#This Row],[Turno]]</f>
        <v>46255|CARGA MOLINOS|BM - 3|% carga</v>
      </c>
      <c r="C238" s="871">
        <v>46255</v>
      </c>
      <c r="D238" t="s">
        <v>9455</v>
      </c>
      <c r="E238" t="s">
        <v>445</v>
      </c>
      <c r="F238" t="s">
        <v>9457</v>
      </c>
      <c r="G238">
        <v>82.9</v>
      </c>
      <c r="H238" t="s">
        <v>9333</v>
      </c>
      <c r="I238" s="871">
        <v>46293.93683766204</v>
      </c>
      <c r="J238" t="s">
        <v>9523</v>
      </c>
      <c r="K238" s="975" t="str">
        <f>IF(COUNTIFS(tblControles[Clave],tblControles[[#This Row],[Clave]])&gt;1,"Duplicado","")</f>
        <v/>
      </c>
    </row>
    <row r="239" spans="2:11">
      <c r="B239" s="975" t="str">
        <f>tblControles[[#This Row],[Fecha]]&amp;"|"&amp;tblControles[[#This Row],[Módulo]]&amp;"|"&amp;tblControles[[#This Row],[Ítem]]&amp;"|"&amp;tblControles[[#This Row],[Turno]]</f>
        <v>46255|CARGA MOLINOS|BM - 4|% carga</v>
      </c>
      <c r="C239" s="871">
        <v>46255</v>
      </c>
      <c r="D239" t="s">
        <v>9455</v>
      </c>
      <c r="E239" t="s">
        <v>446</v>
      </c>
      <c r="F239" t="s">
        <v>9457</v>
      </c>
      <c r="G239">
        <v>87</v>
      </c>
      <c r="H239" t="s">
        <v>9333</v>
      </c>
      <c r="I239" s="871">
        <v>46293.93683766204</v>
      </c>
      <c r="J239" t="s">
        <v>9523</v>
      </c>
      <c r="K239" s="975" t="str">
        <f>IF(COUNTIFS(tblControles[Clave],tblControles[[#This Row],[Clave]])&gt;1,"Duplicado","")</f>
        <v/>
      </c>
    </row>
    <row r="240" spans="2:11">
      <c r="B240" s="975" t="str">
        <f>tblControles[[#This Row],[Fecha]]&amp;"|"&amp;tblControles[[#This Row],[Módulo]]&amp;"|"&amp;tblControles[[#This Row],[Ítem]]&amp;"|"&amp;tblControles[[#This Row],[Turno]]</f>
        <v>46255|CARGA MOLINOS|BM - 5|% carga</v>
      </c>
      <c r="C240" s="871">
        <v>46255</v>
      </c>
      <c r="D240" t="s">
        <v>9455</v>
      </c>
      <c r="E240" t="s">
        <v>447</v>
      </c>
      <c r="F240" t="s">
        <v>9457</v>
      </c>
      <c r="G240">
        <v>90.3</v>
      </c>
      <c r="H240" t="s">
        <v>9333</v>
      </c>
      <c r="I240" s="871">
        <v>46293.93683766204</v>
      </c>
      <c r="J240" t="s">
        <v>9523</v>
      </c>
      <c r="K240" s="975" t="str">
        <f>IF(COUNTIFS(tblControles[Clave],tblControles[[#This Row],[Clave]])&gt;1,"Duplicado","")</f>
        <v/>
      </c>
    </row>
    <row r="241" spans="2:11">
      <c r="B241" s="975" t="str">
        <f>tblControles[[#This Row],[Fecha]]&amp;"|"&amp;tblControles[[#This Row],[Módulo]]&amp;"|"&amp;tblControles[[#This Row],[Ítem]]&amp;"|"&amp;tblControles[[#This Row],[Turno]]</f>
        <v>46255|CARGA MOLINOS|BM - 6|% carga</v>
      </c>
      <c r="C241" s="871">
        <v>46255</v>
      </c>
      <c r="D241" t="s">
        <v>9455</v>
      </c>
      <c r="E241" t="s">
        <v>448</v>
      </c>
      <c r="F241" t="s">
        <v>9457</v>
      </c>
      <c r="G241">
        <v>92.8</v>
      </c>
      <c r="H241" t="s">
        <v>9333</v>
      </c>
      <c r="I241" s="871">
        <v>46293.93683766204</v>
      </c>
      <c r="J241" t="s">
        <v>9523</v>
      </c>
      <c r="K241" s="975" t="str">
        <f>IF(COUNTIFS(tblControles[Clave],tblControles[[#This Row],[Clave]])&gt;1,"Duplicado","")</f>
        <v/>
      </c>
    </row>
    <row r="242" spans="2:11">
      <c r="B242" s="975" t="str">
        <f>tblControles[[#This Row],[Fecha]]&amp;"|"&amp;tblControles[[#This Row],[Módulo]]&amp;"|"&amp;tblControles[[#This Row],[Ítem]]&amp;"|"&amp;tblControles[[#This Row],[Turno]]</f>
        <v>46255|CARGA MOLINOS|BM - 8|% carga</v>
      </c>
      <c r="C242" s="871">
        <v>46255</v>
      </c>
      <c r="D242" t="s">
        <v>9455</v>
      </c>
      <c r="E242" t="s">
        <v>450</v>
      </c>
      <c r="F242" t="s">
        <v>9457</v>
      </c>
      <c r="G242">
        <v>89.5</v>
      </c>
      <c r="H242" t="s">
        <v>9333</v>
      </c>
      <c r="I242" s="871">
        <v>46293.93683766204</v>
      </c>
      <c r="J242" t="s">
        <v>9523</v>
      </c>
      <c r="K242" s="975" t="str">
        <f>IF(COUNTIFS(tblControles[Clave],tblControles[[#This Row],[Clave]])&gt;1,"Duplicado","")</f>
        <v/>
      </c>
    </row>
    <row r="243" spans="2:11">
      <c r="B243" s="975" t="str">
        <f>tblControles[[#This Row],[Fecha]]&amp;"|"&amp;tblControles[[#This Row],[Módulo]]&amp;"|"&amp;tblControles[[#This Row],[Ítem]]&amp;"|"&amp;tblControles[[#This Row],[Turno]]</f>
        <v>46255|CARGA MOLINOS|BM - 9|% carga</v>
      </c>
      <c r="C243" s="871">
        <v>46255</v>
      </c>
      <c r="D243" t="s">
        <v>9455</v>
      </c>
      <c r="E243" t="s">
        <v>451</v>
      </c>
      <c r="F243" t="s">
        <v>9457</v>
      </c>
      <c r="G243">
        <v>76.900000000000006</v>
      </c>
      <c r="H243" t="s">
        <v>9333</v>
      </c>
      <c r="I243" s="871">
        <v>46293.93683766204</v>
      </c>
      <c r="J243" t="s">
        <v>9523</v>
      </c>
      <c r="K243" s="975" t="str">
        <f>IF(COUNTIFS(tblControles[Clave],tblControles[[#This Row],[Clave]])&gt;1,"Duplicado","")</f>
        <v/>
      </c>
    </row>
    <row r="244" spans="2:11">
      <c r="B244" s="975" t="str">
        <f>tblControles[[#This Row],[Fecha]]&amp;"|"&amp;tblControles[[#This Row],[Módulo]]&amp;"|"&amp;tblControles[[#This Row],[Ítem]]&amp;"|"&amp;tblControles[[#This Row],[Turno]]</f>
        <v>46255|CARGA MOLINOS|BM - 10|% carga</v>
      </c>
      <c r="C244" s="871">
        <v>46255</v>
      </c>
      <c r="D244" t="s">
        <v>9455</v>
      </c>
      <c r="E244" t="s">
        <v>452</v>
      </c>
      <c r="F244" t="s">
        <v>9457</v>
      </c>
      <c r="G244">
        <v>84.4</v>
      </c>
      <c r="H244" t="s">
        <v>9333</v>
      </c>
      <c r="I244" s="871">
        <v>46293.93683766204</v>
      </c>
      <c r="J244" t="s">
        <v>9523</v>
      </c>
      <c r="K244" s="975" t="str">
        <f>IF(COUNTIFS(tblControles[Clave],tblControles[[#This Row],[Clave]])&gt;1,"Duplicado","")</f>
        <v/>
      </c>
    </row>
    <row r="245" spans="2:11">
      <c r="B245" s="975" t="str">
        <f>tblControles[[#This Row],[Fecha]]&amp;"|"&amp;tblControles[[#This Row],[Módulo]]&amp;"|"&amp;tblControles[[#This Row],[Ítem]]&amp;"|"&amp;tblControles[[#This Row],[Turno]]</f>
        <v>46256|CARGA MOLINOS|RM - 1|% carga</v>
      </c>
      <c r="C245" s="871">
        <v>46256</v>
      </c>
      <c r="D245" t="s">
        <v>9455</v>
      </c>
      <c r="E245" t="s">
        <v>435</v>
      </c>
      <c r="F245" t="s">
        <v>9457</v>
      </c>
      <c r="G245">
        <v>87.4</v>
      </c>
      <c r="H245" t="s">
        <v>9333</v>
      </c>
      <c r="I245" s="871">
        <v>46293.93683766204</v>
      </c>
      <c r="J245" t="s">
        <v>9523</v>
      </c>
      <c r="K245" s="975" t="str">
        <f>IF(COUNTIFS(tblControles[Clave],tblControles[[#This Row],[Clave]])&gt;1,"Duplicado","")</f>
        <v/>
      </c>
    </row>
    <row r="246" spans="2:11">
      <c r="B246" s="975" t="str">
        <f>tblControles[[#This Row],[Fecha]]&amp;"|"&amp;tblControles[[#This Row],[Módulo]]&amp;"|"&amp;tblControles[[#This Row],[Ítem]]&amp;"|"&amp;tblControles[[#This Row],[Turno]]</f>
        <v>46256|CARGA MOLINOS|RM - 3|% carga</v>
      </c>
      <c r="C246" s="871">
        <v>46256</v>
      </c>
      <c r="D246" t="s">
        <v>9455</v>
      </c>
      <c r="E246" t="s">
        <v>437</v>
      </c>
      <c r="F246" t="s">
        <v>9457</v>
      </c>
      <c r="G246">
        <v>87.2</v>
      </c>
      <c r="H246" t="s">
        <v>9333</v>
      </c>
      <c r="I246" s="871">
        <v>46293.93683766204</v>
      </c>
      <c r="J246" t="s">
        <v>9523</v>
      </c>
      <c r="K246" s="975" t="str">
        <f>IF(COUNTIFS(tblControles[Clave],tblControles[[#This Row],[Clave]])&gt;1,"Duplicado","")</f>
        <v/>
      </c>
    </row>
    <row r="247" spans="2:11">
      <c r="B247" s="975" t="str">
        <f>tblControles[[#This Row],[Fecha]]&amp;"|"&amp;tblControles[[#This Row],[Módulo]]&amp;"|"&amp;tblControles[[#This Row],[Ítem]]&amp;"|"&amp;tblControles[[#This Row],[Turno]]</f>
        <v>46256|CARGA MOLINOS|RM - 4|% carga</v>
      </c>
      <c r="C247" s="871">
        <v>46256</v>
      </c>
      <c r="D247" t="s">
        <v>9455</v>
      </c>
      <c r="E247" t="s">
        <v>438</v>
      </c>
      <c r="F247" t="s">
        <v>9457</v>
      </c>
      <c r="G247">
        <v>85.1</v>
      </c>
      <c r="H247" t="s">
        <v>9333</v>
      </c>
      <c r="I247" s="871">
        <v>46293.93683766204</v>
      </c>
      <c r="J247" t="s">
        <v>9523</v>
      </c>
      <c r="K247" s="975" t="str">
        <f>IF(COUNTIFS(tblControles[Clave],tblControles[[#This Row],[Clave]])&gt;1,"Duplicado","")</f>
        <v/>
      </c>
    </row>
    <row r="248" spans="2:11">
      <c r="B248" s="975" t="str">
        <f>tblControles[[#This Row],[Fecha]]&amp;"|"&amp;tblControles[[#This Row],[Módulo]]&amp;"|"&amp;tblControles[[#This Row],[Ítem]]&amp;"|"&amp;tblControles[[#This Row],[Turno]]</f>
        <v>46256|CARGA MOLINOS|RM - 5|% carga</v>
      </c>
      <c r="C248" s="871">
        <v>46256</v>
      </c>
      <c r="D248" t="s">
        <v>9455</v>
      </c>
      <c r="E248" t="s">
        <v>439</v>
      </c>
      <c r="F248" t="s">
        <v>9457</v>
      </c>
      <c r="G248">
        <v>88.7</v>
      </c>
      <c r="H248" t="s">
        <v>9333</v>
      </c>
      <c r="I248" s="871">
        <v>46293.93683766204</v>
      </c>
      <c r="J248" t="s">
        <v>9523</v>
      </c>
      <c r="K248" s="975" t="str">
        <f>IF(COUNTIFS(tblControles[Clave],tblControles[[#This Row],[Clave]])&gt;1,"Duplicado","")</f>
        <v/>
      </c>
    </row>
    <row r="249" spans="2:11">
      <c r="B249" s="975" t="str">
        <f>tblControles[[#This Row],[Fecha]]&amp;"|"&amp;tblControles[[#This Row],[Módulo]]&amp;"|"&amp;tblControles[[#This Row],[Ítem]]&amp;"|"&amp;tblControles[[#This Row],[Turno]]</f>
        <v>46256|CARGA MOLINOS|RM - 6|% carga</v>
      </c>
      <c r="C249" s="871">
        <v>46256</v>
      </c>
      <c r="D249" t="s">
        <v>9455</v>
      </c>
      <c r="E249" t="s">
        <v>440</v>
      </c>
      <c r="F249" t="s">
        <v>9457</v>
      </c>
      <c r="G249">
        <v>86.4</v>
      </c>
      <c r="H249" t="s">
        <v>9333</v>
      </c>
      <c r="I249" s="871">
        <v>46293.93683766204</v>
      </c>
      <c r="J249" t="s">
        <v>9523</v>
      </c>
      <c r="K249" s="975" t="str">
        <f>IF(COUNTIFS(tblControles[Clave],tblControles[[#This Row],[Clave]])&gt;1,"Duplicado","")</f>
        <v/>
      </c>
    </row>
    <row r="250" spans="2:11">
      <c r="B250" s="975" t="str">
        <f>tblControles[[#This Row],[Fecha]]&amp;"|"&amp;tblControles[[#This Row],[Módulo]]&amp;"|"&amp;tblControles[[#This Row],[Ítem]]&amp;"|"&amp;tblControles[[#This Row],[Turno]]</f>
        <v>46256|CARGA MOLINOS|RM - 8|% carga</v>
      </c>
      <c r="C250" s="871">
        <v>46256</v>
      </c>
      <c r="D250" t="s">
        <v>9455</v>
      </c>
      <c r="E250" t="s">
        <v>442</v>
      </c>
      <c r="F250" t="s">
        <v>9457</v>
      </c>
      <c r="G250">
        <v>89.1</v>
      </c>
      <c r="H250" t="s">
        <v>9333</v>
      </c>
      <c r="I250" s="871">
        <v>46293.93683766204</v>
      </c>
      <c r="J250" t="s">
        <v>9523</v>
      </c>
      <c r="K250" s="975" t="str">
        <f>IF(COUNTIFS(tblControles[Clave],tblControles[[#This Row],[Clave]])&gt;1,"Duplicado","")</f>
        <v/>
      </c>
    </row>
    <row r="251" spans="2:11">
      <c r="B251" s="975" t="str">
        <f>tblControles[[#This Row],[Fecha]]&amp;"|"&amp;tblControles[[#This Row],[Módulo]]&amp;"|"&amp;tblControles[[#This Row],[Ítem]]&amp;"|"&amp;tblControles[[#This Row],[Turno]]</f>
        <v>46256|CARGA MOLINOS|RM - 9|% carga</v>
      </c>
      <c r="C251" s="871">
        <v>46256</v>
      </c>
      <c r="D251" t="s">
        <v>9455</v>
      </c>
      <c r="E251" t="s">
        <v>443</v>
      </c>
      <c r="F251" t="s">
        <v>9457</v>
      </c>
      <c r="G251">
        <v>63.5</v>
      </c>
      <c r="H251" t="s">
        <v>9333</v>
      </c>
      <c r="I251" s="871">
        <v>46293.93683766204</v>
      </c>
      <c r="J251" t="s">
        <v>9523</v>
      </c>
      <c r="K251" s="975" t="str">
        <f>IF(COUNTIFS(tblControles[Clave],tblControles[[#This Row],[Clave]])&gt;1,"Duplicado","")</f>
        <v/>
      </c>
    </row>
    <row r="252" spans="2:11">
      <c r="B252" s="975" t="str">
        <f>tblControles[[#This Row],[Fecha]]&amp;"|"&amp;tblControles[[#This Row],[Módulo]]&amp;"|"&amp;tblControles[[#This Row],[Ítem]]&amp;"|"&amp;tblControles[[#This Row],[Turno]]</f>
        <v>46256|CARGA MOLINOS|BM - 1|% carga</v>
      </c>
      <c r="C252" s="871">
        <v>46256</v>
      </c>
      <c r="D252" t="s">
        <v>9455</v>
      </c>
      <c r="E252" t="s">
        <v>444</v>
      </c>
      <c r="F252" t="s">
        <v>9457</v>
      </c>
      <c r="G252">
        <v>90.9</v>
      </c>
      <c r="H252" t="s">
        <v>9333</v>
      </c>
      <c r="I252" s="871">
        <v>46293.93683766204</v>
      </c>
      <c r="J252" t="s">
        <v>9523</v>
      </c>
      <c r="K252" s="975" t="str">
        <f>IF(COUNTIFS(tblControles[Clave],tblControles[[#This Row],[Clave]])&gt;1,"Duplicado","")</f>
        <v/>
      </c>
    </row>
    <row r="253" spans="2:11">
      <c r="B253" s="975" t="str">
        <f>tblControles[[#This Row],[Fecha]]&amp;"|"&amp;tblControles[[#This Row],[Módulo]]&amp;"|"&amp;tblControles[[#This Row],[Ítem]]&amp;"|"&amp;tblControles[[#This Row],[Turno]]</f>
        <v>46256|CARGA MOLINOS|BM - 3|% carga</v>
      </c>
      <c r="C253" s="871">
        <v>46256</v>
      </c>
      <c r="D253" t="s">
        <v>9455</v>
      </c>
      <c r="E253" t="s">
        <v>445</v>
      </c>
      <c r="F253" t="s">
        <v>9457</v>
      </c>
      <c r="G253">
        <v>83.9</v>
      </c>
      <c r="H253" t="s">
        <v>9333</v>
      </c>
      <c r="I253" s="871">
        <v>46293.93683766204</v>
      </c>
      <c r="J253" t="s">
        <v>9523</v>
      </c>
      <c r="K253" s="975" t="str">
        <f>IF(COUNTIFS(tblControles[Clave],tblControles[[#This Row],[Clave]])&gt;1,"Duplicado","")</f>
        <v/>
      </c>
    </row>
    <row r="254" spans="2:11">
      <c r="B254" s="975" t="str">
        <f>tblControles[[#This Row],[Fecha]]&amp;"|"&amp;tblControles[[#This Row],[Módulo]]&amp;"|"&amp;tblControles[[#This Row],[Ítem]]&amp;"|"&amp;tblControles[[#This Row],[Turno]]</f>
        <v>46256|CARGA MOLINOS|BM - 4|% carga</v>
      </c>
      <c r="C254" s="871">
        <v>46256</v>
      </c>
      <c r="D254" t="s">
        <v>9455</v>
      </c>
      <c r="E254" t="s">
        <v>446</v>
      </c>
      <c r="F254" t="s">
        <v>9457</v>
      </c>
      <c r="G254">
        <v>85.5</v>
      </c>
      <c r="H254" t="s">
        <v>9333</v>
      </c>
      <c r="I254" s="871">
        <v>46293.93683766204</v>
      </c>
      <c r="J254" t="s">
        <v>9523</v>
      </c>
      <c r="K254" s="975" t="str">
        <f>IF(COUNTIFS(tblControles[Clave],tblControles[[#This Row],[Clave]])&gt;1,"Duplicado","")</f>
        <v/>
      </c>
    </row>
    <row r="255" spans="2:11">
      <c r="B255" s="975" t="str">
        <f>tblControles[[#This Row],[Fecha]]&amp;"|"&amp;tblControles[[#This Row],[Módulo]]&amp;"|"&amp;tblControles[[#This Row],[Ítem]]&amp;"|"&amp;tblControles[[#This Row],[Turno]]</f>
        <v>46256|CARGA MOLINOS|BM - 5|% carga</v>
      </c>
      <c r="C255" s="871">
        <v>46256</v>
      </c>
      <c r="D255" t="s">
        <v>9455</v>
      </c>
      <c r="E255" t="s">
        <v>447</v>
      </c>
      <c r="F255" t="s">
        <v>9457</v>
      </c>
      <c r="G255">
        <v>94.6</v>
      </c>
      <c r="H255" t="s">
        <v>9333</v>
      </c>
      <c r="I255" s="871">
        <v>46293.93683766204</v>
      </c>
      <c r="J255" t="s">
        <v>9523</v>
      </c>
      <c r="K255" s="975" t="str">
        <f>IF(COUNTIFS(tblControles[Clave],tblControles[[#This Row],[Clave]])&gt;1,"Duplicado","")</f>
        <v/>
      </c>
    </row>
    <row r="256" spans="2:11">
      <c r="B256" s="975" t="str">
        <f>tblControles[[#This Row],[Fecha]]&amp;"|"&amp;tblControles[[#This Row],[Módulo]]&amp;"|"&amp;tblControles[[#This Row],[Ítem]]&amp;"|"&amp;tblControles[[#This Row],[Turno]]</f>
        <v>46256|CARGA MOLINOS|BM - 6|% carga</v>
      </c>
      <c r="C256" s="871">
        <v>46256</v>
      </c>
      <c r="D256" t="s">
        <v>9455</v>
      </c>
      <c r="E256" t="s">
        <v>448</v>
      </c>
      <c r="F256" t="s">
        <v>9457</v>
      </c>
      <c r="G256">
        <v>88.2</v>
      </c>
      <c r="H256" t="s">
        <v>9333</v>
      </c>
      <c r="I256" s="871">
        <v>46293.93683766204</v>
      </c>
      <c r="J256" t="s">
        <v>9523</v>
      </c>
      <c r="K256" s="975" t="str">
        <f>IF(COUNTIFS(tblControles[Clave],tblControles[[#This Row],[Clave]])&gt;1,"Duplicado","")</f>
        <v/>
      </c>
    </row>
    <row r="257" spans="2:11">
      <c r="B257" s="975" t="str">
        <f>tblControles[[#This Row],[Fecha]]&amp;"|"&amp;tblControles[[#This Row],[Módulo]]&amp;"|"&amp;tblControles[[#This Row],[Ítem]]&amp;"|"&amp;tblControles[[#This Row],[Turno]]</f>
        <v>46256|CARGA MOLINOS|BM - 7|% carga</v>
      </c>
      <c r="C257" s="871">
        <v>46256</v>
      </c>
      <c r="D257" t="s">
        <v>9455</v>
      </c>
      <c r="E257" t="s">
        <v>449</v>
      </c>
      <c r="F257" t="s">
        <v>9457</v>
      </c>
      <c r="G257">
        <v>86.6</v>
      </c>
      <c r="H257" t="s">
        <v>9333</v>
      </c>
      <c r="I257" s="871">
        <v>46293.93683766204</v>
      </c>
      <c r="J257" t="s">
        <v>9523</v>
      </c>
      <c r="K257" s="975" t="str">
        <f>IF(COUNTIFS(tblControles[Clave],tblControles[[#This Row],[Clave]])&gt;1,"Duplicado","")</f>
        <v/>
      </c>
    </row>
    <row r="258" spans="2:11">
      <c r="B258" s="975" t="str">
        <f>tblControles[[#This Row],[Fecha]]&amp;"|"&amp;tblControles[[#This Row],[Módulo]]&amp;"|"&amp;tblControles[[#This Row],[Ítem]]&amp;"|"&amp;tblControles[[#This Row],[Turno]]</f>
        <v>46256|CARGA MOLINOS|BM - 8|% carga</v>
      </c>
      <c r="C258" s="871">
        <v>46256</v>
      </c>
      <c r="D258" t="s">
        <v>9455</v>
      </c>
      <c r="E258" t="s">
        <v>450</v>
      </c>
      <c r="F258" t="s">
        <v>9457</v>
      </c>
      <c r="G258">
        <v>89.6</v>
      </c>
      <c r="H258" t="s">
        <v>9333</v>
      </c>
      <c r="I258" s="871">
        <v>46293.93683766204</v>
      </c>
      <c r="J258" t="s">
        <v>9523</v>
      </c>
      <c r="K258" s="975" t="str">
        <f>IF(COUNTIFS(tblControles[Clave],tblControles[[#This Row],[Clave]])&gt;1,"Duplicado","")</f>
        <v/>
      </c>
    </row>
    <row r="259" spans="2:11">
      <c r="B259" s="975" t="str">
        <f>tblControles[[#This Row],[Fecha]]&amp;"|"&amp;tblControles[[#This Row],[Módulo]]&amp;"|"&amp;tblControles[[#This Row],[Ítem]]&amp;"|"&amp;tblControles[[#This Row],[Turno]]</f>
        <v>46256|CARGA MOLINOS|BM - 9|% carga</v>
      </c>
      <c r="C259" s="871">
        <v>46256</v>
      </c>
      <c r="D259" t="s">
        <v>9455</v>
      </c>
      <c r="E259" t="s">
        <v>451</v>
      </c>
      <c r="F259" t="s">
        <v>9457</v>
      </c>
      <c r="G259">
        <v>78.400000000000006</v>
      </c>
      <c r="H259" t="s">
        <v>9333</v>
      </c>
      <c r="I259" s="871">
        <v>46293.93683766204</v>
      </c>
      <c r="J259" t="s">
        <v>9523</v>
      </c>
      <c r="K259" s="975" t="str">
        <f>IF(COUNTIFS(tblControles[Clave],tblControles[[#This Row],[Clave]])&gt;1,"Duplicado","")</f>
        <v/>
      </c>
    </row>
    <row r="260" spans="2:11">
      <c r="B260" s="975" t="str">
        <f>tblControles[[#This Row],[Fecha]]&amp;"|"&amp;tblControles[[#This Row],[Módulo]]&amp;"|"&amp;tblControles[[#This Row],[Ítem]]&amp;"|"&amp;tblControles[[#This Row],[Turno]]</f>
        <v>46256|CARGA MOLINOS|BM - 10|% carga</v>
      </c>
      <c r="C260" s="871">
        <v>46256</v>
      </c>
      <c r="D260" t="s">
        <v>9455</v>
      </c>
      <c r="E260" t="s">
        <v>452</v>
      </c>
      <c r="F260" t="s">
        <v>9457</v>
      </c>
      <c r="G260">
        <v>79.3</v>
      </c>
      <c r="H260" t="s">
        <v>9333</v>
      </c>
      <c r="I260" s="871">
        <v>46293.93683766204</v>
      </c>
      <c r="J260" t="s">
        <v>9523</v>
      </c>
      <c r="K260" s="975" t="str">
        <f>IF(COUNTIFS(tblControles[Clave],tblControles[[#This Row],[Clave]])&gt;1,"Duplicado","")</f>
        <v/>
      </c>
    </row>
    <row r="261" spans="2:11">
      <c r="B261" s="975" t="str">
        <f>tblControles[[#This Row],[Fecha]]&amp;"|"&amp;tblControles[[#This Row],[Módulo]]&amp;"|"&amp;tblControles[[#This Row],[Ítem]]&amp;"|"&amp;tblControles[[#This Row],[Turno]]</f>
        <v>46266|AGREGADO MEDIOS|BARRAS RM1|Cantidad</v>
      </c>
      <c r="C261" s="871">
        <v>46266</v>
      </c>
      <c r="D261" t="s">
        <v>9451</v>
      </c>
      <c r="E261" t="s">
        <v>410</v>
      </c>
      <c r="F261" t="s">
        <v>9453</v>
      </c>
      <c r="G261">
        <v>0</v>
      </c>
      <c r="H261" t="s">
        <v>9333</v>
      </c>
      <c r="I261" s="871">
        <v>46293.93683766204</v>
      </c>
      <c r="J261" t="s">
        <v>9524</v>
      </c>
      <c r="K261" s="975" t="str">
        <f>IF(COUNTIFS(tblControles[Clave],tblControles[[#This Row],[Clave]])&gt;1,"Duplicado","")</f>
        <v/>
      </c>
    </row>
    <row r="262" spans="2:11">
      <c r="B262" s="975" t="str">
        <f>tblControles[[#This Row],[Fecha]]&amp;"|"&amp;tblControles[[#This Row],[Módulo]]&amp;"|"&amp;tblControles[[#This Row],[Ítem]]&amp;"|"&amp;tblControles[[#This Row],[Turno]]</f>
        <v>46266|AGREGADO MEDIOS|BARRAS RM2|Cantidad</v>
      </c>
      <c r="C262" s="871">
        <v>46266</v>
      </c>
      <c r="D262" t="s">
        <v>9451</v>
      </c>
      <c r="E262" t="s">
        <v>411</v>
      </c>
      <c r="F262" t="s">
        <v>9453</v>
      </c>
      <c r="G262">
        <v>18</v>
      </c>
      <c r="H262" t="s">
        <v>9333</v>
      </c>
      <c r="I262" s="871">
        <v>46293.93683766204</v>
      </c>
      <c r="J262" t="s">
        <v>9524</v>
      </c>
      <c r="K262" s="975" t="str">
        <f>IF(COUNTIFS(tblControles[Clave],tblControles[[#This Row],[Clave]])&gt;1,"Duplicado","")</f>
        <v/>
      </c>
    </row>
    <row r="263" spans="2:11">
      <c r="B263" s="975" t="str">
        <f>tblControles[[#This Row],[Fecha]]&amp;"|"&amp;tblControles[[#This Row],[Módulo]]&amp;"|"&amp;tblControles[[#This Row],[Ítem]]&amp;"|"&amp;tblControles[[#This Row],[Turno]]</f>
        <v>46266|AGREGADO MEDIOS|BARRAS RM3|Cantidad</v>
      </c>
      <c r="C263" s="871">
        <v>46266</v>
      </c>
      <c r="D263" t="s">
        <v>9451</v>
      </c>
      <c r="E263" t="s">
        <v>412</v>
      </c>
      <c r="F263" t="s">
        <v>9453</v>
      </c>
      <c r="G263">
        <v>18</v>
      </c>
      <c r="H263" t="s">
        <v>9333</v>
      </c>
      <c r="I263" s="871">
        <v>46293.93683766204</v>
      </c>
      <c r="J263" t="s">
        <v>9524</v>
      </c>
      <c r="K263" s="975" t="str">
        <f>IF(COUNTIFS(tblControles[Clave],tblControles[[#This Row],[Clave]])&gt;1,"Duplicado","")</f>
        <v/>
      </c>
    </row>
    <row r="264" spans="2:11">
      <c r="B264" s="975" t="str">
        <f>tblControles[[#This Row],[Fecha]]&amp;"|"&amp;tblControles[[#This Row],[Módulo]]&amp;"|"&amp;tblControles[[#This Row],[Ítem]]&amp;"|"&amp;tblControles[[#This Row],[Turno]]</f>
        <v>46266|AGREGADO MEDIOS|BARRAS RM4|Cantidad</v>
      </c>
      <c r="C264" s="871">
        <v>46266</v>
      </c>
      <c r="D264" t="s">
        <v>9451</v>
      </c>
      <c r="E264" t="s">
        <v>413</v>
      </c>
      <c r="F264" t="s">
        <v>9453</v>
      </c>
      <c r="G264">
        <v>18</v>
      </c>
      <c r="H264" t="s">
        <v>9333</v>
      </c>
      <c r="I264" s="871">
        <v>46293.93683766204</v>
      </c>
      <c r="J264" t="s">
        <v>9524</v>
      </c>
      <c r="K264" s="975" t="str">
        <f>IF(COUNTIFS(tblControles[Clave],tblControles[[#This Row],[Clave]])&gt;1,"Duplicado","")</f>
        <v/>
      </c>
    </row>
    <row r="265" spans="2:11">
      <c r="B265" s="975" t="str">
        <f>tblControles[[#This Row],[Fecha]]&amp;"|"&amp;tblControles[[#This Row],[Módulo]]&amp;"|"&amp;tblControles[[#This Row],[Ítem]]&amp;"|"&amp;tblControles[[#This Row],[Turno]]</f>
        <v>46266|AGREGADO MEDIOS|BARRAS RM5|Cantidad</v>
      </c>
      <c r="C265" s="871">
        <v>46266</v>
      </c>
      <c r="D265" t="s">
        <v>9451</v>
      </c>
      <c r="E265" t="s">
        <v>414</v>
      </c>
      <c r="F265" t="s">
        <v>9453</v>
      </c>
      <c r="G265">
        <v>11</v>
      </c>
      <c r="H265" t="s">
        <v>9333</v>
      </c>
      <c r="I265" s="871">
        <v>46293.93683766204</v>
      </c>
      <c r="J265" t="s">
        <v>9524</v>
      </c>
      <c r="K265" s="975" t="str">
        <f>IF(COUNTIFS(tblControles[Clave],tblControles[[#This Row],[Clave]])&gt;1,"Duplicado","")</f>
        <v/>
      </c>
    </row>
    <row r="266" spans="2:11">
      <c r="B266" s="975" t="str">
        <f>tblControles[[#This Row],[Fecha]]&amp;"|"&amp;tblControles[[#This Row],[Módulo]]&amp;"|"&amp;tblControles[[#This Row],[Ítem]]&amp;"|"&amp;tblControles[[#This Row],[Turno]]</f>
        <v>46266|AGREGADO MEDIOS|BARRAS RM6|Cantidad</v>
      </c>
      <c r="C266" s="871">
        <v>46266</v>
      </c>
      <c r="D266" t="s">
        <v>9451</v>
      </c>
      <c r="E266" t="s">
        <v>415</v>
      </c>
      <c r="F266" t="s">
        <v>9453</v>
      </c>
      <c r="G266">
        <v>20</v>
      </c>
      <c r="H266" t="s">
        <v>9333</v>
      </c>
      <c r="I266" s="871">
        <v>46293.93683766204</v>
      </c>
      <c r="J266" t="s">
        <v>9524</v>
      </c>
      <c r="K266" s="975" t="str">
        <f>IF(COUNTIFS(tblControles[Clave],tblControles[[#This Row],[Clave]])&gt;1,"Duplicado","")</f>
        <v/>
      </c>
    </row>
    <row r="267" spans="2:11">
      <c r="B267" s="975" t="str">
        <f>tblControles[[#This Row],[Fecha]]&amp;"|"&amp;tblControles[[#This Row],[Módulo]]&amp;"|"&amp;tblControles[[#This Row],[Ítem]]&amp;"|"&amp;tblControles[[#This Row],[Turno]]</f>
        <v>46266|AGREGADO MEDIOS|BARRAS RM7|Cantidad</v>
      </c>
      <c r="C267" s="871">
        <v>46266</v>
      </c>
      <c r="D267" t="s">
        <v>9451</v>
      </c>
      <c r="E267" t="s">
        <v>416</v>
      </c>
      <c r="F267" t="s">
        <v>9453</v>
      </c>
      <c r="G267">
        <v>0</v>
      </c>
      <c r="H267" t="s">
        <v>9333</v>
      </c>
      <c r="I267" s="871">
        <v>46293.93683766204</v>
      </c>
      <c r="J267" t="s">
        <v>9524</v>
      </c>
      <c r="K267" s="975" t="str">
        <f>IF(COUNTIFS(tblControles[Clave],tblControles[[#This Row],[Clave]])&gt;1,"Duplicado","")</f>
        <v/>
      </c>
    </row>
    <row r="268" spans="2:11">
      <c r="B268" s="975" t="str">
        <f>tblControles[[#This Row],[Fecha]]&amp;"|"&amp;tblControles[[#This Row],[Módulo]]&amp;"|"&amp;tblControles[[#This Row],[Ítem]]&amp;"|"&amp;tblControles[[#This Row],[Turno]]</f>
        <v>46266|AGREGADO MEDIOS|BARRAS RM8|Cantidad</v>
      </c>
      <c r="C268" s="871">
        <v>46266</v>
      </c>
      <c r="D268" t="s">
        <v>9451</v>
      </c>
      <c r="E268" t="s">
        <v>417</v>
      </c>
      <c r="F268" t="s">
        <v>9453</v>
      </c>
      <c r="G268">
        <v>22</v>
      </c>
      <c r="H268" t="s">
        <v>9333</v>
      </c>
      <c r="I268" s="871">
        <v>46293.93683766204</v>
      </c>
      <c r="J268" t="s">
        <v>9524</v>
      </c>
      <c r="K268" s="975" t="str">
        <f>IF(COUNTIFS(tblControles[Clave],tblControles[[#This Row],[Clave]])&gt;1,"Duplicado","")</f>
        <v/>
      </c>
    </row>
    <row r="269" spans="2:11">
      <c r="B269" s="975" t="str">
        <f>tblControles[[#This Row],[Fecha]]&amp;"|"&amp;tblControles[[#This Row],[Módulo]]&amp;"|"&amp;tblControles[[#This Row],[Ítem]]&amp;"|"&amp;tblControles[[#This Row],[Turno]]</f>
        <v>46266|AGREGADO MEDIOS|BARRAS 9 RM9|Cantidad</v>
      </c>
      <c r="C269" s="871">
        <v>46266</v>
      </c>
      <c r="D269" t="s">
        <v>9451</v>
      </c>
      <c r="E269" t="s">
        <v>418</v>
      </c>
      <c r="F269" t="s">
        <v>9453</v>
      </c>
      <c r="G269">
        <v>15</v>
      </c>
      <c r="H269" t="s">
        <v>9333</v>
      </c>
      <c r="I269" s="871">
        <v>46293.93683766204</v>
      </c>
      <c r="J269" t="s">
        <v>9524</v>
      </c>
      <c r="K269" s="975" t="str">
        <f>IF(COUNTIFS(tblControles[Clave],tblControles[[#This Row],[Clave]])&gt;1,"Duplicado","")</f>
        <v/>
      </c>
    </row>
    <row r="270" spans="2:11">
      <c r="B270" s="975" t="str">
        <f>tblControles[[#This Row],[Fecha]]&amp;"|"&amp;tblControles[[#This Row],[Módulo]]&amp;"|"&amp;tblControles[[#This Row],[Ítem]]&amp;"|"&amp;tblControles[[#This Row],[Turno]]</f>
        <v>46266|AGREGADO MEDIOS|CONOS 40X50 BM1|Cantidad</v>
      </c>
      <c r="C270" s="871">
        <v>46266</v>
      </c>
      <c r="D270" t="s">
        <v>9451</v>
      </c>
      <c r="E270" t="s">
        <v>420</v>
      </c>
      <c r="F270" t="s">
        <v>9453</v>
      </c>
      <c r="G270">
        <v>6</v>
      </c>
      <c r="H270" t="s">
        <v>9333</v>
      </c>
      <c r="I270" s="871">
        <v>46293.93683766204</v>
      </c>
      <c r="J270" t="s">
        <v>9524</v>
      </c>
      <c r="K270" s="975" t="str">
        <f>IF(COUNTIFS(tblControles[Clave],tblControles[[#This Row],[Clave]])&gt;1,"Duplicado","")</f>
        <v/>
      </c>
    </row>
    <row r="271" spans="2:11">
      <c r="B271" s="975" t="str">
        <f>tblControles[[#This Row],[Fecha]]&amp;"|"&amp;tblControles[[#This Row],[Módulo]]&amp;"|"&amp;tblControles[[#This Row],[Ítem]]&amp;"|"&amp;tblControles[[#This Row],[Turno]]</f>
        <v>46266|AGREGADO MEDIOS|CONOS 40X50 BM2|Cantidad</v>
      </c>
      <c r="C271" s="871">
        <v>46266</v>
      </c>
      <c r="D271" t="s">
        <v>9451</v>
      </c>
      <c r="E271" t="s">
        <v>421</v>
      </c>
      <c r="F271" t="s">
        <v>9453</v>
      </c>
      <c r="G271">
        <v>6</v>
      </c>
      <c r="H271" t="s">
        <v>9333</v>
      </c>
      <c r="I271" s="871">
        <v>46293.93683766204</v>
      </c>
      <c r="J271" t="s">
        <v>9524</v>
      </c>
      <c r="K271" s="975" t="str">
        <f>IF(COUNTIFS(tblControles[Clave],tblControles[[#This Row],[Clave]])&gt;1,"Duplicado","")</f>
        <v/>
      </c>
    </row>
    <row r="272" spans="2:11">
      <c r="B272" s="975" t="str">
        <f>tblControles[[#This Row],[Fecha]]&amp;"|"&amp;tblControles[[#This Row],[Módulo]]&amp;"|"&amp;tblControles[[#This Row],[Ítem]]&amp;"|"&amp;tblControles[[#This Row],[Turno]]</f>
        <v>46266|AGREGADO MEDIOS|CONOS 40X50 BM3|Cantidad</v>
      </c>
      <c r="C272" s="871">
        <v>46266</v>
      </c>
      <c r="D272" t="s">
        <v>9451</v>
      </c>
      <c r="E272" t="s">
        <v>422</v>
      </c>
      <c r="F272" t="s">
        <v>9453</v>
      </c>
      <c r="G272">
        <v>6</v>
      </c>
      <c r="H272" t="s">
        <v>9333</v>
      </c>
      <c r="I272" s="871">
        <v>46293.93683766204</v>
      </c>
      <c r="J272" t="s">
        <v>9524</v>
      </c>
      <c r="K272" s="975" t="str">
        <f>IF(COUNTIFS(tblControles[Clave],tblControles[[#This Row],[Clave]])&gt;1,"Duplicado","")</f>
        <v/>
      </c>
    </row>
    <row r="273" spans="2:11">
      <c r="B273" s="975" t="str">
        <f>tblControles[[#This Row],[Fecha]]&amp;"|"&amp;tblControles[[#This Row],[Módulo]]&amp;"|"&amp;tblControles[[#This Row],[Ítem]]&amp;"|"&amp;tblControles[[#This Row],[Turno]]</f>
        <v>46266|AGREGADO MEDIOS|CONOS 40X50 BM4|Cantidad</v>
      </c>
      <c r="C273" s="871">
        <v>46266</v>
      </c>
      <c r="D273" t="s">
        <v>9451</v>
      </c>
      <c r="E273" t="s">
        <v>423</v>
      </c>
      <c r="F273" t="s">
        <v>9453</v>
      </c>
      <c r="G273">
        <v>0</v>
      </c>
      <c r="H273" t="s">
        <v>9333</v>
      </c>
      <c r="I273" s="871">
        <v>46293.93683766204</v>
      </c>
      <c r="J273" t="s">
        <v>9524</v>
      </c>
      <c r="K273" s="975" t="str">
        <f>IF(COUNTIFS(tblControles[Clave],tblControles[[#This Row],[Clave]])&gt;1,"Duplicado","")</f>
        <v/>
      </c>
    </row>
    <row r="274" spans="2:11">
      <c r="B274" s="975" t="str">
        <f>tblControles[[#This Row],[Fecha]]&amp;"|"&amp;tblControles[[#This Row],[Módulo]]&amp;"|"&amp;tblControles[[#This Row],[Ítem]]&amp;"|"&amp;tblControles[[#This Row],[Turno]]</f>
        <v>46266|AGREGADO MEDIOS|CONOS 30X35 BM5|Cantidad</v>
      </c>
      <c r="C274" s="871">
        <v>46266</v>
      </c>
      <c r="D274" t="s">
        <v>9451</v>
      </c>
      <c r="E274" t="s">
        <v>424</v>
      </c>
      <c r="F274" t="s">
        <v>9453</v>
      </c>
      <c r="G274">
        <v>4</v>
      </c>
      <c r="H274" t="s">
        <v>9333</v>
      </c>
      <c r="I274" s="871">
        <v>46293.93683766204</v>
      </c>
      <c r="J274" t="s">
        <v>9524</v>
      </c>
      <c r="K274" s="975" t="str">
        <f>IF(COUNTIFS(tblControles[Clave],tblControles[[#This Row],[Clave]])&gt;1,"Duplicado","")</f>
        <v/>
      </c>
    </row>
    <row r="275" spans="2:11">
      <c r="B275" s="975" t="str">
        <f>tblControles[[#This Row],[Fecha]]&amp;"|"&amp;tblControles[[#This Row],[Módulo]]&amp;"|"&amp;tblControles[[#This Row],[Ítem]]&amp;"|"&amp;tblControles[[#This Row],[Turno]]</f>
        <v>46266|AGREGADO MEDIOS|CONOS 40X50 BM6|Cantidad</v>
      </c>
      <c r="C275" s="871">
        <v>46266</v>
      </c>
      <c r="D275" t="s">
        <v>9451</v>
      </c>
      <c r="E275" t="s">
        <v>425</v>
      </c>
      <c r="F275" t="s">
        <v>9453</v>
      </c>
      <c r="G275">
        <v>4</v>
      </c>
      <c r="H275" t="s">
        <v>9333</v>
      </c>
      <c r="I275" s="871">
        <v>46293.93683766204</v>
      </c>
      <c r="J275" t="s">
        <v>9524</v>
      </c>
      <c r="K275" s="975" t="str">
        <f>IF(COUNTIFS(tblControles[Clave],tblControles[[#This Row],[Clave]])&gt;1,"Duplicado","")</f>
        <v/>
      </c>
    </row>
    <row r="276" spans="2:11">
      <c r="B276" s="975" t="str">
        <f>tblControles[[#This Row],[Fecha]]&amp;"|"&amp;tblControles[[#This Row],[Módulo]]&amp;"|"&amp;tblControles[[#This Row],[Ítem]]&amp;"|"&amp;tblControles[[#This Row],[Turno]]</f>
        <v>46266|AGREGADO MEDIOS|CONOS 40X50 BM7|Cantidad</v>
      </c>
      <c r="C276" s="871">
        <v>46266</v>
      </c>
      <c r="D276" t="s">
        <v>9451</v>
      </c>
      <c r="E276" t="s">
        <v>426</v>
      </c>
      <c r="F276" t="s">
        <v>9453</v>
      </c>
      <c r="G276">
        <v>0</v>
      </c>
      <c r="H276" t="s">
        <v>9333</v>
      </c>
      <c r="I276" s="871">
        <v>46293.93683766204</v>
      </c>
      <c r="J276" t="s">
        <v>9524</v>
      </c>
      <c r="K276" s="975" t="str">
        <f>IF(COUNTIFS(tblControles[Clave],tblControles[[#This Row],[Clave]])&gt;1,"Duplicado","")</f>
        <v/>
      </c>
    </row>
    <row r="277" spans="2:11">
      <c r="B277" s="975" t="str">
        <f>tblControles[[#This Row],[Fecha]]&amp;"|"&amp;tblControles[[#This Row],[Módulo]]&amp;"|"&amp;tblControles[[#This Row],[Ítem]]&amp;"|"&amp;tblControles[[#This Row],[Turno]]</f>
        <v>46266|AGREGADO MEDIOS|CONOS 40X50|Cantidad</v>
      </c>
      <c r="C277" s="871">
        <v>46266</v>
      </c>
      <c r="D277" t="s">
        <v>9451</v>
      </c>
      <c r="E277" t="s">
        <v>427</v>
      </c>
      <c r="F277" t="s">
        <v>9453</v>
      </c>
      <c r="G277">
        <v>6</v>
      </c>
      <c r="H277" t="s">
        <v>9333</v>
      </c>
      <c r="I277" s="871">
        <v>46293.93683766204</v>
      </c>
      <c r="J277" t="s">
        <v>9524</v>
      </c>
      <c r="K277" s="975" t="str">
        <f>IF(COUNTIFS(tblControles[Clave],tblControles[[#This Row],[Clave]])&gt;1,"Duplicado","")</f>
        <v/>
      </c>
    </row>
    <row r="278" spans="2:11">
      <c r="B278" s="975" t="str">
        <f>tblControles[[#This Row],[Fecha]]&amp;"|"&amp;tblControles[[#This Row],[Módulo]]&amp;"|"&amp;tblControles[[#This Row],[Ítem]]&amp;"|"&amp;tblControles[[#This Row],[Turno]]</f>
        <v>46266|AGREGADO MEDIOS|CONOS 30X35|Cantidad</v>
      </c>
      <c r="C278" s="871">
        <v>46266</v>
      </c>
      <c r="D278" t="s">
        <v>9451</v>
      </c>
      <c r="E278" t="s">
        <v>428</v>
      </c>
      <c r="F278" t="s">
        <v>9453</v>
      </c>
      <c r="G278">
        <v>20</v>
      </c>
      <c r="H278" t="s">
        <v>9333</v>
      </c>
      <c r="I278" s="871">
        <v>46293.93683766204</v>
      </c>
      <c r="J278" t="s">
        <v>9524</v>
      </c>
      <c r="K278" s="975" t="str">
        <f>IF(COUNTIFS(tblControles[Clave],tblControles[[#This Row],[Clave]])&gt;1,"Duplicado","")</f>
        <v/>
      </c>
    </row>
    <row r="279" spans="2:11">
      <c r="B279" s="975" t="str">
        <f>tblControles[[#This Row],[Fecha]]&amp;"|"&amp;tblControles[[#This Row],[Módulo]]&amp;"|"&amp;tblControles[[#This Row],[Ítem]]&amp;"|"&amp;tblControles[[#This Row],[Turno]]</f>
        <v>46266|AGREGADO MEDIOS|BOLAS BM8|Cantidad</v>
      </c>
      <c r="C279" s="871">
        <v>46266</v>
      </c>
      <c r="D279" t="s">
        <v>9451</v>
      </c>
      <c r="E279" t="s">
        <v>429</v>
      </c>
      <c r="F279" t="s">
        <v>9453</v>
      </c>
      <c r="G279">
        <v>0</v>
      </c>
      <c r="H279" t="s">
        <v>9333</v>
      </c>
      <c r="I279" s="871">
        <v>46293.93683766204</v>
      </c>
      <c r="J279" t="s">
        <v>9524</v>
      </c>
      <c r="K279" s="975" t="str">
        <f>IF(COUNTIFS(tblControles[Clave],tblControles[[#This Row],[Clave]])&gt;1,"Duplicado","")</f>
        <v/>
      </c>
    </row>
    <row r="280" spans="2:11">
      <c r="B280" s="975" t="str">
        <f>tblControles[[#This Row],[Fecha]]&amp;"|"&amp;tblControles[[#This Row],[Módulo]]&amp;"|"&amp;tblControles[[#This Row],[Ítem]]&amp;"|"&amp;tblControles[[#This Row],[Turno]]</f>
        <v>46266|AGREGADO MEDIOS|BOLAS BM9|Cantidad</v>
      </c>
      <c r="C280" s="871">
        <v>46266</v>
      </c>
      <c r="D280" t="s">
        <v>9451</v>
      </c>
      <c r="E280" t="s">
        <v>430</v>
      </c>
      <c r="F280" t="s">
        <v>9453</v>
      </c>
      <c r="G280">
        <v>0</v>
      </c>
      <c r="H280" t="s">
        <v>9333</v>
      </c>
      <c r="I280" s="871">
        <v>46293.93683766204</v>
      </c>
      <c r="J280" t="s">
        <v>9524</v>
      </c>
      <c r="K280" s="975" t="str">
        <f>IF(COUNTIFS(tblControles[Clave],tblControles[[#This Row],[Clave]])&gt;1,"Duplicado","")</f>
        <v/>
      </c>
    </row>
    <row r="281" spans="2:11">
      <c r="B281" s="975" t="str">
        <f>tblControles[[#This Row],[Fecha]]&amp;"|"&amp;tblControles[[#This Row],[Módulo]]&amp;"|"&amp;tblControles[[#This Row],[Ítem]]&amp;"|"&amp;tblControles[[#This Row],[Turno]]</f>
        <v>46266|AGREGADO MEDIOS|BOLAS BM10|Cantidad</v>
      </c>
      <c r="C281" s="871">
        <v>46266</v>
      </c>
      <c r="D281" t="s">
        <v>9451</v>
      </c>
      <c r="E281" t="s">
        <v>431</v>
      </c>
      <c r="F281" t="s">
        <v>9453</v>
      </c>
      <c r="G281">
        <v>0</v>
      </c>
      <c r="H281" t="s">
        <v>9333</v>
      </c>
      <c r="I281" s="871">
        <v>46293.93683766204</v>
      </c>
      <c r="J281" t="s">
        <v>9524</v>
      </c>
      <c r="K281" s="975" t="str">
        <f>IF(COUNTIFS(tblControles[Clave],tblControles[[#This Row],[Clave]])&gt;1,"Duplicado","")</f>
        <v/>
      </c>
    </row>
    <row r="282" spans="2:11">
      <c r="B282" s="975" t="str">
        <f>tblControles[[#This Row],[Fecha]]&amp;"|"&amp;tblControles[[#This Row],[Módulo]]&amp;"|"&amp;tblControles[[#This Row],[Ítem]]&amp;"|"&amp;tblControles[[#This Row],[Turno]]</f>
        <v>46266|AGREGADO MEDIOS|BOLAS ALTO CROM|Cantidad</v>
      </c>
      <c r="C282" s="871">
        <v>46266</v>
      </c>
      <c r="D282" t="s">
        <v>9451</v>
      </c>
      <c r="E282" t="s">
        <v>432</v>
      </c>
      <c r="F282" t="s">
        <v>9453</v>
      </c>
      <c r="G282">
        <v>0</v>
      </c>
      <c r="H282" t="s">
        <v>9333</v>
      </c>
      <c r="I282" s="871">
        <v>46293.93683766204</v>
      </c>
      <c r="J282" t="s">
        <v>9524</v>
      </c>
      <c r="K282" s="975" t="str">
        <f>IF(COUNTIFS(tblControles[Clave],tblControles[[#This Row],[Clave]])&gt;1,"Duplicado","")</f>
        <v/>
      </c>
    </row>
    <row r="283" spans="2:11">
      <c r="B283" s="975" t="str">
        <f>tblControles[[#This Row],[Fecha]]&amp;"|"&amp;tblControles[[#This Row],[Módulo]]&amp;"|"&amp;tblControles[[#This Row],[Ítem]]&amp;"|"&amp;tblControles[[#This Row],[Turno]]</f>
        <v>46266|FILTROS H2O|Filtro # 1|2 TURNO</v>
      </c>
      <c r="C283" s="871">
        <v>46266</v>
      </c>
      <c r="D283" t="s">
        <v>9430</v>
      </c>
      <c r="E283" t="s">
        <v>9525</v>
      </c>
      <c r="F283" t="s">
        <v>327</v>
      </c>
      <c r="G283" t="s">
        <v>3227</v>
      </c>
      <c r="H283" t="s">
        <v>9333</v>
      </c>
      <c r="I283" s="871">
        <v>46293.93683766204</v>
      </c>
      <c r="J283" t="s">
        <v>9526</v>
      </c>
      <c r="K283" s="975" t="str">
        <f>IF(COUNTIFS(tblControles[Clave],tblControles[[#This Row],[Clave]])&gt;1,"Duplicado","")</f>
        <v/>
      </c>
    </row>
    <row r="284" spans="2:11">
      <c r="B284" s="975" t="str">
        <f>tblControles[[#This Row],[Fecha]]&amp;"|"&amp;tblControles[[#This Row],[Módulo]]&amp;"|"&amp;tblControles[[#This Row],[Ítem]]&amp;"|"&amp;tblControles[[#This Row],[Turno]]</f>
        <v>46266|FILTROS H2O|Filtro # 2|2 TURNO</v>
      </c>
      <c r="C284" s="871">
        <v>46266</v>
      </c>
      <c r="D284" t="s">
        <v>9430</v>
      </c>
      <c r="E284" t="s">
        <v>9463</v>
      </c>
      <c r="F284" t="s">
        <v>327</v>
      </c>
      <c r="G284" t="s">
        <v>3227</v>
      </c>
      <c r="H284" t="s">
        <v>9333</v>
      </c>
      <c r="I284" s="871">
        <v>46293.93683766204</v>
      </c>
      <c r="J284" t="s">
        <v>9526</v>
      </c>
      <c r="K284" s="975" t="str">
        <f>IF(COUNTIFS(tblControles[Clave],tblControles[[#This Row],[Clave]])&gt;1,"Duplicado","")</f>
        <v/>
      </c>
    </row>
    <row r="285" spans="2:11">
      <c r="B285" s="975" t="str">
        <f>tblControles[[#This Row],[Fecha]]&amp;"|"&amp;tblControles[[#This Row],[Módulo]]&amp;"|"&amp;tblControles[[#This Row],[Ítem]]&amp;"|"&amp;tblControles[[#This Row],[Turno]]</f>
        <v>46266|FILTROS H2O|Filtro # 3|2 TURNO</v>
      </c>
      <c r="C285" s="871">
        <v>46266</v>
      </c>
      <c r="D285" t="s">
        <v>9430</v>
      </c>
      <c r="E285" t="s">
        <v>9464</v>
      </c>
      <c r="F285" t="s">
        <v>327</v>
      </c>
      <c r="G285" t="s">
        <v>3227</v>
      </c>
      <c r="H285" t="s">
        <v>9333</v>
      </c>
      <c r="I285" s="871">
        <v>46293.93683766204</v>
      </c>
      <c r="J285" t="s">
        <v>9526</v>
      </c>
      <c r="K285" s="975" t="str">
        <f>IF(COUNTIFS(tblControles[Clave],tblControles[[#This Row],[Clave]])&gt;1,"Duplicado","")</f>
        <v/>
      </c>
    </row>
    <row r="286" spans="2:11">
      <c r="B286" s="975" t="str">
        <f>tblControles[[#This Row],[Fecha]]&amp;"|"&amp;tblControles[[#This Row],[Módulo]]&amp;"|"&amp;tblControles[[#This Row],[Ítem]]&amp;"|"&amp;tblControles[[#This Row],[Turno]]</f>
        <v>46266|FILTROS H2O|Filtro # 4|2 TURNO</v>
      </c>
      <c r="C286" s="871">
        <v>46266</v>
      </c>
      <c r="D286" t="s">
        <v>9430</v>
      </c>
      <c r="E286" t="s">
        <v>9465</v>
      </c>
      <c r="F286" t="s">
        <v>327</v>
      </c>
      <c r="G286" t="s">
        <v>345</v>
      </c>
      <c r="H286" t="s">
        <v>9333</v>
      </c>
      <c r="I286" s="871">
        <v>46293.93683766204</v>
      </c>
      <c r="J286" t="s">
        <v>9526</v>
      </c>
      <c r="K286" s="975" t="str">
        <f>IF(COUNTIFS(tblControles[Clave],tblControles[[#This Row],[Clave]])&gt;1,"Duplicado","")</f>
        <v/>
      </c>
    </row>
    <row r="287" spans="2:11">
      <c r="B287" s="975" t="str">
        <f>tblControles[[#This Row],[Fecha]]&amp;"|"&amp;tblControles[[#This Row],[Módulo]]&amp;"|"&amp;tblControles[[#This Row],[Ítem]]&amp;"|"&amp;tblControles[[#This Row],[Turno]]</f>
        <v>46266|FILTROS H2O|Filtro # 5|2 TURNO</v>
      </c>
      <c r="C287" s="871">
        <v>46266</v>
      </c>
      <c r="D287" t="s">
        <v>9430</v>
      </c>
      <c r="E287" t="s">
        <v>9466</v>
      </c>
      <c r="F287" t="s">
        <v>327</v>
      </c>
      <c r="G287" t="s">
        <v>3227</v>
      </c>
      <c r="H287" t="s">
        <v>9333</v>
      </c>
      <c r="I287" s="871">
        <v>46293.93683766204</v>
      </c>
      <c r="J287" t="s">
        <v>9526</v>
      </c>
      <c r="K287" s="975" t="str">
        <f>IF(COUNTIFS(tblControles[Clave],tblControles[[#This Row],[Clave]])&gt;1,"Duplicado","")</f>
        <v/>
      </c>
    </row>
    <row r="288" spans="2:11">
      <c r="B288" s="975" t="str">
        <f>tblControles[[#This Row],[Fecha]]&amp;"|"&amp;tblControles[[#This Row],[Módulo]]&amp;"|"&amp;tblControles[[#This Row],[Ítem]]&amp;"|"&amp;tblControles[[#This Row],[Turno]]</f>
        <v>46266|FILTROS H2O|Filtro Linea # 5|2 TURNO</v>
      </c>
      <c r="C288" s="871">
        <v>46266</v>
      </c>
      <c r="D288" t="s">
        <v>9430</v>
      </c>
      <c r="E288" t="s">
        <v>331</v>
      </c>
      <c r="F288" t="s">
        <v>327</v>
      </c>
      <c r="G288" t="s">
        <v>3227</v>
      </c>
      <c r="H288" t="s">
        <v>9333</v>
      </c>
      <c r="I288" s="871">
        <v>46293.93683766204</v>
      </c>
      <c r="J288" t="s">
        <v>9526</v>
      </c>
      <c r="K288" s="975" t="str">
        <f>IF(COUNTIFS(tblControles[Clave],tblControles[[#This Row],[Clave]])&gt;1,"Duplicado","")</f>
        <v/>
      </c>
    </row>
    <row r="289" spans="2:11">
      <c r="B289" s="975" t="str">
        <f>tblControles[[#This Row],[Fecha]]&amp;"|"&amp;tblControles[[#This Row],[Módulo]]&amp;"|"&amp;tblControles[[#This Row],[Ítem]]&amp;"|"&amp;tblControles[[#This Row],[Turno]]</f>
        <v>46266|FILTROS H2O|Filtro Linea # 6|2 TURNO</v>
      </c>
      <c r="C289" s="871">
        <v>46266</v>
      </c>
      <c r="D289" t="s">
        <v>9430</v>
      </c>
      <c r="E289" t="s">
        <v>332</v>
      </c>
      <c r="F289" t="s">
        <v>327</v>
      </c>
      <c r="G289" t="s">
        <v>3227</v>
      </c>
      <c r="H289" t="s">
        <v>9333</v>
      </c>
      <c r="I289" s="871">
        <v>46293.93683766204</v>
      </c>
      <c r="J289" t="s">
        <v>9526</v>
      </c>
      <c r="K289" s="975" t="str">
        <f>IF(COUNTIFS(tblControles[Clave],tblControles[[#This Row],[Clave]])&gt;1,"Duplicado","")</f>
        <v/>
      </c>
    </row>
    <row r="290" spans="2:11">
      <c r="B290" s="975" t="str">
        <f>tblControles[[#This Row],[Fecha]]&amp;"|"&amp;tblControles[[#This Row],[Módulo]]&amp;"|"&amp;tblControles[[#This Row],[Ítem]]&amp;"|"&amp;tblControles[[#This Row],[Turno]]</f>
        <v>46266|FILTROS H2O|Filtro Linea # 7|2 TURNO</v>
      </c>
      <c r="C290" s="871">
        <v>46266</v>
      </c>
      <c r="D290" t="s">
        <v>9430</v>
      </c>
      <c r="E290" t="s">
        <v>9467</v>
      </c>
      <c r="F290" t="s">
        <v>327</v>
      </c>
      <c r="G290" t="s">
        <v>3227</v>
      </c>
      <c r="H290" t="s">
        <v>9333</v>
      </c>
      <c r="I290" s="871">
        <v>46293.93683766204</v>
      </c>
      <c r="J290" t="s">
        <v>9526</v>
      </c>
      <c r="K290" s="975" t="str">
        <f>IF(COUNTIFS(tblControles[Clave],tblControles[[#This Row],[Clave]])&gt;1,"Duplicado","")</f>
        <v/>
      </c>
    </row>
    <row r="291" spans="2:11">
      <c r="B291" s="975" t="str">
        <f>tblControles[[#This Row],[Fecha]]&amp;"|"&amp;tblControles[[#This Row],[Módulo]]&amp;"|"&amp;tblControles[[#This Row],[Ítem]]&amp;"|"&amp;tblControles[[#This Row],[Turno]]</f>
        <v>46266|FILTROS H2O|Filtro Linea # 8|2 TURNO</v>
      </c>
      <c r="C291" s="871">
        <v>46266</v>
      </c>
      <c r="D291" t="s">
        <v>9430</v>
      </c>
      <c r="E291" t="s">
        <v>9468</v>
      </c>
      <c r="F291" t="s">
        <v>327</v>
      </c>
      <c r="G291" t="s">
        <v>345</v>
      </c>
      <c r="H291" t="s">
        <v>9333</v>
      </c>
      <c r="I291" s="871">
        <v>46293.93683766204</v>
      </c>
      <c r="J291" t="s">
        <v>9526</v>
      </c>
      <c r="K291" s="975" t="str">
        <f>IF(COUNTIFS(tblControles[Clave],tblControles[[#This Row],[Clave]])&gt;1,"Duplicado","")</f>
        <v/>
      </c>
    </row>
    <row r="292" spans="2:11">
      <c r="B292" s="975" t="str">
        <f>tblControles[[#This Row],[Fecha]]&amp;"|"&amp;tblControles[[#This Row],[Módulo]]&amp;"|"&amp;tblControles[[#This Row],[Ítem]]&amp;"|"&amp;tblControles[[#This Row],[Turno]]</f>
        <v>46266|FILTROS H2O|Filtro Linea # 9 (01)|2 TURNO</v>
      </c>
      <c r="C292" s="871">
        <v>46266</v>
      </c>
      <c r="D292" t="s">
        <v>9430</v>
      </c>
      <c r="E292" t="s">
        <v>9469</v>
      </c>
      <c r="F292" t="s">
        <v>327</v>
      </c>
      <c r="G292" t="s">
        <v>3227</v>
      </c>
      <c r="H292" t="s">
        <v>9333</v>
      </c>
      <c r="I292" s="871">
        <v>46293.93683766204</v>
      </c>
      <c r="J292" t="s">
        <v>9526</v>
      </c>
      <c r="K292" s="975" t="str">
        <f>IF(COUNTIFS(tblControles[Clave],tblControles[[#This Row],[Clave]])&gt;1,"Duplicado","")</f>
        <v/>
      </c>
    </row>
    <row r="293" spans="2:11">
      <c r="B293" s="975" t="str">
        <f>tblControles[[#This Row],[Fecha]]&amp;"|"&amp;tblControles[[#This Row],[Módulo]]&amp;"|"&amp;tblControles[[#This Row],[Ítem]]&amp;"|"&amp;tblControles[[#This Row],[Turno]]</f>
        <v>46266|FILTROS H2O|Filtro Linea # 9 (02)|2 TURNO</v>
      </c>
      <c r="C293" s="871">
        <v>46266</v>
      </c>
      <c r="D293" t="s">
        <v>9430</v>
      </c>
      <c r="E293" t="s">
        <v>9470</v>
      </c>
      <c r="F293" t="s">
        <v>327</v>
      </c>
      <c r="G293" t="s">
        <v>345</v>
      </c>
      <c r="H293" t="s">
        <v>9333</v>
      </c>
      <c r="I293" s="871">
        <v>46293.93683766204</v>
      </c>
      <c r="J293" t="s">
        <v>9526</v>
      </c>
      <c r="K293" s="975" t="str">
        <f>IF(COUNTIFS(tblControles[Clave],tblControles[[#This Row],[Clave]])&gt;1,"Duplicado","")</f>
        <v/>
      </c>
    </row>
    <row r="294" spans="2:11">
      <c r="B294" s="975" t="str">
        <f>tblControles[[#This Row],[Fecha]]&amp;"|"&amp;tblControles[[#This Row],[Módulo]]&amp;"|"&amp;tblControles[[#This Row],[Ítem]]&amp;"|"&amp;tblControles[[#This Row],[Turno]]</f>
        <v>46266|REACTIVOS|Ácido oxálico|Turno día (12 h)</v>
      </c>
      <c r="C294" s="871">
        <v>46266</v>
      </c>
      <c r="D294" t="s">
        <v>9444</v>
      </c>
      <c r="E294" t="s">
        <v>9508</v>
      </c>
      <c r="F294" t="s">
        <v>9446</v>
      </c>
      <c r="G294">
        <v>20000</v>
      </c>
      <c r="H294" t="s">
        <v>9333</v>
      </c>
      <c r="I294" s="871">
        <v>46293.93683766204</v>
      </c>
      <c r="J294" t="s">
        <v>9527</v>
      </c>
      <c r="K294" s="975" t="str">
        <f>IF(COUNTIFS(tblControles[Clave],tblControles[[#This Row],[Clave]])&gt;1,"Duplicado","")</f>
        <v/>
      </c>
    </row>
    <row r="295" spans="2:11">
      <c r="B295" s="975" t="str">
        <f>tblControles[[#This Row],[Fecha]]&amp;"|"&amp;tblControles[[#This Row],[Módulo]]&amp;"|"&amp;tblControles[[#This Row],[Ítem]]&amp;"|"&amp;tblControles[[#This Row],[Turno]]</f>
        <v>46266|REACTIVOS|Ácido oxálico|Turno noche (12 h)</v>
      </c>
      <c r="C295" s="871">
        <v>46266</v>
      </c>
      <c r="D295" t="s">
        <v>9444</v>
      </c>
      <c r="E295" t="s">
        <v>9508</v>
      </c>
      <c r="F295" t="s">
        <v>9447</v>
      </c>
      <c r="G295">
        <v>16000</v>
      </c>
      <c r="H295" t="s">
        <v>9333</v>
      </c>
      <c r="I295" s="871">
        <v>46293.93683766204</v>
      </c>
      <c r="J295" t="s">
        <v>9527</v>
      </c>
      <c r="K295" s="975" t="str">
        <f>IF(COUNTIFS(tblControles[Clave],tblControles[[#This Row],[Clave]])&gt;1,"Duplicado","")</f>
        <v/>
      </c>
    </row>
    <row r="296" spans="2:11">
      <c r="B296" s="975" t="str">
        <f>tblControles[[#This Row],[Fecha]]&amp;"|"&amp;tblControles[[#This Row],[Módulo]]&amp;"|"&amp;tblControles[[#This Row],[Ítem]]&amp;"|"&amp;tblControles[[#This Row],[Turno]]</f>
        <v>46266|REACTIVOS|Xantato|Turno día (12 h)</v>
      </c>
      <c r="C296" s="871">
        <v>46266</v>
      </c>
      <c r="D296" t="s">
        <v>9444</v>
      </c>
      <c r="E296" t="s">
        <v>9511</v>
      </c>
      <c r="F296" t="s">
        <v>9446</v>
      </c>
      <c r="G296">
        <v>3800</v>
      </c>
      <c r="H296" t="s">
        <v>9333</v>
      </c>
      <c r="I296" s="871">
        <v>46293.93683766204</v>
      </c>
      <c r="J296" t="s">
        <v>9527</v>
      </c>
      <c r="K296" s="975" t="str">
        <f>IF(COUNTIFS(tblControles[Clave],tblControles[[#This Row],[Clave]])&gt;1,"Duplicado","")</f>
        <v/>
      </c>
    </row>
    <row r="297" spans="2:11">
      <c r="B297" s="975" t="str">
        <f>tblControles[[#This Row],[Fecha]]&amp;"|"&amp;tblControles[[#This Row],[Módulo]]&amp;"|"&amp;tblControles[[#This Row],[Ítem]]&amp;"|"&amp;tblControles[[#This Row],[Turno]]</f>
        <v>46266|REACTIVOS|Xantato|Turno noche (12 h)</v>
      </c>
      <c r="C297" s="871">
        <v>46266</v>
      </c>
      <c r="D297" t="s">
        <v>9444</v>
      </c>
      <c r="E297" t="s">
        <v>9511</v>
      </c>
      <c r="F297" t="s">
        <v>9447</v>
      </c>
      <c r="G297">
        <v>3850</v>
      </c>
      <c r="H297" t="s">
        <v>9333</v>
      </c>
      <c r="I297" s="871">
        <v>46293.93683766204</v>
      </c>
      <c r="J297" t="s">
        <v>9527</v>
      </c>
      <c r="K297" s="975" t="str">
        <f>IF(COUNTIFS(tblControles[Clave],tblControles[[#This Row],[Clave]])&gt;1,"Duplicado","")</f>
        <v/>
      </c>
    </row>
    <row r="298" spans="2:11">
      <c r="B298" s="975" t="str">
        <f>tblControles[[#This Row],[Fecha]]&amp;"|"&amp;tblControles[[#This Row],[Módulo]]&amp;"|"&amp;tblControles[[#This Row],[Ítem]]&amp;"|"&amp;tblControles[[#This Row],[Turno]]</f>
        <v>46266|REACTIVOS|Espumante|Consumo día</v>
      </c>
      <c r="C298" s="871">
        <v>46266</v>
      </c>
      <c r="D298" t="s">
        <v>9444</v>
      </c>
      <c r="E298" t="s">
        <v>9513</v>
      </c>
      <c r="F298" t="s">
        <v>9870</v>
      </c>
      <c r="G298">
        <v>3000</v>
      </c>
      <c r="H298" t="s">
        <v>9333</v>
      </c>
      <c r="I298" s="871">
        <v>46293.93683766204</v>
      </c>
      <c r="J298" t="s">
        <v>9527</v>
      </c>
      <c r="K298" s="975" t="str">
        <f>IF(COUNTIFS(tblControles[Clave],tblControles[[#This Row],[Clave]])&gt;1,"Duplicado","")</f>
        <v/>
      </c>
    </row>
    <row r="299" spans="2:11">
      <c r="B299" s="975" t="str">
        <f>tblControles[[#This Row],[Fecha]]&amp;"|"&amp;tblControles[[#This Row],[Módulo]]&amp;"|"&amp;tblControles[[#This Row],[Ítem]]&amp;"|"&amp;tblControles[[#This Row],[Turno]]</f>
        <v>46266|TONELADAS X TURNO|Molino barras 1|1° turno</v>
      </c>
      <c r="C299" s="871">
        <v>46266</v>
      </c>
      <c r="D299" t="s">
        <v>9449</v>
      </c>
      <c r="E299" t="s">
        <v>387</v>
      </c>
      <c r="F299" t="s">
        <v>396</v>
      </c>
      <c r="G299">
        <v>495</v>
      </c>
      <c r="H299" t="s">
        <v>9333</v>
      </c>
      <c r="I299" s="871">
        <v>46293.93683766204</v>
      </c>
      <c r="J299" t="s">
        <v>9528</v>
      </c>
      <c r="K299" s="975" t="str">
        <f>IF(COUNTIFS(tblControles[Clave],tblControles[[#This Row],[Clave]])&gt;1,"Duplicado","")</f>
        <v/>
      </c>
    </row>
    <row r="300" spans="2:11">
      <c r="B300" s="975" t="str">
        <f>tblControles[[#This Row],[Fecha]]&amp;"|"&amp;tblControles[[#This Row],[Módulo]]&amp;"|"&amp;tblControles[[#This Row],[Ítem]]&amp;"|"&amp;tblControles[[#This Row],[Turno]]</f>
        <v>46266|TONELADAS X TURNO|Molino barras 1|2° turno</v>
      </c>
      <c r="C300" s="871">
        <v>46266</v>
      </c>
      <c r="D300" t="s">
        <v>9449</v>
      </c>
      <c r="E300" t="s">
        <v>387</v>
      </c>
      <c r="F300" t="s">
        <v>397</v>
      </c>
      <c r="G300">
        <v>156</v>
      </c>
      <c r="H300" t="s">
        <v>9333</v>
      </c>
      <c r="I300" s="871">
        <v>46293.93683766204</v>
      </c>
      <c r="J300" t="s">
        <v>9528</v>
      </c>
      <c r="K300" s="975" t="str">
        <f>IF(COUNTIFS(tblControles[Clave],tblControles[[#This Row],[Clave]])&gt;1,"Duplicado","")</f>
        <v/>
      </c>
    </row>
    <row r="301" spans="2:11">
      <c r="B301" s="975" t="str">
        <f>tblControles[[#This Row],[Fecha]]&amp;"|"&amp;tblControles[[#This Row],[Módulo]]&amp;"|"&amp;tblControles[[#This Row],[Ítem]]&amp;"|"&amp;tblControles[[#This Row],[Turno]]</f>
        <v>46266|TONELADAS X TURNO|Molino barras 1|3° turno</v>
      </c>
      <c r="C301" s="871">
        <v>46266</v>
      </c>
      <c r="D301" t="s">
        <v>9449</v>
      </c>
      <c r="E301" t="s">
        <v>387</v>
      </c>
      <c r="F301" t="s">
        <v>398</v>
      </c>
      <c r="G301">
        <v>1554</v>
      </c>
      <c r="H301" t="s">
        <v>9333</v>
      </c>
      <c r="I301" s="871">
        <v>46293.93683766204</v>
      </c>
      <c r="J301" t="s">
        <v>9528</v>
      </c>
      <c r="K301" s="975" t="str">
        <f>IF(COUNTIFS(tblControles[Clave],tblControles[[#This Row],[Clave]])&gt;1,"Duplicado","")</f>
        <v/>
      </c>
    </row>
    <row r="302" spans="2:11">
      <c r="B302" s="975" t="str">
        <f>tblControles[[#This Row],[Fecha]]&amp;"|"&amp;tblControles[[#This Row],[Módulo]]&amp;"|"&amp;tblControles[[#This Row],[Ítem]]&amp;"|"&amp;tblControles[[#This Row],[Turno]]</f>
        <v>46266|TONELADAS X TURNO|Molino barras 2|1° turno</v>
      </c>
      <c r="C302" s="871">
        <v>46266</v>
      </c>
      <c r="D302" t="s">
        <v>9449</v>
      </c>
      <c r="E302" t="s">
        <v>388</v>
      </c>
      <c r="F302" t="s">
        <v>396</v>
      </c>
      <c r="G302">
        <v>1230</v>
      </c>
      <c r="H302" t="s">
        <v>9333</v>
      </c>
      <c r="I302" s="871">
        <v>46293.93683766204</v>
      </c>
      <c r="J302" t="s">
        <v>9528</v>
      </c>
      <c r="K302" s="975" t="str">
        <f>IF(COUNTIFS(tblControles[Clave],tblControles[[#This Row],[Clave]])&gt;1,"Duplicado","")</f>
        <v/>
      </c>
    </row>
    <row r="303" spans="2:11">
      <c r="B303" s="975" t="str">
        <f>tblControles[[#This Row],[Fecha]]&amp;"|"&amp;tblControles[[#This Row],[Módulo]]&amp;"|"&amp;tblControles[[#This Row],[Ítem]]&amp;"|"&amp;tblControles[[#This Row],[Turno]]</f>
        <v>46266|TONELADAS X TURNO|Molino barras 2|2° turno</v>
      </c>
      <c r="C303" s="871">
        <v>46266</v>
      </c>
      <c r="D303" t="s">
        <v>9449</v>
      </c>
      <c r="E303" t="s">
        <v>388</v>
      </c>
      <c r="F303" t="s">
        <v>397</v>
      </c>
      <c r="G303">
        <v>1170</v>
      </c>
      <c r="H303" t="s">
        <v>9333</v>
      </c>
      <c r="I303" s="871">
        <v>46293.93683766204</v>
      </c>
      <c r="J303" t="s">
        <v>9528</v>
      </c>
      <c r="K303" s="975" t="str">
        <f>IF(COUNTIFS(tblControles[Clave],tblControles[[#This Row],[Clave]])&gt;1,"Duplicado","")</f>
        <v/>
      </c>
    </row>
    <row r="304" spans="2:11">
      <c r="B304" s="975" t="str">
        <f>tblControles[[#This Row],[Fecha]]&amp;"|"&amp;tblControles[[#This Row],[Módulo]]&amp;"|"&amp;tblControles[[#This Row],[Ítem]]&amp;"|"&amp;tblControles[[#This Row],[Turno]]</f>
        <v>46266|TONELADAS X TURNO|Molino barras 2|3° turno</v>
      </c>
      <c r="C304" s="871">
        <v>46266</v>
      </c>
      <c r="D304" t="s">
        <v>9449</v>
      </c>
      <c r="E304" t="s">
        <v>388</v>
      </c>
      <c r="F304" t="s">
        <v>398</v>
      </c>
      <c r="G304">
        <v>0</v>
      </c>
      <c r="H304" t="s">
        <v>9333</v>
      </c>
      <c r="I304" s="871">
        <v>46293.93683766204</v>
      </c>
      <c r="J304" t="s">
        <v>9528</v>
      </c>
      <c r="K304" s="975" t="str">
        <f>IF(COUNTIFS(tblControles[Clave],tblControles[[#This Row],[Clave]])&gt;1,"Duplicado","")</f>
        <v/>
      </c>
    </row>
    <row r="305" spans="2:11">
      <c r="B305" s="975" t="str">
        <f>tblControles[[#This Row],[Fecha]]&amp;"|"&amp;tblControles[[#This Row],[Módulo]]&amp;"|"&amp;tblControles[[#This Row],[Ítem]]&amp;"|"&amp;tblControles[[#This Row],[Turno]]</f>
        <v>46266|TONELADAS X TURNO|Molino barras 3|1° turno</v>
      </c>
      <c r="C305" s="871">
        <v>46266</v>
      </c>
      <c r="D305" t="s">
        <v>9449</v>
      </c>
      <c r="E305" t="s">
        <v>389</v>
      </c>
      <c r="F305" t="s">
        <v>396</v>
      </c>
      <c r="G305">
        <v>1620</v>
      </c>
      <c r="H305" t="s">
        <v>9333</v>
      </c>
      <c r="I305" s="871">
        <v>46293.93683766204</v>
      </c>
      <c r="J305" t="s">
        <v>9528</v>
      </c>
      <c r="K305" s="975" t="str">
        <f>IF(COUNTIFS(tblControles[Clave],tblControles[[#This Row],[Clave]])&gt;1,"Duplicado","")</f>
        <v/>
      </c>
    </row>
    <row r="306" spans="2:11">
      <c r="B306" s="975" t="str">
        <f>tblControles[[#This Row],[Fecha]]&amp;"|"&amp;tblControles[[#This Row],[Módulo]]&amp;"|"&amp;tblControles[[#This Row],[Ítem]]&amp;"|"&amp;tblControles[[#This Row],[Turno]]</f>
        <v>46266|TONELADAS X TURNO|Molino barras 3|2° turno</v>
      </c>
      <c r="C306" s="871">
        <v>46266</v>
      </c>
      <c r="D306" t="s">
        <v>9449</v>
      </c>
      <c r="E306" t="s">
        <v>389</v>
      </c>
      <c r="F306" t="s">
        <v>397</v>
      </c>
      <c r="G306">
        <v>1370</v>
      </c>
      <c r="H306" t="s">
        <v>9333</v>
      </c>
      <c r="I306" s="871">
        <v>46293.93683766204</v>
      </c>
      <c r="J306" t="s">
        <v>9528</v>
      </c>
      <c r="K306" s="975" t="str">
        <f>IF(COUNTIFS(tblControles[Clave],tblControles[[#This Row],[Clave]])&gt;1,"Duplicado","")</f>
        <v/>
      </c>
    </row>
    <row r="307" spans="2:11">
      <c r="B307" s="975" t="str">
        <f>tblControles[[#This Row],[Fecha]]&amp;"|"&amp;tblControles[[#This Row],[Módulo]]&amp;"|"&amp;tblControles[[#This Row],[Ítem]]&amp;"|"&amp;tblControles[[#This Row],[Turno]]</f>
        <v>46266|TONELADAS X TURNO|Molino barras 3|3° turno</v>
      </c>
      <c r="C307" s="871">
        <v>46266</v>
      </c>
      <c r="D307" t="s">
        <v>9449</v>
      </c>
      <c r="E307" t="s">
        <v>389</v>
      </c>
      <c r="F307" t="s">
        <v>398</v>
      </c>
      <c r="G307">
        <v>1540</v>
      </c>
      <c r="H307" t="s">
        <v>9333</v>
      </c>
      <c r="I307" s="871">
        <v>46293.93683766204</v>
      </c>
      <c r="J307" t="s">
        <v>9528</v>
      </c>
      <c r="K307" s="975" t="str">
        <f>IF(COUNTIFS(tblControles[Clave],tblControles[[#This Row],[Clave]])&gt;1,"Duplicado","")</f>
        <v/>
      </c>
    </row>
    <row r="308" spans="2:11">
      <c r="B308" s="975" t="str">
        <f>tblControles[[#This Row],[Fecha]]&amp;"|"&amp;tblControles[[#This Row],[Módulo]]&amp;"|"&amp;tblControles[[#This Row],[Ítem]]&amp;"|"&amp;tblControles[[#This Row],[Turno]]</f>
        <v>46266|TONELADAS X TURNO|Molino barras 4|1° turno</v>
      </c>
      <c r="C308" s="871">
        <v>46266</v>
      </c>
      <c r="D308" t="s">
        <v>9449</v>
      </c>
      <c r="E308" t="s">
        <v>390</v>
      </c>
      <c r="F308" t="s">
        <v>396</v>
      </c>
      <c r="G308">
        <v>1306</v>
      </c>
      <c r="H308" t="s">
        <v>9333</v>
      </c>
      <c r="I308" s="871">
        <v>46293.93683766204</v>
      </c>
      <c r="J308" t="s">
        <v>9528</v>
      </c>
      <c r="K308" s="975" t="str">
        <f>IF(COUNTIFS(tblControles[Clave],tblControles[[#This Row],[Clave]])&gt;1,"Duplicado","")</f>
        <v/>
      </c>
    </row>
    <row r="309" spans="2:11">
      <c r="B309" s="975" t="str">
        <f>tblControles[[#This Row],[Fecha]]&amp;"|"&amp;tblControles[[#This Row],[Módulo]]&amp;"|"&amp;tblControles[[#This Row],[Ítem]]&amp;"|"&amp;tblControles[[#This Row],[Turno]]</f>
        <v>46266|TONELADAS X TURNO|Molino barras 4|2° turno</v>
      </c>
      <c r="C309" s="871">
        <v>46266</v>
      </c>
      <c r="D309" t="s">
        <v>9449</v>
      </c>
      <c r="E309" t="s">
        <v>390</v>
      </c>
      <c r="F309" t="s">
        <v>397</v>
      </c>
      <c r="G309">
        <v>1051</v>
      </c>
      <c r="H309" t="s">
        <v>9333</v>
      </c>
      <c r="I309" s="871">
        <v>46293.93683766204</v>
      </c>
      <c r="J309" t="s">
        <v>9528</v>
      </c>
      <c r="K309" s="975" t="str">
        <f>IF(COUNTIFS(tblControles[Clave],tblControles[[#This Row],[Clave]])&gt;1,"Duplicado","")</f>
        <v/>
      </c>
    </row>
    <row r="310" spans="2:11">
      <c r="B310" s="975" t="str">
        <f>tblControles[[#This Row],[Fecha]]&amp;"|"&amp;tblControles[[#This Row],[Módulo]]&amp;"|"&amp;tblControles[[#This Row],[Ítem]]&amp;"|"&amp;tblControles[[#This Row],[Turno]]</f>
        <v>46266|TONELADAS X TURNO|Molino barras 4|3° turno</v>
      </c>
      <c r="C310" s="871">
        <v>46266</v>
      </c>
      <c r="D310" t="s">
        <v>9449</v>
      </c>
      <c r="E310" t="s">
        <v>390</v>
      </c>
      <c r="F310" t="s">
        <v>398</v>
      </c>
      <c r="G310">
        <v>1186</v>
      </c>
      <c r="H310" t="s">
        <v>9333</v>
      </c>
      <c r="I310" s="871">
        <v>46293.93683766204</v>
      </c>
      <c r="J310" t="s">
        <v>9528</v>
      </c>
      <c r="K310" s="975" t="str">
        <f>IF(COUNTIFS(tblControles[Clave],tblControles[[#This Row],[Clave]])&gt;1,"Duplicado","")</f>
        <v/>
      </c>
    </row>
    <row r="311" spans="2:11">
      <c r="B311" s="975" t="str">
        <f>tblControles[[#This Row],[Fecha]]&amp;"|"&amp;tblControles[[#This Row],[Módulo]]&amp;"|"&amp;tblControles[[#This Row],[Ítem]]&amp;"|"&amp;tblControles[[#This Row],[Turno]]</f>
        <v>46266|TONELADAS X TURNO|Molino barras 5|1° turno</v>
      </c>
      <c r="C311" s="871">
        <v>46266</v>
      </c>
      <c r="D311" t="s">
        <v>9449</v>
      </c>
      <c r="E311" t="s">
        <v>391</v>
      </c>
      <c r="F311" t="s">
        <v>396</v>
      </c>
      <c r="G311">
        <v>1566</v>
      </c>
      <c r="H311" t="s">
        <v>9333</v>
      </c>
      <c r="I311" s="871">
        <v>46293.93683766204</v>
      </c>
      <c r="J311" t="s">
        <v>9528</v>
      </c>
      <c r="K311" s="975" t="str">
        <f>IF(COUNTIFS(tblControles[Clave],tblControles[[#This Row],[Clave]])&gt;1,"Duplicado","")</f>
        <v/>
      </c>
    </row>
    <row r="312" spans="2:11">
      <c r="B312" s="975" t="str">
        <f>tblControles[[#This Row],[Fecha]]&amp;"|"&amp;tblControles[[#This Row],[Módulo]]&amp;"|"&amp;tblControles[[#This Row],[Ítem]]&amp;"|"&amp;tblControles[[#This Row],[Turno]]</f>
        <v>46266|TONELADAS X TURNO|Molino barras 5|2° turno</v>
      </c>
      <c r="C312" s="871">
        <v>46266</v>
      </c>
      <c r="D312" t="s">
        <v>9449</v>
      </c>
      <c r="E312" t="s">
        <v>391</v>
      </c>
      <c r="F312" t="s">
        <v>397</v>
      </c>
      <c r="G312">
        <v>1581</v>
      </c>
      <c r="H312" t="s">
        <v>9333</v>
      </c>
      <c r="I312" s="871">
        <v>46293.93683766204</v>
      </c>
      <c r="J312" t="s">
        <v>9528</v>
      </c>
      <c r="K312" s="975" t="str">
        <f>IF(COUNTIFS(tblControles[Clave],tblControles[[#This Row],[Clave]])&gt;1,"Duplicado","")</f>
        <v/>
      </c>
    </row>
    <row r="313" spans="2:11">
      <c r="B313" s="975" t="str">
        <f>tblControles[[#This Row],[Fecha]]&amp;"|"&amp;tblControles[[#This Row],[Módulo]]&amp;"|"&amp;tblControles[[#This Row],[Ítem]]&amp;"|"&amp;tblControles[[#This Row],[Turno]]</f>
        <v>46266|TONELADAS X TURNO|Molino barras 5|3° turno</v>
      </c>
      <c r="C313" s="871">
        <v>46266</v>
      </c>
      <c r="D313" t="s">
        <v>9449</v>
      </c>
      <c r="E313" t="s">
        <v>391</v>
      </c>
      <c r="F313" t="s">
        <v>398</v>
      </c>
      <c r="G313">
        <v>1568</v>
      </c>
      <c r="H313" t="s">
        <v>9333</v>
      </c>
      <c r="I313" s="871">
        <v>46293.93683766204</v>
      </c>
      <c r="J313" t="s">
        <v>9528</v>
      </c>
      <c r="K313" s="975" t="str">
        <f>IF(COUNTIFS(tblControles[Clave],tblControles[[#This Row],[Clave]])&gt;1,"Duplicado","")</f>
        <v/>
      </c>
    </row>
    <row r="314" spans="2:11">
      <c r="B314" s="975" t="str">
        <f>tblControles[[#This Row],[Fecha]]&amp;"|"&amp;tblControles[[#This Row],[Módulo]]&amp;"|"&amp;tblControles[[#This Row],[Ítem]]&amp;"|"&amp;tblControles[[#This Row],[Turno]]</f>
        <v>46266|TONELADAS X TURNO|Molino barras 6|1° turno</v>
      </c>
      <c r="C314" s="871">
        <v>46266</v>
      </c>
      <c r="D314" t="s">
        <v>9449</v>
      </c>
      <c r="E314" t="s">
        <v>392</v>
      </c>
      <c r="F314" t="s">
        <v>396</v>
      </c>
      <c r="G314">
        <v>1582</v>
      </c>
      <c r="H314" t="s">
        <v>9333</v>
      </c>
      <c r="I314" s="871">
        <v>46293.93683766204</v>
      </c>
      <c r="J314" t="s">
        <v>9528</v>
      </c>
      <c r="K314" s="975" t="str">
        <f>IF(COUNTIFS(tblControles[Clave],tblControles[[#This Row],[Clave]])&gt;1,"Duplicado","")</f>
        <v/>
      </c>
    </row>
    <row r="315" spans="2:11">
      <c r="B315" s="975" t="str">
        <f>tblControles[[#This Row],[Fecha]]&amp;"|"&amp;tblControles[[#This Row],[Módulo]]&amp;"|"&amp;tblControles[[#This Row],[Ítem]]&amp;"|"&amp;tblControles[[#This Row],[Turno]]</f>
        <v>46266|TONELADAS X TURNO|Molino barras 6|2° turno</v>
      </c>
      <c r="C315" s="871">
        <v>46266</v>
      </c>
      <c r="D315" t="s">
        <v>9449</v>
      </c>
      <c r="E315" t="s">
        <v>392</v>
      </c>
      <c r="F315" t="s">
        <v>397</v>
      </c>
      <c r="G315">
        <v>1648</v>
      </c>
      <c r="H315" t="s">
        <v>9333</v>
      </c>
      <c r="I315" s="871">
        <v>46293.93683766204</v>
      </c>
      <c r="J315" t="s">
        <v>9528</v>
      </c>
      <c r="K315" s="975" t="str">
        <f>IF(COUNTIFS(tblControles[Clave],tblControles[[#This Row],[Clave]])&gt;1,"Duplicado","")</f>
        <v/>
      </c>
    </row>
    <row r="316" spans="2:11">
      <c r="B316" s="975" t="str">
        <f>tblControles[[#This Row],[Fecha]]&amp;"|"&amp;tblControles[[#This Row],[Módulo]]&amp;"|"&amp;tblControles[[#This Row],[Ítem]]&amp;"|"&amp;tblControles[[#This Row],[Turno]]</f>
        <v>46266|TONELADAS X TURNO|Molino barras 6|3° turno</v>
      </c>
      <c r="C316" s="871">
        <v>46266</v>
      </c>
      <c r="D316" t="s">
        <v>9449</v>
      </c>
      <c r="E316" t="s">
        <v>392</v>
      </c>
      <c r="F316" t="s">
        <v>398</v>
      </c>
      <c r="G316">
        <v>1482</v>
      </c>
      <c r="H316" t="s">
        <v>9333</v>
      </c>
      <c r="I316" s="871">
        <v>46293.93683766204</v>
      </c>
      <c r="J316" t="s">
        <v>9528</v>
      </c>
      <c r="K316" s="975" t="str">
        <f>IF(COUNTIFS(tblControles[Clave],tblControles[[#This Row],[Clave]])&gt;1,"Duplicado","")</f>
        <v/>
      </c>
    </row>
    <row r="317" spans="2:11">
      <c r="B317" s="975" t="str">
        <f>tblControles[[#This Row],[Fecha]]&amp;"|"&amp;tblControles[[#This Row],[Módulo]]&amp;"|"&amp;tblControles[[#This Row],[Ítem]]&amp;"|"&amp;tblControles[[#This Row],[Turno]]</f>
        <v>46266|TONELADAS X TURNO|Molino barras 7|1° turno</v>
      </c>
      <c r="C317" s="871">
        <v>46266</v>
      </c>
      <c r="D317" t="s">
        <v>9449</v>
      </c>
      <c r="E317" t="s">
        <v>393</v>
      </c>
      <c r="F317" t="s">
        <v>396</v>
      </c>
      <c r="G317">
        <v>1532</v>
      </c>
      <c r="H317" t="s">
        <v>9333</v>
      </c>
      <c r="I317" s="871">
        <v>46293.93683766204</v>
      </c>
      <c r="J317" t="s">
        <v>9528</v>
      </c>
      <c r="K317" s="975" t="str">
        <f>IF(COUNTIFS(tblControles[Clave],tblControles[[#This Row],[Clave]])&gt;1,"Duplicado","")</f>
        <v/>
      </c>
    </row>
    <row r="318" spans="2:11">
      <c r="B318" s="975" t="str">
        <f>tblControles[[#This Row],[Fecha]]&amp;"|"&amp;tblControles[[#This Row],[Módulo]]&amp;"|"&amp;tblControles[[#This Row],[Ítem]]&amp;"|"&amp;tblControles[[#This Row],[Turno]]</f>
        <v>46266|TONELADAS X TURNO|Molino barras 7|2° turno</v>
      </c>
      <c r="C318" s="871">
        <v>46266</v>
      </c>
      <c r="D318" t="s">
        <v>9449</v>
      </c>
      <c r="E318" t="s">
        <v>393</v>
      </c>
      <c r="F318" t="s">
        <v>397</v>
      </c>
      <c r="G318">
        <v>1618</v>
      </c>
      <c r="H318" t="s">
        <v>9333</v>
      </c>
      <c r="I318" s="871">
        <v>46293.93683766204</v>
      </c>
      <c r="J318" t="s">
        <v>9528</v>
      </c>
      <c r="K318" s="975" t="str">
        <f>IF(COUNTIFS(tblControles[Clave],tblControles[[#This Row],[Clave]])&gt;1,"Duplicado","")</f>
        <v/>
      </c>
    </row>
    <row r="319" spans="2:11">
      <c r="B319" s="975" t="str">
        <f>tblControles[[#This Row],[Fecha]]&amp;"|"&amp;tblControles[[#This Row],[Módulo]]&amp;"|"&amp;tblControles[[#This Row],[Ítem]]&amp;"|"&amp;tblControles[[#This Row],[Turno]]</f>
        <v>46266|TONELADAS X TURNO|Molino barras 7|3° turno</v>
      </c>
      <c r="C319" s="871">
        <v>46266</v>
      </c>
      <c r="D319" t="s">
        <v>9449</v>
      </c>
      <c r="E319" t="s">
        <v>393</v>
      </c>
      <c r="F319" t="s">
        <v>398</v>
      </c>
      <c r="G319">
        <v>1573</v>
      </c>
      <c r="H319" t="s">
        <v>9333</v>
      </c>
      <c r="I319" s="871">
        <v>46293.93683766204</v>
      </c>
      <c r="J319" t="s">
        <v>9528</v>
      </c>
      <c r="K319" s="975" t="str">
        <f>IF(COUNTIFS(tblControles[Clave],tblControles[[#This Row],[Clave]])&gt;1,"Duplicado","")</f>
        <v/>
      </c>
    </row>
    <row r="320" spans="2:11">
      <c r="B320" s="975" t="str">
        <f>tblControles[[#This Row],[Fecha]]&amp;"|"&amp;tblControles[[#This Row],[Módulo]]&amp;"|"&amp;tblControles[[#This Row],[Ítem]]&amp;"|"&amp;tblControles[[#This Row],[Turno]]</f>
        <v>46266|TONELADAS X TURNO|Molino barras 8|1° turno</v>
      </c>
      <c r="C320" s="871">
        <v>46266</v>
      </c>
      <c r="D320" t="s">
        <v>9449</v>
      </c>
      <c r="E320" t="s">
        <v>394</v>
      </c>
      <c r="F320" t="s">
        <v>396</v>
      </c>
      <c r="G320">
        <v>1573</v>
      </c>
      <c r="H320" t="s">
        <v>9333</v>
      </c>
      <c r="I320" s="871">
        <v>46293.93683766204</v>
      </c>
      <c r="J320" t="s">
        <v>9528</v>
      </c>
      <c r="K320" s="975" t="str">
        <f>IF(COUNTIFS(tblControles[Clave],tblControles[[#This Row],[Clave]])&gt;1,"Duplicado","")</f>
        <v/>
      </c>
    </row>
    <row r="321" spans="2:11">
      <c r="B321" s="975" t="str">
        <f>tblControles[[#This Row],[Fecha]]&amp;"|"&amp;tblControles[[#This Row],[Módulo]]&amp;"|"&amp;tblControles[[#This Row],[Ítem]]&amp;"|"&amp;tblControles[[#This Row],[Turno]]</f>
        <v>46266|TONELADAS X TURNO|Molino barras 8|2° turno</v>
      </c>
      <c r="C321" s="871">
        <v>46266</v>
      </c>
      <c r="D321" t="s">
        <v>9449</v>
      </c>
      <c r="E321" t="s">
        <v>394</v>
      </c>
      <c r="F321" t="s">
        <v>397</v>
      </c>
      <c r="G321">
        <v>1719</v>
      </c>
      <c r="H321" t="s">
        <v>9333</v>
      </c>
      <c r="I321" s="871">
        <v>46293.93683766204</v>
      </c>
      <c r="J321" t="s">
        <v>9528</v>
      </c>
      <c r="K321" s="975" t="str">
        <f>IF(COUNTIFS(tblControles[Clave],tblControles[[#This Row],[Clave]])&gt;1,"Duplicado","")</f>
        <v/>
      </c>
    </row>
    <row r="322" spans="2:11">
      <c r="B322" s="975" t="str">
        <f>tblControles[[#This Row],[Fecha]]&amp;"|"&amp;tblControles[[#This Row],[Módulo]]&amp;"|"&amp;tblControles[[#This Row],[Ítem]]&amp;"|"&amp;tblControles[[#This Row],[Turno]]</f>
        <v>46266|TONELADAS X TURNO|Molino barras 8|3° turno</v>
      </c>
      <c r="C322" s="871">
        <v>46266</v>
      </c>
      <c r="D322" t="s">
        <v>9449</v>
      </c>
      <c r="E322" t="s">
        <v>394</v>
      </c>
      <c r="F322" t="s">
        <v>398</v>
      </c>
      <c r="G322">
        <v>1519</v>
      </c>
      <c r="H322" t="s">
        <v>9333</v>
      </c>
      <c r="I322" s="871">
        <v>46293.93683766204</v>
      </c>
      <c r="J322" t="s">
        <v>9528</v>
      </c>
      <c r="K322" s="975" t="str">
        <f>IF(COUNTIFS(tblControles[Clave],tblControles[[#This Row],[Clave]])&gt;1,"Duplicado","")</f>
        <v/>
      </c>
    </row>
    <row r="323" spans="2:11">
      <c r="B323" s="975" t="str">
        <f>tblControles[[#This Row],[Fecha]]&amp;"|"&amp;tblControles[[#This Row],[Módulo]]&amp;"|"&amp;tblControles[[#This Row],[Ítem]]&amp;"|"&amp;tblControles[[#This Row],[Turno]]</f>
        <v>46266|TONELADAS X TURNO|Molino barras 9|1° turno</v>
      </c>
      <c r="C323" s="871">
        <v>46266</v>
      </c>
      <c r="D323" t="s">
        <v>9449</v>
      </c>
      <c r="E323" t="s">
        <v>395</v>
      </c>
      <c r="F323" t="s">
        <v>396</v>
      </c>
      <c r="G323">
        <v>2010</v>
      </c>
      <c r="H323" t="s">
        <v>9333</v>
      </c>
      <c r="I323" s="871">
        <v>46293.93683766204</v>
      </c>
      <c r="J323" t="s">
        <v>9528</v>
      </c>
      <c r="K323" s="975" t="str">
        <f>IF(COUNTIFS(tblControles[Clave],tblControles[[#This Row],[Clave]])&gt;1,"Duplicado","")</f>
        <v/>
      </c>
    </row>
    <row r="324" spans="2:11">
      <c r="B324" s="975" t="str">
        <f>tblControles[[#This Row],[Fecha]]&amp;"|"&amp;tblControles[[#This Row],[Módulo]]&amp;"|"&amp;tblControles[[#This Row],[Ítem]]&amp;"|"&amp;tblControles[[#This Row],[Turno]]</f>
        <v>46266|TONELADAS X TURNO|Molino barras 9|2° turno</v>
      </c>
      <c r="C324" s="871">
        <v>46266</v>
      </c>
      <c r="D324" t="s">
        <v>9449</v>
      </c>
      <c r="E324" t="s">
        <v>395</v>
      </c>
      <c r="F324" t="s">
        <v>397</v>
      </c>
      <c r="G324">
        <v>1680</v>
      </c>
      <c r="H324" t="s">
        <v>9333</v>
      </c>
      <c r="I324" s="871">
        <v>46293.93683766204</v>
      </c>
      <c r="J324" t="s">
        <v>9528</v>
      </c>
      <c r="K324" s="975" t="str">
        <f>IF(COUNTIFS(tblControles[Clave],tblControles[[#This Row],[Clave]])&gt;1,"Duplicado","")</f>
        <v/>
      </c>
    </row>
    <row r="325" spans="2:11">
      <c r="B325" s="975" t="str">
        <f>tblControles[[#This Row],[Fecha]]&amp;"|"&amp;tblControles[[#This Row],[Módulo]]&amp;"|"&amp;tblControles[[#This Row],[Ítem]]&amp;"|"&amp;tblControles[[#This Row],[Turno]]</f>
        <v>46266|TONELADAS X TURNO|Molino barras 9|3° turno</v>
      </c>
      <c r="C325" s="871">
        <v>46266</v>
      </c>
      <c r="D325" t="s">
        <v>9449</v>
      </c>
      <c r="E325" t="s">
        <v>395</v>
      </c>
      <c r="F325" t="s">
        <v>398</v>
      </c>
      <c r="G325">
        <v>1883</v>
      </c>
      <c r="H325" t="s">
        <v>9333</v>
      </c>
      <c r="I325" s="871">
        <v>46293.93683766204</v>
      </c>
      <c r="J325" t="s">
        <v>9528</v>
      </c>
      <c r="K325" s="975" t="str">
        <f>IF(COUNTIFS(tblControles[Clave],tblControles[[#This Row],[Clave]])&gt;1,"Duplicado","")</f>
        <v/>
      </c>
    </row>
    <row r="326" spans="2:11">
      <c r="B326" s="975" t="str">
        <f>tblControles[[#This Row],[Fecha]]&amp;"|"&amp;tblControles[[#This Row],[Módulo]]&amp;"|"&amp;tblControles[[#This Row],[Ítem]]&amp;"|"&amp;tblControles[[#This Row],[Turno]]</f>
        <v>46267|AGREGADO MEDIOS|BARRAS RM1|Cantidad</v>
      </c>
      <c r="C326" s="871">
        <v>46267</v>
      </c>
      <c r="D326" t="s">
        <v>9451</v>
      </c>
      <c r="E326" t="s">
        <v>410</v>
      </c>
      <c r="F326" t="s">
        <v>9453</v>
      </c>
      <c r="G326">
        <v>0</v>
      </c>
      <c r="H326" t="s">
        <v>9333</v>
      </c>
      <c r="I326" s="871">
        <v>46293.93683766204</v>
      </c>
      <c r="J326" t="s">
        <v>9524</v>
      </c>
      <c r="K326" s="975" t="str">
        <f>IF(COUNTIFS(tblControles[Clave],tblControles[[#This Row],[Clave]])&gt;1,"Duplicado","")</f>
        <v/>
      </c>
    </row>
    <row r="327" spans="2:11">
      <c r="B327" s="975" t="str">
        <f>tblControles[[#This Row],[Fecha]]&amp;"|"&amp;tblControles[[#This Row],[Módulo]]&amp;"|"&amp;tblControles[[#This Row],[Ítem]]&amp;"|"&amp;tblControles[[#This Row],[Turno]]</f>
        <v>46267|AGREGADO MEDIOS|BARRAS RM2|Cantidad</v>
      </c>
      <c r="C327" s="871">
        <v>46267</v>
      </c>
      <c r="D327" t="s">
        <v>9451</v>
      </c>
      <c r="E327" t="s">
        <v>411</v>
      </c>
      <c r="F327" t="s">
        <v>9453</v>
      </c>
      <c r="G327">
        <v>0</v>
      </c>
      <c r="H327" t="s">
        <v>9333</v>
      </c>
      <c r="I327" s="871">
        <v>46293.93683766204</v>
      </c>
      <c r="J327" t="s">
        <v>9524</v>
      </c>
      <c r="K327" s="975" t="str">
        <f>IF(COUNTIFS(tblControles[Clave],tblControles[[#This Row],[Clave]])&gt;1,"Duplicado","")</f>
        <v/>
      </c>
    </row>
    <row r="328" spans="2:11">
      <c r="B328" s="975" t="str">
        <f>tblControles[[#This Row],[Fecha]]&amp;"|"&amp;tblControles[[#This Row],[Módulo]]&amp;"|"&amp;tblControles[[#This Row],[Ítem]]&amp;"|"&amp;tblControles[[#This Row],[Turno]]</f>
        <v>46267|AGREGADO MEDIOS|BARRAS RM3|Cantidad</v>
      </c>
      <c r="C328" s="871">
        <v>46267</v>
      </c>
      <c r="D328" t="s">
        <v>9451</v>
      </c>
      <c r="E328" t="s">
        <v>412</v>
      </c>
      <c r="F328" t="s">
        <v>9453</v>
      </c>
      <c r="G328">
        <v>0</v>
      </c>
      <c r="H328" t="s">
        <v>9333</v>
      </c>
      <c r="I328" s="871">
        <v>46293.93683766204</v>
      </c>
      <c r="J328" t="s">
        <v>9524</v>
      </c>
      <c r="K328" s="975" t="str">
        <f>IF(COUNTIFS(tblControles[Clave],tblControles[[#This Row],[Clave]])&gt;1,"Duplicado","")</f>
        <v/>
      </c>
    </row>
    <row r="329" spans="2:11">
      <c r="B329" s="975" t="str">
        <f>tblControles[[#This Row],[Fecha]]&amp;"|"&amp;tblControles[[#This Row],[Módulo]]&amp;"|"&amp;tblControles[[#This Row],[Ítem]]&amp;"|"&amp;tblControles[[#This Row],[Turno]]</f>
        <v>46267|AGREGADO MEDIOS|BARRAS RM4|Cantidad</v>
      </c>
      <c r="C329" s="871">
        <v>46267</v>
      </c>
      <c r="D329" t="s">
        <v>9451</v>
      </c>
      <c r="E329" t="s">
        <v>413</v>
      </c>
      <c r="F329" t="s">
        <v>9453</v>
      </c>
      <c r="G329">
        <v>0</v>
      </c>
      <c r="H329" t="s">
        <v>9333</v>
      </c>
      <c r="I329" s="871">
        <v>46293.93683766204</v>
      </c>
      <c r="J329" t="s">
        <v>9524</v>
      </c>
      <c r="K329" s="975" t="str">
        <f>IF(COUNTIFS(tblControles[Clave],tblControles[[#This Row],[Clave]])&gt;1,"Duplicado","")</f>
        <v/>
      </c>
    </row>
    <row r="330" spans="2:11">
      <c r="B330" s="975" t="str">
        <f>tblControles[[#This Row],[Fecha]]&amp;"|"&amp;tblControles[[#This Row],[Módulo]]&amp;"|"&amp;tblControles[[#This Row],[Ítem]]&amp;"|"&amp;tblControles[[#This Row],[Turno]]</f>
        <v>46267|AGREGADO MEDIOS|BARRAS RM5|Cantidad</v>
      </c>
      <c r="C330" s="871">
        <v>46267</v>
      </c>
      <c r="D330" t="s">
        <v>9451</v>
      </c>
      <c r="E330" t="s">
        <v>414</v>
      </c>
      <c r="F330" t="s">
        <v>9453</v>
      </c>
      <c r="G330">
        <v>0</v>
      </c>
      <c r="H330" t="s">
        <v>9333</v>
      </c>
      <c r="I330" s="871">
        <v>46293.93683766204</v>
      </c>
      <c r="J330" t="s">
        <v>9524</v>
      </c>
      <c r="K330" s="975" t="str">
        <f>IF(COUNTIFS(tblControles[Clave],tblControles[[#This Row],[Clave]])&gt;1,"Duplicado","")</f>
        <v/>
      </c>
    </row>
    <row r="331" spans="2:11">
      <c r="B331" s="975" t="str">
        <f>tblControles[[#This Row],[Fecha]]&amp;"|"&amp;tblControles[[#This Row],[Módulo]]&amp;"|"&amp;tblControles[[#This Row],[Ítem]]&amp;"|"&amp;tblControles[[#This Row],[Turno]]</f>
        <v>46267|AGREGADO MEDIOS|BARRAS RM6|Cantidad</v>
      </c>
      <c r="C331" s="871">
        <v>46267</v>
      </c>
      <c r="D331" t="s">
        <v>9451</v>
      </c>
      <c r="E331" t="s">
        <v>415</v>
      </c>
      <c r="F331" t="s">
        <v>9453</v>
      </c>
      <c r="G331">
        <v>0</v>
      </c>
      <c r="H331" t="s">
        <v>9333</v>
      </c>
      <c r="I331" s="871">
        <v>46293.93683766204</v>
      </c>
      <c r="J331" t="s">
        <v>9524</v>
      </c>
      <c r="K331" s="975" t="str">
        <f>IF(COUNTIFS(tblControles[Clave],tblControles[[#This Row],[Clave]])&gt;1,"Duplicado","")</f>
        <v/>
      </c>
    </row>
    <row r="332" spans="2:11">
      <c r="B332" s="975" t="str">
        <f>tblControles[[#This Row],[Fecha]]&amp;"|"&amp;tblControles[[#This Row],[Módulo]]&amp;"|"&amp;tblControles[[#This Row],[Ítem]]&amp;"|"&amp;tblControles[[#This Row],[Turno]]</f>
        <v>46267|AGREGADO MEDIOS|BARRAS RM7|Cantidad</v>
      </c>
      <c r="C332" s="871">
        <v>46267</v>
      </c>
      <c r="D332" t="s">
        <v>9451</v>
      </c>
      <c r="E332" t="s">
        <v>416</v>
      </c>
      <c r="F332" t="s">
        <v>9453</v>
      </c>
      <c r="G332">
        <v>16</v>
      </c>
      <c r="H332" t="s">
        <v>9333</v>
      </c>
      <c r="I332" s="871">
        <v>46293.93683766204</v>
      </c>
      <c r="J332" t="s">
        <v>9524</v>
      </c>
      <c r="K332" s="975" t="str">
        <f>IF(COUNTIFS(tblControles[Clave],tblControles[[#This Row],[Clave]])&gt;1,"Duplicado","")</f>
        <v/>
      </c>
    </row>
    <row r="333" spans="2:11">
      <c r="B333" s="975" t="str">
        <f>tblControles[[#This Row],[Fecha]]&amp;"|"&amp;tblControles[[#This Row],[Módulo]]&amp;"|"&amp;tblControles[[#This Row],[Ítem]]&amp;"|"&amp;tblControles[[#This Row],[Turno]]</f>
        <v>46267|AGREGADO MEDIOS|BARRAS RM8|Cantidad</v>
      </c>
      <c r="C333" s="871">
        <v>46267</v>
      </c>
      <c r="D333" t="s">
        <v>9451</v>
      </c>
      <c r="E333" t="s">
        <v>417</v>
      </c>
      <c r="F333" t="s">
        <v>9453</v>
      </c>
      <c r="G333">
        <v>0</v>
      </c>
      <c r="H333" t="s">
        <v>9333</v>
      </c>
      <c r="I333" s="871">
        <v>46293.93683766204</v>
      </c>
      <c r="J333" t="s">
        <v>9524</v>
      </c>
      <c r="K333" s="975" t="str">
        <f>IF(COUNTIFS(tblControles[Clave],tblControles[[#This Row],[Clave]])&gt;1,"Duplicado","")</f>
        <v/>
      </c>
    </row>
    <row r="334" spans="2:11">
      <c r="B334" s="975" t="str">
        <f>tblControles[[#This Row],[Fecha]]&amp;"|"&amp;tblControles[[#This Row],[Módulo]]&amp;"|"&amp;tblControles[[#This Row],[Ítem]]&amp;"|"&amp;tblControles[[#This Row],[Turno]]</f>
        <v>46267|AGREGADO MEDIOS|BARRAS 9 RM9|Cantidad</v>
      </c>
      <c r="C334" s="871">
        <v>46267</v>
      </c>
      <c r="D334" t="s">
        <v>9451</v>
      </c>
      <c r="E334" t="s">
        <v>418</v>
      </c>
      <c r="F334" t="s">
        <v>9453</v>
      </c>
      <c r="G334">
        <v>0</v>
      </c>
      <c r="H334" t="s">
        <v>9333</v>
      </c>
      <c r="I334" s="871">
        <v>46293.93683766204</v>
      </c>
      <c r="J334" t="s">
        <v>9524</v>
      </c>
      <c r="K334" s="975" t="str">
        <f>IF(COUNTIFS(tblControles[Clave],tblControles[[#This Row],[Clave]])&gt;1,"Duplicado","")</f>
        <v/>
      </c>
    </row>
    <row r="335" spans="2:11">
      <c r="B335" s="975" t="str">
        <f>tblControles[[#This Row],[Fecha]]&amp;"|"&amp;tblControles[[#This Row],[Módulo]]&amp;"|"&amp;tblControles[[#This Row],[Ítem]]&amp;"|"&amp;tblControles[[#This Row],[Turno]]</f>
        <v>46267|AGREGADO MEDIOS|CONOS 40X50 BM1|Cantidad</v>
      </c>
      <c r="C335" s="871">
        <v>46267</v>
      </c>
      <c r="D335" t="s">
        <v>9451</v>
      </c>
      <c r="E335" t="s">
        <v>420</v>
      </c>
      <c r="F335" t="s">
        <v>9453</v>
      </c>
      <c r="G335">
        <v>4</v>
      </c>
      <c r="H335" t="s">
        <v>9333</v>
      </c>
      <c r="I335" s="871">
        <v>46293.93683766204</v>
      </c>
      <c r="J335" t="s">
        <v>9524</v>
      </c>
      <c r="K335" s="975" t="str">
        <f>IF(COUNTIFS(tblControles[Clave],tblControles[[#This Row],[Clave]])&gt;1,"Duplicado","")</f>
        <v/>
      </c>
    </row>
    <row r="336" spans="2:11">
      <c r="B336" s="975" t="str">
        <f>tblControles[[#This Row],[Fecha]]&amp;"|"&amp;tblControles[[#This Row],[Módulo]]&amp;"|"&amp;tblControles[[#This Row],[Ítem]]&amp;"|"&amp;tblControles[[#This Row],[Turno]]</f>
        <v>46267|AGREGADO MEDIOS|CONOS 40X50 BM2|Cantidad</v>
      </c>
      <c r="C336" s="871">
        <v>46267</v>
      </c>
      <c r="D336" t="s">
        <v>9451</v>
      </c>
      <c r="E336" t="s">
        <v>421</v>
      </c>
      <c r="F336" t="s">
        <v>9453</v>
      </c>
      <c r="G336">
        <v>4</v>
      </c>
      <c r="H336" t="s">
        <v>9333</v>
      </c>
      <c r="I336" s="871">
        <v>46293.93683766204</v>
      </c>
      <c r="J336" t="s">
        <v>9524</v>
      </c>
      <c r="K336" s="975" t="str">
        <f>IF(COUNTIFS(tblControles[Clave],tblControles[[#This Row],[Clave]])&gt;1,"Duplicado","")</f>
        <v/>
      </c>
    </row>
    <row r="337" spans="2:11">
      <c r="B337" s="975" t="str">
        <f>tblControles[[#This Row],[Fecha]]&amp;"|"&amp;tblControles[[#This Row],[Módulo]]&amp;"|"&amp;tblControles[[#This Row],[Ítem]]&amp;"|"&amp;tblControles[[#This Row],[Turno]]</f>
        <v>46267|AGREGADO MEDIOS|CONOS 40X50 BM3|Cantidad</v>
      </c>
      <c r="C337" s="871">
        <v>46267</v>
      </c>
      <c r="D337" t="s">
        <v>9451</v>
      </c>
      <c r="E337" t="s">
        <v>422</v>
      </c>
      <c r="F337" t="s">
        <v>9453</v>
      </c>
      <c r="G337">
        <v>0</v>
      </c>
      <c r="H337" t="s">
        <v>9333</v>
      </c>
      <c r="I337" s="871">
        <v>46293.93683766204</v>
      </c>
      <c r="J337" t="s">
        <v>9524</v>
      </c>
      <c r="K337" s="975" t="str">
        <f>IF(COUNTIFS(tblControles[Clave],tblControles[[#This Row],[Clave]])&gt;1,"Duplicado","")</f>
        <v/>
      </c>
    </row>
    <row r="338" spans="2:11">
      <c r="B338" s="975" t="str">
        <f>tblControles[[#This Row],[Fecha]]&amp;"|"&amp;tblControles[[#This Row],[Módulo]]&amp;"|"&amp;tblControles[[#This Row],[Ítem]]&amp;"|"&amp;tblControles[[#This Row],[Turno]]</f>
        <v>46267|AGREGADO MEDIOS|CONOS 40X50 BM4|Cantidad</v>
      </c>
      <c r="C338" s="871">
        <v>46267</v>
      </c>
      <c r="D338" t="s">
        <v>9451</v>
      </c>
      <c r="E338" t="s">
        <v>423</v>
      </c>
      <c r="F338" t="s">
        <v>9453</v>
      </c>
      <c r="G338">
        <v>4</v>
      </c>
      <c r="H338" t="s">
        <v>9333</v>
      </c>
      <c r="I338" s="871">
        <v>46293.93683766204</v>
      </c>
      <c r="J338" t="s">
        <v>9524</v>
      </c>
      <c r="K338" s="975" t="str">
        <f>IF(COUNTIFS(tblControles[Clave],tblControles[[#This Row],[Clave]])&gt;1,"Duplicado","")</f>
        <v/>
      </c>
    </row>
    <row r="339" spans="2:11">
      <c r="B339" s="975" t="str">
        <f>tblControles[[#This Row],[Fecha]]&amp;"|"&amp;tblControles[[#This Row],[Módulo]]&amp;"|"&amp;tblControles[[#This Row],[Ítem]]&amp;"|"&amp;tblControles[[#This Row],[Turno]]</f>
        <v>46267|AGREGADO MEDIOS|CONOS 30X35 BM5|Cantidad</v>
      </c>
      <c r="C339" s="871">
        <v>46267</v>
      </c>
      <c r="D339" t="s">
        <v>9451</v>
      </c>
      <c r="E339" t="s">
        <v>424</v>
      </c>
      <c r="F339" t="s">
        <v>9453</v>
      </c>
      <c r="G339">
        <v>4</v>
      </c>
      <c r="H339" t="s">
        <v>9333</v>
      </c>
      <c r="I339" s="871">
        <v>46293.93683766204</v>
      </c>
      <c r="J339" t="s">
        <v>9524</v>
      </c>
      <c r="K339" s="975" t="str">
        <f>IF(COUNTIFS(tblControles[Clave],tblControles[[#This Row],[Clave]])&gt;1,"Duplicado","")</f>
        <v/>
      </c>
    </row>
    <row r="340" spans="2:11">
      <c r="B340" s="975" t="str">
        <f>tblControles[[#This Row],[Fecha]]&amp;"|"&amp;tblControles[[#This Row],[Módulo]]&amp;"|"&amp;tblControles[[#This Row],[Ítem]]&amp;"|"&amp;tblControles[[#This Row],[Turno]]</f>
        <v>46267|AGREGADO MEDIOS|CONOS 40X50 BM6|Cantidad</v>
      </c>
      <c r="C340" s="871">
        <v>46267</v>
      </c>
      <c r="D340" t="s">
        <v>9451</v>
      </c>
      <c r="E340" t="s">
        <v>425</v>
      </c>
      <c r="F340" t="s">
        <v>9453</v>
      </c>
      <c r="G340">
        <v>2</v>
      </c>
      <c r="H340" t="s">
        <v>9333</v>
      </c>
      <c r="I340" s="871">
        <v>46293.93683766204</v>
      </c>
      <c r="J340" t="s">
        <v>9524</v>
      </c>
      <c r="K340" s="975" t="str">
        <f>IF(COUNTIFS(tblControles[Clave],tblControles[[#This Row],[Clave]])&gt;1,"Duplicado","")</f>
        <v/>
      </c>
    </row>
    <row r="341" spans="2:11">
      <c r="B341" s="975" t="str">
        <f>tblControles[[#This Row],[Fecha]]&amp;"|"&amp;tblControles[[#This Row],[Módulo]]&amp;"|"&amp;tblControles[[#This Row],[Ítem]]&amp;"|"&amp;tblControles[[#This Row],[Turno]]</f>
        <v>46267|AGREGADO MEDIOS|CONOS 40X50 BM7|Cantidad</v>
      </c>
      <c r="C341" s="871">
        <v>46267</v>
      </c>
      <c r="D341" t="s">
        <v>9451</v>
      </c>
      <c r="E341" t="s">
        <v>426</v>
      </c>
      <c r="F341" t="s">
        <v>9453</v>
      </c>
      <c r="G341">
        <v>6</v>
      </c>
      <c r="H341" t="s">
        <v>9333</v>
      </c>
      <c r="I341" s="871">
        <v>46293.93683766204</v>
      </c>
      <c r="J341" t="s">
        <v>9524</v>
      </c>
      <c r="K341" s="975" t="str">
        <f>IF(COUNTIFS(tblControles[Clave],tblControles[[#This Row],[Clave]])&gt;1,"Duplicado","")</f>
        <v/>
      </c>
    </row>
    <row r="342" spans="2:11">
      <c r="B342" s="975" t="str">
        <f>tblControles[[#This Row],[Fecha]]&amp;"|"&amp;tblControles[[#This Row],[Módulo]]&amp;"|"&amp;tblControles[[#This Row],[Ítem]]&amp;"|"&amp;tblControles[[#This Row],[Turno]]</f>
        <v>46267|AGREGADO MEDIOS|CONOS 40X50|Cantidad</v>
      </c>
      <c r="C342" s="871">
        <v>46267</v>
      </c>
      <c r="D342" t="s">
        <v>9451</v>
      </c>
      <c r="E342" t="s">
        <v>427</v>
      </c>
      <c r="F342" t="s">
        <v>9453</v>
      </c>
      <c r="G342">
        <v>4</v>
      </c>
      <c r="H342" t="s">
        <v>9333</v>
      </c>
      <c r="I342" s="871">
        <v>46293.93683766204</v>
      </c>
      <c r="J342" t="s">
        <v>9524</v>
      </c>
      <c r="K342" s="975" t="str">
        <f>IF(COUNTIFS(tblControles[Clave],tblControles[[#This Row],[Clave]])&gt;1,"Duplicado","")</f>
        <v/>
      </c>
    </row>
    <row r="343" spans="2:11">
      <c r="B343" s="975" t="str">
        <f>tblControles[[#This Row],[Fecha]]&amp;"|"&amp;tblControles[[#This Row],[Módulo]]&amp;"|"&amp;tblControles[[#This Row],[Ítem]]&amp;"|"&amp;tblControles[[#This Row],[Turno]]</f>
        <v>46267|AGREGADO MEDIOS|CONOS 30X35|Cantidad</v>
      </c>
      <c r="C343" s="871">
        <v>46267</v>
      </c>
      <c r="D343" t="s">
        <v>9451</v>
      </c>
      <c r="E343" t="s">
        <v>428</v>
      </c>
      <c r="F343" t="s">
        <v>9453</v>
      </c>
      <c r="G343">
        <v>20</v>
      </c>
      <c r="H343" t="s">
        <v>9333</v>
      </c>
      <c r="I343" s="871">
        <v>46293.93683766204</v>
      </c>
      <c r="J343" t="s">
        <v>9524</v>
      </c>
      <c r="K343" s="975" t="str">
        <f>IF(COUNTIFS(tblControles[Clave],tblControles[[#This Row],[Clave]])&gt;1,"Duplicado","")</f>
        <v/>
      </c>
    </row>
    <row r="344" spans="2:11">
      <c r="B344" s="975" t="str">
        <f>tblControles[[#This Row],[Fecha]]&amp;"|"&amp;tblControles[[#This Row],[Módulo]]&amp;"|"&amp;tblControles[[#This Row],[Ítem]]&amp;"|"&amp;tblControles[[#This Row],[Turno]]</f>
        <v>46267|AGREGADO MEDIOS|BOLAS BM8|Cantidad</v>
      </c>
      <c r="C344" s="871">
        <v>46267</v>
      </c>
      <c r="D344" t="s">
        <v>9451</v>
      </c>
      <c r="E344" t="s">
        <v>429</v>
      </c>
      <c r="F344" t="s">
        <v>9453</v>
      </c>
      <c r="G344">
        <v>4</v>
      </c>
      <c r="H344" t="s">
        <v>9333</v>
      </c>
      <c r="I344" s="871">
        <v>46293.93683766204</v>
      </c>
      <c r="J344" t="s">
        <v>9524</v>
      </c>
      <c r="K344" s="975" t="str">
        <f>IF(COUNTIFS(tblControles[Clave],tblControles[[#This Row],[Clave]])&gt;1,"Duplicado","")</f>
        <v/>
      </c>
    </row>
    <row r="345" spans="2:11">
      <c r="B345" s="975" t="str">
        <f>tblControles[[#This Row],[Fecha]]&amp;"|"&amp;tblControles[[#This Row],[Módulo]]&amp;"|"&amp;tblControles[[#This Row],[Ítem]]&amp;"|"&amp;tblControles[[#This Row],[Turno]]</f>
        <v>46267|AGREGADO MEDIOS|BOLAS BM9|Cantidad</v>
      </c>
      <c r="C345" s="871">
        <v>46267</v>
      </c>
      <c r="D345" t="s">
        <v>9451</v>
      </c>
      <c r="E345" t="s">
        <v>430</v>
      </c>
      <c r="F345" t="s">
        <v>9453</v>
      </c>
      <c r="G345">
        <v>6</v>
      </c>
      <c r="H345" t="s">
        <v>9333</v>
      </c>
      <c r="I345" s="871">
        <v>46293.93683766204</v>
      </c>
      <c r="J345" t="s">
        <v>9524</v>
      </c>
      <c r="K345" s="975" t="str">
        <f>IF(COUNTIFS(tblControles[Clave],tblControles[[#This Row],[Clave]])&gt;1,"Duplicado","")</f>
        <v/>
      </c>
    </row>
    <row r="346" spans="2:11">
      <c r="B346" s="975" t="str">
        <f>tblControles[[#This Row],[Fecha]]&amp;"|"&amp;tblControles[[#This Row],[Módulo]]&amp;"|"&amp;tblControles[[#This Row],[Ítem]]&amp;"|"&amp;tblControles[[#This Row],[Turno]]</f>
        <v>46267|AGREGADO MEDIOS|BOLAS BM10|Cantidad</v>
      </c>
      <c r="C346" s="871">
        <v>46267</v>
      </c>
      <c r="D346" t="s">
        <v>9451</v>
      </c>
      <c r="E346" t="s">
        <v>431</v>
      </c>
      <c r="F346" t="s">
        <v>9453</v>
      </c>
      <c r="G346">
        <v>8</v>
      </c>
      <c r="H346" t="s">
        <v>9333</v>
      </c>
      <c r="I346" s="871">
        <v>46293.93683766204</v>
      </c>
      <c r="J346" t="s">
        <v>9524</v>
      </c>
      <c r="K346" s="975" t="str">
        <f>IF(COUNTIFS(tblControles[Clave],tblControles[[#This Row],[Clave]])&gt;1,"Duplicado","")</f>
        <v/>
      </c>
    </row>
    <row r="347" spans="2:11">
      <c r="B347" s="975" t="str">
        <f>tblControles[[#This Row],[Fecha]]&amp;"|"&amp;tblControles[[#This Row],[Módulo]]&amp;"|"&amp;tblControles[[#This Row],[Ítem]]&amp;"|"&amp;tblControles[[#This Row],[Turno]]</f>
        <v>46267|AGREGADO MEDIOS|BOLAS ALTO CROM|Cantidad</v>
      </c>
      <c r="C347" s="871">
        <v>46267</v>
      </c>
      <c r="D347" t="s">
        <v>9451</v>
      </c>
      <c r="E347" t="s">
        <v>432</v>
      </c>
      <c r="F347" t="s">
        <v>9453</v>
      </c>
      <c r="G347">
        <v>18</v>
      </c>
      <c r="H347" t="s">
        <v>9333</v>
      </c>
      <c r="I347" s="871">
        <v>46293.93683766204</v>
      </c>
      <c r="J347" t="s">
        <v>9524</v>
      </c>
      <c r="K347" s="975" t="str">
        <f>IF(COUNTIFS(tblControles[Clave],tblControles[[#This Row],[Clave]])&gt;1,"Duplicado","")</f>
        <v/>
      </c>
    </row>
    <row r="348" spans="2:11">
      <c r="B348" s="975" t="str">
        <f>tblControles[[#This Row],[Fecha]]&amp;"|"&amp;tblControles[[#This Row],[Módulo]]&amp;"|"&amp;tblControles[[#This Row],[Ítem]]&amp;"|"&amp;tblControles[[#This Row],[Turno]]</f>
        <v>46267|REACTIVOS|Ácido oxálico|Turno día (12 h)</v>
      </c>
      <c r="C348" s="871">
        <v>46267</v>
      </c>
      <c r="D348" t="s">
        <v>9444</v>
      </c>
      <c r="E348" t="s">
        <v>9508</v>
      </c>
      <c r="F348" t="s">
        <v>9446</v>
      </c>
      <c r="G348">
        <v>14000</v>
      </c>
      <c r="H348" t="s">
        <v>9333</v>
      </c>
      <c r="I348" s="871">
        <v>46293.93683766204</v>
      </c>
      <c r="J348" t="s">
        <v>9527</v>
      </c>
      <c r="K348" s="975" t="str">
        <f>IF(COUNTIFS(tblControles[Clave],tblControles[[#This Row],[Clave]])&gt;1,"Duplicado","")</f>
        <v/>
      </c>
    </row>
    <row r="349" spans="2:11">
      <c r="B349" s="975" t="str">
        <f>tblControles[[#This Row],[Fecha]]&amp;"|"&amp;tblControles[[#This Row],[Módulo]]&amp;"|"&amp;tblControles[[#This Row],[Ítem]]&amp;"|"&amp;tblControles[[#This Row],[Turno]]</f>
        <v>46267|REACTIVOS|Ácido oxálico|Turno noche (12 h)</v>
      </c>
      <c r="C349" s="871">
        <v>46267</v>
      </c>
      <c r="D349" t="s">
        <v>9444</v>
      </c>
      <c r="E349" t="s">
        <v>9508</v>
      </c>
      <c r="F349" t="s">
        <v>9447</v>
      </c>
      <c r="G349">
        <v>18000</v>
      </c>
      <c r="H349" t="s">
        <v>9333</v>
      </c>
      <c r="I349" s="871">
        <v>46293.93683766204</v>
      </c>
      <c r="J349" t="s">
        <v>9527</v>
      </c>
      <c r="K349" s="975" t="str">
        <f>IF(COUNTIFS(tblControles[Clave],tblControles[[#This Row],[Clave]])&gt;1,"Duplicado","")</f>
        <v/>
      </c>
    </row>
    <row r="350" spans="2:11">
      <c r="B350" s="975" t="str">
        <f>tblControles[[#This Row],[Fecha]]&amp;"|"&amp;tblControles[[#This Row],[Módulo]]&amp;"|"&amp;tblControles[[#This Row],[Ítem]]&amp;"|"&amp;tblControles[[#This Row],[Turno]]</f>
        <v>46267|REACTIVOS|Xantato|Turno día (12 h)</v>
      </c>
      <c r="C350" s="871">
        <v>46267</v>
      </c>
      <c r="D350" t="s">
        <v>9444</v>
      </c>
      <c r="E350" t="s">
        <v>9511</v>
      </c>
      <c r="F350" t="s">
        <v>9446</v>
      </c>
      <c r="G350">
        <v>3850</v>
      </c>
      <c r="H350" t="s">
        <v>9333</v>
      </c>
      <c r="I350" s="871">
        <v>46293.93683766204</v>
      </c>
      <c r="J350" t="s">
        <v>9527</v>
      </c>
      <c r="K350" s="975" t="str">
        <f>IF(COUNTIFS(tblControles[Clave],tblControles[[#This Row],[Clave]])&gt;1,"Duplicado","")</f>
        <v/>
      </c>
    </row>
    <row r="351" spans="2:11">
      <c r="B351" s="975" t="str">
        <f>tblControles[[#This Row],[Fecha]]&amp;"|"&amp;tblControles[[#This Row],[Módulo]]&amp;"|"&amp;tblControles[[#This Row],[Ítem]]&amp;"|"&amp;tblControles[[#This Row],[Turno]]</f>
        <v>46267|REACTIVOS|Xantato|Turno noche (12 h)</v>
      </c>
      <c r="C351" s="871">
        <v>46267</v>
      </c>
      <c r="D351" t="s">
        <v>9444</v>
      </c>
      <c r="E351" t="s">
        <v>9511</v>
      </c>
      <c r="F351" t="s">
        <v>9447</v>
      </c>
      <c r="G351">
        <v>3850</v>
      </c>
      <c r="H351" t="s">
        <v>9333</v>
      </c>
      <c r="I351" s="871">
        <v>46293.93683766204</v>
      </c>
      <c r="J351" t="s">
        <v>9527</v>
      </c>
      <c r="K351" s="975" t="str">
        <f>IF(COUNTIFS(tblControles[Clave],tblControles[[#This Row],[Clave]])&gt;1,"Duplicado","")</f>
        <v/>
      </c>
    </row>
    <row r="352" spans="2:11">
      <c r="B352" s="975" t="str">
        <f>tblControles[[#This Row],[Fecha]]&amp;"|"&amp;tblControles[[#This Row],[Módulo]]&amp;"|"&amp;tblControles[[#This Row],[Ítem]]&amp;"|"&amp;tblControles[[#This Row],[Turno]]</f>
        <v>46267|REACTIVOS|Espumante|Consumo día</v>
      </c>
      <c r="C352" s="871">
        <v>46267</v>
      </c>
      <c r="D352" t="s">
        <v>9444</v>
      </c>
      <c r="E352" t="s">
        <v>9513</v>
      </c>
      <c r="F352" t="s">
        <v>9870</v>
      </c>
      <c r="G352">
        <v>3500</v>
      </c>
      <c r="H352" t="s">
        <v>9333</v>
      </c>
      <c r="I352" s="871">
        <v>46293.93683766204</v>
      </c>
      <c r="J352" t="s">
        <v>9527</v>
      </c>
      <c r="K352" s="975" t="str">
        <f>IF(COUNTIFS(tblControles[Clave],tblControles[[#This Row],[Clave]])&gt;1,"Duplicado","")</f>
        <v/>
      </c>
    </row>
    <row r="353" spans="2:11">
      <c r="B353" s="975" t="str">
        <f>tblControles[[#This Row],[Fecha]]&amp;"|"&amp;tblControles[[#This Row],[Módulo]]&amp;"|"&amp;tblControles[[#This Row],[Ítem]]&amp;"|"&amp;tblControles[[#This Row],[Turno]]</f>
        <v>46267|TONELADAS X TURNO|Molino barras 1|1° turno</v>
      </c>
      <c r="C353" s="871">
        <v>46267</v>
      </c>
      <c r="D353" t="s">
        <v>9449</v>
      </c>
      <c r="E353" t="s">
        <v>387</v>
      </c>
      <c r="F353" t="s">
        <v>396</v>
      </c>
      <c r="G353">
        <v>1671</v>
      </c>
      <c r="H353" t="s">
        <v>9333</v>
      </c>
      <c r="I353" s="871">
        <v>46293.93683766204</v>
      </c>
      <c r="J353" t="s">
        <v>9528</v>
      </c>
      <c r="K353" s="975" t="str">
        <f>IF(COUNTIFS(tblControles[Clave],tblControles[[#This Row],[Clave]])&gt;1,"Duplicado","")</f>
        <v/>
      </c>
    </row>
    <row r="354" spans="2:11">
      <c r="B354" s="975" t="str">
        <f>tblControles[[#This Row],[Fecha]]&amp;"|"&amp;tblControles[[#This Row],[Módulo]]&amp;"|"&amp;tblControles[[#This Row],[Ítem]]&amp;"|"&amp;tblControles[[#This Row],[Turno]]</f>
        <v>46267|TONELADAS X TURNO|Molino barras 1|2° turno</v>
      </c>
      <c r="C354" s="871">
        <v>46267</v>
      </c>
      <c r="D354" t="s">
        <v>9449</v>
      </c>
      <c r="E354" t="s">
        <v>387</v>
      </c>
      <c r="F354" t="s">
        <v>397</v>
      </c>
      <c r="G354">
        <v>1469</v>
      </c>
      <c r="H354" t="s">
        <v>9333</v>
      </c>
      <c r="I354" s="871">
        <v>46293.93683766204</v>
      </c>
      <c r="J354" t="s">
        <v>9528</v>
      </c>
      <c r="K354" s="975" t="str">
        <f>IF(COUNTIFS(tblControles[Clave],tblControles[[#This Row],[Clave]])&gt;1,"Duplicado","")</f>
        <v/>
      </c>
    </row>
    <row r="355" spans="2:11">
      <c r="B355" s="975" t="str">
        <f>tblControles[[#This Row],[Fecha]]&amp;"|"&amp;tblControles[[#This Row],[Módulo]]&amp;"|"&amp;tblControles[[#This Row],[Ítem]]&amp;"|"&amp;tblControles[[#This Row],[Turno]]</f>
        <v>46267|TONELADAS X TURNO|Molino barras 1|3° turno</v>
      </c>
      <c r="C355" s="871">
        <v>46267</v>
      </c>
      <c r="D355" t="s">
        <v>9449</v>
      </c>
      <c r="E355" t="s">
        <v>387</v>
      </c>
      <c r="F355" t="s">
        <v>398</v>
      </c>
      <c r="G355">
        <v>1412</v>
      </c>
      <c r="H355" t="s">
        <v>9333</v>
      </c>
      <c r="I355" s="871">
        <v>46293.93683766204</v>
      </c>
      <c r="J355" t="s">
        <v>9528</v>
      </c>
      <c r="K355" s="975" t="str">
        <f>IF(COUNTIFS(tblControles[Clave],tblControles[[#This Row],[Clave]])&gt;1,"Duplicado","")</f>
        <v/>
      </c>
    </row>
    <row r="356" spans="2:11">
      <c r="B356" s="975" t="str">
        <f>tblControles[[#This Row],[Fecha]]&amp;"|"&amp;tblControles[[#This Row],[Módulo]]&amp;"|"&amp;tblControles[[#This Row],[Ítem]]&amp;"|"&amp;tblControles[[#This Row],[Turno]]</f>
        <v>46267|TONELADAS X TURNO|Molino barras 2|1° turno</v>
      </c>
      <c r="C356" s="871">
        <v>46267</v>
      </c>
      <c r="D356" t="s">
        <v>9449</v>
      </c>
      <c r="E356" t="s">
        <v>388</v>
      </c>
      <c r="F356" t="s">
        <v>396</v>
      </c>
      <c r="G356">
        <v>154</v>
      </c>
      <c r="H356" t="s">
        <v>9333</v>
      </c>
      <c r="I356" s="871">
        <v>46293.93683766204</v>
      </c>
      <c r="J356" t="s">
        <v>9528</v>
      </c>
      <c r="K356" s="975" t="str">
        <f>IF(COUNTIFS(tblControles[Clave],tblControles[[#This Row],[Clave]])&gt;1,"Duplicado","")</f>
        <v/>
      </c>
    </row>
    <row r="357" spans="2:11">
      <c r="B357" s="975" t="str">
        <f>tblControles[[#This Row],[Fecha]]&amp;"|"&amp;tblControles[[#This Row],[Módulo]]&amp;"|"&amp;tblControles[[#This Row],[Ítem]]&amp;"|"&amp;tblControles[[#This Row],[Turno]]</f>
        <v>46267|TONELADAS X TURNO|Molino barras 2|2° turno</v>
      </c>
      <c r="C357" s="871">
        <v>46267</v>
      </c>
      <c r="D357" t="s">
        <v>9449</v>
      </c>
      <c r="E357" t="s">
        <v>388</v>
      </c>
      <c r="F357" t="s">
        <v>397</v>
      </c>
      <c r="G357">
        <v>0</v>
      </c>
      <c r="H357" t="s">
        <v>9333</v>
      </c>
      <c r="I357" s="871">
        <v>46293.93683766204</v>
      </c>
      <c r="J357" t="s">
        <v>9528</v>
      </c>
      <c r="K357" s="975" t="str">
        <f>IF(COUNTIFS(tblControles[Clave],tblControles[[#This Row],[Clave]])&gt;1,"Duplicado","")</f>
        <v/>
      </c>
    </row>
    <row r="358" spans="2:11">
      <c r="B358" s="975" t="str">
        <f>tblControles[[#This Row],[Fecha]]&amp;"|"&amp;tblControles[[#This Row],[Módulo]]&amp;"|"&amp;tblControles[[#This Row],[Ítem]]&amp;"|"&amp;tblControles[[#This Row],[Turno]]</f>
        <v>46267|TONELADAS X TURNO|Molino barras 2|3° turno</v>
      </c>
      <c r="C358" s="871">
        <v>46267</v>
      </c>
      <c r="D358" t="s">
        <v>9449</v>
      </c>
      <c r="E358" t="s">
        <v>388</v>
      </c>
      <c r="F358" t="s">
        <v>398</v>
      </c>
      <c r="G358">
        <v>0</v>
      </c>
      <c r="H358" t="s">
        <v>9333</v>
      </c>
      <c r="I358" s="871">
        <v>46293.93683766204</v>
      </c>
      <c r="J358" t="s">
        <v>9528</v>
      </c>
      <c r="K358" s="975" t="str">
        <f>IF(COUNTIFS(tblControles[Clave],tblControles[[#This Row],[Clave]])&gt;1,"Duplicado","")</f>
        <v/>
      </c>
    </row>
    <row r="359" spans="2:11">
      <c r="B359" s="975" t="str">
        <f>tblControles[[#This Row],[Fecha]]&amp;"|"&amp;tblControles[[#This Row],[Módulo]]&amp;"|"&amp;tblControles[[#This Row],[Ítem]]&amp;"|"&amp;tblControles[[#This Row],[Turno]]</f>
        <v>46267|TONELADAS X TURNO|Molino barras 3|1° turno</v>
      </c>
      <c r="C359" s="871">
        <v>46267</v>
      </c>
      <c r="D359" t="s">
        <v>9449</v>
      </c>
      <c r="E359" t="s">
        <v>389</v>
      </c>
      <c r="F359" t="s">
        <v>396</v>
      </c>
      <c r="G359">
        <v>1519</v>
      </c>
      <c r="H359" t="s">
        <v>9333</v>
      </c>
      <c r="I359" s="871">
        <v>46293.93683766204</v>
      </c>
      <c r="J359" t="s">
        <v>9528</v>
      </c>
      <c r="K359" s="975" t="str">
        <f>IF(COUNTIFS(tblControles[Clave],tblControles[[#This Row],[Clave]])&gt;1,"Duplicado","")</f>
        <v/>
      </c>
    </row>
    <row r="360" spans="2:11">
      <c r="B360" s="975" t="str">
        <f>tblControles[[#This Row],[Fecha]]&amp;"|"&amp;tblControles[[#This Row],[Módulo]]&amp;"|"&amp;tblControles[[#This Row],[Ítem]]&amp;"|"&amp;tblControles[[#This Row],[Turno]]</f>
        <v>46267|TONELADAS X TURNO|Molino barras 3|2° turno</v>
      </c>
      <c r="C360" s="871">
        <v>46267</v>
      </c>
      <c r="D360" t="s">
        <v>9449</v>
      </c>
      <c r="E360" t="s">
        <v>389</v>
      </c>
      <c r="F360" t="s">
        <v>397</v>
      </c>
      <c r="G360">
        <v>1436</v>
      </c>
      <c r="H360" t="s">
        <v>9333</v>
      </c>
      <c r="I360" s="871">
        <v>46293.93683766204</v>
      </c>
      <c r="J360" t="s">
        <v>9528</v>
      </c>
      <c r="K360" s="975" t="str">
        <f>IF(COUNTIFS(tblControles[Clave],tblControles[[#This Row],[Clave]])&gt;1,"Duplicado","")</f>
        <v/>
      </c>
    </row>
    <row r="361" spans="2:11">
      <c r="B361" s="975" t="str">
        <f>tblControles[[#This Row],[Fecha]]&amp;"|"&amp;tblControles[[#This Row],[Módulo]]&amp;"|"&amp;tblControles[[#This Row],[Ítem]]&amp;"|"&amp;tblControles[[#This Row],[Turno]]</f>
        <v>46267|TONELADAS X TURNO|Molino barras 3|3° turno</v>
      </c>
      <c r="C361" s="871">
        <v>46267</v>
      </c>
      <c r="D361" t="s">
        <v>9449</v>
      </c>
      <c r="E361" t="s">
        <v>389</v>
      </c>
      <c r="F361" t="s">
        <v>398</v>
      </c>
      <c r="G361">
        <v>1445</v>
      </c>
      <c r="H361" t="s">
        <v>9333</v>
      </c>
      <c r="I361" s="871">
        <v>46293.93683766204</v>
      </c>
      <c r="J361" t="s">
        <v>9528</v>
      </c>
      <c r="K361" s="975" t="str">
        <f>IF(COUNTIFS(tblControles[Clave],tblControles[[#This Row],[Clave]])&gt;1,"Duplicado","")</f>
        <v/>
      </c>
    </row>
    <row r="362" spans="2:11">
      <c r="B362" s="975" t="str">
        <f>tblControles[[#This Row],[Fecha]]&amp;"|"&amp;tblControles[[#This Row],[Módulo]]&amp;"|"&amp;tblControles[[#This Row],[Ítem]]&amp;"|"&amp;tblControles[[#This Row],[Turno]]</f>
        <v>46267|TONELADAS X TURNO|Molino barras 4|1° turno</v>
      </c>
      <c r="C362" s="871">
        <v>46267</v>
      </c>
      <c r="D362" t="s">
        <v>9449</v>
      </c>
      <c r="E362" t="s">
        <v>390</v>
      </c>
      <c r="F362" t="s">
        <v>396</v>
      </c>
      <c r="G362">
        <v>1304</v>
      </c>
      <c r="H362" t="s">
        <v>9333</v>
      </c>
      <c r="I362" s="871">
        <v>46293.93683766204</v>
      </c>
      <c r="J362" t="s">
        <v>9528</v>
      </c>
      <c r="K362" s="975" t="str">
        <f>IF(COUNTIFS(tblControles[Clave],tblControles[[#This Row],[Clave]])&gt;1,"Duplicado","")</f>
        <v/>
      </c>
    </row>
    <row r="363" spans="2:11">
      <c r="B363" s="975" t="str">
        <f>tblControles[[#This Row],[Fecha]]&amp;"|"&amp;tblControles[[#This Row],[Módulo]]&amp;"|"&amp;tblControles[[#This Row],[Ítem]]&amp;"|"&amp;tblControles[[#This Row],[Turno]]</f>
        <v>46267|TONELADAS X TURNO|Molino barras 4|2° turno</v>
      </c>
      <c r="C363" s="871">
        <v>46267</v>
      </c>
      <c r="D363" t="s">
        <v>9449</v>
      </c>
      <c r="E363" t="s">
        <v>390</v>
      </c>
      <c r="F363" t="s">
        <v>397</v>
      </c>
      <c r="G363">
        <v>1212</v>
      </c>
      <c r="H363" t="s">
        <v>9333</v>
      </c>
      <c r="I363" s="871">
        <v>46293.93683766204</v>
      </c>
      <c r="J363" t="s">
        <v>9528</v>
      </c>
      <c r="K363" s="975" t="str">
        <f>IF(COUNTIFS(tblControles[Clave],tblControles[[#This Row],[Clave]])&gt;1,"Duplicado","")</f>
        <v/>
      </c>
    </row>
    <row r="364" spans="2:11">
      <c r="B364" s="975" t="str">
        <f>tblControles[[#This Row],[Fecha]]&amp;"|"&amp;tblControles[[#This Row],[Módulo]]&amp;"|"&amp;tblControles[[#This Row],[Ítem]]&amp;"|"&amp;tblControles[[#This Row],[Turno]]</f>
        <v>46267|TONELADAS X TURNO|Molino barras 4|3° turno</v>
      </c>
      <c r="C364" s="871">
        <v>46267</v>
      </c>
      <c r="D364" t="s">
        <v>9449</v>
      </c>
      <c r="E364" t="s">
        <v>390</v>
      </c>
      <c r="F364" t="s">
        <v>398</v>
      </c>
      <c r="G364">
        <v>1227</v>
      </c>
      <c r="H364" t="s">
        <v>9333</v>
      </c>
      <c r="I364" s="871">
        <v>46293.93683766204</v>
      </c>
      <c r="J364" t="s">
        <v>9528</v>
      </c>
      <c r="K364" s="975" t="str">
        <f>IF(COUNTIFS(tblControles[Clave],tblControles[[#This Row],[Clave]])&gt;1,"Duplicado","")</f>
        <v/>
      </c>
    </row>
    <row r="365" spans="2:11">
      <c r="B365" s="975" t="str">
        <f>tblControles[[#This Row],[Fecha]]&amp;"|"&amp;tblControles[[#This Row],[Módulo]]&amp;"|"&amp;tblControles[[#This Row],[Ítem]]&amp;"|"&amp;tblControles[[#This Row],[Turno]]</f>
        <v>46267|TONELADAS X TURNO|Molino barras 5|1° turno</v>
      </c>
      <c r="C365" s="871">
        <v>46267</v>
      </c>
      <c r="D365" t="s">
        <v>9449</v>
      </c>
      <c r="E365" t="s">
        <v>391</v>
      </c>
      <c r="F365" t="s">
        <v>396</v>
      </c>
      <c r="G365">
        <v>1676</v>
      </c>
      <c r="H365" t="s">
        <v>9333</v>
      </c>
      <c r="I365" s="871">
        <v>46293.93683766204</v>
      </c>
      <c r="J365" t="s">
        <v>9528</v>
      </c>
      <c r="K365" s="975" t="str">
        <f>IF(COUNTIFS(tblControles[Clave],tblControles[[#This Row],[Clave]])&gt;1,"Duplicado","")</f>
        <v/>
      </c>
    </row>
    <row r="366" spans="2:11">
      <c r="B366" s="975" t="str">
        <f>tblControles[[#This Row],[Fecha]]&amp;"|"&amp;tblControles[[#This Row],[Módulo]]&amp;"|"&amp;tblControles[[#This Row],[Ítem]]&amp;"|"&amp;tblControles[[#This Row],[Turno]]</f>
        <v>46267|TONELADAS X TURNO|Molino barras 5|2° turno</v>
      </c>
      <c r="C366" s="871">
        <v>46267</v>
      </c>
      <c r="D366" t="s">
        <v>9449</v>
      </c>
      <c r="E366" t="s">
        <v>391</v>
      </c>
      <c r="F366" t="s">
        <v>397</v>
      </c>
      <c r="G366">
        <v>1721</v>
      </c>
      <c r="H366" t="s">
        <v>9333</v>
      </c>
      <c r="I366" s="871">
        <v>46293.93683766204</v>
      </c>
      <c r="J366" t="s">
        <v>9528</v>
      </c>
      <c r="K366" s="975" t="str">
        <f>IF(COUNTIFS(tblControles[Clave],tblControles[[#This Row],[Clave]])&gt;1,"Duplicado","")</f>
        <v/>
      </c>
    </row>
    <row r="367" spans="2:11">
      <c r="B367" s="975" t="str">
        <f>tblControles[[#This Row],[Fecha]]&amp;"|"&amp;tblControles[[#This Row],[Módulo]]&amp;"|"&amp;tblControles[[#This Row],[Ítem]]&amp;"|"&amp;tblControles[[#This Row],[Turno]]</f>
        <v>46267|TONELADAS X TURNO|Molino barras 5|3° turno</v>
      </c>
      <c r="C367" s="871">
        <v>46267</v>
      </c>
      <c r="D367" t="s">
        <v>9449</v>
      </c>
      <c r="E367" t="s">
        <v>391</v>
      </c>
      <c r="F367" t="s">
        <v>398</v>
      </c>
      <c r="G367">
        <v>1658</v>
      </c>
      <c r="H367" t="s">
        <v>9333</v>
      </c>
      <c r="I367" s="871">
        <v>46293.93683766204</v>
      </c>
      <c r="J367" t="s">
        <v>9528</v>
      </c>
      <c r="K367" s="975" t="str">
        <f>IF(COUNTIFS(tblControles[Clave],tblControles[[#This Row],[Clave]])&gt;1,"Duplicado","")</f>
        <v/>
      </c>
    </row>
    <row r="368" spans="2:11">
      <c r="B368" s="975" t="str">
        <f>tblControles[[#This Row],[Fecha]]&amp;"|"&amp;tblControles[[#This Row],[Módulo]]&amp;"|"&amp;tblControles[[#This Row],[Ítem]]&amp;"|"&amp;tblControles[[#This Row],[Turno]]</f>
        <v>46267|TONELADAS X TURNO|Molino barras 6|1° turno</v>
      </c>
      <c r="C368" s="871">
        <v>46267</v>
      </c>
      <c r="D368" t="s">
        <v>9449</v>
      </c>
      <c r="E368" t="s">
        <v>392</v>
      </c>
      <c r="F368" t="s">
        <v>396</v>
      </c>
      <c r="G368">
        <v>1674</v>
      </c>
      <c r="H368" t="s">
        <v>9333</v>
      </c>
      <c r="I368" s="871">
        <v>46293.93683766204</v>
      </c>
      <c r="J368" t="s">
        <v>9528</v>
      </c>
      <c r="K368" s="975" t="str">
        <f>IF(COUNTIFS(tblControles[Clave],tblControles[[#This Row],[Clave]])&gt;1,"Duplicado","")</f>
        <v/>
      </c>
    </row>
    <row r="369" spans="2:11">
      <c r="B369" s="975" t="str">
        <f>tblControles[[#This Row],[Fecha]]&amp;"|"&amp;tblControles[[#This Row],[Módulo]]&amp;"|"&amp;tblControles[[#This Row],[Ítem]]&amp;"|"&amp;tblControles[[#This Row],[Turno]]</f>
        <v>46267|TONELADAS X TURNO|Molino barras 6|2° turno</v>
      </c>
      <c r="C369" s="871">
        <v>46267</v>
      </c>
      <c r="D369" t="s">
        <v>9449</v>
      </c>
      <c r="E369" t="s">
        <v>392</v>
      </c>
      <c r="F369" t="s">
        <v>397</v>
      </c>
      <c r="G369">
        <v>1705</v>
      </c>
      <c r="H369" t="s">
        <v>9333</v>
      </c>
      <c r="I369" s="871">
        <v>46293.93683766204</v>
      </c>
      <c r="J369" t="s">
        <v>9528</v>
      </c>
      <c r="K369" s="975" t="str">
        <f>IF(COUNTIFS(tblControles[Clave],tblControles[[#This Row],[Clave]])&gt;1,"Duplicado","")</f>
        <v/>
      </c>
    </row>
    <row r="370" spans="2:11">
      <c r="B370" s="975" t="str">
        <f>tblControles[[#This Row],[Fecha]]&amp;"|"&amp;tblControles[[#This Row],[Módulo]]&amp;"|"&amp;tblControles[[#This Row],[Ítem]]&amp;"|"&amp;tblControles[[#This Row],[Turno]]</f>
        <v>46267|TONELADAS X TURNO|Molino barras 6|3° turno</v>
      </c>
      <c r="C370" s="871">
        <v>46267</v>
      </c>
      <c r="D370" t="s">
        <v>9449</v>
      </c>
      <c r="E370" t="s">
        <v>392</v>
      </c>
      <c r="F370" t="s">
        <v>398</v>
      </c>
      <c r="G370">
        <v>1595</v>
      </c>
      <c r="H370" t="s">
        <v>9333</v>
      </c>
      <c r="I370" s="871">
        <v>46293.93683766204</v>
      </c>
      <c r="J370" t="s">
        <v>9528</v>
      </c>
      <c r="K370" s="975" t="str">
        <f>IF(COUNTIFS(tblControles[Clave],tblControles[[#This Row],[Clave]])&gt;1,"Duplicado","")</f>
        <v/>
      </c>
    </row>
    <row r="371" spans="2:11">
      <c r="B371" s="975" t="str">
        <f>tblControles[[#This Row],[Fecha]]&amp;"|"&amp;tblControles[[#This Row],[Módulo]]&amp;"|"&amp;tblControles[[#This Row],[Ítem]]&amp;"|"&amp;tblControles[[#This Row],[Turno]]</f>
        <v>46267|TONELADAS X TURNO|Molino barras 7|1° turno</v>
      </c>
      <c r="C371" s="871">
        <v>46267</v>
      </c>
      <c r="D371" t="s">
        <v>9449</v>
      </c>
      <c r="E371" t="s">
        <v>393</v>
      </c>
      <c r="F371" t="s">
        <v>396</v>
      </c>
      <c r="G371">
        <v>1529</v>
      </c>
      <c r="H371" t="s">
        <v>9333</v>
      </c>
      <c r="I371" s="871">
        <v>46293.93683766204</v>
      </c>
      <c r="J371" t="s">
        <v>9528</v>
      </c>
      <c r="K371" s="975" t="str">
        <f>IF(COUNTIFS(tblControles[Clave],tblControles[[#This Row],[Clave]])&gt;1,"Duplicado","")</f>
        <v/>
      </c>
    </row>
    <row r="372" spans="2:11">
      <c r="B372" s="975" t="str">
        <f>tblControles[[#This Row],[Fecha]]&amp;"|"&amp;tblControles[[#This Row],[Módulo]]&amp;"|"&amp;tblControles[[#This Row],[Ítem]]&amp;"|"&amp;tblControles[[#This Row],[Turno]]</f>
        <v>46267|TONELADAS X TURNO|Molino barras 7|2° turno</v>
      </c>
      <c r="C372" s="871">
        <v>46267</v>
      </c>
      <c r="D372" t="s">
        <v>9449</v>
      </c>
      <c r="E372" t="s">
        <v>393</v>
      </c>
      <c r="F372" t="s">
        <v>397</v>
      </c>
      <c r="G372">
        <v>1698</v>
      </c>
      <c r="H372" t="s">
        <v>9333</v>
      </c>
      <c r="I372" s="871">
        <v>46293.93683766204</v>
      </c>
      <c r="J372" t="s">
        <v>9528</v>
      </c>
      <c r="K372" s="975" t="str">
        <f>IF(COUNTIFS(tblControles[Clave],tblControles[[#This Row],[Clave]])&gt;1,"Duplicado","")</f>
        <v/>
      </c>
    </row>
    <row r="373" spans="2:11">
      <c r="B373" s="975" t="str">
        <f>tblControles[[#This Row],[Fecha]]&amp;"|"&amp;tblControles[[#This Row],[Módulo]]&amp;"|"&amp;tblControles[[#This Row],[Ítem]]&amp;"|"&amp;tblControles[[#This Row],[Turno]]</f>
        <v>46267|TONELADAS X TURNO|Molino barras 7|3° turno</v>
      </c>
      <c r="C373" s="871">
        <v>46267</v>
      </c>
      <c r="D373" t="s">
        <v>9449</v>
      </c>
      <c r="E373" t="s">
        <v>393</v>
      </c>
      <c r="F373" t="s">
        <v>398</v>
      </c>
      <c r="G373">
        <v>1656</v>
      </c>
      <c r="H373" t="s">
        <v>9333</v>
      </c>
      <c r="I373" s="871">
        <v>46293.93683766204</v>
      </c>
      <c r="J373" t="s">
        <v>9528</v>
      </c>
      <c r="K373" s="975" t="str">
        <f>IF(COUNTIFS(tblControles[Clave],tblControles[[#This Row],[Clave]])&gt;1,"Duplicado","")</f>
        <v/>
      </c>
    </row>
    <row r="374" spans="2:11">
      <c r="B374" s="975" t="str">
        <f>tblControles[[#This Row],[Fecha]]&amp;"|"&amp;tblControles[[#This Row],[Módulo]]&amp;"|"&amp;tblControles[[#This Row],[Ítem]]&amp;"|"&amp;tblControles[[#This Row],[Turno]]</f>
        <v>46267|TONELADAS X TURNO|Molino barras 8|1° turno</v>
      </c>
      <c r="C374" s="871">
        <v>46267</v>
      </c>
      <c r="D374" t="s">
        <v>9449</v>
      </c>
      <c r="E374" t="s">
        <v>394</v>
      </c>
      <c r="F374" t="s">
        <v>396</v>
      </c>
      <c r="G374">
        <v>1596</v>
      </c>
      <c r="H374" t="s">
        <v>9333</v>
      </c>
      <c r="I374" s="871">
        <v>46293.93683766204</v>
      </c>
      <c r="J374" t="s">
        <v>9528</v>
      </c>
      <c r="K374" s="975" t="str">
        <f>IF(COUNTIFS(tblControles[Clave],tblControles[[#This Row],[Clave]])&gt;1,"Duplicado","")</f>
        <v/>
      </c>
    </row>
    <row r="375" spans="2:11">
      <c r="B375" s="975" t="str">
        <f>tblControles[[#This Row],[Fecha]]&amp;"|"&amp;tblControles[[#This Row],[Módulo]]&amp;"|"&amp;tblControles[[#This Row],[Ítem]]&amp;"|"&amp;tblControles[[#This Row],[Turno]]</f>
        <v>46267|TONELADAS X TURNO|Molino barras 8|2° turno</v>
      </c>
      <c r="C375" s="871">
        <v>46267</v>
      </c>
      <c r="D375" t="s">
        <v>9449</v>
      </c>
      <c r="E375" t="s">
        <v>394</v>
      </c>
      <c r="F375" t="s">
        <v>397</v>
      </c>
      <c r="G375">
        <v>1700</v>
      </c>
      <c r="H375" t="s">
        <v>9333</v>
      </c>
      <c r="I375" s="871">
        <v>46293.93683766204</v>
      </c>
      <c r="J375" t="s">
        <v>9528</v>
      </c>
      <c r="K375" s="975" t="str">
        <f>IF(COUNTIFS(tblControles[Clave],tblControles[[#This Row],[Clave]])&gt;1,"Duplicado","")</f>
        <v/>
      </c>
    </row>
    <row r="376" spans="2:11">
      <c r="B376" s="975" t="str">
        <f>tblControles[[#This Row],[Fecha]]&amp;"|"&amp;tblControles[[#This Row],[Módulo]]&amp;"|"&amp;tblControles[[#This Row],[Ítem]]&amp;"|"&amp;tblControles[[#This Row],[Turno]]</f>
        <v>46267|TONELADAS X TURNO|Molino barras 8|3° turno</v>
      </c>
      <c r="C376" s="871">
        <v>46267</v>
      </c>
      <c r="D376" t="s">
        <v>9449</v>
      </c>
      <c r="E376" t="s">
        <v>394</v>
      </c>
      <c r="F376" t="s">
        <v>398</v>
      </c>
      <c r="G376">
        <v>1535</v>
      </c>
      <c r="H376" t="s">
        <v>9333</v>
      </c>
      <c r="I376" s="871">
        <v>46293.93683766204</v>
      </c>
      <c r="J376" t="s">
        <v>9528</v>
      </c>
      <c r="K376" s="975" t="str">
        <f>IF(COUNTIFS(tblControles[Clave],tblControles[[#This Row],[Clave]])&gt;1,"Duplicado","")</f>
        <v/>
      </c>
    </row>
    <row r="377" spans="2:11">
      <c r="B377" s="975" t="str">
        <f>tblControles[[#This Row],[Fecha]]&amp;"|"&amp;tblControles[[#This Row],[Módulo]]&amp;"|"&amp;tblControles[[#This Row],[Ítem]]&amp;"|"&amp;tblControles[[#This Row],[Turno]]</f>
        <v>46267|TONELADAS X TURNO|Molino barras 9|1° turno</v>
      </c>
      <c r="C377" s="871">
        <v>46267</v>
      </c>
      <c r="D377" t="s">
        <v>9449</v>
      </c>
      <c r="E377" t="s">
        <v>395</v>
      </c>
      <c r="F377" t="s">
        <v>396</v>
      </c>
      <c r="G377">
        <v>1839</v>
      </c>
      <c r="H377" t="s">
        <v>9333</v>
      </c>
      <c r="I377" s="871">
        <v>46293.93683766204</v>
      </c>
      <c r="J377" t="s">
        <v>9528</v>
      </c>
      <c r="K377" s="975" t="str">
        <f>IF(COUNTIFS(tblControles[Clave],tblControles[[#This Row],[Clave]])&gt;1,"Duplicado","")</f>
        <v/>
      </c>
    </row>
    <row r="378" spans="2:11">
      <c r="B378" s="975" t="str">
        <f>tblControles[[#This Row],[Fecha]]&amp;"|"&amp;tblControles[[#This Row],[Módulo]]&amp;"|"&amp;tblControles[[#This Row],[Ítem]]&amp;"|"&amp;tblControles[[#This Row],[Turno]]</f>
        <v>46267|TONELADAS X TURNO|Molino barras 9|2° turno</v>
      </c>
      <c r="C378" s="871">
        <v>46267</v>
      </c>
      <c r="D378" t="s">
        <v>9449</v>
      </c>
      <c r="E378" t="s">
        <v>395</v>
      </c>
      <c r="F378" t="s">
        <v>397</v>
      </c>
      <c r="G378">
        <v>1723</v>
      </c>
      <c r="H378" t="s">
        <v>9333</v>
      </c>
      <c r="I378" s="871">
        <v>46293.93683766204</v>
      </c>
      <c r="J378" t="s">
        <v>9528</v>
      </c>
      <c r="K378" s="975" t="str">
        <f>IF(COUNTIFS(tblControles[Clave],tblControles[[#This Row],[Clave]])&gt;1,"Duplicado","")</f>
        <v/>
      </c>
    </row>
    <row r="379" spans="2:11">
      <c r="B379" s="975" t="str">
        <f>tblControles[[#This Row],[Fecha]]&amp;"|"&amp;tblControles[[#This Row],[Módulo]]&amp;"|"&amp;tblControles[[#This Row],[Ítem]]&amp;"|"&amp;tblControles[[#This Row],[Turno]]</f>
        <v>46267|TONELADAS X TURNO|Molino barras 9|3° turno</v>
      </c>
      <c r="C379" s="871">
        <v>46267</v>
      </c>
      <c r="D379" t="s">
        <v>9449</v>
      </c>
      <c r="E379" t="s">
        <v>395</v>
      </c>
      <c r="F379" t="s">
        <v>398</v>
      </c>
      <c r="G379">
        <v>1870</v>
      </c>
      <c r="H379" t="s">
        <v>9333</v>
      </c>
      <c r="I379" s="871">
        <v>46293.93683766204</v>
      </c>
      <c r="J379" t="s">
        <v>9528</v>
      </c>
      <c r="K379" s="975" t="str">
        <f>IF(COUNTIFS(tblControles[Clave],tblControles[[#This Row],[Clave]])&gt;1,"Duplicado","")</f>
        <v/>
      </c>
    </row>
    <row r="380" spans="2:11">
      <c r="B380" s="975" t="str">
        <f>tblControles[[#This Row],[Fecha]]&amp;"|"&amp;tblControles[[#This Row],[Módulo]]&amp;"|"&amp;tblControles[[#This Row],[Ítem]]&amp;"|"&amp;tblControles[[#This Row],[Turno]]</f>
        <v>46268|AGREGADO MEDIOS|BARRAS RM1|Cantidad</v>
      </c>
      <c r="C380" s="871">
        <v>46268</v>
      </c>
      <c r="D380" t="s">
        <v>9451</v>
      </c>
      <c r="E380" t="s">
        <v>410</v>
      </c>
      <c r="F380" t="s">
        <v>9453</v>
      </c>
      <c r="G380">
        <v>9</v>
      </c>
      <c r="H380" t="s">
        <v>9333</v>
      </c>
      <c r="I380" s="871">
        <v>46293.93683766204</v>
      </c>
      <c r="J380" t="s">
        <v>9524</v>
      </c>
      <c r="K380" s="975" t="str">
        <f>IF(COUNTIFS(tblControles[Clave],tblControles[[#This Row],[Clave]])&gt;1,"Duplicado","")</f>
        <v/>
      </c>
    </row>
    <row r="381" spans="2:11">
      <c r="B381" s="975" t="str">
        <f>tblControles[[#This Row],[Fecha]]&amp;"|"&amp;tblControles[[#This Row],[Módulo]]&amp;"|"&amp;tblControles[[#This Row],[Ítem]]&amp;"|"&amp;tblControles[[#This Row],[Turno]]</f>
        <v>46268|AGREGADO MEDIOS|BARRAS RM2|Cantidad</v>
      </c>
      <c r="C381" s="871">
        <v>46268</v>
      </c>
      <c r="D381" t="s">
        <v>9451</v>
      </c>
      <c r="E381" t="s">
        <v>411</v>
      </c>
      <c r="F381" t="s">
        <v>9453</v>
      </c>
      <c r="G381">
        <v>0</v>
      </c>
      <c r="H381" t="s">
        <v>9333</v>
      </c>
      <c r="I381" s="871">
        <v>46293.93683766204</v>
      </c>
      <c r="J381" t="s">
        <v>9524</v>
      </c>
      <c r="K381" s="975" t="str">
        <f>IF(COUNTIFS(tblControles[Clave],tblControles[[#This Row],[Clave]])&gt;1,"Duplicado","")</f>
        <v/>
      </c>
    </row>
    <row r="382" spans="2:11">
      <c r="B382" s="975" t="str">
        <f>tblControles[[#This Row],[Fecha]]&amp;"|"&amp;tblControles[[#This Row],[Módulo]]&amp;"|"&amp;tblControles[[#This Row],[Ítem]]&amp;"|"&amp;tblControles[[#This Row],[Turno]]</f>
        <v>46268|AGREGADO MEDIOS|BARRAS RM3|Cantidad</v>
      </c>
      <c r="C382" s="871">
        <v>46268</v>
      </c>
      <c r="D382" t="s">
        <v>9451</v>
      </c>
      <c r="E382" t="s">
        <v>412</v>
      </c>
      <c r="F382" t="s">
        <v>9453</v>
      </c>
      <c r="G382">
        <v>0</v>
      </c>
      <c r="H382" t="s">
        <v>9333</v>
      </c>
      <c r="I382" s="871">
        <v>46293.93683766204</v>
      </c>
      <c r="J382" t="s">
        <v>9524</v>
      </c>
      <c r="K382" s="975" t="str">
        <f>IF(COUNTIFS(tblControles[Clave],tblControles[[#This Row],[Clave]])&gt;1,"Duplicado","")</f>
        <v/>
      </c>
    </row>
    <row r="383" spans="2:11">
      <c r="B383" s="975" t="str">
        <f>tblControles[[#This Row],[Fecha]]&amp;"|"&amp;tblControles[[#This Row],[Módulo]]&amp;"|"&amp;tblControles[[#This Row],[Ítem]]&amp;"|"&amp;tblControles[[#This Row],[Turno]]</f>
        <v>46268|AGREGADO MEDIOS|BARRAS RM4|Cantidad</v>
      </c>
      <c r="C383" s="871">
        <v>46268</v>
      </c>
      <c r="D383" t="s">
        <v>9451</v>
      </c>
      <c r="E383" t="s">
        <v>413</v>
      </c>
      <c r="F383" t="s">
        <v>9453</v>
      </c>
      <c r="G383">
        <v>0</v>
      </c>
      <c r="H383" t="s">
        <v>9333</v>
      </c>
      <c r="I383" s="871">
        <v>46293.93683766204</v>
      </c>
      <c r="J383" t="s">
        <v>9524</v>
      </c>
      <c r="K383" s="975" t="str">
        <f>IF(COUNTIFS(tblControles[Clave],tblControles[[#This Row],[Clave]])&gt;1,"Duplicado","")</f>
        <v/>
      </c>
    </row>
    <row r="384" spans="2:11">
      <c r="B384" s="975" t="str">
        <f>tblControles[[#This Row],[Fecha]]&amp;"|"&amp;tblControles[[#This Row],[Módulo]]&amp;"|"&amp;tblControles[[#This Row],[Ítem]]&amp;"|"&amp;tblControles[[#This Row],[Turno]]</f>
        <v>46268|AGREGADO MEDIOS|BARRAS RM5|Cantidad</v>
      </c>
      <c r="C384" s="871">
        <v>46268</v>
      </c>
      <c r="D384" t="s">
        <v>9451</v>
      </c>
      <c r="E384" t="s">
        <v>414</v>
      </c>
      <c r="F384" t="s">
        <v>9453</v>
      </c>
      <c r="G384">
        <v>0</v>
      </c>
      <c r="H384" t="s">
        <v>9333</v>
      </c>
      <c r="I384" s="871">
        <v>46293.93683766204</v>
      </c>
      <c r="J384" t="s">
        <v>9524</v>
      </c>
      <c r="K384" s="975" t="str">
        <f>IF(COUNTIFS(tblControles[Clave],tblControles[[#This Row],[Clave]])&gt;1,"Duplicado","")</f>
        <v/>
      </c>
    </row>
    <row r="385" spans="2:11">
      <c r="B385" s="975" t="str">
        <f>tblControles[[#This Row],[Fecha]]&amp;"|"&amp;tblControles[[#This Row],[Módulo]]&amp;"|"&amp;tblControles[[#This Row],[Ítem]]&amp;"|"&amp;tblControles[[#This Row],[Turno]]</f>
        <v>46268|AGREGADO MEDIOS|BARRAS RM6|Cantidad</v>
      </c>
      <c r="C385" s="871">
        <v>46268</v>
      </c>
      <c r="D385" t="s">
        <v>9451</v>
      </c>
      <c r="E385" t="s">
        <v>415</v>
      </c>
      <c r="F385" t="s">
        <v>9453</v>
      </c>
      <c r="G385">
        <v>0</v>
      </c>
      <c r="H385" t="s">
        <v>9333</v>
      </c>
      <c r="I385" s="871">
        <v>46293.93683766204</v>
      </c>
      <c r="J385" t="s">
        <v>9524</v>
      </c>
      <c r="K385" s="975" t="str">
        <f>IF(COUNTIFS(tblControles[Clave],tblControles[[#This Row],[Clave]])&gt;1,"Duplicado","")</f>
        <v/>
      </c>
    </row>
    <row r="386" spans="2:11">
      <c r="B386" s="975" t="str">
        <f>tblControles[[#This Row],[Fecha]]&amp;"|"&amp;tblControles[[#This Row],[Módulo]]&amp;"|"&amp;tblControles[[#This Row],[Ítem]]&amp;"|"&amp;tblControles[[#This Row],[Turno]]</f>
        <v>46268|AGREGADO MEDIOS|BARRAS RM7|Cantidad</v>
      </c>
      <c r="C386" s="871">
        <v>46268</v>
      </c>
      <c r="D386" t="s">
        <v>9451</v>
      </c>
      <c r="E386" t="s">
        <v>416</v>
      </c>
      <c r="F386" t="s">
        <v>9453</v>
      </c>
      <c r="G386">
        <v>0</v>
      </c>
      <c r="H386" t="s">
        <v>9333</v>
      </c>
      <c r="I386" s="871">
        <v>46293.93683766204</v>
      </c>
      <c r="J386" t="s">
        <v>9524</v>
      </c>
      <c r="K386" s="975" t="str">
        <f>IF(COUNTIFS(tblControles[Clave],tblControles[[#This Row],[Clave]])&gt;1,"Duplicado","")</f>
        <v/>
      </c>
    </row>
    <row r="387" spans="2:11">
      <c r="B387" s="975" t="str">
        <f>tblControles[[#This Row],[Fecha]]&amp;"|"&amp;tblControles[[#This Row],[Módulo]]&amp;"|"&amp;tblControles[[#This Row],[Ítem]]&amp;"|"&amp;tblControles[[#This Row],[Turno]]</f>
        <v>46268|AGREGADO MEDIOS|BARRAS RM8|Cantidad</v>
      </c>
      <c r="C387" s="871">
        <v>46268</v>
      </c>
      <c r="D387" t="s">
        <v>9451</v>
      </c>
      <c r="E387" t="s">
        <v>417</v>
      </c>
      <c r="F387" t="s">
        <v>9453</v>
      </c>
      <c r="G387">
        <v>14</v>
      </c>
      <c r="H387" t="s">
        <v>9333</v>
      </c>
      <c r="I387" s="871">
        <v>46293.93683766204</v>
      </c>
      <c r="J387" t="s">
        <v>9524</v>
      </c>
      <c r="K387" s="975" t="str">
        <f>IF(COUNTIFS(tblControles[Clave],tblControles[[#This Row],[Clave]])&gt;1,"Duplicado","")</f>
        <v/>
      </c>
    </row>
    <row r="388" spans="2:11">
      <c r="B388" s="975" t="str">
        <f>tblControles[[#This Row],[Fecha]]&amp;"|"&amp;tblControles[[#This Row],[Módulo]]&amp;"|"&amp;tblControles[[#This Row],[Ítem]]&amp;"|"&amp;tblControles[[#This Row],[Turno]]</f>
        <v>46268|AGREGADO MEDIOS|BARRAS 9 RM9|Cantidad</v>
      </c>
      <c r="C388" s="871">
        <v>46268</v>
      </c>
      <c r="D388" t="s">
        <v>9451</v>
      </c>
      <c r="E388" t="s">
        <v>418</v>
      </c>
      <c r="F388" t="s">
        <v>9453</v>
      </c>
      <c r="G388">
        <v>12</v>
      </c>
      <c r="H388" t="s">
        <v>9333</v>
      </c>
      <c r="I388" s="871">
        <v>46293.93683766204</v>
      </c>
      <c r="J388" t="s">
        <v>9524</v>
      </c>
      <c r="K388" s="975" t="str">
        <f>IF(COUNTIFS(tblControles[Clave],tblControles[[#This Row],[Clave]])&gt;1,"Duplicado","")</f>
        <v/>
      </c>
    </row>
    <row r="389" spans="2:11">
      <c r="B389" s="975" t="str">
        <f>tblControles[[#This Row],[Fecha]]&amp;"|"&amp;tblControles[[#This Row],[Módulo]]&amp;"|"&amp;tblControles[[#This Row],[Ítem]]&amp;"|"&amp;tblControles[[#This Row],[Turno]]</f>
        <v>46268|AGREGADO MEDIOS|CONOS 40X50 BM1|Cantidad</v>
      </c>
      <c r="C389" s="871">
        <v>46268</v>
      </c>
      <c r="D389" t="s">
        <v>9451</v>
      </c>
      <c r="E389" t="s">
        <v>420</v>
      </c>
      <c r="F389" t="s">
        <v>9453</v>
      </c>
      <c r="G389">
        <v>6</v>
      </c>
      <c r="H389" t="s">
        <v>9333</v>
      </c>
      <c r="I389" s="871">
        <v>46293.93683766204</v>
      </c>
      <c r="J389" t="s">
        <v>9524</v>
      </c>
      <c r="K389" s="975" t="str">
        <f>IF(COUNTIFS(tblControles[Clave],tblControles[[#This Row],[Clave]])&gt;1,"Duplicado","")</f>
        <v/>
      </c>
    </row>
    <row r="390" spans="2:11">
      <c r="B390" s="975" t="str">
        <f>tblControles[[#This Row],[Fecha]]&amp;"|"&amp;tblControles[[#This Row],[Módulo]]&amp;"|"&amp;tblControles[[#This Row],[Ítem]]&amp;"|"&amp;tblControles[[#This Row],[Turno]]</f>
        <v>46268|AGREGADO MEDIOS|CONOS 40X50 BM2|Cantidad</v>
      </c>
      <c r="C390" s="871">
        <v>46268</v>
      </c>
      <c r="D390" t="s">
        <v>9451</v>
      </c>
      <c r="E390" t="s">
        <v>421</v>
      </c>
      <c r="F390" t="s">
        <v>9453</v>
      </c>
      <c r="G390">
        <v>0</v>
      </c>
      <c r="H390" t="s">
        <v>9333</v>
      </c>
      <c r="I390" s="871">
        <v>46293.93683766204</v>
      </c>
      <c r="J390" t="s">
        <v>9524</v>
      </c>
      <c r="K390" s="975" t="str">
        <f>IF(COUNTIFS(tblControles[Clave],tblControles[[#This Row],[Clave]])&gt;1,"Duplicado","")</f>
        <v/>
      </c>
    </row>
    <row r="391" spans="2:11">
      <c r="B391" s="975" t="str">
        <f>tblControles[[#This Row],[Fecha]]&amp;"|"&amp;tblControles[[#This Row],[Módulo]]&amp;"|"&amp;tblControles[[#This Row],[Ítem]]&amp;"|"&amp;tblControles[[#This Row],[Turno]]</f>
        <v>46268|AGREGADO MEDIOS|CONOS 40X50 BM3|Cantidad</v>
      </c>
      <c r="C391" s="871">
        <v>46268</v>
      </c>
      <c r="D391" t="s">
        <v>9451</v>
      </c>
      <c r="E391" t="s">
        <v>422</v>
      </c>
      <c r="F391" t="s">
        <v>9453</v>
      </c>
      <c r="G391">
        <v>0</v>
      </c>
      <c r="H391" t="s">
        <v>9333</v>
      </c>
      <c r="I391" s="871">
        <v>46293.93683766204</v>
      </c>
      <c r="J391" t="s">
        <v>9524</v>
      </c>
      <c r="K391" s="975" t="str">
        <f>IF(COUNTIFS(tblControles[Clave],tblControles[[#This Row],[Clave]])&gt;1,"Duplicado","")</f>
        <v/>
      </c>
    </row>
    <row r="392" spans="2:11">
      <c r="B392" s="975" t="str">
        <f>tblControles[[#This Row],[Fecha]]&amp;"|"&amp;tblControles[[#This Row],[Módulo]]&amp;"|"&amp;tblControles[[#This Row],[Ítem]]&amp;"|"&amp;tblControles[[#This Row],[Turno]]</f>
        <v>46268|AGREGADO MEDIOS|CONOS 40X50 BM4|Cantidad</v>
      </c>
      <c r="C392" s="871">
        <v>46268</v>
      </c>
      <c r="D392" t="s">
        <v>9451</v>
      </c>
      <c r="E392" t="s">
        <v>423</v>
      </c>
      <c r="F392" t="s">
        <v>9453</v>
      </c>
      <c r="G392">
        <v>6</v>
      </c>
      <c r="H392" t="s">
        <v>9333</v>
      </c>
      <c r="I392" s="871">
        <v>46293.93683766204</v>
      </c>
      <c r="J392" t="s">
        <v>9524</v>
      </c>
      <c r="K392" s="975" t="str">
        <f>IF(COUNTIFS(tblControles[Clave],tblControles[[#This Row],[Clave]])&gt;1,"Duplicado","")</f>
        <v/>
      </c>
    </row>
    <row r="393" spans="2:11">
      <c r="B393" s="975" t="str">
        <f>tblControles[[#This Row],[Fecha]]&amp;"|"&amp;tblControles[[#This Row],[Módulo]]&amp;"|"&amp;tblControles[[#This Row],[Ítem]]&amp;"|"&amp;tblControles[[#This Row],[Turno]]</f>
        <v>46268|AGREGADO MEDIOS|CONOS 30X35 BM5|Cantidad</v>
      </c>
      <c r="C393" s="871">
        <v>46268</v>
      </c>
      <c r="D393" t="s">
        <v>9451</v>
      </c>
      <c r="E393" t="s">
        <v>424</v>
      </c>
      <c r="F393" t="s">
        <v>9453</v>
      </c>
      <c r="G393">
        <v>0</v>
      </c>
      <c r="H393" t="s">
        <v>9333</v>
      </c>
      <c r="I393" s="871">
        <v>46293.93683766204</v>
      </c>
      <c r="J393" t="s">
        <v>9524</v>
      </c>
      <c r="K393" s="975" t="str">
        <f>IF(COUNTIFS(tblControles[Clave],tblControles[[#This Row],[Clave]])&gt;1,"Duplicado","")</f>
        <v/>
      </c>
    </row>
    <row r="394" spans="2:11">
      <c r="B394" s="975" t="str">
        <f>tblControles[[#This Row],[Fecha]]&amp;"|"&amp;tblControles[[#This Row],[Módulo]]&amp;"|"&amp;tblControles[[#This Row],[Ítem]]&amp;"|"&amp;tblControles[[#This Row],[Turno]]</f>
        <v>46268|AGREGADO MEDIOS|CONOS 40X50 BM6|Cantidad</v>
      </c>
      <c r="C394" s="871">
        <v>46268</v>
      </c>
      <c r="D394" t="s">
        <v>9451</v>
      </c>
      <c r="E394" t="s">
        <v>425</v>
      </c>
      <c r="F394" t="s">
        <v>9453</v>
      </c>
      <c r="G394">
        <v>6</v>
      </c>
      <c r="H394" t="s">
        <v>9333</v>
      </c>
      <c r="I394" s="871">
        <v>46293.93683766204</v>
      </c>
      <c r="J394" t="s">
        <v>9524</v>
      </c>
      <c r="K394" s="975" t="str">
        <f>IF(COUNTIFS(tblControles[Clave],tblControles[[#This Row],[Clave]])&gt;1,"Duplicado","")</f>
        <v/>
      </c>
    </row>
    <row r="395" spans="2:11">
      <c r="B395" s="975" t="str">
        <f>tblControles[[#This Row],[Fecha]]&amp;"|"&amp;tblControles[[#This Row],[Módulo]]&amp;"|"&amp;tblControles[[#This Row],[Ítem]]&amp;"|"&amp;tblControles[[#This Row],[Turno]]</f>
        <v>46268|AGREGADO MEDIOS|CONOS 40X50 BM7|Cantidad</v>
      </c>
      <c r="C395" s="871">
        <v>46268</v>
      </c>
      <c r="D395" t="s">
        <v>9451</v>
      </c>
      <c r="E395" t="s">
        <v>426</v>
      </c>
      <c r="F395" t="s">
        <v>9453</v>
      </c>
      <c r="G395">
        <v>6</v>
      </c>
      <c r="H395" t="s">
        <v>9333</v>
      </c>
      <c r="I395" s="871">
        <v>46293.93683766204</v>
      </c>
      <c r="J395" t="s">
        <v>9524</v>
      </c>
      <c r="K395" s="975" t="str">
        <f>IF(COUNTIFS(tblControles[Clave],tblControles[[#This Row],[Clave]])&gt;1,"Duplicado","")</f>
        <v/>
      </c>
    </row>
    <row r="396" spans="2:11">
      <c r="B396" s="975" t="str">
        <f>tblControles[[#This Row],[Fecha]]&amp;"|"&amp;tblControles[[#This Row],[Módulo]]&amp;"|"&amp;tblControles[[#This Row],[Ítem]]&amp;"|"&amp;tblControles[[#This Row],[Turno]]</f>
        <v>46268|AGREGADO MEDIOS|CONOS 40X50|Cantidad</v>
      </c>
      <c r="C396" s="871">
        <v>46268</v>
      </c>
      <c r="D396" t="s">
        <v>9451</v>
      </c>
      <c r="E396" t="s">
        <v>427</v>
      </c>
      <c r="F396" t="s">
        <v>9453</v>
      </c>
      <c r="G396">
        <v>6</v>
      </c>
      <c r="H396" t="s">
        <v>9333</v>
      </c>
      <c r="I396" s="871">
        <v>46293.93683766204</v>
      </c>
      <c r="J396" t="s">
        <v>9524</v>
      </c>
      <c r="K396" s="975" t="str">
        <f>IF(COUNTIFS(tblControles[Clave],tblControles[[#This Row],[Clave]])&gt;1,"Duplicado","")</f>
        <v/>
      </c>
    </row>
    <row r="397" spans="2:11">
      <c r="B397" s="975" t="str">
        <f>tblControles[[#This Row],[Fecha]]&amp;"|"&amp;tblControles[[#This Row],[Módulo]]&amp;"|"&amp;tblControles[[#This Row],[Ítem]]&amp;"|"&amp;tblControles[[#This Row],[Turno]]</f>
        <v>46268|AGREGADO MEDIOS|CONOS 30X35|Cantidad</v>
      </c>
      <c r="C397" s="871">
        <v>46268</v>
      </c>
      <c r="D397" t="s">
        <v>9451</v>
      </c>
      <c r="E397" t="s">
        <v>428</v>
      </c>
      <c r="F397" t="s">
        <v>9453</v>
      </c>
      <c r="G397">
        <v>18</v>
      </c>
      <c r="H397" t="s">
        <v>9333</v>
      </c>
      <c r="I397" s="871">
        <v>46293.93683766204</v>
      </c>
      <c r="J397" t="s">
        <v>9524</v>
      </c>
      <c r="K397" s="975" t="str">
        <f>IF(COUNTIFS(tblControles[Clave],tblControles[[#This Row],[Clave]])&gt;1,"Duplicado","")</f>
        <v/>
      </c>
    </row>
    <row r="398" spans="2:11">
      <c r="B398" s="975" t="str">
        <f>tblControles[[#This Row],[Fecha]]&amp;"|"&amp;tblControles[[#This Row],[Módulo]]&amp;"|"&amp;tblControles[[#This Row],[Ítem]]&amp;"|"&amp;tblControles[[#This Row],[Turno]]</f>
        <v>46268|AGREGADO MEDIOS|BOLAS BM8|Cantidad</v>
      </c>
      <c r="C398" s="871">
        <v>46268</v>
      </c>
      <c r="D398" t="s">
        <v>9451</v>
      </c>
      <c r="E398" t="s">
        <v>429</v>
      </c>
      <c r="F398" t="s">
        <v>9453</v>
      </c>
      <c r="G398">
        <v>4</v>
      </c>
      <c r="H398" t="s">
        <v>9333</v>
      </c>
      <c r="I398" s="871">
        <v>46293.93683766204</v>
      </c>
      <c r="J398" t="s">
        <v>9524</v>
      </c>
      <c r="K398" s="975" t="str">
        <f>IF(COUNTIFS(tblControles[Clave],tblControles[[#This Row],[Clave]])&gt;1,"Duplicado","")</f>
        <v/>
      </c>
    </row>
    <row r="399" spans="2:11">
      <c r="B399" s="975" t="str">
        <f>tblControles[[#This Row],[Fecha]]&amp;"|"&amp;tblControles[[#This Row],[Módulo]]&amp;"|"&amp;tblControles[[#This Row],[Ítem]]&amp;"|"&amp;tblControles[[#This Row],[Turno]]</f>
        <v>46268|AGREGADO MEDIOS|BOLAS BM9|Cantidad</v>
      </c>
      <c r="C399" s="871">
        <v>46268</v>
      </c>
      <c r="D399" t="s">
        <v>9451</v>
      </c>
      <c r="E399" t="s">
        <v>430</v>
      </c>
      <c r="F399" t="s">
        <v>9453</v>
      </c>
      <c r="G399">
        <v>8</v>
      </c>
      <c r="H399" t="s">
        <v>9333</v>
      </c>
      <c r="I399" s="871">
        <v>46293.93683766204</v>
      </c>
      <c r="J399" t="s">
        <v>9524</v>
      </c>
      <c r="K399" s="975" t="str">
        <f>IF(COUNTIFS(tblControles[Clave],tblControles[[#This Row],[Clave]])&gt;1,"Duplicado","")</f>
        <v/>
      </c>
    </row>
    <row r="400" spans="2:11">
      <c r="B400" s="975" t="str">
        <f>tblControles[[#This Row],[Fecha]]&amp;"|"&amp;tblControles[[#This Row],[Módulo]]&amp;"|"&amp;tblControles[[#This Row],[Ítem]]&amp;"|"&amp;tblControles[[#This Row],[Turno]]</f>
        <v>46268|AGREGADO MEDIOS|BOLAS BM10|Cantidad</v>
      </c>
      <c r="C400" s="871">
        <v>46268</v>
      </c>
      <c r="D400" t="s">
        <v>9451</v>
      </c>
      <c r="E400" t="s">
        <v>431</v>
      </c>
      <c r="F400" t="s">
        <v>9453</v>
      </c>
      <c r="G400">
        <v>6</v>
      </c>
      <c r="H400" t="s">
        <v>9333</v>
      </c>
      <c r="I400" s="871">
        <v>46293.93683766204</v>
      </c>
      <c r="J400" t="s">
        <v>9524</v>
      </c>
      <c r="K400" s="975" t="str">
        <f>IF(COUNTIFS(tblControles[Clave],tblControles[[#This Row],[Clave]])&gt;1,"Duplicado","")</f>
        <v/>
      </c>
    </row>
    <row r="401" spans="2:11">
      <c r="B401" s="975" t="str">
        <f>tblControles[[#This Row],[Fecha]]&amp;"|"&amp;tblControles[[#This Row],[Módulo]]&amp;"|"&amp;tblControles[[#This Row],[Ítem]]&amp;"|"&amp;tblControles[[#This Row],[Turno]]</f>
        <v>46268|AGREGADO MEDIOS|BOLAS ALTO CROM|Cantidad</v>
      </c>
      <c r="C401" s="871">
        <v>46268</v>
      </c>
      <c r="D401" t="s">
        <v>9451</v>
      </c>
      <c r="E401" t="s">
        <v>432</v>
      </c>
      <c r="F401" t="s">
        <v>9453</v>
      </c>
      <c r="G401">
        <v>18</v>
      </c>
      <c r="H401" t="s">
        <v>9333</v>
      </c>
      <c r="I401" s="871">
        <v>46293.93683766204</v>
      </c>
      <c r="J401" t="s">
        <v>9524</v>
      </c>
      <c r="K401" s="975" t="str">
        <f>IF(COUNTIFS(tblControles[Clave],tblControles[[#This Row],[Clave]])&gt;1,"Duplicado","")</f>
        <v/>
      </c>
    </row>
    <row r="402" spans="2:11">
      <c r="B402" s="975" t="str">
        <f>tblControles[[#This Row],[Fecha]]&amp;"|"&amp;tblControles[[#This Row],[Módulo]]&amp;"|"&amp;tblControles[[#This Row],[Ítem]]&amp;"|"&amp;tblControles[[#This Row],[Turno]]</f>
        <v>46268|FILTROS H2O|Filtro # 1|2 TURNO</v>
      </c>
      <c r="C402" s="871">
        <v>46268</v>
      </c>
      <c r="D402" t="s">
        <v>9430</v>
      </c>
      <c r="E402" t="s">
        <v>9525</v>
      </c>
      <c r="F402" t="s">
        <v>327</v>
      </c>
      <c r="G402" t="s">
        <v>3227</v>
      </c>
      <c r="H402" t="s">
        <v>9333</v>
      </c>
      <c r="I402" s="871">
        <v>46293.93683766204</v>
      </c>
      <c r="J402" t="s">
        <v>9526</v>
      </c>
      <c r="K402" s="975" t="str">
        <f>IF(COUNTIFS(tblControles[Clave],tblControles[[#This Row],[Clave]])&gt;1,"Duplicado","")</f>
        <v/>
      </c>
    </row>
    <row r="403" spans="2:11">
      <c r="B403" s="975" t="str">
        <f>tblControles[[#This Row],[Fecha]]&amp;"|"&amp;tblControles[[#This Row],[Módulo]]&amp;"|"&amp;tblControles[[#This Row],[Ítem]]&amp;"|"&amp;tblControles[[#This Row],[Turno]]</f>
        <v>46268|FILTROS H2O|Filtro # 2|2 TURNO</v>
      </c>
      <c r="C403" s="871">
        <v>46268</v>
      </c>
      <c r="D403" t="s">
        <v>9430</v>
      </c>
      <c r="E403" t="s">
        <v>9463</v>
      </c>
      <c r="F403" t="s">
        <v>327</v>
      </c>
      <c r="G403" t="s">
        <v>3227</v>
      </c>
      <c r="H403" t="s">
        <v>9333</v>
      </c>
      <c r="I403" s="871">
        <v>46293.93683766204</v>
      </c>
      <c r="J403" t="s">
        <v>9526</v>
      </c>
      <c r="K403" s="975" t="str">
        <f>IF(COUNTIFS(tblControles[Clave],tblControles[[#This Row],[Clave]])&gt;1,"Duplicado","")</f>
        <v/>
      </c>
    </row>
    <row r="404" spans="2:11">
      <c r="B404" s="975" t="str">
        <f>tblControles[[#This Row],[Fecha]]&amp;"|"&amp;tblControles[[#This Row],[Módulo]]&amp;"|"&amp;tblControles[[#This Row],[Ítem]]&amp;"|"&amp;tblControles[[#This Row],[Turno]]</f>
        <v>46268|FILTROS H2O|Filtro # 3|2 TURNO</v>
      </c>
      <c r="C404" s="871">
        <v>46268</v>
      </c>
      <c r="D404" t="s">
        <v>9430</v>
      </c>
      <c r="E404" t="s">
        <v>9464</v>
      </c>
      <c r="F404" t="s">
        <v>327</v>
      </c>
      <c r="G404" t="s">
        <v>3227</v>
      </c>
      <c r="H404" t="s">
        <v>9333</v>
      </c>
      <c r="I404" s="871">
        <v>46293.93683766204</v>
      </c>
      <c r="J404" t="s">
        <v>9526</v>
      </c>
      <c r="K404" s="975" t="str">
        <f>IF(COUNTIFS(tblControles[Clave],tblControles[[#This Row],[Clave]])&gt;1,"Duplicado","")</f>
        <v/>
      </c>
    </row>
    <row r="405" spans="2:11">
      <c r="B405" s="975" t="str">
        <f>tblControles[[#This Row],[Fecha]]&amp;"|"&amp;tblControles[[#This Row],[Módulo]]&amp;"|"&amp;tblControles[[#This Row],[Ítem]]&amp;"|"&amp;tblControles[[#This Row],[Turno]]</f>
        <v>46268|FILTROS H2O|Filtro # 4|2 TURNO</v>
      </c>
      <c r="C405" s="871">
        <v>46268</v>
      </c>
      <c r="D405" t="s">
        <v>9430</v>
      </c>
      <c r="E405" t="s">
        <v>9465</v>
      </c>
      <c r="F405" t="s">
        <v>327</v>
      </c>
      <c r="G405" t="s">
        <v>345</v>
      </c>
      <c r="H405" t="s">
        <v>9333</v>
      </c>
      <c r="I405" s="871">
        <v>46293.93683766204</v>
      </c>
      <c r="J405" t="s">
        <v>9526</v>
      </c>
      <c r="K405" s="975" t="str">
        <f>IF(COUNTIFS(tblControles[Clave],tblControles[[#This Row],[Clave]])&gt;1,"Duplicado","")</f>
        <v/>
      </c>
    </row>
    <row r="406" spans="2:11">
      <c r="B406" s="975" t="str">
        <f>tblControles[[#This Row],[Fecha]]&amp;"|"&amp;tblControles[[#This Row],[Módulo]]&amp;"|"&amp;tblControles[[#This Row],[Ítem]]&amp;"|"&amp;tblControles[[#This Row],[Turno]]</f>
        <v>46268|FILTROS H2O|Filtro # 5|2 TURNO</v>
      </c>
      <c r="C406" s="871">
        <v>46268</v>
      </c>
      <c r="D406" t="s">
        <v>9430</v>
      </c>
      <c r="E406" t="s">
        <v>9466</v>
      </c>
      <c r="F406" t="s">
        <v>327</v>
      </c>
      <c r="G406" t="s">
        <v>3227</v>
      </c>
      <c r="H406" t="s">
        <v>9333</v>
      </c>
      <c r="I406" s="871">
        <v>46293.93683766204</v>
      </c>
      <c r="J406" t="s">
        <v>9526</v>
      </c>
      <c r="K406" s="975" t="str">
        <f>IF(COUNTIFS(tblControles[Clave],tblControles[[#This Row],[Clave]])&gt;1,"Duplicado","")</f>
        <v/>
      </c>
    </row>
    <row r="407" spans="2:11">
      <c r="B407" s="975" t="str">
        <f>tblControles[[#This Row],[Fecha]]&amp;"|"&amp;tblControles[[#This Row],[Módulo]]&amp;"|"&amp;tblControles[[#This Row],[Ítem]]&amp;"|"&amp;tblControles[[#This Row],[Turno]]</f>
        <v>46268|FILTROS H2O|Filtro Linea # 5|2 TURNO</v>
      </c>
      <c r="C407" s="871">
        <v>46268</v>
      </c>
      <c r="D407" t="s">
        <v>9430</v>
      </c>
      <c r="E407" t="s">
        <v>331</v>
      </c>
      <c r="F407" t="s">
        <v>327</v>
      </c>
      <c r="G407" t="s">
        <v>3227</v>
      </c>
      <c r="H407" t="s">
        <v>9333</v>
      </c>
      <c r="I407" s="871">
        <v>46293.93683766204</v>
      </c>
      <c r="J407" t="s">
        <v>9526</v>
      </c>
      <c r="K407" s="975" t="str">
        <f>IF(COUNTIFS(tblControles[Clave],tblControles[[#This Row],[Clave]])&gt;1,"Duplicado","")</f>
        <v/>
      </c>
    </row>
    <row r="408" spans="2:11">
      <c r="B408" s="975" t="str">
        <f>tblControles[[#This Row],[Fecha]]&amp;"|"&amp;tblControles[[#This Row],[Módulo]]&amp;"|"&amp;tblControles[[#This Row],[Ítem]]&amp;"|"&amp;tblControles[[#This Row],[Turno]]</f>
        <v>46268|FILTROS H2O|Filtro Linea # 6|2 TURNO</v>
      </c>
      <c r="C408" s="871">
        <v>46268</v>
      </c>
      <c r="D408" t="s">
        <v>9430</v>
      </c>
      <c r="E408" t="s">
        <v>332</v>
      </c>
      <c r="F408" t="s">
        <v>327</v>
      </c>
      <c r="G408" t="s">
        <v>3227</v>
      </c>
      <c r="H408" t="s">
        <v>9333</v>
      </c>
      <c r="I408" s="871">
        <v>46293.93683766204</v>
      </c>
      <c r="J408" t="s">
        <v>9526</v>
      </c>
      <c r="K408" s="975" t="str">
        <f>IF(COUNTIFS(tblControles[Clave],tblControles[[#This Row],[Clave]])&gt;1,"Duplicado","")</f>
        <v/>
      </c>
    </row>
    <row r="409" spans="2:11">
      <c r="B409" s="975" t="str">
        <f>tblControles[[#This Row],[Fecha]]&amp;"|"&amp;tblControles[[#This Row],[Módulo]]&amp;"|"&amp;tblControles[[#This Row],[Ítem]]&amp;"|"&amp;tblControles[[#This Row],[Turno]]</f>
        <v>46268|FILTROS H2O|Filtro Linea # 7|2 TURNO</v>
      </c>
      <c r="C409" s="871">
        <v>46268</v>
      </c>
      <c r="D409" t="s">
        <v>9430</v>
      </c>
      <c r="E409" t="s">
        <v>9467</v>
      </c>
      <c r="F409" t="s">
        <v>327</v>
      </c>
      <c r="G409" t="s">
        <v>3227</v>
      </c>
      <c r="H409" t="s">
        <v>9333</v>
      </c>
      <c r="I409" s="871">
        <v>46293.93683766204</v>
      </c>
      <c r="J409" t="s">
        <v>9526</v>
      </c>
      <c r="K409" s="975" t="str">
        <f>IF(COUNTIFS(tblControles[Clave],tblControles[[#This Row],[Clave]])&gt;1,"Duplicado","")</f>
        <v/>
      </c>
    </row>
    <row r="410" spans="2:11">
      <c r="B410" s="975" t="str">
        <f>tblControles[[#This Row],[Fecha]]&amp;"|"&amp;tblControles[[#This Row],[Módulo]]&amp;"|"&amp;tblControles[[#This Row],[Ítem]]&amp;"|"&amp;tblControles[[#This Row],[Turno]]</f>
        <v>46268|FILTROS H2O|Filtro Linea # 8|2 TURNO</v>
      </c>
      <c r="C410" s="871">
        <v>46268</v>
      </c>
      <c r="D410" t="s">
        <v>9430</v>
      </c>
      <c r="E410" t="s">
        <v>9468</v>
      </c>
      <c r="F410" t="s">
        <v>327</v>
      </c>
      <c r="G410" t="s">
        <v>345</v>
      </c>
      <c r="H410" t="s">
        <v>9333</v>
      </c>
      <c r="I410" s="871">
        <v>46293.93683766204</v>
      </c>
      <c r="J410" t="s">
        <v>9526</v>
      </c>
      <c r="K410" s="975" t="str">
        <f>IF(COUNTIFS(tblControles[Clave],tblControles[[#This Row],[Clave]])&gt;1,"Duplicado","")</f>
        <v/>
      </c>
    </row>
    <row r="411" spans="2:11">
      <c r="B411" s="975" t="str">
        <f>tblControles[[#This Row],[Fecha]]&amp;"|"&amp;tblControles[[#This Row],[Módulo]]&amp;"|"&amp;tblControles[[#This Row],[Ítem]]&amp;"|"&amp;tblControles[[#This Row],[Turno]]</f>
        <v>46268|FILTROS H2O|Filtro Linea # 9 (01)|2 TURNO</v>
      </c>
      <c r="C411" s="871">
        <v>46268</v>
      </c>
      <c r="D411" t="s">
        <v>9430</v>
      </c>
      <c r="E411" t="s">
        <v>9469</v>
      </c>
      <c r="F411" t="s">
        <v>327</v>
      </c>
      <c r="G411" t="s">
        <v>3227</v>
      </c>
      <c r="H411" t="s">
        <v>9333</v>
      </c>
      <c r="I411" s="871">
        <v>46293.93683766204</v>
      </c>
      <c r="J411" t="s">
        <v>9526</v>
      </c>
      <c r="K411" s="975" t="str">
        <f>IF(COUNTIFS(tblControles[Clave],tblControles[[#This Row],[Clave]])&gt;1,"Duplicado","")</f>
        <v/>
      </c>
    </row>
    <row r="412" spans="2:11">
      <c r="B412" s="975" t="str">
        <f>tblControles[[#This Row],[Fecha]]&amp;"|"&amp;tblControles[[#This Row],[Módulo]]&amp;"|"&amp;tblControles[[#This Row],[Ítem]]&amp;"|"&amp;tblControles[[#This Row],[Turno]]</f>
        <v>46268|FILTROS H2O|Filtro Linea # 9 (02)|2 TURNO</v>
      </c>
      <c r="C412" s="871">
        <v>46268</v>
      </c>
      <c r="D412" t="s">
        <v>9430</v>
      </c>
      <c r="E412" t="s">
        <v>9470</v>
      </c>
      <c r="F412" t="s">
        <v>327</v>
      </c>
      <c r="G412" t="s">
        <v>345</v>
      </c>
      <c r="H412" t="s">
        <v>9333</v>
      </c>
      <c r="I412" s="871">
        <v>46293.93683766204</v>
      </c>
      <c r="J412" t="s">
        <v>9526</v>
      </c>
      <c r="K412" s="975" t="str">
        <f>IF(COUNTIFS(tblControles[Clave],tblControles[[#This Row],[Clave]])&gt;1,"Duplicado","")</f>
        <v/>
      </c>
    </row>
    <row r="413" spans="2:11">
      <c r="B413" s="975" t="str">
        <f>tblControles[[#This Row],[Fecha]]&amp;"|"&amp;tblControles[[#This Row],[Módulo]]&amp;"|"&amp;tblControles[[#This Row],[Ítem]]&amp;"|"&amp;tblControles[[#This Row],[Turno]]</f>
        <v>46268|REACTIVOS|Ácido oxálico|Turno día (12 h)</v>
      </c>
      <c r="C413" s="871">
        <v>46268</v>
      </c>
      <c r="D413" t="s">
        <v>9444</v>
      </c>
      <c r="E413" t="s">
        <v>9508</v>
      </c>
      <c r="F413" t="s">
        <v>9446</v>
      </c>
      <c r="G413">
        <v>18000</v>
      </c>
      <c r="H413" t="s">
        <v>9333</v>
      </c>
      <c r="I413" s="871">
        <v>46293.93683766204</v>
      </c>
      <c r="J413" t="s">
        <v>9527</v>
      </c>
      <c r="K413" s="975" t="str">
        <f>IF(COUNTIFS(tblControles[Clave],tblControles[[#This Row],[Clave]])&gt;1,"Duplicado","")</f>
        <v/>
      </c>
    </row>
    <row r="414" spans="2:11">
      <c r="B414" s="975" t="str">
        <f>tblControles[[#This Row],[Fecha]]&amp;"|"&amp;tblControles[[#This Row],[Módulo]]&amp;"|"&amp;tblControles[[#This Row],[Ítem]]&amp;"|"&amp;tblControles[[#This Row],[Turno]]</f>
        <v>46268|REACTIVOS|Ácido oxálico|Turno noche (12 h)</v>
      </c>
      <c r="C414" s="871">
        <v>46268</v>
      </c>
      <c r="D414" t="s">
        <v>9444</v>
      </c>
      <c r="E414" t="s">
        <v>9508</v>
      </c>
      <c r="F414" t="s">
        <v>9447</v>
      </c>
      <c r="G414">
        <v>18000</v>
      </c>
      <c r="H414" t="s">
        <v>9333</v>
      </c>
      <c r="I414" s="871">
        <v>46293.93683766204</v>
      </c>
      <c r="J414" t="s">
        <v>9527</v>
      </c>
      <c r="K414" s="975" t="str">
        <f>IF(COUNTIFS(tblControles[Clave],tblControles[[#This Row],[Clave]])&gt;1,"Duplicado","")</f>
        <v/>
      </c>
    </row>
    <row r="415" spans="2:11">
      <c r="B415" s="975" t="str">
        <f>tblControles[[#This Row],[Fecha]]&amp;"|"&amp;tblControles[[#This Row],[Módulo]]&amp;"|"&amp;tblControles[[#This Row],[Ítem]]&amp;"|"&amp;tblControles[[#This Row],[Turno]]</f>
        <v>46268|REACTIVOS|Xantato|Turno día (12 h)</v>
      </c>
      <c r="C415" s="871">
        <v>46268</v>
      </c>
      <c r="D415" t="s">
        <v>9444</v>
      </c>
      <c r="E415" t="s">
        <v>9511</v>
      </c>
      <c r="F415" t="s">
        <v>9446</v>
      </c>
      <c r="G415">
        <v>3425</v>
      </c>
      <c r="H415" t="s">
        <v>9333</v>
      </c>
      <c r="I415" s="871">
        <v>46293.93683766204</v>
      </c>
      <c r="J415" t="s">
        <v>9527</v>
      </c>
      <c r="K415" s="975" t="str">
        <f>IF(COUNTIFS(tblControles[Clave],tblControles[[#This Row],[Clave]])&gt;1,"Duplicado","")</f>
        <v/>
      </c>
    </row>
    <row r="416" spans="2:11">
      <c r="B416" s="975" t="str">
        <f>tblControles[[#This Row],[Fecha]]&amp;"|"&amp;tblControles[[#This Row],[Módulo]]&amp;"|"&amp;tblControles[[#This Row],[Ítem]]&amp;"|"&amp;tblControles[[#This Row],[Turno]]</f>
        <v>46268|REACTIVOS|Xantato|Turno noche (12 h)</v>
      </c>
      <c r="C416" s="871">
        <v>46268</v>
      </c>
      <c r="D416" t="s">
        <v>9444</v>
      </c>
      <c r="E416" t="s">
        <v>9511</v>
      </c>
      <c r="F416" t="s">
        <v>9447</v>
      </c>
      <c r="G416">
        <v>4250</v>
      </c>
      <c r="H416" t="s">
        <v>9333</v>
      </c>
      <c r="I416" s="871">
        <v>46293.93683766204</v>
      </c>
      <c r="J416" t="s">
        <v>9527</v>
      </c>
      <c r="K416" s="975" t="str">
        <f>IF(COUNTIFS(tblControles[Clave],tblControles[[#This Row],[Clave]])&gt;1,"Duplicado","")</f>
        <v/>
      </c>
    </row>
    <row r="417" spans="2:11">
      <c r="B417" s="975" t="str">
        <f>tblControles[[#This Row],[Fecha]]&amp;"|"&amp;tblControles[[#This Row],[Módulo]]&amp;"|"&amp;tblControles[[#This Row],[Ítem]]&amp;"|"&amp;tblControles[[#This Row],[Turno]]</f>
        <v>46268|REACTIVOS|Espumante|Consumo día</v>
      </c>
      <c r="C417" s="871">
        <v>46268</v>
      </c>
      <c r="D417" t="s">
        <v>9444</v>
      </c>
      <c r="E417" t="s">
        <v>9513</v>
      </c>
      <c r="F417" t="s">
        <v>9870</v>
      </c>
      <c r="G417">
        <v>3000</v>
      </c>
      <c r="H417" t="s">
        <v>9333</v>
      </c>
      <c r="I417" s="871">
        <v>46293.93683766204</v>
      </c>
      <c r="J417" t="s">
        <v>9527</v>
      </c>
      <c r="K417" s="975" t="str">
        <f>IF(COUNTIFS(tblControles[Clave],tblControles[[#This Row],[Clave]])&gt;1,"Duplicado","")</f>
        <v/>
      </c>
    </row>
    <row r="418" spans="2:11">
      <c r="B418" s="975" t="str">
        <f>tblControles[[#This Row],[Fecha]]&amp;"|"&amp;tblControles[[#This Row],[Módulo]]&amp;"|"&amp;tblControles[[#This Row],[Ítem]]&amp;"|"&amp;tblControles[[#This Row],[Turno]]</f>
        <v>46268|TONELADAS X TURNO|Molino barras 1|1° turno</v>
      </c>
      <c r="C418" s="871">
        <v>46268</v>
      </c>
      <c r="D418" t="s">
        <v>9449</v>
      </c>
      <c r="E418" t="s">
        <v>387</v>
      </c>
      <c r="F418" t="s">
        <v>396</v>
      </c>
      <c r="G418">
        <v>1376</v>
      </c>
      <c r="H418" t="s">
        <v>9333</v>
      </c>
      <c r="I418" s="871">
        <v>46293.93683766204</v>
      </c>
      <c r="J418" t="s">
        <v>9528</v>
      </c>
      <c r="K418" s="975" t="str">
        <f>IF(COUNTIFS(tblControles[Clave],tblControles[[#This Row],[Clave]])&gt;1,"Duplicado","")</f>
        <v/>
      </c>
    </row>
    <row r="419" spans="2:11">
      <c r="B419" s="975" t="str">
        <f>tblControles[[#This Row],[Fecha]]&amp;"|"&amp;tblControles[[#This Row],[Módulo]]&amp;"|"&amp;tblControles[[#This Row],[Ítem]]&amp;"|"&amp;tblControles[[#This Row],[Turno]]</f>
        <v>46268|TONELADAS X TURNO|Molino barras 1|2° turno</v>
      </c>
      <c r="C419" s="871">
        <v>46268</v>
      </c>
      <c r="D419" t="s">
        <v>9449</v>
      </c>
      <c r="E419" t="s">
        <v>387</v>
      </c>
      <c r="F419" t="s">
        <v>397</v>
      </c>
      <c r="G419">
        <v>1530</v>
      </c>
      <c r="H419" t="s">
        <v>9333</v>
      </c>
      <c r="I419" s="871">
        <v>46293.93683766204</v>
      </c>
      <c r="J419" t="s">
        <v>9528</v>
      </c>
      <c r="K419" s="975" t="str">
        <f>IF(COUNTIFS(tblControles[Clave],tblControles[[#This Row],[Clave]])&gt;1,"Duplicado","")</f>
        <v/>
      </c>
    </row>
    <row r="420" spans="2:11">
      <c r="B420" s="975" t="str">
        <f>tblControles[[#This Row],[Fecha]]&amp;"|"&amp;tblControles[[#This Row],[Módulo]]&amp;"|"&amp;tblControles[[#This Row],[Ítem]]&amp;"|"&amp;tblControles[[#This Row],[Turno]]</f>
        <v>46268|TONELADAS X TURNO|Molino barras 1|3° turno</v>
      </c>
      <c r="C420" s="871">
        <v>46268</v>
      </c>
      <c r="D420" t="s">
        <v>9449</v>
      </c>
      <c r="E420" t="s">
        <v>387</v>
      </c>
      <c r="F420" t="s">
        <v>398</v>
      </c>
      <c r="G420">
        <v>1772</v>
      </c>
      <c r="H420" t="s">
        <v>9333</v>
      </c>
      <c r="I420" s="871">
        <v>46293.93683766204</v>
      </c>
      <c r="J420" t="s">
        <v>9528</v>
      </c>
      <c r="K420" s="975" t="str">
        <f>IF(COUNTIFS(tblControles[Clave],tblControles[[#This Row],[Clave]])&gt;1,"Duplicado","")</f>
        <v/>
      </c>
    </row>
    <row r="421" spans="2:11">
      <c r="B421" s="975" t="str">
        <f>tblControles[[#This Row],[Fecha]]&amp;"|"&amp;tblControles[[#This Row],[Módulo]]&amp;"|"&amp;tblControles[[#This Row],[Ítem]]&amp;"|"&amp;tblControles[[#This Row],[Turno]]</f>
        <v>46268|TONELADAS X TURNO|Molino barras 2|1° turno</v>
      </c>
      <c r="C421" s="871">
        <v>46268</v>
      </c>
      <c r="D421" t="s">
        <v>9449</v>
      </c>
      <c r="E421" t="s">
        <v>388</v>
      </c>
      <c r="F421" t="s">
        <v>396</v>
      </c>
      <c r="G421">
        <v>0</v>
      </c>
      <c r="H421" t="s">
        <v>9333</v>
      </c>
      <c r="I421" s="871">
        <v>46293.93683766204</v>
      </c>
      <c r="J421" t="s">
        <v>9528</v>
      </c>
      <c r="K421" s="975" t="str">
        <f>IF(COUNTIFS(tblControles[Clave],tblControles[[#This Row],[Clave]])&gt;1,"Duplicado","")</f>
        <v/>
      </c>
    </row>
    <row r="422" spans="2:11">
      <c r="B422" s="975" t="str">
        <f>tblControles[[#This Row],[Fecha]]&amp;"|"&amp;tblControles[[#This Row],[Módulo]]&amp;"|"&amp;tblControles[[#This Row],[Ítem]]&amp;"|"&amp;tblControles[[#This Row],[Turno]]</f>
        <v>46268|TONELADAS X TURNO|Molino barras 2|2° turno</v>
      </c>
      <c r="C422" s="871">
        <v>46268</v>
      </c>
      <c r="D422" t="s">
        <v>9449</v>
      </c>
      <c r="E422" t="s">
        <v>388</v>
      </c>
      <c r="F422" t="s">
        <v>397</v>
      </c>
      <c r="G422">
        <v>0</v>
      </c>
      <c r="H422" t="s">
        <v>9333</v>
      </c>
      <c r="I422" s="871">
        <v>46293.93683766204</v>
      </c>
      <c r="J422" t="s">
        <v>9528</v>
      </c>
      <c r="K422" s="975" t="str">
        <f>IF(COUNTIFS(tblControles[Clave],tblControles[[#This Row],[Clave]])&gt;1,"Duplicado","")</f>
        <v/>
      </c>
    </row>
    <row r="423" spans="2:11">
      <c r="B423" s="975" t="str">
        <f>tblControles[[#This Row],[Fecha]]&amp;"|"&amp;tblControles[[#This Row],[Módulo]]&amp;"|"&amp;tblControles[[#This Row],[Ítem]]&amp;"|"&amp;tblControles[[#This Row],[Turno]]</f>
        <v>46268|TONELADAS X TURNO|Molino barras 2|3° turno</v>
      </c>
      <c r="C423" s="871">
        <v>46268</v>
      </c>
      <c r="D423" t="s">
        <v>9449</v>
      </c>
      <c r="E423" t="s">
        <v>388</v>
      </c>
      <c r="F423" t="s">
        <v>398</v>
      </c>
      <c r="G423">
        <v>0</v>
      </c>
      <c r="H423" t="s">
        <v>9333</v>
      </c>
      <c r="I423" s="871">
        <v>46293.93683766204</v>
      </c>
      <c r="J423" t="s">
        <v>9528</v>
      </c>
      <c r="K423" s="975" t="str">
        <f>IF(COUNTIFS(tblControles[Clave],tblControles[[#This Row],[Clave]])&gt;1,"Duplicado","")</f>
        <v/>
      </c>
    </row>
    <row r="424" spans="2:11">
      <c r="B424" s="975" t="str">
        <f>tblControles[[#This Row],[Fecha]]&amp;"|"&amp;tblControles[[#This Row],[Módulo]]&amp;"|"&amp;tblControles[[#This Row],[Ítem]]&amp;"|"&amp;tblControles[[#This Row],[Turno]]</f>
        <v>46268|TONELADAS X TURNO|Molino barras 3|1° turno</v>
      </c>
      <c r="C424" s="871">
        <v>46268</v>
      </c>
      <c r="D424" t="s">
        <v>9449</v>
      </c>
      <c r="E424" t="s">
        <v>389</v>
      </c>
      <c r="F424" t="s">
        <v>396</v>
      </c>
      <c r="G424">
        <v>1670</v>
      </c>
      <c r="H424" t="s">
        <v>9333</v>
      </c>
      <c r="I424" s="871">
        <v>46293.93683766204</v>
      </c>
      <c r="J424" t="s">
        <v>9528</v>
      </c>
      <c r="K424" s="975" t="str">
        <f>IF(COUNTIFS(tblControles[Clave],tblControles[[#This Row],[Clave]])&gt;1,"Duplicado","")</f>
        <v/>
      </c>
    </row>
    <row r="425" spans="2:11">
      <c r="B425" s="975" t="str">
        <f>tblControles[[#This Row],[Fecha]]&amp;"|"&amp;tblControles[[#This Row],[Módulo]]&amp;"|"&amp;tblControles[[#This Row],[Ítem]]&amp;"|"&amp;tblControles[[#This Row],[Turno]]</f>
        <v>46268|TONELADAS X TURNO|Molino barras 3|2° turno</v>
      </c>
      <c r="C425" s="871">
        <v>46268</v>
      </c>
      <c r="D425" t="s">
        <v>9449</v>
      </c>
      <c r="E425" t="s">
        <v>389</v>
      </c>
      <c r="F425" t="s">
        <v>397</v>
      </c>
      <c r="G425">
        <v>1510</v>
      </c>
      <c r="H425" t="s">
        <v>9333</v>
      </c>
      <c r="I425" s="871">
        <v>46293.93683766204</v>
      </c>
      <c r="J425" t="s">
        <v>9528</v>
      </c>
      <c r="K425" s="975" t="str">
        <f>IF(COUNTIFS(tblControles[Clave],tblControles[[#This Row],[Clave]])&gt;1,"Duplicado","")</f>
        <v/>
      </c>
    </row>
    <row r="426" spans="2:11">
      <c r="B426" s="975" t="str">
        <f>tblControles[[#This Row],[Fecha]]&amp;"|"&amp;tblControles[[#This Row],[Módulo]]&amp;"|"&amp;tblControles[[#This Row],[Ítem]]&amp;"|"&amp;tblControles[[#This Row],[Turno]]</f>
        <v>46268|TONELADAS X TURNO|Molino barras 3|3° turno</v>
      </c>
      <c r="C426" s="871">
        <v>46268</v>
      </c>
      <c r="D426" t="s">
        <v>9449</v>
      </c>
      <c r="E426" t="s">
        <v>389</v>
      </c>
      <c r="F426" t="s">
        <v>398</v>
      </c>
      <c r="G426">
        <v>1620</v>
      </c>
      <c r="H426" t="s">
        <v>9333</v>
      </c>
      <c r="I426" s="871">
        <v>46293.93683766204</v>
      </c>
      <c r="J426" t="s">
        <v>9528</v>
      </c>
      <c r="K426" s="975" t="str">
        <f>IF(COUNTIFS(tblControles[Clave],tblControles[[#This Row],[Clave]])&gt;1,"Duplicado","")</f>
        <v/>
      </c>
    </row>
    <row r="427" spans="2:11">
      <c r="B427" s="975" t="str">
        <f>tblControles[[#This Row],[Fecha]]&amp;"|"&amp;tblControles[[#This Row],[Módulo]]&amp;"|"&amp;tblControles[[#This Row],[Ítem]]&amp;"|"&amp;tblControles[[#This Row],[Turno]]</f>
        <v>46268|TONELADAS X TURNO|Molino barras 4|1° turno</v>
      </c>
      <c r="C427" s="871">
        <v>46268</v>
      </c>
      <c r="D427" t="s">
        <v>9449</v>
      </c>
      <c r="E427" t="s">
        <v>390</v>
      </c>
      <c r="F427" t="s">
        <v>396</v>
      </c>
      <c r="G427">
        <v>1335</v>
      </c>
      <c r="H427" t="s">
        <v>9333</v>
      </c>
      <c r="I427" s="871">
        <v>46293.93683766204</v>
      </c>
      <c r="J427" t="s">
        <v>9528</v>
      </c>
      <c r="K427" s="975" t="str">
        <f>IF(COUNTIFS(tblControles[Clave],tblControles[[#This Row],[Clave]])&gt;1,"Duplicado","")</f>
        <v/>
      </c>
    </row>
    <row r="428" spans="2:11">
      <c r="B428" s="975" t="str">
        <f>tblControles[[#This Row],[Fecha]]&amp;"|"&amp;tblControles[[#This Row],[Módulo]]&amp;"|"&amp;tblControles[[#This Row],[Ítem]]&amp;"|"&amp;tblControles[[#This Row],[Turno]]</f>
        <v>46268|TONELADAS X TURNO|Molino barras 4|2° turno</v>
      </c>
      <c r="C428" s="871">
        <v>46268</v>
      </c>
      <c r="D428" t="s">
        <v>9449</v>
      </c>
      <c r="E428" t="s">
        <v>390</v>
      </c>
      <c r="F428" t="s">
        <v>397</v>
      </c>
      <c r="G428">
        <v>1166</v>
      </c>
      <c r="H428" t="s">
        <v>9333</v>
      </c>
      <c r="I428" s="871">
        <v>46293.93683766204</v>
      </c>
      <c r="J428" t="s">
        <v>9528</v>
      </c>
      <c r="K428" s="975" t="str">
        <f>IF(COUNTIFS(tblControles[Clave],tblControles[[#This Row],[Clave]])&gt;1,"Duplicado","")</f>
        <v/>
      </c>
    </row>
    <row r="429" spans="2:11">
      <c r="B429" s="975" t="str">
        <f>tblControles[[#This Row],[Fecha]]&amp;"|"&amp;tblControles[[#This Row],[Módulo]]&amp;"|"&amp;tblControles[[#This Row],[Ítem]]&amp;"|"&amp;tblControles[[#This Row],[Turno]]</f>
        <v>46268|TONELADAS X TURNO|Molino barras 4|3° turno</v>
      </c>
      <c r="C429" s="871">
        <v>46268</v>
      </c>
      <c r="D429" t="s">
        <v>9449</v>
      </c>
      <c r="E429" t="s">
        <v>390</v>
      </c>
      <c r="F429" t="s">
        <v>398</v>
      </c>
      <c r="G429">
        <v>1215</v>
      </c>
      <c r="H429" t="s">
        <v>9333</v>
      </c>
      <c r="I429" s="871">
        <v>46293.93683766204</v>
      </c>
      <c r="J429" t="s">
        <v>9528</v>
      </c>
      <c r="K429" s="975" t="str">
        <f>IF(COUNTIFS(tblControles[Clave],tblControles[[#This Row],[Clave]])&gt;1,"Duplicado","")</f>
        <v/>
      </c>
    </row>
    <row r="430" spans="2:11">
      <c r="B430" s="975" t="str">
        <f>tblControles[[#This Row],[Fecha]]&amp;"|"&amp;tblControles[[#This Row],[Módulo]]&amp;"|"&amp;tblControles[[#This Row],[Ítem]]&amp;"|"&amp;tblControles[[#This Row],[Turno]]</f>
        <v>46268|TONELADAS X TURNO|Molino barras 5|1° turno</v>
      </c>
      <c r="C430" s="871">
        <v>46268</v>
      </c>
      <c r="D430" t="s">
        <v>9449</v>
      </c>
      <c r="E430" t="s">
        <v>391</v>
      </c>
      <c r="F430" t="s">
        <v>396</v>
      </c>
      <c r="G430">
        <v>529</v>
      </c>
      <c r="H430" t="s">
        <v>9333</v>
      </c>
      <c r="I430" s="871">
        <v>46293.93683766204</v>
      </c>
      <c r="J430" t="s">
        <v>9528</v>
      </c>
      <c r="K430" s="975" t="str">
        <f>IF(COUNTIFS(tblControles[Clave],tblControles[[#This Row],[Clave]])&gt;1,"Duplicado","")</f>
        <v/>
      </c>
    </row>
    <row r="431" spans="2:11">
      <c r="B431" s="975" t="str">
        <f>tblControles[[#This Row],[Fecha]]&amp;"|"&amp;tblControles[[#This Row],[Módulo]]&amp;"|"&amp;tblControles[[#This Row],[Ítem]]&amp;"|"&amp;tblControles[[#This Row],[Turno]]</f>
        <v>46268|TONELADAS X TURNO|Molino barras 5|2° turno</v>
      </c>
      <c r="C431" s="871">
        <v>46268</v>
      </c>
      <c r="D431" t="s">
        <v>9449</v>
      </c>
      <c r="E431" t="s">
        <v>391</v>
      </c>
      <c r="F431" t="s">
        <v>397</v>
      </c>
      <c r="G431">
        <v>0</v>
      </c>
      <c r="H431" t="s">
        <v>9333</v>
      </c>
      <c r="I431" s="871">
        <v>46293.93683766204</v>
      </c>
      <c r="J431" t="s">
        <v>9528</v>
      </c>
      <c r="K431" s="975" t="str">
        <f>IF(COUNTIFS(tblControles[Clave],tblControles[[#This Row],[Clave]])&gt;1,"Duplicado","")</f>
        <v/>
      </c>
    </row>
    <row r="432" spans="2:11">
      <c r="B432" s="975" t="str">
        <f>tblControles[[#This Row],[Fecha]]&amp;"|"&amp;tblControles[[#This Row],[Módulo]]&amp;"|"&amp;tblControles[[#This Row],[Ítem]]&amp;"|"&amp;tblControles[[#This Row],[Turno]]</f>
        <v>46268|TONELADAS X TURNO|Molino barras 5|3° turno</v>
      </c>
      <c r="C432" s="871">
        <v>46268</v>
      </c>
      <c r="D432" t="s">
        <v>9449</v>
      </c>
      <c r="E432" t="s">
        <v>391</v>
      </c>
      <c r="F432" t="s">
        <v>398</v>
      </c>
      <c r="G432">
        <v>0</v>
      </c>
      <c r="H432" t="s">
        <v>9333</v>
      </c>
      <c r="I432" s="871">
        <v>46293.93683766204</v>
      </c>
      <c r="J432" t="s">
        <v>9528</v>
      </c>
      <c r="K432" s="975" t="str">
        <f>IF(COUNTIFS(tblControles[Clave],tblControles[[#This Row],[Clave]])&gt;1,"Duplicado","")</f>
        <v/>
      </c>
    </row>
    <row r="433" spans="2:11">
      <c r="B433" s="975" t="str">
        <f>tblControles[[#This Row],[Fecha]]&amp;"|"&amp;tblControles[[#This Row],[Módulo]]&amp;"|"&amp;tblControles[[#This Row],[Ítem]]&amp;"|"&amp;tblControles[[#This Row],[Turno]]</f>
        <v>46268|TONELADAS X TURNO|Molino barras 6|1° turno</v>
      </c>
      <c r="C433" s="871">
        <v>46268</v>
      </c>
      <c r="D433" t="s">
        <v>9449</v>
      </c>
      <c r="E433" t="s">
        <v>392</v>
      </c>
      <c r="F433" t="s">
        <v>396</v>
      </c>
      <c r="G433">
        <v>1660</v>
      </c>
      <c r="H433" t="s">
        <v>9333</v>
      </c>
      <c r="I433" s="871">
        <v>46293.93683766204</v>
      </c>
      <c r="J433" t="s">
        <v>9528</v>
      </c>
      <c r="K433" s="975" t="str">
        <f>IF(COUNTIFS(tblControles[Clave],tblControles[[#This Row],[Clave]])&gt;1,"Duplicado","")</f>
        <v/>
      </c>
    </row>
    <row r="434" spans="2:11">
      <c r="B434" s="975" t="str">
        <f>tblControles[[#This Row],[Fecha]]&amp;"|"&amp;tblControles[[#This Row],[Módulo]]&amp;"|"&amp;tblControles[[#This Row],[Ítem]]&amp;"|"&amp;tblControles[[#This Row],[Turno]]</f>
        <v>46268|TONELADAS X TURNO|Molino barras 6|2° turno</v>
      </c>
      <c r="C434" s="871">
        <v>46268</v>
      </c>
      <c r="D434" t="s">
        <v>9449</v>
      </c>
      <c r="E434" t="s">
        <v>392</v>
      </c>
      <c r="F434" t="s">
        <v>397</v>
      </c>
      <c r="G434">
        <v>1745</v>
      </c>
      <c r="H434" t="s">
        <v>9333</v>
      </c>
      <c r="I434" s="871">
        <v>46293.93683766204</v>
      </c>
      <c r="J434" t="s">
        <v>9528</v>
      </c>
      <c r="K434" s="975" t="str">
        <f>IF(COUNTIFS(tblControles[Clave],tblControles[[#This Row],[Clave]])&gt;1,"Duplicado","")</f>
        <v/>
      </c>
    </row>
    <row r="435" spans="2:11">
      <c r="B435" s="975" t="str">
        <f>tblControles[[#This Row],[Fecha]]&amp;"|"&amp;tblControles[[#This Row],[Módulo]]&amp;"|"&amp;tblControles[[#This Row],[Ítem]]&amp;"|"&amp;tblControles[[#This Row],[Turno]]</f>
        <v>46268|TONELADAS X TURNO|Molino barras 6|3° turno</v>
      </c>
      <c r="C435" s="871">
        <v>46268</v>
      </c>
      <c r="D435" t="s">
        <v>9449</v>
      </c>
      <c r="E435" t="s">
        <v>392</v>
      </c>
      <c r="F435" t="s">
        <v>398</v>
      </c>
      <c r="G435">
        <v>1703</v>
      </c>
      <c r="H435" t="s">
        <v>9333</v>
      </c>
      <c r="I435" s="871">
        <v>46293.93683766204</v>
      </c>
      <c r="J435" t="s">
        <v>9528</v>
      </c>
      <c r="K435" s="975" t="str">
        <f>IF(COUNTIFS(tblControles[Clave],tblControles[[#This Row],[Clave]])&gt;1,"Duplicado","")</f>
        <v/>
      </c>
    </row>
    <row r="436" spans="2:11">
      <c r="B436" s="975" t="str">
        <f>tblControles[[#This Row],[Fecha]]&amp;"|"&amp;tblControles[[#This Row],[Módulo]]&amp;"|"&amp;tblControles[[#This Row],[Ítem]]&amp;"|"&amp;tblControles[[#This Row],[Turno]]</f>
        <v>46268|TONELADAS X TURNO|Molino barras 7|1° turno</v>
      </c>
      <c r="C436" s="871">
        <v>46268</v>
      </c>
      <c r="D436" t="s">
        <v>9449</v>
      </c>
      <c r="E436" t="s">
        <v>393</v>
      </c>
      <c r="F436" t="s">
        <v>396</v>
      </c>
      <c r="G436">
        <v>1373</v>
      </c>
      <c r="H436" t="s">
        <v>9333</v>
      </c>
      <c r="I436" s="871">
        <v>46293.93683766204</v>
      </c>
      <c r="J436" t="s">
        <v>9528</v>
      </c>
      <c r="K436" s="975" t="str">
        <f>IF(COUNTIFS(tblControles[Clave],tblControles[[#This Row],[Clave]])&gt;1,"Duplicado","")</f>
        <v/>
      </c>
    </row>
    <row r="437" spans="2:11">
      <c r="B437" s="975" t="str">
        <f>tblControles[[#This Row],[Fecha]]&amp;"|"&amp;tblControles[[#This Row],[Módulo]]&amp;"|"&amp;tblControles[[#This Row],[Ítem]]&amp;"|"&amp;tblControles[[#This Row],[Turno]]</f>
        <v>46268|TONELADAS X TURNO|Molino barras 7|2° turno</v>
      </c>
      <c r="C437" s="871">
        <v>46268</v>
      </c>
      <c r="D437" t="s">
        <v>9449</v>
      </c>
      <c r="E437" t="s">
        <v>393</v>
      </c>
      <c r="F437" t="s">
        <v>397</v>
      </c>
      <c r="G437">
        <v>1776</v>
      </c>
      <c r="H437" t="s">
        <v>9333</v>
      </c>
      <c r="I437" s="871">
        <v>46293.93683766204</v>
      </c>
      <c r="J437" t="s">
        <v>9528</v>
      </c>
      <c r="K437" s="975" t="str">
        <f>IF(COUNTIFS(tblControles[Clave],tblControles[[#This Row],[Clave]])&gt;1,"Duplicado","")</f>
        <v/>
      </c>
    </row>
    <row r="438" spans="2:11">
      <c r="B438" s="975" t="str">
        <f>tblControles[[#This Row],[Fecha]]&amp;"|"&amp;tblControles[[#This Row],[Módulo]]&amp;"|"&amp;tblControles[[#This Row],[Ítem]]&amp;"|"&amp;tblControles[[#This Row],[Turno]]</f>
        <v>46268|TONELADAS X TURNO|Molino barras 7|3° turno</v>
      </c>
      <c r="C438" s="871">
        <v>46268</v>
      </c>
      <c r="D438" t="s">
        <v>9449</v>
      </c>
      <c r="E438" t="s">
        <v>393</v>
      </c>
      <c r="F438" t="s">
        <v>398</v>
      </c>
      <c r="G438">
        <v>1726</v>
      </c>
      <c r="H438" t="s">
        <v>9333</v>
      </c>
      <c r="I438" s="871">
        <v>46293.93683766204</v>
      </c>
      <c r="J438" t="s">
        <v>9528</v>
      </c>
      <c r="K438" s="975" t="str">
        <f>IF(COUNTIFS(tblControles[Clave],tblControles[[#This Row],[Clave]])&gt;1,"Duplicado","")</f>
        <v/>
      </c>
    </row>
    <row r="439" spans="2:11">
      <c r="B439" s="975" t="str">
        <f>tblControles[[#This Row],[Fecha]]&amp;"|"&amp;tblControles[[#This Row],[Módulo]]&amp;"|"&amp;tblControles[[#This Row],[Ítem]]&amp;"|"&amp;tblControles[[#This Row],[Turno]]</f>
        <v>46268|TONELADAS X TURNO|Molino barras 8|1° turno</v>
      </c>
      <c r="C439" s="871">
        <v>46268</v>
      </c>
      <c r="D439" t="s">
        <v>9449</v>
      </c>
      <c r="E439" t="s">
        <v>394</v>
      </c>
      <c r="F439" t="s">
        <v>396</v>
      </c>
      <c r="G439">
        <v>1442</v>
      </c>
      <c r="H439" t="s">
        <v>9333</v>
      </c>
      <c r="I439" s="871">
        <v>46293.93683766204</v>
      </c>
      <c r="J439" t="s">
        <v>9528</v>
      </c>
      <c r="K439" s="975" t="str">
        <f>IF(COUNTIFS(tblControles[Clave],tblControles[[#This Row],[Clave]])&gt;1,"Duplicado","")</f>
        <v/>
      </c>
    </row>
    <row r="440" spans="2:11">
      <c r="B440" s="975" t="str">
        <f>tblControles[[#This Row],[Fecha]]&amp;"|"&amp;tblControles[[#This Row],[Módulo]]&amp;"|"&amp;tblControles[[#This Row],[Ítem]]&amp;"|"&amp;tblControles[[#This Row],[Turno]]</f>
        <v>46268|TONELADAS X TURNO|Molino barras 8|2° turno</v>
      </c>
      <c r="C440" s="871">
        <v>46268</v>
      </c>
      <c r="D440" t="s">
        <v>9449</v>
      </c>
      <c r="E440" t="s">
        <v>394</v>
      </c>
      <c r="F440" t="s">
        <v>397</v>
      </c>
      <c r="G440">
        <v>1621</v>
      </c>
      <c r="H440" t="s">
        <v>9333</v>
      </c>
      <c r="I440" s="871">
        <v>46293.93683766204</v>
      </c>
      <c r="J440" t="s">
        <v>9528</v>
      </c>
      <c r="K440" s="975" t="str">
        <f>IF(COUNTIFS(tblControles[Clave],tblControles[[#This Row],[Clave]])&gt;1,"Duplicado","")</f>
        <v/>
      </c>
    </row>
    <row r="441" spans="2:11">
      <c r="B441" s="975" t="str">
        <f>tblControles[[#This Row],[Fecha]]&amp;"|"&amp;tblControles[[#This Row],[Módulo]]&amp;"|"&amp;tblControles[[#This Row],[Ítem]]&amp;"|"&amp;tblControles[[#This Row],[Turno]]</f>
        <v>46268|TONELADAS X TURNO|Molino barras 8|3° turno</v>
      </c>
      <c r="C441" s="871">
        <v>46268</v>
      </c>
      <c r="D441" t="s">
        <v>9449</v>
      </c>
      <c r="E441" t="s">
        <v>394</v>
      </c>
      <c r="F441" t="s">
        <v>398</v>
      </c>
      <c r="G441">
        <v>1496</v>
      </c>
      <c r="H441" t="s">
        <v>9333</v>
      </c>
      <c r="I441" s="871">
        <v>46293.93683766204</v>
      </c>
      <c r="J441" t="s">
        <v>9528</v>
      </c>
      <c r="K441" s="975" t="str">
        <f>IF(COUNTIFS(tblControles[Clave],tblControles[[#This Row],[Clave]])&gt;1,"Duplicado","")</f>
        <v/>
      </c>
    </row>
    <row r="442" spans="2:11">
      <c r="B442" s="975" t="str">
        <f>tblControles[[#This Row],[Fecha]]&amp;"|"&amp;tblControles[[#This Row],[Módulo]]&amp;"|"&amp;tblControles[[#This Row],[Ítem]]&amp;"|"&amp;tblControles[[#This Row],[Turno]]</f>
        <v>46268|TONELADAS X TURNO|Molino barras 9|1° turno</v>
      </c>
      <c r="C442" s="871">
        <v>46268</v>
      </c>
      <c r="D442" t="s">
        <v>9449</v>
      </c>
      <c r="E442" t="s">
        <v>395</v>
      </c>
      <c r="F442" t="s">
        <v>396</v>
      </c>
      <c r="G442">
        <v>1802</v>
      </c>
      <c r="H442" t="s">
        <v>9333</v>
      </c>
      <c r="I442" s="871">
        <v>46293.93683766204</v>
      </c>
      <c r="J442" t="s">
        <v>9528</v>
      </c>
      <c r="K442" s="975" t="str">
        <f>IF(COUNTIFS(tblControles[Clave],tblControles[[#This Row],[Clave]])&gt;1,"Duplicado","")</f>
        <v/>
      </c>
    </row>
    <row r="443" spans="2:11">
      <c r="B443" s="975" t="str">
        <f>tblControles[[#This Row],[Fecha]]&amp;"|"&amp;tblControles[[#This Row],[Módulo]]&amp;"|"&amp;tblControles[[#This Row],[Ítem]]&amp;"|"&amp;tblControles[[#This Row],[Turno]]</f>
        <v>46268|TONELADAS X TURNO|Molino barras 9|2° turno</v>
      </c>
      <c r="C443" s="871">
        <v>46268</v>
      </c>
      <c r="D443" t="s">
        <v>9449</v>
      </c>
      <c r="E443" t="s">
        <v>395</v>
      </c>
      <c r="F443" t="s">
        <v>397</v>
      </c>
      <c r="G443">
        <v>728</v>
      </c>
      <c r="H443" t="s">
        <v>9333</v>
      </c>
      <c r="I443" s="871">
        <v>46293.93683766204</v>
      </c>
      <c r="J443" t="s">
        <v>9528</v>
      </c>
      <c r="K443" s="975" t="str">
        <f>IF(COUNTIFS(tblControles[Clave],tblControles[[#This Row],[Clave]])&gt;1,"Duplicado","")</f>
        <v/>
      </c>
    </row>
    <row r="444" spans="2:11">
      <c r="B444" s="975" t="str">
        <f>tblControles[[#This Row],[Fecha]]&amp;"|"&amp;tblControles[[#This Row],[Módulo]]&amp;"|"&amp;tblControles[[#This Row],[Ítem]]&amp;"|"&amp;tblControles[[#This Row],[Turno]]</f>
        <v>46268|TONELADAS X TURNO|Molino barras 9|3° turno</v>
      </c>
      <c r="C444" s="871">
        <v>46268</v>
      </c>
      <c r="D444" t="s">
        <v>9449</v>
      </c>
      <c r="E444" t="s">
        <v>395</v>
      </c>
      <c r="F444" t="s">
        <v>398</v>
      </c>
      <c r="G444">
        <v>1813</v>
      </c>
      <c r="H444" t="s">
        <v>9333</v>
      </c>
      <c r="I444" s="871">
        <v>46293.93683766204</v>
      </c>
      <c r="J444" t="s">
        <v>9528</v>
      </c>
      <c r="K444" s="975" t="str">
        <f>IF(COUNTIFS(tblControles[Clave],tblControles[[#This Row],[Clave]])&gt;1,"Duplicado","")</f>
        <v/>
      </c>
    </row>
    <row r="445" spans="2:11">
      <c r="B445" s="975" t="str">
        <f>tblControles[[#This Row],[Fecha]]&amp;"|"&amp;tblControles[[#This Row],[Módulo]]&amp;"|"&amp;tblControles[[#This Row],[Ítem]]&amp;"|"&amp;tblControles[[#This Row],[Turno]]</f>
        <v>46269|AGREGADO MEDIOS|BARRAS RM1|Cantidad</v>
      </c>
      <c r="C445" s="871">
        <v>46269</v>
      </c>
      <c r="D445" t="s">
        <v>9451</v>
      </c>
      <c r="E445" t="s">
        <v>410</v>
      </c>
      <c r="F445" t="s">
        <v>9453</v>
      </c>
      <c r="G445">
        <v>0</v>
      </c>
      <c r="H445" t="s">
        <v>9333</v>
      </c>
      <c r="I445" s="871">
        <v>46293.93683766204</v>
      </c>
      <c r="J445" t="s">
        <v>9524</v>
      </c>
      <c r="K445" s="975" t="str">
        <f>IF(COUNTIFS(tblControles[Clave],tblControles[[#This Row],[Clave]])&gt;1,"Duplicado","")</f>
        <v/>
      </c>
    </row>
    <row r="446" spans="2:11">
      <c r="B446" s="975" t="str">
        <f>tblControles[[#This Row],[Fecha]]&amp;"|"&amp;tblControles[[#This Row],[Módulo]]&amp;"|"&amp;tblControles[[#This Row],[Ítem]]&amp;"|"&amp;tblControles[[#This Row],[Turno]]</f>
        <v>46269|AGREGADO MEDIOS|BARRAS RM2|Cantidad</v>
      </c>
      <c r="C446" s="871">
        <v>46269</v>
      </c>
      <c r="D446" t="s">
        <v>9451</v>
      </c>
      <c r="E446" t="s">
        <v>411</v>
      </c>
      <c r="F446" t="s">
        <v>9453</v>
      </c>
      <c r="G446">
        <v>0</v>
      </c>
      <c r="H446" t="s">
        <v>9333</v>
      </c>
      <c r="I446" s="871">
        <v>46293.93683766204</v>
      </c>
      <c r="J446" t="s">
        <v>9524</v>
      </c>
      <c r="K446" s="975" t="str">
        <f>IF(COUNTIFS(tblControles[Clave],tblControles[[#This Row],[Clave]])&gt;1,"Duplicado","")</f>
        <v/>
      </c>
    </row>
    <row r="447" spans="2:11">
      <c r="B447" s="975" t="str">
        <f>tblControles[[#This Row],[Fecha]]&amp;"|"&amp;tblControles[[#This Row],[Módulo]]&amp;"|"&amp;tblControles[[#This Row],[Ítem]]&amp;"|"&amp;tblControles[[#This Row],[Turno]]</f>
        <v>46269|AGREGADO MEDIOS|BARRAS RM3|Cantidad</v>
      </c>
      <c r="C447" s="871">
        <v>46269</v>
      </c>
      <c r="D447" t="s">
        <v>9451</v>
      </c>
      <c r="E447" t="s">
        <v>412</v>
      </c>
      <c r="F447" t="s">
        <v>9453</v>
      </c>
      <c r="G447">
        <v>12</v>
      </c>
      <c r="H447" t="s">
        <v>9333</v>
      </c>
      <c r="I447" s="871">
        <v>46293.93683766204</v>
      </c>
      <c r="J447" t="s">
        <v>9524</v>
      </c>
      <c r="K447" s="975" t="str">
        <f>IF(COUNTIFS(tblControles[Clave],tblControles[[#This Row],[Clave]])&gt;1,"Duplicado","")</f>
        <v/>
      </c>
    </row>
    <row r="448" spans="2:11">
      <c r="B448" s="975" t="str">
        <f>tblControles[[#This Row],[Fecha]]&amp;"|"&amp;tblControles[[#This Row],[Módulo]]&amp;"|"&amp;tblControles[[#This Row],[Ítem]]&amp;"|"&amp;tblControles[[#This Row],[Turno]]</f>
        <v>46269|AGREGADO MEDIOS|BARRAS RM4|Cantidad</v>
      </c>
      <c r="C448" s="871">
        <v>46269</v>
      </c>
      <c r="D448" t="s">
        <v>9451</v>
      </c>
      <c r="E448" t="s">
        <v>413</v>
      </c>
      <c r="F448" t="s">
        <v>9453</v>
      </c>
      <c r="G448">
        <v>12</v>
      </c>
      <c r="H448" t="s">
        <v>9333</v>
      </c>
      <c r="I448" s="871">
        <v>46293.93683766204</v>
      </c>
      <c r="J448" t="s">
        <v>9524</v>
      </c>
      <c r="K448" s="975" t="str">
        <f>IF(COUNTIFS(tblControles[Clave],tblControles[[#This Row],[Clave]])&gt;1,"Duplicado","")</f>
        <v/>
      </c>
    </row>
    <row r="449" spans="2:11">
      <c r="B449" s="975" t="str">
        <f>tblControles[[#This Row],[Fecha]]&amp;"|"&amp;tblControles[[#This Row],[Módulo]]&amp;"|"&amp;tblControles[[#This Row],[Ítem]]&amp;"|"&amp;tblControles[[#This Row],[Turno]]</f>
        <v>46269|AGREGADO MEDIOS|BARRAS RM5|Cantidad</v>
      </c>
      <c r="C449" s="871">
        <v>46269</v>
      </c>
      <c r="D449" t="s">
        <v>9451</v>
      </c>
      <c r="E449" t="s">
        <v>414</v>
      </c>
      <c r="F449" t="s">
        <v>9453</v>
      </c>
      <c r="G449">
        <v>0</v>
      </c>
      <c r="H449" t="s">
        <v>9333</v>
      </c>
      <c r="I449" s="871">
        <v>46293.93683766204</v>
      </c>
      <c r="J449" t="s">
        <v>9524</v>
      </c>
      <c r="K449" s="975" t="str">
        <f>IF(COUNTIFS(tblControles[Clave],tblControles[[#This Row],[Clave]])&gt;1,"Duplicado","")</f>
        <v/>
      </c>
    </row>
    <row r="450" spans="2:11">
      <c r="B450" s="975" t="str">
        <f>tblControles[[#This Row],[Fecha]]&amp;"|"&amp;tblControles[[#This Row],[Módulo]]&amp;"|"&amp;tblControles[[#This Row],[Ítem]]&amp;"|"&amp;tblControles[[#This Row],[Turno]]</f>
        <v>46269|AGREGADO MEDIOS|BARRAS RM6|Cantidad</v>
      </c>
      <c r="C450" s="871">
        <v>46269</v>
      </c>
      <c r="D450" t="s">
        <v>9451</v>
      </c>
      <c r="E450" t="s">
        <v>415</v>
      </c>
      <c r="F450" t="s">
        <v>9453</v>
      </c>
      <c r="G450">
        <v>9</v>
      </c>
      <c r="H450" t="s">
        <v>9333</v>
      </c>
      <c r="I450" s="871">
        <v>46293.93683766204</v>
      </c>
      <c r="J450" t="s">
        <v>9524</v>
      </c>
      <c r="K450" s="975" t="str">
        <f>IF(COUNTIFS(tblControles[Clave],tblControles[[#This Row],[Clave]])&gt;1,"Duplicado","")</f>
        <v/>
      </c>
    </row>
    <row r="451" spans="2:11">
      <c r="B451" s="975" t="str">
        <f>tblControles[[#This Row],[Fecha]]&amp;"|"&amp;tblControles[[#This Row],[Módulo]]&amp;"|"&amp;tblControles[[#This Row],[Ítem]]&amp;"|"&amp;tblControles[[#This Row],[Turno]]</f>
        <v>46269|AGREGADO MEDIOS|BARRAS RM7|Cantidad</v>
      </c>
      <c r="C451" s="871">
        <v>46269</v>
      </c>
      <c r="D451" t="s">
        <v>9451</v>
      </c>
      <c r="E451" t="s">
        <v>416</v>
      </c>
      <c r="F451" t="s">
        <v>9453</v>
      </c>
      <c r="G451">
        <v>6</v>
      </c>
      <c r="H451" t="s">
        <v>9333</v>
      </c>
      <c r="I451" s="871">
        <v>46293.93683766204</v>
      </c>
      <c r="J451" t="s">
        <v>9524</v>
      </c>
      <c r="K451" s="975" t="str">
        <f>IF(COUNTIFS(tblControles[Clave],tblControles[[#This Row],[Clave]])&gt;1,"Duplicado","")</f>
        <v/>
      </c>
    </row>
    <row r="452" spans="2:11">
      <c r="B452" s="975" t="str">
        <f>tblControles[[#This Row],[Fecha]]&amp;"|"&amp;tblControles[[#This Row],[Módulo]]&amp;"|"&amp;tblControles[[#This Row],[Ítem]]&amp;"|"&amp;tblControles[[#This Row],[Turno]]</f>
        <v>46269|AGREGADO MEDIOS|BARRAS RM8|Cantidad</v>
      </c>
      <c r="C452" s="871">
        <v>46269</v>
      </c>
      <c r="D452" t="s">
        <v>9451</v>
      </c>
      <c r="E452" t="s">
        <v>417</v>
      </c>
      <c r="F452" t="s">
        <v>9453</v>
      </c>
      <c r="G452">
        <v>0</v>
      </c>
      <c r="H452" t="s">
        <v>9333</v>
      </c>
      <c r="I452" s="871">
        <v>46293.93683766204</v>
      </c>
      <c r="J452" t="s">
        <v>9524</v>
      </c>
      <c r="K452" s="975" t="str">
        <f>IF(COUNTIFS(tblControles[Clave],tblControles[[#This Row],[Clave]])&gt;1,"Duplicado","")</f>
        <v/>
      </c>
    </row>
    <row r="453" spans="2:11">
      <c r="B453" s="975" t="str">
        <f>tblControles[[#This Row],[Fecha]]&amp;"|"&amp;tblControles[[#This Row],[Módulo]]&amp;"|"&amp;tblControles[[#This Row],[Ítem]]&amp;"|"&amp;tblControles[[#This Row],[Turno]]</f>
        <v>46269|AGREGADO MEDIOS|BARRAS 9 RM9|Cantidad</v>
      </c>
      <c r="C453" s="871">
        <v>46269</v>
      </c>
      <c r="D453" t="s">
        <v>9451</v>
      </c>
      <c r="E453" t="s">
        <v>418</v>
      </c>
      <c r="F453" t="s">
        <v>9453</v>
      </c>
      <c r="G453">
        <v>9</v>
      </c>
      <c r="H453" t="s">
        <v>9333</v>
      </c>
      <c r="I453" s="871">
        <v>46293.93683766204</v>
      </c>
      <c r="J453" t="s">
        <v>9524</v>
      </c>
      <c r="K453" s="975" t="str">
        <f>IF(COUNTIFS(tblControles[Clave],tblControles[[#This Row],[Clave]])&gt;1,"Duplicado","")</f>
        <v/>
      </c>
    </row>
    <row r="454" spans="2:11">
      <c r="B454" s="975" t="str">
        <f>tblControles[[#This Row],[Fecha]]&amp;"|"&amp;tblControles[[#This Row],[Módulo]]&amp;"|"&amp;tblControles[[#This Row],[Ítem]]&amp;"|"&amp;tblControles[[#This Row],[Turno]]</f>
        <v>46269|AGREGADO MEDIOS|CONOS 40X50 BM1|Cantidad</v>
      </c>
      <c r="C454" s="871">
        <v>46269</v>
      </c>
      <c r="D454" t="s">
        <v>9451</v>
      </c>
      <c r="E454" t="s">
        <v>420</v>
      </c>
      <c r="F454" t="s">
        <v>9453</v>
      </c>
      <c r="G454">
        <v>8</v>
      </c>
      <c r="H454" t="s">
        <v>9333</v>
      </c>
      <c r="I454" s="871">
        <v>46293.93683766204</v>
      </c>
      <c r="J454" t="s">
        <v>9524</v>
      </c>
      <c r="K454" s="975" t="str">
        <f>IF(COUNTIFS(tblControles[Clave],tblControles[[#This Row],[Clave]])&gt;1,"Duplicado","")</f>
        <v/>
      </c>
    </row>
    <row r="455" spans="2:11">
      <c r="B455" s="975" t="str">
        <f>tblControles[[#This Row],[Fecha]]&amp;"|"&amp;tblControles[[#This Row],[Módulo]]&amp;"|"&amp;tblControles[[#This Row],[Ítem]]&amp;"|"&amp;tblControles[[#This Row],[Turno]]</f>
        <v>46269|AGREGADO MEDIOS|CONOS 40X50 BM2|Cantidad</v>
      </c>
      <c r="C455" s="871">
        <v>46269</v>
      </c>
      <c r="D455" t="s">
        <v>9451</v>
      </c>
      <c r="E455" t="s">
        <v>421</v>
      </c>
      <c r="F455" t="s">
        <v>9453</v>
      </c>
      <c r="G455">
        <v>0</v>
      </c>
      <c r="H455" t="s">
        <v>9333</v>
      </c>
      <c r="I455" s="871">
        <v>46293.93683766204</v>
      </c>
      <c r="J455" t="s">
        <v>9524</v>
      </c>
      <c r="K455" s="975" t="str">
        <f>IF(COUNTIFS(tblControles[Clave],tblControles[[#This Row],[Clave]])&gt;1,"Duplicado","")</f>
        <v/>
      </c>
    </row>
    <row r="456" spans="2:11">
      <c r="B456" s="975" t="str">
        <f>tblControles[[#This Row],[Fecha]]&amp;"|"&amp;tblControles[[#This Row],[Módulo]]&amp;"|"&amp;tblControles[[#This Row],[Ítem]]&amp;"|"&amp;tblControles[[#This Row],[Turno]]</f>
        <v>46269|AGREGADO MEDIOS|CONOS 40X50 BM3|Cantidad</v>
      </c>
      <c r="C456" s="871">
        <v>46269</v>
      </c>
      <c r="D456" t="s">
        <v>9451</v>
      </c>
      <c r="E456" t="s">
        <v>422</v>
      </c>
      <c r="F456" t="s">
        <v>9453</v>
      </c>
      <c r="G456">
        <v>0</v>
      </c>
      <c r="H456" t="s">
        <v>9333</v>
      </c>
      <c r="I456" s="871">
        <v>46293.93683766204</v>
      </c>
      <c r="J456" t="s">
        <v>9524</v>
      </c>
      <c r="K456" s="975" t="str">
        <f>IF(COUNTIFS(tblControles[Clave],tblControles[[#This Row],[Clave]])&gt;1,"Duplicado","")</f>
        <v/>
      </c>
    </row>
    <row r="457" spans="2:11">
      <c r="B457" s="975" t="str">
        <f>tblControles[[#This Row],[Fecha]]&amp;"|"&amp;tblControles[[#This Row],[Módulo]]&amp;"|"&amp;tblControles[[#This Row],[Ítem]]&amp;"|"&amp;tblControles[[#This Row],[Turno]]</f>
        <v>46269|AGREGADO MEDIOS|CONOS 40X50 BM4|Cantidad</v>
      </c>
      <c r="C457" s="871">
        <v>46269</v>
      </c>
      <c r="D457" t="s">
        <v>9451</v>
      </c>
      <c r="E457" t="s">
        <v>423</v>
      </c>
      <c r="F457" t="s">
        <v>9453</v>
      </c>
      <c r="G457">
        <v>4</v>
      </c>
      <c r="H457" t="s">
        <v>9333</v>
      </c>
      <c r="I457" s="871">
        <v>46293.93683766204</v>
      </c>
      <c r="J457" t="s">
        <v>9524</v>
      </c>
      <c r="K457" s="975" t="str">
        <f>IF(COUNTIFS(tblControles[Clave],tblControles[[#This Row],[Clave]])&gt;1,"Duplicado","")</f>
        <v/>
      </c>
    </row>
    <row r="458" spans="2:11">
      <c r="B458" s="975" t="str">
        <f>tblControles[[#This Row],[Fecha]]&amp;"|"&amp;tblControles[[#This Row],[Módulo]]&amp;"|"&amp;tblControles[[#This Row],[Ítem]]&amp;"|"&amp;tblControles[[#This Row],[Turno]]</f>
        <v>46269|AGREGADO MEDIOS|CONOS 30X35 BM5|Cantidad</v>
      </c>
      <c r="C458" s="871">
        <v>46269</v>
      </c>
      <c r="D458" t="s">
        <v>9451</v>
      </c>
      <c r="E458" t="s">
        <v>424</v>
      </c>
      <c r="F458" t="s">
        <v>9453</v>
      </c>
      <c r="G458">
        <v>0</v>
      </c>
      <c r="H458" t="s">
        <v>9333</v>
      </c>
      <c r="I458" s="871">
        <v>46293.93683766204</v>
      </c>
      <c r="J458" t="s">
        <v>9524</v>
      </c>
      <c r="K458" s="975" t="str">
        <f>IF(COUNTIFS(tblControles[Clave],tblControles[[#This Row],[Clave]])&gt;1,"Duplicado","")</f>
        <v/>
      </c>
    </row>
    <row r="459" spans="2:11">
      <c r="B459" s="975" t="str">
        <f>tblControles[[#This Row],[Fecha]]&amp;"|"&amp;tblControles[[#This Row],[Módulo]]&amp;"|"&amp;tblControles[[#This Row],[Ítem]]&amp;"|"&amp;tblControles[[#This Row],[Turno]]</f>
        <v>46269|AGREGADO MEDIOS|CONOS 40X50 BM6|Cantidad</v>
      </c>
      <c r="C459" s="871">
        <v>46269</v>
      </c>
      <c r="D459" t="s">
        <v>9451</v>
      </c>
      <c r="E459" t="s">
        <v>425</v>
      </c>
      <c r="F459" t="s">
        <v>9453</v>
      </c>
      <c r="G459">
        <v>6</v>
      </c>
      <c r="H459" t="s">
        <v>9333</v>
      </c>
      <c r="I459" s="871">
        <v>46293.93683766204</v>
      </c>
      <c r="J459" t="s">
        <v>9524</v>
      </c>
      <c r="K459" s="975" t="str">
        <f>IF(COUNTIFS(tblControles[Clave],tblControles[[#This Row],[Clave]])&gt;1,"Duplicado","")</f>
        <v/>
      </c>
    </row>
    <row r="460" spans="2:11">
      <c r="B460" s="975" t="str">
        <f>tblControles[[#This Row],[Fecha]]&amp;"|"&amp;tblControles[[#This Row],[Módulo]]&amp;"|"&amp;tblControles[[#This Row],[Ítem]]&amp;"|"&amp;tblControles[[#This Row],[Turno]]</f>
        <v>46269|AGREGADO MEDIOS|CONOS 40X50 BM7|Cantidad</v>
      </c>
      <c r="C460" s="871">
        <v>46269</v>
      </c>
      <c r="D460" t="s">
        <v>9451</v>
      </c>
      <c r="E460" t="s">
        <v>426</v>
      </c>
      <c r="F460" t="s">
        <v>9453</v>
      </c>
      <c r="G460">
        <v>2</v>
      </c>
      <c r="H460" t="s">
        <v>9333</v>
      </c>
      <c r="I460" s="871">
        <v>46293.93683766204</v>
      </c>
      <c r="J460" t="s">
        <v>9524</v>
      </c>
      <c r="K460" s="975" t="str">
        <f>IF(COUNTIFS(tblControles[Clave],tblControles[[#This Row],[Clave]])&gt;1,"Duplicado","")</f>
        <v/>
      </c>
    </row>
    <row r="461" spans="2:11">
      <c r="B461" s="975" t="str">
        <f>tblControles[[#This Row],[Fecha]]&amp;"|"&amp;tblControles[[#This Row],[Módulo]]&amp;"|"&amp;tblControles[[#This Row],[Ítem]]&amp;"|"&amp;tblControles[[#This Row],[Turno]]</f>
        <v>46269|AGREGADO MEDIOS|CONOS 40X50|Cantidad</v>
      </c>
      <c r="C461" s="871">
        <v>46269</v>
      </c>
      <c r="D461" t="s">
        <v>9451</v>
      </c>
      <c r="E461" t="s">
        <v>427</v>
      </c>
      <c r="F461" t="s">
        <v>9453</v>
      </c>
      <c r="G461">
        <v>8</v>
      </c>
      <c r="H461" t="s">
        <v>9333</v>
      </c>
      <c r="I461" s="871">
        <v>46293.93683766204</v>
      </c>
      <c r="J461" t="s">
        <v>9524</v>
      </c>
      <c r="K461" s="975" t="str">
        <f>IF(COUNTIFS(tblControles[Clave],tblControles[[#This Row],[Clave]])&gt;1,"Duplicado","")</f>
        <v/>
      </c>
    </row>
    <row r="462" spans="2:11">
      <c r="B462" s="975" t="str">
        <f>tblControles[[#This Row],[Fecha]]&amp;"|"&amp;tblControles[[#This Row],[Módulo]]&amp;"|"&amp;tblControles[[#This Row],[Ítem]]&amp;"|"&amp;tblControles[[#This Row],[Turno]]</f>
        <v>46269|AGREGADO MEDIOS|CONOS 30X35|Cantidad</v>
      </c>
      <c r="C462" s="871">
        <v>46269</v>
      </c>
      <c r="D462" t="s">
        <v>9451</v>
      </c>
      <c r="E462" t="s">
        <v>428</v>
      </c>
      <c r="F462" t="s">
        <v>9453</v>
      </c>
      <c r="G462">
        <v>12</v>
      </c>
      <c r="H462" t="s">
        <v>9333</v>
      </c>
      <c r="I462" s="871">
        <v>46293.93683766204</v>
      </c>
      <c r="J462" t="s">
        <v>9524</v>
      </c>
      <c r="K462" s="975" t="str">
        <f>IF(COUNTIFS(tblControles[Clave],tblControles[[#This Row],[Clave]])&gt;1,"Duplicado","")</f>
        <v/>
      </c>
    </row>
    <row r="463" spans="2:11">
      <c r="B463" s="975" t="str">
        <f>tblControles[[#This Row],[Fecha]]&amp;"|"&amp;tblControles[[#This Row],[Módulo]]&amp;"|"&amp;tblControles[[#This Row],[Ítem]]&amp;"|"&amp;tblControles[[#This Row],[Turno]]</f>
        <v>46269|AGREGADO MEDIOS|BOLAS BM8|Cantidad</v>
      </c>
      <c r="C463" s="871">
        <v>46269</v>
      </c>
      <c r="D463" t="s">
        <v>9451</v>
      </c>
      <c r="E463" t="s">
        <v>429</v>
      </c>
      <c r="F463" t="s">
        <v>9453</v>
      </c>
      <c r="G463">
        <v>6</v>
      </c>
      <c r="H463" t="s">
        <v>9333</v>
      </c>
      <c r="I463" s="871">
        <v>46293.93683766204</v>
      </c>
      <c r="J463" t="s">
        <v>9524</v>
      </c>
      <c r="K463" s="975" t="str">
        <f>IF(COUNTIFS(tblControles[Clave],tblControles[[#This Row],[Clave]])&gt;1,"Duplicado","")</f>
        <v/>
      </c>
    </row>
    <row r="464" spans="2:11">
      <c r="B464" s="975" t="str">
        <f>tblControles[[#This Row],[Fecha]]&amp;"|"&amp;tblControles[[#This Row],[Módulo]]&amp;"|"&amp;tblControles[[#This Row],[Ítem]]&amp;"|"&amp;tblControles[[#This Row],[Turno]]</f>
        <v>46269|AGREGADO MEDIOS|BOLAS BM9|Cantidad</v>
      </c>
      <c r="C464" s="871">
        <v>46269</v>
      </c>
      <c r="D464" t="s">
        <v>9451</v>
      </c>
      <c r="E464" t="s">
        <v>430</v>
      </c>
      <c r="F464" t="s">
        <v>9453</v>
      </c>
      <c r="G464">
        <v>6</v>
      </c>
      <c r="H464" t="s">
        <v>9333</v>
      </c>
      <c r="I464" s="871">
        <v>46293.93683766204</v>
      </c>
      <c r="J464" t="s">
        <v>9524</v>
      </c>
      <c r="K464" s="975" t="str">
        <f>IF(COUNTIFS(tblControles[Clave],tblControles[[#This Row],[Clave]])&gt;1,"Duplicado","")</f>
        <v/>
      </c>
    </row>
    <row r="465" spans="2:11">
      <c r="B465" s="975" t="str">
        <f>tblControles[[#This Row],[Fecha]]&amp;"|"&amp;tblControles[[#This Row],[Módulo]]&amp;"|"&amp;tblControles[[#This Row],[Ítem]]&amp;"|"&amp;tblControles[[#This Row],[Turno]]</f>
        <v>46269|AGREGADO MEDIOS|BOLAS BM10|Cantidad</v>
      </c>
      <c r="C465" s="871">
        <v>46269</v>
      </c>
      <c r="D465" t="s">
        <v>9451</v>
      </c>
      <c r="E465" t="s">
        <v>431</v>
      </c>
      <c r="F465" t="s">
        <v>9453</v>
      </c>
      <c r="G465">
        <v>0</v>
      </c>
      <c r="H465" t="s">
        <v>9333</v>
      </c>
      <c r="I465" s="871">
        <v>46293.93683766204</v>
      </c>
      <c r="J465" t="s">
        <v>9524</v>
      </c>
      <c r="K465" s="975" t="str">
        <f>IF(COUNTIFS(tblControles[Clave],tblControles[[#This Row],[Clave]])&gt;1,"Duplicado","")</f>
        <v/>
      </c>
    </row>
    <row r="466" spans="2:11">
      <c r="B466" s="975" t="str">
        <f>tblControles[[#This Row],[Fecha]]&amp;"|"&amp;tblControles[[#This Row],[Módulo]]&amp;"|"&amp;tblControles[[#This Row],[Ítem]]&amp;"|"&amp;tblControles[[#This Row],[Turno]]</f>
        <v>46269|AGREGADO MEDIOS|BOLAS ALTO CROM|Cantidad</v>
      </c>
      <c r="C466" s="871">
        <v>46269</v>
      </c>
      <c r="D466" t="s">
        <v>9451</v>
      </c>
      <c r="E466" t="s">
        <v>432</v>
      </c>
      <c r="F466" t="s">
        <v>9453</v>
      </c>
      <c r="G466">
        <v>12</v>
      </c>
      <c r="H466" t="s">
        <v>9333</v>
      </c>
      <c r="I466" s="871">
        <v>46293.93683766204</v>
      </c>
      <c r="J466" t="s">
        <v>9524</v>
      </c>
      <c r="K466" s="975" t="str">
        <f>IF(COUNTIFS(tblControles[Clave],tblControles[[#This Row],[Clave]])&gt;1,"Duplicado","")</f>
        <v/>
      </c>
    </row>
    <row r="467" spans="2:11">
      <c r="B467" s="975" t="str">
        <f>tblControles[[#This Row],[Fecha]]&amp;"|"&amp;tblControles[[#This Row],[Módulo]]&amp;"|"&amp;tblControles[[#This Row],[Ítem]]&amp;"|"&amp;tblControles[[#This Row],[Turno]]</f>
        <v>46269|FILTROS H2O|Filtro # 1|3 TURNO</v>
      </c>
      <c r="C467" s="871">
        <v>46269</v>
      </c>
      <c r="D467" t="s">
        <v>9430</v>
      </c>
      <c r="E467" t="s">
        <v>9525</v>
      </c>
      <c r="F467" t="s">
        <v>328</v>
      </c>
      <c r="G467" t="s">
        <v>3227</v>
      </c>
      <c r="H467" t="s">
        <v>9333</v>
      </c>
      <c r="I467" s="871">
        <v>46293.93683766204</v>
      </c>
      <c r="J467" t="s">
        <v>9526</v>
      </c>
      <c r="K467" s="975" t="str">
        <f>IF(COUNTIFS(tblControles[Clave],tblControles[[#This Row],[Clave]])&gt;1,"Duplicado","")</f>
        <v/>
      </c>
    </row>
    <row r="468" spans="2:11">
      <c r="B468" s="975" t="str">
        <f>tblControles[[#This Row],[Fecha]]&amp;"|"&amp;tblControles[[#This Row],[Módulo]]&amp;"|"&amp;tblControles[[#This Row],[Ítem]]&amp;"|"&amp;tblControles[[#This Row],[Turno]]</f>
        <v>46269|FILTROS H2O|Filtro # 2|3 TURNO</v>
      </c>
      <c r="C468" s="871">
        <v>46269</v>
      </c>
      <c r="D468" t="s">
        <v>9430</v>
      </c>
      <c r="E468" t="s">
        <v>9463</v>
      </c>
      <c r="F468" t="s">
        <v>328</v>
      </c>
      <c r="G468" t="s">
        <v>3227</v>
      </c>
      <c r="H468" t="s">
        <v>9333</v>
      </c>
      <c r="I468" s="871">
        <v>46293.93683766204</v>
      </c>
      <c r="J468" t="s">
        <v>9526</v>
      </c>
      <c r="K468" s="975" t="str">
        <f>IF(COUNTIFS(tblControles[Clave],tblControles[[#This Row],[Clave]])&gt;1,"Duplicado","")</f>
        <v/>
      </c>
    </row>
    <row r="469" spans="2:11">
      <c r="B469" s="975" t="str">
        <f>tblControles[[#This Row],[Fecha]]&amp;"|"&amp;tblControles[[#This Row],[Módulo]]&amp;"|"&amp;tblControles[[#This Row],[Ítem]]&amp;"|"&amp;tblControles[[#This Row],[Turno]]</f>
        <v>46269|FILTROS H2O|Filtro # 3|3 TURNO</v>
      </c>
      <c r="C469" s="871">
        <v>46269</v>
      </c>
      <c r="D469" t="s">
        <v>9430</v>
      </c>
      <c r="E469" t="s">
        <v>9464</v>
      </c>
      <c r="F469" t="s">
        <v>328</v>
      </c>
      <c r="G469" t="s">
        <v>3227</v>
      </c>
      <c r="H469" t="s">
        <v>9333</v>
      </c>
      <c r="I469" s="871">
        <v>46293.93683766204</v>
      </c>
      <c r="J469" t="s">
        <v>9526</v>
      </c>
      <c r="K469" s="975" t="str">
        <f>IF(COUNTIFS(tblControles[Clave],tblControles[[#This Row],[Clave]])&gt;1,"Duplicado","")</f>
        <v/>
      </c>
    </row>
    <row r="470" spans="2:11">
      <c r="B470" s="975" t="str">
        <f>tblControles[[#This Row],[Fecha]]&amp;"|"&amp;tblControles[[#This Row],[Módulo]]&amp;"|"&amp;tblControles[[#This Row],[Ítem]]&amp;"|"&amp;tblControles[[#This Row],[Turno]]</f>
        <v>46269|FILTROS H2O|Filtro # 4|3 TURNO</v>
      </c>
      <c r="C470" s="871">
        <v>46269</v>
      </c>
      <c r="D470" t="s">
        <v>9430</v>
      </c>
      <c r="E470" t="s">
        <v>9465</v>
      </c>
      <c r="F470" t="s">
        <v>328</v>
      </c>
      <c r="G470" t="s">
        <v>345</v>
      </c>
      <c r="H470" t="s">
        <v>9333</v>
      </c>
      <c r="I470" s="871">
        <v>46293.93683766204</v>
      </c>
      <c r="J470" t="s">
        <v>9526</v>
      </c>
      <c r="K470" s="975" t="str">
        <f>IF(COUNTIFS(tblControles[Clave],tblControles[[#This Row],[Clave]])&gt;1,"Duplicado","")</f>
        <v/>
      </c>
    </row>
    <row r="471" spans="2:11">
      <c r="B471" s="975" t="str">
        <f>tblControles[[#This Row],[Fecha]]&amp;"|"&amp;tblControles[[#This Row],[Módulo]]&amp;"|"&amp;tblControles[[#This Row],[Ítem]]&amp;"|"&amp;tblControles[[#This Row],[Turno]]</f>
        <v>46269|FILTROS H2O|Filtro # 5|3 TURNO</v>
      </c>
      <c r="C471" s="871">
        <v>46269</v>
      </c>
      <c r="D471" t="s">
        <v>9430</v>
      </c>
      <c r="E471" t="s">
        <v>9466</v>
      </c>
      <c r="F471" t="s">
        <v>328</v>
      </c>
      <c r="G471" t="s">
        <v>3227</v>
      </c>
      <c r="H471" t="s">
        <v>9333</v>
      </c>
      <c r="I471" s="871">
        <v>46293.93683766204</v>
      </c>
      <c r="J471" t="s">
        <v>9526</v>
      </c>
      <c r="K471" s="975" t="str">
        <f>IF(COUNTIFS(tblControles[Clave],tblControles[[#This Row],[Clave]])&gt;1,"Duplicado","")</f>
        <v/>
      </c>
    </row>
    <row r="472" spans="2:11">
      <c r="B472" s="975" t="str">
        <f>tblControles[[#This Row],[Fecha]]&amp;"|"&amp;tblControles[[#This Row],[Módulo]]&amp;"|"&amp;tblControles[[#This Row],[Ítem]]&amp;"|"&amp;tblControles[[#This Row],[Turno]]</f>
        <v>46269|FILTROS H2O|Filtro Linea # 5|3 TURNO</v>
      </c>
      <c r="C472" s="871">
        <v>46269</v>
      </c>
      <c r="D472" t="s">
        <v>9430</v>
      </c>
      <c r="E472" t="s">
        <v>331</v>
      </c>
      <c r="F472" t="s">
        <v>328</v>
      </c>
      <c r="G472" t="s">
        <v>3227</v>
      </c>
      <c r="H472" t="s">
        <v>9333</v>
      </c>
      <c r="I472" s="871">
        <v>46293.93683766204</v>
      </c>
      <c r="J472" t="s">
        <v>9526</v>
      </c>
      <c r="K472" s="975" t="str">
        <f>IF(COUNTIFS(tblControles[Clave],tblControles[[#This Row],[Clave]])&gt;1,"Duplicado","")</f>
        <v/>
      </c>
    </row>
    <row r="473" spans="2:11">
      <c r="B473" s="975" t="str">
        <f>tblControles[[#This Row],[Fecha]]&amp;"|"&amp;tblControles[[#This Row],[Módulo]]&amp;"|"&amp;tblControles[[#This Row],[Ítem]]&amp;"|"&amp;tblControles[[#This Row],[Turno]]</f>
        <v>46269|FILTROS H2O|Filtro Linea # 6|3 TURNO</v>
      </c>
      <c r="C473" s="871">
        <v>46269</v>
      </c>
      <c r="D473" t="s">
        <v>9430</v>
      </c>
      <c r="E473" t="s">
        <v>332</v>
      </c>
      <c r="F473" t="s">
        <v>328</v>
      </c>
      <c r="G473" t="s">
        <v>3227</v>
      </c>
      <c r="H473" t="s">
        <v>9333</v>
      </c>
      <c r="I473" s="871">
        <v>46293.93683766204</v>
      </c>
      <c r="J473" t="s">
        <v>9526</v>
      </c>
      <c r="K473" s="975" t="str">
        <f>IF(COUNTIFS(tblControles[Clave],tblControles[[#This Row],[Clave]])&gt;1,"Duplicado","")</f>
        <v/>
      </c>
    </row>
    <row r="474" spans="2:11">
      <c r="B474" s="975" t="str">
        <f>tblControles[[#This Row],[Fecha]]&amp;"|"&amp;tblControles[[#This Row],[Módulo]]&amp;"|"&amp;tblControles[[#This Row],[Ítem]]&amp;"|"&amp;tblControles[[#This Row],[Turno]]</f>
        <v>46269|FILTROS H2O|Filtro Linea # 7|3 TURNO</v>
      </c>
      <c r="C474" s="871">
        <v>46269</v>
      </c>
      <c r="D474" t="s">
        <v>9430</v>
      </c>
      <c r="E474" t="s">
        <v>9467</v>
      </c>
      <c r="F474" t="s">
        <v>328</v>
      </c>
      <c r="G474" t="s">
        <v>3227</v>
      </c>
      <c r="H474" t="s">
        <v>9333</v>
      </c>
      <c r="I474" s="871">
        <v>46293.93683766204</v>
      </c>
      <c r="J474" t="s">
        <v>9526</v>
      </c>
      <c r="K474" s="975" t="str">
        <f>IF(COUNTIFS(tblControles[Clave],tblControles[[#This Row],[Clave]])&gt;1,"Duplicado","")</f>
        <v/>
      </c>
    </row>
    <row r="475" spans="2:11">
      <c r="B475" s="975" t="str">
        <f>tblControles[[#This Row],[Fecha]]&amp;"|"&amp;tblControles[[#This Row],[Módulo]]&amp;"|"&amp;tblControles[[#This Row],[Ítem]]&amp;"|"&amp;tblControles[[#This Row],[Turno]]</f>
        <v>46269|FILTROS H2O|Filtro Linea # 8|3 TURNO</v>
      </c>
      <c r="C475" s="871">
        <v>46269</v>
      </c>
      <c r="D475" t="s">
        <v>9430</v>
      </c>
      <c r="E475" t="s">
        <v>9468</v>
      </c>
      <c r="F475" t="s">
        <v>328</v>
      </c>
      <c r="G475" t="s">
        <v>345</v>
      </c>
      <c r="H475" t="s">
        <v>9333</v>
      </c>
      <c r="I475" s="871">
        <v>46293.93683766204</v>
      </c>
      <c r="J475" t="s">
        <v>9526</v>
      </c>
      <c r="K475" s="975" t="str">
        <f>IF(COUNTIFS(tblControles[Clave],tblControles[[#This Row],[Clave]])&gt;1,"Duplicado","")</f>
        <v/>
      </c>
    </row>
    <row r="476" spans="2:11">
      <c r="B476" s="975" t="str">
        <f>tblControles[[#This Row],[Fecha]]&amp;"|"&amp;tblControles[[#This Row],[Módulo]]&amp;"|"&amp;tblControles[[#This Row],[Ítem]]&amp;"|"&amp;tblControles[[#This Row],[Turno]]</f>
        <v>46269|FILTROS H2O|Filtro Linea # 9 (01)|3 TURNO</v>
      </c>
      <c r="C476" s="871">
        <v>46269</v>
      </c>
      <c r="D476" t="s">
        <v>9430</v>
      </c>
      <c r="E476" t="s">
        <v>9469</v>
      </c>
      <c r="F476" t="s">
        <v>328</v>
      </c>
      <c r="G476" t="s">
        <v>3227</v>
      </c>
      <c r="H476" t="s">
        <v>9333</v>
      </c>
      <c r="I476" s="871">
        <v>46293.93683766204</v>
      </c>
      <c r="J476" t="s">
        <v>9526</v>
      </c>
      <c r="K476" s="975" t="str">
        <f>IF(COUNTIFS(tblControles[Clave],tblControles[[#This Row],[Clave]])&gt;1,"Duplicado","")</f>
        <v/>
      </c>
    </row>
    <row r="477" spans="2:11">
      <c r="B477" s="975" t="str">
        <f>tblControles[[#This Row],[Fecha]]&amp;"|"&amp;tblControles[[#This Row],[Módulo]]&amp;"|"&amp;tblControles[[#This Row],[Ítem]]&amp;"|"&amp;tblControles[[#This Row],[Turno]]</f>
        <v>46269|FILTROS H2O|Filtro Linea # 9 (02)|3 TURNO</v>
      </c>
      <c r="C477" s="871">
        <v>46269</v>
      </c>
      <c r="D477" t="s">
        <v>9430</v>
      </c>
      <c r="E477" t="s">
        <v>9470</v>
      </c>
      <c r="F477" t="s">
        <v>328</v>
      </c>
      <c r="G477" t="s">
        <v>345</v>
      </c>
      <c r="H477" t="s">
        <v>9333</v>
      </c>
      <c r="I477" s="871">
        <v>46293.93683766204</v>
      </c>
      <c r="J477" t="s">
        <v>9526</v>
      </c>
      <c r="K477" s="975" t="str">
        <f>IF(COUNTIFS(tblControles[Clave],tblControles[[#This Row],[Clave]])&gt;1,"Duplicado","")</f>
        <v/>
      </c>
    </row>
    <row r="478" spans="2:11">
      <c r="B478" s="975" t="str">
        <f>tblControles[[#This Row],[Fecha]]&amp;"|"&amp;tblControles[[#This Row],[Módulo]]&amp;"|"&amp;tblControles[[#This Row],[Ítem]]&amp;"|"&amp;tblControles[[#This Row],[Turno]]</f>
        <v>46269|REACTIVOS|Ácido oxálico|Turno día (12 h)</v>
      </c>
      <c r="C478" s="871">
        <v>46269</v>
      </c>
      <c r="D478" t="s">
        <v>9444</v>
      </c>
      <c r="E478" t="s">
        <v>9508</v>
      </c>
      <c r="F478" t="s">
        <v>9446</v>
      </c>
      <c r="G478">
        <v>20000</v>
      </c>
      <c r="H478" t="s">
        <v>9333</v>
      </c>
      <c r="I478" s="871">
        <v>46293.93683766204</v>
      </c>
      <c r="J478" t="s">
        <v>9527</v>
      </c>
      <c r="K478" s="975" t="str">
        <f>IF(COUNTIFS(tblControles[Clave],tblControles[[#This Row],[Clave]])&gt;1,"Duplicado","")</f>
        <v/>
      </c>
    </row>
    <row r="479" spans="2:11">
      <c r="B479" s="975" t="str">
        <f>tblControles[[#This Row],[Fecha]]&amp;"|"&amp;tblControles[[#This Row],[Módulo]]&amp;"|"&amp;tblControles[[#This Row],[Ítem]]&amp;"|"&amp;tblControles[[#This Row],[Turno]]</f>
        <v>46269|REACTIVOS|Ácido oxálico|Turno noche (12 h)</v>
      </c>
      <c r="C479" s="871">
        <v>46269</v>
      </c>
      <c r="D479" t="s">
        <v>9444</v>
      </c>
      <c r="E479" t="s">
        <v>9508</v>
      </c>
      <c r="F479" t="s">
        <v>9447</v>
      </c>
      <c r="G479">
        <v>18000</v>
      </c>
      <c r="H479" t="s">
        <v>9333</v>
      </c>
      <c r="I479" s="871">
        <v>46293.93683766204</v>
      </c>
      <c r="J479" t="s">
        <v>9527</v>
      </c>
      <c r="K479" s="975" t="str">
        <f>IF(COUNTIFS(tblControles[Clave],tblControles[[#This Row],[Clave]])&gt;1,"Duplicado","")</f>
        <v/>
      </c>
    </row>
    <row r="480" spans="2:11">
      <c r="B480" s="975" t="str">
        <f>tblControles[[#This Row],[Fecha]]&amp;"|"&amp;tblControles[[#This Row],[Módulo]]&amp;"|"&amp;tblControles[[#This Row],[Ítem]]&amp;"|"&amp;tblControles[[#This Row],[Turno]]</f>
        <v>46269|REACTIVOS|Xantato|Turno día (12 h)</v>
      </c>
      <c r="C480" s="871">
        <v>46269</v>
      </c>
      <c r="D480" t="s">
        <v>9444</v>
      </c>
      <c r="E480" t="s">
        <v>9511</v>
      </c>
      <c r="F480" t="s">
        <v>9446</v>
      </c>
      <c r="G480">
        <v>3950</v>
      </c>
      <c r="H480" t="s">
        <v>9333</v>
      </c>
      <c r="I480" s="871">
        <v>46293.93683766204</v>
      </c>
      <c r="J480" t="s">
        <v>9527</v>
      </c>
      <c r="K480" s="975" t="str">
        <f>IF(COUNTIFS(tblControles[Clave],tblControles[[#This Row],[Clave]])&gt;1,"Duplicado","")</f>
        <v/>
      </c>
    </row>
    <row r="481" spans="2:11">
      <c r="B481" s="975" t="str">
        <f>tblControles[[#This Row],[Fecha]]&amp;"|"&amp;tblControles[[#This Row],[Módulo]]&amp;"|"&amp;tblControles[[#This Row],[Ítem]]&amp;"|"&amp;tblControles[[#This Row],[Turno]]</f>
        <v>46269|REACTIVOS|Xantato|Turno noche (12 h)</v>
      </c>
      <c r="C481" s="871">
        <v>46269</v>
      </c>
      <c r="D481" t="s">
        <v>9444</v>
      </c>
      <c r="E481" t="s">
        <v>9511</v>
      </c>
      <c r="F481" t="s">
        <v>9447</v>
      </c>
      <c r="G481">
        <v>3150</v>
      </c>
      <c r="H481" t="s">
        <v>9333</v>
      </c>
      <c r="I481" s="871">
        <v>46293.93683766204</v>
      </c>
      <c r="J481" t="s">
        <v>9527</v>
      </c>
      <c r="K481" s="975" t="str">
        <f>IF(COUNTIFS(tblControles[Clave],tblControles[[#This Row],[Clave]])&gt;1,"Duplicado","")</f>
        <v/>
      </c>
    </row>
    <row r="482" spans="2:11">
      <c r="B482" s="975" t="str">
        <f>tblControles[[#This Row],[Fecha]]&amp;"|"&amp;tblControles[[#This Row],[Módulo]]&amp;"|"&amp;tblControles[[#This Row],[Ítem]]&amp;"|"&amp;tblControles[[#This Row],[Turno]]</f>
        <v>46269|REACTIVOS|Espumante|Consumo día</v>
      </c>
      <c r="C482" s="871">
        <v>46269</v>
      </c>
      <c r="D482" t="s">
        <v>9444</v>
      </c>
      <c r="E482" t="s">
        <v>9513</v>
      </c>
      <c r="F482" t="s">
        <v>9870</v>
      </c>
      <c r="G482">
        <v>2500</v>
      </c>
      <c r="H482" t="s">
        <v>9333</v>
      </c>
      <c r="I482" s="871">
        <v>46293.93683766204</v>
      </c>
      <c r="J482" t="s">
        <v>9527</v>
      </c>
      <c r="K482" s="975" t="str">
        <f>IF(COUNTIFS(tblControles[Clave],tblControles[[#This Row],[Clave]])&gt;1,"Duplicado","")</f>
        <v/>
      </c>
    </row>
    <row r="483" spans="2:11">
      <c r="B483" s="975" t="str">
        <f>tblControles[[#This Row],[Fecha]]&amp;"|"&amp;tblControles[[#This Row],[Módulo]]&amp;"|"&amp;tblControles[[#This Row],[Ítem]]&amp;"|"&amp;tblControles[[#This Row],[Turno]]</f>
        <v>46269|TONELADAS X TURNO|Molino barras 1|1° turno</v>
      </c>
      <c r="C483" s="871">
        <v>46269</v>
      </c>
      <c r="D483" t="s">
        <v>9449</v>
      </c>
      <c r="E483" t="s">
        <v>387</v>
      </c>
      <c r="F483" t="s">
        <v>396</v>
      </c>
      <c r="G483">
        <v>1696</v>
      </c>
      <c r="H483" t="s">
        <v>9333</v>
      </c>
      <c r="I483" s="871">
        <v>46293.93683766204</v>
      </c>
      <c r="J483" t="s">
        <v>9528</v>
      </c>
      <c r="K483" s="975" t="str">
        <f>IF(COUNTIFS(tblControles[Clave],tblControles[[#This Row],[Clave]])&gt;1,"Duplicado","")</f>
        <v/>
      </c>
    </row>
    <row r="484" spans="2:11">
      <c r="B484" s="975" t="str">
        <f>tblControles[[#This Row],[Fecha]]&amp;"|"&amp;tblControles[[#This Row],[Módulo]]&amp;"|"&amp;tblControles[[#This Row],[Ítem]]&amp;"|"&amp;tblControles[[#This Row],[Turno]]</f>
        <v>46269|TONELADAS X TURNO|Molino barras 1|2° turno</v>
      </c>
      <c r="C484" s="871">
        <v>46269</v>
      </c>
      <c r="D484" t="s">
        <v>9449</v>
      </c>
      <c r="E484" t="s">
        <v>387</v>
      </c>
      <c r="F484" t="s">
        <v>397</v>
      </c>
      <c r="G484">
        <v>1722</v>
      </c>
      <c r="H484" t="s">
        <v>9333</v>
      </c>
      <c r="I484" s="871">
        <v>46293.93683766204</v>
      </c>
      <c r="J484" t="s">
        <v>9528</v>
      </c>
      <c r="K484" s="975" t="str">
        <f>IF(COUNTIFS(tblControles[Clave],tblControles[[#This Row],[Clave]])&gt;1,"Duplicado","")</f>
        <v/>
      </c>
    </row>
    <row r="485" spans="2:11">
      <c r="B485" s="975" t="str">
        <f>tblControles[[#This Row],[Fecha]]&amp;"|"&amp;tblControles[[#This Row],[Módulo]]&amp;"|"&amp;tblControles[[#This Row],[Ítem]]&amp;"|"&amp;tblControles[[#This Row],[Turno]]</f>
        <v>46269|TONELADAS X TURNO|Molino barras 1|3° turno</v>
      </c>
      <c r="C485" s="871">
        <v>46269</v>
      </c>
      <c r="D485" t="s">
        <v>9449</v>
      </c>
      <c r="E485" t="s">
        <v>387</v>
      </c>
      <c r="F485" t="s">
        <v>398</v>
      </c>
      <c r="G485">
        <v>1794</v>
      </c>
      <c r="H485" t="s">
        <v>9333</v>
      </c>
      <c r="I485" s="871">
        <v>46293.93683766204</v>
      </c>
      <c r="J485" t="s">
        <v>9528</v>
      </c>
      <c r="K485" s="975" t="str">
        <f>IF(COUNTIFS(tblControles[Clave],tblControles[[#This Row],[Clave]])&gt;1,"Duplicado","")</f>
        <v/>
      </c>
    </row>
    <row r="486" spans="2:11">
      <c r="B486" s="975" t="str">
        <f>tblControles[[#This Row],[Fecha]]&amp;"|"&amp;tblControles[[#This Row],[Módulo]]&amp;"|"&amp;tblControles[[#This Row],[Ítem]]&amp;"|"&amp;tblControles[[#This Row],[Turno]]</f>
        <v>46269|TONELADAS X TURNO|Molino barras 2|1° turno</v>
      </c>
      <c r="C486" s="871">
        <v>46269</v>
      </c>
      <c r="D486" t="s">
        <v>9449</v>
      </c>
      <c r="E486" t="s">
        <v>388</v>
      </c>
      <c r="F486" t="s">
        <v>396</v>
      </c>
      <c r="G486">
        <v>0</v>
      </c>
      <c r="H486" t="s">
        <v>9333</v>
      </c>
      <c r="I486" s="871">
        <v>46293.93683766204</v>
      </c>
      <c r="J486" t="s">
        <v>9528</v>
      </c>
      <c r="K486" s="975" t="str">
        <f>IF(COUNTIFS(tblControles[Clave],tblControles[[#This Row],[Clave]])&gt;1,"Duplicado","")</f>
        <v/>
      </c>
    </row>
    <row r="487" spans="2:11">
      <c r="B487" s="975" t="str">
        <f>tblControles[[#This Row],[Fecha]]&amp;"|"&amp;tblControles[[#This Row],[Módulo]]&amp;"|"&amp;tblControles[[#This Row],[Ítem]]&amp;"|"&amp;tblControles[[#This Row],[Turno]]</f>
        <v>46269|TONELADAS X TURNO|Molino barras 2|2° turno</v>
      </c>
      <c r="C487" s="871">
        <v>46269</v>
      </c>
      <c r="D487" t="s">
        <v>9449</v>
      </c>
      <c r="E487" t="s">
        <v>388</v>
      </c>
      <c r="F487" t="s">
        <v>397</v>
      </c>
      <c r="G487">
        <v>1390</v>
      </c>
      <c r="H487" t="s">
        <v>9333</v>
      </c>
      <c r="I487" s="871">
        <v>46293.93683766204</v>
      </c>
      <c r="J487" t="s">
        <v>9528</v>
      </c>
      <c r="K487" s="975" t="str">
        <f>IF(COUNTIFS(tblControles[Clave],tblControles[[#This Row],[Clave]])&gt;1,"Duplicado","")</f>
        <v/>
      </c>
    </row>
    <row r="488" spans="2:11">
      <c r="B488" s="975" t="str">
        <f>tblControles[[#This Row],[Fecha]]&amp;"|"&amp;tblControles[[#This Row],[Módulo]]&amp;"|"&amp;tblControles[[#This Row],[Ítem]]&amp;"|"&amp;tblControles[[#This Row],[Turno]]</f>
        <v>46269|TONELADAS X TURNO|Molino barras 2|3° turno</v>
      </c>
      <c r="C488" s="871">
        <v>46269</v>
      </c>
      <c r="D488" t="s">
        <v>9449</v>
      </c>
      <c r="E488" t="s">
        <v>388</v>
      </c>
      <c r="F488" t="s">
        <v>398</v>
      </c>
      <c r="G488">
        <v>1786</v>
      </c>
      <c r="H488" t="s">
        <v>9333</v>
      </c>
      <c r="I488" s="871">
        <v>46293.93683766204</v>
      </c>
      <c r="J488" t="s">
        <v>9528</v>
      </c>
      <c r="K488" s="975" t="str">
        <f>IF(COUNTIFS(tblControles[Clave],tblControles[[#This Row],[Clave]])&gt;1,"Duplicado","")</f>
        <v/>
      </c>
    </row>
    <row r="489" spans="2:11">
      <c r="B489" s="975" t="str">
        <f>tblControles[[#This Row],[Fecha]]&amp;"|"&amp;tblControles[[#This Row],[Módulo]]&amp;"|"&amp;tblControles[[#This Row],[Ítem]]&amp;"|"&amp;tblControles[[#This Row],[Turno]]</f>
        <v>46269|TONELADAS X TURNO|Molino barras 3|1° turno</v>
      </c>
      <c r="C489" s="871">
        <v>46269</v>
      </c>
      <c r="D489" t="s">
        <v>9449</v>
      </c>
      <c r="E489" t="s">
        <v>389</v>
      </c>
      <c r="F489" t="s">
        <v>396</v>
      </c>
      <c r="G489">
        <v>1580</v>
      </c>
      <c r="H489" t="s">
        <v>9333</v>
      </c>
      <c r="I489" s="871">
        <v>46293.93683766204</v>
      </c>
      <c r="J489" t="s">
        <v>9528</v>
      </c>
      <c r="K489" s="975" t="str">
        <f>IF(COUNTIFS(tblControles[Clave],tblControles[[#This Row],[Clave]])&gt;1,"Duplicado","")</f>
        <v/>
      </c>
    </row>
    <row r="490" spans="2:11">
      <c r="B490" s="975" t="str">
        <f>tblControles[[#This Row],[Fecha]]&amp;"|"&amp;tblControles[[#This Row],[Módulo]]&amp;"|"&amp;tblControles[[#This Row],[Ítem]]&amp;"|"&amp;tblControles[[#This Row],[Turno]]</f>
        <v>46269|TONELADAS X TURNO|Molino barras 3|2° turno</v>
      </c>
      <c r="C490" s="871">
        <v>46269</v>
      </c>
      <c r="D490" t="s">
        <v>9449</v>
      </c>
      <c r="E490" t="s">
        <v>389</v>
      </c>
      <c r="F490" t="s">
        <v>397</v>
      </c>
      <c r="G490">
        <v>1408</v>
      </c>
      <c r="H490" t="s">
        <v>9333</v>
      </c>
      <c r="I490" s="871">
        <v>46293.93683766204</v>
      </c>
      <c r="J490" t="s">
        <v>9528</v>
      </c>
      <c r="K490" s="975" t="str">
        <f>IF(COUNTIFS(tblControles[Clave],tblControles[[#This Row],[Clave]])&gt;1,"Duplicado","")</f>
        <v/>
      </c>
    </row>
    <row r="491" spans="2:11">
      <c r="B491" s="975" t="str">
        <f>tblControles[[#This Row],[Fecha]]&amp;"|"&amp;tblControles[[#This Row],[Módulo]]&amp;"|"&amp;tblControles[[#This Row],[Ítem]]&amp;"|"&amp;tblControles[[#This Row],[Turno]]</f>
        <v>46269|TONELADAS X TURNO|Molino barras 3|3° turno</v>
      </c>
      <c r="C491" s="871">
        <v>46269</v>
      </c>
      <c r="D491" t="s">
        <v>9449</v>
      </c>
      <c r="E491" t="s">
        <v>389</v>
      </c>
      <c r="F491" t="s">
        <v>398</v>
      </c>
      <c r="G491">
        <v>1292</v>
      </c>
      <c r="H491" t="s">
        <v>9333</v>
      </c>
      <c r="I491" s="871">
        <v>46293.93683766204</v>
      </c>
      <c r="J491" t="s">
        <v>9528</v>
      </c>
      <c r="K491" s="975" t="str">
        <f>IF(COUNTIFS(tblControles[Clave],tblControles[[#This Row],[Clave]])&gt;1,"Duplicado","")</f>
        <v/>
      </c>
    </row>
    <row r="492" spans="2:11">
      <c r="B492" s="975" t="str">
        <f>tblControles[[#This Row],[Fecha]]&amp;"|"&amp;tblControles[[#This Row],[Módulo]]&amp;"|"&amp;tblControles[[#This Row],[Ítem]]&amp;"|"&amp;tblControles[[#This Row],[Turno]]</f>
        <v>46269|TONELADAS X TURNO|Molino barras 4|1° turno</v>
      </c>
      <c r="C492" s="871">
        <v>46269</v>
      </c>
      <c r="D492" t="s">
        <v>9449</v>
      </c>
      <c r="E492" t="s">
        <v>390</v>
      </c>
      <c r="F492" t="s">
        <v>396</v>
      </c>
      <c r="G492">
        <v>1215</v>
      </c>
      <c r="H492" t="s">
        <v>9333</v>
      </c>
      <c r="I492" s="871">
        <v>46293.93683766204</v>
      </c>
      <c r="J492" t="s">
        <v>9528</v>
      </c>
      <c r="K492" s="975" t="str">
        <f>IF(COUNTIFS(tblControles[Clave],tblControles[[#This Row],[Clave]])&gt;1,"Duplicado","")</f>
        <v/>
      </c>
    </row>
    <row r="493" spans="2:11">
      <c r="B493" s="975" t="str">
        <f>tblControles[[#This Row],[Fecha]]&amp;"|"&amp;tblControles[[#This Row],[Módulo]]&amp;"|"&amp;tblControles[[#This Row],[Ítem]]&amp;"|"&amp;tblControles[[#This Row],[Turno]]</f>
        <v>46269|TONELADAS X TURNO|Molino barras 4|2° turno</v>
      </c>
      <c r="C493" s="871">
        <v>46269</v>
      </c>
      <c r="D493" t="s">
        <v>9449</v>
      </c>
      <c r="E493" t="s">
        <v>390</v>
      </c>
      <c r="F493" t="s">
        <v>397</v>
      </c>
      <c r="G493">
        <v>182</v>
      </c>
      <c r="H493" t="s">
        <v>9333</v>
      </c>
      <c r="I493" s="871">
        <v>46293.93683766204</v>
      </c>
      <c r="J493" t="s">
        <v>9528</v>
      </c>
      <c r="K493" s="975" t="str">
        <f>IF(COUNTIFS(tblControles[Clave],tblControles[[#This Row],[Clave]])&gt;1,"Duplicado","")</f>
        <v/>
      </c>
    </row>
    <row r="494" spans="2:11">
      <c r="B494" s="975" t="str">
        <f>tblControles[[#This Row],[Fecha]]&amp;"|"&amp;tblControles[[#This Row],[Módulo]]&amp;"|"&amp;tblControles[[#This Row],[Ítem]]&amp;"|"&amp;tblControles[[#This Row],[Turno]]</f>
        <v>46269|TONELADAS X TURNO|Molino barras 4|3° turno</v>
      </c>
      <c r="C494" s="871">
        <v>46269</v>
      </c>
      <c r="D494" t="s">
        <v>9449</v>
      </c>
      <c r="E494" t="s">
        <v>390</v>
      </c>
      <c r="F494" t="s">
        <v>398</v>
      </c>
      <c r="G494">
        <v>0</v>
      </c>
      <c r="H494" t="s">
        <v>9333</v>
      </c>
      <c r="I494" s="871">
        <v>46293.93683766204</v>
      </c>
      <c r="J494" t="s">
        <v>9528</v>
      </c>
      <c r="K494" s="975" t="str">
        <f>IF(COUNTIFS(tblControles[Clave],tblControles[[#This Row],[Clave]])&gt;1,"Duplicado","")</f>
        <v/>
      </c>
    </row>
    <row r="495" spans="2:11">
      <c r="B495" s="975" t="str">
        <f>tblControles[[#This Row],[Fecha]]&amp;"|"&amp;tblControles[[#This Row],[Módulo]]&amp;"|"&amp;tblControles[[#This Row],[Ítem]]&amp;"|"&amp;tblControles[[#This Row],[Turno]]</f>
        <v>46269|TONELADAS X TURNO|Molino barras 5|1° turno</v>
      </c>
      <c r="C495" s="871">
        <v>46269</v>
      </c>
      <c r="D495" t="s">
        <v>9449</v>
      </c>
      <c r="E495" t="s">
        <v>391</v>
      </c>
      <c r="F495" t="s">
        <v>396</v>
      </c>
      <c r="G495">
        <v>0</v>
      </c>
      <c r="H495" t="s">
        <v>9333</v>
      </c>
      <c r="I495" s="871">
        <v>46293.93683766204</v>
      </c>
      <c r="J495" t="s">
        <v>9528</v>
      </c>
      <c r="K495" s="975" t="str">
        <f>IF(COUNTIFS(tblControles[Clave],tblControles[[#This Row],[Clave]])&gt;1,"Duplicado","")</f>
        <v/>
      </c>
    </row>
    <row r="496" spans="2:11">
      <c r="B496" s="975" t="str">
        <f>tblControles[[#This Row],[Fecha]]&amp;"|"&amp;tblControles[[#This Row],[Módulo]]&amp;"|"&amp;tblControles[[#This Row],[Ítem]]&amp;"|"&amp;tblControles[[#This Row],[Turno]]</f>
        <v>46269|TONELADAS X TURNO|Molino barras 5|2° turno</v>
      </c>
      <c r="C496" s="871">
        <v>46269</v>
      </c>
      <c r="D496" t="s">
        <v>9449</v>
      </c>
      <c r="E496" t="s">
        <v>391</v>
      </c>
      <c r="F496" t="s">
        <v>397</v>
      </c>
      <c r="G496">
        <v>388</v>
      </c>
      <c r="H496" t="s">
        <v>9333</v>
      </c>
      <c r="I496" s="871">
        <v>46293.93683766204</v>
      </c>
      <c r="J496" t="s">
        <v>9528</v>
      </c>
      <c r="K496" s="975" t="str">
        <f>IF(COUNTIFS(tblControles[Clave],tblControles[[#This Row],[Clave]])&gt;1,"Duplicado","")</f>
        <v/>
      </c>
    </row>
    <row r="497" spans="2:11">
      <c r="B497" s="975" t="str">
        <f>tblControles[[#This Row],[Fecha]]&amp;"|"&amp;tblControles[[#This Row],[Módulo]]&amp;"|"&amp;tblControles[[#This Row],[Ítem]]&amp;"|"&amp;tblControles[[#This Row],[Turno]]</f>
        <v>46269|TONELADAS X TURNO|Molino barras 5|3° turno</v>
      </c>
      <c r="C497" s="871">
        <v>46269</v>
      </c>
      <c r="D497" t="s">
        <v>9449</v>
      </c>
      <c r="E497" t="s">
        <v>391</v>
      </c>
      <c r="F497" t="s">
        <v>398</v>
      </c>
      <c r="G497">
        <v>0</v>
      </c>
      <c r="H497" t="s">
        <v>9333</v>
      </c>
      <c r="I497" s="871">
        <v>46293.93683766204</v>
      </c>
      <c r="J497" t="s">
        <v>9528</v>
      </c>
      <c r="K497" s="975" t="str">
        <f>IF(COUNTIFS(tblControles[Clave],tblControles[[#This Row],[Clave]])&gt;1,"Duplicado","")</f>
        <v/>
      </c>
    </row>
    <row r="498" spans="2:11">
      <c r="B498" s="975" t="str">
        <f>tblControles[[#This Row],[Fecha]]&amp;"|"&amp;tblControles[[#This Row],[Módulo]]&amp;"|"&amp;tblControles[[#This Row],[Ítem]]&amp;"|"&amp;tblControles[[#This Row],[Turno]]</f>
        <v>46269|TONELADAS X TURNO|Molino barras 6|1° turno</v>
      </c>
      <c r="C498" s="871">
        <v>46269</v>
      </c>
      <c r="D498" t="s">
        <v>9449</v>
      </c>
      <c r="E498" t="s">
        <v>392</v>
      </c>
      <c r="F498" t="s">
        <v>396</v>
      </c>
      <c r="G498">
        <v>1775</v>
      </c>
      <c r="H498" t="s">
        <v>9333</v>
      </c>
      <c r="I498" s="871">
        <v>46293.93683766204</v>
      </c>
      <c r="J498" t="s">
        <v>9528</v>
      </c>
      <c r="K498" s="975" t="str">
        <f>IF(COUNTIFS(tblControles[Clave],tblControles[[#This Row],[Clave]])&gt;1,"Duplicado","")</f>
        <v/>
      </c>
    </row>
    <row r="499" spans="2:11">
      <c r="B499" s="975" t="str">
        <f>tblControles[[#This Row],[Fecha]]&amp;"|"&amp;tblControles[[#This Row],[Módulo]]&amp;"|"&amp;tblControles[[#This Row],[Ítem]]&amp;"|"&amp;tblControles[[#This Row],[Turno]]</f>
        <v>46269|TONELADAS X TURNO|Molino barras 6|2° turno</v>
      </c>
      <c r="C499" s="871">
        <v>46269</v>
      </c>
      <c r="D499" t="s">
        <v>9449</v>
      </c>
      <c r="E499" t="s">
        <v>392</v>
      </c>
      <c r="F499" t="s">
        <v>397</v>
      </c>
      <c r="G499">
        <v>1659</v>
      </c>
      <c r="H499" t="s">
        <v>9333</v>
      </c>
      <c r="I499" s="871">
        <v>46293.93683766204</v>
      </c>
      <c r="J499" t="s">
        <v>9528</v>
      </c>
      <c r="K499" s="975" t="str">
        <f>IF(COUNTIFS(tblControles[Clave],tblControles[[#This Row],[Clave]])&gt;1,"Duplicado","")</f>
        <v/>
      </c>
    </row>
    <row r="500" spans="2:11">
      <c r="B500" s="975" t="str">
        <f>tblControles[[#This Row],[Fecha]]&amp;"|"&amp;tblControles[[#This Row],[Módulo]]&amp;"|"&amp;tblControles[[#This Row],[Ítem]]&amp;"|"&amp;tblControles[[#This Row],[Turno]]</f>
        <v>46269|TONELADAS X TURNO|Molino barras 6|3° turno</v>
      </c>
      <c r="C500" s="871">
        <v>46269</v>
      </c>
      <c r="D500" t="s">
        <v>9449</v>
      </c>
      <c r="E500" t="s">
        <v>392</v>
      </c>
      <c r="F500" t="s">
        <v>398</v>
      </c>
      <c r="G500">
        <v>1630</v>
      </c>
      <c r="H500" t="s">
        <v>9333</v>
      </c>
      <c r="I500" s="871">
        <v>46293.93683766204</v>
      </c>
      <c r="J500" t="s">
        <v>9528</v>
      </c>
      <c r="K500" s="975" t="str">
        <f>IF(COUNTIFS(tblControles[Clave],tblControles[[#This Row],[Clave]])&gt;1,"Duplicado","")</f>
        <v/>
      </c>
    </row>
    <row r="501" spans="2:11">
      <c r="B501" s="975" t="str">
        <f>tblControles[[#This Row],[Fecha]]&amp;"|"&amp;tblControles[[#This Row],[Módulo]]&amp;"|"&amp;tblControles[[#This Row],[Ítem]]&amp;"|"&amp;tblControles[[#This Row],[Turno]]</f>
        <v>46269|TONELADAS X TURNO|Molino barras 7|1° turno</v>
      </c>
      <c r="C501" s="871">
        <v>46269</v>
      </c>
      <c r="D501" t="s">
        <v>9449</v>
      </c>
      <c r="E501" t="s">
        <v>393</v>
      </c>
      <c r="F501" t="s">
        <v>396</v>
      </c>
      <c r="G501">
        <v>1726</v>
      </c>
      <c r="H501" t="s">
        <v>9333</v>
      </c>
      <c r="I501" s="871">
        <v>46293.93683766204</v>
      </c>
      <c r="J501" t="s">
        <v>9528</v>
      </c>
      <c r="K501" s="975" t="str">
        <f>IF(COUNTIFS(tblControles[Clave],tblControles[[#This Row],[Clave]])&gt;1,"Duplicado","")</f>
        <v/>
      </c>
    </row>
    <row r="502" spans="2:11">
      <c r="B502" s="975" t="str">
        <f>tblControles[[#This Row],[Fecha]]&amp;"|"&amp;tblControles[[#This Row],[Módulo]]&amp;"|"&amp;tblControles[[#This Row],[Ítem]]&amp;"|"&amp;tblControles[[#This Row],[Turno]]</f>
        <v>46269|TONELADAS X TURNO|Molino barras 7|2° turno</v>
      </c>
      <c r="C502" s="871">
        <v>46269</v>
      </c>
      <c r="D502" t="s">
        <v>9449</v>
      </c>
      <c r="E502" t="s">
        <v>393</v>
      </c>
      <c r="F502" t="s">
        <v>397</v>
      </c>
      <c r="G502">
        <v>1151</v>
      </c>
      <c r="H502" t="s">
        <v>9333</v>
      </c>
      <c r="I502" s="871">
        <v>46293.93683766204</v>
      </c>
      <c r="J502" t="s">
        <v>9528</v>
      </c>
      <c r="K502" s="975" t="str">
        <f>IF(COUNTIFS(tblControles[Clave],tblControles[[#This Row],[Clave]])&gt;1,"Duplicado","")</f>
        <v/>
      </c>
    </row>
    <row r="503" spans="2:11">
      <c r="B503" s="975" t="str">
        <f>tblControles[[#This Row],[Fecha]]&amp;"|"&amp;tblControles[[#This Row],[Módulo]]&amp;"|"&amp;tblControles[[#This Row],[Ítem]]&amp;"|"&amp;tblControles[[#This Row],[Turno]]</f>
        <v>46269|TONELADAS X TURNO|Molino barras 7|3° turno</v>
      </c>
      <c r="C503" s="871">
        <v>46269</v>
      </c>
      <c r="D503" t="s">
        <v>9449</v>
      </c>
      <c r="E503" t="s">
        <v>393</v>
      </c>
      <c r="F503" t="s">
        <v>398</v>
      </c>
      <c r="G503">
        <v>1641</v>
      </c>
      <c r="H503" t="s">
        <v>9333</v>
      </c>
      <c r="I503" s="871">
        <v>46293.93683766204</v>
      </c>
      <c r="J503" t="s">
        <v>9528</v>
      </c>
      <c r="K503" s="975" t="str">
        <f>IF(COUNTIFS(tblControles[Clave],tblControles[[#This Row],[Clave]])&gt;1,"Duplicado","")</f>
        <v/>
      </c>
    </row>
    <row r="504" spans="2:11">
      <c r="B504" s="975" t="str">
        <f>tblControles[[#This Row],[Fecha]]&amp;"|"&amp;tblControles[[#This Row],[Módulo]]&amp;"|"&amp;tblControles[[#This Row],[Ítem]]&amp;"|"&amp;tblControles[[#This Row],[Turno]]</f>
        <v>46269|TONELADAS X TURNO|Molino barras 8|1° turno</v>
      </c>
      <c r="C504" s="871">
        <v>46269</v>
      </c>
      <c r="D504" t="s">
        <v>9449</v>
      </c>
      <c r="E504" t="s">
        <v>394</v>
      </c>
      <c r="F504" t="s">
        <v>396</v>
      </c>
      <c r="G504">
        <v>1534</v>
      </c>
      <c r="H504" t="s">
        <v>9333</v>
      </c>
      <c r="I504" s="871">
        <v>46293.93683766204</v>
      </c>
      <c r="J504" t="s">
        <v>9528</v>
      </c>
      <c r="K504" s="975" t="str">
        <f>IF(COUNTIFS(tblControles[Clave],tblControles[[#This Row],[Clave]])&gt;1,"Duplicado","")</f>
        <v/>
      </c>
    </row>
    <row r="505" spans="2:11">
      <c r="B505" s="975" t="str">
        <f>tblControles[[#This Row],[Fecha]]&amp;"|"&amp;tblControles[[#This Row],[Módulo]]&amp;"|"&amp;tblControles[[#This Row],[Ítem]]&amp;"|"&amp;tblControles[[#This Row],[Turno]]</f>
        <v>46269|TONELADAS X TURNO|Molino barras 8|2° turno</v>
      </c>
      <c r="C505" s="871">
        <v>46269</v>
      </c>
      <c r="D505" t="s">
        <v>9449</v>
      </c>
      <c r="E505" t="s">
        <v>394</v>
      </c>
      <c r="F505" t="s">
        <v>397</v>
      </c>
      <c r="G505">
        <v>1515</v>
      </c>
      <c r="H505" t="s">
        <v>9333</v>
      </c>
      <c r="I505" s="871">
        <v>46293.93683766204</v>
      </c>
      <c r="J505" t="s">
        <v>9528</v>
      </c>
      <c r="K505" s="975" t="str">
        <f>IF(COUNTIFS(tblControles[Clave],tblControles[[#This Row],[Clave]])&gt;1,"Duplicado","")</f>
        <v/>
      </c>
    </row>
    <row r="506" spans="2:11">
      <c r="B506" s="975" t="str">
        <f>tblControles[[#This Row],[Fecha]]&amp;"|"&amp;tblControles[[#This Row],[Módulo]]&amp;"|"&amp;tblControles[[#This Row],[Ítem]]&amp;"|"&amp;tblControles[[#This Row],[Turno]]</f>
        <v>46269|TONELADAS X TURNO|Molino barras 8|3° turno</v>
      </c>
      <c r="C506" s="871">
        <v>46269</v>
      </c>
      <c r="D506" t="s">
        <v>9449</v>
      </c>
      <c r="E506" t="s">
        <v>394</v>
      </c>
      <c r="F506" t="s">
        <v>398</v>
      </c>
      <c r="G506">
        <v>1560</v>
      </c>
      <c r="H506" t="s">
        <v>9333</v>
      </c>
      <c r="I506" s="871">
        <v>46293.93683766204</v>
      </c>
      <c r="J506" t="s">
        <v>9528</v>
      </c>
      <c r="K506" s="975" t="str">
        <f>IF(COUNTIFS(tblControles[Clave],tblControles[[#This Row],[Clave]])&gt;1,"Duplicado","")</f>
        <v/>
      </c>
    </row>
    <row r="507" spans="2:11">
      <c r="B507" s="975" t="str">
        <f>tblControles[[#This Row],[Fecha]]&amp;"|"&amp;tblControles[[#This Row],[Módulo]]&amp;"|"&amp;tblControles[[#This Row],[Ítem]]&amp;"|"&amp;tblControles[[#This Row],[Turno]]</f>
        <v>46269|TONELADAS X TURNO|Molino barras 9|1° turno</v>
      </c>
      <c r="C507" s="871">
        <v>46269</v>
      </c>
      <c r="D507" t="s">
        <v>9449</v>
      </c>
      <c r="E507" t="s">
        <v>395</v>
      </c>
      <c r="F507" t="s">
        <v>396</v>
      </c>
      <c r="G507">
        <v>1346</v>
      </c>
      <c r="H507" t="s">
        <v>9333</v>
      </c>
      <c r="I507" s="871">
        <v>46293.93683766204</v>
      </c>
      <c r="J507" t="s">
        <v>9528</v>
      </c>
      <c r="K507" s="975" t="str">
        <f>IF(COUNTIFS(tblControles[Clave],tblControles[[#This Row],[Clave]])&gt;1,"Duplicado","")</f>
        <v/>
      </c>
    </row>
    <row r="508" spans="2:11">
      <c r="B508" s="975" t="str">
        <f>tblControles[[#This Row],[Fecha]]&amp;"|"&amp;tblControles[[#This Row],[Módulo]]&amp;"|"&amp;tblControles[[#This Row],[Ítem]]&amp;"|"&amp;tblControles[[#This Row],[Turno]]</f>
        <v>46269|TONELADAS X TURNO|Molino barras 9|2° turno</v>
      </c>
      <c r="C508" s="871">
        <v>46269</v>
      </c>
      <c r="D508" t="s">
        <v>9449</v>
      </c>
      <c r="E508" t="s">
        <v>395</v>
      </c>
      <c r="F508" t="s">
        <v>397</v>
      </c>
      <c r="G508">
        <v>1571</v>
      </c>
      <c r="H508" t="s">
        <v>9333</v>
      </c>
      <c r="I508" s="871">
        <v>46293.93683766204</v>
      </c>
      <c r="J508" t="s">
        <v>9528</v>
      </c>
      <c r="K508" s="975" t="str">
        <f>IF(COUNTIFS(tblControles[Clave],tblControles[[#This Row],[Clave]])&gt;1,"Duplicado","")</f>
        <v/>
      </c>
    </row>
    <row r="509" spans="2:11">
      <c r="B509" s="975" t="str">
        <f>tblControles[[#This Row],[Fecha]]&amp;"|"&amp;tblControles[[#This Row],[Módulo]]&amp;"|"&amp;tblControles[[#This Row],[Ítem]]&amp;"|"&amp;tblControles[[#This Row],[Turno]]</f>
        <v>46269|TONELADAS X TURNO|Molino barras 9|3° turno</v>
      </c>
      <c r="C509" s="871">
        <v>46269</v>
      </c>
      <c r="D509" t="s">
        <v>9449</v>
      </c>
      <c r="E509" t="s">
        <v>395</v>
      </c>
      <c r="F509" t="s">
        <v>398</v>
      </c>
      <c r="G509">
        <v>1909</v>
      </c>
      <c r="H509" t="s">
        <v>9333</v>
      </c>
      <c r="I509" s="871">
        <v>46293.93683766204</v>
      </c>
      <c r="J509" t="s">
        <v>9528</v>
      </c>
      <c r="K509" s="975" t="str">
        <f>IF(COUNTIFS(tblControles[Clave],tblControles[[#This Row],[Clave]])&gt;1,"Duplicado","")</f>
        <v/>
      </c>
    </row>
    <row r="510" spans="2:11">
      <c r="B510" s="975" t="str">
        <f>tblControles[[#This Row],[Fecha]]&amp;"|"&amp;tblControles[[#This Row],[Módulo]]&amp;"|"&amp;tblControles[[#This Row],[Ítem]]&amp;"|"&amp;tblControles[[#This Row],[Turno]]</f>
        <v>46270|AGREGADO MEDIOS|BARRAS RM1|Cantidad</v>
      </c>
      <c r="C510" s="871">
        <v>46270</v>
      </c>
      <c r="D510" t="s">
        <v>9451</v>
      </c>
      <c r="E510" t="s">
        <v>410</v>
      </c>
      <c r="F510" t="s">
        <v>9453</v>
      </c>
      <c r="G510">
        <v>0</v>
      </c>
      <c r="H510" t="s">
        <v>9333</v>
      </c>
      <c r="I510" s="871">
        <v>46293.93683766204</v>
      </c>
      <c r="J510" t="s">
        <v>9524</v>
      </c>
      <c r="K510" s="975" t="str">
        <f>IF(COUNTIFS(tblControles[Clave],tblControles[[#This Row],[Clave]])&gt;1,"Duplicado","")</f>
        <v/>
      </c>
    </row>
    <row r="511" spans="2:11">
      <c r="B511" s="975" t="str">
        <f>tblControles[[#This Row],[Fecha]]&amp;"|"&amp;tblControles[[#This Row],[Módulo]]&amp;"|"&amp;tblControles[[#This Row],[Ítem]]&amp;"|"&amp;tblControles[[#This Row],[Turno]]</f>
        <v>46270|AGREGADO MEDIOS|BARRAS RM2|Cantidad</v>
      </c>
      <c r="C511" s="871">
        <v>46270</v>
      </c>
      <c r="D511" t="s">
        <v>9451</v>
      </c>
      <c r="E511" t="s">
        <v>411</v>
      </c>
      <c r="F511" t="s">
        <v>9453</v>
      </c>
      <c r="G511">
        <v>0</v>
      </c>
      <c r="H511" t="s">
        <v>9333</v>
      </c>
      <c r="I511" s="871">
        <v>46293.93683766204</v>
      </c>
      <c r="J511" t="s">
        <v>9524</v>
      </c>
      <c r="K511" s="975" t="str">
        <f>IF(COUNTIFS(tblControles[Clave],tblControles[[#This Row],[Clave]])&gt;1,"Duplicado","")</f>
        <v/>
      </c>
    </row>
    <row r="512" spans="2:11">
      <c r="B512" s="975" t="str">
        <f>tblControles[[#This Row],[Fecha]]&amp;"|"&amp;tblControles[[#This Row],[Módulo]]&amp;"|"&amp;tblControles[[#This Row],[Ítem]]&amp;"|"&amp;tblControles[[#This Row],[Turno]]</f>
        <v>46270|AGREGADO MEDIOS|BARRAS RM3|Cantidad</v>
      </c>
      <c r="C512" s="871">
        <v>46270</v>
      </c>
      <c r="D512" t="s">
        <v>9451</v>
      </c>
      <c r="E512" t="s">
        <v>412</v>
      </c>
      <c r="F512" t="s">
        <v>9453</v>
      </c>
      <c r="G512">
        <v>0</v>
      </c>
      <c r="H512" t="s">
        <v>9333</v>
      </c>
      <c r="I512" s="871">
        <v>46293.93683766204</v>
      </c>
      <c r="J512" t="s">
        <v>9524</v>
      </c>
      <c r="K512" s="975" t="str">
        <f>IF(COUNTIFS(tblControles[Clave],tblControles[[#This Row],[Clave]])&gt;1,"Duplicado","")</f>
        <v/>
      </c>
    </row>
    <row r="513" spans="2:11">
      <c r="B513" s="975" t="str">
        <f>tblControles[[#This Row],[Fecha]]&amp;"|"&amp;tblControles[[#This Row],[Módulo]]&amp;"|"&amp;tblControles[[#This Row],[Ítem]]&amp;"|"&amp;tblControles[[#This Row],[Turno]]</f>
        <v>46270|AGREGADO MEDIOS|BARRAS RM4|Cantidad</v>
      </c>
      <c r="C513" s="871">
        <v>46270</v>
      </c>
      <c r="D513" t="s">
        <v>9451</v>
      </c>
      <c r="E513" t="s">
        <v>413</v>
      </c>
      <c r="F513" t="s">
        <v>9453</v>
      </c>
      <c r="G513">
        <v>0</v>
      </c>
      <c r="H513" t="s">
        <v>9333</v>
      </c>
      <c r="I513" s="871">
        <v>46293.93683766204</v>
      </c>
      <c r="J513" t="s">
        <v>9524</v>
      </c>
      <c r="K513" s="975" t="str">
        <f>IF(COUNTIFS(tblControles[Clave],tblControles[[#This Row],[Clave]])&gt;1,"Duplicado","")</f>
        <v/>
      </c>
    </row>
    <row r="514" spans="2:11">
      <c r="B514" s="975" t="str">
        <f>tblControles[[#This Row],[Fecha]]&amp;"|"&amp;tblControles[[#This Row],[Módulo]]&amp;"|"&amp;tblControles[[#This Row],[Ítem]]&amp;"|"&amp;tblControles[[#This Row],[Turno]]</f>
        <v>46270|AGREGADO MEDIOS|BARRAS RM5|Cantidad</v>
      </c>
      <c r="C514" s="871">
        <v>46270</v>
      </c>
      <c r="D514" t="s">
        <v>9451</v>
      </c>
      <c r="E514" t="s">
        <v>414</v>
      </c>
      <c r="F514" t="s">
        <v>9453</v>
      </c>
      <c r="G514">
        <v>0</v>
      </c>
      <c r="H514" t="s">
        <v>9333</v>
      </c>
      <c r="I514" s="871">
        <v>46293.93683766204</v>
      </c>
      <c r="J514" t="s">
        <v>9524</v>
      </c>
      <c r="K514" s="975" t="str">
        <f>IF(COUNTIFS(tblControles[Clave],tblControles[[#This Row],[Clave]])&gt;1,"Duplicado","")</f>
        <v/>
      </c>
    </row>
    <row r="515" spans="2:11">
      <c r="B515" s="975" t="str">
        <f>tblControles[[#This Row],[Fecha]]&amp;"|"&amp;tblControles[[#This Row],[Módulo]]&amp;"|"&amp;tblControles[[#This Row],[Ítem]]&amp;"|"&amp;tblControles[[#This Row],[Turno]]</f>
        <v>46270|AGREGADO MEDIOS|BARRAS RM6|Cantidad</v>
      </c>
      <c r="C515" s="871">
        <v>46270</v>
      </c>
      <c r="D515" t="s">
        <v>9451</v>
      </c>
      <c r="E515" t="s">
        <v>415</v>
      </c>
      <c r="F515" t="s">
        <v>9453</v>
      </c>
      <c r="G515">
        <v>0</v>
      </c>
      <c r="H515" t="s">
        <v>9333</v>
      </c>
      <c r="I515" s="871">
        <v>46293.93683766204</v>
      </c>
      <c r="J515" t="s">
        <v>9524</v>
      </c>
      <c r="K515" s="975" t="str">
        <f>IF(COUNTIFS(tblControles[Clave],tblControles[[#This Row],[Clave]])&gt;1,"Duplicado","")</f>
        <v/>
      </c>
    </row>
    <row r="516" spans="2:11">
      <c r="B516" s="975" t="str">
        <f>tblControles[[#This Row],[Fecha]]&amp;"|"&amp;tblControles[[#This Row],[Módulo]]&amp;"|"&amp;tblControles[[#This Row],[Ítem]]&amp;"|"&amp;tblControles[[#This Row],[Turno]]</f>
        <v>46270|AGREGADO MEDIOS|BARRAS RM7|Cantidad</v>
      </c>
      <c r="C516" s="871">
        <v>46270</v>
      </c>
      <c r="D516" t="s">
        <v>9451</v>
      </c>
      <c r="E516" t="s">
        <v>416</v>
      </c>
      <c r="F516" t="s">
        <v>9453</v>
      </c>
      <c r="G516">
        <v>0</v>
      </c>
      <c r="H516" t="s">
        <v>9333</v>
      </c>
      <c r="I516" s="871">
        <v>46293.93683766204</v>
      </c>
      <c r="J516" t="s">
        <v>9524</v>
      </c>
      <c r="K516" s="975" t="str">
        <f>IF(COUNTIFS(tblControles[Clave],tblControles[[#This Row],[Clave]])&gt;1,"Duplicado","")</f>
        <v/>
      </c>
    </row>
    <row r="517" spans="2:11">
      <c r="B517" s="975" t="str">
        <f>tblControles[[#This Row],[Fecha]]&amp;"|"&amp;tblControles[[#This Row],[Módulo]]&amp;"|"&amp;tblControles[[#This Row],[Ítem]]&amp;"|"&amp;tblControles[[#This Row],[Turno]]</f>
        <v>46270|AGREGADO MEDIOS|BARRAS RM8|Cantidad</v>
      </c>
      <c r="C517" s="871">
        <v>46270</v>
      </c>
      <c r="D517" t="s">
        <v>9451</v>
      </c>
      <c r="E517" t="s">
        <v>417</v>
      </c>
      <c r="F517" t="s">
        <v>9453</v>
      </c>
      <c r="G517">
        <v>0</v>
      </c>
      <c r="H517" t="s">
        <v>9333</v>
      </c>
      <c r="I517" s="871">
        <v>46293.93683766204</v>
      </c>
      <c r="J517" t="s">
        <v>9524</v>
      </c>
      <c r="K517" s="975" t="str">
        <f>IF(COUNTIFS(tblControles[Clave],tblControles[[#This Row],[Clave]])&gt;1,"Duplicado","")</f>
        <v/>
      </c>
    </row>
    <row r="518" spans="2:11">
      <c r="B518" s="975" t="str">
        <f>tblControles[[#This Row],[Fecha]]&amp;"|"&amp;tblControles[[#This Row],[Módulo]]&amp;"|"&amp;tblControles[[#This Row],[Ítem]]&amp;"|"&amp;tblControles[[#This Row],[Turno]]</f>
        <v>46270|AGREGADO MEDIOS|BARRAS 9 RM9|Cantidad</v>
      </c>
      <c r="C518" s="871">
        <v>46270</v>
      </c>
      <c r="D518" t="s">
        <v>9451</v>
      </c>
      <c r="E518" t="s">
        <v>418</v>
      </c>
      <c r="F518" t="s">
        <v>9453</v>
      </c>
      <c r="G518">
        <v>0</v>
      </c>
      <c r="H518" t="s">
        <v>9333</v>
      </c>
      <c r="I518" s="871">
        <v>46293.93683766204</v>
      </c>
      <c r="J518" t="s">
        <v>9524</v>
      </c>
      <c r="K518" s="975" t="str">
        <f>IF(COUNTIFS(tblControles[Clave],tblControles[[#This Row],[Clave]])&gt;1,"Duplicado","")</f>
        <v/>
      </c>
    </row>
    <row r="519" spans="2:11">
      <c r="B519" s="975" t="str">
        <f>tblControles[[#This Row],[Fecha]]&amp;"|"&amp;tblControles[[#This Row],[Módulo]]&amp;"|"&amp;tblControles[[#This Row],[Ítem]]&amp;"|"&amp;tblControles[[#This Row],[Turno]]</f>
        <v>46270|AGREGADO MEDIOS|CONOS 40X50 BM1|Cantidad</v>
      </c>
      <c r="C519" s="871">
        <v>46270</v>
      </c>
      <c r="D519" t="s">
        <v>9451</v>
      </c>
      <c r="E519" t="s">
        <v>420</v>
      </c>
      <c r="F519" t="s">
        <v>9453</v>
      </c>
      <c r="G519">
        <v>4</v>
      </c>
      <c r="H519" t="s">
        <v>9333</v>
      </c>
      <c r="I519" s="871">
        <v>46293.93683766204</v>
      </c>
      <c r="J519" t="s">
        <v>9524</v>
      </c>
      <c r="K519" s="975" t="str">
        <f>IF(COUNTIFS(tblControles[Clave],tblControles[[#This Row],[Clave]])&gt;1,"Duplicado","")</f>
        <v/>
      </c>
    </row>
    <row r="520" spans="2:11">
      <c r="B520" s="975" t="str">
        <f>tblControles[[#This Row],[Fecha]]&amp;"|"&amp;tblControles[[#This Row],[Módulo]]&amp;"|"&amp;tblControles[[#This Row],[Ítem]]&amp;"|"&amp;tblControles[[#This Row],[Turno]]</f>
        <v>46270|AGREGADO MEDIOS|CONOS 40X50 BM2|Cantidad</v>
      </c>
      <c r="C520" s="871">
        <v>46270</v>
      </c>
      <c r="D520" t="s">
        <v>9451</v>
      </c>
      <c r="E520" t="s">
        <v>421</v>
      </c>
      <c r="F520" t="s">
        <v>9453</v>
      </c>
      <c r="G520">
        <v>0</v>
      </c>
      <c r="H520" t="s">
        <v>9333</v>
      </c>
      <c r="I520" s="871">
        <v>46293.93683766204</v>
      </c>
      <c r="J520" t="s">
        <v>9524</v>
      </c>
      <c r="K520" s="975" t="str">
        <f>IF(COUNTIFS(tblControles[Clave],tblControles[[#This Row],[Clave]])&gt;1,"Duplicado","")</f>
        <v/>
      </c>
    </row>
    <row r="521" spans="2:11">
      <c r="B521" s="975" t="str">
        <f>tblControles[[#This Row],[Fecha]]&amp;"|"&amp;tblControles[[#This Row],[Módulo]]&amp;"|"&amp;tblControles[[#This Row],[Ítem]]&amp;"|"&amp;tblControles[[#This Row],[Turno]]</f>
        <v>46270|AGREGADO MEDIOS|CONOS 40X50 BM3|Cantidad</v>
      </c>
      <c r="C521" s="871">
        <v>46270</v>
      </c>
      <c r="D521" t="s">
        <v>9451</v>
      </c>
      <c r="E521" t="s">
        <v>422</v>
      </c>
      <c r="F521" t="s">
        <v>9453</v>
      </c>
      <c r="G521">
        <v>4</v>
      </c>
      <c r="H521" t="s">
        <v>9333</v>
      </c>
      <c r="I521" s="871">
        <v>46293.93683766204</v>
      </c>
      <c r="J521" t="s">
        <v>9524</v>
      </c>
      <c r="K521" s="975" t="str">
        <f>IF(COUNTIFS(tblControles[Clave],tblControles[[#This Row],[Clave]])&gt;1,"Duplicado","")</f>
        <v/>
      </c>
    </row>
    <row r="522" spans="2:11">
      <c r="B522" s="975" t="str">
        <f>tblControles[[#This Row],[Fecha]]&amp;"|"&amp;tblControles[[#This Row],[Módulo]]&amp;"|"&amp;tblControles[[#This Row],[Ítem]]&amp;"|"&amp;tblControles[[#This Row],[Turno]]</f>
        <v>46270|AGREGADO MEDIOS|CONOS 40X50 BM4|Cantidad</v>
      </c>
      <c r="C522" s="871">
        <v>46270</v>
      </c>
      <c r="D522" t="s">
        <v>9451</v>
      </c>
      <c r="E522" t="s">
        <v>423</v>
      </c>
      <c r="F522" t="s">
        <v>9453</v>
      </c>
      <c r="G522">
        <v>0</v>
      </c>
      <c r="H522" t="s">
        <v>9333</v>
      </c>
      <c r="I522" s="871">
        <v>46293.93683766204</v>
      </c>
      <c r="J522" t="s">
        <v>9524</v>
      </c>
      <c r="K522" s="975" t="str">
        <f>IF(COUNTIFS(tblControles[Clave],tblControles[[#This Row],[Clave]])&gt;1,"Duplicado","")</f>
        <v/>
      </c>
    </row>
    <row r="523" spans="2:11">
      <c r="B523" s="975" t="str">
        <f>tblControles[[#This Row],[Fecha]]&amp;"|"&amp;tblControles[[#This Row],[Módulo]]&amp;"|"&amp;tblControles[[#This Row],[Ítem]]&amp;"|"&amp;tblControles[[#This Row],[Turno]]</f>
        <v>46270|AGREGADO MEDIOS|CONOS 30X35 BM5|Cantidad</v>
      </c>
      <c r="C523" s="871">
        <v>46270</v>
      </c>
      <c r="D523" t="s">
        <v>9451</v>
      </c>
      <c r="E523" t="s">
        <v>424</v>
      </c>
      <c r="F523" t="s">
        <v>9453</v>
      </c>
      <c r="G523">
        <v>0</v>
      </c>
      <c r="H523" t="s">
        <v>9333</v>
      </c>
      <c r="I523" s="871">
        <v>46293.93683766204</v>
      </c>
      <c r="J523" t="s">
        <v>9524</v>
      </c>
      <c r="K523" s="975" t="str">
        <f>IF(COUNTIFS(tblControles[Clave],tblControles[[#This Row],[Clave]])&gt;1,"Duplicado","")</f>
        <v/>
      </c>
    </row>
    <row r="524" spans="2:11">
      <c r="B524" s="975" t="str">
        <f>tblControles[[#This Row],[Fecha]]&amp;"|"&amp;tblControles[[#This Row],[Módulo]]&amp;"|"&amp;tblControles[[#This Row],[Ítem]]&amp;"|"&amp;tblControles[[#This Row],[Turno]]</f>
        <v>46270|AGREGADO MEDIOS|CONOS 40X50 BM6|Cantidad</v>
      </c>
      <c r="C524" s="871">
        <v>46270</v>
      </c>
      <c r="D524" t="s">
        <v>9451</v>
      </c>
      <c r="E524" t="s">
        <v>425</v>
      </c>
      <c r="F524" t="s">
        <v>9453</v>
      </c>
      <c r="G524">
        <v>0</v>
      </c>
      <c r="H524" t="s">
        <v>9333</v>
      </c>
      <c r="I524" s="871">
        <v>46293.93683766204</v>
      </c>
      <c r="J524" t="s">
        <v>9524</v>
      </c>
      <c r="K524" s="975" t="str">
        <f>IF(COUNTIFS(tblControles[Clave],tblControles[[#This Row],[Clave]])&gt;1,"Duplicado","")</f>
        <v/>
      </c>
    </row>
    <row r="525" spans="2:11">
      <c r="B525" s="975" t="str">
        <f>tblControles[[#This Row],[Fecha]]&amp;"|"&amp;tblControles[[#This Row],[Módulo]]&amp;"|"&amp;tblControles[[#This Row],[Ítem]]&amp;"|"&amp;tblControles[[#This Row],[Turno]]</f>
        <v>46270|AGREGADO MEDIOS|CONOS 40X50 BM7|Cantidad</v>
      </c>
      <c r="C525" s="871">
        <v>46270</v>
      </c>
      <c r="D525" t="s">
        <v>9451</v>
      </c>
      <c r="E525" t="s">
        <v>426</v>
      </c>
      <c r="F525" t="s">
        <v>9453</v>
      </c>
      <c r="G525">
        <v>0</v>
      </c>
      <c r="H525" t="s">
        <v>9333</v>
      </c>
      <c r="I525" s="871">
        <v>46293.93683766204</v>
      </c>
      <c r="J525" t="s">
        <v>9524</v>
      </c>
      <c r="K525" s="975" t="str">
        <f>IF(COUNTIFS(tblControles[Clave],tblControles[[#This Row],[Clave]])&gt;1,"Duplicado","")</f>
        <v/>
      </c>
    </row>
    <row r="526" spans="2:11">
      <c r="B526" s="975" t="str">
        <f>tblControles[[#This Row],[Fecha]]&amp;"|"&amp;tblControles[[#This Row],[Módulo]]&amp;"|"&amp;tblControles[[#This Row],[Ítem]]&amp;"|"&amp;tblControles[[#This Row],[Turno]]</f>
        <v>46270|AGREGADO MEDIOS|CONOS 40X50|Cantidad</v>
      </c>
      <c r="C526" s="871">
        <v>46270</v>
      </c>
      <c r="D526" t="s">
        <v>9451</v>
      </c>
      <c r="E526" t="s">
        <v>427</v>
      </c>
      <c r="F526" t="s">
        <v>9453</v>
      </c>
      <c r="G526">
        <v>4</v>
      </c>
      <c r="H526" t="s">
        <v>9333</v>
      </c>
      <c r="I526" s="871">
        <v>46293.93683766204</v>
      </c>
      <c r="J526" t="s">
        <v>9524</v>
      </c>
      <c r="K526" s="975" t="str">
        <f>IF(COUNTIFS(tblControles[Clave],tblControles[[#This Row],[Clave]])&gt;1,"Duplicado","")</f>
        <v/>
      </c>
    </row>
    <row r="527" spans="2:11">
      <c r="B527" s="975" t="str">
        <f>tblControles[[#This Row],[Fecha]]&amp;"|"&amp;tblControles[[#This Row],[Módulo]]&amp;"|"&amp;tblControles[[#This Row],[Ítem]]&amp;"|"&amp;tblControles[[#This Row],[Turno]]</f>
        <v>46270|AGREGADO MEDIOS|CONOS 30X35|Cantidad</v>
      </c>
      <c r="C527" s="871">
        <v>46270</v>
      </c>
      <c r="D527" t="s">
        <v>9451</v>
      </c>
      <c r="E527" t="s">
        <v>428</v>
      </c>
      <c r="F527" t="s">
        <v>9453</v>
      </c>
      <c r="G527">
        <v>4</v>
      </c>
      <c r="H527" t="s">
        <v>9333</v>
      </c>
      <c r="I527" s="871">
        <v>46293.93683766204</v>
      </c>
      <c r="J527" t="s">
        <v>9524</v>
      </c>
      <c r="K527" s="975" t="str">
        <f>IF(COUNTIFS(tblControles[Clave],tblControles[[#This Row],[Clave]])&gt;1,"Duplicado","")</f>
        <v/>
      </c>
    </row>
    <row r="528" spans="2:11">
      <c r="B528" s="975" t="str">
        <f>tblControles[[#This Row],[Fecha]]&amp;"|"&amp;tblControles[[#This Row],[Módulo]]&amp;"|"&amp;tblControles[[#This Row],[Ítem]]&amp;"|"&amp;tblControles[[#This Row],[Turno]]</f>
        <v>46270|AGREGADO MEDIOS|BOLAS BM8|Cantidad</v>
      </c>
      <c r="C528" s="871">
        <v>46270</v>
      </c>
      <c r="D528" t="s">
        <v>9451</v>
      </c>
      <c r="E528" t="s">
        <v>429</v>
      </c>
      <c r="F528" t="s">
        <v>9453</v>
      </c>
      <c r="G528">
        <v>10</v>
      </c>
      <c r="H528" t="s">
        <v>9333</v>
      </c>
      <c r="I528" s="871">
        <v>46293.93683766204</v>
      </c>
      <c r="J528" t="s">
        <v>9524</v>
      </c>
      <c r="K528" s="975" t="str">
        <f>IF(COUNTIFS(tblControles[Clave],tblControles[[#This Row],[Clave]])&gt;1,"Duplicado","")</f>
        <v/>
      </c>
    </row>
    <row r="529" spans="2:11">
      <c r="B529" s="975" t="str">
        <f>tblControles[[#This Row],[Fecha]]&amp;"|"&amp;tblControles[[#This Row],[Módulo]]&amp;"|"&amp;tblControles[[#This Row],[Ítem]]&amp;"|"&amp;tblControles[[#This Row],[Turno]]</f>
        <v>46270|AGREGADO MEDIOS|BOLAS BM9|Cantidad</v>
      </c>
      <c r="C529" s="871">
        <v>46270</v>
      </c>
      <c r="D529" t="s">
        <v>9451</v>
      </c>
      <c r="E529" t="s">
        <v>430</v>
      </c>
      <c r="F529" t="s">
        <v>9453</v>
      </c>
      <c r="G529">
        <v>10</v>
      </c>
      <c r="H529" t="s">
        <v>9333</v>
      </c>
      <c r="I529" s="871">
        <v>46293.93683766204</v>
      </c>
      <c r="J529" t="s">
        <v>9524</v>
      </c>
      <c r="K529" s="975" t="str">
        <f>IF(COUNTIFS(tblControles[Clave],tblControles[[#This Row],[Clave]])&gt;1,"Duplicado","")</f>
        <v/>
      </c>
    </row>
    <row r="530" spans="2:11">
      <c r="B530" s="975" t="str">
        <f>tblControles[[#This Row],[Fecha]]&amp;"|"&amp;tblControles[[#This Row],[Módulo]]&amp;"|"&amp;tblControles[[#This Row],[Ítem]]&amp;"|"&amp;tblControles[[#This Row],[Turno]]</f>
        <v>46270|AGREGADO MEDIOS|BOLAS BM10|Cantidad</v>
      </c>
      <c r="C530" s="871">
        <v>46270</v>
      </c>
      <c r="D530" t="s">
        <v>9451</v>
      </c>
      <c r="E530" t="s">
        <v>431</v>
      </c>
      <c r="F530" t="s">
        <v>9453</v>
      </c>
      <c r="G530">
        <v>10</v>
      </c>
      <c r="H530" t="s">
        <v>9333</v>
      </c>
      <c r="I530" s="871">
        <v>46293.93683766204</v>
      </c>
      <c r="J530" t="s">
        <v>9524</v>
      </c>
      <c r="K530" s="975" t="str">
        <f>IF(COUNTIFS(tblControles[Clave],tblControles[[#This Row],[Clave]])&gt;1,"Duplicado","")</f>
        <v/>
      </c>
    </row>
    <row r="531" spans="2:11">
      <c r="B531" s="975" t="str">
        <f>tblControles[[#This Row],[Fecha]]&amp;"|"&amp;tblControles[[#This Row],[Módulo]]&amp;"|"&amp;tblControles[[#This Row],[Ítem]]&amp;"|"&amp;tblControles[[#This Row],[Turno]]</f>
        <v>46270|AGREGADO MEDIOS|BOLAS ALTO CROM|Cantidad</v>
      </c>
      <c r="C531" s="871">
        <v>46270</v>
      </c>
      <c r="D531" t="s">
        <v>9451</v>
      </c>
      <c r="E531" t="s">
        <v>432</v>
      </c>
      <c r="F531" t="s">
        <v>9453</v>
      </c>
      <c r="G531">
        <v>30</v>
      </c>
      <c r="H531" t="s">
        <v>9333</v>
      </c>
      <c r="I531" s="871">
        <v>46293.93683766204</v>
      </c>
      <c r="J531" t="s">
        <v>9524</v>
      </c>
      <c r="K531" s="975" t="str">
        <f>IF(COUNTIFS(tblControles[Clave],tblControles[[#This Row],[Clave]])&gt;1,"Duplicado","")</f>
        <v/>
      </c>
    </row>
    <row r="532" spans="2:11">
      <c r="B532" s="975" t="str">
        <f>tblControles[[#This Row],[Fecha]]&amp;"|"&amp;tblControles[[#This Row],[Módulo]]&amp;"|"&amp;tblControles[[#This Row],[Ítem]]&amp;"|"&amp;tblControles[[#This Row],[Turno]]</f>
        <v>46270|FILTROS H2O|Filtro # 1|2 TURNO</v>
      </c>
      <c r="C532" s="871">
        <v>46270</v>
      </c>
      <c r="D532" t="s">
        <v>9430</v>
      </c>
      <c r="E532" t="s">
        <v>9525</v>
      </c>
      <c r="F532" t="s">
        <v>327</v>
      </c>
      <c r="G532" t="s">
        <v>3227</v>
      </c>
      <c r="H532" t="s">
        <v>9333</v>
      </c>
      <c r="I532" s="871">
        <v>46293.93683766204</v>
      </c>
      <c r="J532" t="s">
        <v>9526</v>
      </c>
      <c r="K532" s="975" t="str">
        <f>IF(COUNTIFS(tblControles[Clave],tblControles[[#This Row],[Clave]])&gt;1,"Duplicado","")</f>
        <v/>
      </c>
    </row>
    <row r="533" spans="2:11">
      <c r="B533" s="975" t="str">
        <f>tblControles[[#This Row],[Fecha]]&amp;"|"&amp;tblControles[[#This Row],[Módulo]]&amp;"|"&amp;tblControles[[#This Row],[Ítem]]&amp;"|"&amp;tblControles[[#This Row],[Turno]]</f>
        <v>46270|FILTROS H2O|Filtro # 2|2 TURNO</v>
      </c>
      <c r="C533" s="871">
        <v>46270</v>
      </c>
      <c r="D533" t="s">
        <v>9430</v>
      </c>
      <c r="E533" t="s">
        <v>9463</v>
      </c>
      <c r="F533" t="s">
        <v>327</v>
      </c>
      <c r="G533" t="s">
        <v>3227</v>
      </c>
      <c r="H533" t="s">
        <v>9333</v>
      </c>
      <c r="I533" s="871">
        <v>46293.93683766204</v>
      </c>
      <c r="J533" t="s">
        <v>9526</v>
      </c>
      <c r="K533" s="975" t="str">
        <f>IF(COUNTIFS(tblControles[Clave],tblControles[[#This Row],[Clave]])&gt;1,"Duplicado","")</f>
        <v/>
      </c>
    </row>
    <row r="534" spans="2:11">
      <c r="B534" s="975" t="str">
        <f>tblControles[[#This Row],[Fecha]]&amp;"|"&amp;tblControles[[#This Row],[Módulo]]&amp;"|"&amp;tblControles[[#This Row],[Ítem]]&amp;"|"&amp;tblControles[[#This Row],[Turno]]</f>
        <v>46270|FILTROS H2O|Filtro # 3|2 TURNO</v>
      </c>
      <c r="C534" s="871">
        <v>46270</v>
      </c>
      <c r="D534" t="s">
        <v>9430</v>
      </c>
      <c r="E534" t="s">
        <v>9464</v>
      </c>
      <c r="F534" t="s">
        <v>327</v>
      </c>
      <c r="G534" t="s">
        <v>3227</v>
      </c>
      <c r="H534" t="s">
        <v>9333</v>
      </c>
      <c r="I534" s="871">
        <v>46293.93683766204</v>
      </c>
      <c r="J534" t="s">
        <v>9526</v>
      </c>
      <c r="K534" s="975" t="str">
        <f>IF(COUNTIFS(tblControles[Clave],tblControles[[#This Row],[Clave]])&gt;1,"Duplicado","")</f>
        <v/>
      </c>
    </row>
    <row r="535" spans="2:11">
      <c r="B535" s="975" t="str">
        <f>tblControles[[#This Row],[Fecha]]&amp;"|"&amp;tblControles[[#This Row],[Módulo]]&amp;"|"&amp;tblControles[[#This Row],[Ítem]]&amp;"|"&amp;tblControles[[#This Row],[Turno]]</f>
        <v>46270|FILTROS H2O|Filtro # 4|2 TURNO</v>
      </c>
      <c r="C535" s="871">
        <v>46270</v>
      </c>
      <c r="D535" t="s">
        <v>9430</v>
      </c>
      <c r="E535" t="s">
        <v>9465</v>
      </c>
      <c r="F535" t="s">
        <v>327</v>
      </c>
      <c r="G535" t="s">
        <v>345</v>
      </c>
      <c r="H535" t="s">
        <v>9333</v>
      </c>
      <c r="I535" s="871">
        <v>46293.93683766204</v>
      </c>
      <c r="J535" t="s">
        <v>9526</v>
      </c>
      <c r="K535" s="975" t="str">
        <f>IF(COUNTIFS(tblControles[Clave],tblControles[[#This Row],[Clave]])&gt;1,"Duplicado","")</f>
        <v/>
      </c>
    </row>
    <row r="536" spans="2:11">
      <c r="B536" s="975" t="str">
        <f>tblControles[[#This Row],[Fecha]]&amp;"|"&amp;tblControles[[#This Row],[Módulo]]&amp;"|"&amp;tblControles[[#This Row],[Ítem]]&amp;"|"&amp;tblControles[[#This Row],[Turno]]</f>
        <v>46270|FILTROS H2O|Filtro # 5|2 TURNO</v>
      </c>
      <c r="C536" s="871">
        <v>46270</v>
      </c>
      <c r="D536" t="s">
        <v>9430</v>
      </c>
      <c r="E536" t="s">
        <v>9466</v>
      </c>
      <c r="F536" t="s">
        <v>327</v>
      </c>
      <c r="G536" t="s">
        <v>3227</v>
      </c>
      <c r="H536" t="s">
        <v>9333</v>
      </c>
      <c r="I536" s="871">
        <v>46293.93683766204</v>
      </c>
      <c r="J536" t="s">
        <v>9526</v>
      </c>
      <c r="K536" s="975" t="str">
        <f>IF(COUNTIFS(tblControles[Clave],tblControles[[#This Row],[Clave]])&gt;1,"Duplicado","")</f>
        <v/>
      </c>
    </row>
    <row r="537" spans="2:11">
      <c r="B537" s="975" t="str">
        <f>tblControles[[#This Row],[Fecha]]&amp;"|"&amp;tblControles[[#This Row],[Módulo]]&amp;"|"&amp;tblControles[[#This Row],[Ítem]]&amp;"|"&amp;tblControles[[#This Row],[Turno]]</f>
        <v>46270|FILTROS H2O|Filtro Linea # 5|2 TURNO</v>
      </c>
      <c r="C537" s="871">
        <v>46270</v>
      </c>
      <c r="D537" t="s">
        <v>9430</v>
      </c>
      <c r="E537" t="s">
        <v>331</v>
      </c>
      <c r="F537" t="s">
        <v>327</v>
      </c>
      <c r="G537" t="s">
        <v>3227</v>
      </c>
      <c r="H537" t="s">
        <v>9333</v>
      </c>
      <c r="I537" s="871">
        <v>46293.93683766204</v>
      </c>
      <c r="J537" t="s">
        <v>9526</v>
      </c>
      <c r="K537" s="975" t="str">
        <f>IF(COUNTIFS(tblControles[Clave],tblControles[[#This Row],[Clave]])&gt;1,"Duplicado","")</f>
        <v/>
      </c>
    </row>
    <row r="538" spans="2:11">
      <c r="B538" s="975" t="str">
        <f>tblControles[[#This Row],[Fecha]]&amp;"|"&amp;tblControles[[#This Row],[Módulo]]&amp;"|"&amp;tblControles[[#This Row],[Ítem]]&amp;"|"&amp;tblControles[[#This Row],[Turno]]</f>
        <v>46270|FILTROS H2O|Filtro Linea # 6|2 TURNO</v>
      </c>
      <c r="C538" s="871">
        <v>46270</v>
      </c>
      <c r="D538" t="s">
        <v>9430</v>
      </c>
      <c r="E538" t="s">
        <v>332</v>
      </c>
      <c r="F538" t="s">
        <v>327</v>
      </c>
      <c r="G538" t="s">
        <v>3227</v>
      </c>
      <c r="H538" t="s">
        <v>9333</v>
      </c>
      <c r="I538" s="871">
        <v>46293.93683766204</v>
      </c>
      <c r="J538" t="s">
        <v>9526</v>
      </c>
      <c r="K538" s="975" t="str">
        <f>IF(COUNTIFS(tblControles[Clave],tblControles[[#This Row],[Clave]])&gt;1,"Duplicado","")</f>
        <v/>
      </c>
    </row>
    <row r="539" spans="2:11">
      <c r="B539" s="975" t="str">
        <f>tblControles[[#This Row],[Fecha]]&amp;"|"&amp;tblControles[[#This Row],[Módulo]]&amp;"|"&amp;tblControles[[#This Row],[Ítem]]&amp;"|"&amp;tblControles[[#This Row],[Turno]]</f>
        <v>46270|FILTROS H2O|Filtro Linea # 7|2 TURNO</v>
      </c>
      <c r="C539" s="871">
        <v>46270</v>
      </c>
      <c r="D539" t="s">
        <v>9430</v>
      </c>
      <c r="E539" t="s">
        <v>9467</v>
      </c>
      <c r="F539" t="s">
        <v>327</v>
      </c>
      <c r="G539" t="s">
        <v>3227</v>
      </c>
      <c r="H539" t="s">
        <v>9333</v>
      </c>
      <c r="I539" s="871">
        <v>46293.93683766204</v>
      </c>
      <c r="J539" t="s">
        <v>9526</v>
      </c>
      <c r="K539" s="975" t="str">
        <f>IF(COUNTIFS(tblControles[Clave],tblControles[[#This Row],[Clave]])&gt;1,"Duplicado","")</f>
        <v/>
      </c>
    </row>
    <row r="540" spans="2:11">
      <c r="B540" s="975" t="str">
        <f>tblControles[[#This Row],[Fecha]]&amp;"|"&amp;tblControles[[#This Row],[Módulo]]&amp;"|"&amp;tblControles[[#This Row],[Ítem]]&amp;"|"&amp;tblControles[[#This Row],[Turno]]</f>
        <v>46270|FILTROS H2O|Filtro Linea # 8|2 TURNO</v>
      </c>
      <c r="C540" s="871">
        <v>46270</v>
      </c>
      <c r="D540" t="s">
        <v>9430</v>
      </c>
      <c r="E540" t="s">
        <v>9468</v>
      </c>
      <c r="F540" t="s">
        <v>327</v>
      </c>
      <c r="G540" t="s">
        <v>345</v>
      </c>
      <c r="H540" t="s">
        <v>9333</v>
      </c>
      <c r="I540" s="871">
        <v>46293.93683766204</v>
      </c>
      <c r="J540" t="s">
        <v>9526</v>
      </c>
      <c r="K540" s="975" t="str">
        <f>IF(COUNTIFS(tblControles[Clave],tblControles[[#This Row],[Clave]])&gt;1,"Duplicado","")</f>
        <v/>
      </c>
    </row>
    <row r="541" spans="2:11">
      <c r="B541" s="975" t="str">
        <f>tblControles[[#This Row],[Fecha]]&amp;"|"&amp;tblControles[[#This Row],[Módulo]]&amp;"|"&amp;tblControles[[#This Row],[Ítem]]&amp;"|"&amp;tblControles[[#This Row],[Turno]]</f>
        <v>46270|FILTROS H2O|Filtro Linea # 9 (01)|2 TURNO</v>
      </c>
      <c r="C541" s="871">
        <v>46270</v>
      </c>
      <c r="D541" t="s">
        <v>9430</v>
      </c>
      <c r="E541" t="s">
        <v>9469</v>
      </c>
      <c r="F541" t="s">
        <v>327</v>
      </c>
      <c r="G541" t="s">
        <v>3227</v>
      </c>
      <c r="H541" t="s">
        <v>9333</v>
      </c>
      <c r="I541" s="871">
        <v>46293.93683766204</v>
      </c>
      <c r="J541" t="s">
        <v>9526</v>
      </c>
      <c r="K541" s="975" t="str">
        <f>IF(COUNTIFS(tblControles[Clave],tblControles[[#This Row],[Clave]])&gt;1,"Duplicado","")</f>
        <v/>
      </c>
    </row>
    <row r="542" spans="2:11">
      <c r="B542" s="975" t="str">
        <f>tblControles[[#This Row],[Fecha]]&amp;"|"&amp;tblControles[[#This Row],[Módulo]]&amp;"|"&amp;tblControles[[#This Row],[Ítem]]&amp;"|"&amp;tblControles[[#This Row],[Turno]]</f>
        <v>46270|FILTROS H2O|Filtro Linea # 9 (02)|2 TURNO</v>
      </c>
      <c r="C542" s="871">
        <v>46270</v>
      </c>
      <c r="D542" t="s">
        <v>9430</v>
      </c>
      <c r="E542" t="s">
        <v>9470</v>
      </c>
      <c r="F542" t="s">
        <v>327</v>
      </c>
      <c r="G542" t="s">
        <v>345</v>
      </c>
      <c r="H542" t="s">
        <v>9333</v>
      </c>
      <c r="I542" s="871">
        <v>46293.93683766204</v>
      </c>
      <c r="J542" t="s">
        <v>9526</v>
      </c>
      <c r="K542" s="975" t="str">
        <f>IF(COUNTIFS(tblControles[Clave],tblControles[[#This Row],[Clave]])&gt;1,"Duplicado","")</f>
        <v/>
      </c>
    </row>
    <row r="543" spans="2:11">
      <c r="B543" s="975" t="str">
        <f>tblControles[[#This Row],[Fecha]]&amp;"|"&amp;tblControles[[#This Row],[Módulo]]&amp;"|"&amp;tblControles[[#This Row],[Ítem]]&amp;"|"&amp;tblControles[[#This Row],[Turno]]</f>
        <v>46270|REACTIVOS|Ácido oxálico|Turno día (12 h)</v>
      </c>
      <c r="C543" s="871">
        <v>46270</v>
      </c>
      <c r="D543" t="s">
        <v>9444</v>
      </c>
      <c r="E543" t="s">
        <v>9508</v>
      </c>
      <c r="F543" t="s">
        <v>9446</v>
      </c>
      <c r="G543">
        <v>14000</v>
      </c>
      <c r="H543" t="s">
        <v>9333</v>
      </c>
      <c r="I543" s="871">
        <v>46293.93683766204</v>
      </c>
      <c r="J543" t="s">
        <v>9527</v>
      </c>
      <c r="K543" s="975" t="str">
        <f>IF(COUNTIFS(tblControles[Clave],tblControles[[#This Row],[Clave]])&gt;1,"Duplicado","")</f>
        <v/>
      </c>
    </row>
    <row r="544" spans="2:11">
      <c r="B544" s="975" t="str">
        <f>tblControles[[#This Row],[Fecha]]&amp;"|"&amp;tblControles[[#This Row],[Módulo]]&amp;"|"&amp;tblControles[[#This Row],[Ítem]]&amp;"|"&amp;tblControles[[#This Row],[Turno]]</f>
        <v>46270|REACTIVOS|Ácido oxálico|Turno noche (12 h)</v>
      </c>
      <c r="C544" s="871">
        <v>46270</v>
      </c>
      <c r="D544" t="s">
        <v>9444</v>
      </c>
      <c r="E544" t="s">
        <v>9508</v>
      </c>
      <c r="F544" t="s">
        <v>9447</v>
      </c>
      <c r="G544">
        <v>14000</v>
      </c>
      <c r="H544" t="s">
        <v>9333</v>
      </c>
      <c r="I544" s="871">
        <v>46293.93683766204</v>
      </c>
      <c r="J544" t="s">
        <v>9527</v>
      </c>
      <c r="K544" s="975" t="str">
        <f>IF(COUNTIFS(tblControles[Clave],tblControles[[#This Row],[Clave]])&gt;1,"Duplicado","")</f>
        <v/>
      </c>
    </row>
    <row r="545" spans="2:11">
      <c r="B545" s="975" t="str">
        <f>tblControles[[#This Row],[Fecha]]&amp;"|"&amp;tblControles[[#This Row],[Módulo]]&amp;"|"&amp;tblControles[[#This Row],[Ítem]]&amp;"|"&amp;tblControles[[#This Row],[Turno]]</f>
        <v>46270|REACTIVOS|Xantato|Turno día (12 h)</v>
      </c>
      <c r="C545" s="871">
        <v>46270</v>
      </c>
      <c r="D545" t="s">
        <v>9444</v>
      </c>
      <c r="E545" t="s">
        <v>9511</v>
      </c>
      <c r="F545" t="s">
        <v>9446</v>
      </c>
      <c r="G545">
        <v>3950</v>
      </c>
      <c r="H545" t="s">
        <v>9333</v>
      </c>
      <c r="I545" s="871">
        <v>46293.93683766204</v>
      </c>
      <c r="J545" t="s">
        <v>9527</v>
      </c>
      <c r="K545" s="975" t="str">
        <f>IF(COUNTIFS(tblControles[Clave],tblControles[[#This Row],[Clave]])&gt;1,"Duplicado","")</f>
        <v/>
      </c>
    </row>
    <row r="546" spans="2:11">
      <c r="B546" s="975" t="str">
        <f>tblControles[[#This Row],[Fecha]]&amp;"|"&amp;tblControles[[#This Row],[Módulo]]&amp;"|"&amp;tblControles[[#This Row],[Ítem]]&amp;"|"&amp;tblControles[[#This Row],[Turno]]</f>
        <v>46270|REACTIVOS|Xantato|Turno noche (12 h)</v>
      </c>
      <c r="C546" s="871">
        <v>46270</v>
      </c>
      <c r="D546" t="s">
        <v>9444</v>
      </c>
      <c r="E546" t="s">
        <v>9511</v>
      </c>
      <c r="F546" t="s">
        <v>9447</v>
      </c>
      <c r="G546">
        <v>3400</v>
      </c>
      <c r="H546" t="s">
        <v>9333</v>
      </c>
      <c r="I546" s="871">
        <v>46293.93683766204</v>
      </c>
      <c r="J546" t="s">
        <v>9527</v>
      </c>
      <c r="K546" s="975" t="str">
        <f>IF(COUNTIFS(tblControles[Clave],tblControles[[#This Row],[Clave]])&gt;1,"Duplicado","")</f>
        <v/>
      </c>
    </row>
    <row r="547" spans="2:11">
      <c r="B547" s="975" t="str">
        <f>tblControles[[#This Row],[Fecha]]&amp;"|"&amp;tblControles[[#This Row],[Módulo]]&amp;"|"&amp;tblControles[[#This Row],[Ítem]]&amp;"|"&amp;tblControles[[#This Row],[Turno]]</f>
        <v>46270|REACTIVOS|Espumante|Consumo día</v>
      </c>
      <c r="C547" s="871">
        <v>46270</v>
      </c>
      <c r="D547" t="s">
        <v>9444</v>
      </c>
      <c r="E547" t="s">
        <v>9513</v>
      </c>
      <c r="F547" t="s">
        <v>9870</v>
      </c>
      <c r="G547">
        <v>2500</v>
      </c>
      <c r="H547" t="s">
        <v>9333</v>
      </c>
      <c r="I547" s="871">
        <v>46293.93683766204</v>
      </c>
      <c r="J547" t="s">
        <v>9527</v>
      </c>
      <c r="K547" s="975" t="str">
        <f>IF(COUNTIFS(tblControles[Clave],tblControles[[#This Row],[Clave]])&gt;1,"Duplicado","")</f>
        <v/>
      </c>
    </row>
    <row r="548" spans="2:11">
      <c r="B548" s="975" t="str">
        <f>tblControles[[#This Row],[Fecha]]&amp;"|"&amp;tblControles[[#This Row],[Módulo]]&amp;"|"&amp;tblControles[[#This Row],[Ítem]]&amp;"|"&amp;tblControles[[#This Row],[Turno]]</f>
        <v>46270|TONELADAS X TURNO|Molino barras 1|1° turno</v>
      </c>
      <c r="C548" s="871">
        <v>46270</v>
      </c>
      <c r="D548" t="s">
        <v>9449</v>
      </c>
      <c r="E548" t="s">
        <v>387</v>
      </c>
      <c r="F548" t="s">
        <v>396</v>
      </c>
      <c r="G548">
        <v>1861</v>
      </c>
      <c r="H548" t="s">
        <v>9333</v>
      </c>
      <c r="I548" s="871">
        <v>46293.93683766204</v>
      </c>
      <c r="J548" t="s">
        <v>9528</v>
      </c>
      <c r="K548" s="975" t="str">
        <f>IF(COUNTIFS(tblControles[Clave],tblControles[[#This Row],[Clave]])&gt;1,"Duplicado","")</f>
        <v/>
      </c>
    </row>
    <row r="549" spans="2:11">
      <c r="B549" s="975" t="str">
        <f>tblControles[[#This Row],[Fecha]]&amp;"|"&amp;tblControles[[#This Row],[Módulo]]&amp;"|"&amp;tblControles[[#This Row],[Ítem]]&amp;"|"&amp;tblControles[[#This Row],[Turno]]</f>
        <v>46270|TONELADAS X TURNO|Molino barras 1|2° turno</v>
      </c>
      <c r="C549" s="871">
        <v>46270</v>
      </c>
      <c r="D549" t="s">
        <v>9449</v>
      </c>
      <c r="E549" t="s">
        <v>387</v>
      </c>
      <c r="F549" t="s">
        <v>397</v>
      </c>
      <c r="G549">
        <v>1635</v>
      </c>
      <c r="H549" t="s">
        <v>9333</v>
      </c>
      <c r="I549" s="871">
        <v>46293.93683766204</v>
      </c>
      <c r="J549" t="s">
        <v>9528</v>
      </c>
      <c r="K549" s="975" t="str">
        <f>IF(COUNTIFS(tblControles[Clave],tblControles[[#This Row],[Clave]])&gt;1,"Duplicado","")</f>
        <v/>
      </c>
    </row>
    <row r="550" spans="2:11">
      <c r="B550" s="975" t="str">
        <f>tblControles[[#This Row],[Fecha]]&amp;"|"&amp;tblControles[[#This Row],[Módulo]]&amp;"|"&amp;tblControles[[#This Row],[Ítem]]&amp;"|"&amp;tblControles[[#This Row],[Turno]]</f>
        <v>46270|TONELADAS X TURNO|Molino barras 1|3° turno</v>
      </c>
      <c r="C550" s="871">
        <v>46270</v>
      </c>
      <c r="D550" t="s">
        <v>9449</v>
      </c>
      <c r="E550" t="s">
        <v>387</v>
      </c>
      <c r="F550" t="s">
        <v>398</v>
      </c>
      <c r="G550">
        <v>1765</v>
      </c>
      <c r="H550" t="s">
        <v>9333</v>
      </c>
      <c r="I550" s="871">
        <v>46293.93683766204</v>
      </c>
      <c r="J550" t="s">
        <v>9528</v>
      </c>
      <c r="K550" s="975" t="str">
        <f>IF(COUNTIFS(tblControles[Clave],tblControles[[#This Row],[Clave]])&gt;1,"Duplicado","")</f>
        <v/>
      </c>
    </row>
    <row r="551" spans="2:11">
      <c r="B551" s="975" t="str">
        <f>tblControles[[#This Row],[Fecha]]&amp;"|"&amp;tblControles[[#This Row],[Módulo]]&amp;"|"&amp;tblControles[[#This Row],[Ítem]]&amp;"|"&amp;tblControles[[#This Row],[Turno]]</f>
        <v>46270|TONELADAS X TURNO|Molino barras 2|1° turno</v>
      </c>
      <c r="C551" s="871">
        <v>46270</v>
      </c>
      <c r="D551" t="s">
        <v>9449</v>
      </c>
      <c r="E551" t="s">
        <v>388</v>
      </c>
      <c r="F551" t="s">
        <v>396</v>
      </c>
      <c r="G551">
        <v>1750</v>
      </c>
      <c r="H551" t="s">
        <v>9333</v>
      </c>
      <c r="I551" s="871">
        <v>46293.93683766204</v>
      </c>
      <c r="J551" t="s">
        <v>9528</v>
      </c>
      <c r="K551" s="975" t="str">
        <f>IF(COUNTIFS(tblControles[Clave],tblControles[[#This Row],[Clave]])&gt;1,"Duplicado","")</f>
        <v/>
      </c>
    </row>
    <row r="552" spans="2:11">
      <c r="B552" s="975" t="str">
        <f>tblControles[[#This Row],[Fecha]]&amp;"|"&amp;tblControles[[#This Row],[Módulo]]&amp;"|"&amp;tblControles[[#This Row],[Ítem]]&amp;"|"&amp;tblControles[[#This Row],[Turno]]</f>
        <v>46270|TONELADAS X TURNO|Molino barras 2|2° turno</v>
      </c>
      <c r="C552" s="871">
        <v>46270</v>
      </c>
      <c r="D552" t="s">
        <v>9449</v>
      </c>
      <c r="E552" t="s">
        <v>388</v>
      </c>
      <c r="F552" t="s">
        <v>397</v>
      </c>
      <c r="G552">
        <v>1570</v>
      </c>
      <c r="H552" t="s">
        <v>9333</v>
      </c>
      <c r="I552" s="871">
        <v>46293.93683766204</v>
      </c>
      <c r="J552" t="s">
        <v>9528</v>
      </c>
      <c r="K552" s="975" t="str">
        <f>IF(COUNTIFS(tblControles[Clave],tblControles[[#This Row],[Clave]])&gt;1,"Duplicado","")</f>
        <v/>
      </c>
    </row>
    <row r="553" spans="2:11">
      <c r="B553" s="975" t="str">
        <f>tblControles[[#This Row],[Fecha]]&amp;"|"&amp;tblControles[[#This Row],[Módulo]]&amp;"|"&amp;tblControles[[#This Row],[Ítem]]&amp;"|"&amp;tblControles[[#This Row],[Turno]]</f>
        <v>46270|TONELADAS X TURNO|Molino barras 2|3° turno</v>
      </c>
      <c r="C553" s="871">
        <v>46270</v>
      </c>
      <c r="D553" t="s">
        <v>9449</v>
      </c>
      <c r="E553" t="s">
        <v>388</v>
      </c>
      <c r="F553" t="s">
        <v>398</v>
      </c>
      <c r="G553">
        <v>1750</v>
      </c>
      <c r="H553" t="s">
        <v>9333</v>
      </c>
      <c r="I553" s="871">
        <v>46293.93683766204</v>
      </c>
      <c r="J553" t="s">
        <v>9528</v>
      </c>
      <c r="K553" s="975" t="str">
        <f>IF(COUNTIFS(tblControles[Clave],tblControles[[#This Row],[Clave]])&gt;1,"Duplicado","")</f>
        <v/>
      </c>
    </row>
    <row r="554" spans="2:11">
      <c r="B554" s="975" t="str">
        <f>tblControles[[#This Row],[Fecha]]&amp;"|"&amp;tblControles[[#This Row],[Módulo]]&amp;"|"&amp;tblControles[[#This Row],[Ítem]]&amp;"|"&amp;tblControles[[#This Row],[Turno]]</f>
        <v>46270|TONELADAS X TURNO|Molino barras 3|1° turno</v>
      </c>
      <c r="C554" s="871">
        <v>46270</v>
      </c>
      <c r="D554" t="s">
        <v>9449</v>
      </c>
      <c r="E554" t="s">
        <v>389</v>
      </c>
      <c r="F554" t="s">
        <v>396</v>
      </c>
      <c r="G554">
        <v>1450</v>
      </c>
      <c r="H554" t="s">
        <v>9333</v>
      </c>
      <c r="I554" s="871">
        <v>46293.93683766204</v>
      </c>
      <c r="J554" t="s">
        <v>9528</v>
      </c>
      <c r="K554" s="975" t="str">
        <f>IF(COUNTIFS(tblControles[Clave],tblControles[[#This Row],[Clave]])&gt;1,"Duplicado","")</f>
        <v/>
      </c>
    </row>
    <row r="555" spans="2:11">
      <c r="B555" s="975" t="str">
        <f>tblControles[[#This Row],[Fecha]]&amp;"|"&amp;tblControles[[#This Row],[Módulo]]&amp;"|"&amp;tblControles[[#This Row],[Ítem]]&amp;"|"&amp;tblControles[[#This Row],[Turno]]</f>
        <v>46270|TONELADAS X TURNO|Molino barras 3|2° turno</v>
      </c>
      <c r="C555" s="871">
        <v>46270</v>
      </c>
      <c r="D555" t="s">
        <v>9449</v>
      </c>
      <c r="E555" t="s">
        <v>389</v>
      </c>
      <c r="F555" t="s">
        <v>397</v>
      </c>
      <c r="G555">
        <v>1130</v>
      </c>
      <c r="H555" t="s">
        <v>9333</v>
      </c>
      <c r="I555" s="871">
        <v>46293.93683766204</v>
      </c>
      <c r="J555" t="s">
        <v>9528</v>
      </c>
      <c r="K555" s="975" t="str">
        <f>IF(COUNTIFS(tblControles[Clave],tblControles[[#This Row],[Clave]])&gt;1,"Duplicado","")</f>
        <v/>
      </c>
    </row>
    <row r="556" spans="2:11">
      <c r="B556" s="975" t="str">
        <f>tblControles[[#This Row],[Fecha]]&amp;"|"&amp;tblControles[[#This Row],[Módulo]]&amp;"|"&amp;tblControles[[#This Row],[Ítem]]&amp;"|"&amp;tblControles[[#This Row],[Turno]]</f>
        <v>46270|TONELADAS X TURNO|Molino barras 3|3° turno</v>
      </c>
      <c r="C556" s="871">
        <v>46270</v>
      </c>
      <c r="D556" t="s">
        <v>9449</v>
      </c>
      <c r="E556" t="s">
        <v>389</v>
      </c>
      <c r="F556" t="s">
        <v>398</v>
      </c>
      <c r="G556">
        <v>1300</v>
      </c>
      <c r="H556" t="s">
        <v>9333</v>
      </c>
      <c r="I556" s="871">
        <v>46293.93683766204</v>
      </c>
      <c r="J556" t="s">
        <v>9528</v>
      </c>
      <c r="K556" s="975" t="str">
        <f>IF(COUNTIFS(tblControles[Clave],tblControles[[#This Row],[Clave]])&gt;1,"Duplicado","")</f>
        <v/>
      </c>
    </row>
    <row r="557" spans="2:11">
      <c r="B557" s="975" t="str">
        <f>tblControles[[#This Row],[Fecha]]&amp;"|"&amp;tblControles[[#This Row],[Módulo]]&amp;"|"&amp;tblControles[[#This Row],[Ítem]]&amp;"|"&amp;tblControles[[#This Row],[Turno]]</f>
        <v>46270|TONELADAS X TURNO|Molino barras 4|1° turno</v>
      </c>
      <c r="C557" s="871">
        <v>46270</v>
      </c>
      <c r="D557" t="s">
        <v>9449</v>
      </c>
      <c r="E557" t="s">
        <v>390</v>
      </c>
      <c r="F557" t="s">
        <v>396</v>
      </c>
      <c r="G557">
        <v>0</v>
      </c>
      <c r="H557" t="s">
        <v>9333</v>
      </c>
      <c r="I557" s="871">
        <v>46293.93683766204</v>
      </c>
      <c r="J557" t="s">
        <v>9528</v>
      </c>
      <c r="K557" s="975" t="str">
        <f>IF(COUNTIFS(tblControles[Clave],tblControles[[#This Row],[Clave]])&gt;1,"Duplicado","")</f>
        <v/>
      </c>
    </row>
    <row r="558" spans="2:11">
      <c r="B558" s="975" t="str">
        <f>tblControles[[#This Row],[Fecha]]&amp;"|"&amp;tblControles[[#This Row],[Módulo]]&amp;"|"&amp;tblControles[[#This Row],[Ítem]]&amp;"|"&amp;tblControles[[#This Row],[Turno]]</f>
        <v>46270|TONELADAS X TURNO|Molino barras 4|2° turno</v>
      </c>
      <c r="C558" s="871">
        <v>46270</v>
      </c>
      <c r="D558" t="s">
        <v>9449</v>
      </c>
      <c r="E558" t="s">
        <v>390</v>
      </c>
      <c r="F558" t="s">
        <v>397</v>
      </c>
      <c r="G558">
        <v>0</v>
      </c>
      <c r="H558" t="s">
        <v>9333</v>
      </c>
      <c r="I558" s="871">
        <v>46293.93683766204</v>
      </c>
      <c r="J558" t="s">
        <v>9528</v>
      </c>
      <c r="K558" s="975" t="str">
        <f>IF(COUNTIFS(tblControles[Clave],tblControles[[#This Row],[Clave]])&gt;1,"Duplicado","")</f>
        <v/>
      </c>
    </row>
    <row r="559" spans="2:11">
      <c r="B559" s="975" t="str">
        <f>tblControles[[#This Row],[Fecha]]&amp;"|"&amp;tblControles[[#This Row],[Módulo]]&amp;"|"&amp;tblControles[[#This Row],[Ítem]]&amp;"|"&amp;tblControles[[#This Row],[Turno]]</f>
        <v>46270|TONELADAS X TURNO|Molino barras 4|3° turno</v>
      </c>
      <c r="C559" s="871">
        <v>46270</v>
      </c>
      <c r="D559" t="s">
        <v>9449</v>
      </c>
      <c r="E559" t="s">
        <v>390</v>
      </c>
      <c r="F559" t="s">
        <v>398</v>
      </c>
      <c r="G559">
        <v>0</v>
      </c>
      <c r="H559" t="s">
        <v>9333</v>
      </c>
      <c r="I559" s="871">
        <v>46293.93683766204</v>
      </c>
      <c r="J559" t="s">
        <v>9528</v>
      </c>
      <c r="K559" s="975" t="str">
        <f>IF(COUNTIFS(tblControles[Clave],tblControles[[#This Row],[Clave]])&gt;1,"Duplicado","")</f>
        <v/>
      </c>
    </row>
    <row r="560" spans="2:11">
      <c r="B560" s="975" t="str">
        <f>tblControles[[#This Row],[Fecha]]&amp;"|"&amp;tblControles[[#This Row],[Módulo]]&amp;"|"&amp;tblControles[[#This Row],[Ítem]]&amp;"|"&amp;tblControles[[#This Row],[Turno]]</f>
        <v>46270|TONELADAS X TURNO|Molino barras 5|1° turno</v>
      </c>
      <c r="C560" s="871">
        <v>46270</v>
      </c>
      <c r="D560" t="s">
        <v>9449</v>
      </c>
      <c r="E560" t="s">
        <v>391</v>
      </c>
      <c r="F560" t="s">
        <v>396</v>
      </c>
      <c r="G560">
        <v>0</v>
      </c>
      <c r="H560" t="s">
        <v>9333</v>
      </c>
      <c r="I560" s="871">
        <v>46293.93683766204</v>
      </c>
      <c r="J560" t="s">
        <v>9528</v>
      </c>
      <c r="K560" s="975" t="str">
        <f>IF(COUNTIFS(tblControles[Clave],tblControles[[#This Row],[Clave]])&gt;1,"Duplicado","")</f>
        <v/>
      </c>
    </row>
    <row r="561" spans="2:11">
      <c r="B561" s="975" t="str">
        <f>tblControles[[#This Row],[Fecha]]&amp;"|"&amp;tblControles[[#This Row],[Módulo]]&amp;"|"&amp;tblControles[[#This Row],[Ítem]]&amp;"|"&amp;tblControles[[#This Row],[Turno]]</f>
        <v>46270|TONELADAS X TURNO|Molino barras 5|2° turno</v>
      </c>
      <c r="C561" s="871">
        <v>46270</v>
      </c>
      <c r="D561" t="s">
        <v>9449</v>
      </c>
      <c r="E561" t="s">
        <v>391</v>
      </c>
      <c r="F561" t="s">
        <v>397</v>
      </c>
      <c r="G561">
        <v>0</v>
      </c>
      <c r="H561" t="s">
        <v>9333</v>
      </c>
      <c r="I561" s="871">
        <v>46293.93683766204</v>
      </c>
      <c r="J561" t="s">
        <v>9528</v>
      </c>
      <c r="K561" s="975" t="str">
        <f>IF(COUNTIFS(tblControles[Clave],tblControles[[#This Row],[Clave]])&gt;1,"Duplicado","")</f>
        <v/>
      </c>
    </row>
    <row r="562" spans="2:11">
      <c r="B562" s="975" t="str">
        <f>tblControles[[#This Row],[Fecha]]&amp;"|"&amp;tblControles[[#This Row],[Módulo]]&amp;"|"&amp;tblControles[[#This Row],[Ítem]]&amp;"|"&amp;tblControles[[#This Row],[Turno]]</f>
        <v>46270|TONELADAS X TURNO|Molino barras 5|3° turno</v>
      </c>
      <c r="C562" s="871">
        <v>46270</v>
      </c>
      <c r="D562" t="s">
        <v>9449</v>
      </c>
      <c r="E562" t="s">
        <v>391</v>
      </c>
      <c r="F562" t="s">
        <v>398</v>
      </c>
      <c r="G562">
        <v>0</v>
      </c>
      <c r="H562" t="s">
        <v>9333</v>
      </c>
      <c r="I562" s="871">
        <v>46293.93683766204</v>
      </c>
      <c r="J562" t="s">
        <v>9528</v>
      </c>
      <c r="K562" s="975" t="str">
        <f>IF(COUNTIFS(tblControles[Clave],tblControles[[#This Row],[Clave]])&gt;1,"Duplicado","")</f>
        <v/>
      </c>
    </row>
    <row r="563" spans="2:11">
      <c r="B563" s="975" t="str">
        <f>tblControles[[#This Row],[Fecha]]&amp;"|"&amp;tblControles[[#This Row],[Módulo]]&amp;"|"&amp;tblControles[[#This Row],[Ítem]]&amp;"|"&amp;tblControles[[#This Row],[Turno]]</f>
        <v>46270|TONELADAS X TURNO|Molino barras 6|1° turno</v>
      </c>
      <c r="C563" s="871">
        <v>46270</v>
      </c>
      <c r="D563" t="s">
        <v>9449</v>
      </c>
      <c r="E563" t="s">
        <v>392</v>
      </c>
      <c r="F563" t="s">
        <v>396</v>
      </c>
      <c r="G563">
        <v>1672</v>
      </c>
      <c r="H563" t="s">
        <v>9333</v>
      </c>
      <c r="I563" s="871">
        <v>46293.93683766204</v>
      </c>
      <c r="J563" t="s">
        <v>9528</v>
      </c>
      <c r="K563" s="975" t="str">
        <f>IF(COUNTIFS(tblControles[Clave],tblControles[[#This Row],[Clave]])&gt;1,"Duplicado","")</f>
        <v/>
      </c>
    </row>
    <row r="564" spans="2:11">
      <c r="B564" s="975" t="str">
        <f>tblControles[[#This Row],[Fecha]]&amp;"|"&amp;tblControles[[#This Row],[Módulo]]&amp;"|"&amp;tblControles[[#This Row],[Ítem]]&amp;"|"&amp;tblControles[[#This Row],[Turno]]</f>
        <v>46270|TONELADAS X TURNO|Molino barras 6|2° turno</v>
      </c>
      <c r="C564" s="871">
        <v>46270</v>
      </c>
      <c r="D564" t="s">
        <v>9449</v>
      </c>
      <c r="E564" t="s">
        <v>392</v>
      </c>
      <c r="F564" t="s">
        <v>397</v>
      </c>
      <c r="G564">
        <v>1620</v>
      </c>
      <c r="H564" t="s">
        <v>9333</v>
      </c>
      <c r="I564" s="871">
        <v>46293.93683766204</v>
      </c>
      <c r="J564" t="s">
        <v>9528</v>
      </c>
      <c r="K564" s="975" t="str">
        <f>IF(COUNTIFS(tblControles[Clave],tblControles[[#This Row],[Clave]])&gt;1,"Duplicado","")</f>
        <v/>
      </c>
    </row>
    <row r="565" spans="2:11">
      <c r="B565" s="975" t="str">
        <f>tblControles[[#This Row],[Fecha]]&amp;"|"&amp;tblControles[[#This Row],[Módulo]]&amp;"|"&amp;tblControles[[#This Row],[Ítem]]&amp;"|"&amp;tblControles[[#This Row],[Turno]]</f>
        <v>46270|TONELADAS X TURNO|Molino barras 6|3° turno</v>
      </c>
      <c r="C565" s="871">
        <v>46270</v>
      </c>
      <c r="D565" t="s">
        <v>9449</v>
      </c>
      <c r="E565" t="s">
        <v>392</v>
      </c>
      <c r="F565" t="s">
        <v>398</v>
      </c>
      <c r="G565">
        <v>1701</v>
      </c>
      <c r="H565" t="s">
        <v>9333</v>
      </c>
      <c r="I565" s="871">
        <v>46293.93683766204</v>
      </c>
      <c r="J565" t="s">
        <v>9528</v>
      </c>
      <c r="K565" s="975" t="str">
        <f>IF(COUNTIFS(tblControles[Clave],tblControles[[#This Row],[Clave]])&gt;1,"Duplicado","")</f>
        <v/>
      </c>
    </row>
    <row r="566" spans="2:11">
      <c r="B566" s="975" t="str">
        <f>tblControles[[#This Row],[Fecha]]&amp;"|"&amp;tblControles[[#This Row],[Módulo]]&amp;"|"&amp;tblControles[[#This Row],[Ítem]]&amp;"|"&amp;tblControles[[#This Row],[Turno]]</f>
        <v>46270|TONELADAS X TURNO|Molino barras 7|1° turno</v>
      </c>
      <c r="C566" s="871">
        <v>46270</v>
      </c>
      <c r="D566" t="s">
        <v>9449</v>
      </c>
      <c r="E566" t="s">
        <v>393</v>
      </c>
      <c r="F566" t="s">
        <v>396</v>
      </c>
      <c r="G566">
        <v>1651</v>
      </c>
      <c r="H566" t="s">
        <v>9333</v>
      </c>
      <c r="I566" s="871">
        <v>46293.93683766204</v>
      </c>
      <c r="J566" t="s">
        <v>9528</v>
      </c>
      <c r="K566" s="975" t="str">
        <f>IF(COUNTIFS(tblControles[Clave],tblControles[[#This Row],[Clave]])&gt;1,"Duplicado","")</f>
        <v/>
      </c>
    </row>
    <row r="567" spans="2:11">
      <c r="B567" s="975" t="str">
        <f>tblControles[[#This Row],[Fecha]]&amp;"|"&amp;tblControles[[#This Row],[Módulo]]&amp;"|"&amp;tblControles[[#This Row],[Ítem]]&amp;"|"&amp;tblControles[[#This Row],[Turno]]</f>
        <v>46270|TONELADAS X TURNO|Molino barras 7|2° turno</v>
      </c>
      <c r="C567" s="871">
        <v>46270</v>
      </c>
      <c r="D567" t="s">
        <v>9449</v>
      </c>
      <c r="E567" t="s">
        <v>393</v>
      </c>
      <c r="F567" t="s">
        <v>397</v>
      </c>
      <c r="G567">
        <v>1683</v>
      </c>
      <c r="H567" t="s">
        <v>9333</v>
      </c>
      <c r="I567" s="871">
        <v>46293.93683766204</v>
      </c>
      <c r="J567" t="s">
        <v>9528</v>
      </c>
      <c r="K567" s="975" t="str">
        <f>IF(COUNTIFS(tblControles[Clave],tblControles[[#This Row],[Clave]])&gt;1,"Duplicado","")</f>
        <v/>
      </c>
    </row>
    <row r="568" spans="2:11">
      <c r="B568" s="975" t="str">
        <f>tblControles[[#This Row],[Fecha]]&amp;"|"&amp;tblControles[[#This Row],[Módulo]]&amp;"|"&amp;tblControles[[#This Row],[Ítem]]&amp;"|"&amp;tblControles[[#This Row],[Turno]]</f>
        <v>46270|TONELADAS X TURNO|Molino barras 7|3° turno</v>
      </c>
      <c r="C568" s="871">
        <v>46270</v>
      </c>
      <c r="D568" t="s">
        <v>9449</v>
      </c>
      <c r="E568" t="s">
        <v>393</v>
      </c>
      <c r="F568" t="s">
        <v>398</v>
      </c>
      <c r="G568">
        <v>1628</v>
      </c>
      <c r="H568" t="s">
        <v>9333</v>
      </c>
      <c r="I568" s="871">
        <v>46293.93683766204</v>
      </c>
      <c r="J568" t="s">
        <v>9528</v>
      </c>
      <c r="K568" s="975" t="str">
        <f>IF(COUNTIFS(tblControles[Clave],tblControles[[#This Row],[Clave]])&gt;1,"Duplicado","")</f>
        <v/>
      </c>
    </row>
    <row r="569" spans="2:11">
      <c r="B569" s="975" t="str">
        <f>tblControles[[#This Row],[Fecha]]&amp;"|"&amp;tblControles[[#This Row],[Módulo]]&amp;"|"&amp;tblControles[[#This Row],[Ítem]]&amp;"|"&amp;tblControles[[#This Row],[Turno]]</f>
        <v>46270|TONELADAS X TURNO|Molino barras 8|1° turno</v>
      </c>
      <c r="C569" s="871">
        <v>46270</v>
      </c>
      <c r="D569" t="s">
        <v>9449</v>
      </c>
      <c r="E569" t="s">
        <v>394</v>
      </c>
      <c r="F569" t="s">
        <v>396</v>
      </c>
      <c r="G569">
        <v>1519</v>
      </c>
      <c r="H569" t="s">
        <v>9333</v>
      </c>
      <c r="I569" s="871">
        <v>46293.93683766204</v>
      </c>
      <c r="J569" t="s">
        <v>9528</v>
      </c>
      <c r="K569" s="975" t="str">
        <f>IF(COUNTIFS(tblControles[Clave],tblControles[[#This Row],[Clave]])&gt;1,"Duplicado","")</f>
        <v/>
      </c>
    </row>
    <row r="570" spans="2:11">
      <c r="B570" s="975" t="str">
        <f>tblControles[[#This Row],[Fecha]]&amp;"|"&amp;tblControles[[#This Row],[Módulo]]&amp;"|"&amp;tblControles[[#This Row],[Ítem]]&amp;"|"&amp;tblControles[[#This Row],[Turno]]</f>
        <v>46270|TONELADAS X TURNO|Molino barras 8|2° turno</v>
      </c>
      <c r="C570" s="871">
        <v>46270</v>
      </c>
      <c r="D570" t="s">
        <v>9449</v>
      </c>
      <c r="E570" t="s">
        <v>394</v>
      </c>
      <c r="F570" t="s">
        <v>397</v>
      </c>
      <c r="G570">
        <v>1552</v>
      </c>
      <c r="H570" t="s">
        <v>9333</v>
      </c>
      <c r="I570" s="871">
        <v>46293.93683766204</v>
      </c>
      <c r="J570" t="s">
        <v>9528</v>
      </c>
      <c r="K570" s="975" t="str">
        <f>IF(COUNTIFS(tblControles[Clave],tblControles[[#This Row],[Clave]])&gt;1,"Duplicado","")</f>
        <v/>
      </c>
    </row>
    <row r="571" spans="2:11">
      <c r="B571" s="975" t="str">
        <f>tblControles[[#This Row],[Fecha]]&amp;"|"&amp;tblControles[[#This Row],[Módulo]]&amp;"|"&amp;tblControles[[#This Row],[Ítem]]&amp;"|"&amp;tblControles[[#This Row],[Turno]]</f>
        <v>46270|TONELADAS X TURNO|Molino barras 8|3° turno</v>
      </c>
      <c r="C571" s="871">
        <v>46270</v>
      </c>
      <c r="D571" t="s">
        <v>9449</v>
      </c>
      <c r="E571" t="s">
        <v>394</v>
      </c>
      <c r="F571" t="s">
        <v>398</v>
      </c>
      <c r="G571">
        <v>1647</v>
      </c>
      <c r="H571" t="s">
        <v>9333</v>
      </c>
      <c r="I571" s="871">
        <v>46293.93683766204</v>
      </c>
      <c r="J571" t="s">
        <v>9528</v>
      </c>
      <c r="K571" s="975" t="str">
        <f>IF(COUNTIFS(tblControles[Clave],tblControles[[#This Row],[Clave]])&gt;1,"Duplicado","")</f>
        <v/>
      </c>
    </row>
    <row r="572" spans="2:11">
      <c r="B572" s="975" t="str">
        <f>tblControles[[#This Row],[Fecha]]&amp;"|"&amp;tblControles[[#This Row],[Módulo]]&amp;"|"&amp;tblControles[[#This Row],[Ítem]]&amp;"|"&amp;tblControles[[#This Row],[Turno]]</f>
        <v>46270|TONELADAS X TURNO|Molino barras 9|1° turno</v>
      </c>
      <c r="C572" s="871">
        <v>46270</v>
      </c>
      <c r="D572" t="s">
        <v>9449</v>
      </c>
      <c r="E572" t="s">
        <v>395</v>
      </c>
      <c r="F572" t="s">
        <v>396</v>
      </c>
      <c r="G572">
        <v>1836</v>
      </c>
      <c r="H572" t="s">
        <v>9333</v>
      </c>
      <c r="I572" s="871">
        <v>46293.93683766204</v>
      </c>
      <c r="J572" t="s">
        <v>9528</v>
      </c>
      <c r="K572" s="975" t="str">
        <f>IF(COUNTIFS(tblControles[Clave],tblControles[[#This Row],[Clave]])&gt;1,"Duplicado","")</f>
        <v/>
      </c>
    </row>
    <row r="573" spans="2:11">
      <c r="B573" s="975" t="str">
        <f>tblControles[[#This Row],[Fecha]]&amp;"|"&amp;tblControles[[#This Row],[Módulo]]&amp;"|"&amp;tblControles[[#This Row],[Ítem]]&amp;"|"&amp;tblControles[[#This Row],[Turno]]</f>
        <v>46270|TONELADAS X TURNO|Molino barras 9|2° turno</v>
      </c>
      <c r="C573" s="871">
        <v>46270</v>
      </c>
      <c r="D573" t="s">
        <v>9449</v>
      </c>
      <c r="E573" t="s">
        <v>395</v>
      </c>
      <c r="F573" t="s">
        <v>397</v>
      </c>
      <c r="G573">
        <v>1679</v>
      </c>
      <c r="H573" t="s">
        <v>9333</v>
      </c>
      <c r="I573" s="871">
        <v>46293.93683766204</v>
      </c>
      <c r="J573" t="s">
        <v>9528</v>
      </c>
      <c r="K573" s="975" t="str">
        <f>IF(COUNTIFS(tblControles[Clave],tblControles[[#This Row],[Clave]])&gt;1,"Duplicado","")</f>
        <v/>
      </c>
    </row>
    <row r="574" spans="2:11">
      <c r="B574" s="975" t="str">
        <f>tblControles[[#This Row],[Fecha]]&amp;"|"&amp;tblControles[[#This Row],[Módulo]]&amp;"|"&amp;tblControles[[#This Row],[Ítem]]&amp;"|"&amp;tblControles[[#This Row],[Turno]]</f>
        <v>46270|TONELADAS X TURNO|Molino barras 9|3° turno</v>
      </c>
      <c r="C574" s="871">
        <v>46270</v>
      </c>
      <c r="D574" t="s">
        <v>9449</v>
      </c>
      <c r="E574" t="s">
        <v>395</v>
      </c>
      <c r="F574" t="s">
        <v>398</v>
      </c>
      <c r="G574">
        <v>1890</v>
      </c>
      <c r="H574" t="s">
        <v>9333</v>
      </c>
      <c r="I574" s="871">
        <v>46293.93683766204</v>
      </c>
      <c r="J574" t="s">
        <v>9528</v>
      </c>
      <c r="K574" s="975" t="str">
        <f>IF(COUNTIFS(tblControles[Clave],tblControles[[#This Row],[Clave]])&gt;1,"Duplicado","")</f>
        <v/>
      </c>
    </row>
    <row r="575" spans="2:11">
      <c r="B575" s="975" t="str">
        <f>tblControles[[#This Row],[Fecha]]&amp;"|"&amp;tblControles[[#This Row],[Módulo]]&amp;"|"&amp;tblControles[[#This Row],[Ítem]]&amp;"|"&amp;tblControles[[#This Row],[Turno]]</f>
        <v>46271|AGREGADO MEDIOS|BARRAS RM1|Cantidad</v>
      </c>
      <c r="C575" s="871">
        <v>46271</v>
      </c>
      <c r="D575" t="s">
        <v>9451</v>
      </c>
      <c r="E575" t="s">
        <v>410</v>
      </c>
      <c r="F575" t="s">
        <v>9453</v>
      </c>
      <c r="G575">
        <v>0</v>
      </c>
      <c r="H575" t="s">
        <v>9333</v>
      </c>
      <c r="I575" s="871">
        <v>46293.93683766204</v>
      </c>
      <c r="J575" t="s">
        <v>9524</v>
      </c>
      <c r="K575" s="975" t="str">
        <f>IF(COUNTIFS(tblControles[Clave],tblControles[[#This Row],[Clave]])&gt;1,"Duplicado","")</f>
        <v/>
      </c>
    </row>
    <row r="576" spans="2:11">
      <c r="B576" s="975" t="str">
        <f>tblControles[[#This Row],[Fecha]]&amp;"|"&amp;tblControles[[#This Row],[Módulo]]&amp;"|"&amp;tblControles[[#This Row],[Ítem]]&amp;"|"&amp;tblControles[[#This Row],[Turno]]</f>
        <v>46271|AGREGADO MEDIOS|BARRAS RM2|Cantidad</v>
      </c>
      <c r="C576" s="871">
        <v>46271</v>
      </c>
      <c r="D576" t="s">
        <v>9451</v>
      </c>
      <c r="E576" t="s">
        <v>411</v>
      </c>
      <c r="F576" t="s">
        <v>9453</v>
      </c>
      <c r="G576">
        <v>0</v>
      </c>
      <c r="H576" t="s">
        <v>9333</v>
      </c>
      <c r="I576" s="871">
        <v>46293.93683766204</v>
      </c>
      <c r="J576" t="s">
        <v>9524</v>
      </c>
      <c r="K576" s="975" t="str">
        <f>IF(COUNTIFS(tblControles[Clave],tblControles[[#This Row],[Clave]])&gt;1,"Duplicado","")</f>
        <v/>
      </c>
    </row>
    <row r="577" spans="2:11">
      <c r="B577" s="975" t="str">
        <f>tblControles[[#This Row],[Fecha]]&amp;"|"&amp;tblControles[[#This Row],[Módulo]]&amp;"|"&amp;tblControles[[#This Row],[Ítem]]&amp;"|"&amp;tblControles[[#This Row],[Turno]]</f>
        <v>46271|AGREGADO MEDIOS|BARRAS RM3|Cantidad</v>
      </c>
      <c r="C577" s="871">
        <v>46271</v>
      </c>
      <c r="D577" t="s">
        <v>9451</v>
      </c>
      <c r="E577" t="s">
        <v>412</v>
      </c>
      <c r="F577" t="s">
        <v>9453</v>
      </c>
      <c r="G577">
        <v>0</v>
      </c>
      <c r="H577" t="s">
        <v>9333</v>
      </c>
      <c r="I577" s="871">
        <v>46293.93683766204</v>
      </c>
      <c r="J577" t="s">
        <v>9524</v>
      </c>
      <c r="K577" s="975" t="str">
        <f>IF(COUNTIFS(tblControles[Clave],tblControles[[#This Row],[Clave]])&gt;1,"Duplicado","")</f>
        <v/>
      </c>
    </row>
    <row r="578" spans="2:11">
      <c r="B578" s="975" t="str">
        <f>tblControles[[#This Row],[Fecha]]&amp;"|"&amp;tblControles[[#This Row],[Módulo]]&amp;"|"&amp;tblControles[[#This Row],[Ítem]]&amp;"|"&amp;tblControles[[#This Row],[Turno]]</f>
        <v>46271|AGREGADO MEDIOS|BARRAS RM4|Cantidad</v>
      </c>
      <c r="C578" s="871">
        <v>46271</v>
      </c>
      <c r="D578" t="s">
        <v>9451</v>
      </c>
      <c r="E578" t="s">
        <v>413</v>
      </c>
      <c r="F578" t="s">
        <v>9453</v>
      </c>
      <c r="G578">
        <v>0</v>
      </c>
      <c r="H578" t="s">
        <v>9333</v>
      </c>
      <c r="I578" s="871">
        <v>46293.93683766204</v>
      </c>
      <c r="J578" t="s">
        <v>9524</v>
      </c>
      <c r="K578" s="975" t="str">
        <f>IF(COUNTIFS(tblControles[Clave],tblControles[[#This Row],[Clave]])&gt;1,"Duplicado","")</f>
        <v/>
      </c>
    </row>
    <row r="579" spans="2:11">
      <c r="B579" s="975" t="str">
        <f>tblControles[[#This Row],[Fecha]]&amp;"|"&amp;tblControles[[#This Row],[Módulo]]&amp;"|"&amp;tblControles[[#This Row],[Ítem]]&amp;"|"&amp;tblControles[[#This Row],[Turno]]</f>
        <v>46271|AGREGADO MEDIOS|BARRAS RM5|Cantidad</v>
      </c>
      <c r="C579" s="871">
        <v>46271</v>
      </c>
      <c r="D579" t="s">
        <v>9451</v>
      </c>
      <c r="E579" t="s">
        <v>414</v>
      </c>
      <c r="F579" t="s">
        <v>9453</v>
      </c>
      <c r="G579">
        <v>0</v>
      </c>
      <c r="H579" t="s">
        <v>9333</v>
      </c>
      <c r="I579" s="871">
        <v>46293.93683766204</v>
      </c>
      <c r="J579" t="s">
        <v>9524</v>
      </c>
      <c r="K579" s="975" t="str">
        <f>IF(COUNTIFS(tblControles[Clave],tblControles[[#This Row],[Clave]])&gt;1,"Duplicado","")</f>
        <v/>
      </c>
    </row>
    <row r="580" spans="2:11">
      <c r="B580" s="975" t="str">
        <f>tblControles[[#This Row],[Fecha]]&amp;"|"&amp;tblControles[[#This Row],[Módulo]]&amp;"|"&amp;tblControles[[#This Row],[Ítem]]&amp;"|"&amp;tblControles[[#This Row],[Turno]]</f>
        <v>46271|AGREGADO MEDIOS|BARRAS RM6|Cantidad</v>
      </c>
      <c r="C580" s="871">
        <v>46271</v>
      </c>
      <c r="D580" t="s">
        <v>9451</v>
      </c>
      <c r="E580" t="s">
        <v>415</v>
      </c>
      <c r="F580" t="s">
        <v>9453</v>
      </c>
      <c r="G580">
        <v>0</v>
      </c>
      <c r="H580" t="s">
        <v>9333</v>
      </c>
      <c r="I580" s="871">
        <v>46293.93683766204</v>
      </c>
      <c r="J580" t="s">
        <v>9524</v>
      </c>
      <c r="K580" s="975" t="str">
        <f>IF(COUNTIFS(tblControles[Clave],tblControles[[#This Row],[Clave]])&gt;1,"Duplicado","")</f>
        <v/>
      </c>
    </row>
    <row r="581" spans="2:11">
      <c r="B581" s="975" t="str">
        <f>tblControles[[#This Row],[Fecha]]&amp;"|"&amp;tblControles[[#This Row],[Módulo]]&amp;"|"&amp;tblControles[[#This Row],[Ítem]]&amp;"|"&amp;tblControles[[#This Row],[Turno]]</f>
        <v>46271|AGREGADO MEDIOS|BARRAS RM7|Cantidad</v>
      </c>
      <c r="C581" s="871">
        <v>46271</v>
      </c>
      <c r="D581" t="s">
        <v>9451</v>
      </c>
      <c r="E581" t="s">
        <v>416</v>
      </c>
      <c r="F581" t="s">
        <v>9453</v>
      </c>
      <c r="G581">
        <v>0</v>
      </c>
      <c r="H581" t="s">
        <v>9333</v>
      </c>
      <c r="I581" s="871">
        <v>46293.93683766204</v>
      </c>
      <c r="J581" t="s">
        <v>9524</v>
      </c>
      <c r="K581" s="975" t="str">
        <f>IF(COUNTIFS(tblControles[Clave],tblControles[[#This Row],[Clave]])&gt;1,"Duplicado","")</f>
        <v/>
      </c>
    </row>
    <row r="582" spans="2:11">
      <c r="B582" s="975" t="str">
        <f>tblControles[[#This Row],[Fecha]]&amp;"|"&amp;tblControles[[#This Row],[Módulo]]&amp;"|"&amp;tblControles[[#This Row],[Ítem]]&amp;"|"&amp;tblControles[[#This Row],[Turno]]</f>
        <v>46271|AGREGADO MEDIOS|BARRAS RM8|Cantidad</v>
      </c>
      <c r="C582" s="871">
        <v>46271</v>
      </c>
      <c r="D582" t="s">
        <v>9451</v>
      </c>
      <c r="E582" t="s">
        <v>417</v>
      </c>
      <c r="F582" t="s">
        <v>9453</v>
      </c>
      <c r="G582">
        <v>0</v>
      </c>
      <c r="H582" t="s">
        <v>9333</v>
      </c>
      <c r="I582" s="871">
        <v>46293.93683766204</v>
      </c>
      <c r="J582" t="s">
        <v>9524</v>
      </c>
      <c r="K582" s="975" t="str">
        <f>IF(COUNTIFS(tblControles[Clave],tblControles[[#This Row],[Clave]])&gt;1,"Duplicado","")</f>
        <v/>
      </c>
    </row>
    <row r="583" spans="2:11">
      <c r="B583" s="975" t="str">
        <f>tblControles[[#This Row],[Fecha]]&amp;"|"&amp;tblControles[[#This Row],[Módulo]]&amp;"|"&amp;tblControles[[#This Row],[Ítem]]&amp;"|"&amp;tblControles[[#This Row],[Turno]]</f>
        <v>46271|AGREGADO MEDIOS|BARRAS 9 RM9|Cantidad</v>
      </c>
      <c r="C583" s="871">
        <v>46271</v>
      </c>
      <c r="D583" t="s">
        <v>9451</v>
      </c>
      <c r="E583" t="s">
        <v>418</v>
      </c>
      <c r="F583" t="s">
        <v>9453</v>
      </c>
      <c r="G583">
        <v>0</v>
      </c>
      <c r="H583" t="s">
        <v>9333</v>
      </c>
      <c r="I583" s="871">
        <v>46293.93683766204</v>
      </c>
      <c r="J583" t="s">
        <v>9524</v>
      </c>
      <c r="K583" s="975" t="str">
        <f>IF(COUNTIFS(tblControles[Clave],tblControles[[#This Row],[Clave]])&gt;1,"Duplicado","")</f>
        <v/>
      </c>
    </row>
    <row r="584" spans="2:11">
      <c r="B584" s="975" t="str">
        <f>tblControles[[#This Row],[Fecha]]&amp;"|"&amp;tblControles[[#This Row],[Módulo]]&amp;"|"&amp;tblControles[[#This Row],[Ítem]]&amp;"|"&amp;tblControles[[#This Row],[Turno]]</f>
        <v>46271|AGREGADO MEDIOS|CONOS 40X50 BM1|Cantidad</v>
      </c>
      <c r="C584" s="871">
        <v>46271</v>
      </c>
      <c r="D584" t="s">
        <v>9451</v>
      </c>
      <c r="E584" t="s">
        <v>420</v>
      </c>
      <c r="F584" t="s">
        <v>9453</v>
      </c>
      <c r="G584">
        <v>0</v>
      </c>
      <c r="H584" t="s">
        <v>9333</v>
      </c>
      <c r="I584" s="871">
        <v>46293.93683766204</v>
      </c>
      <c r="J584" t="s">
        <v>9524</v>
      </c>
      <c r="K584" s="975" t="str">
        <f>IF(COUNTIFS(tblControles[Clave],tblControles[[#This Row],[Clave]])&gt;1,"Duplicado","")</f>
        <v/>
      </c>
    </row>
    <row r="585" spans="2:11">
      <c r="B585" s="975" t="str">
        <f>tblControles[[#This Row],[Fecha]]&amp;"|"&amp;tblControles[[#This Row],[Módulo]]&amp;"|"&amp;tblControles[[#This Row],[Ítem]]&amp;"|"&amp;tblControles[[#This Row],[Turno]]</f>
        <v>46271|AGREGADO MEDIOS|CONOS 40X50 BM2|Cantidad</v>
      </c>
      <c r="C585" s="871">
        <v>46271</v>
      </c>
      <c r="D585" t="s">
        <v>9451</v>
      </c>
      <c r="E585" t="s">
        <v>421</v>
      </c>
      <c r="F585" t="s">
        <v>9453</v>
      </c>
      <c r="G585">
        <v>0</v>
      </c>
      <c r="H585" t="s">
        <v>9333</v>
      </c>
      <c r="I585" s="871">
        <v>46293.93683766204</v>
      </c>
      <c r="J585" t="s">
        <v>9524</v>
      </c>
      <c r="K585" s="975" t="str">
        <f>IF(COUNTIFS(tblControles[Clave],tblControles[[#This Row],[Clave]])&gt;1,"Duplicado","")</f>
        <v/>
      </c>
    </row>
    <row r="586" spans="2:11">
      <c r="B586" s="975" t="str">
        <f>tblControles[[#This Row],[Fecha]]&amp;"|"&amp;tblControles[[#This Row],[Módulo]]&amp;"|"&amp;tblControles[[#This Row],[Ítem]]&amp;"|"&amp;tblControles[[#This Row],[Turno]]</f>
        <v>46271|AGREGADO MEDIOS|CONOS 40X50 BM3|Cantidad</v>
      </c>
      <c r="C586" s="871">
        <v>46271</v>
      </c>
      <c r="D586" t="s">
        <v>9451</v>
      </c>
      <c r="E586" t="s">
        <v>422</v>
      </c>
      <c r="F586" t="s">
        <v>9453</v>
      </c>
      <c r="G586">
        <v>0</v>
      </c>
      <c r="H586" t="s">
        <v>9333</v>
      </c>
      <c r="I586" s="871">
        <v>46293.93683766204</v>
      </c>
      <c r="J586" t="s">
        <v>9524</v>
      </c>
      <c r="K586" s="975" t="str">
        <f>IF(COUNTIFS(tblControles[Clave],tblControles[[#This Row],[Clave]])&gt;1,"Duplicado","")</f>
        <v/>
      </c>
    </row>
    <row r="587" spans="2:11">
      <c r="B587" s="975" t="str">
        <f>tblControles[[#This Row],[Fecha]]&amp;"|"&amp;tblControles[[#This Row],[Módulo]]&amp;"|"&amp;tblControles[[#This Row],[Ítem]]&amp;"|"&amp;tblControles[[#This Row],[Turno]]</f>
        <v>46271|AGREGADO MEDIOS|CONOS 40X50 BM4|Cantidad</v>
      </c>
      <c r="C587" s="871">
        <v>46271</v>
      </c>
      <c r="D587" t="s">
        <v>9451</v>
      </c>
      <c r="E587" t="s">
        <v>423</v>
      </c>
      <c r="F587" t="s">
        <v>9453</v>
      </c>
      <c r="G587">
        <v>0</v>
      </c>
      <c r="H587" t="s">
        <v>9333</v>
      </c>
      <c r="I587" s="871">
        <v>46293.93683766204</v>
      </c>
      <c r="J587" t="s">
        <v>9524</v>
      </c>
      <c r="K587" s="975" t="str">
        <f>IF(COUNTIFS(tblControles[Clave],tblControles[[#This Row],[Clave]])&gt;1,"Duplicado","")</f>
        <v/>
      </c>
    </row>
    <row r="588" spans="2:11">
      <c r="B588" s="975" t="str">
        <f>tblControles[[#This Row],[Fecha]]&amp;"|"&amp;tblControles[[#This Row],[Módulo]]&amp;"|"&amp;tblControles[[#This Row],[Ítem]]&amp;"|"&amp;tblControles[[#This Row],[Turno]]</f>
        <v>46271|AGREGADO MEDIOS|CONOS 30X35 BM5|Cantidad</v>
      </c>
      <c r="C588" s="871">
        <v>46271</v>
      </c>
      <c r="D588" t="s">
        <v>9451</v>
      </c>
      <c r="E588" t="s">
        <v>424</v>
      </c>
      <c r="F588" t="s">
        <v>9453</v>
      </c>
      <c r="G588">
        <v>0</v>
      </c>
      <c r="H588" t="s">
        <v>9333</v>
      </c>
      <c r="I588" s="871">
        <v>46293.93683766204</v>
      </c>
      <c r="J588" t="s">
        <v>9524</v>
      </c>
      <c r="K588" s="975" t="str">
        <f>IF(COUNTIFS(tblControles[Clave],tblControles[[#This Row],[Clave]])&gt;1,"Duplicado","")</f>
        <v/>
      </c>
    </row>
    <row r="589" spans="2:11">
      <c r="B589" s="975" t="str">
        <f>tblControles[[#This Row],[Fecha]]&amp;"|"&amp;tblControles[[#This Row],[Módulo]]&amp;"|"&amp;tblControles[[#This Row],[Ítem]]&amp;"|"&amp;tblControles[[#This Row],[Turno]]</f>
        <v>46271|AGREGADO MEDIOS|CONOS 40X50 BM6|Cantidad</v>
      </c>
      <c r="C589" s="871">
        <v>46271</v>
      </c>
      <c r="D589" t="s">
        <v>9451</v>
      </c>
      <c r="E589" t="s">
        <v>425</v>
      </c>
      <c r="F589" t="s">
        <v>9453</v>
      </c>
      <c r="G589">
        <v>0</v>
      </c>
      <c r="H589" t="s">
        <v>9333</v>
      </c>
      <c r="I589" s="871">
        <v>46293.93683766204</v>
      </c>
      <c r="J589" t="s">
        <v>9524</v>
      </c>
      <c r="K589" s="975" t="str">
        <f>IF(COUNTIFS(tblControles[Clave],tblControles[[#This Row],[Clave]])&gt;1,"Duplicado","")</f>
        <v/>
      </c>
    </row>
    <row r="590" spans="2:11">
      <c r="B590" s="975" t="str">
        <f>tblControles[[#This Row],[Fecha]]&amp;"|"&amp;tblControles[[#This Row],[Módulo]]&amp;"|"&amp;tblControles[[#This Row],[Ítem]]&amp;"|"&amp;tblControles[[#This Row],[Turno]]</f>
        <v>46271|AGREGADO MEDIOS|CONOS 40X50 BM7|Cantidad</v>
      </c>
      <c r="C590" s="871">
        <v>46271</v>
      </c>
      <c r="D590" t="s">
        <v>9451</v>
      </c>
      <c r="E590" t="s">
        <v>426</v>
      </c>
      <c r="F590" t="s">
        <v>9453</v>
      </c>
      <c r="G590">
        <v>0</v>
      </c>
      <c r="H590" t="s">
        <v>9333</v>
      </c>
      <c r="I590" s="871">
        <v>46293.93683766204</v>
      </c>
      <c r="J590" t="s">
        <v>9524</v>
      </c>
      <c r="K590" s="975" t="str">
        <f>IF(COUNTIFS(tblControles[Clave],tblControles[[#This Row],[Clave]])&gt;1,"Duplicado","")</f>
        <v/>
      </c>
    </row>
    <row r="591" spans="2:11">
      <c r="B591" s="975" t="str">
        <f>tblControles[[#This Row],[Fecha]]&amp;"|"&amp;tblControles[[#This Row],[Módulo]]&amp;"|"&amp;tblControles[[#This Row],[Ítem]]&amp;"|"&amp;tblControles[[#This Row],[Turno]]</f>
        <v>46271|AGREGADO MEDIOS|CONOS 40X50|Cantidad</v>
      </c>
      <c r="C591" s="871">
        <v>46271</v>
      </c>
      <c r="D591" t="s">
        <v>9451</v>
      </c>
      <c r="E591" t="s">
        <v>427</v>
      </c>
      <c r="F591" t="s">
        <v>9453</v>
      </c>
      <c r="G591">
        <v>0</v>
      </c>
      <c r="H591" t="s">
        <v>9333</v>
      </c>
      <c r="I591" s="871">
        <v>46293.93683766204</v>
      </c>
      <c r="J591" t="s">
        <v>9524</v>
      </c>
      <c r="K591" s="975" t="str">
        <f>IF(COUNTIFS(tblControles[Clave],tblControles[[#This Row],[Clave]])&gt;1,"Duplicado","")</f>
        <v/>
      </c>
    </row>
    <row r="592" spans="2:11">
      <c r="B592" s="975" t="str">
        <f>tblControles[[#This Row],[Fecha]]&amp;"|"&amp;tblControles[[#This Row],[Módulo]]&amp;"|"&amp;tblControles[[#This Row],[Ítem]]&amp;"|"&amp;tblControles[[#This Row],[Turno]]</f>
        <v>46271|AGREGADO MEDIOS|CONOS 30X35|Cantidad</v>
      </c>
      <c r="C592" s="871">
        <v>46271</v>
      </c>
      <c r="D592" t="s">
        <v>9451</v>
      </c>
      <c r="E592" t="s">
        <v>428</v>
      </c>
      <c r="F592" t="s">
        <v>9453</v>
      </c>
      <c r="G592">
        <v>0</v>
      </c>
      <c r="H592" t="s">
        <v>9333</v>
      </c>
      <c r="I592" s="871">
        <v>46293.93683766204</v>
      </c>
      <c r="J592" t="s">
        <v>9524</v>
      </c>
      <c r="K592" s="975" t="str">
        <f>IF(COUNTIFS(tblControles[Clave],tblControles[[#This Row],[Clave]])&gt;1,"Duplicado","")</f>
        <v/>
      </c>
    </row>
    <row r="593" spans="2:11">
      <c r="B593" s="975" t="str">
        <f>tblControles[[#This Row],[Fecha]]&amp;"|"&amp;tblControles[[#This Row],[Módulo]]&amp;"|"&amp;tblControles[[#This Row],[Ítem]]&amp;"|"&amp;tblControles[[#This Row],[Turno]]</f>
        <v>46271|AGREGADO MEDIOS|BOLAS BM8|Cantidad</v>
      </c>
      <c r="C593" s="871">
        <v>46271</v>
      </c>
      <c r="D593" t="s">
        <v>9451</v>
      </c>
      <c r="E593" t="s">
        <v>429</v>
      </c>
      <c r="F593" t="s">
        <v>9453</v>
      </c>
      <c r="G593">
        <v>0</v>
      </c>
      <c r="H593" t="s">
        <v>9333</v>
      </c>
      <c r="I593" s="871">
        <v>46293.93683766204</v>
      </c>
      <c r="J593" t="s">
        <v>9524</v>
      </c>
      <c r="K593" s="975" t="str">
        <f>IF(COUNTIFS(tblControles[Clave],tblControles[[#This Row],[Clave]])&gt;1,"Duplicado","")</f>
        <v/>
      </c>
    </row>
    <row r="594" spans="2:11">
      <c r="B594" s="975" t="str">
        <f>tblControles[[#This Row],[Fecha]]&amp;"|"&amp;tblControles[[#This Row],[Módulo]]&amp;"|"&amp;tblControles[[#This Row],[Ítem]]&amp;"|"&amp;tblControles[[#This Row],[Turno]]</f>
        <v>46271|AGREGADO MEDIOS|BOLAS BM9|Cantidad</v>
      </c>
      <c r="C594" s="871">
        <v>46271</v>
      </c>
      <c r="D594" t="s">
        <v>9451</v>
      </c>
      <c r="E594" t="s">
        <v>430</v>
      </c>
      <c r="F594" t="s">
        <v>9453</v>
      </c>
      <c r="G594">
        <v>0</v>
      </c>
      <c r="H594" t="s">
        <v>9333</v>
      </c>
      <c r="I594" s="871">
        <v>46293.93683766204</v>
      </c>
      <c r="J594" t="s">
        <v>9524</v>
      </c>
      <c r="K594" s="975" t="str">
        <f>IF(COUNTIFS(tblControles[Clave],tblControles[[#This Row],[Clave]])&gt;1,"Duplicado","")</f>
        <v/>
      </c>
    </row>
    <row r="595" spans="2:11">
      <c r="B595" s="975" t="str">
        <f>tblControles[[#This Row],[Fecha]]&amp;"|"&amp;tblControles[[#This Row],[Módulo]]&amp;"|"&amp;tblControles[[#This Row],[Ítem]]&amp;"|"&amp;tblControles[[#This Row],[Turno]]</f>
        <v>46271|AGREGADO MEDIOS|BOLAS BM10|Cantidad</v>
      </c>
      <c r="C595" s="871">
        <v>46271</v>
      </c>
      <c r="D595" t="s">
        <v>9451</v>
      </c>
      <c r="E595" t="s">
        <v>431</v>
      </c>
      <c r="F595" t="s">
        <v>9453</v>
      </c>
      <c r="G595">
        <v>0</v>
      </c>
      <c r="H595" t="s">
        <v>9333</v>
      </c>
      <c r="I595" s="871">
        <v>46293.93683766204</v>
      </c>
      <c r="J595" t="s">
        <v>9524</v>
      </c>
      <c r="K595" s="975" t="str">
        <f>IF(COUNTIFS(tblControles[Clave],tblControles[[#This Row],[Clave]])&gt;1,"Duplicado","")</f>
        <v/>
      </c>
    </row>
    <row r="596" spans="2:11">
      <c r="B596" s="975" t="str">
        <f>tblControles[[#This Row],[Fecha]]&amp;"|"&amp;tblControles[[#This Row],[Módulo]]&amp;"|"&amp;tblControles[[#This Row],[Ítem]]&amp;"|"&amp;tblControles[[#This Row],[Turno]]</f>
        <v>46271|AGREGADO MEDIOS|BOLAS ALTO CROM|Cantidad</v>
      </c>
      <c r="C596" s="871">
        <v>46271</v>
      </c>
      <c r="D596" t="s">
        <v>9451</v>
      </c>
      <c r="E596" t="s">
        <v>432</v>
      </c>
      <c r="F596" t="s">
        <v>9453</v>
      </c>
      <c r="G596">
        <v>0</v>
      </c>
      <c r="H596" t="s">
        <v>9333</v>
      </c>
      <c r="I596" s="871">
        <v>46293.93683766204</v>
      </c>
      <c r="J596" t="s">
        <v>9524</v>
      </c>
      <c r="K596" s="975" t="str">
        <f>IF(COUNTIFS(tblControles[Clave],tblControles[[#This Row],[Clave]])&gt;1,"Duplicado","")</f>
        <v/>
      </c>
    </row>
    <row r="597" spans="2:11">
      <c r="B597" s="975" t="str">
        <f>tblControles[[#This Row],[Fecha]]&amp;"|"&amp;tblControles[[#This Row],[Módulo]]&amp;"|"&amp;tblControles[[#This Row],[Ítem]]&amp;"|"&amp;tblControles[[#This Row],[Turno]]</f>
        <v>46271|FILTROS H2O|Filtro # 1|3 TURNO</v>
      </c>
      <c r="C597" s="871">
        <v>46271</v>
      </c>
      <c r="D597" t="s">
        <v>9430</v>
      </c>
      <c r="E597" t="s">
        <v>9525</v>
      </c>
      <c r="F597" t="s">
        <v>328</v>
      </c>
      <c r="G597" t="s">
        <v>3227</v>
      </c>
      <c r="H597" t="s">
        <v>9333</v>
      </c>
      <c r="I597" s="871">
        <v>46293.93683766204</v>
      </c>
      <c r="J597" t="s">
        <v>9526</v>
      </c>
      <c r="K597" s="975" t="str">
        <f>IF(COUNTIFS(tblControles[Clave],tblControles[[#This Row],[Clave]])&gt;1,"Duplicado","")</f>
        <v/>
      </c>
    </row>
    <row r="598" spans="2:11">
      <c r="B598" s="975" t="str">
        <f>tblControles[[#This Row],[Fecha]]&amp;"|"&amp;tblControles[[#This Row],[Módulo]]&amp;"|"&amp;tblControles[[#This Row],[Ítem]]&amp;"|"&amp;tblControles[[#This Row],[Turno]]</f>
        <v>46271|FILTROS H2O|Filtro # 2|3 TURNO</v>
      </c>
      <c r="C598" s="871">
        <v>46271</v>
      </c>
      <c r="D598" t="s">
        <v>9430</v>
      </c>
      <c r="E598" t="s">
        <v>9463</v>
      </c>
      <c r="F598" t="s">
        <v>328</v>
      </c>
      <c r="G598" t="s">
        <v>3227</v>
      </c>
      <c r="H598" t="s">
        <v>9333</v>
      </c>
      <c r="I598" s="871">
        <v>46293.93683766204</v>
      </c>
      <c r="J598" t="s">
        <v>9526</v>
      </c>
      <c r="K598" s="975" t="str">
        <f>IF(COUNTIFS(tblControles[Clave],tblControles[[#This Row],[Clave]])&gt;1,"Duplicado","")</f>
        <v/>
      </c>
    </row>
    <row r="599" spans="2:11">
      <c r="B599" s="975" t="str">
        <f>tblControles[[#This Row],[Fecha]]&amp;"|"&amp;tblControles[[#This Row],[Módulo]]&amp;"|"&amp;tblControles[[#This Row],[Ítem]]&amp;"|"&amp;tblControles[[#This Row],[Turno]]</f>
        <v>46271|FILTROS H2O|Filtro # 3|3 TURNO</v>
      </c>
      <c r="C599" s="871">
        <v>46271</v>
      </c>
      <c r="D599" t="s">
        <v>9430</v>
      </c>
      <c r="E599" t="s">
        <v>9464</v>
      </c>
      <c r="F599" t="s">
        <v>328</v>
      </c>
      <c r="G599" t="s">
        <v>3227</v>
      </c>
      <c r="H599" t="s">
        <v>9333</v>
      </c>
      <c r="I599" s="871">
        <v>46293.93683766204</v>
      </c>
      <c r="J599" t="s">
        <v>9526</v>
      </c>
      <c r="K599" s="975" t="str">
        <f>IF(COUNTIFS(tblControles[Clave],tblControles[[#This Row],[Clave]])&gt;1,"Duplicado","")</f>
        <v/>
      </c>
    </row>
    <row r="600" spans="2:11">
      <c r="B600" s="975" t="str">
        <f>tblControles[[#This Row],[Fecha]]&amp;"|"&amp;tblControles[[#This Row],[Módulo]]&amp;"|"&amp;tblControles[[#This Row],[Ítem]]&amp;"|"&amp;tblControles[[#This Row],[Turno]]</f>
        <v>46271|FILTROS H2O|Filtro # 4|3 TURNO</v>
      </c>
      <c r="C600" s="871">
        <v>46271</v>
      </c>
      <c r="D600" t="s">
        <v>9430</v>
      </c>
      <c r="E600" t="s">
        <v>9465</v>
      </c>
      <c r="F600" t="s">
        <v>328</v>
      </c>
      <c r="G600" t="s">
        <v>345</v>
      </c>
      <c r="H600" t="s">
        <v>9333</v>
      </c>
      <c r="I600" s="871">
        <v>46293.93683766204</v>
      </c>
      <c r="J600" t="s">
        <v>9526</v>
      </c>
      <c r="K600" s="975" t="str">
        <f>IF(COUNTIFS(tblControles[Clave],tblControles[[#This Row],[Clave]])&gt;1,"Duplicado","")</f>
        <v/>
      </c>
    </row>
    <row r="601" spans="2:11">
      <c r="B601" s="975" t="str">
        <f>tblControles[[#This Row],[Fecha]]&amp;"|"&amp;tblControles[[#This Row],[Módulo]]&amp;"|"&amp;tblControles[[#This Row],[Ítem]]&amp;"|"&amp;tblControles[[#This Row],[Turno]]</f>
        <v>46271|FILTROS H2O|Filtro # 5|3 TURNO</v>
      </c>
      <c r="C601" s="871">
        <v>46271</v>
      </c>
      <c r="D601" t="s">
        <v>9430</v>
      </c>
      <c r="E601" t="s">
        <v>9466</v>
      </c>
      <c r="F601" t="s">
        <v>328</v>
      </c>
      <c r="G601" t="s">
        <v>3227</v>
      </c>
      <c r="H601" t="s">
        <v>9333</v>
      </c>
      <c r="I601" s="871">
        <v>46293.93683766204</v>
      </c>
      <c r="J601" t="s">
        <v>9526</v>
      </c>
      <c r="K601" s="975" t="str">
        <f>IF(COUNTIFS(tblControles[Clave],tblControles[[#This Row],[Clave]])&gt;1,"Duplicado","")</f>
        <v/>
      </c>
    </row>
    <row r="602" spans="2:11">
      <c r="B602" s="975" t="str">
        <f>tblControles[[#This Row],[Fecha]]&amp;"|"&amp;tblControles[[#This Row],[Módulo]]&amp;"|"&amp;tblControles[[#This Row],[Ítem]]&amp;"|"&amp;tblControles[[#This Row],[Turno]]</f>
        <v>46271|FILTROS H2O|Filtro Linea # 5|3 TURNO</v>
      </c>
      <c r="C602" s="871">
        <v>46271</v>
      </c>
      <c r="D602" t="s">
        <v>9430</v>
      </c>
      <c r="E602" t="s">
        <v>331</v>
      </c>
      <c r="F602" t="s">
        <v>328</v>
      </c>
      <c r="G602" t="s">
        <v>3227</v>
      </c>
      <c r="H602" t="s">
        <v>9333</v>
      </c>
      <c r="I602" s="871">
        <v>46293.93683766204</v>
      </c>
      <c r="J602" t="s">
        <v>9526</v>
      </c>
      <c r="K602" s="975" t="str">
        <f>IF(COUNTIFS(tblControles[Clave],tblControles[[#This Row],[Clave]])&gt;1,"Duplicado","")</f>
        <v/>
      </c>
    </row>
    <row r="603" spans="2:11">
      <c r="B603" s="975" t="str">
        <f>tblControles[[#This Row],[Fecha]]&amp;"|"&amp;tblControles[[#This Row],[Módulo]]&amp;"|"&amp;tblControles[[#This Row],[Ítem]]&amp;"|"&amp;tblControles[[#This Row],[Turno]]</f>
        <v>46271|FILTROS H2O|Filtro Linea # 6|3 TURNO</v>
      </c>
      <c r="C603" s="871">
        <v>46271</v>
      </c>
      <c r="D603" t="s">
        <v>9430</v>
      </c>
      <c r="E603" t="s">
        <v>332</v>
      </c>
      <c r="F603" t="s">
        <v>328</v>
      </c>
      <c r="G603" t="s">
        <v>3227</v>
      </c>
      <c r="H603" t="s">
        <v>9333</v>
      </c>
      <c r="I603" s="871">
        <v>46293.93683766204</v>
      </c>
      <c r="J603" t="s">
        <v>9526</v>
      </c>
      <c r="K603" s="975" t="str">
        <f>IF(COUNTIFS(tblControles[Clave],tblControles[[#This Row],[Clave]])&gt;1,"Duplicado","")</f>
        <v/>
      </c>
    </row>
    <row r="604" spans="2:11">
      <c r="B604" s="975" t="str">
        <f>tblControles[[#This Row],[Fecha]]&amp;"|"&amp;tblControles[[#This Row],[Módulo]]&amp;"|"&amp;tblControles[[#This Row],[Ítem]]&amp;"|"&amp;tblControles[[#This Row],[Turno]]</f>
        <v>46271|FILTROS H2O|Filtro Linea # 7|3 TURNO</v>
      </c>
      <c r="C604" s="871">
        <v>46271</v>
      </c>
      <c r="D604" t="s">
        <v>9430</v>
      </c>
      <c r="E604" t="s">
        <v>9467</v>
      </c>
      <c r="F604" t="s">
        <v>328</v>
      </c>
      <c r="G604" t="s">
        <v>3227</v>
      </c>
      <c r="H604" t="s">
        <v>9333</v>
      </c>
      <c r="I604" s="871">
        <v>46293.93683766204</v>
      </c>
      <c r="J604" t="s">
        <v>9526</v>
      </c>
      <c r="K604" s="975" t="str">
        <f>IF(COUNTIFS(tblControles[Clave],tblControles[[#This Row],[Clave]])&gt;1,"Duplicado","")</f>
        <v/>
      </c>
    </row>
    <row r="605" spans="2:11">
      <c r="B605" s="975" t="str">
        <f>tblControles[[#This Row],[Fecha]]&amp;"|"&amp;tblControles[[#This Row],[Módulo]]&amp;"|"&amp;tblControles[[#This Row],[Ítem]]&amp;"|"&amp;tblControles[[#This Row],[Turno]]</f>
        <v>46271|FILTROS H2O|Filtro Linea # 8|3 TURNO</v>
      </c>
      <c r="C605" s="871">
        <v>46271</v>
      </c>
      <c r="D605" t="s">
        <v>9430</v>
      </c>
      <c r="E605" t="s">
        <v>9468</v>
      </c>
      <c r="F605" t="s">
        <v>328</v>
      </c>
      <c r="G605" t="s">
        <v>345</v>
      </c>
      <c r="H605" t="s">
        <v>9333</v>
      </c>
      <c r="I605" s="871">
        <v>46293.93683766204</v>
      </c>
      <c r="J605" t="s">
        <v>9526</v>
      </c>
      <c r="K605" s="975" t="str">
        <f>IF(COUNTIFS(tblControles[Clave],tblControles[[#This Row],[Clave]])&gt;1,"Duplicado","")</f>
        <v/>
      </c>
    </row>
    <row r="606" spans="2:11">
      <c r="B606" s="975" t="str">
        <f>tblControles[[#This Row],[Fecha]]&amp;"|"&amp;tblControles[[#This Row],[Módulo]]&amp;"|"&amp;tblControles[[#This Row],[Ítem]]&amp;"|"&amp;tblControles[[#This Row],[Turno]]</f>
        <v>46271|FILTROS H2O|Filtro Linea # 9 (01)|3 TURNO</v>
      </c>
      <c r="C606" s="871">
        <v>46271</v>
      </c>
      <c r="D606" t="s">
        <v>9430</v>
      </c>
      <c r="E606" t="s">
        <v>9469</v>
      </c>
      <c r="F606" t="s">
        <v>328</v>
      </c>
      <c r="G606" t="s">
        <v>3227</v>
      </c>
      <c r="H606" t="s">
        <v>9333</v>
      </c>
      <c r="I606" s="871">
        <v>46293.93683766204</v>
      </c>
      <c r="J606" t="s">
        <v>9526</v>
      </c>
      <c r="K606" s="975" t="str">
        <f>IF(COUNTIFS(tblControles[Clave],tblControles[[#This Row],[Clave]])&gt;1,"Duplicado","")</f>
        <v/>
      </c>
    </row>
    <row r="607" spans="2:11">
      <c r="B607" s="975" t="str">
        <f>tblControles[[#This Row],[Fecha]]&amp;"|"&amp;tblControles[[#This Row],[Módulo]]&amp;"|"&amp;tblControles[[#This Row],[Ítem]]&amp;"|"&amp;tblControles[[#This Row],[Turno]]</f>
        <v>46271|FILTROS H2O|Filtro Linea # 9 (02)|3 TURNO</v>
      </c>
      <c r="C607" s="871">
        <v>46271</v>
      </c>
      <c r="D607" t="s">
        <v>9430</v>
      </c>
      <c r="E607" t="s">
        <v>9470</v>
      </c>
      <c r="F607" t="s">
        <v>328</v>
      </c>
      <c r="G607" t="s">
        <v>345</v>
      </c>
      <c r="H607" t="s">
        <v>9333</v>
      </c>
      <c r="I607" s="871">
        <v>46293.93683766204</v>
      </c>
      <c r="J607" t="s">
        <v>9526</v>
      </c>
      <c r="K607" s="975" t="str">
        <f>IF(COUNTIFS(tblControles[Clave],tblControles[[#This Row],[Clave]])&gt;1,"Duplicado","")</f>
        <v/>
      </c>
    </row>
    <row r="608" spans="2:11">
      <c r="B608" s="975" t="str">
        <f>tblControles[[#This Row],[Fecha]]&amp;"|"&amp;tblControles[[#This Row],[Módulo]]&amp;"|"&amp;tblControles[[#This Row],[Ítem]]&amp;"|"&amp;tblControles[[#This Row],[Turno]]</f>
        <v>46271|REACTIVOS|Ácido oxálico|Turno día (12 h)</v>
      </c>
      <c r="C608" s="871">
        <v>46271</v>
      </c>
      <c r="D608" t="s">
        <v>9444</v>
      </c>
      <c r="E608" t="s">
        <v>9508</v>
      </c>
      <c r="F608" t="s">
        <v>9446</v>
      </c>
      <c r="G608">
        <v>14000</v>
      </c>
      <c r="H608" t="s">
        <v>9333</v>
      </c>
      <c r="I608" s="871">
        <v>46293.93683766204</v>
      </c>
      <c r="J608" t="s">
        <v>9527</v>
      </c>
      <c r="K608" s="975" t="str">
        <f>IF(COUNTIFS(tblControles[Clave],tblControles[[#This Row],[Clave]])&gt;1,"Duplicado","")</f>
        <v/>
      </c>
    </row>
    <row r="609" spans="2:11">
      <c r="B609" s="975" t="str">
        <f>tblControles[[#This Row],[Fecha]]&amp;"|"&amp;tblControles[[#This Row],[Módulo]]&amp;"|"&amp;tblControles[[#This Row],[Ítem]]&amp;"|"&amp;tblControles[[#This Row],[Turno]]</f>
        <v>46271|REACTIVOS|Ácido oxálico|Turno noche (12 h)</v>
      </c>
      <c r="C609" s="871">
        <v>46271</v>
      </c>
      <c r="D609" t="s">
        <v>9444</v>
      </c>
      <c r="E609" t="s">
        <v>9508</v>
      </c>
      <c r="F609" t="s">
        <v>9447</v>
      </c>
      <c r="G609">
        <v>18000</v>
      </c>
      <c r="H609" t="s">
        <v>9333</v>
      </c>
      <c r="I609" s="871">
        <v>46293.93683766204</v>
      </c>
      <c r="J609" t="s">
        <v>9527</v>
      </c>
      <c r="K609" s="975" t="str">
        <f>IF(COUNTIFS(tblControles[Clave],tblControles[[#This Row],[Clave]])&gt;1,"Duplicado","")</f>
        <v/>
      </c>
    </row>
    <row r="610" spans="2:11">
      <c r="B610" s="975" t="str">
        <f>tblControles[[#This Row],[Fecha]]&amp;"|"&amp;tblControles[[#This Row],[Módulo]]&amp;"|"&amp;tblControles[[#This Row],[Ítem]]&amp;"|"&amp;tblControles[[#This Row],[Turno]]</f>
        <v>46271|REACTIVOS|Xantato|Turno día (12 h)</v>
      </c>
      <c r="C610" s="871">
        <v>46271</v>
      </c>
      <c r="D610" t="s">
        <v>9444</v>
      </c>
      <c r="E610" t="s">
        <v>9511</v>
      </c>
      <c r="F610" t="s">
        <v>9446</v>
      </c>
      <c r="G610">
        <v>3900</v>
      </c>
      <c r="H610" t="s">
        <v>9333</v>
      </c>
      <c r="I610" s="871">
        <v>46293.93683766204</v>
      </c>
      <c r="J610" t="s">
        <v>9527</v>
      </c>
      <c r="K610" s="975" t="str">
        <f>IF(COUNTIFS(tblControles[Clave],tblControles[[#This Row],[Clave]])&gt;1,"Duplicado","")</f>
        <v/>
      </c>
    </row>
    <row r="611" spans="2:11">
      <c r="B611" s="975" t="str">
        <f>tblControles[[#This Row],[Fecha]]&amp;"|"&amp;tblControles[[#This Row],[Módulo]]&amp;"|"&amp;tblControles[[#This Row],[Ítem]]&amp;"|"&amp;tblControles[[#This Row],[Turno]]</f>
        <v>46271|REACTIVOS|Xantato|Turno noche (12 h)</v>
      </c>
      <c r="C611" s="871">
        <v>46271</v>
      </c>
      <c r="D611" t="s">
        <v>9444</v>
      </c>
      <c r="E611" t="s">
        <v>9511</v>
      </c>
      <c r="F611" t="s">
        <v>9447</v>
      </c>
      <c r="G611">
        <v>3200</v>
      </c>
      <c r="H611" t="s">
        <v>9333</v>
      </c>
      <c r="I611" s="871">
        <v>46293.93683766204</v>
      </c>
      <c r="J611" t="s">
        <v>9527</v>
      </c>
      <c r="K611" s="975" t="str">
        <f>IF(COUNTIFS(tblControles[Clave],tblControles[[#This Row],[Clave]])&gt;1,"Duplicado","")</f>
        <v/>
      </c>
    </row>
    <row r="612" spans="2:11">
      <c r="B612" s="975" t="str">
        <f>tblControles[[#This Row],[Fecha]]&amp;"|"&amp;tblControles[[#This Row],[Módulo]]&amp;"|"&amp;tblControles[[#This Row],[Ítem]]&amp;"|"&amp;tblControles[[#This Row],[Turno]]</f>
        <v>46271|REACTIVOS|Espumante|Consumo día</v>
      </c>
      <c r="C612" s="871">
        <v>46271</v>
      </c>
      <c r="D612" t="s">
        <v>9444</v>
      </c>
      <c r="E612" t="s">
        <v>9513</v>
      </c>
      <c r="F612" t="s">
        <v>9870</v>
      </c>
      <c r="G612">
        <v>2500</v>
      </c>
      <c r="H612" t="s">
        <v>9333</v>
      </c>
      <c r="I612" s="871">
        <v>46293.93683766204</v>
      </c>
      <c r="J612" t="s">
        <v>9527</v>
      </c>
      <c r="K612" s="975" t="str">
        <f>IF(COUNTIFS(tblControles[Clave],tblControles[[#This Row],[Clave]])&gt;1,"Duplicado","")</f>
        <v/>
      </c>
    </row>
    <row r="613" spans="2:11">
      <c r="B613" s="975" t="str">
        <f>tblControles[[#This Row],[Fecha]]&amp;"|"&amp;tblControles[[#This Row],[Módulo]]&amp;"|"&amp;tblControles[[#This Row],[Ítem]]&amp;"|"&amp;tblControles[[#This Row],[Turno]]</f>
        <v>46271|TONELADAS X TURNO|Molino barras 1|1° turno</v>
      </c>
      <c r="C613" s="871">
        <v>46271</v>
      </c>
      <c r="D613" t="s">
        <v>9449</v>
      </c>
      <c r="E613" t="s">
        <v>387</v>
      </c>
      <c r="F613" t="s">
        <v>396</v>
      </c>
      <c r="G613">
        <v>1759</v>
      </c>
      <c r="H613" t="s">
        <v>9333</v>
      </c>
      <c r="I613" s="871">
        <v>46293.93683766204</v>
      </c>
      <c r="J613" t="s">
        <v>9528</v>
      </c>
      <c r="K613" s="975" t="str">
        <f>IF(COUNTIFS(tblControles[Clave],tblControles[[#This Row],[Clave]])&gt;1,"Duplicado","")</f>
        <v/>
      </c>
    </row>
    <row r="614" spans="2:11">
      <c r="B614" s="975" t="str">
        <f>tblControles[[#This Row],[Fecha]]&amp;"|"&amp;tblControles[[#This Row],[Módulo]]&amp;"|"&amp;tblControles[[#This Row],[Ítem]]&amp;"|"&amp;tblControles[[#This Row],[Turno]]</f>
        <v>46271|TONELADAS X TURNO|Molino barras 1|2° turno</v>
      </c>
      <c r="C614" s="871">
        <v>46271</v>
      </c>
      <c r="D614" t="s">
        <v>9449</v>
      </c>
      <c r="E614" t="s">
        <v>387</v>
      </c>
      <c r="F614" t="s">
        <v>397</v>
      </c>
      <c r="G614">
        <v>1514</v>
      </c>
      <c r="H614" t="s">
        <v>9333</v>
      </c>
      <c r="I614" s="871">
        <v>46293.93683766204</v>
      </c>
      <c r="J614" t="s">
        <v>9528</v>
      </c>
      <c r="K614" s="975" t="str">
        <f>IF(COUNTIFS(tblControles[Clave],tblControles[[#This Row],[Clave]])&gt;1,"Duplicado","")</f>
        <v/>
      </c>
    </row>
    <row r="615" spans="2:11">
      <c r="B615" s="975" t="str">
        <f>tblControles[[#This Row],[Fecha]]&amp;"|"&amp;tblControles[[#This Row],[Módulo]]&amp;"|"&amp;tblControles[[#This Row],[Ítem]]&amp;"|"&amp;tblControles[[#This Row],[Turno]]</f>
        <v>46271|TONELADAS X TURNO|Molino barras 1|3° turno</v>
      </c>
      <c r="C615" s="871">
        <v>46271</v>
      </c>
      <c r="D615" t="s">
        <v>9449</v>
      </c>
      <c r="E615" t="s">
        <v>387</v>
      </c>
      <c r="F615" t="s">
        <v>398</v>
      </c>
      <c r="G615">
        <v>1722</v>
      </c>
      <c r="H615" t="s">
        <v>9333</v>
      </c>
      <c r="I615" s="871">
        <v>46293.93683766204</v>
      </c>
      <c r="J615" t="s">
        <v>9528</v>
      </c>
      <c r="K615" s="975" t="str">
        <f>IF(COUNTIFS(tblControles[Clave],tblControles[[#This Row],[Clave]])&gt;1,"Duplicado","")</f>
        <v/>
      </c>
    </row>
    <row r="616" spans="2:11">
      <c r="B616" s="975" t="str">
        <f>tblControles[[#This Row],[Fecha]]&amp;"|"&amp;tblControles[[#This Row],[Módulo]]&amp;"|"&amp;tblControles[[#This Row],[Ítem]]&amp;"|"&amp;tblControles[[#This Row],[Turno]]</f>
        <v>46271|TONELADAS X TURNO|Molino barras 2|1° turno</v>
      </c>
      <c r="C616" s="871">
        <v>46271</v>
      </c>
      <c r="D616" t="s">
        <v>9449</v>
      </c>
      <c r="E616" t="s">
        <v>388</v>
      </c>
      <c r="F616" t="s">
        <v>396</v>
      </c>
      <c r="G616">
        <v>1689</v>
      </c>
      <c r="H616" t="s">
        <v>9333</v>
      </c>
      <c r="I616" s="871">
        <v>46293.93683766204</v>
      </c>
      <c r="J616" t="s">
        <v>9528</v>
      </c>
      <c r="K616" s="975" t="str">
        <f>IF(COUNTIFS(tblControles[Clave],tblControles[[#This Row],[Clave]])&gt;1,"Duplicado","")</f>
        <v/>
      </c>
    </row>
    <row r="617" spans="2:11">
      <c r="B617" s="975" t="str">
        <f>tblControles[[#This Row],[Fecha]]&amp;"|"&amp;tblControles[[#This Row],[Módulo]]&amp;"|"&amp;tblControles[[#This Row],[Ítem]]&amp;"|"&amp;tblControles[[#This Row],[Turno]]</f>
        <v>46271|TONELADAS X TURNO|Molino barras 2|2° turno</v>
      </c>
      <c r="C617" s="871">
        <v>46271</v>
      </c>
      <c r="D617" t="s">
        <v>9449</v>
      </c>
      <c r="E617" t="s">
        <v>388</v>
      </c>
      <c r="F617" t="s">
        <v>397</v>
      </c>
      <c r="G617">
        <v>1470</v>
      </c>
      <c r="H617" t="s">
        <v>9333</v>
      </c>
      <c r="I617" s="871">
        <v>46293.93683766204</v>
      </c>
      <c r="J617" t="s">
        <v>9528</v>
      </c>
      <c r="K617" s="975" t="str">
        <f>IF(COUNTIFS(tblControles[Clave],tblControles[[#This Row],[Clave]])&gt;1,"Duplicado","")</f>
        <v/>
      </c>
    </row>
    <row r="618" spans="2:11">
      <c r="B618" s="975" t="str">
        <f>tblControles[[#This Row],[Fecha]]&amp;"|"&amp;tblControles[[#This Row],[Módulo]]&amp;"|"&amp;tblControles[[#This Row],[Ítem]]&amp;"|"&amp;tblControles[[#This Row],[Turno]]</f>
        <v>46271|TONELADAS X TURNO|Molino barras 2|3° turno</v>
      </c>
      <c r="C618" s="871">
        <v>46271</v>
      </c>
      <c r="D618" t="s">
        <v>9449</v>
      </c>
      <c r="E618" t="s">
        <v>388</v>
      </c>
      <c r="F618" t="s">
        <v>398</v>
      </c>
      <c r="G618">
        <v>1617</v>
      </c>
      <c r="H618" t="s">
        <v>9333</v>
      </c>
      <c r="I618" s="871">
        <v>46293.93683766204</v>
      </c>
      <c r="J618" t="s">
        <v>9528</v>
      </c>
      <c r="K618" s="975" t="str">
        <f>IF(COUNTIFS(tblControles[Clave],tblControles[[#This Row],[Clave]])&gt;1,"Duplicado","")</f>
        <v/>
      </c>
    </row>
    <row r="619" spans="2:11">
      <c r="B619" s="975" t="str">
        <f>tblControles[[#This Row],[Fecha]]&amp;"|"&amp;tblControles[[#This Row],[Módulo]]&amp;"|"&amp;tblControles[[#This Row],[Ítem]]&amp;"|"&amp;tblControles[[#This Row],[Turno]]</f>
        <v>46271|TONELADAS X TURNO|Molino barras 3|1° turno</v>
      </c>
      <c r="C619" s="871">
        <v>46271</v>
      </c>
      <c r="D619" t="s">
        <v>9449</v>
      </c>
      <c r="E619" t="s">
        <v>389</v>
      </c>
      <c r="F619" t="s">
        <v>396</v>
      </c>
      <c r="G619">
        <v>1046</v>
      </c>
      <c r="H619" t="s">
        <v>9333</v>
      </c>
      <c r="I619" s="871">
        <v>46293.93683766204</v>
      </c>
      <c r="J619" t="s">
        <v>9528</v>
      </c>
      <c r="K619" s="975" t="str">
        <f>IF(COUNTIFS(tblControles[Clave],tblControles[[#This Row],[Clave]])&gt;1,"Duplicado","")</f>
        <v/>
      </c>
    </row>
    <row r="620" spans="2:11">
      <c r="B620" s="975" t="str">
        <f>tblControles[[#This Row],[Fecha]]&amp;"|"&amp;tblControles[[#This Row],[Módulo]]&amp;"|"&amp;tblControles[[#This Row],[Ítem]]&amp;"|"&amp;tblControles[[#This Row],[Turno]]</f>
        <v>46271|TONELADAS X TURNO|Molino barras 3|2° turno</v>
      </c>
      <c r="C620" s="871">
        <v>46271</v>
      </c>
      <c r="D620" t="s">
        <v>9449</v>
      </c>
      <c r="E620" t="s">
        <v>389</v>
      </c>
      <c r="F620" t="s">
        <v>397</v>
      </c>
      <c r="G620">
        <v>1188</v>
      </c>
      <c r="H620" t="s">
        <v>9333</v>
      </c>
      <c r="I620" s="871">
        <v>46293.93683766204</v>
      </c>
      <c r="J620" t="s">
        <v>9528</v>
      </c>
      <c r="K620" s="975" t="str">
        <f>IF(COUNTIFS(tblControles[Clave],tblControles[[#This Row],[Clave]])&gt;1,"Duplicado","")</f>
        <v/>
      </c>
    </row>
    <row r="621" spans="2:11">
      <c r="B621" s="975" t="str">
        <f>tblControles[[#This Row],[Fecha]]&amp;"|"&amp;tblControles[[#This Row],[Módulo]]&amp;"|"&amp;tblControles[[#This Row],[Ítem]]&amp;"|"&amp;tblControles[[#This Row],[Turno]]</f>
        <v>46271|TONELADAS X TURNO|Molino barras 3|3° turno</v>
      </c>
      <c r="C621" s="871">
        <v>46271</v>
      </c>
      <c r="D621" t="s">
        <v>9449</v>
      </c>
      <c r="E621" t="s">
        <v>389</v>
      </c>
      <c r="F621" t="s">
        <v>398</v>
      </c>
      <c r="G621">
        <v>1327</v>
      </c>
      <c r="H621" t="s">
        <v>9333</v>
      </c>
      <c r="I621" s="871">
        <v>46293.93683766204</v>
      </c>
      <c r="J621" t="s">
        <v>9528</v>
      </c>
      <c r="K621" s="975" t="str">
        <f>IF(COUNTIFS(tblControles[Clave],tblControles[[#This Row],[Clave]])&gt;1,"Duplicado","")</f>
        <v/>
      </c>
    </row>
    <row r="622" spans="2:11">
      <c r="B622" s="975" t="str">
        <f>tblControles[[#This Row],[Fecha]]&amp;"|"&amp;tblControles[[#This Row],[Módulo]]&amp;"|"&amp;tblControles[[#This Row],[Ítem]]&amp;"|"&amp;tblControles[[#This Row],[Turno]]</f>
        <v>46271|TONELADAS X TURNO|Molino barras 4|1° turno</v>
      </c>
      <c r="C622" s="871">
        <v>46271</v>
      </c>
      <c r="D622" t="s">
        <v>9449</v>
      </c>
      <c r="E622" t="s">
        <v>390</v>
      </c>
      <c r="F622" t="s">
        <v>396</v>
      </c>
      <c r="G622">
        <v>0</v>
      </c>
      <c r="H622" t="s">
        <v>9333</v>
      </c>
      <c r="I622" s="871">
        <v>46293.93683766204</v>
      </c>
      <c r="J622" t="s">
        <v>9528</v>
      </c>
      <c r="K622" s="975" t="str">
        <f>IF(COUNTIFS(tblControles[Clave],tblControles[[#This Row],[Clave]])&gt;1,"Duplicado","")</f>
        <v/>
      </c>
    </row>
    <row r="623" spans="2:11">
      <c r="B623" s="975" t="str">
        <f>tblControles[[#This Row],[Fecha]]&amp;"|"&amp;tblControles[[#This Row],[Módulo]]&amp;"|"&amp;tblControles[[#This Row],[Ítem]]&amp;"|"&amp;tblControles[[#This Row],[Turno]]</f>
        <v>46271|TONELADAS X TURNO|Molino barras 4|2° turno</v>
      </c>
      <c r="C623" s="871">
        <v>46271</v>
      </c>
      <c r="D623" t="s">
        <v>9449</v>
      </c>
      <c r="E623" t="s">
        <v>390</v>
      </c>
      <c r="F623" t="s">
        <v>397</v>
      </c>
      <c r="G623">
        <v>0</v>
      </c>
      <c r="H623" t="s">
        <v>9333</v>
      </c>
      <c r="I623" s="871">
        <v>46293.93683766204</v>
      </c>
      <c r="J623" t="s">
        <v>9528</v>
      </c>
      <c r="K623" s="975" t="str">
        <f>IF(COUNTIFS(tblControles[Clave],tblControles[[#This Row],[Clave]])&gt;1,"Duplicado","")</f>
        <v/>
      </c>
    </row>
    <row r="624" spans="2:11">
      <c r="B624" s="975" t="str">
        <f>tblControles[[#This Row],[Fecha]]&amp;"|"&amp;tblControles[[#This Row],[Módulo]]&amp;"|"&amp;tblControles[[#This Row],[Ítem]]&amp;"|"&amp;tblControles[[#This Row],[Turno]]</f>
        <v>46271|TONELADAS X TURNO|Molino barras 4|3° turno</v>
      </c>
      <c r="C624" s="871">
        <v>46271</v>
      </c>
      <c r="D624" t="s">
        <v>9449</v>
      </c>
      <c r="E624" t="s">
        <v>390</v>
      </c>
      <c r="F624" t="s">
        <v>398</v>
      </c>
      <c r="G624">
        <v>0</v>
      </c>
      <c r="H624" t="s">
        <v>9333</v>
      </c>
      <c r="I624" s="871">
        <v>46293.93683766204</v>
      </c>
      <c r="J624" t="s">
        <v>9528</v>
      </c>
      <c r="K624" s="975" t="str">
        <f>IF(COUNTIFS(tblControles[Clave],tblControles[[#This Row],[Clave]])&gt;1,"Duplicado","")</f>
        <v/>
      </c>
    </row>
    <row r="625" spans="2:11">
      <c r="B625" s="975" t="str">
        <f>tblControles[[#This Row],[Fecha]]&amp;"|"&amp;tblControles[[#This Row],[Módulo]]&amp;"|"&amp;tblControles[[#This Row],[Ítem]]&amp;"|"&amp;tblControles[[#This Row],[Turno]]</f>
        <v>46271|TONELADAS X TURNO|Molino barras 5|1° turno</v>
      </c>
      <c r="C625" s="871">
        <v>46271</v>
      </c>
      <c r="D625" t="s">
        <v>9449</v>
      </c>
      <c r="E625" t="s">
        <v>391</v>
      </c>
      <c r="F625" t="s">
        <v>396</v>
      </c>
      <c r="G625">
        <v>0</v>
      </c>
      <c r="H625" t="s">
        <v>9333</v>
      </c>
      <c r="I625" s="871">
        <v>46293.93683766204</v>
      </c>
      <c r="J625" t="s">
        <v>9528</v>
      </c>
      <c r="K625" s="975" t="str">
        <f>IF(COUNTIFS(tblControles[Clave],tblControles[[#This Row],[Clave]])&gt;1,"Duplicado","")</f>
        <v/>
      </c>
    </row>
    <row r="626" spans="2:11">
      <c r="B626" s="975" t="str">
        <f>tblControles[[#This Row],[Fecha]]&amp;"|"&amp;tblControles[[#This Row],[Módulo]]&amp;"|"&amp;tblControles[[#This Row],[Ítem]]&amp;"|"&amp;tblControles[[#This Row],[Turno]]</f>
        <v>46271|TONELADAS X TURNO|Molino barras 5|2° turno</v>
      </c>
      <c r="C626" s="871">
        <v>46271</v>
      </c>
      <c r="D626" t="s">
        <v>9449</v>
      </c>
      <c r="E626" t="s">
        <v>391</v>
      </c>
      <c r="F626" t="s">
        <v>397</v>
      </c>
      <c r="G626">
        <v>0</v>
      </c>
      <c r="H626" t="s">
        <v>9333</v>
      </c>
      <c r="I626" s="871">
        <v>46293.93683766204</v>
      </c>
      <c r="J626" t="s">
        <v>9528</v>
      </c>
      <c r="K626" s="975" t="str">
        <f>IF(COUNTIFS(tblControles[Clave],tblControles[[#This Row],[Clave]])&gt;1,"Duplicado","")</f>
        <v/>
      </c>
    </row>
    <row r="627" spans="2:11">
      <c r="B627" s="975" t="str">
        <f>tblControles[[#This Row],[Fecha]]&amp;"|"&amp;tblControles[[#This Row],[Módulo]]&amp;"|"&amp;tblControles[[#This Row],[Ítem]]&amp;"|"&amp;tblControles[[#This Row],[Turno]]</f>
        <v>46271|TONELADAS X TURNO|Molino barras 5|3° turno</v>
      </c>
      <c r="C627" s="871">
        <v>46271</v>
      </c>
      <c r="D627" t="s">
        <v>9449</v>
      </c>
      <c r="E627" t="s">
        <v>391</v>
      </c>
      <c r="F627" t="s">
        <v>398</v>
      </c>
      <c r="G627">
        <v>0</v>
      </c>
      <c r="H627" t="s">
        <v>9333</v>
      </c>
      <c r="I627" s="871">
        <v>46293.93683766204</v>
      </c>
      <c r="J627" t="s">
        <v>9528</v>
      </c>
      <c r="K627" s="975" t="str">
        <f>IF(COUNTIFS(tblControles[Clave],tblControles[[#This Row],[Clave]])&gt;1,"Duplicado","")</f>
        <v/>
      </c>
    </row>
    <row r="628" spans="2:11">
      <c r="B628" s="975" t="str">
        <f>tblControles[[#This Row],[Fecha]]&amp;"|"&amp;tblControles[[#This Row],[Módulo]]&amp;"|"&amp;tblControles[[#This Row],[Ítem]]&amp;"|"&amp;tblControles[[#This Row],[Turno]]</f>
        <v>46271|TONELADAS X TURNO|Molino barras 6|1° turno</v>
      </c>
      <c r="C628" s="871">
        <v>46271</v>
      </c>
      <c r="D628" t="s">
        <v>9449</v>
      </c>
      <c r="E628" t="s">
        <v>392</v>
      </c>
      <c r="F628" t="s">
        <v>396</v>
      </c>
      <c r="G628">
        <v>1789</v>
      </c>
      <c r="H628" t="s">
        <v>9333</v>
      </c>
      <c r="I628" s="871">
        <v>46293.93683766204</v>
      </c>
      <c r="J628" t="s">
        <v>9528</v>
      </c>
      <c r="K628" s="975" t="str">
        <f>IF(COUNTIFS(tblControles[Clave],tblControles[[#This Row],[Clave]])&gt;1,"Duplicado","")</f>
        <v/>
      </c>
    </row>
    <row r="629" spans="2:11">
      <c r="B629" s="975" t="str">
        <f>tblControles[[#This Row],[Fecha]]&amp;"|"&amp;tblControles[[#This Row],[Módulo]]&amp;"|"&amp;tblControles[[#This Row],[Ítem]]&amp;"|"&amp;tblControles[[#This Row],[Turno]]</f>
        <v>46271|TONELADAS X TURNO|Molino barras 6|2° turno</v>
      </c>
      <c r="C629" s="871">
        <v>46271</v>
      </c>
      <c r="D629" t="s">
        <v>9449</v>
      </c>
      <c r="E629" t="s">
        <v>392</v>
      </c>
      <c r="F629" t="s">
        <v>397</v>
      </c>
      <c r="G629">
        <v>1563</v>
      </c>
      <c r="H629" t="s">
        <v>9333</v>
      </c>
      <c r="I629" s="871">
        <v>46293.93683766204</v>
      </c>
      <c r="J629" t="s">
        <v>9528</v>
      </c>
      <c r="K629" s="975" t="str">
        <f>IF(COUNTIFS(tblControles[Clave],tblControles[[#This Row],[Clave]])&gt;1,"Duplicado","")</f>
        <v/>
      </c>
    </row>
    <row r="630" spans="2:11">
      <c r="B630" s="975" t="str">
        <f>tblControles[[#This Row],[Fecha]]&amp;"|"&amp;tblControles[[#This Row],[Módulo]]&amp;"|"&amp;tblControles[[#This Row],[Ítem]]&amp;"|"&amp;tblControles[[#This Row],[Turno]]</f>
        <v>46271|TONELADAS X TURNO|Molino barras 6|3° turno</v>
      </c>
      <c r="C630" s="871">
        <v>46271</v>
      </c>
      <c r="D630" t="s">
        <v>9449</v>
      </c>
      <c r="E630" t="s">
        <v>392</v>
      </c>
      <c r="F630" t="s">
        <v>398</v>
      </c>
      <c r="G630">
        <v>1600</v>
      </c>
      <c r="H630" t="s">
        <v>9333</v>
      </c>
      <c r="I630" s="871">
        <v>46293.93683766204</v>
      </c>
      <c r="J630" t="s">
        <v>9528</v>
      </c>
      <c r="K630" s="975" t="str">
        <f>IF(COUNTIFS(tblControles[Clave],tblControles[[#This Row],[Clave]])&gt;1,"Duplicado","")</f>
        <v/>
      </c>
    </row>
    <row r="631" spans="2:11">
      <c r="B631" s="975" t="str">
        <f>tblControles[[#This Row],[Fecha]]&amp;"|"&amp;tblControles[[#This Row],[Módulo]]&amp;"|"&amp;tblControles[[#This Row],[Ítem]]&amp;"|"&amp;tblControles[[#This Row],[Turno]]</f>
        <v>46271|TONELADAS X TURNO|Molino barras 7|1° turno</v>
      </c>
      <c r="C631" s="871">
        <v>46271</v>
      </c>
      <c r="D631" t="s">
        <v>9449</v>
      </c>
      <c r="E631" t="s">
        <v>393</v>
      </c>
      <c r="F631" t="s">
        <v>396</v>
      </c>
      <c r="G631">
        <v>1758</v>
      </c>
      <c r="H631" t="s">
        <v>9333</v>
      </c>
      <c r="I631" s="871">
        <v>46293.93683766204</v>
      </c>
      <c r="J631" t="s">
        <v>9528</v>
      </c>
      <c r="K631" s="975" t="str">
        <f>IF(COUNTIFS(tblControles[Clave],tblControles[[#This Row],[Clave]])&gt;1,"Duplicado","")</f>
        <v/>
      </c>
    </row>
    <row r="632" spans="2:11">
      <c r="B632" s="975" t="str">
        <f>tblControles[[#This Row],[Fecha]]&amp;"|"&amp;tblControles[[#This Row],[Módulo]]&amp;"|"&amp;tblControles[[#This Row],[Ítem]]&amp;"|"&amp;tblControles[[#This Row],[Turno]]</f>
        <v>46271|TONELADAS X TURNO|Molino barras 7|2° turno</v>
      </c>
      <c r="C632" s="871">
        <v>46271</v>
      </c>
      <c r="D632" t="s">
        <v>9449</v>
      </c>
      <c r="E632" t="s">
        <v>393</v>
      </c>
      <c r="F632" t="s">
        <v>397</v>
      </c>
      <c r="G632">
        <v>1652</v>
      </c>
      <c r="H632" t="s">
        <v>9333</v>
      </c>
      <c r="I632" s="871">
        <v>46293.93683766204</v>
      </c>
      <c r="J632" t="s">
        <v>9528</v>
      </c>
      <c r="K632" s="975" t="str">
        <f>IF(COUNTIFS(tblControles[Clave],tblControles[[#This Row],[Clave]])&gt;1,"Duplicado","")</f>
        <v/>
      </c>
    </row>
    <row r="633" spans="2:11">
      <c r="B633" s="975" t="str">
        <f>tblControles[[#This Row],[Fecha]]&amp;"|"&amp;tblControles[[#This Row],[Módulo]]&amp;"|"&amp;tblControles[[#This Row],[Ítem]]&amp;"|"&amp;tblControles[[#This Row],[Turno]]</f>
        <v>46271|TONELADAS X TURNO|Molino barras 7|3° turno</v>
      </c>
      <c r="C633" s="871">
        <v>46271</v>
      </c>
      <c r="D633" t="s">
        <v>9449</v>
      </c>
      <c r="E633" t="s">
        <v>393</v>
      </c>
      <c r="F633" t="s">
        <v>398</v>
      </c>
      <c r="G633">
        <v>1508</v>
      </c>
      <c r="H633" t="s">
        <v>9333</v>
      </c>
      <c r="I633" s="871">
        <v>46293.93683766204</v>
      </c>
      <c r="J633" t="s">
        <v>9528</v>
      </c>
      <c r="K633" s="975" t="str">
        <f>IF(COUNTIFS(tblControles[Clave],tblControles[[#This Row],[Clave]])&gt;1,"Duplicado","")</f>
        <v/>
      </c>
    </row>
    <row r="634" spans="2:11">
      <c r="B634" s="975" t="str">
        <f>tblControles[[#This Row],[Fecha]]&amp;"|"&amp;tblControles[[#This Row],[Módulo]]&amp;"|"&amp;tblControles[[#This Row],[Ítem]]&amp;"|"&amp;tblControles[[#This Row],[Turno]]</f>
        <v>46271|TONELADAS X TURNO|Molino barras 8|1° turno</v>
      </c>
      <c r="C634" s="871">
        <v>46271</v>
      </c>
      <c r="D634" t="s">
        <v>9449</v>
      </c>
      <c r="E634" t="s">
        <v>394</v>
      </c>
      <c r="F634" t="s">
        <v>396</v>
      </c>
      <c r="G634">
        <v>1586</v>
      </c>
      <c r="H634" t="s">
        <v>9333</v>
      </c>
      <c r="I634" s="871">
        <v>46293.93683766204</v>
      </c>
      <c r="J634" t="s">
        <v>9528</v>
      </c>
      <c r="K634" s="975" t="str">
        <f>IF(COUNTIFS(tblControles[Clave],tblControles[[#This Row],[Clave]])&gt;1,"Duplicado","")</f>
        <v/>
      </c>
    </row>
    <row r="635" spans="2:11">
      <c r="B635" s="975" t="str">
        <f>tblControles[[#This Row],[Fecha]]&amp;"|"&amp;tblControles[[#This Row],[Módulo]]&amp;"|"&amp;tblControles[[#This Row],[Ítem]]&amp;"|"&amp;tblControles[[#This Row],[Turno]]</f>
        <v>46271|TONELADAS X TURNO|Molino barras 8|2° turno</v>
      </c>
      <c r="C635" s="871">
        <v>46271</v>
      </c>
      <c r="D635" t="s">
        <v>9449</v>
      </c>
      <c r="E635" t="s">
        <v>394</v>
      </c>
      <c r="F635" t="s">
        <v>397</v>
      </c>
      <c r="G635">
        <v>1497</v>
      </c>
      <c r="H635" t="s">
        <v>9333</v>
      </c>
      <c r="I635" s="871">
        <v>46293.93683766204</v>
      </c>
      <c r="J635" t="s">
        <v>9528</v>
      </c>
      <c r="K635" s="975" t="str">
        <f>IF(COUNTIFS(tblControles[Clave],tblControles[[#This Row],[Clave]])&gt;1,"Duplicado","")</f>
        <v/>
      </c>
    </row>
    <row r="636" spans="2:11">
      <c r="B636" s="975" t="str">
        <f>tblControles[[#This Row],[Fecha]]&amp;"|"&amp;tblControles[[#This Row],[Módulo]]&amp;"|"&amp;tblControles[[#This Row],[Ítem]]&amp;"|"&amp;tblControles[[#This Row],[Turno]]</f>
        <v>46271|TONELADAS X TURNO|Molino barras 8|3° turno</v>
      </c>
      <c r="C636" s="871">
        <v>46271</v>
      </c>
      <c r="D636" t="s">
        <v>9449</v>
      </c>
      <c r="E636" t="s">
        <v>394</v>
      </c>
      <c r="F636" t="s">
        <v>398</v>
      </c>
      <c r="G636">
        <v>1525</v>
      </c>
      <c r="H636" t="s">
        <v>9333</v>
      </c>
      <c r="I636" s="871">
        <v>46293.93683766204</v>
      </c>
      <c r="J636" t="s">
        <v>9528</v>
      </c>
      <c r="K636" s="975" t="str">
        <f>IF(COUNTIFS(tblControles[Clave],tblControles[[#This Row],[Clave]])&gt;1,"Duplicado","")</f>
        <v/>
      </c>
    </row>
    <row r="637" spans="2:11">
      <c r="B637" s="975" t="str">
        <f>tblControles[[#This Row],[Fecha]]&amp;"|"&amp;tblControles[[#This Row],[Módulo]]&amp;"|"&amp;tblControles[[#This Row],[Ítem]]&amp;"|"&amp;tblControles[[#This Row],[Turno]]</f>
        <v>46271|TONELADAS X TURNO|Molino barras 9|1° turno</v>
      </c>
      <c r="C637" s="871">
        <v>46271</v>
      </c>
      <c r="D637" t="s">
        <v>9449</v>
      </c>
      <c r="E637" t="s">
        <v>395</v>
      </c>
      <c r="F637" t="s">
        <v>396</v>
      </c>
      <c r="G637">
        <v>1843</v>
      </c>
      <c r="H637" t="s">
        <v>9333</v>
      </c>
      <c r="I637" s="871">
        <v>46293.93683766204</v>
      </c>
      <c r="J637" t="s">
        <v>9528</v>
      </c>
      <c r="K637" s="975" t="str">
        <f>IF(COUNTIFS(tblControles[Clave],tblControles[[#This Row],[Clave]])&gt;1,"Duplicado","")</f>
        <v/>
      </c>
    </row>
    <row r="638" spans="2:11">
      <c r="B638" s="975" t="str">
        <f>tblControles[[#This Row],[Fecha]]&amp;"|"&amp;tblControles[[#This Row],[Módulo]]&amp;"|"&amp;tblControles[[#This Row],[Ítem]]&amp;"|"&amp;tblControles[[#This Row],[Turno]]</f>
        <v>46271|TONELADAS X TURNO|Molino barras 9|2° turno</v>
      </c>
      <c r="C638" s="871">
        <v>46271</v>
      </c>
      <c r="D638" t="s">
        <v>9449</v>
      </c>
      <c r="E638" t="s">
        <v>395</v>
      </c>
      <c r="F638" t="s">
        <v>397</v>
      </c>
      <c r="G638">
        <v>1752</v>
      </c>
      <c r="H638" t="s">
        <v>9333</v>
      </c>
      <c r="I638" s="871">
        <v>46293.93683766204</v>
      </c>
      <c r="J638" t="s">
        <v>9528</v>
      </c>
      <c r="K638" s="975" t="str">
        <f>IF(COUNTIFS(tblControles[Clave],tblControles[[#This Row],[Clave]])&gt;1,"Duplicado","")</f>
        <v/>
      </c>
    </row>
    <row r="639" spans="2:11">
      <c r="B639" s="975" t="str">
        <f>tblControles[[#This Row],[Fecha]]&amp;"|"&amp;tblControles[[#This Row],[Módulo]]&amp;"|"&amp;tblControles[[#This Row],[Ítem]]&amp;"|"&amp;tblControles[[#This Row],[Turno]]</f>
        <v>46271|TONELADAS X TURNO|Molino barras 9|3° turno</v>
      </c>
      <c r="C639" s="871">
        <v>46271</v>
      </c>
      <c r="D639" t="s">
        <v>9449</v>
      </c>
      <c r="E639" t="s">
        <v>395</v>
      </c>
      <c r="F639" t="s">
        <v>398</v>
      </c>
      <c r="G639">
        <v>1823</v>
      </c>
      <c r="H639" t="s">
        <v>9333</v>
      </c>
      <c r="I639" s="871">
        <v>46293.93683766204</v>
      </c>
      <c r="J639" t="s">
        <v>9528</v>
      </c>
      <c r="K639" s="975" t="str">
        <f>IF(COUNTIFS(tblControles[Clave],tblControles[[#This Row],[Clave]])&gt;1,"Duplicado","")</f>
        <v/>
      </c>
    </row>
    <row r="640" spans="2:11">
      <c r="B640" s="975" t="str">
        <f>tblControles[[#This Row],[Fecha]]&amp;"|"&amp;tblControles[[#This Row],[Módulo]]&amp;"|"&amp;tblControles[[#This Row],[Ítem]]&amp;"|"&amp;tblControles[[#This Row],[Turno]]</f>
        <v>46272|AGREGADO MEDIOS|BARRAS RM1|Cantidad</v>
      </c>
      <c r="C640" s="871">
        <v>46272</v>
      </c>
      <c r="D640" t="s">
        <v>9451</v>
      </c>
      <c r="E640" t="s">
        <v>410</v>
      </c>
      <c r="F640" t="s">
        <v>9453</v>
      </c>
      <c r="G640">
        <v>18</v>
      </c>
      <c r="H640" t="s">
        <v>9333</v>
      </c>
      <c r="I640" s="871">
        <v>46293.93683766204</v>
      </c>
      <c r="J640" t="s">
        <v>9524</v>
      </c>
      <c r="K640" s="975" t="str">
        <f>IF(COUNTIFS(tblControles[Clave],tblControles[[#This Row],[Clave]])&gt;1,"Duplicado","")</f>
        <v/>
      </c>
    </row>
    <row r="641" spans="2:11">
      <c r="B641" s="975" t="str">
        <f>tblControles[[#This Row],[Fecha]]&amp;"|"&amp;tblControles[[#This Row],[Módulo]]&amp;"|"&amp;tblControles[[#This Row],[Ítem]]&amp;"|"&amp;tblControles[[#This Row],[Turno]]</f>
        <v>46272|AGREGADO MEDIOS|BARRAS RM2|Cantidad</v>
      </c>
      <c r="C641" s="871">
        <v>46272</v>
      </c>
      <c r="D641" t="s">
        <v>9451</v>
      </c>
      <c r="E641" t="s">
        <v>411</v>
      </c>
      <c r="F641" t="s">
        <v>9453</v>
      </c>
      <c r="G641">
        <v>0</v>
      </c>
      <c r="H641" t="s">
        <v>9333</v>
      </c>
      <c r="I641" s="871">
        <v>46293.93683766204</v>
      </c>
      <c r="J641" t="s">
        <v>9524</v>
      </c>
      <c r="K641" s="975" t="str">
        <f>IF(COUNTIFS(tblControles[Clave],tblControles[[#This Row],[Clave]])&gt;1,"Duplicado","")</f>
        <v/>
      </c>
    </row>
    <row r="642" spans="2:11">
      <c r="B642" s="975" t="str">
        <f>tblControles[[#This Row],[Fecha]]&amp;"|"&amp;tblControles[[#This Row],[Módulo]]&amp;"|"&amp;tblControles[[#This Row],[Ítem]]&amp;"|"&amp;tblControles[[#This Row],[Turno]]</f>
        <v>46272|AGREGADO MEDIOS|BARRAS RM3|Cantidad</v>
      </c>
      <c r="C642" s="871">
        <v>46272</v>
      </c>
      <c r="D642" t="s">
        <v>9451</v>
      </c>
      <c r="E642" t="s">
        <v>412</v>
      </c>
      <c r="F642" t="s">
        <v>9453</v>
      </c>
      <c r="G642">
        <v>0</v>
      </c>
      <c r="H642" t="s">
        <v>9333</v>
      </c>
      <c r="I642" s="871">
        <v>46293.93683766204</v>
      </c>
      <c r="J642" t="s">
        <v>9524</v>
      </c>
      <c r="K642" s="975" t="str">
        <f>IF(COUNTIFS(tblControles[Clave],tblControles[[#This Row],[Clave]])&gt;1,"Duplicado","")</f>
        <v/>
      </c>
    </row>
    <row r="643" spans="2:11">
      <c r="B643" s="975" t="str">
        <f>tblControles[[#This Row],[Fecha]]&amp;"|"&amp;tblControles[[#This Row],[Módulo]]&amp;"|"&amp;tblControles[[#This Row],[Ítem]]&amp;"|"&amp;tblControles[[#This Row],[Turno]]</f>
        <v>46272|AGREGADO MEDIOS|BARRAS RM4|Cantidad</v>
      </c>
      <c r="C643" s="871">
        <v>46272</v>
      </c>
      <c r="D643" t="s">
        <v>9451</v>
      </c>
      <c r="E643" t="s">
        <v>413</v>
      </c>
      <c r="F643" t="s">
        <v>9453</v>
      </c>
      <c r="G643">
        <v>0</v>
      </c>
      <c r="H643" t="s">
        <v>9333</v>
      </c>
      <c r="I643" s="871">
        <v>46293.93683766204</v>
      </c>
      <c r="J643" t="s">
        <v>9524</v>
      </c>
      <c r="K643" s="975" t="str">
        <f>IF(COUNTIFS(tblControles[Clave],tblControles[[#This Row],[Clave]])&gt;1,"Duplicado","")</f>
        <v/>
      </c>
    </row>
    <row r="644" spans="2:11">
      <c r="B644" s="975" t="str">
        <f>tblControles[[#This Row],[Fecha]]&amp;"|"&amp;tblControles[[#This Row],[Módulo]]&amp;"|"&amp;tblControles[[#This Row],[Ítem]]&amp;"|"&amp;tblControles[[#This Row],[Turno]]</f>
        <v>46272|AGREGADO MEDIOS|BARRAS RM5|Cantidad</v>
      </c>
      <c r="C644" s="871">
        <v>46272</v>
      </c>
      <c r="D644" t="s">
        <v>9451</v>
      </c>
      <c r="E644" t="s">
        <v>414</v>
      </c>
      <c r="F644" t="s">
        <v>9453</v>
      </c>
      <c r="G644">
        <v>0</v>
      </c>
      <c r="H644" t="s">
        <v>9333</v>
      </c>
      <c r="I644" s="871">
        <v>46293.93683766204</v>
      </c>
      <c r="J644" t="s">
        <v>9524</v>
      </c>
      <c r="K644" s="975" t="str">
        <f>IF(COUNTIFS(tblControles[Clave],tblControles[[#This Row],[Clave]])&gt;1,"Duplicado","")</f>
        <v/>
      </c>
    </row>
    <row r="645" spans="2:11">
      <c r="B645" s="975" t="str">
        <f>tblControles[[#This Row],[Fecha]]&amp;"|"&amp;tblControles[[#This Row],[Módulo]]&amp;"|"&amp;tblControles[[#This Row],[Ítem]]&amp;"|"&amp;tblControles[[#This Row],[Turno]]</f>
        <v>46272|AGREGADO MEDIOS|BARRAS RM6|Cantidad</v>
      </c>
      <c r="C645" s="871">
        <v>46272</v>
      </c>
      <c r="D645" t="s">
        <v>9451</v>
      </c>
      <c r="E645" t="s">
        <v>415</v>
      </c>
      <c r="F645" t="s">
        <v>9453</v>
      </c>
      <c r="G645">
        <v>9</v>
      </c>
      <c r="H645" t="s">
        <v>9333</v>
      </c>
      <c r="I645" s="871">
        <v>46293.93683766204</v>
      </c>
      <c r="J645" t="s">
        <v>9524</v>
      </c>
      <c r="K645" s="975" t="str">
        <f>IF(COUNTIFS(tblControles[Clave],tblControles[[#This Row],[Clave]])&gt;1,"Duplicado","")</f>
        <v/>
      </c>
    </row>
    <row r="646" spans="2:11">
      <c r="B646" s="975" t="str">
        <f>tblControles[[#This Row],[Fecha]]&amp;"|"&amp;tblControles[[#This Row],[Módulo]]&amp;"|"&amp;tblControles[[#This Row],[Ítem]]&amp;"|"&amp;tblControles[[#This Row],[Turno]]</f>
        <v>46272|AGREGADO MEDIOS|BARRAS RM7|Cantidad</v>
      </c>
      <c r="C646" s="871">
        <v>46272</v>
      </c>
      <c r="D646" t="s">
        <v>9451</v>
      </c>
      <c r="E646" t="s">
        <v>416</v>
      </c>
      <c r="F646" t="s">
        <v>9453</v>
      </c>
      <c r="G646">
        <v>12</v>
      </c>
      <c r="H646" t="s">
        <v>9333</v>
      </c>
      <c r="I646" s="871">
        <v>46293.93683766204</v>
      </c>
      <c r="J646" t="s">
        <v>9524</v>
      </c>
      <c r="K646" s="975" t="str">
        <f>IF(COUNTIFS(tblControles[Clave],tblControles[[#This Row],[Clave]])&gt;1,"Duplicado","")</f>
        <v/>
      </c>
    </row>
    <row r="647" spans="2:11">
      <c r="B647" s="975" t="str">
        <f>tblControles[[#This Row],[Fecha]]&amp;"|"&amp;tblControles[[#This Row],[Módulo]]&amp;"|"&amp;tblControles[[#This Row],[Ítem]]&amp;"|"&amp;tblControles[[#This Row],[Turno]]</f>
        <v>46272|AGREGADO MEDIOS|BARRAS RM8|Cantidad</v>
      </c>
      <c r="C647" s="871">
        <v>46272</v>
      </c>
      <c r="D647" t="s">
        <v>9451</v>
      </c>
      <c r="E647" t="s">
        <v>417</v>
      </c>
      <c r="F647" t="s">
        <v>9453</v>
      </c>
      <c r="G647">
        <v>9</v>
      </c>
      <c r="H647" t="s">
        <v>9333</v>
      </c>
      <c r="I647" s="871">
        <v>46293.93683766204</v>
      </c>
      <c r="J647" t="s">
        <v>9524</v>
      </c>
      <c r="K647" s="975" t="str">
        <f>IF(COUNTIFS(tblControles[Clave],tblControles[[#This Row],[Clave]])&gt;1,"Duplicado","")</f>
        <v/>
      </c>
    </row>
    <row r="648" spans="2:11">
      <c r="B648" s="975" t="str">
        <f>tblControles[[#This Row],[Fecha]]&amp;"|"&amp;tblControles[[#This Row],[Módulo]]&amp;"|"&amp;tblControles[[#This Row],[Ítem]]&amp;"|"&amp;tblControles[[#This Row],[Turno]]</f>
        <v>46272|AGREGADO MEDIOS|BARRAS 9 RM9|Cantidad</v>
      </c>
      <c r="C648" s="871">
        <v>46272</v>
      </c>
      <c r="D648" t="s">
        <v>9451</v>
      </c>
      <c r="E648" t="s">
        <v>418</v>
      </c>
      <c r="F648" t="s">
        <v>9453</v>
      </c>
      <c r="G648">
        <v>0</v>
      </c>
      <c r="H648" t="s">
        <v>9333</v>
      </c>
      <c r="I648" s="871">
        <v>46293.93683766204</v>
      </c>
      <c r="J648" t="s">
        <v>9524</v>
      </c>
      <c r="K648" s="975" t="str">
        <f>IF(COUNTIFS(tblControles[Clave],tblControles[[#This Row],[Clave]])&gt;1,"Duplicado","")</f>
        <v/>
      </c>
    </row>
    <row r="649" spans="2:11">
      <c r="B649" s="975" t="str">
        <f>tblControles[[#This Row],[Fecha]]&amp;"|"&amp;tblControles[[#This Row],[Módulo]]&amp;"|"&amp;tblControles[[#This Row],[Ítem]]&amp;"|"&amp;tblControles[[#This Row],[Turno]]</f>
        <v>46272|AGREGADO MEDIOS|CONOS 40X50 BM1|Cantidad</v>
      </c>
      <c r="C649" s="871">
        <v>46272</v>
      </c>
      <c r="D649" t="s">
        <v>9451</v>
      </c>
      <c r="E649" t="s">
        <v>420</v>
      </c>
      <c r="F649" t="s">
        <v>9453</v>
      </c>
      <c r="G649">
        <v>4</v>
      </c>
      <c r="H649" t="s">
        <v>9333</v>
      </c>
      <c r="I649" s="871">
        <v>46293.93683766204</v>
      </c>
      <c r="J649" t="s">
        <v>9524</v>
      </c>
      <c r="K649" s="975" t="str">
        <f>IF(COUNTIFS(tblControles[Clave],tblControles[[#This Row],[Clave]])&gt;1,"Duplicado","")</f>
        <v/>
      </c>
    </row>
    <row r="650" spans="2:11">
      <c r="B650" s="975" t="str">
        <f>tblControles[[#This Row],[Fecha]]&amp;"|"&amp;tblControles[[#This Row],[Módulo]]&amp;"|"&amp;tblControles[[#This Row],[Ítem]]&amp;"|"&amp;tblControles[[#This Row],[Turno]]</f>
        <v>46272|AGREGADO MEDIOS|CONOS 40X50 BM2|Cantidad</v>
      </c>
      <c r="C650" s="871">
        <v>46272</v>
      </c>
      <c r="D650" t="s">
        <v>9451</v>
      </c>
      <c r="E650" t="s">
        <v>421</v>
      </c>
      <c r="F650" t="s">
        <v>9453</v>
      </c>
      <c r="G650">
        <v>4</v>
      </c>
      <c r="H650" t="s">
        <v>9333</v>
      </c>
      <c r="I650" s="871">
        <v>46293.93683766204</v>
      </c>
      <c r="J650" t="s">
        <v>9524</v>
      </c>
      <c r="K650" s="975" t="str">
        <f>IF(COUNTIFS(tblControles[Clave],tblControles[[#This Row],[Clave]])&gt;1,"Duplicado","")</f>
        <v/>
      </c>
    </row>
    <row r="651" spans="2:11">
      <c r="B651" s="975" t="str">
        <f>tblControles[[#This Row],[Fecha]]&amp;"|"&amp;tblControles[[#This Row],[Módulo]]&amp;"|"&amp;tblControles[[#This Row],[Ítem]]&amp;"|"&amp;tblControles[[#This Row],[Turno]]</f>
        <v>46272|AGREGADO MEDIOS|CONOS 40X50 BM3|Cantidad</v>
      </c>
      <c r="C651" s="871">
        <v>46272</v>
      </c>
      <c r="D651" t="s">
        <v>9451</v>
      </c>
      <c r="E651" t="s">
        <v>422</v>
      </c>
      <c r="F651" t="s">
        <v>9453</v>
      </c>
      <c r="G651">
        <v>0</v>
      </c>
      <c r="H651" t="s">
        <v>9333</v>
      </c>
      <c r="I651" s="871">
        <v>46293.93683766204</v>
      </c>
      <c r="J651" t="s">
        <v>9524</v>
      </c>
      <c r="K651" s="975" t="str">
        <f>IF(COUNTIFS(tblControles[Clave],tblControles[[#This Row],[Clave]])&gt;1,"Duplicado","")</f>
        <v/>
      </c>
    </row>
    <row r="652" spans="2:11">
      <c r="B652" s="975" t="str">
        <f>tblControles[[#This Row],[Fecha]]&amp;"|"&amp;tblControles[[#This Row],[Módulo]]&amp;"|"&amp;tblControles[[#This Row],[Ítem]]&amp;"|"&amp;tblControles[[#This Row],[Turno]]</f>
        <v>46272|AGREGADO MEDIOS|CONOS 40X50 BM4|Cantidad</v>
      </c>
      <c r="C652" s="871">
        <v>46272</v>
      </c>
      <c r="D652" t="s">
        <v>9451</v>
      </c>
      <c r="E652" t="s">
        <v>423</v>
      </c>
      <c r="F652" t="s">
        <v>9453</v>
      </c>
      <c r="G652">
        <v>0</v>
      </c>
      <c r="H652" t="s">
        <v>9333</v>
      </c>
      <c r="I652" s="871">
        <v>46293.93683766204</v>
      </c>
      <c r="J652" t="s">
        <v>9524</v>
      </c>
      <c r="K652" s="975" t="str">
        <f>IF(COUNTIFS(tblControles[Clave],tblControles[[#This Row],[Clave]])&gt;1,"Duplicado","")</f>
        <v/>
      </c>
    </row>
    <row r="653" spans="2:11">
      <c r="B653" s="975" t="str">
        <f>tblControles[[#This Row],[Fecha]]&amp;"|"&amp;tblControles[[#This Row],[Módulo]]&amp;"|"&amp;tblControles[[#This Row],[Ítem]]&amp;"|"&amp;tblControles[[#This Row],[Turno]]</f>
        <v>46272|AGREGADO MEDIOS|CONOS 30X35 BM5|Cantidad</v>
      </c>
      <c r="C653" s="871">
        <v>46272</v>
      </c>
      <c r="D653" t="s">
        <v>9451</v>
      </c>
      <c r="E653" t="s">
        <v>424</v>
      </c>
      <c r="F653" t="s">
        <v>9453</v>
      </c>
      <c r="G653">
        <v>0</v>
      </c>
      <c r="H653" t="s">
        <v>9333</v>
      </c>
      <c r="I653" s="871">
        <v>46293.93683766204</v>
      </c>
      <c r="J653" t="s">
        <v>9524</v>
      </c>
      <c r="K653" s="975" t="str">
        <f>IF(COUNTIFS(tblControles[Clave],tblControles[[#This Row],[Clave]])&gt;1,"Duplicado","")</f>
        <v/>
      </c>
    </row>
    <row r="654" spans="2:11">
      <c r="B654" s="975" t="str">
        <f>tblControles[[#This Row],[Fecha]]&amp;"|"&amp;tblControles[[#This Row],[Módulo]]&amp;"|"&amp;tblControles[[#This Row],[Ítem]]&amp;"|"&amp;tblControles[[#This Row],[Turno]]</f>
        <v>46272|AGREGADO MEDIOS|CONOS 40X50 BM6|Cantidad</v>
      </c>
      <c r="C654" s="871">
        <v>46272</v>
      </c>
      <c r="D654" t="s">
        <v>9451</v>
      </c>
      <c r="E654" t="s">
        <v>425</v>
      </c>
      <c r="F654" t="s">
        <v>9453</v>
      </c>
      <c r="G654">
        <v>2</v>
      </c>
      <c r="H654" t="s">
        <v>9333</v>
      </c>
      <c r="I654" s="871">
        <v>46293.93683766204</v>
      </c>
      <c r="J654" t="s">
        <v>9524</v>
      </c>
      <c r="K654" s="975" t="str">
        <f>IF(COUNTIFS(tblControles[Clave],tblControles[[#This Row],[Clave]])&gt;1,"Duplicado","")</f>
        <v/>
      </c>
    </row>
    <row r="655" spans="2:11">
      <c r="B655" s="975" t="str">
        <f>tblControles[[#This Row],[Fecha]]&amp;"|"&amp;tblControles[[#This Row],[Módulo]]&amp;"|"&amp;tblControles[[#This Row],[Ítem]]&amp;"|"&amp;tblControles[[#This Row],[Turno]]</f>
        <v>46272|AGREGADO MEDIOS|CONOS 40X50 BM7|Cantidad</v>
      </c>
      <c r="C655" s="871">
        <v>46272</v>
      </c>
      <c r="D655" t="s">
        <v>9451</v>
      </c>
      <c r="E655" t="s">
        <v>426</v>
      </c>
      <c r="F655" t="s">
        <v>9453</v>
      </c>
      <c r="G655">
        <v>4</v>
      </c>
      <c r="H655" t="s">
        <v>9333</v>
      </c>
      <c r="I655" s="871">
        <v>46293.93683766204</v>
      </c>
      <c r="J655" t="s">
        <v>9524</v>
      </c>
      <c r="K655" s="975" t="str">
        <f>IF(COUNTIFS(tblControles[Clave],tblControles[[#This Row],[Clave]])&gt;1,"Duplicado","")</f>
        <v/>
      </c>
    </row>
    <row r="656" spans="2:11">
      <c r="B656" s="975" t="str">
        <f>tblControles[[#This Row],[Fecha]]&amp;"|"&amp;tblControles[[#This Row],[Módulo]]&amp;"|"&amp;tblControles[[#This Row],[Ítem]]&amp;"|"&amp;tblControles[[#This Row],[Turno]]</f>
        <v>46272|AGREGADO MEDIOS|CONOS 40X50|Cantidad</v>
      </c>
      <c r="C656" s="871">
        <v>46272</v>
      </c>
      <c r="D656" t="s">
        <v>9451</v>
      </c>
      <c r="E656" t="s">
        <v>427</v>
      </c>
      <c r="F656" t="s">
        <v>9453</v>
      </c>
      <c r="G656">
        <v>4</v>
      </c>
      <c r="H656" t="s">
        <v>9333</v>
      </c>
      <c r="I656" s="871">
        <v>46293.93683766204</v>
      </c>
      <c r="J656" t="s">
        <v>9524</v>
      </c>
      <c r="K656" s="975" t="str">
        <f>IF(COUNTIFS(tblControles[Clave],tblControles[[#This Row],[Clave]])&gt;1,"Duplicado","")</f>
        <v/>
      </c>
    </row>
    <row r="657" spans="2:11">
      <c r="B657" s="975" t="str">
        <f>tblControles[[#This Row],[Fecha]]&amp;"|"&amp;tblControles[[#This Row],[Módulo]]&amp;"|"&amp;tblControles[[#This Row],[Ítem]]&amp;"|"&amp;tblControles[[#This Row],[Turno]]</f>
        <v>46272|AGREGADO MEDIOS|CONOS 30X35|Cantidad</v>
      </c>
      <c r="C657" s="871">
        <v>46272</v>
      </c>
      <c r="D657" t="s">
        <v>9451</v>
      </c>
      <c r="E657" t="s">
        <v>428</v>
      </c>
      <c r="F657" t="s">
        <v>9453</v>
      </c>
      <c r="G657">
        <v>10</v>
      </c>
      <c r="H657" t="s">
        <v>9333</v>
      </c>
      <c r="I657" s="871">
        <v>46293.93683766204</v>
      </c>
      <c r="J657" t="s">
        <v>9524</v>
      </c>
      <c r="K657" s="975" t="str">
        <f>IF(COUNTIFS(tblControles[Clave],tblControles[[#This Row],[Clave]])&gt;1,"Duplicado","")</f>
        <v/>
      </c>
    </row>
    <row r="658" spans="2:11">
      <c r="B658" s="975" t="str">
        <f>tblControles[[#This Row],[Fecha]]&amp;"|"&amp;tblControles[[#This Row],[Módulo]]&amp;"|"&amp;tblControles[[#This Row],[Ítem]]&amp;"|"&amp;tblControles[[#This Row],[Turno]]</f>
        <v>46272|AGREGADO MEDIOS|BOLAS BM8|Cantidad</v>
      </c>
      <c r="C658" s="871">
        <v>46272</v>
      </c>
      <c r="D658" t="s">
        <v>9451</v>
      </c>
      <c r="E658" t="s">
        <v>429</v>
      </c>
      <c r="F658" t="s">
        <v>9453</v>
      </c>
      <c r="G658">
        <v>0</v>
      </c>
      <c r="H658" t="s">
        <v>9333</v>
      </c>
      <c r="I658" s="871">
        <v>46293.93683766204</v>
      </c>
      <c r="J658" t="s">
        <v>9524</v>
      </c>
      <c r="K658" s="975" t="str">
        <f>IF(COUNTIFS(tblControles[Clave],tblControles[[#This Row],[Clave]])&gt;1,"Duplicado","")</f>
        <v/>
      </c>
    </row>
    <row r="659" spans="2:11">
      <c r="B659" s="975" t="str">
        <f>tblControles[[#This Row],[Fecha]]&amp;"|"&amp;tblControles[[#This Row],[Módulo]]&amp;"|"&amp;tblControles[[#This Row],[Ítem]]&amp;"|"&amp;tblControles[[#This Row],[Turno]]</f>
        <v>46272|AGREGADO MEDIOS|BOLAS BM9|Cantidad</v>
      </c>
      <c r="C659" s="871">
        <v>46272</v>
      </c>
      <c r="D659" t="s">
        <v>9451</v>
      </c>
      <c r="E659" t="s">
        <v>430</v>
      </c>
      <c r="F659" t="s">
        <v>9453</v>
      </c>
      <c r="G659">
        <v>4</v>
      </c>
      <c r="H659" t="s">
        <v>9333</v>
      </c>
      <c r="I659" s="871">
        <v>46293.93683766204</v>
      </c>
      <c r="J659" t="s">
        <v>9524</v>
      </c>
      <c r="K659" s="975" t="str">
        <f>IF(COUNTIFS(tblControles[Clave],tblControles[[#This Row],[Clave]])&gt;1,"Duplicado","")</f>
        <v/>
      </c>
    </row>
    <row r="660" spans="2:11">
      <c r="B660" s="975" t="str">
        <f>tblControles[[#This Row],[Fecha]]&amp;"|"&amp;tblControles[[#This Row],[Módulo]]&amp;"|"&amp;tblControles[[#This Row],[Ítem]]&amp;"|"&amp;tblControles[[#This Row],[Turno]]</f>
        <v>46272|AGREGADO MEDIOS|BOLAS BM10|Cantidad</v>
      </c>
      <c r="C660" s="871">
        <v>46272</v>
      </c>
      <c r="D660" t="s">
        <v>9451</v>
      </c>
      <c r="E660" t="s">
        <v>431</v>
      </c>
      <c r="F660" t="s">
        <v>9453</v>
      </c>
      <c r="G660">
        <v>0</v>
      </c>
      <c r="H660" t="s">
        <v>9333</v>
      </c>
      <c r="I660" s="871">
        <v>46293.93683766204</v>
      </c>
      <c r="J660" t="s">
        <v>9524</v>
      </c>
      <c r="K660" s="975" t="str">
        <f>IF(COUNTIFS(tblControles[Clave],tblControles[[#This Row],[Clave]])&gt;1,"Duplicado","")</f>
        <v/>
      </c>
    </row>
    <row r="661" spans="2:11">
      <c r="B661" s="975" t="str">
        <f>tblControles[[#This Row],[Fecha]]&amp;"|"&amp;tblControles[[#This Row],[Módulo]]&amp;"|"&amp;tblControles[[#This Row],[Ítem]]&amp;"|"&amp;tblControles[[#This Row],[Turno]]</f>
        <v>46272|AGREGADO MEDIOS|BOLAS ALTO CROM|Cantidad</v>
      </c>
      <c r="C661" s="871">
        <v>46272</v>
      </c>
      <c r="D661" t="s">
        <v>9451</v>
      </c>
      <c r="E661" t="s">
        <v>432</v>
      </c>
      <c r="F661" t="s">
        <v>9453</v>
      </c>
      <c r="G661">
        <v>4</v>
      </c>
      <c r="H661" t="s">
        <v>9333</v>
      </c>
      <c r="I661" s="871">
        <v>46293.93683766204</v>
      </c>
      <c r="J661" t="s">
        <v>9524</v>
      </c>
      <c r="K661" s="975" t="str">
        <f>IF(COUNTIFS(tblControles[Clave],tblControles[[#This Row],[Clave]])&gt;1,"Duplicado","")</f>
        <v/>
      </c>
    </row>
    <row r="662" spans="2:11">
      <c r="B662" s="975" t="str">
        <f>tblControles[[#This Row],[Fecha]]&amp;"|"&amp;tblControles[[#This Row],[Módulo]]&amp;"|"&amp;tblControles[[#This Row],[Ítem]]&amp;"|"&amp;tblControles[[#This Row],[Turno]]</f>
        <v>46272|REACTIVOS|Ácido oxálico|Turno día (12 h)</v>
      </c>
      <c r="C662" s="871">
        <v>46272</v>
      </c>
      <c r="D662" t="s">
        <v>9444</v>
      </c>
      <c r="E662" t="s">
        <v>9508</v>
      </c>
      <c r="F662" t="s">
        <v>9446</v>
      </c>
      <c r="G662">
        <v>14000</v>
      </c>
      <c r="H662" t="s">
        <v>9333</v>
      </c>
      <c r="I662" s="871">
        <v>46293.93683766204</v>
      </c>
      <c r="J662" t="s">
        <v>9527</v>
      </c>
      <c r="K662" s="975" t="str">
        <f>IF(COUNTIFS(tblControles[Clave],tblControles[[#This Row],[Clave]])&gt;1,"Duplicado","")</f>
        <v/>
      </c>
    </row>
    <row r="663" spans="2:11">
      <c r="B663" s="975" t="str">
        <f>tblControles[[#This Row],[Fecha]]&amp;"|"&amp;tblControles[[#This Row],[Módulo]]&amp;"|"&amp;tblControles[[#This Row],[Ítem]]&amp;"|"&amp;tblControles[[#This Row],[Turno]]</f>
        <v>46272|REACTIVOS|Ácido oxálico|Turno noche (12 h)</v>
      </c>
      <c r="C663" s="871">
        <v>46272</v>
      </c>
      <c r="D663" t="s">
        <v>9444</v>
      </c>
      <c r="E663" t="s">
        <v>9508</v>
      </c>
      <c r="F663" t="s">
        <v>9447</v>
      </c>
      <c r="G663">
        <v>18000</v>
      </c>
      <c r="H663" t="s">
        <v>9333</v>
      </c>
      <c r="I663" s="871">
        <v>46293.93683766204</v>
      </c>
      <c r="J663" t="s">
        <v>9527</v>
      </c>
      <c r="K663" s="975" t="str">
        <f>IF(COUNTIFS(tblControles[Clave],tblControles[[#This Row],[Clave]])&gt;1,"Duplicado","")</f>
        <v/>
      </c>
    </row>
    <row r="664" spans="2:11">
      <c r="B664" s="975" t="str">
        <f>tblControles[[#This Row],[Fecha]]&amp;"|"&amp;tblControles[[#This Row],[Módulo]]&amp;"|"&amp;tblControles[[#This Row],[Ítem]]&amp;"|"&amp;tblControles[[#This Row],[Turno]]</f>
        <v>46272|REACTIVOS|Xantato|Turno día (12 h)</v>
      </c>
      <c r="C664" s="871">
        <v>46272</v>
      </c>
      <c r="D664" t="s">
        <v>9444</v>
      </c>
      <c r="E664" t="s">
        <v>9511</v>
      </c>
      <c r="F664" t="s">
        <v>9446</v>
      </c>
      <c r="G664">
        <v>2550</v>
      </c>
      <c r="H664" t="s">
        <v>9333</v>
      </c>
      <c r="I664" s="871">
        <v>46293.93683766204</v>
      </c>
      <c r="J664" t="s">
        <v>9527</v>
      </c>
      <c r="K664" s="975" t="str">
        <f>IF(COUNTIFS(tblControles[Clave],tblControles[[#This Row],[Clave]])&gt;1,"Duplicado","")</f>
        <v/>
      </c>
    </row>
    <row r="665" spans="2:11">
      <c r="B665" s="975" t="str">
        <f>tblControles[[#This Row],[Fecha]]&amp;"|"&amp;tblControles[[#This Row],[Módulo]]&amp;"|"&amp;tblControles[[#This Row],[Ítem]]&amp;"|"&amp;tblControles[[#This Row],[Turno]]</f>
        <v>46272|REACTIVOS|Xantato|Turno noche (12 h)</v>
      </c>
      <c r="C665" s="871">
        <v>46272</v>
      </c>
      <c r="D665" t="s">
        <v>9444</v>
      </c>
      <c r="E665" t="s">
        <v>9511</v>
      </c>
      <c r="F665" t="s">
        <v>9447</v>
      </c>
      <c r="G665">
        <v>3850</v>
      </c>
      <c r="H665" t="s">
        <v>9333</v>
      </c>
      <c r="I665" s="871">
        <v>46293.93683766204</v>
      </c>
      <c r="J665" t="s">
        <v>9527</v>
      </c>
      <c r="K665" s="975" t="str">
        <f>IF(COUNTIFS(tblControles[Clave],tblControles[[#This Row],[Clave]])&gt;1,"Duplicado","")</f>
        <v/>
      </c>
    </row>
    <row r="666" spans="2:11">
      <c r="B666" s="975" t="str">
        <f>tblControles[[#This Row],[Fecha]]&amp;"|"&amp;tblControles[[#This Row],[Módulo]]&amp;"|"&amp;tblControles[[#This Row],[Ítem]]&amp;"|"&amp;tblControles[[#This Row],[Turno]]</f>
        <v>46272|REACTIVOS|Espumante|Consumo día</v>
      </c>
      <c r="C666" s="871">
        <v>46272</v>
      </c>
      <c r="D666" t="s">
        <v>9444</v>
      </c>
      <c r="E666" t="s">
        <v>9513</v>
      </c>
      <c r="F666" t="s">
        <v>9870</v>
      </c>
      <c r="G666">
        <v>2000</v>
      </c>
      <c r="H666" t="s">
        <v>9333</v>
      </c>
      <c r="I666" s="871">
        <v>46293.93683766204</v>
      </c>
      <c r="J666" t="s">
        <v>9527</v>
      </c>
      <c r="K666" s="975" t="str">
        <f>IF(COUNTIFS(tblControles[Clave],tblControles[[#This Row],[Clave]])&gt;1,"Duplicado","")</f>
        <v/>
      </c>
    </row>
    <row r="667" spans="2:11">
      <c r="B667" s="975" t="str">
        <f>tblControles[[#This Row],[Fecha]]&amp;"|"&amp;tblControles[[#This Row],[Módulo]]&amp;"|"&amp;tblControles[[#This Row],[Ítem]]&amp;"|"&amp;tblControles[[#This Row],[Turno]]</f>
        <v>46272|TONELADAS X TURNO|Molino barras 1|1° turno</v>
      </c>
      <c r="C667" s="871">
        <v>46272</v>
      </c>
      <c r="D667" t="s">
        <v>9449</v>
      </c>
      <c r="E667" t="s">
        <v>387</v>
      </c>
      <c r="F667" t="s">
        <v>396</v>
      </c>
      <c r="G667">
        <v>1782</v>
      </c>
      <c r="H667" t="s">
        <v>9333</v>
      </c>
      <c r="I667" s="871">
        <v>46293.93683766204</v>
      </c>
      <c r="J667" t="s">
        <v>9528</v>
      </c>
      <c r="K667" s="975" t="str">
        <f>IF(COUNTIFS(tblControles[Clave],tblControles[[#This Row],[Clave]])&gt;1,"Duplicado","")</f>
        <v/>
      </c>
    </row>
    <row r="668" spans="2:11">
      <c r="B668" s="975" t="str">
        <f>tblControles[[#This Row],[Fecha]]&amp;"|"&amp;tblControles[[#This Row],[Módulo]]&amp;"|"&amp;tblControles[[#This Row],[Ítem]]&amp;"|"&amp;tblControles[[#This Row],[Turno]]</f>
        <v>46272|TONELADAS X TURNO|Molino barras 1|2° turno</v>
      </c>
      <c r="C668" s="871">
        <v>46272</v>
      </c>
      <c r="D668" t="s">
        <v>9449</v>
      </c>
      <c r="E668" t="s">
        <v>387</v>
      </c>
      <c r="F668" t="s">
        <v>397</v>
      </c>
      <c r="G668">
        <v>1317</v>
      </c>
      <c r="H668" t="s">
        <v>9333</v>
      </c>
      <c r="I668" s="871">
        <v>46293.93683766204</v>
      </c>
      <c r="J668" t="s">
        <v>9528</v>
      </c>
      <c r="K668" s="975" t="str">
        <f>IF(COUNTIFS(tblControles[Clave],tblControles[[#This Row],[Clave]])&gt;1,"Duplicado","")</f>
        <v/>
      </c>
    </row>
    <row r="669" spans="2:11">
      <c r="B669" s="975" t="str">
        <f>tblControles[[#This Row],[Fecha]]&amp;"|"&amp;tblControles[[#This Row],[Módulo]]&amp;"|"&amp;tblControles[[#This Row],[Ítem]]&amp;"|"&amp;tblControles[[#This Row],[Turno]]</f>
        <v>46272|TONELADAS X TURNO|Molino barras 1|3° turno</v>
      </c>
      <c r="C669" s="871">
        <v>46272</v>
      </c>
      <c r="D669" t="s">
        <v>9449</v>
      </c>
      <c r="E669" t="s">
        <v>387</v>
      </c>
      <c r="F669" t="s">
        <v>398</v>
      </c>
      <c r="G669">
        <v>1551</v>
      </c>
      <c r="H669" t="s">
        <v>9333</v>
      </c>
      <c r="I669" s="871">
        <v>46293.93683766204</v>
      </c>
      <c r="J669" t="s">
        <v>9528</v>
      </c>
      <c r="K669" s="975" t="str">
        <f>IF(COUNTIFS(tblControles[Clave],tblControles[[#This Row],[Clave]])&gt;1,"Duplicado","")</f>
        <v/>
      </c>
    </row>
    <row r="670" spans="2:11">
      <c r="B670" s="975" t="str">
        <f>tblControles[[#This Row],[Fecha]]&amp;"|"&amp;tblControles[[#This Row],[Módulo]]&amp;"|"&amp;tblControles[[#This Row],[Ítem]]&amp;"|"&amp;tblControles[[#This Row],[Turno]]</f>
        <v>46272|TONELADAS X TURNO|Molino barras 2|1° turno</v>
      </c>
      <c r="C670" s="871">
        <v>46272</v>
      </c>
      <c r="D670" t="s">
        <v>9449</v>
      </c>
      <c r="E670" t="s">
        <v>388</v>
      </c>
      <c r="F670" t="s">
        <v>396</v>
      </c>
      <c r="G670">
        <v>1917</v>
      </c>
      <c r="H670" t="s">
        <v>9333</v>
      </c>
      <c r="I670" s="871">
        <v>46293.93683766204</v>
      </c>
      <c r="J670" t="s">
        <v>9528</v>
      </c>
      <c r="K670" s="975" t="str">
        <f>IF(COUNTIFS(tblControles[Clave],tblControles[[#This Row],[Clave]])&gt;1,"Duplicado","")</f>
        <v/>
      </c>
    </row>
    <row r="671" spans="2:11">
      <c r="B671" s="975" t="str">
        <f>tblControles[[#This Row],[Fecha]]&amp;"|"&amp;tblControles[[#This Row],[Módulo]]&amp;"|"&amp;tblControles[[#This Row],[Ítem]]&amp;"|"&amp;tblControles[[#This Row],[Turno]]</f>
        <v>46272|TONELADAS X TURNO|Molino barras 2|2° turno</v>
      </c>
      <c r="C671" s="871">
        <v>46272</v>
      </c>
      <c r="D671" t="s">
        <v>9449</v>
      </c>
      <c r="E671" t="s">
        <v>388</v>
      </c>
      <c r="F671" t="s">
        <v>397</v>
      </c>
      <c r="G671">
        <v>1283</v>
      </c>
      <c r="H671" t="s">
        <v>9333</v>
      </c>
      <c r="I671" s="871">
        <v>46293.93683766204</v>
      </c>
      <c r="J671" t="s">
        <v>9528</v>
      </c>
      <c r="K671" s="975" t="str">
        <f>IF(COUNTIFS(tblControles[Clave],tblControles[[#This Row],[Clave]])&gt;1,"Duplicado","")</f>
        <v/>
      </c>
    </row>
    <row r="672" spans="2:11">
      <c r="B672" s="975" t="str">
        <f>tblControles[[#This Row],[Fecha]]&amp;"|"&amp;tblControles[[#This Row],[Módulo]]&amp;"|"&amp;tblControles[[#This Row],[Ítem]]&amp;"|"&amp;tblControles[[#This Row],[Turno]]</f>
        <v>46272|TONELADAS X TURNO|Molino barras 2|3° turno</v>
      </c>
      <c r="C672" s="871">
        <v>46272</v>
      </c>
      <c r="D672" t="s">
        <v>9449</v>
      </c>
      <c r="E672" t="s">
        <v>388</v>
      </c>
      <c r="F672" t="s">
        <v>398</v>
      </c>
      <c r="G672">
        <v>1444</v>
      </c>
      <c r="H672" t="s">
        <v>9333</v>
      </c>
      <c r="I672" s="871">
        <v>46293.93683766204</v>
      </c>
      <c r="J672" t="s">
        <v>9528</v>
      </c>
      <c r="K672" s="975" t="str">
        <f>IF(COUNTIFS(tblControles[Clave],tblControles[[#This Row],[Clave]])&gt;1,"Duplicado","")</f>
        <v/>
      </c>
    </row>
    <row r="673" spans="2:11">
      <c r="B673" s="975" t="str">
        <f>tblControles[[#This Row],[Fecha]]&amp;"|"&amp;tblControles[[#This Row],[Módulo]]&amp;"|"&amp;tblControles[[#This Row],[Ítem]]&amp;"|"&amp;tblControles[[#This Row],[Turno]]</f>
        <v>46272|TONELADAS X TURNO|Molino barras 3|1° turno</v>
      </c>
      <c r="C673" s="871">
        <v>46272</v>
      </c>
      <c r="D673" t="s">
        <v>9449</v>
      </c>
      <c r="E673" t="s">
        <v>389</v>
      </c>
      <c r="F673" t="s">
        <v>396</v>
      </c>
      <c r="G673">
        <v>1393</v>
      </c>
      <c r="H673" t="s">
        <v>9333</v>
      </c>
      <c r="I673" s="871">
        <v>46293.93683766204</v>
      </c>
      <c r="J673" t="s">
        <v>9528</v>
      </c>
      <c r="K673" s="975" t="str">
        <f>IF(COUNTIFS(tblControles[Clave],tblControles[[#This Row],[Clave]])&gt;1,"Duplicado","")</f>
        <v/>
      </c>
    </row>
    <row r="674" spans="2:11">
      <c r="B674" s="975" t="str">
        <f>tblControles[[#This Row],[Fecha]]&amp;"|"&amp;tblControles[[#This Row],[Módulo]]&amp;"|"&amp;tblControles[[#This Row],[Ítem]]&amp;"|"&amp;tblControles[[#This Row],[Turno]]</f>
        <v>46272|TONELADAS X TURNO|Molino barras 3|2° turno</v>
      </c>
      <c r="C674" s="871">
        <v>46272</v>
      </c>
      <c r="D674" t="s">
        <v>9449</v>
      </c>
      <c r="E674" t="s">
        <v>389</v>
      </c>
      <c r="F674" t="s">
        <v>397</v>
      </c>
      <c r="G674">
        <v>1210</v>
      </c>
      <c r="H674" t="s">
        <v>9333</v>
      </c>
      <c r="I674" s="871">
        <v>46293.93683766204</v>
      </c>
      <c r="J674" t="s">
        <v>9528</v>
      </c>
      <c r="K674" s="975" t="str">
        <f>IF(COUNTIFS(tblControles[Clave],tblControles[[#This Row],[Clave]])&gt;1,"Duplicado","")</f>
        <v/>
      </c>
    </row>
    <row r="675" spans="2:11">
      <c r="B675" s="975" t="str">
        <f>tblControles[[#This Row],[Fecha]]&amp;"|"&amp;tblControles[[#This Row],[Módulo]]&amp;"|"&amp;tblControles[[#This Row],[Ítem]]&amp;"|"&amp;tblControles[[#This Row],[Turno]]</f>
        <v>46272|TONELADAS X TURNO|Molino barras 3|3° turno</v>
      </c>
      <c r="C675" s="871">
        <v>46272</v>
      </c>
      <c r="D675" t="s">
        <v>9449</v>
      </c>
      <c r="E675" t="s">
        <v>389</v>
      </c>
      <c r="F675" t="s">
        <v>398</v>
      </c>
      <c r="G675">
        <v>826</v>
      </c>
      <c r="H675" t="s">
        <v>9333</v>
      </c>
      <c r="I675" s="871">
        <v>46293.93683766204</v>
      </c>
      <c r="J675" t="s">
        <v>9528</v>
      </c>
      <c r="K675" s="975" t="str">
        <f>IF(COUNTIFS(tblControles[Clave],tblControles[[#This Row],[Clave]])&gt;1,"Duplicado","")</f>
        <v/>
      </c>
    </row>
    <row r="676" spans="2:11">
      <c r="B676" s="975" t="str">
        <f>tblControles[[#This Row],[Fecha]]&amp;"|"&amp;tblControles[[#This Row],[Módulo]]&amp;"|"&amp;tblControles[[#This Row],[Ítem]]&amp;"|"&amp;tblControles[[#This Row],[Turno]]</f>
        <v>46272|TONELADAS X TURNO|Molino barras 4|1° turno</v>
      </c>
      <c r="C676" s="871">
        <v>46272</v>
      </c>
      <c r="D676" t="s">
        <v>9449</v>
      </c>
      <c r="E676" t="s">
        <v>390</v>
      </c>
      <c r="F676" t="s">
        <v>396</v>
      </c>
      <c r="G676">
        <v>0</v>
      </c>
      <c r="H676" t="s">
        <v>9333</v>
      </c>
      <c r="I676" s="871">
        <v>46293.93683766204</v>
      </c>
      <c r="J676" t="s">
        <v>9528</v>
      </c>
      <c r="K676" s="975" t="str">
        <f>IF(COUNTIFS(tblControles[Clave],tblControles[[#This Row],[Clave]])&gt;1,"Duplicado","")</f>
        <v/>
      </c>
    </row>
    <row r="677" spans="2:11">
      <c r="B677" s="975" t="str">
        <f>tblControles[[#This Row],[Fecha]]&amp;"|"&amp;tblControles[[#This Row],[Módulo]]&amp;"|"&amp;tblControles[[#This Row],[Ítem]]&amp;"|"&amp;tblControles[[#This Row],[Turno]]</f>
        <v>46272|TONELADAS X TURNO|Molino barras 4|2° turno</v>
      </c>
      <c r="C677" s="871">
        <v>46272</v>
      </c>
      <c r="D677" t="s">
        <v>9449</v>
      </c>
      <c r="E677" t="s">
        <v>390</v>
      </c>
      <c r="F677" t="s">
        <v>397</v>
      </c>
      <c r="G677">
        <v>0</v>
      </c>
      <c r="H677" t="s">
        <v>9333</v>
      </c>
      <c r="I677" s="871">
        <v>46293.93683766204</v>
      </c>
      <c r="J677" t="s">
        <v>9528</v>
      </c>
      <c r="K677" s="975" t="str">
        <f>IF(COUNTIFS(tblControles[Clave],tblControles[[#This Row],[Clave]])&gt;1,"Duplicado","")</f>
        <v/>
      </c>
    </row>
    <row r="678" spans="2:11">
      <c r="B678" s="975" t="str">
        <f>tblControles[[#This Row],[Fecha]]&amp;"|"&amp;tblControles[[#This Row],[Módulo]]&amp;"|"&amp;tblControles[[#This Row],[Ítem]]&amp;"|"&amp;tblControles[[#This Row],[Turno]]</f>
        <v>46272|TONELADAS X TURNO|Molino barras 4|3° turno</v>
      </c>
      <c r="C678" s="871">
        <v>46272</v>
      </c>
      <c r="D678" t="s">
        <v>9449</v>
      </c>
      <c r="E678" t="s">
        <v>390</v>
      </c>
      <c r="F678" t="s">
        <v>398</v>
      </c>
      <c r="G678">
        <v>0</v>
      </c>
      <c r="H678" t="s">
        <v>9333</v>
      </c>
      <c r="I678" s="871">
        <v>46293.93683766204</v>
      </c>
      <c r="J678" t="s">
        <v>9528</v>
      </c>
      <c r="K678" s="975" t="str">
        <f>IF(COUNTIFS(tblControles[Clave],tblControles[[#This Row],[Clave]])&gt;1,"Duplicado","")</f>
        <v/>
      </c>
    </row>
    <row r="679" spans="2:11">
      <c r="B679" s="975" t="str">
        <f>tblControles[[#This Row],[Fecha]]&amp;"|"&amp;tblControles[[#This Row],[Módulo]]&amp;"|"&amp;tblControles[[#This Row],[Ítem]]&amp;"|"&amp;tblControles[[#This Row],[Turno]]</f>
        <v>46272|TONELADAS X TURNO|Molino barras 5|1° turno</v>
      </c>
      <c r="C679" s="871">
        <v>46272</v>
      </c>
      <c r="D679" t="s">
        <v>9449</v>
      </c>
      <c r="E679" t="s">
        <v>391</v>
      </c>
      <c r="F679" t="s">
        <v>396</v>
      </c>
      <c r="G679">
        <v>420</v>
      </c>
      <c r="H679" t="s">
        <v>9333</v>
      </c>
      <c r="I679" s="871">
        <v>46293.93683766204</v>
      </c>
      <c r="J679" t="s">
        <v>9528</v>
      </c>
      <c r="K679" s="975" t="str">
        <f>IF(COUNTIFS(tblControles[Clave],tblControles[[#This Row],[Clave]])&gt;1,"Duplicado","")</f>
        <v/>
      </c>
    </row>
    <row r="680" spans="2:11">
      <c r="B680" s="975" t="str">
        <f>tblControles[[#This Row],[Fecha]]&amp;"|"&amp;tblControles[[#This Row],[Módulo]]&amp;"|"&amp;tblControles[[#This Row],[Ítem]]&amp;"|"&amp;tblControles[[#This Row],[Turno]]</f>
        <v>46272|TONELADAS X TURNO|Molino barras 5|2° turno</v>
      </c>
      <c r="C680" s="871">
        <v>46272</v>
      </c>
      <c r="D680" t="s">
        <v>9449</v>
      </c>
      <c r="E680" t="s">
        <v>391</v>
      </c>
      <c r="F680" t="s">
        <v>397</v>
      </c>
      <c r="G680">
        <v>0</v>
      </c>
      <c r="H680" t="s">
        <v>9333</v>
      </c>
      <c r="I680" s="871">
        <v>46293.93683766204</v>
      </c>
      <c r="J680" t="s">
        <v>9528</v>
      </c>
      <c r="K680" s="975" t="str">
        <f>IF(COUNTIFS(tblControles[Clave],tblControles[[#This Row],[Clave]])&gt;1,"Duplicado","")</f>
        <v/>
      </c>
    </row>
    <row r="681" spans="2:11">
      <c r="B681" s="975" t="str">
        <f>tblControles[[#This Row],[Fecha]]&amp;"|"&amp;tblControles[[#This Row],[Módulo]]&amp;"|"&amp;tblControles[[#This Row],[Ítem]]&amp;"|"&amp;tblControles[[#This Row],[Turno]]</f>
        <v>46272|TONELADAS X TURNO|Molino barras 5|3° turno</v>
      </c>
      <c r="C681" s="871">
        <v>46272</v>
      </c>
      <c r="D681" t="s">
        <v>9449</v>
      </c>
      <c r="E681" t="s">
        <v>391</v>
      </c>
      <c r="F681" t="s">
        <v>398</v>
      </c>
      <c r="G681">
        <v>0</v>
      </c>
      <c r="H681" t="s">
        <v>9333</v>
      </c>
      <c r="I681" s="871">
        <v>46293.93683766204</v>
      </c>
      <c r="J681" t="s">
        <v>9528</v>
      </c>
      <c r="K681" s="975" t="str">
        <f>IF(COUNTIFS(tblControles[Clave],tblControles[[#This Row],[Clave]])&gt;1,"Duplicado","")</f>
        <v/>
      </c>
    </row>
    <row r="682" spans="2:11">
      <c r="B682" s="975" t="str">
        <f>tblControles[[#This Row],[Fecha]]&amp;"|"&amp;tblControles[[#This Row],[Módulo]]&amp;"|"&amp;tblControles[[#This Row],[Ítem]]&amp;"|"&amp;tblControles[[#This Row],[Turno]]</f>
        <v>46272|TONELADAS X TURNO|Molino barras 6|1° turno</v>
      </c>
      <c r="C682" s="871">
        <v>46272</v>
      </c>
      <c r="D682" t="s">
        <v>9449</v>
      </c>
      <c r="E682" t="s">
        <v>392</v>
      </c>
      <c r="F682" t="s">
        <v>396</v>
      </c>
      <c r="G682">
        <v>1668</v>
      </c>
      <c r="H682" t="s">
        <v>9333</v>
      </c>
      <c r="I682" s="871">
        <v>46293.93683766204</v>
      </c>
      <c r="J682" t="s">
        <v>9528</v>
      </c>
      <c r="K682" s="975" t="str">
        <f>IF(COUNTIFS(tblControles[Clave],tblControles[[#This Row],[Clave]])&gt;1,"Duplicado","")</f>
        <v/>
      </c>
    </row>
    <row r="683" spans="2:11">
      <c r="B683" s="975" t="str">
        <f>tblControles[[#This Row],[Fecha]]&amp;"|"&amp;tblControles[[#This Row],[Módulo]]&amp;"|"&amp;tblControles[[#This Row],[Ítem]]&amp;"|"&amp;tblControles[[#This Row],[Turno]]</f>
        <v>46272|TONELADAS X TURNO|Molino barras 6|2° turno</v>
      </c>
      <c r="C683" s="871">
        <v>46272</v>
      </c>
      <c r="D683" t="s">
        <v>9449</v>
      </c>
      <c r="E683" t="s">
        <v>392</v>
      </c>
      <c r="F683" t="s">
        <v>397</v>
      </c>
      <c r="G683">
        <v>1471</v>
      </c>
      <c r="H683" t="s">
        <v>9333</v>
      </c>
      <c r="I683" s="871">
        <v>46293.93683766204</v>
      </c>
      <c r="J683" t="s">
        <v>9528</v>
      </c>
      <c r="K683" s="975" t="str">
        <f>IF(COUNTIFS(tblControles[Clave],tblControles[[#This Row],[Clave]])&gt;1,"Duplicado","")</f>
        <v/>
      </c>
    </row>
    <row r="684" spans="2:11">
      <c r="B684" s="975" t="str">
        <f>tblControles[[#This Row],[Fecha]]&amp;"|"&amp;tblControles[[#This Row],[Módulo]]&amp;"|"&amp;tblControles[[#This Row],[Ítem]]&amp;"|"&amp;tblControles[[#This Row],[Turno]]</f>
        <v>46272|TONELADAS X TURNO|Molino barras 6|3° turno</v>
      </c>
      <c r="C684" s="871">
        <v>46272</v>
      </c>
      <c r="D684" t="s">
        <v>9449</v>
      </c>
      <c r="E684" t="s">
        <v>392</v>
      </c>
      <c r="F684" t="s">
        <v>398</v>
      </c>
      <c r="G684">
        <v>1519</v>
      </c>
      <c r="H684" t="s">
        <v>9333</v>
      </c>
      <c r="I684" s="871">
        <v>46293.93683766204</v>
      </c>
      <c r="J684" t="s">
        <v>9528</v>
      </c>
      <c r="K684" s="975" t="str">
        <f>IF(COUNTIFS(tblControles[Clave],tblControles[[#This Row],[Clave]])&gt;1,"Duplicado","")</f>
        <v/>
      </c>
    </row>
    <row r="685" spans="2:11">
      <c r="B685" s="975" t="str">
        <f>tblControles[[#This Row],[Fecha]]&amp;"|"&amp;tblControles[[#This Row],[Módulo]]&amp;"|"&amp;tblControles[[#This Row],[Ítem]]&amp;"|"&amp;tblControles[[#This Row],[Turno]]</f>
        <v>46272|TONELADAS X TURNO|Molino barras 7|1° turno</v>
      </c>
      <c r="C685" s="871">
        <v>46272</v>
      </c>
      <c r="D685" t="s">
        <v>9449</v>
      </c>
      <c r="E685" t="s">
        <v>393</v>
      </c>
      <c r="F685" t="s">
        <v>396</v>
      </c>
      <c r="G685">
        <v>1636</v>
      </c>
      <c r="H685" t="s">
        <v>9333</v>
      </c>
      <c r="I685" s="871">
        <v>46293.93683766204</v>
      </c>
      <c r="J685" t="s">
        <v>9528</v>
      </c>
      <c r="K685" s="975" t="str">
        <f>IF(COUNTIFS(tblControles[Clave],tblControles[[#This Row],[Clave]])&gt;1,"Duplicado","")</f>
        <v/>
      </c>
    </row>
    <row r="686" spans="2:11">
      <c r="B686" s="975" t="str">
        <f>tblControles[[#This Row],[Fecha]]&amp;"|"&amp;tblControles[[#This Row],[Módulo]]&amp;"|"&amp;tblControles[[#This Row],[Ítem]]&amp;"|"&amp;tblControles[[#This Row],[Turno]]</f>
        <v>46272|TONELADAS X TURNO|Molino barras 7|2° turno</v>
      </c>
      <c r="C686" s="871">
        <v>46272</v>
      </c>
      <c r="D686" t="s">
        <v>9449</v>
      </c>
      <c r="E686" t="s">
        <v>393</v>
      </c>
      <c r="F686" t="s">
        <v>397</v>
      </c>
      <c r="G686">
        <v>1413</v>
      </c>
      <c r="H686" t="s">
        <v>9333</v>
      </c>
      <c r="I686" s="871">
        <v>46293.93683766204</v>
      </c>
      <c r="J686" t="s">
        <v>9528</v>
      </c>
      <c r="K686" s="975" t="str">
        <f>IF(COUNTIFS(tblControles[Clave],tblControles[[#This Row],[Clave]])&gt;1,"Duplicado","")</f>
        <v/>
      </c>
    </row>
    <row r="687" spans="2:11">
      <c r="B687" s="975" t="str">
        <f>tblControles[[#This Row],[Fecha]]&amp;"|"&amp;tblControles[[#This Row],[Módulo]]&amp;"|"&amp;tblControles[[#This Row],[Ítem]]&amp;"|"&amp;tblControles[[#This Row],[Turno]]</f>
        <v>46272|TONELADAS X TURNO|Molino barras 7|3° turno</v>
      </c>
      <c r="C687" s="871">
        <v>46272</v>
      </c>
      <c r="D687" t="s">
        <v>9449</v>
      </c>
      <c r="E687" t="s">
        <v>393</v>
      </c>
      <c r="F687" t="s">
        <v>398</v>
      </c>
      <c r="G687">
        <v>1577</v>
      </c>
      <c r="H687" t="s">
        <v>9333</v>
      </c>
      <c r="I687" s="871">
        <v>46293.93683766204</v>
      </c>
      <c r="J687" t="s">
        <v>9528</v>
      </c>
      <c r="K687" s="975" t="str">
        <f>IF(COUNTIFS(tblControles[Clave],tblControles[[#This Row],[Clave]])&gt;1,"Duplicado","")</f>
        <v/>
      </c>
    </row>
    <row r="688" spans="2:11">
      <c r="B688" s="975" t="str">
        <f>tblControles[[#This Row],[Fecha]]&amp;"|"&amp;tblControles[[#This Row],[Módulo]]&amp;"|"&amp;tblControles[[#This Row],[Ítem]]&amp;"|"&amp;tblControles[[#This Row],[Turno]]</f>
        <v>46272|TONELADAS X TURNO|Molino barras 8|1° turno</v>
      </c>
      <c r="C688" s="871">
        <v>46272</v>
      </c>
      <c r="D688" t="s">
        <v>9449</v>
      </c>
      <c r="E688" t="s">
        <v>394</v>
      </c>
      <c r="F688" t="s">
        <v>396</v>
      </c>
      <c r="G688">
        <v>1043</v>
      </c>
      <c r="H688" t="s">
        <v>9333</v>
      </c>
      <c r="I688" s="871">
        <v>46293.93683766204</v>
      </c>
      <c r="J688" t="s">
        <v>9528</v>
      </c>
      <c r="K688" s="975" t="str">
        <f>IF(COUNTIFS(tblControles[Clave],tblControles[[#This Row],[Clave]])&gt;1,"Duplicado","")</f>
        <v/>
      </c>
    </row>
    <row r="689" spans="2:11">
      <c r="B689" s="975" t="str">
        <f>tblControles[[#This Row],[Fecha]]&amp;"|"&amp;tblControles[[#This Row],[Módulo]]&amp;"|"&amp;tblControles[[#This Row],[Ítem]]&amp;"|"&amp;tblControles[[#This Row],[Turno]]</f>
        <v>46272|TONELADAS X TURNO|Molino barras 8|2° turno</v>
      </c>
      <c r="C689" s="871">
        <v>46272</v>
      </c>
      <c r="D689" t="s">
        <v>9449</v>
      </c>
      <c r="E689" t="s">
        <v>394</v>
      </c>
      <c r="F689" t="s">
        <v>397</v>
      </c>
      <c r="G689">
        <v>1442</v>
      </c>
      <c r="H689" t="s">
        <v>9333</v>
      </c>
      <c r="I689" s="871">
        <v>46293.93683766204</v>
      </c>
      <c r="J689" t="s">
        <v>9528</v>
      </c>
      <c r="K689" s="975" t="str">
        <f>IF(COUNTIFS(tblControles[Clave],tblControles[[#This Row],[Clave]])&gt;1,"Duplicado","")</f>
        <v/>
      </c>
    </row>
    <row r="690" spans="2:11">
      <c r="B690" s="975" t="str">
        <f>tblControles[[#This Row],[Fecha]]&amp;"|"&amp;tblControles[[#This Row],[Módulo]]&amp;"|"&amp;tblControles[[#This Row],[Ítem]]&amp;"|"&amp;tblControles[[#This Row],[Turno]]</f>
        <v>46272|TONELADAS X TURNO|Molino barras 8|3° turno</v>
      </c>
      <c r="C690" s="871">
        <v>46272</v>
      </c>
      <c r="D690" t="s">
        <v>9449</v>
      </c>
      <c r="E690" t="s">
        <v>394</v>
      </c>
      <c r="F690" t="s">
        <v>398</v>
      </c>
      <c r="G690">
        <v>1597</v>
      </c>
      <c r="H690" t="s">
        <v>9333</v>
      </c>
      <c r="I690" s="871">
        <v>46293.93683766204</v>
      </c>
      <c r="J690" t="s">
        <v>9528</v>
      </c>
      <c r="K690" s="975" t="str">
        <f>IF(COUNTIFS(tblControles[Clave],tblControles[[#This Row],[Clave]])&gt;1,"Duplicado","")</f>
        <v/>
      </c>
    </row>
    <row r="691" spans="2:11">
      <c r="B691" s="975" t="str">
        <f>tblControles[[#This Row],[Fecha]]&amp;"|"&amp;tblControles[[#This Row],[Módulo]]&amp;"|"&amp;tblControles[[#This Row],[Ítem]]&amp;"|"&amp;tblControles[[#This Row],[Turno]]</f>
        <v>46272|TONELADAS X TURNO|Molino barras 9|1° turno</v>
      </c>
      <c r="C691" s="871">
        <v>46272</v>
      </c>
      <c r="D691" t="s">
        <v>9449</v>
      </c>
      <c r="E691" t="s">
        <v>395</v>
      </c>
      <c r="F691" t="s">
        <v>396</v>
      </c>
      <c r="G691">
        <v>1765</v>
      </c>
      <c r="H691" t="s">
        <v>9333</v>
      </c>
      <c r="I691" s="871">
        <v>46293.93683766204</v>
      </c>
      <c r="J691" t="s">
        <v>9528</v>
      </c>
      <c r="K691" s="975" t="str">
        <f>IF(COUNTIFS(tblControles[Clave],tblControles[[#This Row],[Clave]])&gt;1,"Duplicado","")</f>
        <v/>
      </c>
    </row>
    <row r="692" spans="2:11">
      <c r="B692" s="975" t="str">
        <f>tblControles[[#This Row],[Fecha]]&amp;"|"&amp;tblControles[[#This Row],[Módulo]]&amp;"|"&amp;tblControles[[#This Row],[Ítem]]&amp;"|"&amp;tblControles[[#This Row],[Turno]]</f>
        <v>46272|TONELADAS X TURNO|Molino barras 9|2° turno</v>
      </c>
      <c r="C692" s="871">
        <v>46272</v>
      </c>
      <c r="D692" t="s">
        <v>9449</v>
      </c>
      <c r="E692" t="s">
        <v>395</v>
      </c>
      <c r="F692" t="s">
        <v>397</v>
      </c>
      <c r="G692">
        <v>1673</v>
      </c>
      <c r="H692" t="s">
        <v>9333</v>
      </c>
      <c r="I692" s="871">
        <v>46293.93683766204</v>
      </c>
      <c r="J692" t="s">
        <v>9528</v>
      </c>
      <c r="K692" s="975" t="str">
        <f>IF(COUNTIFS(tblControles[Clave],tblControles[[#This Row],[Clave]])&gt;1,"Duplicado","")</f>
        <v/>
      </c>
    </row>
    <row r="693" spans="2:11">
      <c r="B693" s="975" t="str">
        <f>tblControles[[#This Row],[Fecha]]&amp;"|"&amp;tblControles[[#This Row],[Módulo]]&amp;"|"&amp;tblControles[[#This Row],[Ítem]]&amp;"|"&amp;tblControles[[#This Row],[Turno]]</f>
        <v>46272|TONELADAS X TURNO|Molino barras 9|3° turno</v>
      </c>
      <c r="C693" s="871">
        <v>46272</v>
      </c>
      <c r="D693" t="s">
        <v>9449</v>
      </c>
      <c r="E693" t="s">
        <v>395</v>
      </c>
      <c r="F693" t="s">
        <v>398</v>
      </c>
      <c r="G693">
        <v>1897</v>
      </c>
      <c r="H693" t="s">
        <v>9333</v>
      </c>
      <c r="I693" s="871">
        <v>46293.93683766204</v>
      </c>
      <c r="J693" t="s">
        <v>9528</v>
      </c>
      <c r="K693" s="975" t="str">
        <f>IF(COUNTIFS(tblControles[Clave],tblControles[[#This Row],[Clave]])&gt;1,"Duplicado","")</f>
        <v/>
      </c>
    </row>
    <row r="694" spans="2:11">
      <c r="B694" s="975" t="str">
        <f>tblControles[[#This Row],[Fecha]]&amp;"|"&amp;tblControles[[#This Row],[Módulo]]&amp;"|"&amp;tblControles[[#This Row],[Ítem]]&amp;"|"&amp;tblControles[[#This Row],[Turno]]</f>
        <v>46273|AGREGADO MEDIOS|BARRAS RM1|Cantidad</v>
      </c>
      <c r="C694" s="871">
        <v>46273</v>
      </c>
      <c r="D694" t="s">
        <v>9451</v>
      </c>
      <c r="E694" t="s">
        <v>410</v>
      </c>
      <c r="F694" t="s">
        <v>9453</v>
      </c>
      <c r="G694">
        <v>0</v>
      </c>
      <c r="H694" t="s">
        <v>9333</v>
      </c>
      <c r="I694" s="871">
        <v>46293.93683766204</v>
      </c>
      <c r="J694" t="s">
        <v>9524</v>
      </c>
      <c r="K694" s="975" t="str">
        <f>IF(COUNTIFS(tblControles[Clave],tblControles[[#This Row],[Clave]])&gt;1,"Duplicado","")</f>
        <v/>
      </c>
    </row>
    <row r="695" spans="2:11">
      <c r="B695" s="975" t="str">
        <f>tblControles[[#This Row],[Fecha]]&amp;"|"&amp;tblControles[[#This Row],[Módulo]]&amp;"|"&amp;tblControles[[#This Row],[Ítem]]&amp;"|"&amp;tblControles[[#This Row],[Turno]]</f>
        <v>46273|AGREGADO MEDIOS|BARRAS RM2|Cantidad</v>
      </c>
      <c r="C695" s="871">
        <v>46273</v>
      </c>
      <c r="D695" t="s">
        <v>9451</v>
      </c>
      <c r="E695" t="s">
        <v>411</v>
      </c>
      <c r="F695" t="s">
        <v>9453</v>
      </c>
      <c r="G695">
        <v>18</v>
      </c>
      <c r="H695" t="s">
        <v>9333</v>
      </c>
      <c r="I695" s="871">
        <v>46293.93683766204</v>
      </c>
      <c r="J695" t="s">
        <v>9524</v>
      </c>
      <c r="K695" s="975" t="str">
        <f>IF(COUNTIFS(tblControles[Clave],tblControles[[#This Row],[Clave]])&gt;1,"Duplicado","")</f>
        <v/>
      </c>
    </row>
    <row r="696" spans="2:11">
      <c r="B696" s="975" t="str">
        <f>tblControles[[#This Row],[Fecha]]&amp;"|"&amp;tblControles[[#This Row],[Módulo]]&amp;"|"&amp;tblControles[[#This Row],[Ítem]]&amp;"|"&amp;tblControles[[#This Row],[Turno]]</f>
        <v>46273|AGREGADO MEDIOS|BARRAS RM3|Cantidad</v>
      </c>
      <c r="C696" s="871">
        <v>46273</v>
      </c>
      <c r="D696" t="s">
        <v>9451</v>
      </c>
      <c r="E696" t="s">
        <v>412</v>
      </c>
      <c r="F696" t="s">
        <v>9453</v>
      </c>
      <c r="G696">
        <v>15</v>
      </c>
      <c r="H696" t="s">
        <v>9333</v>
      </c>
      <c r="I696" s="871">
        <v>46293.93683766204</v>
      </c>
      <c r="J696" t="s">
        <v>9524</v>
      </c>
      <c r="K696" s="975" t="str">
        <f>IF(COUNTIFS(tblControles[Clave],tblControles[[#This Row],[Clave]])&gt;1,"Duplicado","")</f>
        <v/>
      </c>
    </row>
    <row r="697" spans="2:11">
      <c r="B697" s="975" t="str">
        <f>tblControles[[#This Row],[Fecha]]&amp;"|"&amp;tblControles[[#This Row],[Módulo]]&amp;"|"&amp;tblControles[[#This Row],[Ítem]]&amp;"|"&amp;tblControles[[#This Row],[Turno]]</f>
        <v>46273|AGREGADO MEDIOS|BARRAS RM4|Cantidad</v>
      </c>
      <c r="C697" s="871">
        <v>46273</v>
      </c>
      <c r="D697" t="s">
        <v>9451</v>
      </c>
      <c r="E697" t="s">
        <v>413</v>
      </c>
      <c r="F697" t="s">
        <v>9453</v>
      </c>
      <c r="G697">
        <v>0</v>
      </c>
      <c r="H697" t="s">
        <v>9333</v>
      </c>
      <c r="I697" s="871">
        <v>46293.93683766204</v>
      </c>
      <c r="J697" t="s">
        <v>9524</v>
      </c>
      <c r="K697" s="975" t="str">
        <f>IF(COUNTIFS(tblControles[Clave],tblControles[[#This Row],[Clave]])&gt;1,"Duplicado","")</f>
        <v/>
      </c>
    </row>
    <row r="698" spans="2:11">
      <c r="B698" s="975" t="str">
        <f>tblControles[[#This Row],[Fecha]]&amp;"|"&amp;tblControles[[#This Row],[Módulo]]&amp;"|"&amp;tblControles[[#This Row],[Ítem]]&amp;"|"&amp;tblControles[[#This Row],[Turno]]</f>
        <v>46273|AGREGADO MEDIOS|BARRAS RM5|Cantidad</v>
      </c>
      <c r="C698" s="871">
        <v>46273</v>
      </c>
      <c r="D698" t="s">
        <v>9451</v>
      </c>
      <c r="E698" t="s">
        <v>414</v>
      </c>
      <c r="F698" t="s">
        <v>9453</v>
      </c>
      <c r="G698">
        <v>0</v>
      </c>
      <c r="H698" t="s">
        <v>9333</v>
      </c>
      <c r="I698" s="871">
        <v>46293.93683766204</v>
      </c>
      <c r="J698" t="s">
        <v>9524</v>
      </c>
      <c r="K698" s="975" t="str">
        <f>IF(COUNTIFS(tblControles[Clave],tblControles[[#This Row],[Clave]])&gt;1,"Duplicado","")</f>
        <v/>
      </c>
    </row>
    <row r="699" spans="2:11">
      <c r="B699" s="975" t="str">
        <f>tblControles[[#This Row],[Fecha]]&amp;"|"&amp;tblControles[[#This Row],[Módulo]]&amp;"|"&amp;tblControles[[#This Row],[Ítem]]&amp;"|"&amp;tblControles[[#This Row],[Turno]]</f>
        <v>46273|AGREGADO MEDIOS|BARRAS RM6|Cantidad</v>
      </c>
      <c r="C699" s="871">
        <v>46273</v>
      </c>
      <c r="D699" t="s">
        <v>9451</v>
      </c>
      <c r="E699" t="s">
        <v>415</v>
      </c>
      <c r="F699" t="s">
        <v>9453</v>
      </c>
      <c r="G699">
        <v>0</v>
      </c>
      <c r="H699" t="s">
        <v>9333</v>
      </c>
      <c r="I699" s="871">
        <v>46293.93683766204</v>
      </c>
      <c r="J699" t="s">
        <v>9524</v>
      </c>
      <c r="K699" s="975" t="str">
        <f>IF(COUNTIFS(tblControles[Clave],tblControles[[#This Row],[Clave]])&gt;1,"Duplicado","")</f>
        <v/>
      </c>
    </row>
    <row r="700" spans="2:11">
      <c r="B700" s="975" t="str">
        <f>tblControles[[#This Row],[Fecha]]&amp;"|"&amp;tblControles[[#This Row],[Módulo]]&amp;"|"&amp;tblControles[[#This Row],[Ítem]]&amp;"|"&amp;tblControles[[#This Row],[Turno]]</f>
        <v>46273|AGREGADO MEDIOS|BARRAS RM7|Cantidad</v>
      </c>
      <c r="C700" s="871">
        <v>46273</v>
      </c>
      <c r="D700" t="s">
        <v>9451</v>
      </c>
      <c r="E700" t="s">
        <v>416</v>
      </c>
      <c r="F700" t="s">
        <v>9453</v>
      </c>
      <c r="G700">
        <v>0</v>
      </c>
      <c r="H700" t="s">
        <v>9333</v>
      </c>
      <c r="I700" s="871">
        <v>46293.93683766204</v>
      </c>
      <c r="J700" t="s">
        <v>9524</v>
      </c>
      <c r="K700" s="975" t="str">
        <f>IF(COUNTIFS(tblControles[Clave],tblControles[[#This Row],[Clave]])&gt;1,"Duplicado","")</f>
        <v/>
      </c>
    </row>
    <row r="701" spans="2:11">
      <c r="B701" s="975" t="str">
        <f>tblControles[[#This Row],[Fecha]]&amp;"|"&amp;tblControles[[#This Row],[Módulo]]&amp;"|"&amp;tblControles[[#This Row],[Ítem]]&amp;"|"&amp;tblControles[[#This Row],[Turno]]</f>
        <v>46273|AGREGADO MEDIOS|BARRAS RM8|Cantidad</v>
      </c>
      <c r="C701" s="871">
        <v>46273</v>
      </c>
      <c r="D701" t="s">
        <v>9451</v>
      </c>
      <c r="E701" t="s">
        <v>417</v>
      </c>
      <c r="F701" t="s">
        <v>9453</v>
      </c>
      <c r="G701">
        <v>9</v>
      </c>
      <c r="H701" t="s">
        <v>9333</v>
      </c>
      <c r="I701" s="871">
        <v>46293.93683766204</v>
      </c>
      <c r="J701" t="s">
        <v>9524</v>
      </c>
      <c r="K701" s="975" t="str">
        <f>IF(COUNTIFS(tblControles[Clave],tblControles[[#This Row],[Clave]])&gt;1,"Duplicado","")</f>
        <v/>
      </c>
    </row>
    <row r="702" spans="2:11">
      <c r="B702" s="975" t="str">
        <f>tblControles[[#This Row],[Fecha]]&amp;"|"&amp;tblControles[[#This Row],[Módulo]]&amp;"|"&amp;tblControles[[#This Row],[Ítem]]&amp;"|"&amp;tblControles[[#This Row],[Turno]]</f>
        <v>46273|AGREGADO MEDIOS|BARRAS 9 RM9|Cantidad</v>
      </c>
      <c r="C702" s="871">
        <v>46273</v>
      </c>
      <c r="D702" t="s">
        <v>9451</v>
      </c>
      <c r="E702" t="s">
        <v>418</v>
      </c>
      <c r="F702" t="s">
        <v>9453</v>
      </c>
      <c r="G702">
        <v>18</v>
      </c>
      <c r="H702" t="s">
        <v>9333</v>
      </c>
      <c r="I702" s="871">
        <v>46293.93683766204</v>
      </c>
      <c r="J702" t="s">
        <v>9524</v>
      </c>
      <c r="K702" s="975" t="str">
        <f>IF(COUNTIFS(tblControles[Clave],tblControles[[#This Row],[Clave]])&gt;1,"Duplicado","")</f>
        <v/>
      </c>
    </row>
    <row r="703" spans="2:11">
      <c r="B703" s="975" t="str">
        <f>tblControles[[#This Row],[Fecha]]&amp;"|"&amp;tblControles[[#This Row],[Módulo]]&amp;"|"&amp;tblControles[[#This Row],[Ítem]]&amp;"|"&amp;tblControles[[#This Row],[Turno]]</f>
        <v>46273|AGREGADO MEDIOS|CONOS 40X50 BM1|Cantidad</v>
      </c>
      <c r="C703" s="871">
        <v>46273</v>
      </c>
      <c r="D703" t="s">
        <v>9451</v>
      </c>
      <c r="E703" t="s">
        <v>420</v>
      </c>
      <c r="F703" t="s">
        <v>9453</v>
      </c>
      <c r="G703">
        <v>0</v>
      </c>
      <c r="H703" t="s">
        <v>9333</v>
      </c>
      <c r="I703" s="871">
        <v>46293.93683766204</v>
      </c>
      <c r="J703" t="s">
        <v>9524</v>
      </c>
      <c r="K703" s="975" t="str">
        <f>IF(COUNTIFS(tblControles[Clave],tblControles[[#This Row],[Clave]])&gt;1,"Duplicado","")</f>
        <v/>
      </c>
    </row>
    <row r="704" spans="2:11">
      <c r="B704" s="975" t="str">
        <f>tblControles[[#This Row],[Fecha]]&amp;"|"&amp;tblControles[[#This Row],[Módulo]]&amp;"|"&amp;tblControles[[#This Row],[Ítem]]&amp;"|"&amp;tblControles[[#This Row],[Turno]]</f>
        <v>46273|AGREGADO MEDIOS|CONOS 40X50 BM2|Cantidad</v>
      </c>
      <c r="C704" s="871">
        <v>46273</v>
      </c>
      <c r="D704" t="s">
        <v>9451</v>
      </c>
      <c r="E704" t="s">
        <v>421</v>
      </c>
      <c r="F704" t="s">
        <v>9453</v>
      </c>
      <c r="G704">
        <v>0</v>
      </c>
      <c r="H704" t="s">
        <v>9333</v>
      </c>
      <c r="I704" s="871">
        <v>46293.93683766204</v>
      </c>
      <c r="J704" t="s">
        <v>9524</v>
      </c>
      <c r="K704" s="975" t="str">
        <f>IF(COUNTIFS(tblControles[Clave],tblControles[[#This Row],[Clave]])&gt;1,"Duplicado","")</f>
        <v/>
      </c>
    </row>
    <row r="705" spans="2:11">
      <c r="B705" s="975" t="str">
        <f>tblControles[[#This Row],[Fecha]]&amp;"|"&amp;tblControles[[#This Row],[Módulo]]&amp;"|"&amp;tblControles[[#This Row],[Ítem]]&amp;"|"&amp;tblControles[[#This Row],[Turno]]</f>
        <v>46273|AGREGADO MEDIOS|CONOS 40X50 BM3|Cantidad</v>
      </c>
      <c r="C705" s="871">
        <v>46273</v>
      </c>
      <c r="D705" t="s">
        <v>9451</v>
      </c>
      <c r="E705" t="s">
        <v>422</v>
      </c>
      <c r="F705" t="s">
        <v>9453</v>
      </c>
      <c r="G705">
        <v>0</v>
      </c>
      <c r="H705" t="s">
        <v>9333</v>
      </c>
      <c r="I705" s="871">
        <v>46293.93683766204</v>
      </c>
      <c r="J705" t="s">
        <v>9524</v>
      </c>
      <c r="K705" s="975" t="str">
        <f>IF(COUNTIFS(tblControles[Clave],tblControles[[#This Row],[Clave]])&gt;1,"Duplicado","")</f>
        <v/>
      </c>
    </row>
    <row r="706" spans="2:11">
      <c r="B706" s="975" t="str">
        <f>tblControles[[#This Row],[Fecha]]&amp;"|"&amp;tblControles[[#This Row],[Módulo]]&amp;"|"&amp;tblControles[[#This Row],[Ítem]]&amp;"|"&amp;tblControles[[#This Row],[Turno]]</f>
        <v>46273|AGREGADO MEDIOS|CONOS 40X50 BM4|Cantidad</v>
      </c>
      <c r="C706" s="871">
        <v>46273</v>
      </c>
      <c r="D706" t="s">
        <v>9451</v>
      </c>
      <c r="E706" t="s">
        <v>423</v>
      </c>
      <c r="F706" t="s">
        <v>9453</v>
      </c>
      <c r="G706">
        <v>0</v>
      </c>
      <c r="H706" t="s">
        <v>9333</v>
      </c>
      <c r="I706" s="871">
        <v>46293.93683766204</v>
      </c>
      <c r="J706" t="s">
        <v>9524</v>
      </c>
      <c r="K706" s="975" t="str">
        <f>IF(COUNTIFS(tblControles[Clave],tblControles[[#This Row],[Clave]])&gt;1,"Duplicado","")</f>
        <v/>
      </c>
    </row>
    <row r="707" spans="2:11">
      <c r="B707" s="975" t="str">
        <f>tblControles[[#This Row],[Fecha]]&amp;"|"&amp;tblControles[[#This Row],[Módulo]]&amp;"|"&amp;tblControles[[#This Row],[Ítem]]&amp;"|"&amp;tblControles[[#This Row],[Turno]]</f>
        <v>46273|AGREGADO MEDIOS|CONOS 30X35 BM5|Cantidad</v>
      </c>
      <c r="C707" s="871">
        <v>46273</v>
      </c>
      <c r="D707" t="s">
        <v>9451</v>
      </c>
      <c r="E707" t="s">
        <v>424</v>
      </c>
      <c r="F707" t="s">
        <v>9453</v>
      </c>
      <c r="G707">
        <v>8</v>
      </c>
      <c r="H707" t="s">
        <v>9333</v>
      </c>
      <c r="I707" s="871">
        <v>46293.93683766204</v>
      </c>
      <c r="J707" t="s">
        <v>9524</v>
      </c>
      <c r="K707" s="975" t="str">
        <f>IF(COUNTIFS(tblControles[Clave],tblControles[[#This Row],[Clave]])&gt;1,"Duplicado","")</f>
        <v/>
      </c>
    </row>
    <row r="708" spans="2:11">
      <c r="B708" s="975" t="str">
        <f>tblControles[[#This Row],[Fecha]]&amp;"|"&amp;tblControles[[#This Row],[Módulo]]&amp;"|"&amp;tblControles[[#This Row],[Ítem]]&amp;"|"&amp;tblControles[[#This Row],[Turno]]</f>
        <v>46273|AGREGADO MEDIOS|CONOS 40X50 BM6|Cantidad</v>
      </c>
      <c r="C708" s="871">
        <v>46273</v>
      </c>
      <c r="D708" t="s">
        <v>9451</v>
      </c>
      <c r="E708" t="s">
        <v>425</v>
      </c>
      <c r="F708" t="s">
        <v>9453</v>
      </c>
      <c r="G708">
        <v>0</v>
      </c>
      <c r="H708" t="s">
        <v>9333</v>
      </c>
      <c r="I708" s="871">
        <v>46293.93683766204</v>
      </c>
      <c r="J708" t="s">
        <v>9524</v>
      </c>
      <c r="K708" s="975" t="str">
        <f>IF(COUNTIFS(tblControles[Clave],tblControles[[#This Row],[Clave]])&gt;1,"Duplicado","")</f>
        <v/>
      </c>
    </row>
    <row r="709" spans="2:11">
      <c r="B709" s="975" t="str">
        <f>tblControles[[#This Row],[Fecha]]&amp;"|"&amp;tblControles[[#This Row],[Módulo]]&amp;"|"&amp;tblControles[[#This Row],[Ítem]]&amp;"|"&amp;tblControles[[#This Row],[Turno]]</f>
        <v>46273|AGREGADO MEDIOS|CONOS 40X50 BM7|Cantidad</v>
      </c>
      <c r="C709" s="871">
        <v>46273</v>
      </c>
      <c r="D709" t="s">
        <v>9451</v>
      </c>
      <c r="E709" t="s">
        <v>426</v>
      </c>
      <c r="F709" t="s">
        <v>9453</v>
      </c>
      <c r="G709">
        <v>8</v>
      </c>
      <c r="H709" t="s">
        <v>9333</v>
      </c>
      <c r="I709" s="871">
        <v>46293.93683766204</v>
      </c>
      <c r="J709" t="s">
        <v>9524</v>
      </c>
      <c r="K709" s="975" t="str">
        <f>IF(COUNTIFS(tblControles[Clave],tblControles[[#This Row],[Clave]])&gt;1,"Duplicado","")</f>
        <v/>
      </c>
    </row>
    <row r="710" spans="2:11">
      <c r="B710" s="975" t="str">
        <f>tblControles[[#This Row],[Fecha]]&amp;"|"&amp;tblControles[[#This Row],[Módulo]]&amp;"|"&amp;tblControles[[#This Row],[Ítem]]&amp;"|"&amp;tblControles[[#This Row],[Turno]]</f>
        <v>46273|AGREGADO MEDIOS|CONOS 40X50|Cantidad</v>
      </c>
      <c r="C710" s="871">
        <v>46273</v>
      </c>
      <c r="D710" t="s">
        <v>9451</v>
      </c>
      <c r="E710" t="s">
        <v>427</v>
      </c>
      <c r="F710" t="s">
        <v>9453</v>
      </c>
      <c r="G710">
        <v>0</v>
      </c>
      <c r="H710" t="s">
        <v>9333</v>
      </c>
      <c r="I710" s="871">
        <v>46293.93683766204</v>
      </c>
      <c r="J710" t="s">
        <v>9524</v>
      </c>
      <c r="K710" s="975" t="str">
        <f>IF(COUNTIFS(tblControles[Clave],tblControles[[#This Row],[Clave]])&gt;1,"Duplicado","")</f>
        <v/>
      </c>
    </row>
    <row r="711" spans="2:11">
      <c r="B711" s="975" t="str">
        <f>tblControles[[#This Row],[Fecha]]&amp;"|"&amp;tblControles[[#This Row],[Módulo]]&amp;"|"&amp;tblControles[[#This Row],[Ítem]]&amp;"|"&amp;tblControles[[#This Row],[Turno]]</f>
        <v>46273|AGREGADO MEDIOS|CONOS 30X35|Cantidad</v>
      </c>
      <c r="C711" s="871">
        <v>46273</v>
      </c>
      <c r="D711" t="s">
        <v>9451</v>
      </c>
      <c r="E711" t="s">
        <v>428</v>
      </c>
      <c r="F711" t="s">
        <v>9453</v>
      </c>
      <c r="G711">
        <v>16</v>
      </c>
      <c r="H711" t="s">
        <v>9333</v>
      </c>
      <c r="I711" s="871">
        <v>46293.93683766204</v>
      </c>
      <c r="J711" t="s">
        <v>9524</v>
      </c>
      <c r="K711" s="975" t="str">
        <f>IF(COUNTIFS(tblControles[Clave],tblControles[[#This Row],[Clave]])&gt;1,"Duplicado","")</f>
        <v/>
      </c>
    </row>
    <row r="712" spans="2:11">
      <c r="B712" s="975" t="str">
        <f>tblControles[[#This Row],[Fecha]]&amp;"|"&amp;tblControles[[#This Row],[Módulo]]&amp;"|"&amp;tblControles[[#This Row],[Ítem]]&amp;"|"&amp;tblControles[[#This Row],[Turno]]</f>
        <v>46273|AGREGADO MEDIOS|BOLAS BM8|Cantidad</v>
      </c>
      <c r="C712" s="871">
        <v>46273</v>
      </c>
      <c r="D712" t="s">
        <v>9451</v>
      </c>
      <c r="E712" t="s">
        <v>429</v>
      </c>
      <c r="F712" t="s">
        <v>9453</v>
      </c>
      <c r="G712">
        <v>0</v>
      </c>
      <c r="H712" t="s">
        <v>9333</v>
      </c>
      <c r="I712" s="871">
        <v>46293.93683766204</v>
      </c>
      <c r="J712" t="s">
        <v>9524</v>
      </c>
      <c r="K712" s="975" t="str">
        <f>IF(COUNTIFS(tblControles[Clave],tblControles[[#This Row],[Clave]])&gt;1,"Duplicado","")</f>
        <v/>
      </c>
    </row>
    <row r="713" spans="2:11">
      <c r="B713" s="975" t="str">
        <f>tblControles[[#This Row],[Fecha]]&amp;"|"&amp;tblControles[[#This Row],[Módulo]]&amp;"|"&amp;tblControles[[#This Row],[Ítem]]&amp;"|"&amp;tblControles[[#This Row],[Turno]]</f>
        <v>46273|AGREGADO MEDIOS|BOLAS BM9|Cantidad</v>
      </c>
      <c r="C713" s="871">
        <v>46273</v>
      </c>
      <c r="D713" t="s">
        <v>9451</v>
      </c>
      <c r="E713" t="s">
        <v>430</v>
      </c>
      <c r="F713" t="s">
        <v>9453</v>
      </c>
      <c r="G713">
        <v>6</v>
      </c>
      <c r="H713" t="s">
        <v>9333</v>
      </c>
      <c r="I713" s="871">
        <v>46293.93683766204</v>
      </c>
      <c r="J713" t="s">
        <v>9524</v>
      </c>
      <c r="K713" s="975" t="str">
        <f>IF(COUNTIFS(tblControles[Clave],tblControles[[#This Row],[Clave]])&gt;1,"Duplicado","")</f>
        <v/>
      </c>
    </row>
    <row r="714" spans="2:11">
      <c r="B714" s="975" t="str">
        <f>tblControles[[#This Row],[Fecha]]&amp;"|"&amp;tblControles[[#This Row],[Módulo]]&amp;"|"&amp;tblControles[[#This Row],[Ítem]]&amp;"|"&amp;tblControles[[#This Row],[Turno]]</f>
        <v>46273|AGREGADO MEDIOS|BOLAS BM10|Cantidad</v>
      </c>
      <c r="C714" s="871">
        <v>46273</v>
      </c>
      <c r="D714" t="s">
        <v>9451</v>
      </c>
      <c r="E714" t="s">
        <v>431</v>
      </c>
      <c r="F714" t="s">
        <v>9453</v>
      </c>
      <c r="G714">
        <v>0</v>
      </c>
      <c r="H714" t="s">
        <v>9333</v>
      </c>
      <c r="I714" s="871">
        <v>46293.93683766204</v>
      </c>
      <c r="J714" t="s">
        <v>9524</v>
      </c>
      <c r="K714" s="975" t="str">
        <f>IF(COUNTIFS(tblControles[Clave],tblControles[[#This Row],[Clave]])&gt;1,"Duplicado","")</f>
        <v/>
      </c>
    </row>
    <row r="715" spans="2:11">
      <c r="B715" s="975" t="str">
        <f>tblControles[[#This Row],[Fecha]]&amp;"|"&amp;tblControles[[#This Row],[Módulo]]&amp;"|"&amp;tblControles[[#This Row],[Ítem]]&amp;"|"&amp;tblControles[[#This Row],[Turno]]</f>
        <v>46273|AGREGADO MEDIOS|BOLAS ALTO CROM|Cantidad</v>
      </c>
      <c r="C715" s="871">
        <v>46273</v>
      </c>
      <c r="D715" t="s">
        <v>9451</v>
      </c>
      <c r="E715" t="s">
        <v>432</v>
      </c>
      <c r="F715" t="s">
        <v>9453</v>
      </c>
      <c r="G715">
        <v>6</v>
      </c>
      <c r="H715" t="s">
        <v>9333</v>
      </c>
      <c r="I715" s="871">
        <v>46293.93683766204</v>
      </c>
      <c r="J715" t="s">
        <v>9524</v>
      </c>
      <c r="K715" s="975" t="str">
        <f>IF(COUNTIFS(tblControles[Clave],tblControles[[#This Row],[Clave]])&gt;1,"Duplicado","")</f>
        <v/>
      </c>
    </row>
    <row r="716" spans="2:11">
      <c r="B716" s="975" t="str">
        <f>tblControles[[#This Row],[Fecha]]&amp;"|"&amp;tblControles[[#This Row],[Módulo]]&amp;"|"&amp;tblControles[[#This Row],[Ítem]]&amp;"|"&amp;tblControles[[#This Row],[Turno]]</f>
        <v>46273|REACTIVOS|Ácido oxálico|Turno día (12 h)</v>
      </c>
      <c r="C716" s="871">
        <v>46273</v>
      </c>
      <c r="D716" t="s">
        <v>9444</v>
      </c>
      <c r="E716" t="s">
        <v>9508</v>
      </c>
      <c r="F716" t="s">
        <v>9446</v>
      </c>
      <c r="G716">
        <v>16000</v>
      </c>
      <c r="H716" t="s">
        <v>9333</v>
      </c>
      <c r="I716" s="871">
        <v>46293.93683766204</v>
      </c>
      <c r="J716" t="s">
        <v>9527</v>
      </c>
      <c r="K716" s="975" t="str">
        <f>IF(COUNTIFS(tblControles[Clave],tblControles[[#This Row],[Clave]])&gt;1,"Duplicado","")</f>
        <v/>
      </c>
    </row>
    <row r="717" spans="2:11">
      <c r="B717" s="975" t="str">
        <f>tblControles[[#This Row],[Fecha]]&amp;"|"&amp;tblControles[[#This Row],[Módulo]]&amp;"|"&amp;tblControles[[#This Row],[Ítem]]&amp;"|"&amp;tblControles[[#This Row],[Turno]]</f>
        <v>46273|REACTIVOS|Ácido oxálico|Turno noche (12 h)</v>
      </c>
      <c r="C717" s="871">
        <v>46273</v>
      </c>
      <c r="D717" t="s">
        <v>9444</v>
      </c>
      <c r="E717" t="s">
        <v>9508</v>
      </c>
      <c r="F717" t="s">
        <v>9447</v>
      </c>
      <c r="G717">
        <v>18000</v>
      </c>
      <c r="H717" t="s">
        <v>9333</v>
      </c>
      <c r="I717" s="871">
        <v>46293.93683766204</v>
      </c>
      <c r="J717" t="s">
        <v>9527</v>
      </c>
      <c r="K717" s="975" t="str">
        <f>IF(COUNTIFS(tblControles[Clave],tblControles[[#This Row],[Clave]])&gt;1,"Duplicado","")</f>
        <v/>
      </c>
    </row>
    <row r="718" spans="2:11">
      <c r="B718" s="975" t="str">
        <f>tblControles[[#This Row],[Fecha]]&amp;"|"&amp;tblControles[[#This Row],[Módulo]]&amp;"|"&amp;tblControles[[#This Row],[Ítem]]&amp;"|"&amp;tblControles[[#This Row],[Turno]]</f>
        <v>46273|REACTIVOS|Xantato|Turno día (12 h)</v>
      </c>
      <c r="C718" s="871">
        <v>46273</v>
      </c>
      <c r="D718" t="s">
        <v>9444</v>
      </c>
      <c r="E718" t="s">
        <v>9511</v>
      </c>
      <c r="F718" t="s">
        <v>9446</v>
      </c>
      <c r="G718">
        <v>3400</v>
      </c>
      <c r="H718" t="s">
        <v>9333</v>
      </c>
      <c r="I718" s="871">
        <v>46293.93683766204</v>
      </c>
      <c r="J718" t="s">
        <v>9527</v>
      </c>
      <c r="K718" s="975" t="str">
        <f>IF(COUNTIFS(tblControles[Clave],tblControles[[#This Row],[Clave]])&gt;1,"Duplicado","")</f>
        <v/>
      </c>
    </row>
    <row r="719" spans="2:11">
      <c r="B719" s="975" t="str">
        <f>tblControles[[#This Row],[Fecha]]&amp;"|"&amp;tblControles[[#This Row],[Módulo]]&amp;"|"&amp;tblControles[[#This Row],[Ítem]]&amp;"|"&amp;tblControles[[#This Row],[Turno]]</f>
        <v>46273|REACTIVOS|Xantato|Turno noche (12 h)</v>
      </c>
      <c r="C719" s="871">
        <v>46273</v>
      </c>
      <c r="D719" t="s">
        <v>9444</v>
      </c>
      <c r="E719" t="s">
        <v>9511</v>
      </c>
      <c r="F719" t="s">
        <v>9447</v>
      </c>
      <c r="G719">
        <v>4050</v>
      </c>
      <c r="H719" t="s">
        <v>9333</v>
      </c>
      <c r="I719" s="871">
        <v>46293.93683766204</v>
      </c>
      <c r="J719" t="s">
        <v>9527</v>
      </c>
      <c r="K719" s="975" t="str">
        <f>IF(COUNTIFS(tblControles[Clave],tblControles[[#This Row],[Clave]])&gt;1,"Duplicado","")</f>
        <v/>
      </c>
    </row>
    <row r="720" spans="2:11">
      <c r="B720" s="975" t="str">
        <f>tblControles[[#This Row],[Fecha]]&amp;"|"&amp;tblControles[[#This Row],[Módulo]]&amp;"|"&amp;tblControles[[#This Row],[Ítem]]&amp;"|"&amp;tblControles[[#This Row],[Turno]]</f>
        <v>46273|REACTIVOS|Espumante|Consumo día</v>
      </c>
      <c r="C720" s="871">
        <v>46273</v>
      </c>
      <c r="D720" t="s">
        <v>9444</v>
      </c>
      <c r="E720" t="s">
        <v>9513</v>
      </c>
      <c r="F720" t="s">
        <v>9870</v>
      </c>
      <c r="G720">
        <v>2500</v>
      </c>
      <c r="H720" t="s">
        <v>9333</v>
      </c>
      <c r="I720" s="871">
        <v>46293.93683766204</v>
      </c>
      <c r="J720" t="s">
        <v>9527</v>
      </c>
      <c r="K720" s="975" t="str">
        <f>IF(COUNTIFS(tblControles[Clave],tblControles[[#This Row],[Clave]])&gt;1,"Duplicado","")</f>
        <v/>
      </c>
    </row>
    <row r="721" spans="2:11">
      <c r="B721" s="975" t="str">
        <f>tblControles[[#This Row],[Fecha]]&amp;"|"&amp;tblControles[[#This Row],[Módulo]]&amp;"|"&amp;tblControles[[#This Row],[Ítem]]&amp;"|"&amp;tblControles[[#This Row],[Turno]]</f>
        <v>46273|TONELADAS X TURNO|Molino barras 1|1° turno</v>
      </c>
      <c r="C721" s="871">
        <v>46273</v>
      </c>
      <c r="D721" t="s">
        <v>9449</v>
      </c>
      <c r="E721" t="s">
        <v>387</v>
      </c>
      <c r="F721" t="s">
        <v>396</v>
      </c>
      <c r="G721">
        <v>1730</v>
      </c>
      <c r="H721" t="s">
        <v>9333</v>
      </c>
      <c r="I721" s="871">
        <v>46293.93683766204</v>
      </c>
      <c r="J721" t="s">
        <v>9528</v>
      </c>
      <c r="K721" s="975" t="str">
        <f>IF(COUNTIFS(tblControles[Clave],tblControles[[#This Row],[Clave]])&gt;1,"Duplicado","")</f>
        <v/>
      </c>
    </row>
    <row r="722" spans="2:11">
      <c r="B722" s="975" t="str">
        <f>tblControles[[#This Row],[Fecha]]&amp;"|"&amp;tblControles[[#This Row],[Módulo]]&amp;"|"&amp;tblControles[[#This Row],[Ítem]]&amp;"|"&amp;tblControles[[#This Row],[Turno]]</f>
        <v>46273|TONELADAS X TURNO|Molino barras 1|2° turno</v>
      </c>
      <c r="C722" s="871">
        <v>46273</v>
      </c>
      <c r="D722" t="s">
        <v>9449</v>
      </c>
      <c r="E722" t="s">
        <v>387</v>
      </c>
      <c r="F722" t="s">
        <v>397</v>
      </c>
      <c r="G722">
        <v>1612</v>
      </c>
      <c r="H722" t="s">
        <v>9333</v>
      </c>
      <c r="I722" s="871">
        <v>46293.93683766204</v>
      </c>
      <c r="J722" t="s">
        <v>9528</v>
      </c>
      <c r="K722" s="975" t="str">
        <f>IF(COUNTIFS(tblControles[Clave],tblControles[[#This Row],[Clave]])&gt;1,"Duplicado","")</f>
        <v/>
      </c>
    </row>
    <row r="723" spans="2:11">
      <c r="B723" s="975" t="str">
        <f>tblControles[[#This Row],[Fecha]]&amp;"|"&amp;tblControles[[#This Row],[Módulo]]&amp;"|"&amp;tblControles[[#This Row],[Ítem]]&amp;"|"&amp;tblControles[[#This Row],[Turno]]</f>
        <v>46273|TONELADAS X TURNO|Molino barras 1|3° turno</v>
      </c>
      <c r="C723" s="871">
        <v>46273</v>
      </c>
      <c r="D723" t="s">
        <v>9449</v>
      </c>
      <c r="E723" t="s">
        <v>387</v>
      </c>
      <c r="F723" t="s">
        <v>398</v>
      </c>
      <c r="G723">
        <v>1736</v>
      </c>
      <c r="H723" t="s">
        <v>9333</v>
      </c>
      <c r="I723" s="871">
        <v>46293.93683766204</v>
      </c>
      <c r="J723" t="s">
        <v>9528</v>
      </c>
      <c r="K723" s="975" t="str">
        <f>IF(COUNTIFS(tblControles[Clave],tblControles[[#This Row],[Clave]])&gt;1,"Duplicado","")</f>
        <v/>
      </c>
    </row>
    <row r="724" spans="2:11">
      <c r="B724" s="975" t="str">
        <f>tblControles[[#This Row],[Fecha]]&amp;"|"&amp;tblControles[[#This Row],[Módulo]]&amp;"|"&amp;tblControles[[#This Row],[Ítem]]&amp;"|"&amp;tblControles[[#This Row],[Turno]]</f>
        <v>46273|TONELADAS X TURNO|Molino barras 2|1° turno</v>
      </c>
      <c r="C724" s="871">
        <v>46273</v>
      </c>
      <c r="D724" t="s">
        <v>9449</v>
      </c>
      <c r="E724" t="s">
        <v>388</v>
      </c>
      <c r="F724" t="s">
        <v>396</v>
      </c>
      <c r="G724">
        <v>1695</v>
      </c>
      <c r="H724" t="s">
        <v>9333</v>
      </c>
      <c r="I724" s="871">
        <v>46293.93683766204</v>
      </c>
      <c r="J724" t="s">
        <v>9528</v>
      </c>
      <c r="K724" s="975" t="str">
        <f>IF(COUNTIFS(tblControles[Clave],tblControles[[#This Row],[Clave]])&gt;1,"Duplicado","")</f>
        <v/>
      </c>
    </row>
    <row r="725" spans="2:11">
      <c r="B725" s="975" t="str">
        <f>tblControles[[#This Row],[Fecha]]&amp;"|"&amp;tblControles[[#This Row],[Módulo]]&amp;"|"&amp;tblControles[[#This Row],[Ítem]]&amp;"|"&amp;tblControles[[#This Row],[Turno]]</f>
        <v>46273|TONELADAS X TURNO|Molino barras 2|2° turno</v>
      </c>
      <c r="C725" s="871">
        <v>46273</v>
      </c>
      <c r="D725" t="s">
        <v>9449</v>
      </c>
      <c r="E725" t="s">
        <v>388</v>
      </c>
      <c r="F725" t="s">
        <v>397</v>
      </c>
      <c r="G725">
        <v>1465</v>
      </c>
      <c r="H725" t="s">
        <v>9333</v>
      </c>
      <c r="I725" s="871">
        <v>46293.93683766204</v>
      </c>
      <c r="J725" t="s">
        <v>9528</v>
      </c>
      <c r="K725" s="975" t="str">
        <f>IF(COUNTIFS(tblControles[Clave],tblControles[[#This Row],[Clave]])&gt;1,"Duplicado","")</f>
        <v/>
      </c>
    </row>
    <row r="726" spans="2:11">
      <c r="B726" s="975" t="str">
        <f>tblControles[[#This Row],[Fecha]]&amp;"|"&amp;tblControles[[#This Row],[Módulo]]&amp;"|"&amp;tblControles[[#This Row],[Ítem]]&amp;"|"&amp;tblControles[[#This Row],[Turno]]</f>
        <v>46273|TONELADAS X TURNO|Molino barras 2|3° turno</v>
      </c>
      <c r="C726" s="871">
        <v>46273</v>
      </c>
      <c r="D726" t="s">
        <v>9449</v>
      </c>
      <c r="E726" t="s">
        <v>388</v>
      </c>
      <c r="F726" t="s">
        <v>398</v>
      </c>
      <c r="G726">
        <v>1580</v>
      </c>
      <c r="H726" t="s">
        <v>9333</v>
      </c>
      <c r="I726" s="871">
        <v>46293.93683766204</v>
      </c>
      <c r="J726" t="s">
        <v>9528</v>
      </c>
      <c r="K726" s="975" t="str">
        <f>IF(COUNTIFS(tblControles[Clave],tblControles[[#This Row],[Clave]])&gt;1,"Duplicado","")</f>
        <v/>
      </c>
    </row>
    <row r="727" spans="2:11">
      <c r="B727" s="975" t="str">
        <f>tblControles[[#This Row],[Fecha]]&amp;"|"&amp;tblControles[[#This Row],[Módulo]]&amp;"|"&amp;tblControles[[#This Row],[Ítem]]&amp;"|"&amp;tblControles[[#This Row],[Turno]]</f>
        <v>46273|TONELADAS X TURNO|Molino barras 3|1° turno</v>
      </c>
      <c r="C727" s="871">
        <v>46273</v>
      </c>
      <c r="D727" t="s">
        <v>9449</v>
      </c>
      <c r="E727" t="s">
        <v>389</v>
      </c>
      <c r="F727" t="s">
        <v>396</v>
      </c>
      <c r="G727">
        <v>1240</v>
      </c>
      <c r="H727" t="s">
        <v>9333</v>
      </c>
      <c r="I727" s="871">
        <v>46293.93683766204</v>
      </c>
      <c r="J727" t="s">
        <v>9528</v>
      </c>
      <c r="K727" s="975" t="str">
        <f>IF(COUNTIFS(tblControles[Clave],tblControles[[#This Row],[Clave]])&gt;1,"Duplicado","")</f>
        <v/>
      </c>
    </row>
    <row r="728" spans="2:11">
      <c r="B728" s="975" t="str">
        <f>tblControles[[#This Row],[Fecha]]&amp;"|"&amp;tblControles[[#This Row],[Módulo]]&amp;"|"&amp;tblControles[[#This Row],[Ítem]]&amp;"|"&amp;tblControles[[#This Row],[Turno]]</f>
        <v>46273|TONELADAS X TURNO|Molino barras 3|2° turno</v>
      </c>
      <c r="C728" s="871">
        <v>46273</v>
      </c>
      <c r="D728" t="s">
        <v>9449</v>
      </c>
      <c r="E728" t="s">
        <v>389</v>
      </c>
      <c r="F728" t="s">
        <v>397</v>
      </c>
      <c r="G728">
        <v>1130</v>
      </c>
      <c r="H728" t="s">
        <v>9333</v>
      </c>
      <c r="I728" s="871">
        <v>46293.93683766204</v>
      </c>
      <c r="J728" t="s">
        <v>9528</v>
      </c>
      <c r="K728" s="975" t="str">
        <f>IF(COUNTIFS(tblControles[Clave],tblControles[[#This Row],[Clave]])&gt;1,"Duplicado","")</f>
        <v/>
      </c>
    </row>
    <row r="729" spans="2:11">
      <c r="B729" s="975" t="str">
        <f>tblControles[[#This Row],[Fecha]]&amp;"|"&amp;tblControles[[#This Row],[Módulo]]&amp;"|"&amp;tblControles[[#This Row],[Ítem]]&amp;"|"&amp;tblControles[[#This Row],[Turno]]</f>
        <v>46273|TONELADAS X TURNO|Molino barras 3|3° turno</v>
      </c>
      <c r="C729" s="871">
        <v>46273</v>
      </c>
      <c r="D729" t="s">
        <v>9449</v>
      </c>
      <c r="E729" t="s">
        <v>389</v>
      </c>
      <c r="F729" t="s">
        <v>398</v>
      </c>
      <c r="G729">
        <v>1200</v>
      </c>
      <c r="H729" t="s">
        <v>9333</v>
      </c>
      <c r="I729" s="871">
        <v>46293.93683766204</v>
      </c>
      <c r="J729" t="s">
        <v>9528</v>
      </c>
      <c r="K729" s="975" t="str">
        <f>IF(COUNTIFS(tblControles[Clave],tblControles[[#This Row],[Clave]])&gt;1,"Duplicado","")</f>
        <v/>
      </c>
    </row>
    <row r="730" spans="2:11">
      <c r="B730" s="975" t="str">
        <f>tblControles[[#This Row],[Fecha]]&amp;"|"&amp;tblControles[[#This Row],[Módulo]]&amp;"|"&amp;tblControles[[#This Row],[Ítem]]&amp;"|"&amp;tblControles[[#This Row],[Turno]]</f>
        <v>46273|TONELADAS X TURNO|Molino barras 4|1° turno</v>
      </c>
      <c r="C730" s="871">
        <v>46273</v>
      </c>
      <c r="D730" t="s">
        <v>9449</v>
      </c>
      <c r="E730" t="s">
        <v>390</v>
      </c>
      <c r="F730" t="s">
        <v>396</v>
      </c>
      <c r="G730">
        <v>0</v>
      </c>
      <c r="H730" t="s">
        <v>9333</v>
      </c>
      <c r="I730" s="871">
        <v>46293.93683766204</v>
      </c>
      <c r="J730" t="s">
        <v>9528</v>
      </c>
      <c r="K730" s="975" t="str">
        <f>IF(COUNTIFS(tblControles[Clave],tblControles[[#This Row],[Clave]])&gt;1,"Duplicado","")</f>
        <v/>
      </c>
    </row>
    <row r="731" spans="2:11">
      <c r="B731" s="975" t="str">
        <f>tblControles[[#This Row],[Fecha]]&amp;"|"&amp;tblControles[[#This Row],[Módulo]]&amp;"|"&amp;tblControles[[#This Row],[Ítem]]&amp;"|"&amp;tblControles[[#This Row],[Turno]]</f>
        <v>46273|TONELADAS X TURNO|Molino barras 4|2° turno</v>
      </c>
      <c r="C731" s="871">
        <v>46273</v>
      </c>
      <c r="D731" t="s">
        <v>9449</v>
      </c>
      <c r="E731" t="s">
        <v>390</v>
      </c>
      <c r="F731" t="s">
        <v>397</v>
      </c>
      <c r="G731">
        <v>0</v>
      </c>
      <c r="H731" t="s">
        <v>9333</v>
      </c>
      <c r="I731" s="871">
        <v>46293.93683766204</v>
      </c>
      <c r="J731" t="s">
        <v>9528</v>
      </c>
      <c r="K731" s="975" t="str">
        <f>IF(COUNTIFS(tblControles[Clave],tblControles[[#This Row],[Clave]])&gt;1,"Duplicado","")</f>
        <v/>
      </c>
    </row>
    <row r="732" spans="2:11">
      <c r="B732" s="975" t="str">
        <f>tblControles[[#This Row],[Fecha]]&amp;"|"&amp;tblControles[[#This Row],[Módulo]]&amp;"|"&amp;tblControles[[#This Row],[Ítem]]&amp;"|"&amp;tblControles[[#This Row],[Turno]]</f>
        <v>46273|TONELADAS X TURNO|Molino barras 4|3° turno</v>
      </c>
      <c r="C732" s="871">
        <v>46273</v>
      </c>
      <c r="D732" t="s">
        <v>9449</v>
      </c>
      <c r="E732" t="s">
        <v>390</v>
      </c>
      <c r="F732" t="s">
        <v>398</v>
      </c>
      <c r="G732">
        <v>0</v>
      </c>
      <c r="H732" t="s">
        <v>9333</v>
      </c>
      <c r="I732" s="871">
        <v>46293.93683766204</v>
      </c>
      <c r="J732" t="s">
        <v>9528</v>
      </c>
      <c r="K732" s="975" t="str">
        <f>IF(COUNTIFS(tblControles[Clave],tblControles[[#This Row],[Clave]])&gt;1,"Duplicado","")</f>
        <v/>
      </c>
    </row>
    <row r="733" spans="2:11">
      <c r="B733" s="975" t="str">
        <f>tblControles[[#This Row],[Fecha]]&amp;"|"&amp;tblControles[[#This Row],[Módulo]]&amp;"|"&amp;tblControles[[#This Row],[Ítem]]&amp;"|"&amp;tblControles[[#This Row],[Turno]]</f>
        <v>46273|TONELADAS X TURNO|Molino barras 5|1° turno</v>
      </c>
      <c r="C733" s="871">
        <v>46273</v>
      </c>
      <c r="D733" t="s">
        <v>9449</v>
      </c>
      <c r="E733" t="s">
        <v>391</v>
      </c>
      <c r="F733" t="s">
        <v>396</v>
      </c>
      <c r="G733">
        <v>0</v>
      </c>
      <c r="H733" t="s">
        <v>9333</v>
      </c>
      <c r="I733" s="871">
        <v>46293.93683766204</v>
      </c>
      <c r="J733" t="s">
        <v>9528</v>
      </c>
      <c r="K733" s="975" t="str">
        <f>IF(COUNTIFS(tblControles[Clave],tblControles[[#This Row],[Clave]])&gt;1,"Duplicado","")</f>
        <v/>
      </c>
    </row>
    <row r="734" spans="2:11">
      <c r="B734" s="975" t="str">
        <f>tblControles[[#This Row],[Fecha]]&amp;"|"&amp;tblControles[[#This Row],[Módulo]]&amp;"|"&amp;tblControles[[#This Row],[Ítem]]&amp;"|"&amp;tblControles[[#This Row],[Turno]]</f>
        <v>46273|TONELADAS X TURNO|Molino barras 5|2° turno</v>
      </c>
      <c r="C734" s="871">
        <v>46273</v>
      </c>
      <c r="D734" t="s">
        <v>9449</v>
      </c>
      <c r="E734" t="s">
        <v>391</v>
      </c>
      <c r="F734" t="s">
        <v>397</v>
      </c>
      <c r="G734">
        <v>655</v>
      </c>
      <c r="H734" t="s">
        <v>9333</v>
      </c>
      <c r="I734" s="871">
        <v>46293.93683766204</v>
      </c>
      <c r="J734" t="s">
        <v>9528</v>
      </c>
      <c r="K734" s="975" t="str">
        <f>IF(COUNTIFS(tblControles[Clave],tblControles[[#This Row],[Clave]])&gt;1,"Duplicado","")</f>
        <v/>
      </c>
    </row>
    <row r="735" spans="2:11">
      <c r="B735" s="975" t="str">
        <f>tblControles[[#This Row],[Fecha]]&amp;"|"&amp;tblControles[[#This Row],[Módulo]]&amp;"|"&amp;tblControles[[#This Row],[Ítem]]&amp;"|"&amp;tblControles[[#This Row],[Turno]]</f>
        <v>46273|TONELADAS X TURNO|Molino barras 5|3° turno</v>
      </c>
      <c r="C735" s="871">
        <v>46273</v>
      </c>
      <c r="D735" t="s">
        <v>9449</v>
      </c>
      <c r="E735" t="s">
        <v>391</v>
      </c>
      <c r="F735" t="s">
        <v>398</v>
      </c>
      <c r="G735">
        <v>1445</v>
      </c>
      <c r="H735" t="s">
        <v>9333</v>
      </c>
      <c r="I735" s="871">
        <v>46293.93683766204</v>
      </c>
      <c r="J735" t="s">
        <v>9528</v>
      </c>
      <c r="K735" s="975" t="str">
        <f>IF(COUNTIFS(tblControles[Clave],tblControles[[#This Row],[Clave]])&gt;1,"Duplicado","")</f>
        <v/>
      </c>
    </row>
    <row r="736" spans="2:11">
      <c r="B736" s="975" t="str">
        <f>tblControles[[#This Row],[Fecha]]&amp;"|"&amp;tblControles[[#This Row],[Módulo]]&amp;"|"&amp;tblControles[[#This Row],[Ítem]]&amp;"|"&amp;tblControles[[#This Row],[Turno]]</f>
        <v>46273|TONELADAS X TURNO|Molino barras 6|1° turno</v>
      </c>
      <c r="C736" s="871">
        <v>46273</v>
      </c>
      <c r="D736" t="s">
        <v>9449</v>
      </c>
      <c r="E736" t="s">
        <v>392</v>
      </c>
      <c r="F736" t="s">
        <v>396</v>
      </c>
      <c r="G736">
        <v>1558</v>
      </c>
      <c r="H736" t="s">
        <v>9333</v>
      </c>
      <c r="I736" s="871">
        <v>46293.93683766204</v>
      </c>
      <c r="J736" t="s">
        <v>9528</v>
      </c>
      <c r="K736" s="975" t="str">
        <f>IF(COUNTIFS(tblControles[Clave],tblControles[[#This Row],[Clave]])&gt;1,"Duplicado","")</f>
        <v/>
      </c>
    </row>
    <row r="737" spans="2:11">
      <c r="B737" s="975" t="str">
        <f>tblControles[[#This Row],[Fecha]]&amp;"|"&amp;tblControles[[#This Row],[Módulo]]&amp;"|"&amp;tblControles[[#This Row],[Ítem]]&amp;"|"&amp;tblControles[[#This Row],[Turno]]</f>
        <v>46273|TONELADAS X TURNO|Molino barras 6|2° turno</v>
      </c>
      <c r="C737" s="871">
        <v>46273</v>
      </c>
      <c r="D737" t="s">
        <v>9449</v>
      </c>
      <c r="E737" t="s">
        <v>392</v>
      </c>
      <c r="F737" t="s">
        <v>397</v>
      </c>
      <c r="G737">
        <v>1472</v>
      </c>
      <c r="H737" t="s">
        <v>9333</v>
      </c>
      <c r="I737" s="871">
        <v>46293.93683766204</v>
      </c>
      <c r="J737" t="s">
        <v>9528</v>
      </c>
      <c r="K737" s="975" t="str">
        <f>IF(COUNTIFS(tblControles[Clave],tblControles[[#This Row],[Clave]])&gt;1,"Duplicado","")</f>
        <v/>
      </c>
    </row>
    <row r="738" spans="2:11">
      <c r="B738" s="975" t="str">
        <f>tblControles[[#This Row],[Fecha]]&amp;"|"&amp;tblControles[[#This Row],[Módulo]]&amp;"|"&amp;tblControles[[#This Row],[Ítem]]&amp;"|"&amp;tblControles[[#This Row],[Turno]]</f>
        <v>46273|TONELADAS X TURNO|Molino barras 6|3° turno</v>
      </c>
      <c r="C738" s="871">
        <v>46273</v>
      </c>
      <c r="D738" t="s">
        <v>9449</v>
      </c>
      <c r="E738" t="s">
        <v>392</v>
      </c>
      <c r="F738" t="s">
        <v>398</v>
      </c>
      <c r="G738">
        <v>1435</v>
      </c>
      <c r="H738" t="s">
        <v>9333</v>
      </c>
      <c r="I738" s="871">
        <v>46293.93683766204</v>
      </c>
      <c r="J738" t="s">
        <v>9528</v>
      </c>
      <c r="K738" s="975" t="str">
        <f>IF(COUNTIFS(tblControles[Clave],tblControles[[#This Row],[Clave]])&gt;1,"Duplicado","")</f>
        <v/>
      </c>
    </row>
    <row r="739" spans="2:11">
      <c r="B739" s="975" t="str">
        <f>tblControles[[#This Row],[Fecha]]&amp;"|"&amp;tblControles[[#This Row],[Módulo]]&amp;"|"&amp;tblControles[[#This Row],[Ítem]]&amp;"|"&amp;tblControles[[#This Row],[Turno]]</f>
        <v>46273|TONELADAS X TURNO|Molino barras 7|1° turno</v>
      </c>
      <c r="C739" s="871">
        <v>46273</v>
      </c>
      <c r="D739" t="s">
        <v>9449</v>
      </c>
      <c r="E739" t="s">
        <v>393</v>
      </c>
      <c r="F739" t="s">
        <v>396</v>
      </c>
      <c r="G739">
        <v>1652</v>
      </c>
      <c r="H739" t="s">
        <v>9333</v>
      </c>
      <c r="I739" s="871">
        <v>46293.93683766204</v>
      </c>
      <c r="J739" t="s">
        <v>9528</v>
      </c>
      <c r="K739" s="975" t="str">
        <f>IF(COUNTIFS(tblControles[Clave],tblControles[[#This Row],[Clave]])&gt;1,"Duplicado","")</f>
        <v/>
      </c>
    </row>
    <row r="740" spans="2:11">
      <c r="B740" s="975" t="str">
        <f>tblControles[[#This Row],[Fecha]]&amp;"|"&amp;tblControles[[#This Row],[Módulo]]&amp;"|"&amp;tblControles[[#This Row],[Ítem]]&amp;"|"&amp;tblControles[[#This Row],[Turno]]</f>
        <v>46273|TONELADAS X TURNO|Molino barras 7|2° turno</v>
      </c>
      <c r="C740" s="871">
        <v>46273</v>
      </c>
      <c r="D740" t="s">
        <v>9449</v>
      </c>
      <c r="E740" t="s">
        <v>393</v>
      </c>
      <c r="F740" t="s">
        <v>397</v>
      </c>
      <c r="G740">
        <v>1732</v>
      </c>
      <c r="H740" t="s">
        <v>9333</v>
      </c>
      <c r="I740" s="871">
        <v>46293.93683766204</v>
      </c>
      <c r="J740" t="s">
        <v>9528</v>
      </c>
      <c r="K740" s="975" t="str">
        <f>IF(COUNTIFS(tblControles[Clave],tblControles[[#This Row],[Clave]])&gt;1,"Duplicado","")</f>
        <v/>
      </c>
    </row>
    <row r="741" spans="2:11">
      <c r="B741" s="975" t="str">
        <f>tblControles[[#This Row],[Fecha]]&amp;"|"&amp;tblControles[[#This Row],[Módulo]]&amp;"|"&amp;tblControles[[#This Row],[Ítem]]&amp;"|"&amp;tblControles[[#This Row],[Turno]]</f>
        <v>46273|TONELADAS X TURNO|Molino barras 7|3° turno</v>
      </c>
      <c r="C741" s="871">
        <v>46273</v>
      </c>
      <c r="D741" t="s">
        <v>9449</v>
      </c>
      <c r="E741" t="s">
        <v>393</v>
      </c>
      <c r="F741" t="s">
        <v>398</v>
      </c>
      <c r="G741">
        <v>1676</v>
      </c>
      <c r="H741" t="s">
        <v>9333</v>
      </c>
      <c r="I741" s="871">
        <v>46293.93683766204</v>
      </c>
      <c r="J741" t="s">
        <v>9528</v>
      </c>
      <c r="K741" s="975" t="str">
        <f>IF(COUNTIFS(tblControles[Clave],tblControles[[#This Row],[Clave]])&gt;1,"Duplicado","")</f>
        <v/>
      </c>
    </row>
    <row r="742" spans="2:11">
      <c r="B742" s="975" t="str">
        <f>tblControles[[#This Row],[Fecha]]&amp;"|"&amp;tblControles[[#This Row],[Módulo]]&amp;"|"&amp;tblControles[[#This Row],[Ítem]]&amp;"|"&amp;tblControles[[#This Row],[Turno]]</f>
        <v>46273|TONELADAS X TURNO|Molino barras 8|1° turno</v>
      </c>
      <c r="C742" s="871">
        <v>46273</v>
      </c>
      <c r="D742" t="s">
        <v>9449</v>
      </c>
      <c r="E742" t="s">
        <v>394</v>
      </c>
      <c r="F742" t="s">
        <v>396</v>
      </c>
      <c r="G742">
        <v>1643</v>
      </c>
      <c r="H742" t="s">
        <v>9333</v>
      </c>
      <c r="I742" s="871">
        <v>46293.93683766204</v>
      </c>
      <c r="J742" t="s">
        <v>9528</v>
      </c>
      <c r="K742" s="975" t="str">
        <f>IF(COUNTIFS(tblControles[Clave],tblControles[[#This Row],[Clave]])&gt;1,"Duplicado","")</f>
        <v/>
      </c>
    </row>
    <row r="743" spans="2:11">
      <c r="B743" s="975" t="str">
        <f>tblControles[[#This Row],[Fecha]]&amp;"|"&amp;tblControles[[#This Row],[Módulo]]&amp;"|"&amp;tblControles[[#This Row],[Ítem]]&amp;"|"&amp;tblControles[[#This Row],[Turno]]</f>
        <v>46273|TONELADAS X TURNO|Molino barras 8|2° turno</v>
      </c>
      <c r="C743" s="871">
        <v>46273</v>
      </c>
      <c r="D743" t="s">
        <v>9449</v>
      </c>
      <c r="E743" t="s">
        <v>394</v>
      </c>
      <c r="F743" t="s">
        <v>397</v>
      </c>
      <c r="G743">
        <v>1659</v>
      </c>
      <c r="H743" t="s">
        <v>9333</v>
      </c>
      <c r="I743" s="871">
        <v>46293.93683766204</v>
      </c>
      <c r="J743" t="s">
        <v>9528</v>
      </c>
      <c r="K743" s="975" t="str">
        <f>IF(COUNTIFS(tblControles[Clave],tblControles[[#This Row],[Clave]])&gt;1,"Duplicado","")</f>
        <v/>
      </c>
    </row>
    <row r="744" spans="2:11">
      <c r="B744" s="975" t="str">
        <f>tblControles[[#This Row],[Fecha]]&amp;"|"&amp;tblControles[[#This Row],[Módulo]]&amp;"|"&amp;tblControles[[#This Row],[Ítem]]&amp;"|"&amp;tblControles[[#This Row],[Turno]]</f>
        <v>46273|TONELADAS X TURNO|Molino barras 8|3° turno</v>
      </c>
      <c r="C744" s="871">
        <v>46273</v>
      </c>
      <c r="D744" t="s">
        <v>9449</v>
      </c>
      <c r="E744" t="s">
        <v>394</v>
      </c>
      <c r="F744" t="s">
        <v>398</v>
      </c>
      <c r="G744">
        <v>1587</v>
      </c>
      <c r="H744" t="s">
        <v>9333</v>
      </c>
      <c r="I744" s="871">
        <v>46293.93683766204</v>
      </c>
      <c r="J744" t="s">
        <v>9528</v>
      </c>
      <c r="K744" s="975" t="str">
        <f>IF(COUNTIFS(tblControles[Clave],tblControles[[#This Row],[Clave]])&gt;1,"Duplicado","")</f>
        <v/>
      </c>
    </row>
    <row r="745" spans="2:11">
      <c r="B745" s="975" t="str">
        <f>tblControles[[#This Row],[Fecha]]&amp;"|"&amp;tblControles[[#This Row],[Módulo]]&amp;"|"&amp;tblControles[[#This Row],[Ítem]]&amp;"|"&amp;tblControles[[#This Row],[Turno]]</f>
        <v>46273|TONELADAS X TURNO|Molino barras 9|1° turno</v>
      </c>
      <c r="C745" s="871">
        <v>46273</v>
      </c>
      <c r="D745" t="s">
        <v>9449</v>
      </c>
      <c r="E745" t="s">
        <v>395</v>
      </c>
      <c r="F745" t="s">
        <v>396</v>
      </c>
      <c r="G745">
        <v>1900</v>
      </c>
      <c r="H745" t="s">
        <v>9333</v>
      </c>
      <c r="I745" s="871">
        <v>46293.93683766204</v>
      </c>
      <c r="J745" t="s">
        <v>9528</v>
      </c>
      <c r="K745" s="975" t="str">
        <f>IF(COUNTIFS(tblControles[Clave],tblControles[[#This Row],[Clave]])&gt;1,"Duplicado","")</f>
        <v/>
      </c>
    </row>
    <row r="746" spans="2:11">
      <c r="B746" s="975" t="str">
        <f>tblControles[[#This Row],[Fecha]]&amp;"|"&amp;tblControles[[#This Row],[Módulo]]&amp;"|"&amp;tblControles[[#This Row],[Ítem]]&amp;"|"&amp;tblControles[[#This Row],[Turno]]</f>
        <v>46273|TONELADAS X TURNO|Molino barras 9|2° turno</v>
      </c>
      <c r="C746" s="871">
        <v>46273</v>
      </c>
      <c r="D746" t="s">
        <v>9449</v>
      </c>
      <c r="E746" t="s">
        <v>395</v>
      </c>
      <c r="F746" t="s">
        <v>397</v>
      </c>
      <c r="G746">
        <v>1639</v>
      </c>
      <c r="H746" t="s">
        <v>9333</v>
      </c>
      <c r="I746" s="871">
        <v>46293.93683766204</v>
      </c>
      <c r="J746" t="s">
        <v>9528</v>
      </c>
      <c r="K746" s="975" t="str">
        <f>IF(COUNTIFS(tblControles[Clave],tblControles[[#This Row],[Clave]])&gt;1,"Duplicado","")</f>
        <v/>
      </c>
    </row>
    <row r="747" spans="2:11">
      <c r="B747" s="975" t="str">
        <f>tblControles[[#This Row],[Fecha]]&amp;"|"&amp;tblControles[[#This Row],[Módulo]]&amp;"|"&amp;tblControles[[#This Row],[Ítem]]&amp;"|"&amp;tblControles[[#This Row],[Turno]]</f>
        <v>46273|TONELADAS X TURNO|Molino barras 9|3° turno</v>
      </c>
      <c r="C747" s="871">
        <v>46273</v>
      </c>
      <c r="D747" t="s">
        <v>9449</v>
      </c>
      <c r="E747" t="s">
        <v>395</v>
      </c>
      <c r="F747" t="s">
        <v>398</v>
      </c>
      <c r="G747">
        <v>1756</v>
      </c>
      <c r="H747" t="s">
        <v>9333</v>
      </c>
      <c r="I747" s="871">
        <v>46293.93683766204</v>
      </c>
      <c r="J747" t="s">
        <v>9528</v>
      </c>
      <c r="K747" s="975" t="str">
        <f>IF(COUNTIFS(tblControles[Clave],tblControles[[#This Row],[Clave]])&gt;1,"Duplicado","")</f>
        <v/>
      </c>
    </row>
    <row r="748" spans="2:11">
      <c r="B748" s="975" t="str">
        <f>tblControles[[#This Row],[Fecha]]&amp;"|"&amp;tblControles[[#This Row],[Módulo]]&amp;"|"&amp;tblControles[[#This Row],[Ítem]]&amp;"|"&amp;tblControles[[#This Row],[Turno]]</f>
        <v>46274|AGREGADO MEDIOS|BARRAS RM1|Cantidad</v>
      </c>
      <c r="C748" s="871">
        <v>46274</v>
      </c>
      <c r="D748" t="s">
        <v>9451</v>
      </c>
      <c r="E748" t="s">
        <v>410</v>
      </c>
      <c r="F748" t="s">
        <v>9453</v>
      </c>
      <c r="G748">
        <v>9</v>
      </c>
      <c r="H748" t="s">
        <v>9333</v>
      </c>
      <c r="I748" s="871">
        <v>46293.93683766204</v>
      </c>
      <c r="J748" t="s">
        <v>9524</v>
      </c>
      <c r="K748" s="975" t="str">
        <f>IF(COUNTIFS(tblControles[Clave],tblControles[[#This Row],[Clave]])&gt;1,"Duplicado","")</f>
        <v/>
      </c>
    </row>
    <row r="749" spans="2:11">
      <c r="B749" s="975" t="str">
        <f>tblControles[[#This Row],[Fecha]]&amp;"|"&amp;tblControles[[#This Row],[Módulo]]&amp;"|"&amp;tblControles[[#This Row],[Ítem]]&amp;"|"&amp;tblControles[[#This Row],[Turno]]</f>
        <v>46274|AGREGADO MEDIOS|BARRAS RM2|Cantidad</v>
      </c>
      <c r="C749" s="871">
        <v>46274</v>
      </c>
      <c r="D749" t="s">
        <v>9451</v>
      </c>
      <c r="E749" t="s">
        <v>411</v>
      </c>
      <c r="F749" t="s">
        <v>9453</v>
      </c>
      <c r="G749">
        <v>0</v>
      </c>
      <c r="H749" t="s">
        <v>9333</v>
      </c>
      <c r="I749" s="871">
        <v>46293.93683766204</v>
      </c>
      <c r="J749" t="s">
        <v>9524</v>
      </c>
      <c r="K749" s="975" t="str">
        <f>IF(COUNTIFS(tblControles[Clave],tblControles[[#This Row],[Clave]])&gt;1,"Duplicado","")</f>
        <v/>
      </c>
    </row>
    <row r="750" spans="2:11">
      <c r="B750" s="975" t="str">
        <f>tblControles[[#This Row],[Fecha]]&amp;"|"&amp;tblControles[[#This Row],[Módulo]]&amp;"|"&amp;tblControles[[#This Row],[Ítem]]&amp;"|"&amp;tblControles[[#This Row],[Turno]]</f>
        <v>46274|AGREGADO MEDIOS|BARRAS RM3|Cantidad</v>
      </c>
      <c r="C750" s="871">
        <v>46274</v>
      </c>
      <c r="D750" t="s">
        <v>9451</v>
      </c>
      <c r="E750" t="s">
        <v>412</v>
      </c>
      <c r="F750" t="s">
        <v>9453</v>
      </c>
      <c r="G750">
        <v>0</v>
      </c>
      <c r="H750" t="s">
        <v>9333</v>
      </c>
      <c r="I750" s="871">
        <v>46293.93683766204</v>
      </c>
      <c r="J750" t="s">
        <v>9524</v>
      </c>
      <c r="K750" s="975" t="str">
        <f>IF(COUNTIFS(tblControles[Clave],tblControles[[#This Row],[Clave]])&gt;1,"Duplicado","")</f>
        <v/>
      </c>
    </row>
    <row r="751" spans="2:11">
      <c r="B751" s="975" t="str">
        <f>tblControles[[#This Row],[Fecha]]&amp;"|"&amp;tblControles[[#This Row],[Módulo]]&amp;"|"&amp;tblControles[[#This Row],[Ítem]]&amp;"|"&amp;tblControles[[#This Row],[Turno]]</f>
        <v>46274|AGREGADO MEDIOS|BARRAS RM4|Cantidad</v>
      </c>
      <c r="C751" s="871">
        <v>46274</v>
      </c>
      <c r="D751" t="s">
        <v>9451</v>
      </c>
      <c r="E751" t="s">
        <v>413</v>
      </c>
      <c r="F751" t="s">
        <v>9453</v>
      </c>
      <c r="G751">
        <v>0</v>
      </c>
      <c r="H751" t="s">
        <v>9333</v>
      </c>
      <c r="I751" s="871">
        <v>46293.93683766204</v>
      </c>
      <c r="J751" t="s">
        <v>9524</v>
      </c>
      <c r="K751" s="975" t="str">
        <f>IF(COUNTIFS(tblControles[Clave],tblControles[[#This Row],[Clave]])&gt;1,"Duplicado","")</f>
        <v/>
      </c>
    </row>
    <row r="752" spans="2:11">
      <c r="B752" s="975" t="str">
        <f>tblControles[[#This Row],[Fecha]]&amp;"|"&amp;tblControles[[#This Row],[Módulo]]&amp;"|"&amp;tblControles[[#This Row],[Ítem]]&amp;"|"&amp;tblControles[[#This Row],[Turno]]</f>
        <v>46274|AGREGADO MEDIOS|BARRAS RM5|Cantidad</v>
      </c>
      <c r="C752" s="871">
        <v>46274</v>
      </c>
      <c r="D752" t="s">
        <v>9451</v>
      </c>
      <c r="E752" t="s">
        <v>414</v>
      </c>
      <c r="F752" t="s">
        <v>9453</v>
      </c>
      <c r="G752">
        <v>18</v>
      </c>
      <c r="H752" t="s">
        <v>9333</v>
      </c>
      <c r="I752" s="871">
        <v>46293.93683766204</v>
      </c>
      <c r="J752" t="s">
        <v>9524</v>
      </c>
      <c r="K752" s="975" t="str">
        <f>IF(COUNTIFS(tblControles[Clave],tblControles[[#This Row],[Clave]])&gt;1,"Duplicado","")</f>
        <v/>
      </c>
    </row>
    <row r="753" spans="2:11">
      <c r="B753" s="975" t="str">
        <f>tblControles[[#This Row],[Fecha]]&amp;"|"&amp;tblControles[[#This Row],[Módulo]]&amp;"|"&amp;tblControles[[#This Row],[Ítem]]&amp;"|"&amp;tblControles[[#This Row],[Turno]]</f>
        <v>46274|AGREGADO MEDIOS|BARRAS RM6|Cantidad</v>
      </c>
      <c r="C753" s="871">
        <v>46274</v>
      </c>
      <c r="D753" t="s">
        <v>9451</v>
      </c>
      <c r="E753" t="s">
        <v>415</v>
      </c>
      <c r="F753" t="s">
        <v>9453</v>
      </c>
      <c r="G753">
        <v>14</v>
      </c>
      <c r="H753" t="s">
        <v>9333</v>
      </c>
      <c r="I753" s="871">
        <v>46293.93683766204</v>
      </c>
      <c r="J753" t="s">
        <v>9524</v>
      </c>
      <c r="K753" s="975" t="str">
        <f>IF(COUNTIFS(tblControles[Clave],tblControles[[#This Row],[Clave]])&gt;1,"Duplicado","")</f>
        <v/>
      </c>
    </row>
    <row r="754" spans="2:11">
      <c r="B754" s="975" t="str">
        <f>tblControles[[#This Row],[Fecha]]&amp;"|"&amp;tblControles[[#This Row],[Módulo]]&amp;"|"&amp;tblControles[[#This Row],[Ítem]]&amp;"|"&amp;tblControles[[#This Row],[Turno]]</f>
        <v>46274|AGREGADO MEDIOS|BARRAS RM7|Cantidad</v>
      </c>
      <c r="C754" s="871">
        <v>46274</v>
      </c>
      <c r="D754" t="s">
        <v>9451</v>
      </c>
      <c r="E754" t="s">
        <v>416</v>
      </c>
      <c r="F754" t="s">
        <v>9453</v>
      </c>
      <c r="G754">
        <v>9</v>
      </c>
      <c r="H754" t="s">
        <v>9333</v>
      </c>
      <c r="I754" s="871">
        <v>46293.93683766204</v>
      </c>
      <c r="J754" t="s">
        <v>9524</v>
      </c>
      <c r="K754" s="975" t="str">
        <f>IF(COUNTIFS(tblControles[Clave],tblControles[[#This Row],[Clave]])&gt;1,"Duplicado","")</f>
        <v/>
      </c>
    </row>
    <row r="755" spans="2:11">
      <c r="B755" s="975" t="str">
        <f>tblControles[[#This Row],[Fecha]]&amp;"|"&amp;tblControles[[#This Row],[Módulo]]&amp;"|"&amp;tblControles[[#This Row],[Ítem]]&amp;"|"&amp;tblControles[[#This Row],[Turno]]</f>
        <v>46274|AGREGADO MEDIOS|BARRAS RM8|Cantidad</v>
      </c>
      <c r="C755" s="871">
        <v>46274</v>
      </c>
      <c r="D755" t="s">
        <v>9451</v>
      </c>
      <c r="E755" t="s">
        <v>417</v>
      </c>
      <c r="F755" t="s">
        <v>9453</v>
      </c>
      <c r="G755">
        <v>0</v>
      </c>
      <c r="H755" t="s">
        <v>9333</v>
      </c>
      <c r="I755" s="871">
        <v>46293.93683766204</v>
      </c>
      <c r="J755" t="s">
        <v>9524</v>
      </c>
      <c r="K755" s="975" t="str">
        <f>IF(COUNTIFS(tblControles[Clave],tblControles[[#This Row],[Clave]])&gt;1,"Duplicado","")</f>
        <v/>
      </c>
    </row>
    <row r="756" spans="2:11">
      <c r="B756" s="975" t="str">
        <f>tblControles[[#This Row],[Fecha]]&amp;"|"&amp;tblControles[[#This Row],[Módulo]]&amp;"|"&amp;tblControles[[#This Row],[Ítem]]&amp;"|"&amp;tblControles[[#This Row],[Turno]]</f>
        <v>46274|AGREGADO MEDIOS|BARRAS 9 RM9|Cantidad</v>
      </c>
      <c r="C756" s="871">
        <v>46274</v>
      </c>
      <c r="D756" t="s">
        <v>9451</v>
      </c>
      <c r="E756" t="s">
        <v>418</v>
      </c>
      <c r="F756" t="s">
        <v>9453</v>
      </c>
      <c r="G756">
        <v>9</v>
      </c>
      <c r="H756" t="s">
        <v>9333</v>
      </c>
      <c r="I756" s="871">
        <v>46293.93683766204</v>
      </c>
      <c r="J756" t="s">
        <v>9524</v>
      </c>
      <c r="K756" s="975" t="str">
        <f>IF(COUNTIFS(tblControles[Clave],tblControles[[#This Row],[Clave]])&gt;1,"Duplicado","")</f>
        <v/>
      </c>
    </row>
    <row r="757" spans="2:11">
      <c r="B757" s="975" t="str">
        <f>tblControles[[#This Row],[Fecha]]&amp;"|"&amp;tblControles[[#This Row],[Módulo]]&amp;"|"&amp;tblControles[[#This Row],[Ítem]]&amp;"|"&amp;tblControles[[#This Row],[Turno]]</f>
        <v>46274|AGREGADO MEDIOS|CONOS 40X50 BM1|Cantidad</v>
      </c>
      <c r="C757" s="871">
        <v>46274</v>
      </c>
      <c r="D757" t="s">
        <v>9451</v>
      </c>
      <c r="E757" t="s">
        <v>420</v>
      </c>
      <c r="F757" t="s">
        <v>9453</v>
      </c>
      <c r="G757">
        <v>6</v>
      </c>
      <c r="H757" t="s">
        <v>9333</v>
      </c>
      <c r="I757" s="871">
        <v>46293.93683766204</v>
      </c>
      <c r="J757" t="s">
        <v>9524</v>
      </c>
      <c r="K757" s="975" t="str">
        <f>IF(COUNTIFS(tblControles[Clave],tblControles[[#This Row],[Clave]])&gt;1,"Duplicado","")</f>
        <v/>
      </c>
    </row>
    <row r="758" spans="2:11">
      <c r="B758" s="975" t="str">
        <f>tblControles[[#This Row],[Fecha]]&amp;"|"&amp;tblControles[[#This Row],[Módulo]]&amp;"|"&amp;tblControles[[#This Row],[Ítem]]&amp;"|"&amp;tblControles[[#This Row],[Turno]]</f>
        <v>46274|AGREGADO MEDIOS|CONOS 40X50 BM2|Cantidad</v>
      </c>
      <c r="C758" s="871">
        <v>46274</v>
      </c>
      <c r="D758" t="s">
        <v>9451</v>
      </c>
      <c r="E758" t="s">
        <v>421</v>
      </c>
      <c r="F758" t="s">
        <v>9453</v>
      </c>
      <c r="G758">
        <v>0</v>
      </c>
      <c r="H758" t="s">
        <v>9333</v>
      </c>
      <c r="I758" s="871">
        <v>46293.93683766204</v>
      </c>
      <c r="J758" t="s">
        <v>9524</v>
      </c>
      <c r="K758" s="975" t="str">
        <f>IF(COUNTIFS(tblControles[Clave],tblControles[[#This Row],[Clave]])&gt;1,"Duplicado","")</f>
        <v/>
      </c>
    </row>
    <row r="759" spans="2:11">
      <c r="B759" s="975" t="str">
        <f>tblControles[[#This Row],[Fecha]]&amp;"|"&amp;tblControles[[#This Row],[Módulo]]&amp;"|"&amp;tblControles[[#This Row],[Ítem]]&amp;"|"&amp;tblControles[[#This Row],[Turno]]</f>
        <v>46274|AGREGADO MEDIOS|CONOS 40X50 BM3|Cantidad</v>
      </c>
      <c r="C759" s="871">
        <v>46274</v>
      </c>
      <c r="D759" t="s">
        <v>9451</v>
      </c>
      <c r="E759" t="s">
        <v>422</v>
      </c>
      <c r="F759" t="s">
        <v>9453</v>
      </c>
      <c r="G759">
        <v>4</v>
      </c>
      <c r="H759" t="s">
        <v>9333</v>
      </c>
      <c r="I759" s="871">
        <v>46293.93683766204</v>
      </c>
      <c r="J759" t="s">
        <v>9524</v>
      </c>
      <c r="K759" s="975" t="str">
        <f>IF(COUNTIFS(tblControles[Clave],tblControles[[#This Row],[Clave]])&gt;1,"Duplicado","")</f>
        <v/>
      </c>
    </row>
    <row r="760" spans="2:11">
      <c r="B760" s="975" t="str">
        <f>tblControles[[#This Row],[Fecha]]&amp;"|"&amp;tblControles[[#This Row],[Módulo]]&amp;"|"&amp;tblControles[[#This Row],[Ítem]]&amp;"|"&amp;tblControles[[#This Row],[Turno]]</f>
        <v>46274|AGREGADO MEDIOS|CONOS 40X50 BM4|Cantidad</v>
      </c>
      <c r="C760" s="871">
        <v>46274</v>
      </c>
      <c r="D760" t="s">
        <v>9451</v>
      </c>
      <c r="E760" t="s">
        <v>423</v>
      </c>
      <c r="F760" t="s">
        <v>9453</v>
      </c>
      <c r="G760">
        <v>0</v>
      </c>
      <c r="H760" t="s">
        <v>9333</v>
      </c>
      <c r="I760" s="871">
        <v>46293.93683766204</v>
      </c>
      <c r="J760" t="s">
        <v>9524</v>
      </c>
      <c r="K760" s="975" t="str">
        <f>IF(COUNTIFS(tblControles[Clave],tblControles[[#This Row],[Clave]])&gt;1,"Duplicado","")</f>
        <v/>
      </c>
    </row>
    <row r="761" spans="2:11">
      <c r="B761" s="975" t="str">
        <f>tblControles[[#This Row],[Fecha]]&amp;"|"&amp;tblControles[[#This Row],[Módulo]]&amp;"|"&amp;tblControles[[#This Row],[Ítem]]&amp;"|"&amp;tblControles[[#This Row],[Turno]]</f>
        <v>46274|AGREGADO MEDIOS|CONOS 30X35 BM5|Cantidad</v>
      </c>
      <c r="C761" s="871">
        <v>46274</v>
      </c>
      <c r="D761" t="s">
        <v>9451</v>
      </c>
      <c r="E761" t="s">
        <v>424</v>
      </c>
      <c r="F761" t="s">
        <v>9453</v>
      </c>
      <c r="G761">
        <v>6</v>
      </c>
      <c r="H761" t="s">
        <v>9333</v>
      </c>
      <c r="I761" s="871">
        <v>46293.93683766204</v>
      </c>
      <c r="J761" t="s">
        <v>9524</v>
      </c>
      <c r="K761" s="975" t="str">
        <f>IF(COUNTIFS(tblControles[Clave],tblControles[[#This Row],[Clave]])&gt;1,"Duplicado","")</f>
        <v/>
      </c>
    </row>
    <row r="762" spans="2:11">
      <c r="B762" s="975" t="str">
        <f>tblControles[[#This Row],[Fecha]]&amp;"|"&amp;tblControles[[#This Row],[Módulo]]&amp;"|"&amp;tblControles[[#This Row],[Ítem]]&amp;"|"&amp;tblControles[[#This Row],[Turno]]</f>
        <v>46274|AGREGADO MEDIOS|CONOS 40X50 BM6|Cantidad</v>
      </c>
      <c r="C762" s="871">
        <v>46274</v>
      </c>
      <c r="D762" t="s">
        <v>9451</v>
      </c>
      <c r="E762" t="s">
        <v>425</v>
      </c>
      <c r="F762" t="s">
        <v>9453</v>
      </c>
      <c r="G762">
        <v>0</v>
      </c>
      <c r="H762" t="s">
        <v>9333</v>
      </c>
      <c r="I762" s="871">
        <v>46293.93683766204</v>
      </c>
      <c r="J762" t="s">
        <v>9524</v>
      </c>
      <c r="K762" s="975" t="str">
        <f>IF(COUNTIFS(tblControles[Clave],tblControles[[#This Row],[Clave]])&gt;1,"Duplicado","")</f>
        <v/>
      </c>
    </row>
    <row r="763" spans="2:11">
      <c r="B763" s="975" t="str">
        <f>tblControles[[#This Row],[Fecha]]&amp;"|"&amp;tblControles[[#This Row],[Módulo]]&amp;"|"&amp;tblControles[[#This Row],[Ítem]]&amp;"|"&amp;tblControles[[#This Row],[Turno]]</f>
        <v>46274|AGREGADO MEDIOS|CONOS 40X50 BM7|Cantidad</v>
      </c>
      <c r="C763" s="871">
        <v>46274</v>
      </c>
      <c r="D763" t="s">
        <v>9451</v>
      </c>
      <c r="E763" t="s">
        <v>426</v>
      </c>
      <c r="F763" t="s">
        <v>9453</v>
      </c>
      <c r="G763">
        <v>4</v>
      </c>
      <c r="H763" t="s">
        <v>9333</v>
      </c>
      <c r="I763" s="871">
        <v>46293.93683766204</v>
      </c>
      <c r="J763" t="s">
        <v>9524</v>
      </c>
      <c r="K763" s="975" t="str">
        <f>IF(COUNTIFS(tblControles[Clave],tblControles[[#This Row],[Clave]])&gt;1,"Duplicado","")</f>
        <v/>
      </c>
    </row>
    <row r="764" spans="2:11">
      <c r="B764" s="975" t="str">
        <f>tblControles[[#This Row],[Fecha]]&amp;"|"&amp;tblControles[[#This Row],[Módulo]]&amp;"|"&amp;tblControles[[#This Row],[Ítem]]&amp;"|"&amp;tblControles[[#This Row],[Turno]]</f>
        <v>46274|AGREGADO MEDIOS|CONOS 40X50|Cantidad</v>
      </c>
      <c r="C764" s="871">
        <v>46274</v>
      </c>
      <c r="D764" t="s">
        <v>9451</v>
      </c>
      <c r="E764" t="s">
        <v>427</v>
      </c>
      <c r="F764" t="s">
        <v>9453</v>
      </c>
      <c r="G764">
        <v>6</v>
      </c>
      <c r="H764" t="s">
        <v>9333</v>
      </c>
      <c r="I764" s="871">
        <v>46293.93683766204</v>
      </c>
      <c r="J764" t="s">
        <v>9524</v>
      </c>
      <c r="K764" s="975" t="str">
        <f>IF(COUNTIFS(tblControles[Clave],tblControles[[#This Row],[Clave]])&gt;1,"Duplicado","")</f>
        <v/>
      </c>
    </row>
    <row r="765" spans="2:11">
      <c r="B765" s="975" t="str">
        <f>tblControles[[#This Row],[Fecha]]&amp;"|"&amp;tblControles[[#This Row],[Módulo]]&amp;"|"&amp;tblControles[[#This Row],[Ítem]]&amp;"|"&amp;tblControles[[#This Row],[Turno]]</f>
        <v>46274|AGREGADO MEDIOS|CONOS 30X35|Cantidad</v>
      </c>
      <c r="C765" s="871">
        <v>46274</v>
      </c>
      <c r="D765" t="s">
        <v>9451</v>
      </c>
      <c r="E765" t="s">
        <v>428</v>
      </c>
      <c r="F765" t="s">
        <v>9453</v>
      </c>
      <c r="G765">
        <v>14</v>
      </c>
      <c r="H765" t="s">
        <v>9333</v>
      </c>
      <c r="I765" s="871">
        <v>46293.93683766204</v>
      </c>
      <c r="J765" t="s">
        <v>9524</v>
      </c>
      <c r="K765" s="975" t="str">
        <f>IF(COUNTIFS(tblControles[Clave],tblControles[[#This Row],[Clave]])&gt;1,"Duplicado","")</f>
        <v/>
      </c>
    </row>
    <row r="766" spans="2:11">
      <c r="B766" s="975" t="str">
        <f>tblControles[[#This Row],[Fecha]]&amp;"|"&amp;tblControles[[#This Row],[Módulo]]&amp;"|"&amp;tblControles[[#This Row],[Ítem]]&amp;"|"&amp;tblControles[[#This Row],[Turno]]</f>
        <v>46274|AGREGADO MEDIOS|BOLAS BM8|Cantidad</v>
      </c>
      <c r="C766" s="871">
        <v>46274</v>
      </c>
      <c r="D766" t="s">
        <v>9451</v>
      </c>
      <c r="E766" t="s">
        <v>429</v>
      </c>
      <c r="F766" t="s">
        <v>9453</v>
      </c>
      <c r="G766">
        <v>4</v>
      </c>
      <c r="H766" t="s">
        <v>9333</v>
      </c>
      <c r="I766" s="871">
        <v>46293.93683766204</v>
      </c>
      <c r="J766" t="s">
        <v>9524</v>
      </c>
      <c r="K766" s="975" t="str">
        <f>IF(COUNTIFS(tblControles[Clave],tblControles[[#This Row],[Clave]])&gt;1,"Duplicado","")</f>
        <v/>
      </c>
    </row>
    <row r="767" spans="2:11">
      <c r="B767" s="975" t="str">
        <f>tblControles[[#This Row],[Fecha]]&amp;"|"&amp;tblControles[[#This Row],[Módulo]]&amp;"|"&amp;tblControles[[#This Row],[Ítem]]&amp;"|"&amp;tblControles[[#This Row],[Turno]]</f>
        <v>46274|AGREGADO MEDIOS|BOLAS BM9|Cantidad</v>
      </c>
      <c r="C767" s="871">
        <v>46274</v>
      </c>
      <c r="D767" t="s">
        <v>9451</v>
      </c>
      <c r="E767" t="s">
        <v>430</v>
      </c>
      <c r="F767" t="s">
        <v>9453</v>
      </c>
      <c r="G767">
        <v>4</v>
      </c>
      <c r="H767" t="s">
        <v>9333</v>
      </c>
      <c r="I767" s="871">
        <v>46293.93683766204</v>
      </c>
      <c r="J767" t="s">
        <v>9524</v>
      </c>
      <c r="K767" s="975" t="str">
        <f>IF(COUNTIFS(tblControles[Clave],tblControles[[#This Row],[Clave]])&gt;1,"Duplicado","")</f>
        <v/>
      </c>
    </row>
    <row r="768" spans="2:11">
      <c r="B768" s="975" t="str">
        <f>tblControles[[#This Row],[Fecha]]&amp;"|"&amp;tblControles[[#This Row],[Módulo]]&amp;"|"&amp;tblControles[[#This Row],[Ítem]]&amp;"|"&amp;tblControles[[#This Row],[Turno]]</f>
        <v>46274|AGREGADO MEDIOS|BOLAS BM10|Cantidad</v>
      </c>
      <c r="C768" s="871">
        <v>46274</v>
      </c>
      <c r="D768" t="s">
        <v>9451</v>
      </c>
      <c r="E768" t="s">
        <v>431</v>
      </c>
      <c r="F768" t="s">
        <v>9453</v>
      </c>
      <c r="G768">
        <v>4</v>
      </c>
      <c r="H768" t="s">
        <v>9333</v>
      </c>
      <c r="I768" s="871">
        <v>46293.93683766204</v>
      </c>
      <c r="J768" t="s">
        <v>9524</v>
      </c>
      <c r="K768" s="975" t="str">
        <f>IF(COUNTIFS(tblControles[Clave],tblControles[[#This Row],[Clave]])&gt;1,"Duplicado","")</f>
        <v/>
      </c>
    </row>
    <row r="769" spans="2:11">
      <c r="B769" s="975" t="str">
        <f>tblControles[[#This Row],[Fecha]]&amp;"|"&amp;tblControles[[#This Row],[Módulo]]&amp;"|"&amp;tblControles[[#This Row],[Ítem]]&amp;"|"&amp;tblControles[[#This Row],[Turno]]</f>
        <v>46274|AGREGADO MEDIOS|BOLAS ALTO CROM|Cantidad</v>
      </c>
      <c r="C769" s="871">
        <v>46274</v>
      </c>
      <c r="D769" t="s">
        <v>9451</v>
      </c>
      <c r="E769" t="s">
        <v>432</v>
      </c>
      <c r="F769" t="s">
        <v>9453</v>
      </c>
      <c r="G769">
        <v>12</v>
      </c>
      <c r="H769" t="s">
        <v>9333</v>
      </c>
      <c r="I769" s="871">
        <v>46293.93683766204</v>
      </c>
      <c r="J769" t="s">
        <v>9524</v>
      </c>
      <c r="K769" s="975" t="str">
        <f>IF(COUNTIFS(tblControles[Clave],tblControles[[#This Row],[Clave]])&gt;1,"Duplicado","")</f>
        <v/>
      </c>
    </row>
    <row r="770" spans="2:11">
      <c r="B770" s="975" t="str">
        <f>tblControles[[#This Row],[Fecha]]&amp;"|"&amp;tblControles[[#This Row],[Módulo]]&amp;"|"&amp;tblControles[[#This Row],[Ítem]]&amp;"|"&amp;tblControles[[#This Row],[Turno]]</f>
        <v>46274|FILTROS H2O|Filtro # 1|3 TURNO</v>
      </c>
      <c r="C770" s="871">
        <v>46274</v>
      </c>
      <c r="D770" t="s">
        <v>9430</v>
      </c>
      <c r="E770" t="s">
        <v>9525</v>
      </c>
      <c r="F770" t="s">
        <v>328</v>
      </c>
      <c r="G770" t="s">
        <v>3227</v>
      </c>
      <c r="H770" t="s">
        <v>9333</v>
      </c>
      <c r="I770" s="871">
        <v>46293.93683766204</v>
      </c>
      <c r="J770" t="s">
        <v>9529</v>
      </c>
      <c r="K770" s="975" t="str">
        <f>IF(COUNTIFS(tblControles[Clave],tblControles[[#This Row],[Clave]])&gt;1,"Duplicado","")</f>
        <v/>
      </c>
    </row>
    <row r="771" spans="2:11">
      <c r="B771" s="975" t="str">
        <f>tblControles[[#This Row],[Fecha]]&amp;"|"&amp;tblControles[[#This Row],[Módulo]]&amp;"|"&amp;tblControles[[#This Row],[Ítem]]&amp;"|"&amp;tblControles[[#This Row],[Turno]]</f>
        <v>46274|FILTROS H2O|Filtro # 2|3 TURNO</v>
      </c>
      <c r="C771" s="871">
        <v>46274</v>
      </c>
      <c r="D771" t="s">
        <v>9430</v>
      </c>
      <c r="E771" t="s">
        <v>9463</v>
      </c>
      <c r="F771" t="s">
        <v>328</v>
      </c>
      <c r="G771" t="s">
        <v>3227</v>
      </c>
      <c r="H771" t="s">
        <v>9333</v>
      </c>
      <c r="I771" s="871">
        <v>46293.93683766204</v>
      </c>
      <c r="J771" t="s">
        <v>9529</v>
      </c>
      <c r="K771" s="975" t="str">
        <f>IF(COUNTIFS(tblControles[Clave],tblControles[[#This Row],[Clave]])&gt;1,"Duplicado","")</f>
        <v/>
      </c>
    </row>
    <row r="772" spans="2:11">
      <c r="B772" s="975" t="str">
        <f>tblControles[[#This Row],[Fecha]]&amp;"|"&amp;tblControles[[#This Row],[Módulo]]&amp;"|"&amp;tblControles[[#This Row],[Ítem]]&amp;"|"&amp;tblControles[[#This Row],[Turno]]</f>
        <v>46274|FILTROS H2O|Filtro # 3|3 TURNO</v>
      </c>
      <c r="C772" s="871">
        <v>46274</v>
      </c>
      <c r="D772" t="s">
        <v>9430</v>
      </c>
      <c r="E772" t="s">
        <v>9464</v>
      </c>
      <c r="F772" t="s">
        <v>328</v>
      </c>
      <c r="G772" t="s">
        <v>3227</v>
      </c>
      <c r="H772" t="s">
        <v>9333</v>
      </c>
      <c r="I772" s="871">
        <v>46293.93683766204</v>
      </c>
      <c r="J772" t="s">
        <v>9529</v>
      </c>
      <c r="K772" s="975" t="str">
        <f>IF(COUNTIFS(tblControles[Clave],tblControles[[#This Row],[Clave]])&gt;1,"Duplicado","")</f>
        <v/>
      </c>
    </row>
    <row r="773" spans="2:11">
      <c r="B773" s="975" t="str">
        <f>tblControles[[#This Row],[Fecha]]&amp;"|"&amp;tblControles[[#This Row],[Módulo]]&amp;"|"&amp;tblControles[[#This Row],[Ítem]]&amp;"|"&amp;tblControles[[#This Row],[Turno]]</f>
        <v>46274|FILTROS H2O|Filtro # 4|3 TURNO</v>
      </c>
      <c r="C773" s="871">
        <v>46274</v>
      </c>
      <c r="D773" t="s">
        <v>9430</v>
      </c>
      <c r="E773" t="s">
        <v>9465</v>
      </c>
      <c r="F773" t="s">
        <v>328</v>
      </c>
      <c r="G773" t="s">
        <v>345</v>
      </c>
      <c r="H773" t="s">
        <v>9333</v>
      </c>
      <c r="I773" s="871">
        <v>46293.93683766204</v>
      </c>
      <c r="J773" t="s">
        <v>9529</v>
      </c>
      <c r="K773" s="975" t="str">
        <f>IF(COUNTIFS(tblControles[Clave],tblControles[[#This Row],[Clave]])&gt;1,"Duplicado","")</f>
        <v/>
      </c>
    </row>
    <row r="774" spans="2:11">
      <c r="B774" s="975" t="str">
        <f>tblControles[[#This Row],[Fecha]]&amp;"|"&amp;tblControles[[#This Row],[Módulo]]&amp;"|"&amp;tblControles[[#This Row],[Ítem]]&amp;"|"&amp;tblControles[[#This Row],[Turno]]</f>
        <v>46274|FILTROS H2O|Filtro # 5|3 TURNO</v>
      </c>
      <c r="C774" s="871">
        <v>46274</v>
      </c>
      <c r="D774" t="s">
        <v>9430</v>
      </c>
      <c r="E774" t="s">
        <v>9466</v>
      </c>
      <c r="F774" t="s">
        <v>328</v>
      </c>
      <c r="G774" t="s">
        <v>3227</v>
      </c>
      <c r="H774" t="s">
        <v>9333</v>
      </c>
      <c r="I774" s="871">
        <v>46293.93683766204</v>
      </c>
      <c r="J774" t="s">
        <v>9529</v>
      </c>
      <c r="K774" s="975" t="str">
        <f>IF(COUNTIFS(tblControles[Clave],tblControles[[#This Row],[Clave]])&gt;1,"Duplicado","")</f>
        <v/>
      </c>
    </row>
    <row r="775" spans="2:11">
      <c r="B775" s="975" t="str">
        <f>tblControles[[#This Row],[Fecha]]&amp;"|"&amp;tblControles[[#This Row],[Módulo]]&amp;"|"&amp;tblControles[[#This Row],[Ítem]]&amp;"|"&amp;tblControles[[#This Row],[Turno]]</f>
        <v>46274|FILTROS H2O|Filtro Linea # 5|3 TURNO</v>
      </c>
      <c r="C775" s="871">
        <v>46274</v>
      </c>
      <c r="D775" t="s">
        <v>9430</v>
      </c>
      <c r="E775" t="s">
        <v>331</v>
      </c>
      <c r="F775" t="s">
        <v>328</v>
      </c>
      <c r="G775" t="s">
        <v>3227</v>
      </c>
      <c r="H775" t="s">
        <v>9333</v>
      </c>
      <c r="I775" s="871">
        <v>46293.93683766204</v>
      </c>
      <c r="J775" t="s">
        <v>9529</v>
      </c>
      <c r="K775" s="975" t="str">
        <f>IF(COUNTIFS(tblControles[Clave],tblControles[[#This Row],[Clave]])&gt;1,"Duplicado","")</f>
        <v/>
      </c>
    </row>
    <row r="776" spans="2:11">
      <c r="B776" s="975" t="str">
        <f>tblControles[[#This Row],[Fecha]]&amp;"|"&amp;tblControles[[#This Row],[Módulo]]&amp;"|"&amp;tblControles[[#This Row],[Ítem]]&amp;"|"&amp;tblControles[[#This Row],[Turno]]</f>
        <v>46274|FILTROS H2O|Filtro Linea # 6|3 TURNO</v>
      </c>
      <c r="C776" s="871">
        <v>46274</v>
      </c>
      <c r="D776" t="s">
        <v>9430</v>
      </c>
      <c r="E776" t="s">
        <v>332</v>
      </c>
      <c r="F776" t="s">
        <v>328</v>
      </c>
      <c r="G776" t="s">
        <v>3227</v>
      </c>
      <c r="H776" t="s">
        <v>9333</v>
      </c>
      <c r="I776" s="871">
        <v>46293.93683766204</v>
      </c>
      <c r="J776" t="s">
        <v>9529</v>
      </c>
      <c r="K776" s="975" t="str">
        <f>IF(COUNTIFS(tblControles[Clave],tblControles[[#This Row],[Clave]])&gt;1,"Duplicado","")</f>
        <v/>
      </c>
    </row>
    <row r="777" spans="2:11">
      <c r="B777" s="975" t="str">
        <f>tblControles[[#This Row],[Fecha]]&amp;"|"&amp;tblControles[[#This Row],[Módulo]]&amp;"|"&amp;tblControles[[#This Row],[Ítem]]&amp;"|"&amp;tblControles[[#This Row],[Turno]]</f>
        <v>46274|FILTROS H2O|Filtro Linea # 7|3 TURNO</v>
      </c>
      <c r="C777" s="871">
        <v>46274</v>
      </c>
      <c r="D777" t="s">
        <v>9430</v>
      </c>
      <c r="E777" t="s">
        <v>9467</v>
      </c>
      <c r="F777" t="s">
        <v>328</v>
      </c>
      <c r="G777" t="s">
        <v>3227</v>
      </c>
      <c r="H777" t="s">
        <v>9333</v>
      </c>
      <c r="I777" s="871">
        <v>46293.93683766204</v>
      </c>
      <c r="J777" t="s">
        <v>9529</v>
      </c>
      <c r="K777" s="975" t="str">
        <f>IF(COUNTIFS(tblControles[Clave],tblControles[[#This Row],[Clave]])&gt;1,"Duplicado","")</f>
        <v/>
      </c>
    </row>
    <row r="778" spans="2:11">
      <c r="B778" s="975" t="str">
        <f>tblControles[[#This Row],[Fecha]]&amp;"|"&amp;tblControles[[#This Row],[Módulo]]&amp;"|"&amp;tblControles[[#This Row],[Ítem]]&amp;"|"&amp;tblControles[[#This Row],[Turno]]</f>
        <v>46274|FILTROS H2O|Filtro Linea # 8|3 TURNO</v>
      </c>
      <c r="C778" s="871">
        <v>46274</v>
      </c>
      <c r="D778" t="s">
        <v>9430</v>
      </c>
      <c r="E778" t="s">
        <v>9468</v>
      </c>
      <c r="F778" t="s">
        <v>328</v>
      </c>
      <c r="G778" t="s">
        <v>345</v>
      </c>
      <c r="H778" t="s">
        <v>9333</v>
      </c>
      <c r="I778" s="871">
        <v>46293.93683766204</v>
      </c>
      <c r="J778" t="s">
        <v>9529</v>
      </c>
      <c r="K778" s="975" t="str">
        <f>IF(COUNTIFS(tblControles[Clave],tblControles[[#This Row],[Clave]])&gt;1,"Duplicado","")</f>
        <v/>
      </c>
    </row>
    <row r="779" spans="2:11">
      <c r="B779" s="975" t="str">
        <f>tblControles[[#This Row],[Fecha]]&amp;"|"&amp;tblControles[[#This Row],[Módulo]]&amp;"|"&amp;tblControles[[#This Row],[Ítem]]&amp;"|"&amp;tblControles[[#This Row],[Turno]]</f>
        <v>46274|FILTROS H2O|Filtro Linea # 9 (01)|3 TURNO</v>
      </c>
      <c r="C779" s="871">
        <v>46274</v>
      </c>
      <c r="D779" t="s">
        <v>9430</v>
      </c>
      <c r="E779" t="s">
        <v>9469</v>
      </c>
      <c r="F779" t="s">
        <v>328</v>
      </c>
      <c r="G779" t="s">
        <v>3227</v>
      </c>
      <c r="H779" t="s">
        <v>9333</v>
      </c>
      <c r="I779" s="871">
        <v>46293.93683766204</v>
      </c>
      <c r="J779" t="s">
        <v>9529</v>
      </c>
      <c r="K779" s="975" t="str">
        <f>IF(COUNTIFS(tblControles[Clave],tblControles[[#This Row],[Clave]])&gt;1,"Duplicado","")</f>
        <v/>
      </c>
    </row>
    <row r="780" spans="2:11">
      <c r="B780" s="975" t="str">
        <f>tblControles[[#This Row],[Fecha]]&amp;"|"&amp;tblControles[[#This Row],[Módulo]]&amp;"|"&amp;tblControles[[#This Row],[Ítem]]&amp;"|"&amp;tblControles[[#This Row],[Turno]]</f>
        <v>46274|FILTROS H2O|Filtro Linea # 9 (02)|3 TURNO</v>
      </c>
      <c r="C780" s="871">
        <v>46274</v>
      </c>
      <c r="D780" t="s">
        <v>9430</v>
      </c>
      <c r="E780" t="s">
        <v>9470</v>
      </c>
      <c r="F780" t="s">
        <v>328</v>
      </c>
      <c r="G780" t="s">
        <v>345</v>
      </c>
      <c r="H780" t="s">
        <v>9333</v>
      </c>
      <c r="I780" s="871">
        <v>46293.93683766204</v>
      </c>
      <c r="J780" t="s">
        <v>9529</v>
      </c>
      <c r="K780" s="975" t="str">
        <f>IF(COUNTIFS(tblControles[Clave],tblControles[[#This Row],[Clave]])&gt;1,"Duplicado","")</f>
        <v/>
      </c>
    </row>
    <row r="781" spans="2:11">
      <c r="B781" s="975" t="str">
        <f>tblControles[[#This Row],[Fecha]]&amp;"|"&amp;tblControles[[#This Row],[Módulo]]&amp;"|"&amp;tblControles[[#This Row],[Ítem]]&amp;"|"&amp;tblControles[[#This Row],[Turno]]</f>
        <v>46274|REACTIVOS|Ácido oxálico|Turno día (12 h)</v>
      </c>
      <c r="C781" s="871">
        <v>46274</v>
      </c>
      <c r="D781" t="s">
        <v>9444</v>
      </c>
      <c r="E781" t="s">
        <v>9508</v>
      </c>
      <c r="F781" t="s">
        <v>9446</v>
      </c>
      <c r="G781">
        <v>16000</v>
      </c>
      <c r="H781" t="s">
        <v>9333</v>
      </c>
      <c r="I781" s="871">
        <v>46293.93683766204</v>
      </c>
      <c r="J781" t="s">
        <v>9527</v>
      </c>
      <c r="K781" s="975" t="str">
        <f>IF(COUNTIFS(tblControles[Clave],tblControles[[#This Row],[Clave]])&gt;1,"Duplicado","")</f>
        <v/>
      </c>
    </row>
    <row r="782" spans="2:11">
      <c r="B782" s="975" t="str">
        <f>tblControles[[#This Row],[Fecha]]&amp;"|"&amp;tblControles[[#This Row],[Módulo]]&amp;"|"&amp;tblControles[[#This Row],[Ítem]]&amp;"|"&amp;tblControles[[#This Row],[Turno]]</f>
        <v>46274|REACTIVOS|Ácido oxálico|Turno noche (12 h)</v>
      </c>
      <c r="C782" s="871">
        <v>46274</v>
      </c>
      <c r="D782" t="s">
        <v>9444</v>
      </c>
      <c r="E782" t="s">
        <v>9508</v>
      </c>
      <c r="F782" t="s">
        <v>9447</v>
      </c>
      <c r="G782">
        <v>20000</v>
      </c>
      <c r="H782" t="s">
        <v>9333</v>
      </c>
      <c r="I782" s="871">
        <v>46293.93683766204</v>
      </c>
      <c r="J782" t="s">
        <v>9527</v>
      </c>
      <c r="K782" s="975" t="str">
        <f>IF(COUNTIFS(tblControles[Clave],tblControles[[#This Row],[Clave]])&gt;1,"Duplicado","")</f>
        <v/>
      </c>
    </row>
    <row r="783" spans="2:11">
      <c r="B783" s="975" t="str">
        <f>tblControles[[#This Row],[Fecha]]&amp;"|"&amp;tblControles[[#This Row],[Módulo]]&amp;"|"&amp;tblControles[[#This Row],[Ítem]]&amp;"|"&amp;tblControles[[#This Row],[Turno]]</f>
        <v>46274|REACTIVOS|Xantato|Turno día (12 h)</v>
      </c>
      <c r="C783" s="871">
        <v>46274</v>
      </c>
      <c r="D783" t="s">
        <v>9444</v>
      </c>
      <c r="E783" t="s">
        <v>9511</v>
      </c>
      <c r="F783" t="s">
        <v>9446</v>
      </c>
      <c r="G783">
        <v>4950</v>
      </c>
      <c r="H783" t="s">
        <v>9333</v>
      </c>
      <c r="I783" s="871">
        <v>46293.93683766204</v>
      </c>
      <c r="J783" t="s">
        <v>9527</v>
      </c>
      <c r="K783" s="975" t="str">
        <f>IF(COUNTIFS(tblControles[Clave],tblControles[[#This Row],[Clave]])&gt;1,"Duplicado","")</f>
        <v/>
      </c>
    </row>
    <row r="784" spans="2:11">
      <c r="B784" s="975" t="str">
        <f>tblControles[[#This Row],[Fecha]]&amp;"|"&amp;tblControles[[#This Row],[Módulo]]&amp;"|"&amp;tblControles[[#This Row],[Ítem]]&amp;"|"&amp;tblControles[[#This Row],[Turno]]</f>
        <v>46274|REACTIVOS|Xantato|Turno noche (12 h)</v>
      </c>
      <c r="C784" s="871">
        <v>46274</v>
      </c>
      <c r="D784" t="s">
        <v>9444</v>
      </c>
      <c r="E784" t="s">
        <v>9511</v>
      </c>
      <c r="F784" t="s">
        <v>9447</v>
      </c>
      <c r="G784">
        <v>4400</v>
      </c>
      <c r="H784" t="s">
        <v>9333</v>
      </c>
      <c r="I784" s="871">
        <v>46293.93683766204</v>
      </c>
      <c r="J784" t="s">
        <v>9527</v>
      </c>
      <c r="K784" s="975" t="str">
        <f>IF(COUNTIFS(tblControles[Clave],tblControles[[#This Row],[Clave]])&gt;1,"Duplicado","")</f>
        <v/>
      </c>
    </row>
    <row r="785" spans="2:11">
      <c r="B785" s="975" t="str">
        <f>tblControles[[#This Row],[Fecha]]&amp;"|"&amp;tblControles[[#This Row],[Módulo]]&amp;"|"&amp;tblControles[[#This Row],[Ítem]]&amp;"|"&amp;tblControles[[#This Row],[Turno]]</f>
        <v>46274|REACTIVOS|Espumante|Consumo día</v>
      </c>
      <c r="C785" s="871">
        <v>46274</v>
      </c>
      <c r="D785" t="s">
        <v>9444</v>
      </c>
      <c r="E785" t="s">
        <v>9513</v>
      </c>
      <c r="F785" t="s">
        <v>9870</v>
      </c>
      <c r="G785">
        <v>2500</v>
      </c>
      <c r="H785" t="s">
        <v>9333</v>
      </c>
      <c r="I785" s="871">
        <v>46293.93683766204</v>
      </c>
      <c r="J785" t="s">
        <v>9527</v>
      </c>
      <c r="K785" s="975" t="str">
        <f>IF(COUNTIFS(tblControles[Clave],tblControles[[#This Row],[Clave]])&gt;1,"Duplicado","")</f>
        <v/>
      </c>
    </row>
    <row r="786" spans="2:11">
      <c r="B786" s="975" t="str">
        <f>tblControles[[#This Row],[Fecha]]&amp;"|"&amp;tblControles[[#This Row],[Módulo]]&amp;"|"&amp;tblControles[[#This Row],[Ítem]]&amp;"|"&amp;tblControles[[#This Row],[Turno]]</f>
        <v>46274|TONELADAS X TURNO|Molino barras 1|1° turno</v>
      </c>
      <c r="C786" s="871">
        <v>46274</v>
      </c>
      <c r="D786" t="s">
        <v>9449</v>
      </c>
      <c r="E786" t="s">
        <v>387</v>
      </c>
      <c r="F786" t="s">
        <v>396</v>
      </c>
      <c r="G786">
        <v>1477</v>
      </c>
      <c r="H786" t="s">
        <v>9333</v>
      </c>
      <c r="I786" s="871">
        <v>46293.93683766204</v>
      </c>
      <c r="J786" t="s">
        <v>9528</v>
      </c>
      <c r="K786" s="975" t="str">
        <f>IF(COUNTIFS(tblControles[Clave],tblControles[[#This Row],[Clave]])&gt;1,"Duplicado","")</f>
        <v/>
      </c>
    </row>
    <row r="787" spans="2:11">
      <c r="B787" s="975" t="str">
        <f>tblControles[[#This Row],[Fecha]]&amp;"|"&amp;tblControles[[#This Row],[Módulo]]&amp;"|"&amp;tblControles[[#This Row],[Ítem]]&amp;"|"&amp;tblControles[[#This Row],[Turno]]</f>
        <v>46274|TONELADAS X TURNO|Molino barras 1|2° turno</v>
      </c>
      <c r="C787" s="871">
        <v>46274</v>
      </c>
      <c r="D787" t="s">
        <v>9449</v>
      </c>
      <c r="E787" t="s">
        <v>387</v>
      </c>
      <c r="F787" t="s">
        <v>397</v>
      </c>
      <c r="G787">
        <v>1645</v>
      </c>
      <c r="H787" t="s">
        <v>9333</v>
      </c>
      <c r="I787" s="871">
        <v>46293.93683766204</v>
      </c>
      <c r="J787" t="s">
        <v>9528</v>
      </c>
      <c r="K787" s="975" t="str">
        <f>IF(COUNTIFS(tblControles[Clave],tblControles[[#This Row],[Clave]])&gt;1,"Duplicado","")</f>
        <v/>
      </c>
    </row>
    <row r="788" spans="2:11">
      <c r="B788" s="975" t="str">
        <f>tblControles[[#This Row],[Fecha]]&amp;"|"&amp;tblControles[[#This Row],[Módulo]]&amp;"|"&amp;tblControles[[#This Row],[Ítem]]&amp;"|"&amp;tblControles[[#This Row],[Turno]]</f>
        <v>46274|TONELADAS X TURNO|Molino barras 1|3° turno</v>
      </c>
      <c r="C788" s="871">
        <v>46274</v>
      </c>
      <c r="D788" t="s">
        <v>9449</v>
      </c>
      <c r="E788" t="s">
        <v>387</v>
      </c>
      <c r="F788" t="s">
        <v>398</v>
      </c>
      <c r="G788">
        <v>1625</v>
      </c>
      <c r="H788" t="s">
        <v>9333</v>
      </c>
      <c r="I788" s="871">
        <v>46293.93683766204</v>
      </c>
      <c r="J788" t="s">
        <v>9528</v>
      </c>
      <c r="K788" s="975" t="str">
        <f>IF(COUNTIFS(tblControles[Clave],tblControles[[#This Row],[Clave]])&gt;1,"Duplicado","")</f>
        <v/>
      </c>
    </row>
    <row r="789" spans="2:11">
      <c r="B789" s="975" t="str">
        <f>tblControles[[#This Row],[Fecha]]&amp;"|"&amp;tblControles[[#This Row],[Módulo]]&amp;"|"&amp;tblControles[[#This Row],[Ítem]]&amp;"|"&amp;tblControles[[#This Row],[Turno]]</f>
        <v>46274|TONELADAS X TURNO|Molino barras 2|1° turno</v>
      </c>
      <c r="C789" s="871">
        <v>46274</v>
      </c>
      <c r="D789" t="s">
        <v>9449</v>
      </c>
      <c r="E789" t="s">
        <v>388</v>
      </c>
      <c r="F789" t="s">
        <v>396</v>
      </c>
      <c r="G789">
        <v>1575</v>
      </c>
      <c r="H789" t="s">
        <v>9333</v>
      </c>
      <c r="I789" s="871">
        <v>46293.93683766204</v>
      </c>
      <c r="J789" t="s">
        <v>9528</v>
      </c>
      <c r="K789" s="975" t="str">
        <f>IF(COUNTIFS(tblControles[Clave],tblControles[[#This Row],[Clave]])&gt;1,"Duplicado","")</f>
        <v/>
      </c>
    </row>
    <row r="790" spans="2:11">
      <c r="B790" s="975" t="str">
        <f>tblControles[[#This Row],[Fecha]]&amp;"|"&amp;tblControles[[#This Row],[Módulo]]&amp;"|"&amp;tblControles[[#This Row],[Ítem]]&amp;"|"&amp;tblControles[[#This Row],[Turno]]</f>
        <v>46274|TONELADAS X TURNO|Molino barras 2|2° turno</v>
      </c>
      <c r="C790" s="871">
        <v>46274</v>
      </c>
      <c r="D790" t="s">
        <v>9449</v>
      </c>
      <c r="E790" t="s">
        <v>388</v>
      </c>
      <c r="F790" t="s">
        <v>397</v>
      </c>
      <c r="G790">
        <v>1420</v>
      </c>
      <c r="H790" t="s">
        <v>9333</v>
      </c>
      <c r="I790" s="871">
        <v>46293.93683766204</v>
      </c>
      <c r="J790" t="s">
        <v>9528</v>
      </c>
      <c r="K790" s="975" t="str">
        <f>IF(COUNTIFS(tblControles[Clave],tblControles[[#This Row],[Clave]])&gt;1,"Duplicado","")</f>
        <v/>
      </c>
    </row>
    <row r="791" spans="2:11">
      <c r="B791" s="975" t="str">
        <f>tblControles[[#This Row],[Fecha]]&amp;"|"&amp;tblControles[[#This Row],[Módulo]]&amp;"|"&amp;tblControles[[#This Row],[Ítem]]&amp;"|"&amp;tblControles[[#This Row],[Turno]]</f>
        <v>46274|TONELADAS X TURNO|Molino barras 2|3° turno</v>
      </c>
      <c r="C791" s="871">
        <v>46274</v>
      </c>
      <c r="D791" t="s">
        <v>9449</v>
      </c>
      <c r="E791" t="s">
        <v>388</v>
      </c>
      <c r="F791" t="s">
        <v>398</v>
      </c>
      <c r="G791">
        <v>1425</v>
      </c>
      <c r="H791" t="s">
        <v>9333</v>
      </c>
      <c r="I791" s="871">
        <v>46293.93683766204</v>
      </c>
      <c r="J791" t="s">
        <v>9528</v>
      </c>
      <c r="K791" s="975" t="str">
        <f>IF(COUNTIFS(tblControles[Clave],tblControles[[#This Row],[Clave]])&gt;1,"Duplicado","")</f>
        <v/>
      </c>
    </row>
    <row r="792" spans="2:11">
      <c r="B792" s="975" t="str">
        <f>tblControles[[#This Row],[Fecha]]&amp;"|"&amp;tblControles[[#This Row],[Módulo]]&amp;"|"&amp;tblControles[[#This Row],[Ítem]]&amp;"|"&amp;tblControles[[#This Row],[Turno]]</f>
        <v>46274|TONELADAS X TURNO|Molino barras 3|1° turno</v>
      </c>
      <c r="C792" s="871">
        <v>46274</v>
      </c>
      <c r="D792" t="s">
        <v>9449</v>
      </c>
      <c r="E792" t="s">
        <v>389</v>
      </c>
      <c r="F792" t="s">
        <v>396</v>
      </c>
      <c r="G792">
        <v>1395</v>
      </c>
      <c r="H792" t="s">
        <v>9333</v>
      </c>
      <c r="I792" s="871">
        <v>46293.93683766204</v>
      </c>
      <c r="J792" t="s">
        <v>9528</v>
      </c>
      <c r="K792" s="975" t="str">
        <f>IF(COUNTIFS(tblControles[Clave],tblControles[[#This Row],[Clave]])&gt;1,"Duplicado","")</f>
        <v/>
      </c>
    </row>
    <row r="793" spans="2:11">
      <c r="B793" s="975" t="str">
        <f>tblControles[[#This Row],[Fecha]]&amp;"|"&amp;tblControles[[#This Row],[Módulo]]&amp;"|"&amp;tblControles[[#This Row],[Ítem]]&amp;"|"&amp;tblControles[[#This Row],[Turno]]</f>
        <v>46274|TONELADAS X TURNO|Molino barras 3|2° turno</v>
      </c>
      <c r="C793" s="871">
        <v>46274</v>
      </c>
      <c r="D793" t="s">
        <v>9449</v>
      </c>
      <c r="E793" t="s">
        <v>389</v>
      </c>
      <c r="F793" t="s">
        <v>397</v>
      </c>
      <c r="G793">
        <v>1328</v>
      </c>
      <c r="H793" t="s">
        <v>9333</v>
      </c>
      <c r="I793" s="871">
        <v>46293.93683766204</v>
      </c>
      <c r="J793" t="s">
        <v>9528</v>
      </c>
      <c r="K793" s="975" t="str">
        <f>IF(COUNTIFS(tblControles[Clave],tblControles[[#This Row],[Clave]])&gt;1,"Duplicado","")</f>
        <v/>
      </c>
    </row>
    <row r="794" spans="2:11">
      <c r="B794" s="975" t="str">
        <f>tblControles[[#This Row],[Fecha]]&amp;"|"&amp;tblControles[[#This Row],[Módulo]]&amp;"|"&amp;tblControles[[#This Row],[Ítem]]&amp;"|"&amp;tblControles[[#This Row],[Turno]]</f>
        <v>46274|TONELADAS X TURNO|Molino barras 3|3° turno</v>
      </c>
      <c r="C794" s="871">
        <v>46274</v>
      </c>
      <c r="D794" t="s">
        <v>9449</v>
      </c>
      <c r="E794" t="s">
        <v>389</v>
      </c>
      <c r="F794" t="s">
        <v>398</v>
      </c>
      <c r="G794">
        <v>1477</v>
      </c>
      <c r="H794" t="s">
        <v>9333</v>
      </c>
      <c r="I794" s="871">
        <v>46293.93683766204</v>
      </c>
      <c r="J794" t="s">
        <v>9528</v>
      </c>
      <c r="K794" s="975" t="str">
        <f>IF(COUNTIFS(tblControles[Clave],tblControles[[#This Row],[Clave]])&gt;1,"Duplicado","")</f>
        <v/>
      </c>
    </row>
    <row r="795" spans="2:11">
      <c r="B795" s="975" t="str">
        <f>tblControles[[#This Row],[Fecha]]&amp;"|"&amp;tblControles[[#This Row],[Módulo]]&amp;"|"&amp;tblControles[[#This Row],[Ítem]]&amp;"|"&amp;tblControles[[#This Row],[Turno]]</f>
        <v>46274|TONELADAS X TURNO|Molino barras 4|1° turno</v>
      </c>
      <c r="C795" s="871">
        <v>46274</v>
      </c>
      <c r="D795" t="s">
        <v>9449</v>
      </c>
      <c r="E795" t="s">
        <v>390</v>
      </c>
      <c r="F795" t="s">
        <v>396</v>
      </c>
      <c r="G795">
        <v>259</v>
      </c>
      <c r="H795" t="s">
        <v>9333</v>
      </c>
      <c r="I795" s="871">
        <v>46293.93683766204</v>
      </c>
      <c r="J795" t="s">
        <v>9528</v>
      </c>
      <c r="K795" s="975" t="str">
        <f>IF(COUNTIFS(tblControles[Clave],tblControles[[#This Row],[Clave]])&gt;1,"Duplicado","")</f>
        <v/>
      </c>
    </row>
    <row r="796" spans="2:11">
      <c r="B796" s="975" t="str">
        <f>tblControles[[#This Row],[Fecha]]&amp;"|"&amp;tblControles[[#This Row],[Módulo]]&amp;"|"&amp;tblControles[[#This Row],[Ítem]]&amp;"|"&amp;tblControles[[#This Row],[Turno]]</f>
        <v>46274|TONELADAS X TURNO|Molino barras 4|2° turno</v>
      </c>
      <c r="C796" s="871">
        <v>46274</v>
      </c>
      <c r="D796" t="s">
        <v>9449</v>
      </c>
      <c r="E796" t="s">
        <v>390</v>
      </c>
      <c r="F796" t="s">
        <v>397</v>
      </c>
      <c r="G796">
        <v>0</v>
      </c>
      <c r="H796" t="s">
        <v>9333</v>
      </c>
      <c r="I796" s="871">
        <v>46293.93683766204</v>
      </c>
      <c r="J796" t="s">
        <v>9528</v>
      </c>
      <c r="K796" s="975" t="str">
        <f>IF(COUNTIFS(tblControles[Clave],tblControles[[#This Row],[Clave]])&gt;1,"Duplicado","")</f>
        <v/>
      </c>
    </row>
    <row r="797" spans="2:11">
      <c r="B797" s="975" t="str">
        <f>tblControles[[#This Row],[Fecha]]&amp;"|"&amp;tblControles[[#This Row],[Módulo]]&amp;"|"&amp;tblControles[[#This Row],[Ítem]]&amp;"|"&amp;tblControles[[#This Row],[Turno]]</f>
        <v>46274|TONELADAS X TURNO|Molino barras 4|3° turno</v>
      </c>
      <c r="C797" s="871">
        <v>46274</v>
      </c>
      <c r="D797" t="s">
        <v>9449</v>
      </c>
      <c r="E797" t="s">
        <v>390</v>
      </c>
      <c r="F797" t="s">
        <v>398</v>
      </c>
      <c r="G797">
        <v>0</v>
      </c>
      <c r="H797" t="s">
        <v>9333</v>
      </c>
      <c r="I797" s="871">
        <v>46293.93683766204</v>
      </c>
      <c r="J797" t="s">
        <v>9528</v>
      </c>
      <c r="K797" s="975" t="str">
        <f>IF(COUNTIFS(tblControles[Clave],tblControles[[#This Row],[Clave]])&gt;1,"Duplicado","")</f>
        <v/>
      </c>
    </row>
    <row r="798" spans="2:11">
      <c r="B798" s="975" t="str">
        <f>tblControles[[#This Row],[Fecha]]&amp;"|"&amp;tblControles[[#This Row],[Módulo]]&amp;"|"&amp;tblControles[[#This Row],[Ítem]]&amp;"|"&amp;tblControles[[#This Row],[Turno]]</f>
        <v>46274|TONELADAS X TURNO|Molino barras 5|1° turno</v>
      </c>
      <c r="C798" s="871">
        <v>46274</v>
      </c>
      <c r="D798" t="s">
        <v>9449</v>
      </c>
      <c r="E798" t="s">
        <v>391</v>
      </c>
      <c r="F798" t="s">
        <v>396</v>
      </c>
      <c r="G798">
        <v>1281</v>
      </c>
      <c r="H798" t="s">
        <v>9333</v>
      </c>
      <c r="I798" s="871">
        <v>46293.93683766204</v>
      </c>
      <c r="J798" t="s">
        <v>9528</v>
      </c>
      <c r="K798" s="975" t="str">
        <f>IF(COUNTIFS(tblControles[Clave],tblControles[[#This Row],[Clave]])&gt;1,"Duplicado","")</f>
        <v/>
      </c>
    </row>
    <row r="799" spans="2:11">
      <c r="B799" s="975" t="str">
        <f>tblControles[[#This Row],[Fecha]]&amp;"|"&amp;tblControles[[#This Row],[Módulo]]&amp;"|"&amp;tblControles[[#This Row],[Ítem]]&amp;"|"&amp;tblControles[[#This Row],[Turno]]</f>
        <v>46274|TONELADAS X TURNO|Molino barras 5|2° turno</v>
      </c>
      <c r="C799" s="871">
        <v>46274</v>
      </c>
      <c r="D799" t="s">
        <v>9449</v>
      </c>
      <c r="E799" t="s">
        <v>391</v>
      </c>
      <c r="F799" t="s">
        <v>397</v>
      </c>
      <c r="G799">
        <v>1047</v>
      </c>
      <c r="H799" t="s">
        <v>9333</v>
      </c>
      <c r="I799" s="871">
        <v>46293.93683766204</v>
      </c>
      <c r="J799" t="s">
        <v>9528</v>
      </c>
      <c r="K799" s="975" t="str">
        <f>IF(COUNTIFS(tblControles[Clave],tblControles[[#This Row],[Clave]])&gt;1,"Duplicado","")</f>
        <v/>
      </c>
    </row>
    <row r="800" spans="2:11">
      <c r="B800" s="975" t="str">
        <f>tblControles[[#This Row],[Fecha]]&amp;"|"&amp;tblControles[[#This Row],[Módulo]]&amp;"|"&amp;tblControles[[#This Row],[Ítem]]&amp;"|"&amp;tblControles[[#This Row],[Turno]]</f>
        <v>46274|TONELADAS X TURNO|Molino barras 5|3° turno</v>
      </c>
      <c r="C800" s="871">
        <v>46274</v>
      </c>
      <c r="D800" t="s">
        <v>9449</v>
      </c>
      <c r="E800" t="s">
        <v>391</v>
      </c>
      <c r="F800" t="s">
        <v>398</v>
      </c>
      <c r="G800">
        <v>1539</v>
      </c>
      <c r="H800" t="s">
        <v>9333</v>
      </c>
      <c r="I800" s="871">
        <v>46293.93683766204</v>
      </c>
      <c r="J800" t="s">
        <v>9528</v>
      </c>
      <c r="K800" s="975" t="str">
        <f>IF(COUNTIFS(tblControles[Clave],tblControles[[#This Row],[Clave]])&gt;1,"Duplicado","")</f>
        <v/>
      </c>
    </row>
    <row r="801" spans="2:11">
      <c r="B801" s="975" t="str">
        <f>tblControles[[#This Row],[Fecha]]&amp;"|"&amp;tblControles[[#This Row],[Módulo]]&amp;"|"&amp;tblControles[[#This Row],[Ítem]]&amp;"|"&amp;tblControles[[#This Row],[Turno]]</f>
        <v>46274|TONELADAS X TURNO|Molino barras 6|1° turno</v>
      </c>
      <c r="C801" s="871">
        <v>46274</v>
      </c>
      <c r="D801" t="s">
        <v>9449</v>
      </c>
      <c r="E801" t="s">
        <v>392</v>
      </c>
      <c r="F801" t="s">
        <v>396</v>
      </c>
      <c r="G801">
        <v>1263</v>
      </c>
      <c r="H801" t="s">
        <v>9333</v>
      </c>
      <c r="I801" s="871">
        <v>46293.93683766204</v>
      </c>
      <c r="J801" t="s">
        <v>9528</v>
      </c>
      <c r="K801" s="975" t="str">
        <f>IF(COUNTIFS(tblControles[Clave],tblControles[[#This Row],[Clave]])&gt;1,"Duplicado","")</f>
        <v/>
      </c>
    </row>
    <row r="802" spans="2:11">
      <c r="B802" s="975" t="str">
        <f>tblControles[[#This Row],[Fecha]]&amp;"|"&amp;tblControles[[#This Row],[Módulo]]&amp;"|"&amp;tblControles[[#This Row],[Ítem]]&amp;"|"&amp;tblControles[[#This Row],[Turno]]</f>
        <v>46274|TONELADAS X TURNO|Molino barras 6|2° turno</v>
      </c>
      <c r="C802" s="871">
        <v>46274</v>
      </c>
      <c r="D802" t="s">
        <v>9449</v>
      </c>
      <c r="E802" t="s">
        <v>392</v>
      </c>
      <c r="F802" t="s">
        <v>397</v>
      </c>
      <c r="G802">
        <v>1413</v>
      </c>
      <c r="H802" t="s">
        <v>9333</v>
      </c>
      <c r="I802" s="871">
        <v>46293.93683766204</v>
      </c>
      <c r="J802" t="s">
        <v>9528</v>
      </c>
      <c r="K802" s="975" t="str">
        <f>IF(COUNTIFS(tblControles[Clave],tblControles[[#This Row],[Clave]])&gt;1,"Duplicado","")</f>
        <v/>
      </c>
    </row>
    <row r="803" spans="2:11">
      <c r="B803" s="975" t="str">
        <f>tblControles[[#This Row],[Fecha]]&amp;"|"&amp;tblControles[[#This Row],[Módulo]]&amp;"|"&amp;tblControles[[#This Row],[Ítem]]&amp;"|"&amp;tblControles[[#This Row],[Turno]]</f>
        <v>46274|TONELADAS X TURNO|Molino barras 6|3° turno</v>
      </c>
      <c r="C803" s="871">
        <v>46274</v>
      </c>
      <c r="D803" t="s">
        <v>9449</v>
      </c>
      <c r="E803" t="s">
        <v>392</v>
      </c>
      <c r="F803" t="s">
        <v>398</v>
      </c>
      <c r="G803">
        <v>1445</v>
      </c>
      <c r="H803" t="s">
        <v>9333</v>
      </c>
      <c r="I803" s="871">
        <v>46293.93683766204</v>
      </c>
      <c r="J803" t="s">
        <v>9528</v>
      </c>
      <c r="K803" s="975" t="str">
        <f>IF(COUNTIFS(tblControles[Clave],tblControles[[#This Row],[Clave]])&gt;1,"Duplicado","")</f>
        <v/>
      </c>
    </row>
    <row r="804" spans="2:11">
      <c r="B804" s="975" t="str">
        <f>tblControles[[#This Row],[Fecha]]&amp;"|"&amp;tblControles[[#This Row],[Módulo]]&amp;"|"&amp;tblControles[[#This Row],[Ítem]]&amp;"|"&amp;tblControles[[#This Row],[Turno]]</f>
        <v>46274|TONELADAS X TURNO|Molino barras 7|1° turno</v>
      </c>
      <c r="C804" s="871">
        <v>46274</v>
      </c>
      <c r="D804" t="s">
        <v>9449</v>
      </c>
      <c r="E804" t="s">
        <v>393</v>
      </c>
      <c r="F804" t="s">
        <v>396</v>
      </c>
      <c r="G804">
        <v>1556</v>
      </c>
      <c r="H804" t="s">
        <v>9333</v>
      </c>
      <c r="I804" s="871">
        <v>46293.93683766204</v>
      </c>
      <c r="J804" t="s">
        <v>9528</v>
      </c>
      <c r="K804" s="975" t="str">
        <f>IF(COUNTIFS(tblControles[Clave],tblControles[[#This Row],[Clave]])&gt;1,"Duplicado","")</f>
        <v/>
      </c>
    </row>
    <row r="805" spans="2:11">
      <c r="B805" s="975" t="str">
        <f>tblControles[[#This Row],[Fecha]]&amp;"|"&amp;tblControles[[#This Row],[Módulo]]&amp;"|"&amp;tblControles[[#This Row],[Ítem]]&amp;"|"&amp;tblControles[[#This Row],[Turno]]</f>
        <v>46274|TONELADAS X TURNO|Molino barras 7|2° turno</v>
      </c>
      <c r="C805" s="871">
        <v>46274</v>
      </c>
      <c r="D805" t="s">
        <v>9449</v>
      </c>
      <c r="E805" t="s">
        <v>393</v>
      </c>
      <c r="F805" t="s">
        <v>397</v>
      </c>
      <c r="G805">
        <v>1596</v>
      </c>
      <c r="H805" t="s">
        <v>9333</v>
      </c>
      <c r="I805" s="871">
        <v>46293.93683766204</v>
      </c>
      <c r="J805" t="s">
        <v>9528</v>
      </c>
      <c r="K805" s="975" t="str">
        <f>IF(COUNTIFS(tblControles[Clave],tblControles[[#This Row],[Clave]])&gt;1,"Duplicado","")</f>
        <v/>
      </c>
    </row>
    <row r="806" spans="2:11">
      <c r="B806" s="975" t="str">
        <f>tblControles[[#This Row],[Fecha]]&amp;"|"&amp;tblControles[[#This Row],[Módulo]]&amp;"|"&amp;tblControles[[#This Row],[Ítem]]&amp;"|"&amp;tblControles[[#This Row],[Turno]]</f>
        <v>46274|TONELADAS X TURNO|Molino barras 7|3° turno</v>
      </c>
      <c r="C806" s="871">
        <v>46274</v>
      </c>
      <c r="D806" t="s">
        <v>9449</v>
      </c>
      <c r="E806" t="s">
        <v>393</v>
      </c>
      <c r="F806" t="s">
        <v>398</v>
      </c>
      <c r="G806">
        <v>1692</v>
      </c>
      <c r="H806" t="s">
        <v>9333</v>
      </c>
      <c r="I806" s="871">
        <v>46293.93683766204</v>
      </c>
      <c r="J806" t="s">
        <v>9528</v>
      </c>
      <c r="K806" s="975" t="str">
        <f>IF(COUNTIFS(tblControles[Clave],tblControles[[#This Row],[Clave]])&gt;1,"Duplicado","")</f>
        <v/>
      </c>
    </row>
    <row r="807" spans="2:11">
      <c r="B807" s="975" t="str">
        <f>tblControles[[#This Row],[Fecha]]&amp;"|"&amp;tblControles[[#This Row],[Módulo]]&amp;"|"&amp;tblControles[[#This Row],[Ítem]]&amp;"|"&amp;tblControles[[#This Row],[Turno]]</f>
        <v>46274|TONELADAS X TURNO|Molino barras 8|1° turno</v>
      </c>
      <c r="C807" s="871">
        <v>46274</v>
      </c>
      <c r="D807" t="s">
        <v>9449</v>
      </c>
      <c r="E807" t="s">
        <v>394</v>
      </c>
      <c r="F807" t="s">
        <v>396</v>
      </c>
      <c r="G807">
        <v>1562</v>
      </c>
      <c r="H807" t="s">
        <v>9333</v>
      </c>
      <c r="I807" s="871">
        <v>46293.93683766204</v>
      </c>
      <c r="J807" t="s">
        <v>9528</v>
      </c>
      <c r="K807" s="975" t="str">
        <f>IF(COUNTIFS(tblControles[Clave],tblControles[[#This Row],[Clave]])&gt;1,"Duplicado","")</f>
        <v/>
      </c>
    </row>
    <row r="808" spans="2:11">
      <c r="B808" s="975" t="str">
        <f>tblControles[[#This Row],[Fecha]]&amp;"|"&amp;tblControles[[#This Row],[Módulo]]&amp;"|"&amp;tblControles[[#This Row],[Ítem]]&amp;"|"&amp;tblControles[[#This Row],[Turno]]</f>
        <v>46274|TONELADAS X TURNO|Molino barras 8|2° turno</v>
      </c>
      <c r="C808" s="871">
        <v>46274</v>
      </c>
      <c r="D808" t="s">
        <v>9449</v>
      </c>
      <c r="E808" t="s">
        <v>394</v>
      </c>
      <c r="F808" t="s">
        <v>397</v>
      </c>
      <c r="G808">
        <v>1730</v>
      </c>
      <c r="H808" t="s">
        <v>9333</v>
      </c>
      <c r="I808" s="871">
        <v>46293.93683766204</v>
      </c>
      <c r="J808" t="s">
        <v>9528</v>
      </c>
      <c r="K808" s="975" t="str">
        <f>IF(COUNTIFS(tblControles[Clave],tblControles[[#This Row],[Clave]])&gt;1,"Duplicado","")</f>
        <v/>
      </c>
    </row>
    <row r="809" spans="2:11">
      <c r="B809" s="975" t="str">
        <f>tblControles[[#This Row],[Fecha]]&amp;"|"&amp;tblControles[[#This Row],[Módulo]]&amp;"|"&amp;tblControles[[#This Row],[Ítem]]&amp;"|"&amp;tblControles[[#This Row],[Turno]]</f>
        <v>46274|TONELADAS X TURNO|Molino barras 8|3° turno</v>
      </c>
      <c r="C809" s="871">
        <v>46274</v>
      </c>
      <c r="D809" t="s">
        <v>9449</v>
      </c>
      <c r="E809" t="s">
        <v>394</v>
      </c>
      <c r="F809" t="s">
        <v>398</v>
      </c>
      <c r="G809">
        <v>1692</v>
      </c>
      <c r="H809" t="s">
        <v>9333</v>
      </c>
      <c r="I809" s="871">
        <v>46293.93683766204</v>
      </c>
      <c r="J809" t="s">
        <v>9528</v>
      </c>
      <c r="K809" s="975" t="str">
        <f>IF(COUNTIFS(tblControles[Clave],tblControles[[#This Row],[Clave]])&gt;1,"Duplicado","")</f>
        <v/>
      </c>
    </row>
    <row r="810" spans="2:11">
      <c r="B810" s="975" t="str">
        <f>tblControles[[#This Row],[Fecha]]&amp;"|"&amp;tblControles[[#This Row],[Módulo]]&amp;"|"&amp;tblControles[[#This Row],[Ítem]]&amp;"|"&amp;tblControles[[#This Row],[Turno]]</f>
        <v>46274|TONELADAS X TURNO|Molino barras 9|1° turno</v>
      </c>
      <c r="C810" s="871">
        <v>46274</v>
      </c>
      <c r="D810" t="s">
        <v>9449</v>
      </c>
      <c r="E810" t="s">
        <v>395</v>
      </c>
      <c r="F810" t="s">
        <v>396</v>
      </c>
      <c r="G810">
        <v>1566</v>
      </c>
      <c r="H810" t="s">
        <v>9333</v>
      </c>
      <c r="I810" s="871">
        <v>46293.93683766204</v>
      </c>
      <c r="J810" t="s">
        <v>9528</v>
      </c>
      <c r="K810" s="975" t="str">
        <f>IF(COUNTIFS(tblControles[Clave],tblControles[[#This Row],[Clave]])&gt;1,"Duplicado","")</f>
        <v/>
      </c>
    </row>
    <row r="811" spans="2:11">
      <c r="B811" s="975" t="str">
        <f>tblControles[[#This Row],[Fecha]]&amp;"|"&amp;tblControles[[#This Row],[Módulo]]&amp;"|"&amp;tblControles[[#This Row],[Ítem]]&amp;"|"&amp;tblControles[[#This Row],[Turno]]</f>
        <v>46274|TONELADAS X TURNO|Molino barras 9|2° turno</v>
      </c>
      <c r="C811" s="871">
        <v>46274</v>
      </c>
      <c r="D811" t="s">
        <v>9449</v>
      </c>
      <c r="E811" t="s">
        <v>395</v>
      </c>
      <c r="F811" t="s">
        <v>397</v>
      </c>
      <c r="G811">
        <v>1601</v>
      </c>
      <c r="H811" t="s">
        <v>9333</v>
      </c>
      <c r="I811" s="871">
        <v>46293.93683766204</v>
      </c>
      <c r="J811" t="s">
        <v>9528</v>
      </c>
      <c r="K811" s="975" t="str">
        <f>IF(COUNTIFS(tblControles[Clave],tblControles[[#This Row],[Clave]])&gt;1,"Duplicado","")</f>
        <v/>
      </c>
    </row>
    <row r="812" spans="2:11">
      <c r="B812" s="975" t="str">
        <f>tblControles[[#This Row],[Fecha]]&amp;"|"&amp;tblControles[[#This Row],[Módulo]]&amp;"|"&amp;tblControles[[#This Row],[Ítem]]&amp;"|"&amp;tblControles[[#This Row],[Turno]]</f>
        <v>46274|TONELADAS X TURNO|Molino barras 9|3° turno</v>
      </c>
      <c r="C812" s="871">
        <v>46274</v>
      </c>
      <c r="D812" t="s">
        <v>9449</v>
      </c>
      <c r="E812" t="s">
        <v>395</v>
      </c>
      <c r="F812" t="s">
        <v>398</v>
      </c>
      <c r="G812">
        <v>1810</v>
      </c>
      <c r="H812" t="s">
        <v>9333</v>
      </c>
      <c r="I812" s="871">
        <v>46293.93683766204</v>
      </c>
      <c r="J812" t="s">
        <v>9528</v>
      </c>
      <c r="K812" s="975" t="str">
        <f>IF(COUNTIFS(tblControles[Clave],tblControles[[#This Row],[Clave]])&gt;1,"Duplicado","")</f>
        <v/>
      </c>
    </row>
    <row r="813" spans="2:11">
      <c r="B813" s="975" t="str">
        <f>tblControles[[#This Row],[Fecha]]&amp;"|"&amp;tblControles[[#This Row],[Módulo]]&amp;"|"&amp;tblControles[[#This Row],[Ítem]]&amp;"|"&amp;tblControles[[#This Row],[Turno]]</f>
        <v>46275|AGREGADO MEDIOS|BARRAS RM1|Cantidad</v>
      </c>
      <c r="C813" s="871">
        <v>46275</v>
      </c>
      <c r="D813" t="s">
        <v>9451</v>
      </c>
      <c r="E813" t="s">
        <v>410</v>
      </c>
      <c r="F813" t="s">
        <v>9453</v>
      </c>
      <c r="G813">
        <v>0</v>
      </c>
      <c r="H813" t="s">
        <v>9333</v>
      </c>
      <c r="I813" s="871">
        <v>46293.93683766204</v>
      </c>
      <c r="J813" t="s">
        <v>9524</v>
      </c>
      <c r="K813" s="975" t="str">
        <f>IF(COUNTIFS(tblControles[Clave],tblControles[[#This Row],[Clave]])&gt;1,"Duplicado","")</f>
        <v/>
      </c>
    </row>
    <row r="814" spans="2:11">
      <c r="B814" s="975" t="str">
        <f>tblControles[[#This Row],[Fecha]]&amp;"|"&amp;tblControles[[#This Row],[Módulo]]&amp;"|"&amp;tblControles[[#This Row],[Ítem]]&amp;"|"&amp;tblControles[[#This Row],[Turno]]</f>
        <v>46275|AGREGADO MEDIOS|BARRAS RM2|Cantidad</v>
      </c>
      <c r="C814" s="871">
        <v>46275</v>
      </c>
      <c r="D814" t="s">
        <v>9451</v>
      </c>
      <c r="E814" t="s">
        <v>411</v>
      </c>
      <c r="F814" t="s">
        <v>9453</v>
      </c>
      <c r="G814">
        <v>7</v>
      </c>
      <c r="H814" t="s">
        <v>9333</v>
      </c>
      <c r="I814" s="871">
        <v>46293.93683766204</v>
      </c>
      <c r="J814" t="s">
        <v>9524</v>
      </c>
      <c r="K814" s="975" t="str">
        <f>IF(COUNTIFS(tblControles[Clave],tblControles[[#This Row],[Clave]])&gt;1,"Duplicado","")</f>
        <v/>
      </c>
    </row>
    <row r="815" spans="2:11">
      <c r="B815" s="975" t="str">
        <f>tblControles[[#This Row],[Fecha]]&amp;"|"&amp;tblControles[[#This Row],[Módulo]]&amp;"|"&amp;tblControles[[#This Row],[Ítem]]&amp;"|"&amp;tblControles[[#This Row],[Turno]]</f>
        <v>46275|AGREGADO MEDIOS|BARRAS RM3|Cantidad</v>
      </c>
      <c r="C815" s="871">
        <v>46275</v>
      </c>
      <c r="D815" t="s">
        <v>9451</v>
      </c>
      <c r="E815" t="s">
        <v>412</v>
      </c>
      <c r="F815" t="s">
        <v>9453</v>
      </c>
      <c r="G815">
        <v>0</v>
      </c>
      <c r="H815" t="s">
        <v>9333</v>
      </c>
      <c r="I815" s="871">
        <v>46293.93683766204</v>
      </c>
      <c r="J815" t="s">
        <v>9524</v>
      </c>
      <c r="K815" s="975" t="str">
        <f>IF(COUNTIFS(tblControles[Clave],tblControles[[#This Row],[Clave]])&gt;1,"Duplicado","")</f>
        <v/>
      </c>
    </row>
    <row r="816" spans="2:11">
      <c r="B816" s="975" t="str">
        <f>tblControles[[#This Row],[Fecha]]&amp;"|"&amp;tblControles[[#This Row],[Módulo]]&amp;"|"&amp;tblControles[[#This Row],[Ítem]]&amp;"|"&amp;tblControles[[#This Row],[Turno]]</f>
        <v>46275|AGREGADO MEDIOS|BARRAS RM4|Cantidad</v>
      </c>
      <c r="C816" s="871">
        <v>46275</v>
      </c>
      <c r="D816" t="s">
        <v>9451</v>
      </c>
      <c r="E816" t="s">
        <v>413</v>
      </c>
      <c r="F816" t="s">
        <v>9453</v>
      </c>
      <c r="G816">
        <v>0</v>
      </c>
      <c r="H816" t="s">
        <v>9333</v>
      </c>
      <c r="I816" s="871">
        <v>46293.93683766204</v>
      </c>
      <c r="J816" t="s">
        <v>9524</v>
      </c>
      <c r="K816" s="975" t="str">
        <f>IF(COUNTIFS(tblControles[Clave],tblControles[[#This Row],[Clave]])&gt;1,"Duplicado","")</f>
        <v/>
      </c>
    </row>
    <row r="817" spans="2:11">
      <c r="B817" s="975" t="str">
        <f>tblControles[[#This Row],[Fecha]]&amp;"|"&amp;tblControles[[#This Row],[Módulo]]&amp;"|"&amp;tblControles[[#This Row],[Ítem]]&amp;"|"&amp;tblControles[[#This Row],[Turno]]</f>
        <v>46275|AGREGADO MEDIOS|BARRAS RM5|Cantidad</v>
      </c>
      <c r="C817" s="871">
        <v>46275</v>
      </c>
      <c r="D817" t="s">
        <v>9451</v>
      </c>
      <c r="E817" t="s">
        <v>414</v>
      </c>
      <c r="F817" t="s">
        <v>9453</v>
      </c>
      <c r="G817">
        <v>0</v>
      </c>
      <c r="H817" t="s">
        <v>9333</v>
      </c>
      <c r="I817" s="871">
        <v>46293.93683766204</v>
      </c>
      <c r="J817" t="s">
        <v>9524</v>
      </c>
      <c r="K817" s="975" t="str">
        <f>IF(COUNTIFS(tblControles[Clave],tblControles[[#This Row],[Clave]])&gt;1,"Duplicado","")</f>
        <v/>
      </c>
    </row>
    <row r="818" spans="2:11">
      <c r="B818" s="975" t="str">
        <f>tblControles[[#This Row],[Fecha]]&amp;"|"&amp;tblControles[[#This Row],[Módulo]]&amp;"|"&amp;tblControles[[#This Row],[Ítem]]&amp;"|"&amp;tblControles[[#This Row],[Turno]]</f>
        <v>46275|AGREGADO MEDIOS|BARRAS RM6|Cantidad</v>
      </c>
      <c r="C818" s="871">
        <v>46275</v>
      </c>
      <c r="D818" t="s">
        <v>9451</v>
      </c>
      <c r="E818" t="s">
        <v>415</v>
      </c>
      <c r="F818" t="s">
        <v>9453</v>
      </c>
      <c r="G818">
        <v>0</v>
      </c>
      <c r="H818" t="s">
        <v>9333</v>
      </c>
      <c r="I818" s="871">
        <v>46293.93683766204</v>
      </c>
      <c r="J818" t="s">
        <v>9524</v>
      </c>
      <c r="K818" s="975" t="str">
        <f>IF(COUNTIFS(tblControles[Clave],tblControles[[#This Row],[Clave]])&gt;1,"Duplicado","")</f>
        <v/>
      </c>
    </row>
    <row r="819" spans="2:11">
      <c r="B819" s="975" t="str">
        <f>tblControles[[#This Row],[Fecha]]&amp;"|"&amp;tblControles[[#This Row],[Módulo]]&amp;"|"&amp;tblControles[[#This Row],[Ítem]]&amp;"|"&amp;tblControles[[#This Row],[Turno]]</f>
        <v>46275|AGREGADO MEDIOS|BARRAS RM7|Cantidad</v>
      </c>
      <c r="C819" s="871">
        <v>46275</v>
      </c>
      <c r="D819" t="s">
        <v>9451</v>
      </c>
      <c r="E819" t="s">
        <v>416</v>
      </c>
      <c r="F819" t="s">
        <v>9453</v>
      </c>
      <c r="G819">
        <v>7</v>
      </c>
      <c r="H819" t="s">
        <v>9333</v>
      </c>
      <c r="I819" s="871">
        <v>46293.93683766204</v>
      </c>
      <c r="J819" t="s">
        <v>9524</v>
      </c>
      <c r="K819" s="975" t="str">
        <f>IF(COUNTIFS(tblControles[Clave],tblControles[[#This Row],[Clave]])&gt;1,"Duplicado","")</f>
        <v/>
      </c>
    </row>
    <row r="820" spans="2:11">
      <c r="B820" s="975" t="str">
        <f>tblControles[[#This Row],[Fecha]]&amp;"|"&amp;tblControles[[#This Row],[Módulo]]&amp;"|"&amp;tblControles[[#This Row],[Ítem]]&amp;"|"&amp;tblControles[[#This Row],[Turno]]</f>
        <v>46275|AGREGADO MEDIOS|BARRAS RM8|Cantidad</v>
      </c>
      <c r="C820" s="871">
        <v>46275</v>
      </c>
      <c r="D820" t="s">
        <v>9451</v>
      </c>
      <c r="E820" t="s">
        <v>417</v>
      </c>
      <c r="F820" t="s">
        <v>9453</v>
      </c>
      <c r="G820">
        <v>5</v>
      </c>
      <c r="H820" t="s">
        <v>9333</v>
      </c>
      <c r="I820" s="871">
        <v>46293.93683766204</v>
      </c>
      <c r="J820" t="s">
        <v>9524</v>
      </c>
      <c r="K820" s="975" t="str">
        <f>IF(COUNTIFS(tblControles[Clave],tblControles[[#This Row],[Clave]])&gt;1,"Duplicado","")</f>
        <v/>
      </c>
    </row>
    <row r="821" spans="2:11">
      <c r="B821" s="975" t="str">
        <f>tblControles[[#This Row],[Fecha]]&amp;"|"&amp;tblControles[[#This Row],[Módulo]]&amp;"|"&amp;tblControles[[#This Row],[Ítem]]&amp;"|"&amp;tblControles[[#This Row],[Turno]]</f>
        <v>46275|AGREGADO MEDIOS|BARRAS 9 RM9|Cantidad</v>
      </c>
      <c r="C821" s="871">
        <v>46275</v>
      </c>
      <c r="D821" t="s">
        <v>9451</v>
      </c>
      <c r="E821" t="s">
        <v>418</v>
      </c>
      <c r="F821" t="s">
        <v>9453</v>
      </c>
      <c r="G821">
        <v>0</v>
      </c>
      <c r="H821" t="s">
        <v>9333</v>
      </c>
      <c r="I821" s="871">
        <v>46293.93683766204</v>
      </c>
      <c r="J821" t="s">
        <v>9524</v>
      </c>
      <c r="K821" s="975" t="str">
        <f>IF(COUNTIFS(tblControles[Clave],tblControles[[#This Row],[Clave]])&gt;1,"Duplicado","")</f>
        <v/>
      </c>
    </row>
    <row r="822" spans="2:11">
      <c r="B822" s="975" t="str">
        <f>tblControles[[#This Row],[Fecha]]&amp;"|"&amp;tblControles[[#This Row],[Módulo]]&amp;"|"&amp;tblControles[[#This Row],[Ítem]]&amp;"|"&amp;tblControles[[#This Row],[Turno]]</f>
        <v>46275|AGREGADO MEDIOS|CONOS 40X50 BM1|Cantidad</v>
      </c>
      <c r="C822" s="871">
        <v>46275</v>
      </c>
      <c r="D822" t="s">
        <v>9451</v>
      </c>
      <c r="E822" t="s">
        <v>420</v>
      </c>
      <c r="F822" t="s">
        <v>9453</v>
      </c>
      <c r="G822">
        <v>4</v>
      </c>
      <c r="H822" t="s">
        <v>9333</v>
      </c>
      <c r="I822" s="871">
        <v>46293.93683766204</v>
      </c>
      <c r="J822" t="s">
        <v>9524</v>
      </c>
      <c r="K822" s="975" t="str">
        <f>IF(COUNTIFS(tblControles[Clave],tblControles[[#This Row],[Clave]])&gt;1,"Duplicado","")</f>
        <v/>
      </c>
    </row>
    <row r="823" spans="2:11">
      <c r="B823" s="975" t="str">
        <f>tblControles[[#This Row],[Fecha]]&amp;"|"&amp;tblControles[[#This Row],[Módulo]]&amp;"|"&amp;tblControles[[#This Row],[Ítem]]&amp;"|"&amp;tblControles[[#This Row],[Turno]]</f>
        <v>46275|AGREGADO MEDIOS|CONOS 40X50 BM2|Cantidad</v>
      </c>
      <c r="C823" s="871">
        <v>46275</v>
      </c>
      <c r="D823" t="s">
        <v>9451</v>
      </c>
      <c r="E823" t="s">
        <v>421</v>
      </c>
      <c r="F823" t="s">
        <v>9453</v>
      </c>
      <c r="G823">
        <v>0</v>
      </c>
      <c r="H823" t="s">
        <v>9333</v>
      </c>
      <c r="I823" s="871">
        <v>46293.93683766204</v>
      </c>
      <c r="J823" t="s">
        <v>9524</v>
      </c>
      <c r="K823" s="975" t="str">
        <f>IF(COUNTIFS(tblControles[Clave],tblControles[[#This Row],[Clave]])&gt;1,"Duplicado","")</f>
        <v/>
      </c>
    </row>
    <row r="824" spans="2:11">
      <c r="B824" s="975" t="str">
        <f>tblControles[[#This Row],[Fecha]]&amp;"|"&amp;tblControles[[#This Row],[Módulo]]&amp;"|"&amp;tblControles[[#This Row],[Ítem]]&amp;"|"&amp;tblControles[[#This Row],[Turno]]</f>
        <v>46275|AGREGADO MEDIOS|CONOS 40X50 BM3|Cantidad</v>
      </c>
      <c r="C824" s="871">
        <v>46275</v>
      </c>
      <c r="D824" t="s">
        <v>9451</v>
      </c>
      <c r="E824" t="s">
        <v>422</v>
      </c>
      <c r="F824" t="s">
        <v>9453</v>
      </c>
      <c r="G824">
        <v>0</v>
      </c>
      <c r="H824" t="s">
        <v>9333</v>
      </c>
      <c r="I824" s="871">
        <v>46293.93683766204</v>
      </c>
      <c r="J824" t="s">
        <v>9524</v>
      </c>
      <c r="K824" s="975" t="str">
        <f>IF(COUNTIFS(tblControles[Clave],tblControles[[#This Row],[Clave]])&gt;1,"Duplicado","")</f>
        <v/>
      </c>
    </row>
    <row r="825" spans="2:11">
      <c r="B825" s="975" t="str">
        <f>tblControles[[#This Row],[Fecha]]&amp;"|"&amp;tblControles[[#This Row],[Módulo]]&amp;"|"&amp;tblControles[[#This Row],[Ítem]]&amp;"|"&amp;tblControles[[#This Row],[Turno]]</f>
        <v>46275|AGREGADO MEDIOS|CONOS 40X50 BM4|Cantidad</v>
      </c>
      <c r="C825" s="871">
        <v>46275</v>
      </c>
      <c r="D825" t="s">
        <v>9451</v>
      </c>
      <c r="E825" t="s">
        <v>423</v>
      </c>
      <c r="F825" t="s">
        <v>9453</v>
      </c>
      <c r="G825">
        <v>0</v>
      </c>
      <c r="H825" t="s">
        <v>9333</v>
      </c>
      <c r="I825" s="871">
        <v>46293.93683766204</v>
      </c>
      <c r="J825" t="s">
        <v>9524</v>
      </c>
      <c r="K825" s="975" t="str">
        <f>IF(COUNTIFS(tblControles[Clave],tblControles[[#This Row],[Clave]])&gt;1,"Duplicado","")</f>
        <v/>
      </c>
    </row>
    <row r="826" spans="2:11">
      <c r="B826" s="975" t="str">
        <f>tblControles[[#This Row],[Fecha]]&amp;"|"&amp;tblControles[[#This Row],[Módulo]]&amp;"|"&amp;tblControles[[#This Row],[Ítem]]&amp;"|"&amp;tblControles[[#This Row],[Turno]]</f>
        <v>46275|AGREGADO MEDIOS|CONOS 30X35 BM5|Cantidad</v>
      </c>
      <c r="C826" s="871">
        <v>46275</v>
      </c>
      <c r="D826" t="s">
        <v>9451</v>
      </c>
      <c r="E826" t="s">
        <v>424</v>
      </c>
      <c r="F826" t="s">
        <v>9453</v>
      </c>
      <c r="G826">
        <v>6</v>
      </c>
      <c r="H826" t="s">
        <v>9333</v>
      </c>
      <c r="I826" s="871">
        <v>46293.93683766204</v>
      </c>
      <c r="J826" t="s">
        <v>9524</v>
      </c>
      <c r="K826" s="975" t="str">
        <f>IF(COUNTIFS(tblControles[Clave],tblControles[[#This Row],[Clave]])&gt;1,"Duplicado","")</f>
        <v/>
      </c>
    </row>
    <row r="827" spans="2:11">
      <c r="B827" s="975" t="str">
        <f>tblControles[[#This Row],[Fecha]]&amp;"|"&amp;tblControles[[#This Row],[Módulo]]&amp;"|"&amp;tblControles[[#This Row],[Ítem]]&amp;"|"&amp;tblControles[[#This Row],[Turno]]</f>
        <v>46275|AGREGADO MEDIOS|CONOS 40X50 BM6|Cantidad</v>
      </c>
      <c r="C827" s="871">
        <v>46275</v>
      </c>
      <c r="D827" t="s">
        <v>9451</v>
      </c>
      <c r="E827" t="s">
        <v>425</v>
      </c>
      <c r="F827" t="s">
        <v>9453</v>
      </c>
      <c r="G827">
        <v>0</v>
      </c>
      <c r="H827" t="s">
        <v>9333</v>
      </c>
      <c r="I827" s="871">
        <v>46293.93683766204</v>
      </c>
      <c r="J827" t="s">
        <v>9524</v>
      </c>
      <c r="K827" s="975" t="str">
        <f>IF(COUNTIFS(tblControles[Clave],tblControles[[#This Row],[Clave]])&gt;1,"Duplicado","")</f>
        <v/>
      </c>
    </row>
    <row r="828" spans="2:11">
      <c r="B828" s="975" t="str">
        <f>tblControles[[#This Row],[Fecha]]&amp;"|"&amp;tblControles[[#This Row],[Módulo]]&amp;"|"&amp;tblControles[[#This Row],[Ítem]]&amp;"|"&amp;tblControles[[#This Row],[Turno]]</f>
        <v>46275|AGREGADO MEDIOS|CONOS 40X50 BM7|Cantidad</v>
      </c>
      <c r="C828" s="871">
        <v>46275</v>
      </c>
      <c r="D828" t="s">
        <v>9451</v>
      </c>
      <c r="E828" t="s">
        <v>426</v>
      </c>
      <c r="F828" t="s">
        <v>9453</v>
      </c>
      <c r="G828">
        <v>2</v>
      </c>
      <c r="H828" t="s">
        <v>9333</v>
      </c>
      <c r="I828" s="871">
        <v>46293.93683766204</v>
      </c>
      <c r="J828" t="s">
        <v>9524</v>
      </c>
      <c r="K828" s="975" t="str">
        <f>IF(COUNTIFS(tblControles[Clave],tblControles[[#This Row],[Clave]])&gt;1,"Duplicado","")</f>
        <v/>
      </c>
    </row>
    <row r="829" spans="2:11">
      <c r="B829" s="975" t="str">
        <f>tblControles[[#This Row],[Fecha]]&amp;"|"&amp;tblControles[[#This Row],[Módulo]]&amp;"|"&amp;tblControles[[#This Row],[Ítem]]&amp;"|"&amp;tblControles[[#This Row],[Turno]]</f>
        <v>46275|AGREGADO MEDIOS|CONOS 40X50|Cantidad</v>
      </c>
      <c r="C829" s="871">
        <v>46275</v>
      </c>
      <c r="D829" t="s">
        <v>9451</v>
      </c>
      <c r="E829" t="s">
        <v>427</v>
      </c>
      <c r="F829" t="s">
        <v>9453</v>
      </c>
      <c r="G829">
        <v>4</v>
      </c>
      <c r="H829" t="s">
        <v>9333</v>
      </c>
      <c r="I829" s="871">
        <v>46293.93683766204</v>
      </c>
      <c r="J829" t="s">
        <v>9524</v>
      </c>
      <c r="K829" s="975" t="str">
        <f>IF(COUNTIFS(tblControles[Clave],tblControles[[#This Row],[Clave]])&gt;1,"Duplicado","")</f>
        <v/>
      </c>
    </row>
    <row r="830" spans="2:11">
      <c r="B830" s="975" t="str">
        <f>tblControles[[#This Row],[Fecha]]&amp;"|"&amp;tblControles[[#This Row],[Módulo]]&amp;"|"&amp;tblControles[[#This Row],[Ítem]]&amp;"|"&amp;tblControles[[#This Row],[Turno]]</f>
        <v>46275|AGREGADO MEDIOS|CONOS 30X35|Cantidad</v>
      </c>
      <c r="C830" s="871">
        <v>46275</v>
      </c>
      <c r="D830" t="s">
        <v>9451</v>
      </c>
      <c r="E830" t="s">
        <v>428</v>
      </c>
      <c r="F830" t="s">
        <v>9453</v>
      </c>
      <c r="G830">
        <v>8</v>
      </c>
      <c r="H830" t="s">
        <v>9333</v>
      </c>
      <c r="I830" s="871">
        <v>46293.93683766204</v>
      </c>
      <c r="J830" t="s">
        <v>9524</v>
      </c>
      <c r="K830" s="975" t="str">
        <f>IF(COUNTIFS(tblControles[Clave],tblControles[[#This Row],[Clave]])&gt;1,"Duplicado","")</f>
        <v/>
      </c>
    </row>
    <row r="831" spans="2:11">
      <c r="B831" s="975" t="str">
        <f>tblControles[[#This Row],[Fecha]]&amp;"|"&amp;tblControles[[#This Row],[Módulo]]&amp;"|"&amp;tblControles[[#This Row],[Ítem]]&amp;"|"&amp;tblControles[[#This Row],[Turno]]</f>
        <v>46275|AGREGADO MEDIOS|BOLAS BM8|Cantidad</v>
      </c>
      <c r="C831" s="871">
        <v>46275</v>
      </c>
      <c r="D831" t="s">
        <v>9451</v>
      </c>
      <c r="E831" t="s">
        <v>429</v>
      </c>
      <c r="F831" t="s">
        <v>9453</v>
      </c>
      <c r="G831">
        <v>0</v>
      </c>
      <c r="H831" t="s">
        <v>9333</v>
      </c>
      <c r="I831" s="871">
        <v>46293.93683766204</v>
      </c>
      <c r="J831" t="s">
        <v>9524</v>
      </c>
      <c r="K831" s="975" t="str">
        <f>IF(COUNTIFS(tblControles[Clave],tblControles[[#This Row],[Clave]])&gt;1,"Duplicado","")</f>
        <v/>
      </c>
    </row>
    <row r="832" spans="2:11">
      <c r="B832" s="975" t="str">
        <f>tblControles[[#This Row],[Fecha]]&amp;"|"&amp;tblControles[[#This Row],[Módulo]]&amp;"|"&amp;tblControles[[#This Row],[Ítem]]&amp;"|"&amp;tblControles[[#This Row],[Turno]]</f>
        <v>46275|AGREGADO MEDIOS|BOLAS BM9|Cantidad</v>
      </c>
      <c r="C832" s="871">
        <v>46275</v>
      </c>
      <c r="D832" t="s">
        <v>9451</v>
      </c>
      <c r="E832" t="s">
        <v>430</v>
      </c>
      <c r="F832" t="s">
        <v>9453</v>
      </c>
      <c r="G832">
        <v>0</v>
      </c>
      <c r="H832" t="s">
        <v>9333</v>
      </c>
      <c r="I832" s="871">
        <v>46293.93683766204</v>
      </c>
      <c r="J832" t="s">
        <v>9524</v>
      </c>
      <c r="K832" s="975" t="str">
        <f>IF(COUNTIFS(tblControles[Clave],tblControles[[#This Row],[Clave]])&gt;1,"Duplicado","")</f>
        <v/>
      </c>
    </row>
    <row r="833" spans="2:11">
      <c r="B833" s="975" t="str">
        <f>tblControles[[#This Row],[Fecha]]&amp;"|"&amp;tblControles[[#This Row],[Módulo]]&amp;"|"&amp;tblControles[[#This Row],[Ítem]]&amp;"|"&amp;tblControles[[#This Row],[Turno]]</f>
        <v>46275|AGREGADO MEDIOS|BOLAS BM10|Cantidad</v>
      </c>
      <c r="C833" s="871">
        <v>46275</v>
      </c>
      <c r="D833" t="s">
        <v>9451</v>
      </c>
      <c r="E833" t="s">
        <v>431</v>
      </c>
      <c r="F833" t="s">
        <v>9453</v>
      </c>
      <c r="G833">
        <v>2</v>
      </c>
      <c r="H833" t="s">
        <v>9333</v>
      </c>
      <c r="I833" s="871">
        <v>46293.93683766204</v>
      </c>
      <c r="J833" t="s">
        <v>9524</v>
      </c>
      <c r="K833" s="975" t="str">
        <f>IF(COUNTIFS(tblControles[Clave],tblControles[[#This Row],[Clave]])&gt;1,"Duplicado","")</f>
        <v/>
      </c>
    </row>
    <row r="834" spans="2:11">
      <c r="B834" s="975" t="str">
        <f>tblControles[[#This Row],[Fecha]]&amp;"|"&amp;tblControles[[#This Row],[Módulo]]&amp;"|"&amp;tblControles[[#This Row],[Ítem]]&amp;"|"&amp;tblControles[[#This Row],[Turno]]</f>
        <v>46275|AGREGADO MEDIOS|BOLAS ALTO CROM|Cantidad</v>
      </c>
      <c r="C834" s="871">
        <v>46275</v>
      </c>
      <c r="D834" t="s">
        <v>9451</v>
      </c>
      <c r="E834" t="s">
        <v>432</v>
      </c>
      <c r="F834" t="s">
        <v>9453</v>
      </c>
      <c r="G834">
        <v>2</v>
      </c>
      <c r="H834" t="s">
        <v>9333</v>
      </c>
      <c r="I834" s="871">
        <v>46293.93683766204</v>
      </c>
      <c r="J834" t="s">
        <v>9524</v>
      </c>
      <c r="K834" s="975" t="str">
        <f>IF(COUNTIFS(tblControles[Clave],tblControles[[#This Row],[Clave]])&gt;1,"Duplicado","")</f>
        <v/>
      </c>
    </row>
    <row r="835" spans="2:11">
      <c r="B835" s="975" t="str">
        <f>tblControles[[#This Row],[Fecha]]&amp;"|"&amp;tblControles[[#This Row],[Módulo]]&amp;"|"&amp;tblControles[[#This Row],[Ítem]]&amp;"|"&amp;tblControles[[#This Row],[Turno]]</f>
        <v>46275|FILTROS H2O|Filtro # 1|3 TURNO</v>
      </c>
      <c r="C835" s="871">
        <v>46275</v>
      </c>
      <c r="D835" t="s">
        <v>9430</v>
      </c>
      <c r="E835" t="s">
        <v>9525</v>
      </c>
      <c r="F835" t="s">
        <v>328</v>
      </c>
      <c r="G835" t="s">
        <v>3227</v>
      </c>
      <c r="H835" t="s">
        <v>9333</v>
      </c>
      <c r="I835" s="871">
        <v>46293.93683766204</v>
      </c>
      <c r="J835" t="s">
        <v>9529</v>
      </c>
      <c r="K835" s="975" t="str">
        <f>IF(COUNTIFS(tblControles[Clave],tblControles[[#This Row],[Clave]])&gt;1,"Duplicado","")</f>
        <v/>
      </c>
    </row>
    <row r="836" spans="2:11">
      <c r="B836" s="975" t="str">
        <f>tblControles[[#This Row],[Fecha]]&amp;"|"&amp;tblControles[[#This Row],[Módulo]]&amp;"|"&amp;tblControles[[#This Row],[Ítem]]&amp;"|"&amp;tblControles[[#This Row],[Turno]]</f>
        <v>46275|FILTROS H2O|Filtro # 2|3 TURNO</v>
      </c>
      <c r="C836" s="871">
        <v>46275</v>
      </c>
      <c r="D836" t="s">
        <v>9430</v>
      </c>
      <c r="E836" t="s">
        <v>9463</v>
      </c>
      <c r="F836" t="s">
        <v>328</v>
      </c>
      <c r="G836" t="s">
        <v>3227</v>
      </c>
      <c r="H836" t="s">
        <v>9333</v>
      </c>
      <c r="I836" s="871">
        <v>46293.93683766204</v>
      </c>
      <c r="J836" t="s">
        <v>9529</v>
      </c>
      <c r="K836" s="975" t="str">
        <f>IF(COUNTIFS(tblControles[Clave],tblControles[[#This Row],[Clave]])&gt;1,"Duplicado","")</f>
        <v/>
      </c>
    </row>
    <row r="837" spans="2:11">
      <c r="B837" s="975" t="str">
        <f>tblControles[[#This Row],[Fecha]]&amp;"|"&amp;tblControles[[#This Row],[Módulo]]&amp;"|"&amp;tblControles[[#This Row],[Ítem]]&amp;"|"&amp;tblControles[[#This Row],[Turno]]</f>
        <v>46275|FILTROS H2O|Filtro # 3|3 TURNO</v>
      </c>
      <c r="C837" s="871">
        <v>46275</v>
      </c>
      <c r="D837" t="s">
        <v>9430</v>
      </c>
      <c r="E837" t="s">
        <v>9464</v>
      </c>
      <c r="F837" t="s">
        <v>328</v>
      </c>
      <c r="G837" t="s">
        <v>3227</v>
      </c>
      <c r="H837" t="s">
        <v>9333</v>
      </c>
      <c r="I837" s="871">
        <v>46293.93683766204</v>
      </c>
      <c r="J837" t="s">
        <v>9529</v>
      </c>
      <c r="K837" s="975" t="str">
        <f>IF(COUNTIFS(tblControles[Clave],tblControles[[#This Row],[Clave]])&gt;1,"Duplicado","")</f>
        <v/>
      </c>
    </row>
    <row r="838" spans="2:11">
      <c r="B838" s="975" t="str">
        <f>tblControles[[#This Row],[Fecha]]&amp;"|"&amp;tblControles[[#This Row],[Módulo]]&amp;"|"&amp;tblControles[[#This Row],[Ítem]]&amp;"|"&amp;tblControles[[#This Row],[Turno]]</f>
        <v>46275|FILTROS H2O|Filtro # 4|3 TURNO</v>
      </c>
      <c r="C838" s="871">
        <v>46275</v>
      </c>
      <c r="D838" t="s">
        <v>9430</v>
      </c>
      <c r="E838" t="s">
        <v>9465</v>
      </c>
      <c r="F838" t="s">
        <v>328</v>
      </c>
      <c r="G838" t="s">
        <v>345</v>
      </c>
      <c r="H838" t="s">
        <v>9333</v>
      </c>
      <c r="I838" s="871">
        <v>46293.93683766204</v>
      </c>
      <c r="J838" t="s">
        <v>9529</v>
      </c>
      <c r="K838" s="975" t="str">
        <f>IF(COUNTIFS(tblControles[Clave],tblControles[[#This Row],[Clave]])&gt;1,"Duplicado","")</f>
        <v/>
      </c>
    </row>
    <row r="839" spans="2:11">
      <c r="B839" s="975" t="str">
        <f>tblControles[[#This Row],[Fecha]]&amp;"|"&amp;tblControles[[#This Row],[Módulo]]&amp;"|"&amp;tblControles[[#This Row],[Ítem]]&amp;"|"&amp;tblControles[[#This Row],[Turno]]</f>
        <v>46275|FILTROS H2O|Filtro # 5|3 TURNO</v>
      </c>
      <c r="C839" s="871">
        <v>46275</v>
      </c>
      <c r="D839" t="s">
        <v>9430</v>
      </c>
      <c r="E839" t="s">
        <v>9466</v>
      </c>
      <c r="F839" t="s">
        <v>328</v>
      </c>
      <c r="G839" t="s">
        <v>3227</v>
      </c>
      <c r="H839" t="s">
        <v>9333</v>
      </c>
      <c r="I839" s="871">
        <v>46293.93683766204</v>
      </c>
      <c r="J839" t="s">
        <v>9529</v>
      </c>
      <c r="K839" s="975" t="str">
        <f>IF(COUNTIFS(tblControles[Clave],tblControles[[#This Row],[Clave]])&gt;1,"Duplicado","")</f>
        <v/>
      </c>
    </row>
    <row r="840" spans="2:11">
      <c r="B840" s="975" t="str">
        <f>tblControles[[#This Row],[Fecha]]&amp;"|"&amp;tblControles[[#This Row],[Módulo]]&amp;"|"&amp;tblControles[[#This Row],[Ítem]]&amp;"|"&amp;tblControles[[#This Row],[Turno]]</f>
        <v>46275|FILTROS H2O|Filtro Linea # 5|3 TURNO</v>
      </c>
      <c r="C840" s="871">
        <v>46275</v>
      </c>
      <c r="D840" t="s">
        <v>9430</v>
      </c>
      <c r="E840" t="s">
        <v>331</v>
      </c>
      <c r="F840" t="s">
        <v>328</v>
      </c>
      <c r="G840" t="s">
        <v>3227</v>
      </c>
      <c r="H840" t="s">
        <v>9333</v>
      </c>
      <c r="I840" s="871">
        <v>46293.93683766204</v>
      </c>
      <c r="J840" t="s">
        <v>9529</v>
      </c>
      <c r="K840" s="975" t="str">
        <f>IF(COUNTIFS(tblControles[Clave],tblControles[[#This Row],[Clave]])&gt;1,"Duplicado","")</f>
        <v/>
      </c>
    </row>
    <row r="841" spans="2:11">
      <c r="B841" s="975" t="str">
        <f>tblControles[[#This Row],[Fecha]]&amp;"|"&amp;tblControles[[#This Row],[Módulo]]&amp;"|"&amp;tblControles[[#This Row],[Ítem]]&amp;"|"&amp;tblControles[[#This Row],[Turno]]</f>
        <v>46275|FILTROS H2O|Filtro Linea # 6|3 TURNO</v>
      </c>
      <c r="C841" s="871">
        <v>46275</v>
      </c>
      <c r="D841" t="s">
        <v>9430</v>
      </c>
      <c r="E841" t="s">
        <v>332</v>
      </c>
      <c r="F841" t="s">
        <v>328</v>
      </c>
      <c r="G841" t="s">
        <v>3227</v>
      </c>
      <c r="H841" t="s">
        <v>9333</v>
      </c>
      <c r="I841" s="871">
        <v>46293.93683766204</v>
      </c>
      <c r="J841" t="s">
        <v>9529</v>
      </c>
      <c r="K841" s="975" t="str">
        <f>IF(COUNTIFS(tblControles[Clave],tblControles[[#This Row],[Clave]])&gt;1,"Duplicado","")</f>
        <v/>
      </c>
    </row>
    <row r="842" spans="2:11">
      <c r="B842" s="975" t="str">
        <f>tblControles[[#This Row],[Fecha]]&amp;"|"&amp;tblControles[[#This Row],[Módulo]]&amp;"|"&amp;tblControles[[#This Row],[Ítem]]&amp;"|"&amp;tblControles[[#This Row],[Turno]]</f>
        <v>46275|FILTROS H2O|Filtro Linea # 7|3 TURNO</v>
      </c>
      <c r="C842" s="871">
        <v>46275</v>
      </c>
      <c r="D842" t="s">
        <v>9430</v>
      </c>
      <c r="E842" t="s">
        <v>9467</v>
      </c>
      <c r="F842" t="s">
        <v>328</v>
      </c>
      <c r="G842" t="s">
        <v>3227</v>
      </c>
      <c r="H842" t="s">
        <v>9333</v>
      </c>
      <c r="I842" s="871">
        <v>46293.93683766204</v>
      </c>
      <c r="J842" t="s">
        <v>9529</v>
      </c>
      <c r="K842" s="975" t="str">
        <f>IF(COUNTIFS(tblControles[Clave],tblControles[[#This Row],[Clave]])&gt;1,"Duplicado","")</f>
        <v/>
      </c>
    </row>
    <row r="843" spans="2:11">
      <c r="B843" s="975" t="str">
        <f>tblControles[[#This Row],[Fecha]]&amp;"|"&amp;tblControles[[#This Row],[Módulo]]&amp;"|"&amp;tblControles[[#This Row],[Ítem]]&amp;"|"&amp;tblControles[[#This Row],[Turno]]</f>
        <v>46275|FILTROS H2O|Filtro Linea # 8|3 TURNO</v>
      </c>
      <c r="C843" s="871">
        <v>46275</v>
      </c>
      <c r="D843" t="s">
        <v>9430</v>
      </c>
      <c r="E843" t="s">
        <v>9468</v>
      </c>
      <c r="F843" t="s">
        <v>328</v>
      </c>
      <c r="G843" t="s">
        <v>345</v>
      </c>
      <c r="H843" t="s">
        <v>9333</v>
      </c>
      <c r="I843" s="871">
        <v>46293.93683766204</v>
      </c>
      <c r="J843" t="s">
        <v>9529</v>
      </c>
      <c r="K843" s="975" t="str">
        <f>IF(COUNTIFS(tblControles[Clave],tblControles[[#This Row],[Clave]])&gt;1,"Duplicado","")</f>
        <v/>
      </c>
    </row>
    <row r="844" spans="2:11">
      <c r="B844" s="975" t="str">
        <f>tblControles[[#This Row],[Fecha]]&amp;"|"&amp;tblControles[[#This Row],[Módulo]]&amp;"|"&amp;tblControles[[#This Row],[Ítem]]&amp;"|"&amp;tblControles[[#This Row],[Turno]]</f>
        <v>46275|FILTROS H2O|Filtro Linea # 9 (01)|3 TURNO</v>
      </c>
      <c r="C844" s="871">
        <v>46275</v>
      </c>
      <c r="D844" t="s">
        <v>9430</v>
      </c>
      <c r="E844" t="s">
        <v>9469</v>
      </c>
      <c r="F844" t="s">
        <v>328</v>
      </c>
      <c r="G844" t="s">
        <v>3227</v>
      </c>
      <c r="H844" t="s">
        <v>9333</v>
      </c>
      <c r="I844" s="871">
        <v>46293.93683766204</v>
      </c>
      <c r="J844" t="s">
        <v>9529</v>
      </c>
      <c r="K844" s="975" t="str">
        <f>IF(COUNTIFS(tblControles[Clave],tblControles[[#This Row],[Clave]])&gt;1,"Duplicado","")</f>
        <v/>
      </c>
    </row>
    <row r="845" spans="2:11">
      <c r="B845" s="975" t="str">
        <f>tblControles[[#This Row],[Fecha]]&amp;"|"&amp;tblControles[[#This Row],[Módulo]]&amp;"|"&amp;tblControles[[#This Row],[Ítem]]&amp;"|"&amp;tblControles[[#This Row],[Turno]]</f>
        <v>46275|FILTROS H2O|Filtro Linea # 9 (02)|3 TURNO</v>
      </c>
      <c r="C845" s="871">
        <v>46275</v>
      </c>
      <c r="D845" t="s">
        <v>9430</v>
      </c>
      <c r="E845" t="s">
        <v>9470</v>
      </c>
      <c r="F845" t="s">
        <v>328</v>
      </c>
      <c r="G845" t="s">
        <v>345</v>
      </c>
      <c r="H845" t="s">
        <v>9333</v>
      </c>
      <c r="I845" s="871">
        <v>46293.93683766204</v>
      </c>
      <c r="J845" t="s">
        <v>9529</v>
      </c>
      <c r="K845" s="975" t="str">
        <f>IF(COUNTIFS(tblControles[Clave],tblControles[[#This Row],[Clave]])&gt;1,"Duplicado","")</f>
        <v/>
      </c>
    </row>
    <row r="846" spans="2:11">
      <c r="B846" s="975" t="str">
        <f>tblControles[[#This Row],[Fecha]]&amp;"|"&amp;tblControles[[#This Row],[Módulo]]&amp;"|"&amp;tblControles[[#This Row],[Ítem]]&amp;"|"&amp;tblControles[[#This Row],[Turno]]</f>
        <v>46275|PURGA TKS AIRE|TK-MG-S. ROTULO|2do Turno</v>
      </c>
      <c r="C846" s="871">
        <v>46275</v>
      </c>
      <c r="D846" t="s">
        <v>9433</v>
      </c>
      <c r="E846" t="s">
        <v>9471</v>
      </c>
      <c r="F846" t="s">
        <v>9436</v>
      </c>
      <c r="G846" t="s">
        <v>3227</v>
      </c>
      <c r="H846" t="s">
        <v>9333</v>
      </c>
      <c r="I846" s="871">
        <v>46293.93683766204</v>
      </c>
      <c r="J846" t="s">
        <v>9530</v>
      </c>
      <c r="K846" s="975" t="str">
        <f>IF(COUNTIFS(tblControles[Clave],tblControles[[#This Row],[Clave]])&gt;1,"Duplicado","")</f>
        <v/>
      </c>
    </row>
    <row r="847" spans="2:11">
      <c r="B847" s="975" t="str">
        <f>tblControles[[#This Row],[Fecha]]&amp;"|"&amp;tblControles[[#This Row],[Módulo]]&amp;"|"&amp;tblControles[[#This Row],[Ítem]]&amp;"|"&amp;tblControles[[#This Row],[Turno]]</f>
        <v>46275|PURGA TKS AIRE|TK-MG-S. ROTULO|3er Turno</v>
      </c>
      <c r="C847" s="871">
        <v>46275</v>
      </c>
      <c r="D847" t="s">
        <v>9433</v>
      </c>
      <c r="E847" t="s">
        <v>9471</v>
      </c>
      <c r="F847" t="s">
        <v>9437</v>
      </c>
      <c r="G847" t="s">
        <v>3227</v>
      </c>
      <c r="H847" t="s">
        <v>9333</v>
      </c>
      <c r="I847" s="871">
        <v>46293.93683766204</v>
      </c>
      <c r="J847" t="s">
        <v>9530</v>
      </c>
      <c r="K847" s="975" t="str">
        <f>IF(COUNTIFS(tblControles[Clave],tblControles[[#This Row],[Clave]])&gt;1,"Duplicado","")</f>
        <v/>
      </c>
    </row>
    <row r="848" spans="2:11">
      <c r="B848" s="975" t="str">
        <f>tblControles[[#This Row],[Fecha]]&amp;"|"&amp;tblControles[[#This Row],[Módulo]]&amp;"|"&amp;tblControles[[#This Row],[Ítem]]&amp;"|"&amp;tblControles[[#This Row],[Turno]]</f>
        <v>46275|PURGA TKS AIRE|TK-MG-001|2do Turno</v>
      </c>
      <c r="C848" s="871">
        <v>46275</v>
      </c>
      <c r="D848" t="s">
        <v>9433</v>
      </c>
      <c r="E848" t="s">
        <v>337</v>
      </c>
      <c r="F848" t="s">
        <v>9436</v>
      </c>
      <c r="G848" t="s">
        <v>3227</v>
      </c>
      <c r="H848" t="s">
        <v>9333</v>
      </c>
      <c r="I848" s="871">
        <v>46293.93683766204</v>
      </c>
      <c r="J848" t="s">
        <v>9530</v>
      </c>
      <c r="K848" s="975" t="str">
        <f>IF(COUNTIFS(tblControles[Clave],tblControles[[#This Row],[Clave]])&gt;1,"Duplicado","")</f>
        <v/>
      </c>
    </row>
    <row r="849" spans="2:11">
      <c r="B849" s="975" t="str">
        <f>tblControles[[#This Row],[Fecha]]&amp;"|"&amp;tblControles[[#This Row],[Módulo]]&amp;"|"&amp;tblControles[[#This Row],[Ítem]]&amp;"|"&amp;tblControles[[#This Row],[Turno]]</f>
        <v>46275|PURGA TKS AIRE|TK-MG-001|3er Turno</v>
      </c>
      <c r="C849" s="871">
        <v>46275</v>
      </c>
      <c r="D849" t="s">
        <v>9433</v>
      </c>
      <c r="E849" t="s">
        <v>337</v>
      </c>
      <c r="F849" t="s">
        <v>9437</v>
      </c>
      <c r="G849" t="s">
        <v>3227</v>
      </c>
      <c r="H849" t="s">
        <v>9333</v>
      </c>
      <c r="I849" s="871">
        <v>46293.93683766204</v>
      </c>
      <c r="J849" t="s">
        <v>9530</v>
      </c>
      <c r="K849" s="975" t="str">
        <f>IF(COUNTIFS(tblControles[Clave],tblControles[[#This Row],[Clave]])&gt;1,"Duplicado","")</f>
        <v/>
      </c>
    </row>
    <row r="850" spans="2:11">
      <c r="B850" s="975" t="str">
        <f>tblControles[[#This Row],[Fecha]]&amp;"|"&amp;tblControles[[#This Row],[Módulo]]&amp;"|"&amp;tblControles[[#This Row],[Ítem]]&amp;"|"&amp;tblControles[[#This Row],[Turno]]</f>
        <v>46275|PURGA TKS AIRE|TK-MG-002|2do Turno</v>
      </c>
      <c r="C850" s="871">
        <v>46275</v>
      </c>
      <c r="D850" t="s">
        <v>9433</v>
      </c>
      <c r="E850" t="s">
        <v>339</v>
      </c>
      <c r="F850" t="s">
        <v>9436</v>
      </c>
      <c r="G850" t="s">
        <v>3227</v>
      </c>
      <c r="H850" t="s">
        <v>9333</v>
      </c>
      <c r="I850" s="871">
        <v>46293.93683766204</v>
      </c>
      <c r="J850" t="s">
        <v>9530</v>
      </c>
      <c r="K850" s="975" t="str">
        <f>IF(COUNTIFS(tblControles[Clave],tblControles[[#This Row],[Clave]])&gt;1,"Duplicado","")</f>
        <v/>
      </c>
    </row>
    <row r="851" spans="2:11">
      <c r="B851" s="975" t="str">
        <f>tblControles[[#This Row],[Fecha]]&amp;"|"&amp;tblControles[[#This Row],[Módulo]]&amp;"|"&amp;tblControles[[#This Row],[Ítem]]&amp;"|"&amp;tblControles[[#This Row],[Turno]]</f>
        <v>46275|PURGA TKS AIRE|TK-MG-002|3er Turno</v>
      </c>
      <c r="C851" s="871">
        <v>46275</v>
      </c>
      <c r="D851" t="s">
        <v>9433</v>
      </c>
      <c r="E851" t="s">
        <v>339</v>
      </c>
      <c r="F851" t="s">
        <v>9437</v>
      </c>
      <c r="G851" t="s">
        <v>3227</v>
      </c>
      <c r="H851" t="s">
        <v>9333</v>
      </c>
      <c r="I851" s="871">
        <v>46293.93683766204</v>
      </c>
      <c r="J851" t="s">
        <v>9530</v>
      </c>
      <c r="K851" s="975" t="str">
        <f>IF(COUNTIFS(tblControles[Clave],tblControles[[#This Row],[Clave]])&gt;1,"Duplicado","")</f>
        <v/>
      </c>
    </row>
    <row r="852" spans="2:11">
      <c r="B852" s="975" t="str">
        <f>tblControles[[#This Row],[Fecha]]&amp;"|"&amp;tblControles[[#This Row],[Módulo]]&amp;"|"&amp;tblControles[[#This Row],[Ítem]]&amp;"|"&amp;tblControles[[#This Row],[Turno]]</f>
        <v>46275|PURGA TKS AIRE|TK-MG-003|2do Turno</v>
      </c>
      <c r="C852" s="871">
        <v>46275</v>
      </c>
      <c r="D852" t="s">
        <v>9433</v>
      </c>
      <c r="E852" t="s">
        <v>341</v>
      </c>
      <c r="F852" t="s">
        <v>9436</v>
      </c>
      <c r="G852" t="s">
        <v>3227</v>
      </c>
      <c r="H852" t="s">
        <v>9333</v>
      </c>
      <c r="I852" s="871">
        <v>46293.93683766204</v>
      </c>
      <c r="J852" t="s">
        <v>9530</v>
      </c>
      <c r="K852" s="975" t="str">
        <f>IF(COUNTIFS(tblControles[Clave],tblControles[[#This Row],[Clave]])&gt;1,"Duplicado","")</f>
        <v/>
      </c>
    </row>
    <row r="853" spans="2:11">
      <c r="B853" s="975" t="str">
        <f>tblControles[[#This Row],[Fecha]]&amp;"|"&amp;tblControles[[#This Row],[Módulo]]&amp;"|"&amp;tblControles[[#This Row],[Ítem]]&amp;"|"&amp;tblControles[[#This Row],[Turno]]</f>
        <v>46275|PURGA TKS AIRE|TK-MG-003|3er Turno</v>
      </c>
      <c r="C853" s="871">
        <v>46275</v>
      </c>
      <c r="D853" t="s">
        <v>9433</v>
      </c>
      <c r="E853" t="s">
        <v>341</v>
      </c>
      <c r="F853" t="s">
        <v>9437</v>
      </c>
      <c r="G853" t="s">
        <v>3227</v>
      </c>
      <c r="H853" t="s">
        <v>9333</v>
      </c>
      <c r="I853" s="871">
        <v>46293.93683766204</v>
      </c>
      <c r="J853" t="s">
        <v>9530</v>
      </c>
      <c r="K853" s="975" t="str">
        <f>IF(COUNTIFS(tblControles[Clave],tblControles[[#This Row],[Clave]])&gt;1,"Duplicado","")</f>
        <v/>
      </c>
    </row>
    <row r="854" spans="2:11">
      <c r="B854" s="975" t="str">
        <f>tblControles[[#This Row],[Fecha]]&amp;"|"&amp;tblControles[[#This Row],[Módulo]]&amp;"|"&amp;tblControles[[#This Row],[Ítem]]&amp;"|"&amp;tblControles[[#This Row],[Turno]]</f>
        <v>46275|PURGA TKS AIRE|TK-MG-005|2do Turno</v>
      </c>
      <c r="C854" s="871">
        <v>46275</v>
      </c>
      <c r="D854" t="s">
        <v>9433</v>
      </c>
      <c r="E854" t="s">
        <v>343</v>
      </c>
      <c r="F854" t="s">
        <v>9436</v>
      </c>
      <c r="G854" t="s">
        <v>345</v>
      </c>
      <c r="H854" t="s">
        <v>9333</v>
      </c>
      <c r="I854" s="871">
        <v>46293.93683766204</v>
      </c>
      <c r="J854" t="s">
        <v>9530</v>
      </c>
      <c r="K854" s="975" t="str">
        <f>IF(COUNTIFS(tblControles[Clave],tblControles[[#This Row],[Clave]])&gt;1,"Duplicado","")</f>
        <v/>
      </c>
    </row>
    <row r="855" spans="2:11">
      <c r="B855" s="975" t="str">
        <f>tblControles[[#This Row],[Fecha]]&amp;"|"&amp;tblControles[[#This Row],[Módulo]]&amp;"|"&amp;tblControles[[#This Row],[Ítem]]&amp;"|"&amp;tblControles[[#This Row],[Turno]]</f>
        <v>46275|PURGA TKS AIRE|TK-MG-005|3er Turno</v>
      </c>
      <c r="C855" s="871">
        <v>46275</v>
      </c>
      <c r="D855" t="s">
        <v>9433</v>
      </c>
      <c r="E855" t="s">
        <v>343</v>
      </c>
      <c r="F855" t="s">
        <v>9437</v>
      </c>
      <c r="G855" t="s">
        <v>345</v>
      </c>
      <c r="H855" t="s">
        <v>9333</v>
      </c>
      <c r="I855" s="871">
        <v>46293.93683766204</v>
      </c>
      <c r="J855" t="s">
        <v>9530</v>
      </c>
      <c r="K855" s="975" t="str">
        <f>IF(COUNTIFS(tblControles[Clave],tblControles[[#This Row],[Clave]])&gt;1,"Duplicado","")</f>
        <v/>
      </c>
    </row>
    <row r="856" spans="2:11">
      <c r="B856" s="975" t="str">
        <f>tblControles[[#This Row],[Fecha]]&amp;"|"&amp;tblControles[[#This Row],[Módulo]]&amp;"|"&amp;tblControles[[#This Row],[Ítem]]&amp;"|"&amp;tblControles[[#This Row],[Turno]]</f>
        <v>46275|PURGA TKS AIRE|TK-MG-006|2do Turno</v>
      </c>
      <c r="C856" s="871">
        <v>46275</v>
      </c>
      <c r="D856" t="s">
        <v>9433</v>
      </c>
      <c r="E856" t="s">
        <v>346</v>
      </c>
      <c r="F856" t="s">
        <v>9436</v>
      </c>
      <c r="G856" t="s">
        <v>3227</v>
      </c>
      <c r="H856" t="s">
        <v>9333</v>
      </c>
      <c r="I856" s="871">
        <v>46293.93683766204</v>
      </c>
      <c r="J856" t="s">
        <v>9530</v>
      </c>
      <c r="K856" s="975" t="str">
        <f>IF(COUNTIFS(tblControles[Clave],tblControles[[#This Row],[Clave]])&gt;1,"Duplicado","")</f>
        <v/>
      </c>
    </row>
    <row r="857" spans="2:11">
      <c r="B857" s="975" t="str">
        <f>tblControles[[#This Row],[Fecha]]&amp;"|"&amp;tblControles[[#This Row],[Módulo]]&amp;"|"&amp;tblControles[[#This Row],[Ítem]]&amp;"|"&amp;tblControles[[#This Row],[Turno]]</f>
        <v>46275|PURGA TKS AIRE|TK-MG-006|3er Turno</v>
      </c>
      <c r="C857" s="871">
        <v>46275</v>
      </c>
      <c r="D857" t="s">
        <v>9433</v>
      </c>
      <c r="E857" t="s">
        <v>346</v>
      </c>
      <c r="F857" t="s">
        <v>9437</v>
      </c>
      <c r="G857" t="s">
        <v>3227</v>
      </c>
      <c r="H857" t="s">
        <v>9333</v>
      </c>
      <c r="I857" s="871">
        <v>46293.93683766204</v>
      </c>
      <c r="J857" t="s">
        <v>9530</v>
      </c>
      <c r="K857" s="975" t="str">
        <f>IF(COUNTIFS(tblControles[Clave],tblControles[[#This Row],[Clave]])&gt;1,"Duplicado","")</f>
        <v/>
      </c>
    </row>
    <row r="858" spans="2:11">
      <c r="B858" s="975" t="str">
        <f>tblControles[[#This Row],[Fecha]]&amp;"|"&amp;tblControles[[#This Row],[Módulo]]&amp;"|"&amp;tblControles[[#This Row],[Ítem]]&amp;"|"&amp;tblControles[[#This Row],[Turno]]</f>
        <v>46275|PURGA TKS AIRE|TK-MG-007|2do Turno</v>
      </c>
      <c r="C858" s="871">
        <v>46275</v>
      </c>
      <c r="D858" t="s">
        <v>9433</v>
      </c>
      <c r="E858" t="s">
        <v>347</v>
      </c>
      <c r="F858" t="s">
        <v>9436</v>
      </c>
      <c r="G858" t="s">
        <v>3227</v>
      </c>
      <c r="H858" t="s">
        <v>9333</v>
      </c>
      <c r="I858" s="871">
        <v>46293.93683766204</v>
      </c>
      <c r="J858" t="s">
        <v>9530</v>
      </c>
      <c r="K858" s="975" t="str">
        <f>IF(COUNTIFS(tblControles[Clave],tblControles[[#This Row],[Clave]])&gt;1,"Duplicado","")</f>
        <v/>
      </c>
    </row>
    <row r="859" spans="2:11">
      <c r="B859" s="975" t="str">
        <f>tblControles[[#This Row],[Fecha]]&amp;"|"&amp;tblControles[[#This Row],[Módulo]]&amp;"|"&amp;tblControles[[#This Row],[Ítem]]&amp;"|"&amp;tblControles[[#This Row],[Turno]]</f>
        <v>46275|PURGA TKS AIRE|TK-MG-007|3er Turno</v>
      </c>
      <c r="C859" s="871">
        <v>46275</v>
      </c>
      <c r="D859" t="s">
        <v>9433</v>
      </c>
      <c r="E859" t="s">
        <v>347</v>
      </c>
      <c r="F859" t="s">
        <v>9437</v>
      </c>
      <c r="G859" t="s">
        <v>3227</v>
      </c>
      <c r="H859" t="s">
        <v>9333</v>
      </c>
      <c r="I859" s="871">
        <v>46293.93683766204</v>
      </c>
      <c r="J859" t="s">
        <v>9530</v>
      </c>
      <c r="K859" s="975" t="str">
        <f>IF(COUNTIFS(tblControles[Clave],tblControles[[#This Row],[Clave]])&gt;1,"Duplicado","")</f>
        <v/>
      </c>
    </row>
    <row r="860" spans="2:11">
      <c r="B860" s="975" t="str">
        <f>tblControles[[#This Row],[Fecha]]&amp;"|"&amp;tblControles[[#This Row],[Módulo]]&amp;"|"&amp;tblControles[[#This Row],[Ítem]]&amp;"|"&amp;tblControles[[#This Row],[Turno]]</f>
        <v>46275|PURGA TKS AIRE|TK-MG-004|2do Turno</v>
      </c>
      <c r="C860" s="871">
        <v>46275</v>
      </c>
      <c r="D860" t="s">
        <v>9433</v>
      </c>
      <c r="E860" t="s">
        <v>349</v>
      </c>
      <c r="F860" t="s">
        <v>9436</v>
      </c>
      <c r="G860" t="s">
        <v>3227</v>
      </c>
      <c r="H860" t="s">
        <v>9333</v>
      </c>
      <c r="I860" s="871">
        <v>46293.93683766204</v>
      </c>
      <c r="J860" t="s">
        <v>9530</v>
      </c>
      <c r="K860" s="975" t="str">
        <f>IF(COUNTIFS(tblControles[Clave],tblControles[[#This Row],[Clave]])&gt;1,"Duplicado","")</f>
        <v/>
      </c>
    </row>
    <row r="861" spans="2:11">
      <c r="B861" s="975" t="str">
        <f>tblControles[[#This Row],[Fecha]]&amp;"|"&amp;tblControles[[#This Row],[Módulo]]&amp;"|"&amp;tblControles[[#This Row],[Ítem]]&amp;"|"&amp;tblControles[[#This Row],[Turno]]</f>
        <v>46275|PURGA TKS AIRE|TK-MG-004|3er Turno</v>
      </c>
      <c r="C861" s="871">
        <v>46275</v>
      </c>
      <c r="D861" t="s">
        <v>9433</v>
      </c>
      <c r="E861" t="s">
        <v>349</v>
      </c>
      <c r="F861" t="s">
        <v>9437</v>
      </c>
      <c r="G861" t="s">
        <v>3227</v>
      </c>
      <c r="H861" t="s">
        <v>9333</v>
      </c>
      <c r="I861" s="871">
        <v>46293.93683766204</v>
      </c>
      <c r="J861" t="s">
        <v>9530</v>
      </c>
      <c r="K861" s="975" t="str">
        <f>IF(COUNTIFS(tblControles[Clave],tblControles[[#This Row],[Clave]])&gt;1,"Duplicado","")</f>
        <v/>
      </c>
    </row>
    <row r="862" spans="2:11">
      <c r="B862" s="975" t="str">
        <f>tblControles[[#This Row],[Fecha]]&amp;"|"&amp;tblControles[[#This Row],[Módulo]]&amp;"|"&amp;tblControles[[#This Row],[Ítem]]&amp;"|"&amp;tblControles[[#This Row],[Turno]]</f>
        <v>46275|PURGA TKS AIRE|TK-MG-008|2do Turno</v>
      </c>
      <c r="C862" s="871">
        <v>46275</v>
      </c>
      <c r="D862" t="s">
        <v>9433</v>
      </c>
      <c r="E862" t="s">
        <v>351</v>
      </c>
      <c r="F862" t="s">
        <v>9436</v>
      </c>
      <c r="G862" t="s">
        <v>3227</v>
      </c>
      <c r="H862" t="s">
        <v>9333</v>
      </c>
      <c r="I862" s="871">
        <v>46293.93683766204</v>
      </c>
      <c r="J862" t="s">
        <v>9530</v>
      </c>
      <c r="K862" s="975" t="str">
        <f>IF(COUNTIFS(tblControles[Clave],tblControles[[#This Row],[Clave]])&gt;1,"Duplicado","")</f>
        <v/>
      </c>
    </row>
    <row r="863" spans="2:11">
      <c r="B863" s="975" t="str">
        <f>tblControles[[#This Row],[Fecha]]&amp;"|"&amp;tblControles[[#This Row],[Módulo]]&amp;"|"&amp;tblControles[[#This Row],[Ítem]]&amp;"|"&amp;tblControles[[#This Row],[Turno]]</f>
        <v>46275|PURGA TKS AIRE|TK-MG-008|3er Turno</v>
      </c>
      <c r="C863" s="871">
        <v>46275</v>
      </c>
      <c r="D863" t="s">
        <v>9433</v>
      </c>
      <c r="E863" t="s">
        <v>351</v>
      </c>
      <c r="F863" t="s">
        <v>9437</v>
      </c>
      <c r="G863" t="s">
        <v>3227</v>
      </c>
      <c r="H863" t="s">
        <v>9333</v>
      </c>
      <c r="I863" s="871">
        <v>46293.93683766204</v>
      </c>
      <c r="J863" t="s">
        <v>9530</v>
      </c>
      <c r="K863" s="975" t="str">
        <f>IF(COUNTIFS(tblControles[Clave],tblControles[[#This Row],[Clave]])&gt;1,"Duplicado","")</f>
        <v/>
      </c>
    </row>
    <row r="864" spans="2:11">
      <c r="B864" s="975" t="str">
        <f>tblControles[[#This Row],[Fecha]]&amp;"|"&amp;tblControles[[#This Row],[Módulo]]&amp;"|"&amp;tblControles[[#This Row],[Ítem]]&amp;"|"&amp;tblControles[[#This Row],[Turno]]</f>
        <v>46275|PURGA TKS AIRE|TK-MG-009|2do Turno</v>
      </c>
      <c r="C864" s="871">
        <v>46275</v>
      </c>
      <c r="D864" t="s">
        <v>9433</v>
      </c>
      <c r="E864" t="s">
        <v>353</v>
      </c>
      <c r="F864" t="s">
        <v>9436</v>
      </c>
      <c r="G864" t="s">
        <v>3227</v>
      </c>
      <c r="H864" t="s">
        <v>9333</v>
      </c>
      <c r="I864" s="871">
        <v>46293.93683766204</v>
      </c>
      <c r="J864" t="s">
        <v>9530</v>
      </c>
      <c r="K864" s="975" t="str">
        <f>IF(COUNTIFS(tblControles[Clave],tblControles[[#This Row],[Clave]])&gt;1,"Duplicado","")</f>
        <v/>
      </c>
    </row>
    <row r="865" spans="2:11">
      <c r="B865" s="975" t="str">
        <f>tblControles[[#This Row],[Fecha]]&amp;"|"&amp;tblControles[[#This Row],[Módulo]]&amp;"|"&amp;tblControles[[#This Row],[Ítem]]&amp;"|"&amp;tblControles[[#This Row],[Turno]]</f>
        <v>46275|PURGA TKS AIRE|TK-MG-009|3er Turno</v>
      </c>
      <c r="C865" s="871">
        <v>46275</v>
      </c>
      <c r="D865" t="s">
        <v>9433</v>
      </c>
      <c r="E865" t="s">
        <v>353</v>
      </c>
      <c r="F865" t="s">
        <v>9437</v>
      </c>
      <c r="G865" t="s">
        <v>3227</v>
      </c>
      <c r="H865" t="s">
        <v>9333</v>
      </c>
      <c r="I865" s="871">
        <v>46293.93683766204</v>
      </c>
      <c r="J865" t="s">
        <v>9530</v>
      </c>
      <c r="K865" s="975" t="str">
        <f>IF(COUNTIFS(tblControles[Clave],tblControles[[#This Row],[Clave]])&gt;1,"Duplicado","")</f>
        <v/>
      </c>
    </row>
    <row r="866" spans="2:11">
      <c r="B866" s="975" t="str">
        <f>tblControles[[#This Row],[Fecha]]&amp;"|"&amp;tblControles[[#This Row],[Módulo]]&amp;"|"&amp;tblControles[[#This Row],[Ítem]]&amp;"|"&amp;tblControles[[#This Row],[Turno]]</f>
        <v>46275|PURGA TKS AIRE|TK-MG-010|2do Turno</v>
      </c>
      <c r="C866" s="871">
        <v>46275</v>
      </c>
      <c r="D866" t="s">
        <v>9433</v>
      </c>
      <c r="E866" t="s">
        <v>355</v>
      </c>
      <c r="F866" t="s">
        <v>9436</v>
      </c>
      <c r="G866" t="s">
        <v>3227</v>
      </c>
      <c r="H866" t="s">
        <v>9333</v>
      </c>
      <c r="I866" s="871">
        <v>46293.93683766204</v>
      </c>
      <c r="J866" t="s">
        <v>9530</v>
      </c>
      <c r="K866" s="975" t="str">
        <f>IF(COUNTIFS(tblControles[Clave],tblControles[[#This Row],[Clave]])&gt;1,"Duplicado","")</f>
        <v/>
      </c>
    </row>
    <row r="867" spans="2:11">
      <c r="B867" s="975" t="str">
        <f>tblControles[[#This Row],[Fecha]]&amp;"|"&amp;tblControles[[#This Row],[Módulo]]&amp;"|"&amp;tblControles[[#This Row],[Ítem]]&amp;"|"&amp;tblControles[[#This Row],[Turno]]</f>
        <v>46275|PURGA TKS AIRE|TK-MG-010|3er Turno</v>
      </c>
      <c r="C867" s="871">
        <v>46275</v>
      </c>
      <c r="D867" t="s">
        <v>9433</v>
      </c>
      <c r="E867" t="s">
        <v>355</v>
      </c>
      <c r="F867" t="s">
        <v>9437</v>
      </c>
      <c r="G867" t="s">
        <v>3227</v>
      </c>
      <c r="H867" t="s">
        <v>9333</v>
      </c>
      <c r="I867" s="871">
        <v>46293.93683766204</v>
      </c>
      <c r="J867" t="s">
        <v>9530</v>
      </c>
      <c r="K867" s="975" t="str">
        <f>IF(COUNTIFS(tblControles[Clave],tblControles[[#This Row],[Clave]])&gt;1,"Duplicado","")</f>
        <v/>
      </c>
    </row>
    <row r="868" spans="2:11">
      <c r="B868" s="975" t="str">
        <f>tblControles[[#This Row],[Fecha]]&amp;"|"&amp;tblControles[[#This Row],[Módulo]]&amp;"|"&amp;tblControles[[#This Row],[Ítem]]&amp;"|"&amp;tblControles[[#This Row],[Turno]]</f>
        <v>46275|PURGA TKS AIRE|TK-MG-011|2do Turno</v>
      </c>
      <c r="C868" s="871">
        <v>46275</v>
      </c>
      <c r="D868" t="s">
        <v>9433</v>
      </c>
      <c r="E868" t="s">
        <v>357</v>
      </c>
      <c r="F868" t="s">
        <v>9436</v>
      </c>
      <c r="G868" t="s">
        <v>3227</v>
      </c>
      <c r="H868" t="s">
        <v>9333</v>
      </c>
      <c r="I868" s="871">
        <v>46293.93683766204</v>
      </c>
      <c r="J868" t="s">
        <v>9530</v>
      </c>
      <c r="K868" s="975" t="str">
        <f>IF(COUNTIFS(tblControles[Clave],tblControles[[#This Row],[Clave]])&gt;1,"Duplicado","")</f>
        <v/>
      </c>
    </row>
    <row r="869" spans="2:11">
      <c r="B869" s="975" t="str">
        <f>tblControles[[#This Row],[Fecha]]&amp;"|"&amp;tblControles[[#This Row],[Módulo]]&amp;"|"&amp;tblControles[[#This Row],[Ítem]]&amp;"|"&amp;tblControles[[#This Row],[Turno]]</f>
        <v>46275|PURGA TKS AIRE|TK-MG-011|3er Turno</v>
      </c>
      <c r="C869" s="871">
        <v>46275</v>
      </c>
      <c r="D869" t="s">
        <v>9433</v>
      </c>
      <c r="E869" t="s">
        <v>357</v>
      </c>
      <c r="F869" t="s">
        <v>9437</v>
      </c>
      <c r="G869" t="s">
        <v>3227</v>
      </c>
      <c r="H869" t="s">
        <v>9333</v>
      </c>
      <c r="I869" s="871">
        <v>46293.93683766204</v>
      </c>
      <c r="J869" t="s">
        <v>9530</v>
      </c>
      <c r="K869" s="975" t="str">
        <f>IF(COUNTIFS(tblControles[Clave],tblControles[[#This Row],[Clave]])&gt;1,"Duplicado","")</f>
        <v/>
      </c>
    </row>
    <row r="870" spans="2:11">
      <c r="B870" s="975" t="str">
        <f>tblControles[[#This Row],[Fecha]]&amp;"|"&amp;tblControles[[#This Row],[Módulo]]&amp;"|"&amp;tblControles[[#This Row],[Ítem]]&amp;"|"&amp;tblControles[[#This Row],[Turno]]</f>
        <v>46275|PURGA TKS AIRE|TK-MG-012|2do Turno</v>
      </c>
      <c r="C870" s="871">
        <v>46275</v>
      </c>
      <c r="D870" t="s">
        <v>9433</v>
      </c>
      <c r="E870" t="s">
        <v>359</v>
      </c>
      <c r="F870" t="s">
        <v>9436</v>
      </c>
      <c r="G870" t="s">
        <v>3227</v>
      </c>
      <c r="H870" t="s">
        <v>9333</v>
      </c>
      <c r="I870" s="871">
        <v>46293.93683766204</v>
      </c>
      <c r="J870" t="s">
        <v>9530</v>
      </c>
      <c r="K870" s="975" t="str">
        <f>IF(COUNTIFS(tblControles[Clave],tblControles[[#This Row],[Clave]])&gt;1,"Duplicado","")</f>
        <v/>
      </c>
    </row>
    <row r="871" spans="2:11">
      <c r="B871" s="975" t="str">
        <f>tblControles[[#This Row],[Fecha]]&amp;"|"&amp;tblControles[[#This Row],[Módulo]]&amp;"|"&amp;tblControles[[#This Row],[Ítem]]&amp;"|"&amp;tblControles[[#This Row],[Turno]]</f>
        <v>46275|PURGA TKS AIRE|TK-MG-012|3er Turno</v>
      </c>
      <c r="C871" s="871">
        <v>46275</v>
      </c>
      <c r="D871" t="s">
        <v>9433</v>
      </c>
      <c r="E871" t="s">
        <v>359</v>
      </c>
      <c r="F871" t="s">
        <v>9437</v>
      </c>
      <c r="G871" t="s">
        <v>3227</v>
      </c>
      <c r="H871" t="s">
        <v>9333</v>
      </c>
      <c r="I871" s="871">
        <v>46293.93683766204</v>
      </c>
      <c r="J871" t="s">
        <v>9530</v>
      </c>
      <c r="K871" s="975" t="str">
        <f>IF(COUNTIFS(tblControles[Clave],tblControles[[#This Row],[Clave]])&gt;1,"Duplicado","")</f>
        <v/>
      </c>
    </row>
    <row r="872" spans="2:11">
      <c r="B872" s="975" t="str">
        <f>tblControles[[#This Row],[Fecha]]&amp;"|"&amp;tblControles[[#This Row],[Módulo]]&amp;"|"&amp;tblControles[[#This Row],[Ítem]]&amp;"|"&amp;tblControles[[#This Row],[Turno]]</f>
        <v>46275|PURGA TKS AIRE|TK-MG-013|2do Turno</v>
      </c>
      <c r="C872" s="871">
        <v>46275</v>
      </c>
      <c r="D872" t="s">
        <v>9433</v>
      </c>
      <c r="E872" t="s">
        <v>361</v>
      </c>
      <c r="F872" t="s">
        <v>9436</v>
      </c>
      <c r="G872" t="s">
        <v>3227</v>
      </c>
      <c r="H872" t="s">
        <v>9333</v>
      </c>
      <c r="I872" s="871">
        <v>46293.93683766204</v>
      </c>
      <c r="J872" t="s">
        <v>9530</v>
      </c>
      <c r="K872" s="975" t="str">
        <f>IF(COUNTIFS(tblControles[Clave],tblControles[[#This Row],[Clave]])&gt;1,"Duplicado","")</f>
        <v/>
      </c>
    </row>
    <row r="873" spans="2:11">
      <c r="B873" s="975" t="str">
        <f>tblControles[[#This Row],[Fecha]]&amp;"|"&amp;tblControles[[#This Row],[Módulo]]&amp;"|"&amp;tblControles[[#This Row],[Ítem]]&amp;"|"&amp;tblControles[[#This Row],[Turno]]</f>
        <v>46275|PURGA TKS AIRE|TK-MG-013|3er Turno</v>
      </c>
      <c r="C873" s="871">
        <v>46275</v>
      </c>
      <c r="D873" t="s">
        <v>9433</v>
      </c>
      <c r="E873" t="s">
        <v>361</v>
      </c>
      <c r="F873" t="s">
        <v>9437</v>
      </c>
      <c r="G873" t="s">
        <v>3227</v>
      </c>
      <c r="H873" t="s">
        <v>9333</v>
      </c>
      <c r="I873" s="871">
        <v>46293.93683766204</v>
      </c>
      <c r="J873" t="s">
        <v>9530</v>
      </c>
      <c r="K873" s="975" t="str">
        <f>IF(COUNTIFS(tblControles[Clave],tblControles[[#This Row],[Clave]])&gt;1,"Duplicado","")</f>
        <v/>
      </c>
    </row>
    <row r="874" spans="2:11">
      <c r="B874" s="975" t="str">
        <f>tblControles[[#This Row],[Fecha]]&amp;"|"&amp;tblControles[[#This Row],[Módulo]]&amp;"|"&amp;tblControles[[#This Row],[Ítem]]&amp;"|"&amp;tblControles[[#This Row],[Turno]]</f>
        <v>46275|PURGA TKS AIRE|TK-MG-014|2do Turno</v>
      </c>
      <c r="C874" s="871">
        <v>46275</v>
      </c>
      <c r="D874" t="s">
        <v>9433</v>
      </c>
      <c r="E874" t="s">
        <v>363</v>
      </c>
      <c r="F874" t="s">
        <v>9436</v>
      </c>
      <c r="G874" t="s">
        <v>3227</v>
      </c>
      <c r="H874" t="s">
        <v>9333</v>
      </c>
      <c r="I874" s="871">
        <v>46293.93683766204</v>
      </c>
      <c r="J874" t="s">
        <v>9530</v>
      </c>
      <c r="K874" s="975" t="str">
        <f>IF(COUNTIFS(tblControles[Clave],tblControles[[#This Row],[Clave]])&gt;1,"Duplicado","")</f>
        <v/>
      </c>
    </row>
    <row r="875" spans="2:11">
      <c r="B875" s="975" t="str">
        <f>tblControles[[#This Row],[Fecha]]&amp;"|"&amp;tblControles[[#This Row],[Módulo]]&amp;"|"&amp;tblControles[[#This Row],[Ítem]]&amp;"|"&amp;tblControles[[#This Row],[Turno]]</f>
        <v>46275|PURGA TKS AIRE|TK-MG-014|3er Turno</v>
      </c>
      <c r="C875" s="871">
        <v>46275</v>
      </c>
      <c r="D875" t="s">
        <v>9433</v>
      </c>
      <c r="E875" t="s">
        <v>363</v>
      </c>
      <c r="F875" t="s">
        <v>9437</v>
      </c>
      <c r="G875" t="s">
        <v>3227</v>
      </c>
      <c r="H875" t="s">
        <v>9333</v>
      </c>
      <c r="I875" s="871">
        <v>46293.93683766204</v>
      </c>
      <c r="J875" t="s">
        <v>9530</v>
      </c>
      <c r="K875" s="975" t="str">
        <f>IF(COUNTIFS(tblControles[Clave],tblControles[[#This Row],[Clave]])&gt;1,"Duplicado","")</f>
        <v/>
      </c>
    </row>
    <row r="876" spans="2:11">
      <c r="B876" s="975" t="str">
        <f>tblControles[[#This Row],[Fecha]]&amp;"|"&amp;tblControles[[#This Row],[Módulo]]&amp;"|"&amp;tblControles[[#This Row],[Ítem]]&amp;"|"&amp;tblControles[[#This Row],[Turno]]</f>
        <v>46275|REACTIVOS|Ácido oxálico|Turno día (12 h)</v>
      </c>
      <c r="C876" s="871">
        <v>46275</v>
      </c>
      <c r="D876" t="s">
        <v>9444</v>
      </c>
      <c r="E876" t="s">
        <v>9508</v>
      </c>
      <c r="F876" t="s">
        <v>9446</v>
      </c>
      <c r="G876">
        <v>18000</v>
      </c>
      <c r="H876" t="s">
        <v>9333</v>
      </c>
      <c r="I876" s="871">
        <v>46293.93683766204</v>
      </c>
      <c r="J876" t="s">
        <v>9527</v>
      </c>
      <c r="K876" s="975" t="str">
        <f>IF(COUNTIFS(tblControles[Clave],tblControles[[#This Row],[Clave]])&gt;1,"Duplicado","")</f>
        <v/>
      </c>
    </row>
    <row r="877" spans="2:11">
      <c r="B877" s="975" t="str">
        <f>tblControles[[#This Row],[Fecha]]&amp;"|"&amp;tblControles[[#This Row],[Módulo]]&amp;"|"&amp;tblControles[[#This Row],[Ítem]]&amp;"|"&amp;tblControles[[#This Row],[Turno]]</f>
        <v>46275|REACTIVOS|Ácido oxálico|Turno noche (12 h)</v>
      </c>
      <c r="C877" s="871">
        <v>46275</v>
      </c>
      <c r="D877" t="s">
        <v>9444</v>
      </c>
      <c r="E877" t="s">
        <v>9508</v>
      </c>
      <c r="F877" t="s">
        <v>9447</v>
      </c>
      <c r="G877">
        <v>18000</v>
      </c>
      <c r="H877" t="s">
        <v>9333</v>
      </c>
      <c r="I877" s="871">
        <v>46293.93683766204</v>
      </c>
      <c r="J877" t="s">
        <v>9527</v>
      </c>
      <c r="K877" s="975" t="str">
        <f>IF(COUNTIFS(tblControles[Clave],tblControles[[#This Row],[Clave]])&gt;1,"Duplicado","")</f>
        <v/>
      </c>
    </row>
    <row r="878" spans="2:11">
      <c r="B878" s="975" t="str">
        <f>tblControles[[#This Row],[Fecha]]&amp;"|"&amp;tblControles[[#This Row],[Módulo]]&amp;"|"&amp;tblControles[[#This Row],[Ítem]]&amp;"|"&amp;tblControles[[#This Row],[Turno]]</f>
        <v>46275|REACTIVOS|Xantato|Turno día (12 h)</v>
      </c>
      <c r="C878" s="871">
        <v>46275</v>
      </c>
      <c r="D878" t="s">
        <v>9444</v>
      </c>
      <c r="E878" t="s">
        <v>9511</v>
      </c>
      <c r="F878" t="s">
        <v>9446</v>
      </c>
      <c r="G878">
        <v>3150</v>
      </c>
      <c r="H878" t="s">
        <v>9333</v>
      </c>
      <c r="I878" s="871">
        <v>46293.93683766204</v>
      </c>
      <c r="J878" t="s">
        <v>9527</v>
      </c>
      <c r="K878" s="975" t="str">
        <f>IF(COUNTIFS(tblControles[Clave],tblControles[[#This Row],[Clave]])&gt;1,"Duplicado","")</f>
        <v/>
      </c>
    </row>
    <row r="879" spans="2:11">
      <c r="B879" s="975" t="str">
        <f>tblControles[[#This Row],[Fecha]]&amp;"|"&amp;tblControles[[#This Row],[Módulo]]&amp;"|"&amp;tblControles[[#This Row],[Ítem]]&amp;"|"&amp;tblControles[[#This Row],[Turno]]</f>
        <v>46275|REACTIVOS|Xantato|Turno noche (12 h)</v>
      </c>
      <c r="C879" s="871">
        <v>46275</v>
      </c>
      <c r="D879" t="s">
        <v>9444</v>
      </c>
      <c r="E879" t="s">
        <v>9511</v>
      </c>
      <c r="F879" t="s">
        <v>9447</v>
      </c>
      <c r="G879">
        <v>3150</v>
      </c>
      <c r="H879" t="s">
        <v>9333</v>
      </c>
      <c r="I879" s="871">
        <v>46293.93683766204</v>
      </c>
      <c r="J879" t="s">
        <v>9527</v>
      </c>
      <c r="K879" s="975" t="str">
        <f>IF(COUNTIFS(tblControles[Clave],tblControles[[#This Row],[Clave]])&gt;1,"Duplicado","")</f>
        <v/>
      </c>
    </row>
    <row r="880" spans="2:11">
      <c r="B880" s="975" t="str">
        <f>tblControles[[#This Row],[Fecha]]&amp;"|"&amp;tblControles[[#This Row],[Módulo]]&amp;"|"&amp;tblControles[[#This Row],[Ítem]]&amp;"|"&amp;tblControles[[#This Row],[Turno]]</f>
        <v>46275|REACTIVOS|Espumante|Consumo día</v>
      </c>
      <c r="C880" s="871">
        <v>46275</v>
      </c>
      <c r="D880" t="s">
        <v>9444</v>
      </c>
      <c r="E880" t="s">
        <v>9513</v>
      </c>
      <c r="F880" t="s">
        <v>9870</v>
      </c>
      <c r="G880">
        <v>2500</v>
      </c>
      <c r="H880" t="s">
        <v>9333</v>
      </c>
      <c r="I880" s="871">
        <v>46293.93683766204</v>
      </c>
      <c r="J880" t="s">
        <v>9527</v>
      </c>
      <c r="K880" s="975" t="str">
        <f>IF(COUNTIFS(tblControles[Clave],tblControles[[#This Row],[Clave]])&gt;1,"Duplicado","")</f>
        <v/>
      </c>
    </row>
    <row r="881" spans="2:11">
      <c r="B881" s="975" t="str">
        <f>tblControles[[#This Row],[Fecha]]&amp;"|"&amp;tblControles[[#This Row],[Módulo]]&amp;"|"&amp;tblControles[[#This Row],[Ítem]]&amp;"|"&amp;tblControles[[#This Row],[Turno]]</f>
        <v>46275|TONELADAS X TURNO|Molino barras 1|1° turno</v>
      </c>
      <c r="C881" s="871">
        <v>46275</v>
      </c>
      <c r="D881" t="s">
        <v>9449</v>
      </c>
      <c r="E881" t="s">
        <v>387</v>
      </c>
      <c r="F881" t="s">
        <v>396</v>
      </c>
      <c r="G881">
        <v>1775</v>
      </c>
      <c r="H881" t="s">
        <v>9333</v>
      </c>
      <c r="I881" s="871">
        <v>46293.93683766204</v>
      </c>
      <c r="J881" t="s">
        <v>9528</v>
      </c>
      <c r="K881" s="975" t="str">
        <f>IF(COUNTIFS(tblControles[Clave],tblControles[[#This Row],[Clave]])&gt;1,"Duplicado","")</f>
        <v/>
      </c>
    </row>
    <row r="882" spans="2:11">
      <c r="B882" s="975" t="str">
        <f>tblControles[[#This Row],[Fecha]]&amp;"|"&amp;tblControles[[#This Row],[Módulo]]&amp;"|"&amp;tblControles[[#This Row],[Ítem]]&amp;"|"&amp;tblControles[[#This Row],[Turno]]</f>
        <v>46275|TONELADAS X TURNO|Molino barras 1|2° turno</v>
      </c>
      <c r="C882" s="871">
        <v>46275</v>
      </c>
      <c r="D882" t="s">
        <v>9449</v>
      </c>
      <c r="E882" t="s">
        <v>387</v>
      </c>
      <c r="F882" t="s">
        <v>397</v>
      </c>
      <c r="G882">
        <v>1612</v>
      </c>
      <c r="H882" t="s">
        <v>9333</v>
      </c>
      <c r="I882" s="871">
        <v>46293.93683766204</v>
      </c>
      <c r="J882" t="s">
        <v>9528</v>
      </c>
      <c r="K882" s="975" t="str">
        <f>IF(COUNTIFS(tblControles[Clave],tblControles[[#This Row],[Clave]])&gt;1,"Duplicado","")</f>
        <v/>
      </c>
    </row>
    <row r="883" spans="2:11">
      <c r="B883" s="975" t="str">
        <f>tblControles[[#This Row],[Fecha]]&amp;"|"&amp;tblControles[[#This Row],[Módulo]]&amp;"|"&amp;tblControles[[#This Row],[Ítem]]&amp;"|"&amp;tblControles[[#This Row],[Turno]]</f>
        <v>46275|TONELADAS X TURNO|Molino barras 1|3° turno</v>
      </c>
      <c r="C883" s="871">
        <v>46275</v>
      </c>
      <c r="D883" t="s">
        <v>9449</v>
      </c>
      <c r="E883" t="s">
        <v>387</v>
      </c>
      <c r="F883" t="s">
        <v>398</v>
      </c>
      <c r="G883">
        <v>1585</v>
      </c>
      <c r="H883" t="s">
        <v>9333</v>
      </c>
      <c r="I883" s="871">
        <v>46293.93683766204</v>
      </c>
      <c r="J883" t="s">
        <v>9528</v>
      </c>
      <c r="K883" s="975" t="str">
        <f>IF(COUNTIFS(tblControles[Clave],tblControles[[#This Row],[Clave]])&gt;1,"Duplicado","")</f>
        <v/>
      </c>
    </row>
    <row r="884" spans="2:11">
      <c r="B884" s="975" t="str">
        <f>tblControles[[#This Row],[Fecha]]&amp;"|"&amp;tblControles[[#This Row],[Módulo]]&amp;"|"&amp;tblControles[[#This Row],[Ítem]]&amp;"|"&amp;tblControles[[#This Row],[Turno]]</f>
        <v>46275|TONELADAS X TURNO|Molino barras 2|1° turno</v>
      </c>
      <c r="C884" s="871">
        <v>46275</v>
      </c>
      <c r="D884" t="s">
        <v>9449</v>
      </c>
      <c r="E884" t="s">
        <v>388</v>
      </c>
      <c r="F884" t="s">
        <v>396</v>
      </c>
      <c r="G884">
        <v>1645</v>
      </c>
      <c r="H884" t="s">
        <v>9333</v>
      </c>
      <c r="I884" s="871">
        <v>46293.93683766204</v>
      </c>
      <c r="J884" t="s">
        <v>9528</v>
      </c>
      <c r="K884" s="975" t="str">
        <f>IF(COUNTIFS(tblControles[Clave],tblControles[[#This Row],[Clave]])&gt;1,"Duplicado","")</f>
        <v/>
      </c>
    </row>
    <row r="885" spans="2:11">
      <c r="B885" s="975" t="str">
        <f>tblControles[[#This Row],[Fecha]]&amp;"|"&amp;tblControles[[#This Row],[Módulo]]&amp;"|"&amp;tblControles[[#This Row],[Ítem]]&amp;"|"&amp;tblControles[[#This Row],[Turno]]</f>
        <v>46275|TONELADAS X TURNO|Molino barras 2|2° turno</v>
      </c>
      <c r="C885" s="871">
        <v>46275</v>
      </c>
      <c r="D885" t="s">
        <v>9449</v>
      </c>
      <c r="E885" t="s">
        <v>388</v>
      </c>
      <c r="F885" t="s">
        <v>397</v>
      </c>
      <c r="G885">
        <v>1546</v>
      </c>
      <c r="H885" t="s">
        <v>9333</v>
      </c>
      <c r="I885" s="871">
        <v>46293.93683766204</v>
      </c>
      <c r="J885" t="s">
        <v>9528</v>
      </c>
      <c r="K885" s="975" t="str">
        <f>IF(COUNTIFS(tblControles[Clave],tblControles[[#This Row],[Clave]])&gt;1,"Duplicado","")</f>
        <v/>
      </c>
    </row>
    <row r="886" spans="2:11">
      <c r="B886" s="975" t="str">
        <f>tblControles[[#This Row],[Fecha]]&amp;"|"&amp;tblControles[[#This Row],[Módulo]]&amp;"|"&amp;tblControles[[#This Row],[Ítem]]&amp;"|"&amp;tblControles[[#This Row],[Turno]]</f>
        <v>46275|TONELADAS X TURNO|Molino barras 2|3° turno</v>
      </c>
      <c r="C886" s="871">
        <v>46275</v>
      </c>
      <c r="D886" t="s">
        <v>9449</v>
      </c>
      <c r="E886" t="s">
        <v>388</v>
      </c>
      <c r="F886" t="s">
        <v>398</v>
      </c>
      <c r="G886">
        <v>1519</v>
      </c>
      <c r="H886" t="s">
        <v>9333</v>
      </c>
      <c r="I886" s="871">
        <v>46293.93683766204</v>
      </c>
      <c r="J886" t="s">
        <v>9528</v>
      </c>
      <c r="K886" s="975" t="str">
        <f>IF(COUNTIFS(tblControles[Clave],tblControles[[#This Row],[Clave]])&gt;1,"Duplicado","")</f>
        <v/>
      </c>
    </row>
    <row r="887" spans="2:11">
      <c r="B887" s="975" t="str">
        <f>tblControles[[#This Row],[Fecha]]&amp;"|"&amp;tblControles[[#This Row],[Módulo]]&amp;"|"&amp;tblControles[[#This Row],[Ítem]]&amp;"|"&amp;tblControles[[#This Row],[Turno]]</f>
        <v>46275|TONELADAS X TURNO|Molino barras 3|1° turno</v>
      </c>
      <c r="C887" s="871">
        <v>46275</v>
      </c>
      <c r="D887" t="s">
        <v>9449</v>
      </c>
      <c r="E887" t="s">
        <v>389</v>
      </c>
      <c r="F887" t="s">
        <v>396</v>
      </c>
      <c r="G887">
        <v>1680</v>
      </c>
      <c r="H887" t="s">
        <v>9333</v>
      </c>
      <c r="I887" s="871">
        <v>46293.93683766204</v>
      </c>
      <c r="J887" t="s">
        <v>9528</v>
      </c>
      <c r="K887" s="975" t="str">
        <f>IF(COUNTIFS(tblControles[Clave],tblControles[[#This Row],[Clave]])&gt;1,"Duplicado","")</f>
        <v/>
      </c>
    </row>
    <row r="888" spans="2:11">
      <c r="B888" s="975" t="str">
        <f>tblControles[[#This Row],[Fecha]]&amp;"|"&amp;tblControles[[#This Row],[Módulo]]&amp;"|"&amp;tblControles[[#This Row],[Ítem]]&amp;"|"&amp;tblControles[[#This Row],[Turno]]</f>
        <v>46275|TONELADAS X TURNO|Molino barras 3|2° turno</v>
      </c>
      <c r="C888" s="871">
        <v>46275</v>
      </c>
      <c r="D888" t="s">
        <v>9449</v>
      </c>
      <c r="E888" t="s">
        <v>389</v>
      </c>
      <c r="F888" t="s">
        <v>397</v>
      </c>
      <c r="G888">
        <v>1589</v>
      </c>
      <c r="H888" t="s">
        <v>9333</v>
      </c>
      <c r="I888" s="871">
        <v>46293.93683766204</v>
      </c>
      <c r="J888" t="s">
        <v>9528</v>
      </c>
      <c r="K888" s="975" t="str">
        <f>IF(COUNTIFS(tblControles[Clave],tblControles[[#This Row],[Clave]])&gt;1,"Duplicado","")</f>
        <v/>
      </c>
    </row>
    <row r="889" spans="2:11">
      <c r="B889" s="975" t="str">
        <f>tblControles[[#This Row],[Fecha]]&amp;"|"&amp;tblControles[[#This Row],[Módulo]]&amp;"|"&amp;tblControles[[#This Row],[Ítem]]&amp;"|"&amp;tblControles[[#This Row],[Turno]]</f>
        <v>46275|TONELADAS X TURNO|Molino barras 3|3° turno</v>
      </c>
      <c r="C889" s="871">
        <v>46275</v>
      </c>
      <c r="D889" t="s">
        <v>9449</v>
      </c>
      <c r="E889" t="s">
        <v>389</v>
      </c>
      <c r="F889" t="s">
        <v>398</v>
      </c>
      <c r="G889">
        <v>1561</v>
      </c>
      <c r="H889" t="s">
        <v>9333</v>
      </c>
      <c r="I889" s="871">
        <v>46293.93683766204</v>
      </c>
      <c r="J889" t="s">
        <v>9528</v>
      </c>
      <c r="K889" s="975" t="str">
        <f>IF(COUNTIFS(tblControles[Clave],tblControles[[#This Row],[Clave]])&gt;1,"Duplicado","")</f>
        <v/>
      </c>
    </row>
    <row r="890" spans="2:11">
      <c r="B890" s="975" t="str">
        <f>tblControles[[#This Row],[Fecha]]&amp;"|"&amp;tblControles[[#This Row],[Módulo]]&amp;"|"&amp;tblControles[[#This Row],[Ítem]]&amp;"|"&amp;tblControles[[#This Row],[Turno]]</f>
        <v>46275|TONELADAS X TURNO|Molino barras 4|1° turno</v>
      </c>
      <c r="C890" s="871">
        <v>46275</v>
      </c>
      <c r="D890" t="s">
        <v>9449</v>
      </c>
      <c r="E890" t="s">
        <v>390</v>
      </c>
      <c r="F890" t="s">
        <v>396</v>
      </c>
      <c r="G890">
        <v>498</v>
      </c>
      <c r="H890" t="s">
        <v>9333</v>
      </c>
      <c r="I890" s="871">
        <v>46293.93683766204</v>
      </c>
      <c r="J890" t="s">
        <v>9528</v>
      </c>
      <c r="K890" s="975" t="str">
        <f>IF(COUNTIFS(tblControles[Clave],tblControles[[#This Row],[Clave]])&gt;1,"Duplicado","")</f>
        <v/>
      </c>
    </row>
    <row r="891" spans="2:11">
      <c r="B891" s="975" t="str">
        <f>tblControles[[#This Row],[Fecha]]&amp;"|"&amp;tblControles[[#This Row],[Módulo]]&amp;"|"&amp;tblControles[[#This Row],[Ítem]]&amp;"|"&amp;tblControles[[#This Row],[Turno]]</f>
        <v>46275|TONELADAS X TURNO|Molino barras 4|2° turno</v>
      </c>
      <c r="C891" s="871">
        <v>46275</v>
      </c>
      <c r="D891" t="s">
        <v>9449</v>
      </c>
      <c r="E891" t="s">
        <v>390</v>
      </c>
      <c r="F891" t="s">
        <v>397</v>
      </c>
      <c r="G891">
        <v>1395</v>
      </c>
      <c r="H891" t="s">
        <v>9333</v>
      </c>
      <c r="I891" s="871">
        <v>46293.93683766204</v>
      </c>
      <c r="J891" t="s">
        <v>9528</v>
      </c>
      <c r="K891" s="975" t="str">
        <f>IF(COUNTIFS(tblControles[Clave],tblControles[[#This Row],[Clave]])&gt;1,"Duplicado","")</f>
        <v/>
      </c>
    </row>
    <row r="892" spans="2:11">
      <c r="B892" s="975" t="str">
        <f>tblControles[[#This Row],[Fecha]]&amp;"|"&amp;tblControles[[#This Row],[Módulo]]&amp;"|"&amp;tblControles[[#This Row],[Ítem]]&amp;"|"&amp;tblControles[[#This Row],[Turno]]</f>
        <v>46275|TONELADAS X TURNO|Molino barras 4|3° turno</v>
      </c>
      <c r="C892" s="871">
        <v>46275</v>
      </c>
      <c r="D892" t="s">
        <v>9449</v>
      </c>
      <c r="E892" t="s">
        <v>390</v>
      </c>
      <c r="F892" t="s">
        <v>398</v>
      </c>
      <c r="G892">
        <v>215</v>
      </c>
      <c r="H892" t="s">
        <v>9333</v>
      </c>
      <c r="I892" s="871">
        <v>46293.93683766204</v>
      </c>
      <c r="J892" t="s">
        <v>9528</v>
      </c>
      <c r="K892" s="975" t="str">
        <f>IF(COUNTIFS(tblControles[Clave],tblControles[[#This Row],[Clave]])&gt;1,"Duplicado","")</f>
        <v/>
      </c>
    </row>
    <row r="893" spans="2:11">
      <c r="B893" s="975" t="str">
        <f>tblControles[[#This Row],[Fecha]]&amp;"|"&amp;tblControles[[#This Row],[Módulo]]&amp;"|"&amp;tblControles[[#This Row],[Ítem]]&amp;"|"&amp;tblControles[[#This Row],[Turno]]</f>
        <v>46275|TONELADAS X TURNO|Molino barras 5|1° turno</v>
      </c>
      <c r="C893" s="871">
        <v>46275</v>
      </c>
      <c r="D893" t="s">
        <v>9449</v>
      </c>
      <c r="E893" t="s">
        <v>391</v>
      </c>
      <c r="F893" t="s">
        <v>396</v>
      </c>
      <c r="G893">
        <v>1582</v>
      </c>
      <c r="H893" t="s">
        <v>9333</v>
      </c>
      <c r="I893" s="871">
        <v>46293.93683766204</v>
      </c>
      <c r="J893" t="s">
        <v>9528</v>
      </c>
      <c r="K893" s="975" t="str">
        <f>IF(COUNTIFS(tblControles[Clave],tblControles[[#This Row],[Clave]])&gt;1,"Duplicado","")</f>
        <v/>
      </c>
    </row>
    <row r="894" spans="2:11">
      <c r="B894" s="975" t="str">
        <f>tblControles[[#This Row],[Fecha]]&amp;"|"&amp;tblControles[[#This Row],[Módulo]]&amp;"|"&amp;tblControles[[#This Row],[Ítem]]&amp;"|"&amp;tblControles[[#This Row],[Turno]]</f>
        <v>46275|TONELADAS X TURNO|Molino barras 5|2° turno</v>
      </c>
      <c r="C894" s="871">
        <v>46275</v>
      </c>
      <c r="D894" t="s">
        <v>9449</v>
      </c>
      <c r="E894" t="s">
        <v>391</v>
      </c>
      <c r="F894" t="s">
        <v>397</v>
      </c>
      <c r="G894">
        <v>1579</v>
      </c>
      <c r="H894" t="s">
        <v>9333</v>
      </c>
      <c r="I894" s="871">
        <v>46293.93683766204</v>
      </c>
      <c r="J894" t="s">
        <v>9528</v>
      </c>
      <c r="K894" s="975" t="str">
        <f>IF(COUNTIFS(tblControles[Clave],tblControles[[#This Row],[Clave]])&gt;1,"Duplicado","")</f>
        <v/>
      </c>
    </row>
    <row r="895" spans="2:11">
      <c r="B895" s="975" t="str">
        <f>tblControles[[#This Row],[Fecha]]&amp;"|"&amp;tblControles[[#This Row],[Módulo]]&amp;"|"&amp;tblControles[[#This Row],[Ítem]]&amp;"|"&amp;tblControles[[#This Row],[Turno]]</f>
        <v>46275|TONELADAS X TURNO|Molino barras 5|3° turno</v>
      </c>
      <c r="C895" s="871">
        <v>46275</v>
      </c>
      <c r="D895" t="s">
        <v>9449</v>
      </c>
      <c r="E895" t="s">
        <v>391</v>
      </c>
      <c r="F895" t="s">
        <v>398</v>
      </c>
      <c r="G895">
        <v>1546</v>
      </c>
      <c r="H895" t="s">
        <v>9333</v>
      </c>
      <c r="I895" s="871">
        <v>46293.93683766204</v>
      </c>
      <c r="J895" t="s">
        <v>9528</v>
      </c>
      <c r="K895" s="975" t="str">
        <f>IF(COUNTIFS(tblControles[Clave],tblControles[[#This Row],[Clave]])&gt;1,"Duplicado","")</f>
        <v/>
      </c>
    </row>
    <row r="896" spans="2:11">
      <c r="B896" s="975" t="str">
        <f>tblControles[[#This Row],[Fecha]]&amp;"|"&amp;tblControles[[#This Row],[Módulo]]&amp;"|"&amp;tblControles[[#This Row],[Ítem]]&amp;"|"&amp;tblControles[[#This Row],[Turno]]</f>
        <v>46275|TONELADAS X TURNO|Molino barras 6|1° turno</v>
      </c>
      <c r="C896" s="871">
        <v>46275</v>
      </c>
      <c r="D896" t="s">
        <v>9449</v>
      </c>
      <c r="E896" t="s">
        <v>392</v>
      </c>
      <c r="F896" t="s">
        <v>396</v>
      </c>
      <c r="G896">
        <v>1423</v>
      </c>
      <c r="H896" t="s">
        <v>9333</v>
      </c>
      <c r="I896" s="871">
        <v>46293.93683766204</v>
      </c>
      <c r="J896" t="s">
        <v>9528</v>
      </c>
      <c r="K896" s="975" t="str">
        <f>IF(COUNTIFS(tblControles[Clave],tblControles[[#This Row],[Clave]])&gt;1,"Duplicado","")</f>
        <v/>
      </c>
    </row>
    <row r="897" spans="2:11">
      <c r="B897" s="975" t="str">
        <f>tblControles[[#This Row],[Fecha]]&amp;"|"&amp;tblControles[[#This Row],[Módulo]]&amp;"|"&amp;tblControles[[#This Row],[Ítem]]&amp;"|"&amp;tblControles[[#This Row],[Turno]]</f>
        <v>46275|TONELADAS X TURNO|Molino barras 6|2° turno</v>
      </c>
      <c r="C897" s="871">
        <v>46275</v>
      </c>
      <c r="D897" t="s">
        <v>9449</v>
      </c>
      <c r="E897" t="s">
        <v>392</v>
      </c>
      <c r="F897" t="s">
        <v>397</v>
      </c>
      <c r="G897">
        <v>1425</v>
      </c>
      <c r="H897" t="s">
        <v>9333</v>
      </c>
      <c r="I897" s="871">
        <v>46293.93683766204</v>
      </c>
      <c r="J897" t="s">
        <v>9528</v>
      </c>
      <c r="K897" s="975" t="str">
        <f>IF(COUNTIFS(tblControles[Clave],tblControles[[#This Row],[Clave]])&gt;1,"Duplicado","")</f>
        <v/>
      </c>
    </row>
    <row r="898" spans="2:11">
      <c r="B898" s="975" t="str">
        <f>tblControles[[#This Row],[Fecha]]&amp;"|"&amp;tblControles[[#This Row],[Módulo]]&amp;"|"&amp;tblControles[[#This Row],[Ítem]]&amp;"|"&amp;tblControles[[#This Row],[Turno]]</f>
        <v>46275|TONELADAS X TURNO|Molino barras 6|3° turno</v>
      </c>
      <c r="C898" s="871">
        <v>46275</v>
      </c>
      <c r="D898" t="s">
        <v>9449</v>
      </c>
      <c r="E898" t="s">
        <v>392</v>
      </c>
      <c r="F898" t="s">
        <v>398</v>
      </c>
      <c r="G898">
        <v>1538</v>
      </c>
      <c r="H898" t="s">
        <v>9333</v>
      </c>
      <c r="I898" s="871">
        <v>46293.93683766204</v>
      </c>
      <c r="J898" t="s">
        <v>9528</v>
      </c>
      <c r="K898" s="975" t="str">
        <f>IF(COUNTIFS(tblControles[Clave],tblControles[[#This Row],[Clave]])&gt;1,"Duplicado","")</f>
        <v/>
      </c>
    </row>
    <row r="899" spans="2:11">
      <c r="B899" s="975" t="str">
        <f>tblControles[[#This Row],[Fecha]]&amp;"|"&amp;tblControles[[#This Row],[Módulo]]&amp;"|"&amp;tblControles[[#This Row],[Ítem]]&amp;"|"&amp;tblControles[[#This Row],[Turno]]</f>
        <v>46275|TONELADAS X TURNO|Molino barras 7|1° turno</v>
      </c>
      <c r="C899" s="871">
        <v>46275</v>
      </c>
      <c r="D899" t="s">
        <v>9449</v>
      </c>
      <c r="E899" t="s">
        <v>393</v>
      </c>
      <c r="F899" t="s">
        <v>396</v>
      </c>
      <c r="G899">
        <v>1662</v>
      </c>
      <c r="H899" t="s">
        <v>9333</v>
      </c>
      <c r="I899" s="871">
        <v>46293.93683766204</v>
      </c>
      <c r="J899" t="s">
        <v>9528</v>
      </c>
      <c r="K899" s="975" t="str">
        <f>IF(COUNTIFS(tblControles[Clave],tblControles[[#This Row],[Clave]])&gt;1,"Duplicado","")</f>
        <v/>
      </c>
    </row>
    <row r="900" spans="2:11">
      <c r="B900" s="975" t="str">
        <f>tblControles[[#This Row],[Fecha]]&amp;"|"&amp;tblControles[[#This Row],[Módulo]]&amp;"|"&amp;tblControles[[#This Row],[Ítem]]&amp;"|"&amp;tblControles[[#This Row],[Turno]]</f>
        <v>46275|TONELADAS X TURNO|Molino barras 7|2° turno</v>
      </c>
      <c r="C900" s="871">
        <v>46275</v>
      </c>
      <c r="D900" t="s">
        <v>9449</v>
      </c>
      <c r="E900" t="s">
        <v>393</v>
      </c>
      <c r="F900" t="s">
        <v>397</v>
      </c>
      <c r="G900">
        <v>1660</v>
      </c>
      <c r="H900" t="s">
        <v>9333</v>
      </c>
      <c r="I900" s="871">
        <v>46293.93683766204</v>
      </c>
      <c r="J900" t="s">
        <v>9528</v>
      </c>
      <c r="K900" s="975" t="str">
        <f>IF(COUNTIFS(tblControles[Clave],tblControles[[#This Row],[Clave]])&gt;1,"Duplicado","")</f>
        <v/>
      </c>
    </row>
    <row r="901" spans="2:11">
      <c r="B901" s="975" t="str">
        <f>tblControles[[#This Row],[Fecha]]&amp;"|"&amp;tblControles[[#This Row],[Módulo]]&amp;"|"&amp;tblControles[[#This Row],[Ítem]]&amp;"|"&amp;tblControles[[#This Row],[Turno]]</f>
        <v>46275|TONELADAS X TURNO|Molino barras 7|3° turno</v>
      </c>
      <c r="C901" s="871">
        <v>46275</v>
      </c>
      <c r="D901" t="s">
        <v>9449</v>
      </c>
      <c r="E901" t="s">
        <v>393</v>
      </c>
      <c r="F901" t="s">
        <v>398</v>
      </c>
      <c r="G901">
        <v>1621</v>
      </c>
      <c r="H901" t="s">
        <v>9333</v>
      </c>
      <c r="I901" s="871">
        <v>46293.93683766204</v>
      </c>
      <c r="J901" t="s">
        <v>9528</v>
      </c>
      <c r="K901" s="975" t="str">
        <f>IF(COUNTIFS(tblControles[Clave],tblControles[[#This Row],[Clave]])&gt;1,"Duplicado","")</f>
        <v/>
      </c>
    </row>
    <row r="902" spans="2:11">
      <c r="B902" s="975" t="str">
        <f>tblControles[[#This Row],[Fecha]]&amp;"|"&amp;tblControles[[#This Row],[Módulo]]&amp;"|"&amp;tblControles[[#This Row],[Ítem]]&amp;"|"&amp;tblControles[[#This Row],[Turno]]</f>
        <v>46275|TONELADAS X TURNO|Molino barras 8|1° turno</v>
      </c>
      <c r="C902" s="871">
        <v>46275</v>
      </c>
      <c r="D902" t="s">
        <v>9449</v>
      </c>
      <c r="E902" t="s">
        <v>394</v>
      </c>
      <c r="F902" t="s">
        <v>396</v>
      </c>
      <c r="G902">
        <v>555</v>
      </c>
      <c r="H902" t="s">
        <v>9333</v>
      </c>
      <c r="I902" s="871">
        <v>46293.93683766204</v>
      </c>
      <c r="J902" t="s">
        <v>9528</v>
      </c>
      <c r="K902" s="975" t="str">
        <f>IF(COUNTIFS(tblControles[Clave],tblControles[[#This Row],[Clave]])&gt;1,"Duplicado","")</f>
        <v/>
      </c>
    </row>
    <row r="903" spans="2:11">
      <c r="B903" s="975" t="str">
        <f>tblControles[[#This Row],[Fecha]]&amp;"|"&amp;tblControles[[#This Row],[Módulo]]&amp;"|"&amp;tblControles[[#This Row],[Ítem]]&amp;"|"&amp;tblControles[[#This Row],[Turno]]</f>
        <v>46275|TONELADAS X TURNO|Molino barras 8|2° turno</v>
      </c>
      <c r="C903" s="871">
        <v>46275</v>
      </c>
      <c r="D903" t="s">
        <v>9449</v>
      </c>
      <c r="E903" t="s">
        <v>394</v>
      </c>
      <c r="F903" t="s">
        <v>397</v>
      </c>
      <c r="G903">
        <v>0</v>
      </c>
      <c r="H903" t="s">
        <v>9333</v>
      </c>
      <c r="I903" s="871">
        <v>46293.93683766204</v>
      </c>
      <c r="J903" t="s">
        <v>9528</v>
      </c>
      <c r="K903" s="975" t="str">
        <f>IF(COUNTIFS(tblControles[Clave],tblControles[[#This Row],[Clave]])&gt;1,"Duplicado","")</f>
        <v/>
      </c>
    </row>
    <row r="904" spans="2:11">
      <c r="B904" s="975" t="str">
        <f>tblControles[[#This Row],[Fecha]]&amp;"|"&amp;tblControles[[#This Row],[Módulo]]&amp;"|"&amp;tblControles[[#This Row],[Ítem]]&amp;"|"&amp;tblControles[[#This Row],[Turno]]</f>
        <v>46275|TONELADAS X TURNO|Molino barras 8|3° turno</v>
      </c>
      <c r="C904" s="871">
        <v>46275</v>
      </c>
      <c r="D904" t="s">
        <v>9449</v>
      </c>
      <c r="E904" t="s">
        <v>394</v>
      </c>
      <c r="F904" t="s">
        <v>398</v>
      </c>
      <c r="G904">
        <v>1341</v>
      </c>
      <c r="H904" t="s">
        <v>9333</v>
      </c>
      <c r="I904" s="871">
        <v>46293.93683766204</v>
      </c>
      <c r="J904" t="s">
        <v>9528</v>
      </c>
      <c r="K904" s="975" t="str">
        <f>IF(COUNTIFS(tblControles[Clave],tblControles[[#This Row],[Clave]])&gt;1,"Duplicado","")</f>
        <v/>
      </c>
    </row>
    <row r="905" spans="2:11">
      <c r="B905" s="975" t="str">
        <f>tblControles[[#This Row],[Fecha]]&amp;"|"&amp;tblControles[[#This Row],[Módulo]]&amp;"|"&amp;tblControles[[#This Row],[Ítem]]&amp;"|"&amp;tblControles[[#This Row],[Turno]]</f>
        <v>46275|TONELADAS X TURNO|Molino barras 9|1° turno</v>
      </c>
      <c r="C905" s="871">
        <v>46275</v>
      </c>
      <c r="D905" t="s">
        <v>9449</v>
      </c>
      <c r="E905" t="s">
        <v>395</v>
      </c>
      <c r="F905" t="s">
        <v>396</v>
      </c>
      <c r="G905">
        <v>0</v>
      </c>
      <c r="H905" t="s">
        <v>9333</v>
      </c>
      <c r="I905" s="871">
        <v>46293.93683766204</v>
      </c>
      <c r="J905" t="s">
        <v>9528</v>
      </c>
      <c r="K905" s="975" t="str">
        <f>IF(COUNTIFS(tblControles[Clave],tblControles[[#This Row],[Clave]])&gt;1,"Duplicado","")</f>
        <v/>
      </c>
    </row>
    <row r="906" spans="2:11">
      <c r="B906" s="975" t="str">
        <f>tblControles[[#This Row],[Fecha]]&amp;"|"&amp;tblControles[[#This Row],[Módulo]]&amp;"|"&amp;tblControles[[#This Row],[Ítem]]&amp;"|"&amp;tblControles[[#This Row],[Turno]]</f>
        <v>46275|TONELADAS X TURNO|Molino barras 9|2° turno</v>
      </c>
      <c r="C906" s="871">
        <v>46275</v>
      </c>
      <c r="D906" t="s">
        <v>9449</v>
      </c>
      <c r="E906" t="s">
        <v>395</v>
      </c>
      <c r="F906" t="s">
        <v>397</v>
      </c>
      <c r="G906">
        <v>0</v>
      </c>
      <c r="H906" t="s">
        <v>9333</v>
      </c>
      <c r="I906" s="871">
        <v>46293.93683766204</v>
      </c>
      <c r="J906" t="s">
        <v>9528</v>
      </c>
      <c r="K906" s="975" t="str">
        <f>IF(COUNTIFS(tblControles[Clave],tblControles[[#This Row],[Clave]])&gt;1,"Duplicado","")</f>
        <v/>
      </c>
    </row>
    <row r="907" spans="2:11">
      <c r="B907" s="975" t="str">
        <f>tblControles[[#This Row],[Fecha]]&amp;"|"&amp;tblControles[[#This Row],[Módulo]]&amp;"|"&amp;tblControles[[#This Row],[Ítem]]&amp;"|"&amp;tblControles[[#This Row],[Turno]]</f>
        <v>46275|TONELADAS X TURNO|Molino barras 9|3° turno</v>
      </c>
      <c r="C907" s="871">
        <v>46275</v>
      </c>
      <c r="D907" t="s">
        <v>9449</v>
      </c>
      <c r="E907" t="s">
        <v>395</v>
      </c>
      <c r="F907" t="s">
        <v>398</v>
      </c>
      <c r="G907">
        <v>1541</v>
      </c>
      <c r="H907" t="s">
        <v>9333</v>
      </c>
      <c r="I907" s="871">
        <v>46293.93683766204</v>
      </c>
      <c r="J907" t="s">
        <v>9528</v>
      </c>
      <c r="K907" s="975" t="str">
        <f>IF(COUNTIFS(tblControles[Clave],tblControles[[#This Row],[Clave]])&gt;1,"Duplicado","")</f>
        <v/>
      </c>
    </row>
    <row r="908" spans="2:11">
      <c r="B908" s="975" t="str">
        <f>tblControles[[#This Row],[Fecha]]&amp;"|"&amp;tblControles[[#This Row],[Módulo]]&amp;"|"&amp;tblControles[[#This Row],[Ítem]]&amp;"|"&amp;tblControles[[#This Row],[Turno]]</f>
        <v>46276|AGREGADO MEDIOS|BARRAS RM1|Cantidad</v>
      </c>
      <c r="C908" s="871">
        <v>46276</v>
      </c>
      <c r="D908" t="s">
        <v>9451</v>
      </c>
      <c r="E908" t="s">
        <v>410</v>
      </c>
      <c r="F908" t="s">
        <v>9453</v>
      </c>
      <c r="G908">
        <v>0</v>
      </c>
      <c r="H908" t="s">
        <v>9333</v>
      </c>
      <c r="I908" s="871">
        <v>46293.93683766204</v>
      </c>
      <c r="J908" t="s">
        <v>9524</v>
      </c>
      <c r="K908" s="975" t="str">
        <f>IF(COUNTIFS(tblControles[Clave],tblControles[[#This Row],[Clave]])&gt;1,"Duplicado","")</f>
        <v/>
      </c>
    </row>
    <row r="909" spans="2:11">
      <c r="B909" s="975" t="str">
        <f>tblControles[[#This Row],[Fecha]]&amp;"|"&amp;tblControles[[#This Row],[Módulo]]&amp;"|"&amp;tblControles[[#This Row],[Ítem]]&amp;"|"&amp;tblControles[[#This Row],[Turno]]</f>
        <v>46276|AGREGADO MEDIOS|BARRAS RM2|Cantidad</v>
      </c>
      <c r="C909" s="871">
        <v>46276</v>
      </c>
      <c r="D909" t="s">
        <v>9451</v>
      </c>
      <c r="E909" t="s">
        <v>411</v>
      </c>
      <c r="F909" t="s">
        <v>9453</v>
      </c>
      <c r="G909">
        <v>9</v>
      </c>
      <c r="H909" t="s">
        <v>9333</v>
      </c>
      <c r="I909" s="871">
        <v>46293.93683766204</v>
      </c>
      <c r="J909" t="s">
        <v>9524</v>
      </c>
      <c r="K909" s="975" t="str">
        <f>IF(COUNTIFS(tblControles[Clave],tblControles[[#This Row],[Clave]])&gt;1,"Duplicado","")</f>
        <v/>
      </c>
    </row>
    <row r="910" spans="2:11">
      <c r="B910" s="975" t="str">
        <f>tblControles[[#This Row],[Fecha]]&amp;"|"&amp;tblControles[[#This Row],[Módulo]]&amp;"|"&amp;tblControles[[#This Row],[Ítem]]&amp;"|"&amp;tblControles[[#This Row],[Turno]]</f>
        <v>46276|AGREGADO MEDIOS|BARRAS RM3|Cantidad</v>
      </c>
      <c r="C910" s="871">
        <v>46276</v>
      </c>
      <c r="D910" t="s">
        <v>9451</v>
      </c>
      <c r="E910" t="s">
        <v>412</v>
      </c>
      <c r="F910" t="s">
        <v>9453</v>
      </c>
      <c r="G910">
        <v>0</v>
      </c>
      <c r="H910" t="s">
        <v>9333</v>
      </c>
      <c r="I910" s="871">
        <v>46293.93683766204</v>
      </c>
      <c r="J910" t="s">
        <v>9524</v>
      </c>
      <c r="K910" s="975" t="str">
        <f>IF(COUNTIFS(tblControles[Clave],tblControles[[#This Row],[Clave]])&gt;1,"Duplicado","")</f>
        <v/>
      </c>
    </row>
    <row r="911" spans="2:11">
      <c r="B911" s="975" t="str">
        <f>tblControles[[#This Row],[Fecha]]&amp;"|"&amp;tblControles[[#This Row],[Módulo]]&amp;"|"&amp;tblControles[[#This Row],[Ítem]]&amp;"|"&amp;tblControles[[#This Row],[Turno]]</f>
        <v>46276|AGREGADO MEDIOS|BARRAS RM4|Cantidad</v>
      </c>
      <c r="C911" s="871">
        <v>46276</v>
      </c>
      <c r="D911" t="s">
        <v>9451</v>
      </c>
      <c r="E911" t="s">
        <v>413</v>
      </c>
      <c r="F911" t="s">
        <v>9453</v>
      </c>
      <c r="G911">
        <v>0</v>
      </c>
      <c r="H911" t="s">
        <v>9333</v>
      </c>
      <c r="I911" s="871">
        <v>46293.93683766204</v>
      </c>
      <c r="J911" t="s">
        <v>9524</v>
      </c>
      <c r="K911" s="975" t="str">
        <f>IF(COUNTIFS(tblControles[Clave],tblControles[[#This Row],[Clave]])&gt;1,"Duplicado","")</f>
        <v/>
      </c>
    </row>
    <row r="912" spans="2:11">
      <c r="B912" s="975" t="str">
        <f>tblControles[[#This Row],[Fecha]]&amp;"|"&amp;tblControles[[#This Row],[Módulo]]&amp;"|"&amp;tblControles[[#This Row],[Ítem]]&amp;"|"&amp;tblControles[[#This Row],[Turno]]</f>
        <v>46276|AGREGADO MEDIOS|BARRAS RM5|Cantidad</v>
      </c>
      <c r="C912" s="871">
        <v>46276</v>
      </c>
      <c r="D912" t="s">
        <v>9451</v>
      </c>
      <c r="E912" t="s">
        <v>414</v>
      </c>
      <c r="F912" t="s">
        <v>9453</v>
      </c>
      <c r="G912">
        <v>0</v>
      </c>
      <c r="H912" t="s">
        <v>9333</v>
      </c>
      <c r="I912" s="871">
        <v>46293.93683766204</v>
      </c>
      <c r="J912" t="s">
        <v>9524</v>
      </c>
      <c r="K912" s="975" t="str">
        <f>IF(COUNTIFS(tblControles[Clave],tblControles[[#This Row],[Clave]])&gt;1,"Duplicado","")</f>
        <v/>
      </c>
    </row>
    <row r="913" spans="2:11">
      <c r="B913" s="975" t="str">
        <f>tblControles[[#This Row],[Fecha]]&amp;"|"&amp;tblControles[[#This Row],[Módulo]]&amp;"|"&amp;tblControles[[#This Row],[Ítem]]&amp;"|"&amp;tblControles[[#This Row],[Turno]]</f>
        <v>46276|AGREGADO MEDIOS|BARRAS RM6|Cantidad</v>
      </c>
      <c r="C913" s="871">
        <v>46276</v>
      </c>
      <c r="D913" t="s">
        <v>9451</v>
      </c>
      <c r="E913" t="s">
        <v>415</v>
      </c>
      <c r="F913" t="s">
        <v>9453</v>
      </c>
      <c r="G913">
        <v>0</v>
      </c>
      <c r="H913" t="s">
        <v>9333</v>
      </c>
      <c r="I913" s="871">
        <v>46293.93683766204</v>
      </c>
      <c r="J913" t="s">
        <v>9524</v>
      </c>
      <c r="K913" s="975" t="str">
        <f>IF(COUNTIFS(tblControles[Clave],tblControles[[#This Row],[Clave]])&gt;1,"Duplicado","")</f>
        <v/>
      </c>
    </row>
    <row r="914" spans="2:11">
      <c r="B914" s="975" t="str">
        <f>tblControles[[#This Row],[Fecha]]&amp;"|"&amp;tblControles[[#This Row],[Módulo]]&amp;"|"&amp;tblControles[[#This Row],[Ítem]]&amp;"|"&amp;tblControles[[#This Row],[Turno]]</f>
        <v>46276|AGREGADO MEDIOS|BARRAS RM7|Cantidad</v>
      </c>
      <c r="C914" s="871">
        <v>46276</v>
      </c>
      <c r="D914" t="s">
        <v>9451</v>
      </c>
      <c r="E914" t="s">
        <v>416</v>
      </c>
      <c r="F914" t="s">
        <v>9453</v>
      </c>
      <c r="G914">
        <v>0</v>
      </c>
      <c r="H914" t="s">
        <v>9333</v>
      </c>
      <c r="I914" s="871">
        <v>46293.93683766204</v>
      </c>
      <c r="J914" t="s">
        <v>9524</v>
      </c>
      <c r="K914" s="975" t="str">
        <f>IF(COUNTIFS(tblControles[Clave],tblControles[[#This Row],[Clave]])&gt;1,"Duplicado","")</f>
        <v/>
      </c>
    </row>
    <row r="915" spans="2:11">
      <c r="B915" s="975" t="str">
        <f>tblControles[[#This Row],[Fecha]]&amp;"|"&amp;tblControles[[#This Row],[Módulo]]&amp;"|"&amp;tblControles[[#This Row],[Ítem]]&amp;"|"&amp;tblControles[[#This Row],[Turno]]</f>
        <v>46276|AGREGADO MEDIOS|BARRAS RM8|Cantidad</v>
      </c>
      <c r="C915" s="871">
        <v>46276</v>
      </c>
      <c r="D915" t="s">
        <v>9451</v>
      </c>
      <c r="E915" t="s">
        <v>417</v>
      </c>
      <c r="F915" t="s">
        <v>9453</v>
      </c>
      <c r="G915">
        <v>7</v>
      </c>
      <c r="H915" t="s">
        <v>9333</v>
      </c>
      <c r="I915" s="871">
        <v>46293.93683766204</v>
      </c>
      <c r="J915" t="s">
        <v>9524</v>
      </c>
      <c r="K915" s="975" t="str">
        <f>IF(COUNTIFS(tblControles[Clave],tblControles[[#This Row],[Clave]])&gt;1,"Duplicado","")</f>
        <v/>
      </c>
    </row>
    <row r="916" spans="2:11">
      <c r="B916" s="975" t="str">
        <f>tblControles[[#This Row],[Fecha]]&amp;"|"&amp;tblControles[[#This Row],[Módulo]]&amp;"|"&amp;tblControles[[#This Row],[Ítem]]&amp;"|"&amp;tblControles[[#This Row],[Turno]]</f>
        <v>46276|AGREGADO MEDIOS|BARRAS 9 RM9|Cantidad</v>
      </c>
      <c r="C916" s="871">
        <v>46276</v>
      </c>
      <c r="D916" t="s">
        <v>9451</v>
      </c>
      <c r="E916" t="s">
        <v>418</v>
      </c>
      <c r="F916" t="s">
        <v>9453</v>
      </c>
      <c r="G916">
        <v>7</v>
      </c>
      <c r="H916" t="s">
        <v>9333</v>
      </c>
      <c r="I916" s="871">
        <v>46293.93683766204</v>
      </c>
      <c r="J916" t="s">
        <v>9524</v>
      </c>
      <c r="K916" s="975" t="str">
        <f>IF(COUNTIFS(tblControles[Clave],tblControles[[#This Row],[Clave]])&gt;1,"Duplicado","")</f>
        <v/>
      </c>
    </row>
    <row r="917" spans="2:11">
      <c r="B917" s="975" t="str">
        <f>tblControles[[#This Row],[Fecha]]&amp;"|"&amp;tblControles[[#This Row],[Módulo]]&amp;"|"&amp;tblControles[[#This Row],[Ítem]]&amp;"|"&amp;tblControles[[#This Row],[Turno]]</f>
        <v>46276|AGREGADO MEDIOS|CONOS 40X50 BM1|Cantidad</v>
      </c>
      <c r="C917" s="871">
        <v>46276</v>
      </c>
      <c r="D917" t="s">
        <v>9451</v>
      </c>
      <c r="E917" t="s">
        <v>420</v>
      </c>
      <c r="F917" t="s">
        <v>9453</v>
      </c>
      <c r="G917">
        <v>6</v>
      </c>
      <c r="H917" t="s">
        <v>9333</v>
      </c>
      <c r="I917" s="871">
        <v>46293.93683766204</v>
      </c>
      <c r="J917" t="s">
        <v>9524</v>
      </c>
      <c r="K917" s="975" t="str">
        <f>IF(COUNTIFS(tblControles[Clave],tblControles[[#This Row],[Clave]])&gt;1,"Duplicado","")</f>
        <v/>
      </c>
    </row>
    <row r="918" spans="2:11">
      <c r="B918" s="975" t="str">
        <f>tblControles[[#This Row],[Fecha]]&amp;"|"&amp;tblControles[[#This Row],[Módulo]]&amp;"|"&amp;tblControles[[#This Row],[Ítem]]&amp;"|"&amp;tblControles[[#This Row],[Turno]]</f>
        <v>46276|AGREGADO MEDIOS|CONOS 40X50 BM2|Cantidad</v>
      </c>
      <c r="C918" s="871">
        <v>46276</v>
      </c>
      <c r="D918" t="s">
        <v>9451</v>
      </c>
      <c r="E918" t="s">
        <v>421</v>
      </c>
      <c r="F918" t="s">
        <v>9453</v>
      </c>
      <c r="G918">
        <v>0</v>
      </c>
      <c r="H918" t="s">
        <v>9333</v>
      </c>
      <c r="I918" s="871">
        <v>46293.93683766204</v>
      </c>
      <c r="J918" t="s">
        <v>9524</v>
      </c>
      <c r="K918" s="975" t="str">
        <f>IF(COUNTIFS(tblControles[Clave],tblControles[[#This Row],[Clave]])&gt;1,"Duplicado","")</f>
        <v/>
      </c>
    </row>
    <row r="919" spans="2:11">
      <c r="B919" s="975" t="str">
        <f>tblControles[[#This Row],[Fecha]]&amp;"|"&amp;tblControles[[#This Row],[Módulo]]&amp;"|"&amp;tblControles[[#This Row],[Ítem]]&amp;"|"&amp;tblControles[[#This Row],[Turno]]</f>
        <v>46276|AGREGADO MEDIOS|CONOS 40X50 BM3|Cantidad</v>
      </c>
      <c r="C919" s="871">
        <v>46276</v>
      </c>
      <c r="D919" t="s">
        <v>9451</v>
      </c>
      <c r="E919" t="s">
        <v>422</v>
      </c>
      <c r="F919" t="s">
        <v>9453</v>
      </c>
      <c r="G919">
        <v>0</v>
      </c>
      <c r="H919" t="s">
        <v>9333</v>
      </c>
      <c r="I919" s="871">
        <v>46293.93683766204</v>
      </c>
      <c r="J919" t="s">
        <v>9524</v>
      </c>
      <c r="K919" s="975" t="str">
        <f>IF(COUNTIFS(tblControles[Clave],tblControles[[#This Row],[Clave]])&gt;1,"Duplicado","")</f>
        <v/>
      </c>
    </row>
    <row r="920" spans="2:11">
      <c r="B920" s="975" t="str">
        <f>tblControles[[#This Row],[Fecha]]&amp;"|"&amp;tblControles[[#This Row],[Módulo]]&amp;"|"&amp;tblControles[[#This Row],[Ítem]]&amp;"|"&amp;tblControles[[#This Row],[Turno]]</f>
        <v>46276|AGREGADO MEDIOS|CONOS 40X50 BM4|Cantidad</v>
      </c>
      <c r="C920" s="871">
        <v>46276</v>
      </c>
      <c r="D920" t="s">
        <v>9451</v>
      </c>
      <c r="E920" t="s">
        <v>423</v>
      </c>
      <c r="F920" t="s">
        <v>9453</v>
      </c>
      <c r="G920">
        <v>0</v>
      </c>
      <c r="H920" t="s">
        <v>9333</v>
      </c>
      <c r="I920" s="871">
        <v>46293.93683766204</v>
      </c>
      <c r="J920" t="s">
        <v>9524</v>
      </c>
      <c r="K920" s="975" t="str">
        <f>IF(COUNTIFS(tblControles[Clave],tblControles[[#This Row],[Clave]])&gt;1,"Duplicado","")</f>
        <v/>
      </c>
    </row>
    <row r="921" spans="2:11">
      <c r="B921" s="975" t="str">
        <f>tblControles[[#This Row],[Fecha]]&amp;"|"&amp;tblControles[[#This Row],[Módulo]]&amp;"|"&amp;tblControles[[#This Row],[Ítem]]&amp;"|"&amp;tblControles[[#This Row],[Turno]]</f>
        <v>46276|AGREGADO MEDIOS|CONOS 30X35 BM5|Cantidad</v>
      </c>
      <c r="C921" s="871">
        <v>46276</v>
      </c>
      <c r="D921" t="s">
        <v>9451</v>
      </c>
      <c r="E921" t="s">
        <v>424</v>
      </c>
      <c r="F921" t="s">
        <v>9453</v>
      </c>
      <c r="G921">
        <v>6</v>
      </c>
      <c r="H921" t="s">
        <v>9333</v>
      </c>
      <c r="I921" s="871">
        <v>46293.93683766204</v>
      </c>
      <c r="J921" t="s">
        <v>9524</v>
      </c>
      <c r="K921" s="975" t="str">
        <f>IF(COUNTIFS(tblControles[Clave],tblControles[[#This Row],[Clave]])&gt;1,"Duplicado","")</f>
        <v/>
      </c>
    </row>
    <row r="922" spans="2:11">
      <c r="B922" s="975" t="str">
        <f>tblControles[[#This Row],[Fecha]]&amp;"|"&amp;tblControles[[#This Row],[Módulo]]&amp;"|"&amp;tblControles[[#This Row],[Ítem]]&amp;"|"&amp;tblControles[[#This Row],[Turno]]</f>
        <v>46276|AGREGADO MEDIOS|CONOS 40X50 BM6|Cantidad</v>
      </c>
      <c r="C922" s="871">
        <v>46276</v>
      </c>
      <c r="D922" t="s">
        <v>9451</v>
      </c>
      <c r="E922" t="s">
        <v>425</v>
      </c>
      <c r="F922" t="s">
        <v>9453</v>
      </c>
      <c r="G922">
        <v>0</v>
      </c>
      <c r="H922" t="s">
        <v>9333</v>
      </c>
      <c r="I922" s="871">
        <v>46293.93683766204</v>
      </c>
      <c r="J922" t="s">
        <v>9524</v>
      </c>
      <c r="K922" s="975" t="str">
        <f>IF(COUNTIFS(tblControles[Clave],tblControles[[#This Row],[Clave]])&gt;1,"Duplicado","")</f>
        <v/>
      </c>
    </row>
    <row r="923" spans="2:11">
      <c r="B923" s="975" t="str">
        <f>tblControles[[#This Row],[Fecha]]&amp;"|"&amp;tblControles[[#This Row],[Módulo]]&amp;"|"&amp;tblControles[[#This Row],[Ítem]]&amp;"|"&amp;tblControles[[#This Row],[Turno]]</f>
        <v>46276|AGREGADO MEDIOS|CONOS 40X50 BM7|Cantidad</v>
      </c>
      <c r="C923" s="871">
        <v>46276</v>
      </c>
      <c r="D923" t="s">
        <v>9451</v>
      </c>
      <c r="E923" t="s">
        <v>426</v>
      </c>
      <c r="F923" t="s">
        <v>9453</v>
      </c>
      <c r="G923">
        <v>2</v>
      </c>
      <c r="H923" t="s">
        <v>9333</v>
      </c>
      <c r="I923" s="871">
        <v>46293.93683766204</v>
      </c>
      <c r="J923" t="s">
        <v>9524</v>
      </c>
      <c r="K923" s="975" t="str">
        <f>IF(COUNTIFS(tblControles[Clave],tblControles[[#This Row],[Clave]])&gt;1,"Duplicado","")</f>
        <v/>
      </c>
    </row>
    <row r="924" spans="2:11">
      <c r="B924" s="975" t="str">
        <f>tblControles[[#This Row],[Fecha]]&amp;"|"&amp;tblControles[[#This Row],[Módulo]]&amp;"|"&amp;tblControles[[#This Row],[Ítem]]&amp;"|"&amp;tblControles[[#This Row],[Turno]]</f>
        <v>46276|AGREGADO MEDIOS|CONOS 40X50|Cantidad</v>
      </c>
      <c r="C924" s="871">
        <v>46276</v>
      </c>
      <c r="D924" t="s">
        <v>9451</v>
      </c>
      <c r="E924" t="s">
        <v>427</v>
      </c>
      <c r="F924" t="s">
        <v>9453</v>
      </c>
      <c r="G924">
        <v>6</v>
      </c>
      <c r="H924" t="s">
        <v>9333</v>
      </c>
      <c r="I924" s="871">
        <v>46293.93683766204</v>
      </c>
      <c r="J924" t="s">
        <v>9524</v>
      </c>
      <c r="K924" s="975" t="str">
        <f>IF(COUNTIFS(tblControles[Clave],tblControles[[#This Row],[Clave]])&gt;1,"Duplicado","")</f>
        <v/>
      </c>
    </row>
    <row r="925" spans="2:11">
      <c r="B925" s="975" t="str">
        <f>tblControles[[#This Row],[Fecha]]&amp;"|"&amp;tblControles[[#This Row],[Módulo]]&amp;"|"&amp;tblControles[[#This Row],[Ítem]]&amp;"|"&amp;tblControles[[#This Row],[Turno]]</f>
        <v>46276|AGREGADO MEDIOS|CONOS 30X35|Cantidad</v>
      </c>
      <c r="C925" s="871">
        <v>46276</v>
      </c>
      <c r="D925" t="s">
        <v>9451</v>
      </c>
      <c r="E925" t="s">
        <v>428</v>
      </c>
      <c r="F925" t="s">
        <v>9453</v>
      </c>
      <c r="G925">
        <v>8</v>
      </c>
      <c r="H925" t="s">
        <v>9333</v>
      </c>
      <c r="I925" s="871">
        <v>46293.93683766204</v>
      </c>
      <c r="J925" t="s">
        <v>9524</v>
      </c>
      <c r="K925" s="975" t="str">
        <f>IF(COUNTIFS(tblControles[Clave],tblControles[[#This Row],[Clave]])&gt;1,"Duplicado","")</f>
        <v/>
      </c>
    </row>
    <row r="926" spans="2:11">
      <c r="B926" s="975" t="str">
        <f>tblControles[[#This Row],[Fecha]]&amp;"|"&amp;tblControles[[#This Row],[Módulo]]&amp;"|"&amp;tblControles[[#This Row],[Ítem]]&amp;"|"&amp;tblControles[[#This Row],[Turno]]</f>
        <v>46276|AGREGADO MEDIOS|BOLAS BM8|Cantidad</v>
      </c>
      <c r="C926" s="871">
        <v>46276</v>
      </c>
      <c r="D926" t="s">
        <v>9451</v>
      </c>
      <c r="E926" t="s">
        <v>429</v>
      </c>
      <c r="F926" t="s">
        <v>9453</v>
      </c>
      <c r="G926">
        <v>0</v>
      </c>
      <c r="H926" t="s">
        <v>9333</v>
      </c>
      <c r="I926" s="871">
        <v>46293.93683766204</v>
      </c>
      <c r="J926" t="s">
        <v>9524</v>
      </c>
      <c r="K926" s="975" t="str">
        <f>IF(COUNTIFS(tblControles[Clave],tblControles[[#This Row],[Clave]])&gt;1,"Duplicado","")</f>
        <v/>
      </c>
    </row>
    <row r="927" spans="2:11">
      <c r="B927" s="975" t="str">
        <f>tblControles[[#This Row],[Fecha]]&amp;"|"&amp;tblControles[[#This Row],[Módulo]]&amp;"|"&amp;tblControles[[#This Row],[Ítem]]&amp;"|"&amp;tblControles[[#This Row],[Turno]]</f>
        <v>46276|AGREGADO MEDIOS|BOLAS BM9|Cantidad</v>
      </c>
      <c r="C927" s="871">
        <v>46276</v>
      </c>
      <c r="D927" t="s">
        <v>9451</v>
      </c>
      <c r="E927" t="s">
        <v>430</v>
      </c>
      <c r="F927" t="s">
        <v>9453</v>
      </c>
      <c r="G927">
        <v>4</v>
      </c>
      <c r="H927" t="s">
        <v>9333</v>
      </c>
      <c r="I927" s="871">
        <v>46293.93683766204</v>
      </c>
      <c r="J927" t="s">
        <v>9524</v>
      </c>
      <c r="K927" s="975" t="str">
        <f>IF(COUNTIFS(tblControles[Clave],tblControles[[#This Row],[Clave]])&gt;1,"Duplicado","")</f>
        <v/>
      </c>
    </row>
    <row r="928" spans="2:11">
      <c r="B928" s="975" t="str">
        <f>tblControles[[#This Row],[Fecha]]&amp;"|"&amp;tblControles[[#This Row],[Módulo]]&amp;"|"&amp;tblControles[[#This Row],[Ítem]]&amp;"|"&amp;tblControles[[#This Row],[Turno]]</f>
        <v>46276|AGREGADO MEDIOS|BOLAS BM10|Cantidad</v>
      </c>
      <c r="C928" s="871">
        <v>46276</v>
      </c>
      <c r="D928" t="s">
        <v>9451</v>
      </c>
      <c r="E928" t="s">
        <v>431</v>
      </c>
      <c r="F928" t="s">
        <v>9453</v>
      </c>
      <c r="G928">
        <v>0</v>
      </c>
      <c r="H928" t="s">
        <v>9333</v>
      </c>
      <c r="I928" s="871">
        <v>46293.93683766204</v>
      </c>
      <c r="J928" t="s">
        <v>9524</v>
      </c>
      <c r="K928" s="975" t="str">
        <f>IF(COUNTIFS(tblControles[Clave],tblControles[[#This Row],[Clave]])&gt;1,"Duplicado","")</f>
        <v/>
      </c>
    </row>
    <row r="929" spans="2:11">
      <c r="B929" s="975" t="str">
        <f>tblControles[[#This Row],[Fecha]]&amp;"|"&amp;tblControles[[#This Row],[Módulo]]&amp;"|"&amp;tblControles[[#This Row],[Ítem]]&amp;"|"&amp;tblControles[[#This Row],[Turno]]</f>
        <v>46276|AGREGADO MEDIOS|BOLAS ALTO CROM|Cantidad</v>
      </c>
      <c r="C929" s="871">
        <v>46276</v>
      </c>
      <c r="D929" t="s">
        <v>9451</v>
      </c>
      <c r="E929" t="s">
        <v>432</v>
      </c>
      <c r="F929" t="s">
        <v>9453</v>
      </c>
      <c r="G929">
        <v>4</v>
      </c>
      <c r="H929" t="s">
        <v>9333</v>
      </c>
      <c r="I929" s="871">
        <v>46293.93683766204</v>
      </c>
      <c r="J929" t="s">
        <v>9524</v>
      </c>
      <c r="K929" s="975" t="str">
        <f>IF(COUNTIFS(tblControles[Clave],tblControles[[#This Row],[Clave]])&gt;1,"Duplicado","")</f>
        <v/>
      </c>
    </row>
    <row r="930" spans="2:11">
      <c r="B930" s="975" t="str">
        <f>tblControles[[#This Row],[Fecha]]&amp;"|"&amp;tblControles[[#This Row],[Módulo]]&amp;"|"&amp;tblControles[[#This Row],[Ítem]]&amp;"|"&amp;tblControles[[#This Row],[Turno]]</f>
        <v>46276|PURGA TKS AIRE|TK-MG-S. ROTULO|2do Turno</v>
      </c>
      <c r="C930" s="871">
        <v>46276</v>
      </c>
      <c r="D930" t="s">
        <v>9433</v>
      </c>
      <c r="E930" t="s">
        <v>9471</v>
      </c>
      <c r="F930" t="s">
        <v>9436</v>
      </c>
      <c r="G930" t="s">
        <v>3227</v>
      </c>
      <c r="H930" t="s">
        <v>9333</v>
      </c>
      <c r="I930" s="871">
        <v>46293.93683766204</v>
      </c>
      <c r="J930" t="s">
        <v>9530</v>
      </c>
      <c r="K930" s="975" t="str">
        <f>IF(COUNTIFS(tblControles[Clave],tblControles[[#This Row],[Clave]])&gt;1,"Duplicado","")</f>
        <v/>
      </c>
    </row>
    <row r="931" spans="2:11">
      <c r="B931" s="975" t="str">
        <f>tblControles[[#This Row],[Fecha]]&amp;"|"&amp;tblControles[[#This Row],[Módulo]]&amp;"|"&amp;tblControles[[#This Row],[Ítem]]&amp;"|"&amp;tblControles[[#This Row],[Turno]]</f>
        <v>46276|PURGA TKS AIRE|TK-MG-S. ROTULO|3er Turno</v>
      </c>
      <c r="C931" s="871">
        <v>46276</v>
      </c>
      <c r="D931" t="s">
        <v>9433</v>
      </c>
      <c r="E931" t="s">
        <v>9471</v>
      </c>
      <c r="F931" t="s">
        <v>9437</v>
      </c>
      <c r="G931" t="s">
        <v>3227</v>
      </c>
      <c r="H931" t="s">
        <v>9333</v>
      </c>
      <c r="I931" s="871">
        <v>46293.93683766204</v>
      </c>
      <c r="J931" t="s">
        <v>9530</v>
      </c>
      <c r="K931" s="975" t="str">
        <f>IF(COUNTIFS(tblControles[Clave],tblControles[[#This Row],[Clave]])&gt;1,"Duplicado","")</f>
        <v/>
      </c>
    </row>
    <row r="932" spans="2:11">
      <c r="B932" s="975" t="str">
        <f>tblControles[[#This Row],[Fecha]]&amp;"|"&amp;tblControles[[#This Row],[Módulo]]&amp;"|"&amp;tblControles[[#This Row],[Ítem]]&amp;"|"&amp;tblControles[[#This Row],[Turno]]</f>
        <v>46276|PURGA TKS AIRE|TK-MG-001|2do Turno</v>
      </c>
      <c r="C932" s="871">
        <v>46276</v>
      </c>
      <c r="D932" t="s">
        <v>9433</v>
      </c>
      <c r="E932" t="s">
        <v>337</v>
      </c>
      <c r="F932" t="s">
        <v>9436</v>
      </c>
      <c r="G932" t="s">
        <v>3227</v>
      </c>
      <c r="H932" t="s">
        <v>9333</v>
      </c>
      <c r="I932" s="871">
        <v>46293.93683766204</v>
      </c>
      <c r="J932" t="s">
        <v>9530</v>
      </c>
      <c r="K932" s="975" t="str">
        <f>IF(COUNTIFS(tblControles[Clave],tblControles[[#This Row],[Clave]])&gt;1,"Duplicado","")</f>
        <v/>
      </c>
    </row>
    <row r="933" spans="2:11">
      <c r="B933" s="975" t="str">
        <f>tblControles[[#This Row],[Fecha]]&amp;"|"&amp;tblControles[[#This Row],[Módulo]]&amp;"|"&amp;tblControles[[#This Row],[Ítem]]&amp;"|"&amp;tblControles[[#This Row],[Turno]]</f>
        <v>46276|PURGA TKS AIRE|TK-MG-001|3er Turno</v>
      </c>
      <c r="C933" s="871">
        <v>46276</v>
      </c>
      <c r="D933" t="s">
        <v>9433</v>
      </c>
      <c r="E933" t="s">
        <v>337</v>
      </c>
      <c r="F933" t="s">
        <v>9437</v>
      </c>
      <c r="G933" t="s">
        <v>3227</v>
      </c>
      <c r="H933" t="s">
        <v>9333</v>
      </c>
      <c r="I933" s="871">
        <v>46293.93683766204</v>
      </c>
      <c r="J933" t="s">
        <v>9530</v>
      </c>
      <c r="K933" s="975" t="str">
        <f>IF(COUNTIFS(tblControles[Clave],tblControles[[#This Row],[Clave]])&gt;1,"Duplicado","")</f>
        <v/>
      </c>
    </row>
    <row r="934" spans="2:11">
      <c r="B934" s="975" t="str">
        <f>tblControles[[#This Row],[Fecha]]&amp;"|"&amp;tblControles[[#This Row],[Módulo]]&amp;"|"&amp;tblControles[[#This Row],[Ítem]]&amp;"|"&amp;tblControles[[#This Row],[Turno]]</f>
        <v>46276|PURGA TKS AIRE|TK-MG-002|2do Turno</v>
      </c>
      <c r="C934" s="871">
        <v>46276</v>
      </c>
      <c r="D934" t="s">
        <v>9433</v>
      </c>
      <c r="E934" t="s">
        <v>339</v>
      </c>
      <c r="F934" t="s">
        <v>9436</v>
      </c>
      <c r="G934" t="s">
        <v>3227</v>
      </c>
      <c r="H934" t="s">
        <v>9333</v>
      </c>
      <c r="I934" s="871">
        <v>46293.93683766204</v>
      </c>
      <c r="J934" t="s">
        <v>9530</v>
      </c>
      <c r="K934" s="975" t="str">
        <f>IF(COUNTIFS(tblControles[Clave],tblControles[[#This Row],[Clave]])&gt;1,"Duplicado","")</f>
        <v/>
      </c>
    </row>
    <row r="935" spans="2:11">
      <c r="B935" s="975" t="str">
        <f>tblControles[[#This Row],[Fecha]]&amp;"|"&amp;tblControles[[#This Row],[Módulo]]&amp;"|"&amp;tblControles[[#This Row],[Ítem]]&amp;"|"&amp;tblControles[[#This Row],[Turno]]</f>
        <v>46276|PURGA TKS AIRE|TK-MG-002|3er Turno</v>
      </c>
      <c r="C935" s="871">
        <v>46276</v>
      </c>
      <c r="D935" t="s">
        <v>9433</v>
      </c>
      <c r="E935" t="s">
        <v>339</v>
      </c>
      <c r="F935" t="s">
        <v>9437</v>
      </c>
      <c r="G935" t="s">
        <v>3227</v>
      </c>
      <c r="H935" t="s">
        <v>9333</v>
      </c>
      <c r="I935" s="871">
        <v>46293.93683766204</v>
      </c>
      <c r="J935" t="s">
        <v>9530</v>
      </c>
      <c r="K935" s="975" t="str">
        <f>IF(COUNTIFS(tblControles[Clave],tblControles[[#This Row],[Clave]])&gt;1,"Duplicado","")</f>
        <v/>
      </c>
    </row>
    <row r="936" spans="2:11">
      <c r="B936" s="975" t="str">
        <f>tblControles[[#This Row],[Fecha]]&amp;"|"&amp;tblControles[[#This Row],[Módulo]]&amp;"|"&amp;tblControles[[#This Row],[Ítem]]&amp;"|"&amp;tblControles[[#This Row],[Turno]]</f>
        <v>46276|PURGA TKS AIRE|TK-MG-003|2do Turno</v>
      </c>
      <c r="C936" s="871">
        <v>46276</v>
      </c>
      <c r="D936" t="s">
        <v>9433</v>
      </c>
      <c r="E936" t="s">
        <v>341</v>
      </c>
      <c r="F936" t="s">
        <v>9436</v>
      </c>
      <c r="G936" t="s">
        <v>3227</v>
      </c>
      <c r="H936" t="s">
        <v>9333</v>
      </c>
      <c r="I936" s="871">
        <v>46293.93683766204</v>
      </c>
      <c r="J936" t="s">
        <v>9530</v>
      </c>
      <c r="K936" s="975" t="str">
        <f>IF(COUNTIFS(tblControles[Clave],tblControles[[#This Row],[Clave]])&gt;1,"Duplicado","")</f>
        <v/>
      </c>
    </row>
    <row r="937" spans="2:11">
      <c r="B937" s="975" t="str">
        <f>tblControles[[#This Row],[Fecha]]&amp;"|"&amp;tblControles[[#This Row],[Módulo]]&amp;"|"&amp;tblControles[[#This Row],[Ítem]]&amp;"|"&amp;tblControles[[#This Row],[Turno]]</f>
        <v>46276|PURGA TKS AIRE|TK-MG-003|3er Turno</v>
      </c>
      <c r="C937" s="871">
        <v>46276</v>
      </c>
      <c r="D937" t="s">
        <v>9433</v>
      </c>
      <c r="E937" t="s">
        <v>341</v>
      </c>
      <c r="F937" t="s">
        <v>9437</v>
      </c>
      <c r="G937" t="s">
        <v>3227</v>
      </c>
      <c r="H937" t="s">
        <v>9333</v>
      </c>
      <c r="I937" s="871">
        <v>46293.93683766204</v>
      </c>
      <c r="J937" t="s">
        <v>9530</v>
      </c>
      <c r="K937" s="975" t="str">
        <f>IF(COUNTIFS(tblControles[Clave],tblControles[[#This Row],[Clave]])&gt;1,"Duplicado","")</f>
        <v/>
      </c>
    </row>
    <row r="938" spans="2:11">
      <c r="B938" s="975" t="str">
        <f>tblControles[[#This Row],[Fecha]]&amp;"|"&amp;tblControles[[#This Row],[Módulo]]&amp;"|"&amp;tblControles[[#This Row],[Ítem]]&amp;"|"&amp;tblControles[[#This Row],[Turno]]</f>
        <v>46276|PURGA TKS AIRE|TK-MG-005|2do Turno</v>
      </c>
      <c r="C938" s="871">
        <v>46276</v>
      </c>
      <c r="D938" t="s">
        <v>9433</v>
      </c>
      <c r="E938" t="s">
        <v>343</v>
      </c>
      <c r="F938" t="s">
        <v>9436</v>
      </c>
      <c r="G938" t="s">
        <v>345</v>
      </c>
      <c r="H938" t="s">
        <v>9333</v>
      </c>
      <c r="I938" s="871">
        <v>46293.93683766204</v>
      </c>
      <c r="J938" t="s">
        <v>9530</v>
      </c>
      <c r="K938" s="975" t="str">
        <f>IF(COUNTIFS(tblControles[Clave],tblControles[[#This Row],[Clave]])&gt;1,"Duplicado","")</f>
        <v/>
      </c>
    </row>
    <row r="939" spans="2:11">
      <c r="B939" s="975" t="str">
        <f>tblControles[[#This Row],[Fecha]]&amp;"|"&amp;tblControles[[#This Row],[Módulo]]&amp;"|"&amp;tblControles[[#This Row],[Ítem]]&amp;"|"&amp;tblControles[[#This Row],[Turno]]</f>
        <v>46276|PURGA TKS AIRE|TK-MG-005|3er Turno</v>
      </c>
      <c r="C939" s="871">
        <v>46276</v>
      </c>
      <c r="D939" t="s">
        <v>9433</v>
      </c>
      <c r="E939" t="s">
        <v>343</v>
      </c>
      <c r="F939" t="s">
        <v>9437</v>
      </c>
      <c r="G939" t="s">
        <v>345</v>
      </c>
      <c r="H939" t="s">
        <v>9333</v>
      </c>
      <c r="I939" s="871">
        <v>46293.93683766204</v>
      </c>
      <c r="J939" t="s">
        <v>9530</v>
      </c>
      <c r="K939" s="975" t="str">
        <f>IF(COUNTIFS(tblControles[Clave],tblControles[[#This Row],[Clave]])&gt;1,"Duplicado","")</f>
        <v/>
      </c>
    </row>
    <row r="940" spans="2:11">
      <c r="B940" s="975" t="str">
        <f>tblControles[[#This Row],[Fecha]]&amp;"|"&amp;tblControles[[#This Row],[Módulo]]&amp;"|"&amp;tblControles[[#This Row],[Ítem]]&amp;"|"&amp;tblControles[[#This Row],[Turno]]</f>
        <v>46276|PURGA TKS AIRE|TK-MG-006|2do Turno</v>
      </c>
      <c r="C940" s="871">
        <v>46276</v>
      </c>
      <c r="D940" t="s">
        <v>9433</v>
      </c>
      <c r="E940" t="s">
        <v>346</v>
      </c>
      <c r="F940" t="s">
        <v>9436</v>
      </c>
      <c r="G940" t="s">
        <v>3227</v>
      </c>
      <c r="H940" t="s">
        <v>9333</v>
      </c>
      <c r="I940" s="871">
        <v>46293.93683766204</v>
      </c>
      <c r="J940" t="s">
        <v>9530</v>
      </c>
      <c r="K940" s="975" t="str">
        <f>IF(COUNTIFS(tblControles[Clave],tblControles[[#This Row],[Clave]])&gt;1,"Duplicado","")</f>
        <v/>
      </c>
    </row>
    <row r="941" spans="2:11">
      <c r="B941" s="975" t="str">
        <f>tblControles[[#This Row],[Fecha]]&amp;"|"&amp;tblControles[[#This Row],[Módulo]]&amp;"|"&amp;tblControles[[#This Row],[Ítem]]&amp;"|"&amp;tblControles[[#This Row],[Turno]]</f>
        <v>46276|PURGA TKS AIRE|TK-MG-006|3er Turno</v>
      </c>
      <c r="C941" s="871">
        <v>46276</v>
      </c>
      <c r="D941" t="s">
        <v>9433</v>
      </c>
      <c r="E941" t="s">
        <v>346</v>
      </c>
      <c r="F941" t="s">
        <v>9437</v>
      </c>
      <c r="G941" t="s">
        <v>3227</v>
      </c>
      <c r="H941" t="s">
        <v>9333</v>
      </c>
      <c r="I941" s="871">
        <v>46293.93683766204</v>
      </c>
      <c r="J941" t="s">
        <v>9530</v>
      </c>
      <c r="K941" s="975" t="str">
        <f>IF(COUNTIFS(tblControles[Clave],tblControles[[#This Row],[Clave]])&gt;1,"Duplicado","")</f>
        <v/>
      </c>
    </row>
    <row r="942" spans="2:11">
      <c r="B942" s="975" t="str">
        <f>tblControles[[#This Row],[Fecha]]&amp;"|"&amp;tblControles[[#This Row],[Módulo]]&amp;"|"&amp;tblControles[[#This Row],[Ítem]]&amp;"|"&amp;tblControles[[#This Row],[Turno]]</f>
        <v>46276|PURGA TKS AIRE|TK-MG-007|2do Turno</v>
      </c>
      <c r="C942" s="871">
        <v>46276</v>
      </c>
      <c r="D942" t="s">
        <v>9433</v>
      </c>
      <c r="E942" t="s">
        <v>347</v>
      </c>
      <c r="F942" t="s">
        <v>9436</v>
      </c>
      <c r="G942" t="s">
        <v>3227</v>
      </c>
      <c r="H942" t="s">
        <v>9333</v>
      </c>
      <c r="I942" s="871">
        <v>46293.93683766204</v>
      </c>
      <c r="J942" t="s">
        <v>9530</v>
      </c>
      <c r="K942" s="975" t="str">
        <f>IF(COUNTIFS(tblControles[Clave],tblControles[[#This Row],[Clave]])&gt;1,"Duplicado","")</f>
        <v/>
      </c>
    </row>
    <row r="943" spans="2:11">
      <c r="B943" s="975" t="str">
        <f>tblControles[[#This Row],[Fecha]]&amp;"|"&amp;tblControles[[#This Row],[Módulo]]&amp;"|"&amp;tblControles[[#This Row],[Ítem]]&amp;"|"&amp;tblControles[[#This Row],[Turno]]</f>
        <v>46276|PURGA TKS AIRE|TK-MG-007|3er Turno</v>
      </c>
      <c r="C943" s="871">
        <v>46276</v>
      </c>
      <c r="D943" t="s">
        <v>9433</v>
      </c>
      <c r="E943" t="s">
        <v>347</v>
      </c>
      <c r="F943" t="s">
        <v>9437</v>
      </c>
      <c r="G943" t="s">
        <v>3227</v>
      </c>
      <c r="H943" t="s">
        <v>9333</v>
      </c>
      <c r="I943" s="871">
        <v>46293.93683766204</v>
      </c>
      <c r="J943" t="s">
        <v>9530</v>
      </c>
      <c r="K943" s="975" t="str">
        <f>IF(COUNTIFS(tblControles[Clave],tblControles[[#This Row],[Clave]])&gt;1,"Duplicado","")</f>
        <v/>
      </c>
    </row>
    <row r="944" spans="2:11">
      <c r="B944" s="975" t="str">
        <f>tblControles[[#This Row],[Fecha]]&amp;"|"&amp;tblControles[[#This Row],[Módulo]]&amp;"|"&amp;tblControles[[#This Row],[Ítem]]&amp;"|"&amp;tblControles[[#This Row],[Turno]]</f>
        <v>46276|PURGA TKS AIRE|TK-MG-004|2do Turno</v>
      </c>
      <c r="C944" s="871">
        <v>46276</v>
      </c>
      <c r="D944" t="s">
        <v>9433</v>
      </c>
      <c r="E944" t="s">
        <v>349</v>
      </c>
      <c r="F944" t="s">
        <v>9436</v>
      </c>
      <c r="G944" t="s">
        <v>3227</v>
      </c>
      <c r="H944" t="s">
        <v>9333</v>
      </c>
      <c r="I944" s="871">
        <v>46293.93683766204</v>
      </c>
      <c r="J944" t="s">
        <v>9530</v>
      </c>
      <c r="K944" s="975" t="str">
        <f>IF(COUNTIFS(tblControles[Clave],tblControles[[#This Row],[Clave]])&gt;1,"Duplicado","")</f>
        <v/>
      </c>
    </row>
    <row r="945" spans="2:11">
      <c r="B945" s="975" t="str">
        <f>tblControles[[#This Row],[Fecha]]&amp;"|"&amp;tblControles[[#This Row],[Módulo]]&amp;"|"&amp;tblControles[[#This Row],[Ítem]]&amp;"|"&amp;tblControles[[#This Row],[Turno]]</f>
        <v>46276|PURGA TKS AIRE|TK-MG-004|3er Turno</v>
      </c>
      <c r="C945" s="871">
        <v>46276</v>
      </c>
      <c r="D945" t="s">
        <v>9433</v>
      </c>
      <c r="E945" t="s">
        <v>349</v>
      </c>
      <c r="F945" t="s">
        <v>9437</v>
      </c>
      <c r="G945" t="s">
        <v>3227</v>
      </c>
      <c r="H945" t="s">
        <v>9333</v>
      </c>
      <c r="I945" s="871">
        <v>46293.93683766204</v>
      </c>
      <c r="J945" t="s">
        <v>9530</v>
      </c>
      <c r="K945" s="975" t="str">
        <f>IF(COUNTIFS(tblControles[Clave],tblControles[[#This Row],[Clave]])&gt;1,"Duplicado","")</f>
        <v/>
      </c>
    </row>
    <row r="946" spans="2:11">
      <c r="B946" s="975" t="str">
        <f>tblControles[[#This Row],[Fecha]]&amp;"|"&amp;tblControles[[#This Row],[Módulo]]&amp;"|"&amp;tblControles[[#This Row],[Ítem]]&amp;"|"&amp;tblControles[[#This Row],[Turno]]</f>
        <v>46276|PURGA TKS AIRE|TK-MG-008|2do Turno</v>
      </c>
      <c r="C946" s="871">
        <v>46276</v>
      </c>
      <c r="D946" t="s">
        <v>9433</v>
      </c>
      <c r="E946" t="s">
        <v>351</v>
      </c>
      <c r="F946" t="s">
        <v>9436</v>
      </c>
      <c r="G946" t="s">
        <v>3227</v>
      </c>
      <c r="H946" t="s">
        <v>9333</v>
      </c>
      <c r="I946" s="871">
        <v>46293.93683766204</v>
      </c>
      <c r="J946" t="s">
        <v>9530</v>
      </c>
      <c r="K946" s="975" t="str">
        <f>IF(COUNTIFS(tblControles[Clave],tblControles[[#This Row],[Clave]])&gt;1,"Duplicado","")</f>
        <v/>
      </c>
    </row>
    <row r="947" spans="2:11">
      <c r="B947" s="975" t="str">
        <f>tblControles[[#This Row],[Fecha]]&amp;"|"&amp;tblControles[[#This Row],[Módulo]]&amp;"|"&amp;tblControles[[#This Row],[Ítem]]&amp;"|"&amp;tblControles[[#This Row],[Turno]]</f>
        <v>46276|PURGA TKS AIRE|TK-MG-008|3er Turno</v>
      </c>
      <c r="C947" s="871">
        <v>46276</v>
      </c>
      <c r="D947" t="s">
        <v>9433</v>
      </c>
      <c r="E947" t="s">
        <v>351</v>
      </c>
      <c r="F947" t="s">
        <v>9437</v>
      </c>
      <c r="G947" t="s">
        <v>3227</v>
      </c>
      <c r="H947" t="s">
        <v>9333</v>
      </c>
      <c r="I947" s="871">
        <v>46293.93683766204</v>
      </c>
      <c r="J947" t="s">
        <v>9530</v>
      </c>
      <c r="K947" s="975" t="str">
        <f>IF(COUNTIFS(tblControles[Clave],tblControles[[#This Row],[Clave]])&gt;1,"Duplicado","")</f>
        <v/>
      </c>
    </row>
    <row r="948" spans="2:11">
      <c r="B948" s="975" t="str">
        <f>tblControles[[#This Row],[Fecha]]&amp;"|"&amp;tblControles[[#This Row],[Módulo]]&amp;"|"&amp;tblControles[[#This Row],[Ítem]]&amp;"|"&amp;tblControles[[#This Row],[Turno]]</f>
        <v>46276|PURGA TKS AIRE|TK-MG-009|2do Turno</v>
      </c>
      <c r="C948" s="871">
        <v>46276</v>
      </c>
      <c r="D948" t="s">
        <v>9433</v>
      </c>
      <c r="E948" t="s">
        <v>353</v>
      </c>
      <c r="F948" t="s">
        <v>9436</v>
      </c>
      <c r="G948" t="s">
        <v>3227</v>
      </c>
      <c r="H948" t="s">
        <v>9333</v>
      </c>
      <c r="I948" s="871">
        <v>46293.93683766204</v>
      </c>
      <c r="J948" t="s">
        <v>9530</v>
      </c>
      <c r="K948" s="975" t="str">
        <f>IF(COUNTIFS(tblControles[Clave],tblControles[[#This Row],[Clave]])&gt;1,"Duplicado","")</f>
        <v/>
      </c>
    </row>
    <row r="949" spans="2:11">
      <c r="B949" s="975" t="str">
        <f>tblControles[[#This Row],[Fecha]]&amp;"|"&amp;tblControles[[#This Row],[Módulo]]&amp;"|"&amp;tblControles[[#This Row],[Ítem]]&amp;"|"&amp;tblControles[[#This Row],[Turno]]</f>
        <v>46276|PURGA TKS AIRE|TK-MG-009|3er Turno</v>
      </c>
      <c r="C949" s="871">
        <v>46276</v>
      </c>
      <c r="D949" t="s">
        <v>9433</v>
      </c>
      <c r="E949" t="s">
        <v>353</v>
      </c>
      <c r="F949" t="s">
        <v>9437</v>
      </c>
      <c r="G949" t="s">
        <v>3227</v>
      </c>
      <c r="H949" t="s">
        <v>9333</v>
      </c>
      <c r="I949" s="871">
        <v>46293.93683766204</v>
      </c>
      <c r="J949" t="s">
        <v>9530</v>
      </c>
      <c r="K949" s="975" t="str">
        <f>IF(COUNTIFS(tblControles[Clave],tblControles[[#This Row],[Clave]])&gt;1,"Duplicado","")</f>
        <v/>
      </c>
    </row>
    <row r="950" spans="2:11">
      <c r="B950" s="975" t="str">
        <f>tblControles[[#This Row],[Fecha]]&amp;"|"&amp;tblControles[[#This Row],[Módulo]]&amp;"|"&amp;tblControles[[#This Row],[Ítem]]&amp;"|"&amp;tblControles[[#This Row],[Turno]]</f>
        <v>46276|PURGA TKS AIRE|TK-MG-010|2do Turno</v>
      </c>
      <c r="C950" s="871">
        <v>46276</v>
      </c>
      <c r="D950" t="s">
        <v>9433</v>
      </c>
      <c r="E950" t="s">
        <v>355</v>
      </c>
      <c r="F950" t="s">
        <v>9436</v>
      </c>
      <c r="G950" t="s">
        <v>3227</v>
      </c>
      <c r="H950" t="s">
        <v>9333</v>
      </c>
      <c r="I950" s="871">
        <v>46293.93683766204</v>
      </c>
      <c r="J950" t="s">
        <v>9530</v>
      </c>
      <c r="K950" s="975" t="str">
        <f>IF(COUNTIFS(tblControles[Clave],tblControles[[#This Row],[Clave]])&gt;1,"Duplicado","")</f>
        <v/>
      </c>
    </row>
    <row r="951" spans="2:11">
      <c r="B951" s="975" t="str">
        <f>tblControles[[#This Row],[Fecha]]&amp;"|"&amp;tblControles[[#This Row],[Módulo]]&amp;"|"&amp;tblControles[[#This Row],[Ítem]]&amp;"|"&amp;tblControles[[#This Row],[Turno]]</f>
        <v>46276|PURGA TKS AIRE|TK-MG-010|3er Turno</v>
      </c>
      <c r="C951" s="871">
        <v>46276</v>
      </c>
      <c r="D951" t="s">
        <v>9433</v>
      </c>
      <c r="E951" t="s">
        <v>355</v>
      </c>
      <c r="F951" t="s">
        <v>9437</v>
      </c>
      <c r="G951" t="s">
        <v>3227</v>
      </c>
      <c r="H951" t="s">
        <v>9333</v>
      </c>
      <c r="I951" s="871">
        <v>46293.93683766204</v>
      </c>
      <c r="J951" t="s">
        <v>9530</v>
      </c>
      <c r="K951" s="975" t="str">
        <f>IF(COUNTIFS(tblControles[Clave],tblControles[[#This Row],[Clave]])&gt;1,"Duplicado","")</f>
        <v/>
      </c>
    </row>
    <row r="952" spans="2:11">
      <c r="B952" s="975" t="str">
        <f>tblControles[[#This Row],[Fecha]]&amp;"|"&amp;tblControles[[#This Row],[Módulo]]&amp;"|"&amp;tblControles[[#This Row],[Ítem]]&amp;"|"&amp;tblControles[[#This Row],[Turno]]</f>
        <v>46276|PURGA TKS AIRE|TK-MG-011|2do Turno</v>
      </c>
      <c r="C952" s="871">
        <v>46276</v>
      </c>
      <c r="D952" t="s">
        <v>9433</v>
      </c>
      <c r="E952" t="s">
        <v>357</v>
      </c>
      <c r="F952" t="s">
        <v>9436</v>
      </c>
      <c r="G952" t="s">
        <v>3227</v>
      </c>
      <c r="H952" t="s">
        <v>9333</v>
      </c>
      <c r="I952" s="871">
        <v>46293.93683766204</v>
      </c>
      <c r="J952" t="s">
        <v>9530</v>
      </c>
      <c r="K952" s="975" t="str">
        <f>IF(COUNTIFS(tblControles[Clave],tblControles[[#This Row],[Clave]])&gt;1,"Duplicado","")</f>
        <v/>
      </c>
    </row>
    <row r="953" spans="2:11">
      <c r="B953" s="975" t="str">
        <f>tblControles[[#This Row],[Fecha]]&amp;"|"&amp;tblControles[[#This Row],[Módulo]]&amp;"|"&amp;tblControles[[#This Row],[Ítem]]&amp;"|"&amp;tblControles[[#This Row],[Turno]]</f>
        <v>46276|PURGA TKS AIRE|TK-MG-011|3er Turno</v>
      </c>
      <c r="C953" s="871">
        <v>46276</v>
      </c>
      <c r="D953" t="s">
        <v>9433</v>
      </c>
      <c r="E953" t="s">
        <v>357</v>
      </c>
      <c r="F953" t="s">
        <v>9437</v>
      </c>
      <c r="G953" t="s">
        <v>3227</v>
      </c>
      <c r="H953" t="s">
        <v>9333</v>
      </c>
      <c r="I953" s="871">
        <v>46293.93683766204</v>
      </c>
      <c r="J953" t="s">
        <v>9530</v>
      </c>
      <c r="K953" s="975" t="str">
        <f>IF(COUNTIFS(tblControles[Clave],tblControles[[#This Row],[Clave]])&gt;1,"Duplicado","")</f>
        <v/>
      </c>
    </row>
    <row r="954" spans="2:11">
      <c r="B954" s="975" t="str">
        <f>tblControles[[#This Row],[Fecha]]&amp;"|"&amp;tblControles[[#This Row],[Módulo]]&amp;"|"&amp;tblControles[[#This Row],[Ítem]]&amp;"|"&amp;tblControles[[#This Row],[Turno]]</f>
        <v>46276|PURGA TKS AIRE|TK-MG-012|2do Turno</v>
      </c>
      <c r="C954" s="871">
        <v>46276</v>
      </c>
      <c r="D954" t="s">
        <v>9433</v>
      </c>
      <c r="E954" t="s">
        <v>359</v>
      </c>
      <c r="F954" t="s">
        <v>9436</v>
      </c>
      <c r="G954" t="s">
        <v>3227</v>
      </c>
      <c r="H954" t="s">
        <v>9333</v>
      </c>
      <c r="I954" s="871">
        <v>46293.93683766204</v>
      </c>
      <c r="J954" t="s">
        <v>9530</v>
      </c>
      <c r="K954" s="975" t="str">
        <f>IF(COUNTIFS(tblControles[Clave],tblControles[[#This Row],[Clave]])&gt;1,"Duplicado","")</f>
        <v/>
      </c>
    </row>
    <row r="955" spans="2:11">
      <c r="B955" s="975" t="str">
        <f>tblControles[[#This Row],[Fecha]]&amp;"|"&amp;tblControles[[#This Row],[Módulo]]&amp;"|"&amp;tblControles[[#This Row],[Ítem]]&amp;"|"&amp;tblControles[[#This Row],[Turno]]</f>
        <v>46276|PURGA TKS AIRE|TK-MG-012|3er Turno</v>
      </c>
      <c r="C955" s="871">
        <v>46276</v>
      </c>
      <c r="D955" t="s">
        <v>9433</v>
      </c>
      <c r="E955" t="s">
        <v>359</v>
      </c>
      <c r="F955" t="s">
        <v>9437</v>
      </c>
      <c r="G955" t="s">
        <v>3227</v>
      </c>
      <c r="H955" t="s">
        <v>9333</v>
      </c>
      <c r="I955" s="871">
        <v>46293.93683766204</v>
      </c>
      <c r="J955" t="s">
        <v>9530</v>
      </c>
      <c r="K955" s="975" t="str">
        <f>IF(COUNTIFS(tblControles[Clave],tblControles[[#This Row],[Clave]])&gt;1,"Duplicado","")</f>
        <v/>
      </c>
    </row>
    <row r="956" spans="2:11">
      <c r="B956" s="975" t="str">
        <f>tblControles[[#This Row],[Fecha]]&amp;"|"&amp;tblControles[[#This Row],[Módulo]]&amp;"|"&amp;tblControles[[#This Row],[Ítem]]&amp;"|"&amp;tblControles[[#This Row],[Turno]]</f>
        <v>46276|PURGA TKS AIRE|TK-MG-013|2do Turno</v>
      </c>
      <c r="C956" s="871">
        <v>46276</v>
      </c>
      <c r="D956" t="s">
        <v>9433</v>
      </c>
      <c r="E956" t="s">
        <v>361</v>
      </c>
      <c r="F956" t="s">
        <v>9436</v>
      </c>
      <c r="G956" t="s">
        <v>3227</v>
      </c>
      <c r="H956" t="s">
        <v>9333</v>
      </c>
      <c r="I956" s="871">
        <v>46293.93683766204</v>
      </c>
      <c r="J956" t="s">
        <v>9530</v>
      </c>
      <c r="K956" s="975" t="str">
        <f>IF(COUNTIFS(tblControles[Clave],tblControles[[#This Row],[Clave]])&gt;1,"Duplicado","")</f>
        <v/>
      </c>
    </row>
    <row r="957" spans="2:11">
      <c r="B957" s="975" t="str">
        <f>tblControles[[#This Row],[Fecha]]&amp;"|"&amp;tblControles[[#This Row],[Módulo]]&amp;"|"&amp;tblControles[[#This Row],[Ítem]]&amp;"|"&amp;tblControles[[#This Row],[Turno]]</f>
        <v>46276|PURGA TKS AIRE|TK-MG-013|3er Turno</v>
      </c>
      <c r="C957" s="871">
        <v>46276</v>
      </c>
      <c r="D957" t="s">
        <v>9433</v>
      </c>
      <c r="E957" t="s">
        <v>361</v>
      </c>
      <c r="F957" t="s">
        <v>9437</v>
      </c>
      <c r="G957" t="s">
        <v>3227</v>
      </c>
      <c r="H957" t="s">
        <v>9333</v>
      </c>
      <c r="I957" s="871">
        <v>46293.93683766204</v>
      </c>
      <c r="J957" t="s">
        <v>9530</v>
      </c>
      <c r="K957" s="975" t="str">
        <f>IF(COUNTIFS(tblControles[Clave],tblControles[[#This Row],[Clave]])&gt;1,"Duplicado","")</f>
        <v/>
      </c>
    </row>
    <row r="958" spans="2:11">
      <c r="B958" s="975" t="str">
        <f>tblControles[[#This Row],[Fecha]]&amp;"|"&amp;tblControles[[#This Row],[Módulo]]&amp;"|"&amp;tblControles[[#This Row],[Ítem]]&amp;"|"&amp;tblControles[[#This Row],[Turno]]</f>
        <v>46276|PURGA TKS AIRE|TK-MG-014|2do Turno</v>
      </c>
      <c r="C958" s="871">
        <v>46276</v>
      </c>
      <c r="D958" t="s">
        <v>9433</v>
      </c>
      <c r="E958" t="s">
        <v>363</v>
      </c>
      <c r="F958" t="s">
        <v>9436</v>
      </c>
      <c r="G958" t="s">
        <v>3227</v>
      </c>
      <c r="H958" t="s">
        <v>9333</v>
      </c>
      <c r="I958" s="871">
        <v>46293.93683766204</v>
      </c>
      <c r="J958" t="s">
        <v>9530</v>
      </c>
      <c r="K958" s="975" t="str">
        <f>IF(COUNTIFS(tblControles[Clave],tblControles[[#This Row],[Clave]])&gt;1,"Duplicado","")</f>
        <v/>
      </c>
    </row>
    <row r="959" spans="2:11">
      <c r="B959" s="975" t="str">
        <f>tblControles[[#This Row],[Fecha]]&amp;"|"&amp;tblControles[[#This Row],[Módulo]]&amp;"|"&amp;tblControles[[#This Row],[Ítem]]&amp;"|"&amp;tblControles[[#This Row],[Turno]]</f>
        <v>46276|PURGA TKS AIRE|TK-MG-014|3er Turno</v>
      </c>
      <c r="C959" s="871">
        <v>46276</v>
      </c>
      <c r="D959" t="s">
        <v>9433</v>
      </c>
      <c r="E959" t="s">
        <v>363</v>
      </c>
      <c r="F959" t="s">
        <v>9437</v>
      </c>
      <c r="G959" t="s">
        <v>3227</v>
      </c>
      <c r="H959" t="s">
        <v>9333</v>
      </c>
      <c r="I959" s="871">
        <v>46293.93683766204</v>
      </c>
      <c r="J959" t="s">
        <v>9530</v>
      </c>
      <c r="K959" s="975" t="str">
        <f>IF(COUNTIFS(tblControles[Clave],tblControles[[#This Row],[Clave]])&gt;1,"Duplicado","")</f>
        <v/>
      </c>
    </row>
    <row r="960" spans="2:11">
      <c r="B960" s="975" t="str">
        <f>tblControles[[#This Row],[Fecha]]&amp;"|"&amp;tblControles[[#This Row],[Módulo]]&amp;"|"&amp;tblControles[[#This Row],[Ítem]]&amp;"|"&amp;tblControles[[#This Row],[Turno]]</f>
        <v>46276|REACTIVOS|Ácido oxálico|Turno día (12 h)</v>
      </c>
      <c r="C960" s="871">
        <v>46276</v>
      </c>
      <c r="D960" t="s">
        <v>9444</v>
      </c>
      <c r="E960" t="s">
        <v>9508</v>
      </c>
      <c r="F960" t="s">
        <v>9446</v>
      </c>
      <c r="G960">
        <v>18000</v>
      </c>
      <c r="H960" t="s">
        <v>9333</v>
      </c>
      <c r="I960" s="871">
        <v>46293.93683766204</v>
      </c>
      <c r="J960" t="s">
        <v>9527</v>
      </c>
      <c r="K960" s="975" t="str">
        <f>IF(COUNTIFS(tblControles[Clave],tblControles[[#This Row],[Clave]])&gt;1,"Duplicado","")</f>
        <v/>
      </c>
    </row>
    <row r="961" spans="2:11">
      <c r="B961" s="975" t="str">
        <f>tblControles[[#This Row],[Fecha]]&amp;"|"&amp;tblControles[[#This Row],[Módulo]]&amp;"|"&amp;tblControles[[#This Row],[Ítem]]&amp;"|"&amp;tblControles[[#This Row],[Turno]]</f>
        <v>46276|REACTIVOS|Ácido oxálico|Turno noche (12 h)</v>
      </c>
      <c r="C961" s="871">
        <v>46276</v>
      </c>
      <c r="D961" t="s">
        <v>9444</v>
      </c>
      <c r="E961" t="s">
        <v>9508</v>
      </c>
      <c r="F961" t="s">
        <v>9447</v>
      </c>
      <c r="G961">
        <v>18000</v>
      </c>
      <c r="H961" t="s">
        <v>9333</v>
      </c>
      <c r="I961" s="871">
        <v>46293.93683766204</v>
      </c>
      <c r="J961" t="s">
        <v>9527</v>
      </c>
      <c r="K961" s="975" t="str">
        <f>IF(COUNTIFS(tblControles[Clave],tblControles[[#This Row],[Clave]])&gt;1,"Duplicado","")</f>
        <v/>
      </c>
    </row>
    <row r="962" spans="2:11">
      <c r="B962" s="975" t="str">
        <f>tblControles[[#This Row],[Fecha]]&amp;"|"&amp;tblControles[[#This Row],[Módulo]]&amp;"|"&amp;tblControles[[#This Row],[Ítem]]&amp;"|"&amp;tblControles[[#This Row],[Turno]]</f>
        <v>46276|REACTIVOS|Xantato|Turno día (12 h)</v>
      </c>
      <c r="C962" s="871">
        <v>46276</v>
      </c>
      <c r="D962" t="s">
        <v>9444</v>
      </c>
      <c r="E962" t="s">
        <v>9511</v>
      </c>
      <c r="F962" t="s">
        <v>9446</v>
      </c>
      <c r="G962">
        <v>3500</v>
      </c>
      <c r="H962" t="s">
        <v>9333</v>
      </c>
      <c r="I962" s="871">
        <v>46293.93683766204</v>
      </c>
      <c r="J962" t="s">
        <v>9527</v>
      </c>
      <c r="K962" s="975" t="str">
        <f>IF(COUNTIFS(tblControles[Clave],tblControles[[#This Row],[Clave]])&gt;1,"Duplicado","")</f>
        <v/>
      </c>
    </row>
    <row r="963" spans="2:11">
      <c r="B963" s="975" t="str">
        <f>tblControles[[#This Row],[Fecha]]&amp;"|"&amp;tblControles[[#This Row],[Módulo]]&amp;"|"&amp;tblControles[[#This Row],[Ítem]]&amp;"|"&amp;tblControles[[#This Row],[Turno]]</f>
        <v>46276|REACTIVOS|Xantato|Turno noche (12 h)</v>
      </c>
      <c r="C963" s="871">
        <v>46276</v>
      </c>
      <c r="D963" t="s">
        <v>9444</v>
      </c>
      <c r="E963" t="s">
        <v>9511</v>
      </c>
      <c r="F963" t="s">
        <v>9447</v>
      </c>
      <c r="G963">
        <v>3150</v>
      </c>
      <c r="H963" t="s">
        <v>9333</v>
      </c>
      <c r="I963" s="871">
        <v>46293.93683766204</v>
      </c>
      <c r="J963" t="s">
        <v>9527</v>
      </c>
      <c r="K963" s="975" t="str">
        <f>IF(COUNTIFS(tblControles[Clave],tblControles[[#This Row],[Clave]])&gt;1,"Duplicado","")</f>
        <v/>
      </c>
    </row>
    <row r="964" spans="2:11">
      <c r="B964" s="975" t="str">
        <f>tblControles[[#This Row],[Fecha]]&amp;"|"&amp;tblControles[[#This Row],[Módulo]]&amp;"|"&amp;tblControles[[#This Row],[Ítem]]&amp;"|"&amp;tblControles[[#This Row],[Turno]]</f>
        <v>46276|REACTIVOS|Espumante|Consumo día</v>
      </c>
      <c r="C964" s="871">
        <v>46276</v>
      </c>
      <c r="D964" t="s">
        <v>9444</v>
      </c>
      <c r="E964" t="s">
        <v>9513</v>
      </c>
      <c r="F964" t="s">
        <v>9870</v>
      </c>
      <c r="G964">
        <v>2000</v>
      </c>
      <c r="H964" t="s">
        <v>9333</v>
      </c>
      <c r="I964" s="871">
        <v>46293.93683766204</v>
      </c>
      <c r="J964" t="s">
        <v>9527</v>
      </c>
      <c r="K964" s="975" t="str">
        <f>IF(COUNTIFS(tblControles[Clave],tblControles[[#This Row],[Clave]])&gt;1,"Duplicado","")</f>
        <v/>
      </c>
    </row>
    <row r="965" spans="2:11">
      <c r="B965" s="975" t="str">
        <f>tblControles[[#This Row],[Fecha]]&amp;"|"&amp;tblControles[[#This Row],[Módulo]]&amp;"|"&amp;tblControles[[#This Row],[Ítem]]&amp;"|"&amp;tblControles[[#This Row],[Turno]]</f>
        <v>46276|TONELADAS X TURNO|Molino barras 1|1° turno</v>
      </c>
      <c r="C965" s="871">
        <v>46276</v>
      </c>
      <c r="D965" t="s">
        <v>9449</v>
      </c>
      <c r="E965" t="s">
        <v>387</v>
      </c>
      <c r="F965" t="s">
        <v>396</v>
      </c>
      <c r="G965">
        <v>1813</v>
      </c>
      <c r="H965" t="s">
        <v>9333</v>
      </c>
      <c r="I965" s="871">
        <v>46293.93683766204</v>
      </c>
      <c r="J965" t="s">
        <v>9528</v>
      </c>
      <c r="K965" s="975" t="str">
        <f>IF(COUNTIFS(tblControles[Clave],tblControles[[#This Row],[Clave]])&gt;1,"Duplicado","")</f>
        <v/>
      </c>
    </row>
    <row r="966" spans="2:11">
      <c r="B966" s="975" t="str">
        <f>tblControles[[#This Row],[Fecha]]&amp;"|"&amp;tblControles[[#This Row],[Módulo]]&amp;"|"&amp;tblControles[[#This Row],[Ítem]]&amp;"|"&amp;tblControles[[#This Row],[Turno]]</f>
        <v>46276|TONELADAS X TURNO|Molino barras 1|2° turno</v>
      </c>
      <c r="C966" s="871">
        <v>46276</v>
      </c>
      <c r="D966" t="s">
        <v>9449</v>
      </c>
      <c r="E966" t="s">
        <v>387</v>
      </c>
      <c r="F966" t="s">
        <v>397</v>
      </c>
      <c r="G966">
        <v>1671</v>
      </c>
      <c r="H966" t="s">
        <v>9333</v>
      </c>
      <c r="I966" s="871">
        <v>46293.93683766204</v>
      </c>
      <c r="J966" t="s">
        <v>9528</v>
      </c>
      <c r="K966" s="975" t="str">
        <f>IF(COUNTIFS(tblControles[Clave],tblControles[[#This Row],[Clave]])&gt;1,"Duplicado","")</f>
        <v/>
      </c>
    </row>
    <row r="967" spans="2:11">
      <c r="B967" s="975" t="str">
        <f>tblControles[[#This Row],[Fecha]]&amp;"|"&amp;tblControles[[#This Row],[Módulo]]&amp;"|"&amp;tblControles[[#This Row],[Ítem]]&amp;"|"&amp;tblControles[[#This Row],[Turno]]</f>
        <v>46276|TONELADAS X TURNO|Molino barras 1|3° turno</v>
      </c>
      <c r="C967" s="871">
        <v>46276</v>
      </c>
      <c r="D967" t="s">
        <v>9449</v>
      </c>
      <c r="E967" t="s">
        <v>387</v>
      </c>
      <c r="F967" t="s">
        <v>398</v>
      </c>
      <c r="G967">
        <v>1429</v>
      </c>
      <c r="H967" t="s">
        <v>9333</v>
      </c>
      <c r="I967" s="871">
        <v>46293.93683766204</v>
      </c>
      <c r="J967" t="s">
        <v>9528</v>
      </c>
      <c r="K967" s="975" t="str">
        <f>IF(COUNTIFS(tblControles[Clave],tblControles[[#This Row],[Clave]])&gt;1,"Duplicado","")</f>
        <v/>
      </c>
    </row>
    <row r="968" spans="2:11">
      <c r="B968" s="975" t="str">
        <f>tblControles[[#This Row],[Fecha]]&amp;"|"&amp;tblControles[[#This Row],[Módulo]]&amp;"|"&amp;tblControles[[#This Row],[Ítem]]&amp;"|"&amp;tblControles[[#This Row],[Turno]]</f>
        <v>46276|TONELADAS X TURNO|Molino barras 2|1° turno</v>
      </c>
      <c r="C968" s="871">
        <v>46276</v>
      </c>
      <c r="D968" t="s">
        <v>9449</v>
      </c>
      <c r="E968" t="s">
        <v>388</v>
      </c>
      <c r="F968" t="s">
        <v>396</v>
      </c>
      <c r="G968">
        <v>1656</v>
      </c>
      <c r="H968" t="s">
        <v>9333</v>
      </c>
      <c r="I968" s="871">
        <v>46293.93683766204</v>
      </c>
      <c r="J968" t="s">
        <v>9528</v>
      </c>
      <c r="K968" s="975" t="str">
        <f>IF(COUNTIFS(tblControles[Clave],tblControles[[#This Row],[Clave]])&gt;1,"Duplicado","")</f>
        <v/>
      </c>
    </row>
    <row r="969" spans="2:11">
      <c r="B969" s="975" t="str">
        <f>tblControles[[#This Row],[Fecha]]&amp;"|"&amp;tblControles[[#This Row],[Módulo]]&amp;"|"&amp;tblControles[[#This Row],[Ítem]]&amp;"|"&amp;tblControles[[#This Row],[Turno]]</f>
        <v>46276|TONELADAS X TURNO|Molino barras 2|2° turno</v>
      </c>
      <c r="C969" s="871">
        <v>46276</v>
      </c>
      <c r="D969" t="s">
        <v>9449</v>
      </c>
      <c r="E969" t="s">
        <v>388</v>
      </c>
      <c r="F969" t="s">
        <v>397</v>
      </c>
      <c r="G969">
        <v>1427</v>
      </c>
      <c r="H969" t="s">
        <v>9333</v>
      </c>
      <c r="I969" s="871">
        <v>46293.93683766204</v>
      </c>
      <c r="J969" t="s">
        <v>9528</v>
      </c>
      <c r="K969" s="975" t="str">
        <f>IF(COUNTIFS(tblControles[Clave],tblControles[[#This Row],[Clave]])&gt;1,"Duplicado","")</f>
        <v/>
      </c>
    </row>
    <row r="970" spans="2:11">
      <c r="B970" s="975" t="str">
        <f>tblControles[[#This Row],[Fecha]]&amp;"|"&amp;tblControles[[#This Row],[Módulo]]&amp;"|"&amp;tblControles[[#This Row],[Ítem]]&amp;"|"&amp;tblControles[[#This Row],[Turno]]</f>
        <v>46276|TONELADAS X TURNO|Molino barras 2|3° turno</v>
      </c>
      <c r="C970" s="871">
        <v>46276</v>
      </c>
      <c r="D970" t="s">
        <v>9449</v>
      </c>
      <c r="E970" t="s">
        <v>388</v>
      </c>
      <c r="F970" t="s">
        <v>398</v>
      </c>
      <c r="G970">
        <v>1397</v>
      </c>
      <c r="H970" t="s">
        <v>9333</v>
      </c>
      <c r="I970" s="871">
        <v>46293.93683766204</v>
      </c>
      <c r="J970" t="s">
        <v>9528</v>
      </c>
      <c r="K970" s="975" t="str">
        <f>IF(COUNTIFS(tblControles[Clave],tblControles[[#This Row],[Clave]])&gt;1,"Duplicado","")</f>
        <v/>
      </c>
    </row>
    <row r="971" spans="2:11">
      <c r="B971" s="975" t="str">
        <f>tblControles[[#This Row],[Fecha]]&amp;"|"&amp;tblControles[[#This Row],[Módulo]]&amp;"|"&amp;tblControles[[#This Row],[Ítem]]&amp;"|"&amp;tblControles[[#This Row],[Turno]]</f>
        <v>46276|TONELADAS X TURNO|Molino barras 3|1° turno</v>
      </c>
      <c r="C971" s="871">
        <v>46276</v>
      </c>
      <c r="D971" t="s">
        <v>9449</v>
      </c>
      <c r="E971" t="s">
        <v>389</v>
      </c>
      <c r="F971" t="s">
        <v>396</v>
      </c>
      <c r="G971">
        <v>1695</v>
      </c>
      <c r="H971" t="s">
        <v>9333</v>
      </c>
      <c r="I971" s="871">
        <v>46293.93683766204</v>
      </c>
      <c r="J971" t="s">
        <v>9528</v>
      </c>
      <c r="K971" s="975" t="str">
        <f>IF(COUNTIFS(tblControles[Clave],tblControles[[#This Row],[Clave]])&gt;1,"Duplicado","")</f>
        <v/>
      </c>
    </row>
    <row r="972" spans="2:11">
      <c r="B972" s="975" t="str">
        <f>tblControles[[#This Row],[Fecha]]&amp;"|"&amp;tblControles[[#This Row],[Módulo]]&amp;"|"&amp;tblControles[[#This Row],[Ítem]]&amp;"|"&amp;tblControles[[#This Row],[Turno]]</f>
        <v>46276|TONELADAS X TURNO|Molino barras 3|2° turno</v>
      </c>
      <c r="C972" s="871">
        <v>46276</v>
      </c>
      <c r="D972" t="s">
        <v>9449</v>
      </c>
      <c r="E972" t="s">
        <v>389</v>
      </c>
      <c r="F972" t="s">
        <v>397</v>
      </c>
      <c r="G972">
        <v>1553</v>
      </c>
      <c r="H972" t="s">
        <v>9333</v>
      </c>
      <c r="I972" s="871">
        <v>46293.93683766204</v>
      </c>
      <c r="J972" t="s">
        <v>9528</v>
      </c>
      <c r="K972" s="975" t="str">
        <f>IF(COUNTIFS(tblControles[Clave],tblControles[[#This Row],[Clave]])&gt;1,"Duplicado","")</f>
        <v/>
      </c>
    </row>
    <row r="973" spans="2:11">
      <c r="B973" s="975" t="str">
        <f>tblControles[[#This Row],[Fecha]]&amp;"|"&amp;tblControles[[#This Row],[Módulo]]&amp;"|"&amp;tblControles[[#This Row],[Ítem]]&amp;"|"&amp;tblControles[[#This Row],[Turno]]</f>
        <v>46276|TONELADAS X TURNO|Molino barras 3|3° turno</v>
      </c>
      <c r="C973" s="871">
        <v>46276</v>
      </c>
      <c r="D973" t="s">
        <v>9449</v>
      </c>
      <c r="E973" t="s">
        <v>389</v>
      </c>
      <c r="F973" t="s">
        <v>398</v>
      </c>
      <c r="G973">
        <v>1352</v>
      </c>
      <c r="H973" t="s">
        <v>9333</v>
      </c>
      <c r="I973" s="871">
        <v>46293.93683766204</v>
      </c>
      <c r="J973" t="s">
        <v>9528</v>
      </c>
      <c r="K973" s="975" t="str">
        <f>IF(COUNTIFS(tblControles[Clave],tblControles[[#This Row],[Clave]])&gt;1,"Duplicado","")</f>
        <v/>
      </c>
    </row>
    <row r="974" spans="2:11">
      <c r="B974" s="975" t="str">
        <f>tblControles[[#This Row],[Fecha]]&amp;"|"&amp;tblControles[[#This Row],[Módulo]]&amp;"|"&amp;tblControles[[#This Row],[Ítem]]&amp;"|"&amp;tblControles[[#This Row],[Turno]]</f>
        <v>46276|TONELADAS X TURNO|Molino barras 4|1° turno</v>
      </c>
      <c r="C974" s="871">
        <v>46276</v>
      </c>
      <c r="D974" t="s">
        <v>9449</v>
      </c>
      <c r="E974" t="s">
        <v>390</v>
      </c>
      <c r="F974" t="s">
        <v>396</v>
      </c>
      <c r="G974">
        <v>457</v>
      </c>
      <c r="H974" t="s">
        <v>9333</v>
      </c>
      <c r="I974" s="871">
        <v>46293.93683766204</v>
      </c>
      <c r="J974" t="s">
        <v>9528</v>
      </c>
      <c r="K974" s="975" t="str">
        <f>IF(COUNTIFS(tblControles[Clave],tblControles[[#This Row],[Clave]])&gt;1,"Duplicado","")</f>
        <v/>
      </c>
    </row>
    <row r="975" spans="2:11">
      <c r="B975" s="975" t="str">
        <f>tblControles[[#This Row],[Fecha]]&amp;"|"&amp;tblControles[[#This Row],[Módulo]]&amp;"|"&amp;tblControles[[#This Row],[Ítem]]&amp;"|"&amp;tblControles[[#This Row],[Turno]]</f>
        <v>46276|TONELADAS X TURNO|Molino barras 4|2° turno</v>
      </c>
      <c r="C975" s="871">
        <v>46276</v>
      </c>
      <c r="D975" t="s">
        <v>9449</v>
      </c>
      <c r="E975" t="s">
        <v>390</v>
      </c>
      <c r="F975" t="s">
        <v>397</v>
      </c>
      <c r="G975">
        <v>0</v>
      </c>
      <c r="H975" t="s">
        <v>9333</v>
      </c>
      <c r="I975" s="871">
        <v>46293.93683766204</v>
      </c>
      <c r="J975" t="s">
        <v>9528</v>
      </c>
      <c r="K975" s="975" t="str">
        <f>IF(COUNTIFS(tblControles[Clave],tblControles[[#This Row],[Clave]])&gt;1,"Duplicado","")</f>
        <v/>
      </c>
    </row>
    <row r="976" spans="2:11">
      <c r="B976" s="975" t="str">
        <f>tblControles[[#This Row],[Fecha]]&amp;"|"&amp;tblControles[[#This Row],[Módulo]]&amp;"|"&amp;tblControles[[#This Row],[Ítem]]&amp;"|"&amp;tblControles[[#This Row],[Turno]]</f>
        <v>46276|TONELADAS X TURNO|Molino barras 4|3° turno</v>
      </c>
      <c r="C976" s="871">
        <v>46276</v>
      </c>
      <c r="D976" t="s">
        <v>9449</v>
      </c>
      <c r="E976" t="s">
        <v>390</v>
      </c>
      <c r="F976" t="s">
        <v>398</v>
      </c>
      <c r="G976">
        <v>0</v>
      </c>
      <c r="H976" t="s">
        <v>9333</v>
      </c>
      <c r="I976" s="871">
        <v>46293.93683766204</v>
      </c>
      <c r="J976" t="s">
        <v>9528</v>
      </c>
      <c r="K976" s="975" t="str">
        <f>IF(COUNTIFS(tblControles[Clave],tblControles[[#This Row],[Clave]])&gt;1,"Duplicado","")</f>
        <v/>
      </c>
    </row>
    <row r="977" spans="2:11">
      <c r="B977" s="975" t="str">
        <f>tblControles[[#This Row],[Fecha]]&amp;"|"&amp;tblControles[[#This Row],[Módulo]]&amp;"|"&amp;tblControles[[#This Row],[Ítem]]&amp;"|"&amp;tblControles[[#This Row],[Turno]]</f>
        <v>46276|TONELADAS X TURNO|Molino barras 5|1° turno</v>
      </c>
      <c r="C977" s="871">
        <v>46276</v>
      </c>
      <c r="D977" t="s">
        <v>9449</v>
      </c>
      <c r="E977" t="s">
        <v>391</v>
      </c>
      <c r="F977" t="s">
        <v>396</v>
      </c>
      <c r="G977">
        <v>1501</v>
      </c>
      <c r="H977" t="s">
        <v>9333</v>
      </c>
      <c r="I977" s="871">
        <v>46293.93683766204</v>
      </c>
      <c r="J977" t="s">
        <v>9528</v>
      </c>
      <c r="K977" s="975" t="str">
        <f>IF(COUNTIFS(tblControles[Clave],tblControles[[#This Row],[Clave]])&gt;1,"Duplicado","")</f>
        <v/>
      </c>
    </row>
    <row r="978" spans="2:11">
      <c r="B978" s="975" t="str">
        <f>tblControles[[#This Row],[Fecha]]&amp;"|"&amp;tblControles[[#This Row],[Módulo]]&amp;"|"&amp;tblControles[[#This Row],[Ítem]]&amp;"|"&amp;tblControles[[#This Row],[Turno]]</f>
        <v>46276|TONELADAS X TURNO|Molino barras 5|2° turno</v>
      </c>
      <c r="C978" s="871">
        <v>46276</v>
      </c>
      <c r="D978" t="s">
        <v>9449</v>
      </c>
      <c r="E978" t="s">
        <v>391</v>
      </c>
      <c r="F978" t="s">
        <v>397</v>
      </c>
      <c r="G978">
        <v>1566</v>
      </c>
      <c r="H978" t="s">
        <v>9333</v>
      </c>
      <c r="I978" s="871">
        <v>46293.93683766204</v>
      </c>
      <c r="J978" t="s">
        <v>9528</v>
      </c>
      <c r="K978" s="975" t="str">
        <f>IF(COUNTIFS(tblControles[Clave],tblControles[[#This Row],[Clave]])&gt;1,"Duplicado","")</f>
        <v/>
      </c>
    </row>
    <row r="979" spans="2:11">
      <c r="B979" s="975" t="str">
        <f>tblControles[[#This Row],[Fecha]]&amp;"|"&amp;tblControles[[#This Row],[Módulo]]&amp;"|"&amp;tblControles[[#This Row],[Ítem]]&amp;"|"&amp;tblControles[[#This Row],[Turno]]</f>
        <v>46276|TONELADAS X TURNO|Molino barras 5|3° turno</v>
      </c>
      <c r="C979" s="871">
        <v>46276</v>
      </c>
      <c r="D979" t="s">
        <v>9449</v>
      </c>
      <c r="E979" t="s">
        <v>391</v>
      </c>
      <c r="F979" t="s">
        <v>398</v>
      </c>
      <c r="G979">
        <v>1279</v>
      </c>
      <c r="H979" t="s">
        <v>9333</v>
      </c>
      <c r="I979" s="871">
        <v>46293.93683766204</v>
      </c>
      <c r="J979" t="s">
        <v>9528</v>
      </c>
      <c r="K979" s="975" t="str">
        <f>IF(COUNTIFS(tblControles[Clave],tblControles[[#This Row],[Clave]])&gt;1,"Duplicado","")</f>
        <v/>
      </c>
    </row>
    <row r="980" spans="2:11">
      <c r="B980" s="975" t="str">
        <f>tblControles[[#This Row],[Fecha]]&amp;"|"&amp;tblControles[[#This Row],[Módulo]]&amp;"|"&amp;tblControles[[#This Row],[Ítem]]&amp;"|"&amp;tblControles[[#This Row],[Turno]]</f>
        <v>46276|TONELADAS X TURNO|Molino barras 6|1° turno</v>
      </c>
      <c r="C980" s="871">
        <v>46276</v>
      </c>
      <c r="D980" t="s">
        <v>9449</v>
      </c>
      <c r="E980" t="s">
        <v>392</v>
      </c>
      <c r="F980" t="s">
        <v>396</v>
      </c>
      <c r="G980">
        <v>1548</v>
      </c>
      <c r="H980" t="s">
        <v>9333</v>
      </c>
      <c r="I980" s="871">
        <v>46293.93683766204</v>
      </c>
      <c r="J980" t="s">
        <v>9528</v>
      </c>
      <c r="K980" s="975" t="str">
        <f>IF(COUNTIFS(tblControles[Clave],tblControles[[#This Row],[Clave]])&gt;1,"Duplicado","")</f>
        <v/>
      </c>
    </row>
    <row r="981" spans="2:11">
      <c r="B981" s="975" t="str">
        <f>tblControles[[#This Row],[Fecha]]&amp;"|"&amp;tblControles[[#This Row],[Módulo]]&amp;"|"&amp;tblControles[[#This Row],[Ítem]]&amp;"|"&amp;tblControles[[#This Row],[Turno]]</f>
        <v>46276|TONELADAS X TURNO|Molino barras 6|2° turno</v>
      </c>
      <c r="C981" s="871">
        <v>46276</v>
      </c>
      <c r="D981" t="s">
        <v>9449</v>
      </c>
      <c r="E981" t="s">
        <v>392</v>
      </c>
      <c r="F981" t="s">
        <v>397</v>
      </c>
      <c r="G981">
        <v>1558</v>
      </c>
      <c r="H981" t="s">
        <v>9333</v>
      </c>
      <c r="I981" s="871">
        <v>46293.93683766204</v>
      </c>
      <c r="J981" t="s">
        <v>9528</v>
      </c>
      <c r="K981" s="975" t="str">
        <f>IF(COUNTIFS(tblControles[Clave],tblControles[[#This Row],[Clave]])&gt;1,"Duplicado","")</f>
        <v/>
      </c>
    </row>
    <row r="982" spans="2:11">
      <c r="B982" s="975" t="str">
        <f>tblControles[[#This Row],[Fecha]]&amp;"|"&amp;tblControles[[#This Row],[Módulo]]&amp;"|"&amp;tblControles[[#This Row],[Ítem]]&amp;"|"&amp;tblControles[[#This Row],[Turno]]</f>
        <v>46276|TONELADAS X TURNO|Molino barras 6|3° turno</v>
      </c>
      <c r="C982" s="871">
        <v>46276</v>
      </c>
      <c r="D982" t="s">
        <v>9449</v>
      </c>
      <c r="E982" t="s">
        <v>392</v>
      </c>
      <c r="F982" t="s">
        <v>398</v>
      </c>
      <c r="G982">
        <v>1232</v>
      </c>
      <c r="H982" t="s">
        <v>9333</v>
      </c>
      <c r="I982" s="871">
        <v>46293.93683766204</v>
      </c>
      <c r="J982" t="s">
        <v>9528</v>
      </c>
      <c r="K982" s="975" t="str">
        <f>IF(COUNTIFS(tblControles[Clave],tblControles[[#This Row],[Clave]])&gt;1,"Duplicado","")</f>
        <v/>
      </c>
    </row>
    <row r="983" spans="2:11">
      <c r="B983" s="975" t="str">
        <f>tblControles[[#This Row],[Fecha]]&amp;"|"&amp;tblControles[[#This Row],[Módulo]]&amp;"|"&amp;tblControles[[#This Row],[Ítem]]&amp;"|"&amp;tblControles[[#This Row],[Turno]]</f>
        <v>46276|TONELADAS X TURNO|Molino barras 7|1° turno</v>
      </c>
      <c r="C983" s="871">
        <v>46276</v>
      </c>
      <c r="D983" t="s">
        <v>9449</v>
      </c>
      <c r="E983" t="s">
        <v>393</v>
      </c>
      <c r="F983" t="s">
        <v>396</v>
      </c>
      <c r="G983">
        <v>1415</v>
      </c>
      <c r="H983" t="s">
        <v>9333</v>
      </c>
      <c r="I983" s="871">
        <v>46293.93683766204</v>
      </c>
      <c r="J983" t="s">
        <v>9528</v>
      </c>
      <c r="K983" s="975" t="str">
        <f>IF(COUNTIFS(tblControles[Clave],tblControles[[#This Row],[Clave]])&gt;1,"Duplicado","")</f>
        <v/>
      </c>
    </row>
    <row r="984" spans="2:11">
      <c r="B984" s="975" t="str">
        <f>tblControles[[#This Row],[Fecha]]&amp;"|"&amp;tblControles[[#This Row],[Módulo]]&amp;"|"&amp;tblControles[[#This Row],[Ítem]]&amp;"|"&amp;tblControles[[#This Row],[Turno]]</f>
        <v>46276|TONELADAS X TURNO|Molino barras 7|2° turno</v>
      </c>
      <c r="C984" s="871">
        <v>46276</v>
      </c>
      <c r="D984" t="s">
        <v>9449</v>
      </c>
      <c r="E984" t="s">
        <v>393</v>
      </c>
      <c r="F984" t="s">
        <v>397</v>
      </c>
      <c r="G984">
        <v>1748</v>
      </c>
      <c r="H984" t="s">
        <v>9333</v>
      </c>
      <c r="I984" s="871">
        <v>46293.93683766204</v>
      </c>
      <c r="J984" t="s">
        <v>9528</v>
      </c>
      <c r="K984" s="975" t="str">
        <f>IF(COUNTIFS(tblControles[Clave],tblControles[[#This Row],[Clave]])&gt;1,"Duplicado","")</f>
        <v/>
      </c>
    </row>
    <row r="985" spans="2:11">
      <c r="B985" s="975" t="str">
        <f>tblControles[[#This Row],[Fecha]]&amp;"|"&amp;tblControles[[#This Row],[Módulo]]&amp;"|"&amp;tblControles[[#This Row],[Ítem]]&amp;"|"&amp;tblControles[[#This Row],[Turno]]</f>
        <v>46276|TONELADAS X TURNO|Molino barras 7|3° turno</v>
      </c>
      <c r="C985" s="871">
        <v>46276</v>
      </c>
      <c r="D985" t="s">
        <v>9449</v>
      </c>
      <c r="E985" t="s">
        <v>393</v>
      </c>
      <c r="F985" t="s">
        <v>398</v>
      </c>
      <c r="G985">
        <v>1270</v>
      </c>
      <c r="H985" t="s">
        <v>9333</v>
      </c>
      <c r="I985" s="871">
        <v>46293.93683766204</v>
      </c>
      <c r="J985" t="s">
        <v>9528</v>
      </c>
      <c r="K985" s="975" t="str">
        <f>IF(COUNTIFS(tblControles[Clave],tblControles[[#This Row],[Clave]])&gt;1,"Duplicado","")</f>
        <v/>
      </c>
    </row>
    <row r="986" spans="2:11">
      <c r="B986" s="975" t="str">
        <f>tblControles[[#This Row],[Fecha]]&amp;"|"&amp;tblControles[[#This Row],[Módulo]]&amp;"|"&amp;tblControles[[#This Row],[Ítem]]&amp;"|"&amp;tblControles[[#This Row],[Turno]]</f>
        <v>46276|TONELADAS X TURNO|Molino barras 8|1° turno</v>
      </c>
      <c r="C986" s="871">
        <v>46276</v>
      </c>
      <c r="D986" t="s">
        <v>9449</v>
      </c>
      <c r="E986" t="s">
        <v>394</v>
      </c>
      <c r="F986" t="s">
        <v>396</v>
      </c>
      <c r="G986">
        <v>1226</v>
      </c>
      <c r="H986" t="s">
        <v>9333</v>
      </c>
      <c r="I986" s="871">
        <v>46293.93683766204</v>
      </c>
      <c r="J986" t="s">
        <v>9528</v>
      </c>
      <c r="K986" s="975" t="str">
        <f>IF(COUNTIFS(tblControles[Clave],tblControles[[#This Row],[Clave]])&gt;1,"Duplicado","")</f>
        <v/>
      </c>
    </row>
    <row r="987" spans="2:11">
      <c r="B987" s="975" t="str">
        <f>tblControles[[#This Row],[Fecha]]&amp;"|"&amp;tblControles[[#This Row],[Módulo]]&amp;"|"&amp;tblControles[[#This Row],[Ítem]]&amp;"|"&amp;tblControles[[#This Row],[Turno]]</f>
        <v>46276|TONELADAS X TURNO|Molino barras 8|2° turno</v>
      </c>
      <c r="C987" s="871">
        <v>46276</v>
      </c>
      <c r="D987" t="s">
        <v>9449</v>
      </c>
      <c r="E987" t="s">
        <v>394</v>
      </c>
      <c r="F987" t="s">
        <v>397</v>
      </c>
      <c r="G987">
        <v>1600</v>
      </c>
      <c r="H987" t="s">
        <v>9333</v>
      </c>
      <c r="I987" s="871">
        <v>46293.93683766204</v>
      </c>
      <c r="J987" t="s">
        <v>9528</v>
      </c>
      <c r="K987" s="975" t="str">
        <f>IF(COUNTIFS(tblControles[Clave],tblControles[[#This Row],[Clave]])&gt;1,"Duplicado","")</f>
        <v/>
      </c>
    </row>
    <row r="988" spans="2:11">
      <c r="B988" s="975" t="str">
        <f>tblControles[[#This Row],[Fecha]]&amp;"|"&amp;tblControles[[#This Row],[Módulo]]&amp;"|"&amp;tblControles[[#This Row],[Ítem]]&amp;"|"&amp;tblControles[[#This Row],[Turno]]</f>
        <v>46276|TONELADAS X TURNO|Molino barras 8|3° turno</v>
      </c>
      <c r="C988" s="871">
        <v>46276</v>
      </c>
      <c r="D988" t="s">
        <v>9449</v>
      </c>
      <c r="E988" t="s">
        <v>394</v>
      </c>
      <c r="F988" t="s">
        <v>398</v>
      </c>
      <c r="G988">
        <v>1274</v>
      </c>
      <c r="H988" t="s">
        <v>9333</v>
      </c>
      <c r="I988" s="871">
        <v>46293.93683766204</v>
      </c>
      <c r="J988" t="s">
        <v>9528</v>
      </c>
      <c r="K988" s="975" t="str">
        <f>IF(COUNTIFS(tblControles[Clave],tblControles[[#This Row],[Clave]])&gt;1,"Duplicado","")</f>
        <v/>
      </c>
    </row>
    <row r="989" spans="2:11">
      <c r="B989" s="975" t="str">
        <f>tblControles[[#This Row],[Fecha]]&amp;"|"&amp;tblControles[[#This Row],[Módulo]]&amp;"|"&amp;tblControles[[#This Row],[Ítem]]&amp;"|"&amp;tblControles[[#This Row],[Turno]]</f>
        <v>46276|TONELADAS X TURNO|Molino barras 9|1° turno</v>
      </c>
      <c r="C989" s="871">
        <v>46276</v>
      </c>
      <c r="D989" t="s">
        <v>9449</v>
      </c>
      <c r="E989" t="s">
        <v>395</v>
      </c>
      <c r="F989" t="s">
        <v>396</v>
      </c>
      <c r="G989">
        <v>1468</v>
      </c>
      <c r="H989" t="s">
        <v>9333</v>
      </c>
      <c r="I989" s="871">
        <v>46293.93683766204</v>
      </c>
      <c r="J989" t="s">
        <v>9528</v>
      </c>
      <c r="K989" s="975" t="str">
        <f>IF(COUNTIFS(tblControles[Clave],tblControles[[#This Row],[Clave]])&gt;1,"Duplicado","")</f>
        <v/>
      </c>
    </row>
    <row r="990" spans="2:11">
      <c r="B990" s="975" t="str">
        <f>tblControles[[#This Row],[Fecha]]&amp;"|"&amp;tblControles[[#This Row],[Módulo]]&amp;"|"&amp;tblControles[[#This Row],[Ítem]]&amp;"|"&amp;tblControles[[#This Row],[Turno]]</f>
        <v>46276|TONELADAS X TURNO|Molino barras 9|2° turno</v>
      </c>
      <c r="C990" s="871">
        <v>46276</v>
      </c>
      <c r="D990" t="s">
        <v>9449</v>
      </c>
      <c r="E990" t="s">
        <v>395</v>
      </c>
      <c r="F990" t="s">
        <v>397</v>
      </c>
      <c r="G990">
        <v>2017</v>
      </c>
      <c r="H990" t="s">
        <v>9333</v>
      </c>
      <c r="I990" s="871">
        <v>46293.93683766204</v>
      </c>
      <c r="J990" t="s">
        <v>9528</v>
      </c>
      <c r="K990" s="975" t="str">
        <f>IF(COUNTIFS(tblControles[Clave],tblControles[[#This Row],[Clave]])&gt;1,"Duplicado","")</f>
        <v/>
      </c>
    </row>
    <row r="991" spans="2:11">
      <c r="B991" s="975" t="str">
        <f>tblControles[[#This Row],[Fecha]]&amp;"|"&amp;tblControles[[#This Row],[Módulo]]&amp;"|"&amp;tblControles[[#This Row],[Ítem]]&amp;"|"&amp;tblControles[[#This Row],[Turno]]</f>
        <v>46276|TONELADAS X TURNO|Molino barras 9|3° turno</v>
      </c>
      <c r="C991" s="871">
        <v>46276</v>
      </c>
      <c r="D991" t="s">
        <v>9449</v>
      </c>
      <c r="E991" t="s">
        <v>395</v>
      </c>
      <c r="F991" t="s">
        <v>398</v>
      </c>
      <c r="G991">
        <v>1514</v>
      </c>
      <c r="H991" t="s">
        <v>9333</v>
      </c>
      <c r="I991" s="871">
        <v>46293.93683766204</v>
      </c>
      <c r="J991" t="s">
        <v>9528</v>
      </c>
      <c r="K991" s="975" t="str">
        <f>IF(COUNTIFS(tblControles[Clave],tblControles[[#This Row],[Clave]])&gt;1,"Duplicado","")</f>
        <v/>
      </c>
    </row>
    <row r="992" spans="2:11">
      <c r="B992" s="975" t="str">
        <f>tblControles[[#This Row],[Fecha]]&amp;"|"&amp;tblControles[[#This Row],[Módulo]]&amp;"|"&amp;tblControles[[#This Row],[Ítem]]&amp;"|"&amp;tblControles[[#This Row],[Turno]]</f>
        <v>46277|AGREGADO MEDIOS|BARRAS RM1|Cantidad</v>
      </c>
      <c r="C992" s="871">
        <v>46277</v>
      </c>
      <c r="D992" t="s">
        <v>9451</v>
      </c>
      <c r="E992" t="s">
        <v>410</v>
      </c>
      <c r="F992" t="s">
        <v>9453</v>
      </c>
      <c r="G992">
        <v>0</v>
      </c>
      <c r="H992" t="s">
        <v>9333</v>
      </c>
      <c r="I992" s="871">
        <v>46293.93683766204</v>
      </c>
      <c r="J992" t="s">
        <v>9524</v>
      </c>
      <c r="K992" s="975" t="str">
        <f>IF(COUNTIFS(tblControles[Clave],tblControles[[#This Row],[Clave]])&gt;1,"Duplicado","")</f>
        <v/>
      </c>
    </row>
    <row r="993" spans="2:11">
      <c r="B993" s="975" t="str">
        <f>tblControles[[#This Row],[Fecha]]&amp;"|"&amp;tblControles[[#This Row],[Módulo]]&amp;"|"&amp;tblControles[[#This Row],[Ítem]]&amp;"|"&amp;tblControles[[#This Row],[Turno]]</f>
        <v>46277|AGREGADO MEDIOS|BARRAS RM2|Cantidad</v>
      </c>
      <c r="C993" s="871">
        <v>46277</v>
      </c>
      <c r="D993" t="s">
        <v>9451</v>
      </c>
      <c r="E993" t="s">
        <v>411</v>
      </c>
      <c r="F993" t="s">
        <v>9453</v>
      </c>
      <c r="G993">
        <v>0</v>
      </c>
      <c r="H993" t="s">
        <v>9333</v>
      </c>
      <c r="I993" s="871">
        <v>46293.93683766204</v>
      </c>
      <c r="J993" t="s">
        <v>9524</v>
      </c>
      <c r="K993" s="975" t="str">
        <f>IF(COUNTIFS(tblControles[Clave],tblControles[[#This Row],[Clave]])&gt;1,"Duplicado","")</f>
        <v/>
      </c>
    </row>
    <row r="994" spans="2:11">
      <c r="B994" s="975" t="str">
        <f>tblControles[[#This Row],[Fecha]]&amp;"|"&amp;tblControles[[#This Row],[Módulo]]&amp;"|"&amp;tblControles[[#This Row],[Ítem]]&amp;"|"&amp;tblControles[[#This Row],[Turno]]</f>
        <v>46277|AGREGADO MEDIOS|BARRAS RM3|Cantidad</v>
      </c>
      <c r="C994" s="871">
        <v>46277</v>
      </c>
      <c r="D994" t="s">
        <v>9451</v>
      </c>
      <c r="E994" t="s">
        <v>412</v>
      </c>
      <c r="F994" t="s">
        <v>9453</v>
      </c>
      <c r="G994">
        <v>0</v>
      </c>
      <c r="H994" t="s">
        <v>9333</v>
      </c>
      <c r="I994" s="871">
        <v>46293.93683766204</v>
      </c>
      <c r="J994" t="s">
        <v>9524</v>
      </c>
      <c r="K994" s="975" t="str">
        <f>IF(COUNTIFS(tblControles[Clave],tblControles[[#This Row],[Clave]])&gt;1,"Duplicado","")</f>
        <v/>
      </c>
    </row>
    <row r="995" spans="2:11">
      <c r="B995" s="975" t="str">
        <f>tblControles[[#This Row],[Fecha]]&amp;"|"&amp;tblControles[[#This Row],[Módulo]]&amp;"|"&amp;tblControles[[#This Row],[Ítem]]&amp;"|"&amp;tblControles[[#This Row],[Turno]]</f>
        <v>46277|AGREGADO MEDIOS|BARRAS RM4|Cantidad</v>
      </c>
      <c r="C995" s="871">
        <v>46277</v>
      </c>
      <c r="D995" t="s">
        <v>9451</v>
      </c>
      <c r="E995" t="s">
        <v>413</v>
      </c>
      <c r="F995" t="s">
        <v>9453</v>
      </c>
      <c r="G995">
        <v>0</v>
      </c>
      <c r="H995" t="s">
        <v>9333</v>
      </c>
      <c r="I995" s="871">
        <v>46293.93683766204</v>
      </c>
      <c r="J995" t="s">
        <v>9524</v>
      </c>
      <c r="K995" s="975" t="str">
        <f>IF(COUNTIFS(tblControles[Clave],tblControles[[#This Row],[Clave]])&gt;1,"Duplicado","")</f>
        <v/>
      </c>
    </row>
    <row r="996" spans="2:11">
      <c r="B996" s="975" t="str">
        <f>tblControles[[#This Row],[Fecha]]&amp;"|"&amp;tblControles[[#This Row],[Módulo]]&amp;"|"&amp;tblControles[[#This Row],[Ítem]]&amp;"|"&amp;tblControles[[#This Row],[Turno]]</f>
        <v>46277|AGREGADO MEDIOS|BARRAS RM5|Cantidad</v>
      </c>
      <c r="C996" s="871">
        <v>46277</v>
      </c>
      <c r="D996" t="s">
        <v>9451</v>
      </c>
      <c r="E996" t="s">
        <v>414</v>
      </c>
      <c r="F996" t="s">
        <v>9453</v>
      </c>
      <c r="G996">
        <v>0</v>
      </c>
      <c r="H996" t="s">
        <v>9333</v>
      </c>
      <c r="I996" s="871">
        <v>46293.93683766204</v>
      </c>
      <c r="J996" t="s">
        <v>9524</v>
      </c>
      <c r="K996" s="975" t="str">
        <f>IF(COUNTIFS(tblControles[Clave],tblControles[[#This Row],[Clave]])&gt;1,"Duplicado","")</f>
        <v/>
      </c>
    </row>
    <row r="997" spans="2:11">
      <c r="B997" s="975" t="str">
        <f>tblControles[[#This Row],[Fecha]]&amp;"|"&amp;tblControles[[#This Row],[Módulo]]&amp;"|"&amp;tblControles[[#This Row],[Ítem]]&amp;"|"&amp;tblControles[[#This Row],[Turno]]</f>
        <v>46277|AGREGADO MEDIOS|BARRAS RM6|Cantidad</v>
      </c>
      <c r="C997" s="871">
        <v>46277</v>
      </c>
      <c r="D997" t="s">
        <v>9451</v>
      </c>
      <c r="E997" t="s">
        <v>415</v>
      </c>
      <c r="F997" t="s">
        <v>9453</v>
      </c>
      <c r="G997">
        <v>0</v>
      </c>
      <c r="H997" t="s">
        <v>9333</v>
      </c>
      <c r="I997" s="871">
        <v>46293.93683766204</v>
      </c>
      <c r="J997" t="s">
        <v>9524</v>
      </c>
      <c r="K997" s="975" t="str">
        <f>IF(COUNTIFS(tblControles[Clave],tblControles[[#This Row],[Clave]])&gt;1,"Duplicado","")</f>
        <v/>
      </c>
    </row>
    <row r="998" spans="2:11">
      <c r="B998" s="975" t="str">
        <f>tblControles[[#This Row],[Fecha]]&amp;"|"&amp;tblControles[[#This Row],[Módulo]]&amp;"|"&amp;tblControles[[#This Row],[Ítem]]&amp;"|"&amp;tblControles[[#This Row],[Turno]]</f>
        <v>46277|AGREGADO MEDIOS|BARRAS RM7|Cantidad</v>
      </c>
      <c r="C998" s="871">
        <v>46277</v>
      </c>
      <c r="D998" t="s">
        <v>9451</v>
      </c>
      <c r="E998" t="s">
        <v>416</v>
      </c>
      <c r="F998" t="s">
        <v>9453</v>
      </c>
      <c r="G998">
        <v>0</v>
      </c>
      <c r="H998" t="s">
        <v>9333</v>
      </c>
      <c r="I998" s="871">
        <v>46293.93683766204</v>
      </c>
      <c r="J998" t="s">
        <v>9524</v>
      </c>
      <c r="K998" s="975" t="str">
        <f>IF(COUNTIFS(tblControles[Clave],tblControles[[#This Row],[Clave]])&gt;1,"Duplicado","")</f>
        <v/>
      </c>
    </row>
    <row r="999" spans="2:11">
      <c r="B999" s="975" t="str">
        <f>tblControles[[#This Row],[Fecha]]&amp;"|"&amp;tblControles[[#This Row],[Módulo]]&amp;"|"&amp;tblControles[[#This Row],[Ítem]]&amp;"|"&amp;tblControles[[#This Row],[Turno]]</f>
        <v>46277|AGREGADO MEDIOS|BARRAS RM8|Cantidad</v>
      </c>
      <c r="C999" s="871">
        <v>46277</v>
      </c>
      <c r="D999" t="s">
        <v>9451</v>
      </c>
      <c r="E999" t="s">
        <v>417</v>
      </c>
      <c r="F999" t="s">
        <v>9453</v>
      </c>
      <c r="G999">
        <v>0</v>
      </c>
      <c r="H999" t="s">
        <v>9333</v>
      </c>
      <c r="I999" s="871">
        <v>46293.93683766204</v>
      </c>
      <c r="J999" t="s">
        <v>9524</v>
      </c>
      <c r="K999" s="975" t="str">
        <f>IF(COUNTIFS(tblControles[Clave],tblControles[[#This Row],[Clave]])&gt;1,"Duplicado","")</f>
        <v/>
      </c>
    </row>
    <row r="1000" spans="2:11">
      <c r="B1000" s="975" t="str">
        <f>tblControles[[#This Row],[Fecha]]&amp;"|"&amp;tblControles[[#This Row],[Módulo]]&amp;"|"&amp;tblControles[[#This Row],[Ítem]]&amp;"|"&amp;tblControles[[#This Row],[Turno]]</f>
        <v>46277|AGREGADO MEDIOS|BARRAS 9 RM9|Cantidad</v>
      </c>
      <c r="C1000" s="871">
        <v>46277</v>
      </c>
      <c r="D1000" t="s">
        <v>9451</v>
      </c>
      <c r="E1000" t="s">
        <v>418</v>
      </c>
      <c r="F1000" t="s">
        <v>9453</v>
      </c>
      <c r="G1000">
        <v>0</v>
      </c>
      <c r="H1000" t="s">
        <v>9333</v>
      </c>
      <c r="I1000" s="871">
        <v>46293.93683766204</v>
      </c>
      <c r="J1000" t="s">
        <v>9524</v>
      </c>
      <c r="K1000" s="975" t="str">
        <f>IF(COUNTIFS(tblControles[Clave],tblControles[[#This Row],[Clave]])&gt;1,"Duplicado","")</f>
        <v/>
      </c>
    </row>
    <row r="1001" spans="2:11">
      <c r="B1001" s="975" t="str">
        <f>tblControles[[#This Row],[Fecha]]&amp;"|"&amp;tblControles[[#This Row],[Módulo]]&amp;"|"&amp;tblControles[[#This Row],[Ítem]]&amp;"|"&amp;tblControles[[#This Row],[Turno]]</f>
        <v>46277|AGREGADO MEDIOS|CONOS 40X50 BM1|Cantidad</v>
      </c>
      <c r="C1001" s="871">
        <v>46277</v>
      </c>
      <c r="D1001" t="s">
        <v>9451</v>
      </c>
      <c r="E1001" t="s">
        <v>420</v>
      </c>
      <c r="F1001" t="s">
        <v>9453</v>
      </c>
      <c r="G1001">
        <v>0</v>
      </c>
      <c r="H1001" t="s">
        <v>9333</v>
      </c>
      <c r="I1001" s="871">
        <v>46293.93683766204</v>
      </c>
      <c r="J1001" t="s">
        <v>9524</v>
      </c>
      <c r="K1001" s="975" t="str">
        <f>IF(COUNTIFS(tblControles[Clave],tblControles[[#This Row],[Clave]])&gt;1,"Duplicado","")</f>
        <v/>
      </c>
    </row>
    <row r="1002" spans="2:11">
      <c r="B1002" s="975" t="str">
        <f>tblControles[[#This Row],[Fecha]]&amp;"|"&amp;tblControles[[#This Row],[Módulo]]&amp;"|"&amp;tblControles[[#This Row],[Ítem]]&amp;"|"&amp;tblControles[[#This Row],[Turno]]</f>
        <v>46277|AGREGADO MEDIOS|CONOS 40X50 BM2|Cantidad</v>
      </c>
      <c r="C1002" s="871">
        <v>46277</v>
      </c>
      <c r="D1002" t="s">
        <v>9451</v>
      </c>
      <c r="E1002" t="s">
        <v>421</v>
      </c>
      <c r="F1002" t="s">
        <v>9453</v>
      </c>
      <c r="G1002">
        <v>0</v>
      </c>
      <c r="H1002" t="s">
        <v>9333</v>
      </c>
      <c r="I1002" s="871">
        <v>46293.93683766204</v>
      </c>
      <c r="J1002" t="s">
        <v>9524</v>
      </c>
      <c r="K1002" s="975" t="str">
        <f>IF(COUNTIFS(tblControles[Clave],tblControles[[#This Row],[Clave]])&gt;1,"Duplicado","")</f>
        <v/>
      </c>
    </row>
    <row r="1003" spans="2:11">
      <c r="B1003" s="975" t="str">
        <f>tblControles[[#This Row],[Fecha]]&amp;"|"&amp;tblControles[[#This Row],[Módulo]]&amp;"|"&amp;tblControles[[#This Row],[Ítem]]&amp;"|"&amp;tblControles[[#This Row],[Turno]]</f>
        <v>46277|AGREGADO MEDIOS|CONOS 40X50 BM3|Cantidad</v>
      </c>
      <c r="C1003" s="871">
        <v>46277</v>
      </c>
      <c r="D1003" t="s">
        <v>9451</v>
      </c>
      <c r="E1003" t="s">
        <v>422</v>
      </c>
      <c r="F1003" t="s">
        <v>9453</v>
      </c>
      <c r="G1003">
        <v>0</v>
      </c>
      <c r="H1003" t="s">
        <v>9333</v>
      </c>
      <c r="I1003" s="871">
        <v>46293.93683766204</v>
      </c>
      <c r="J1003" t="s">
        <v>9524</v>
      </c>
      <c r="K1003" s="975" t="str">
        <f>IF(COUNTIFS(tblControles[Clave],tblControles[[#This Row],[Clave]])&gt;1,"Duplicado","")</f>
        <v/>
      </c>
    </row>
    <row r="1004" spans="2:11">
      <c r="B1004" s="975" t="str">
        <f>tblControles[[#This Row],[Fecha]]&amp;"|"&amp;tblControles[[#This Row],[Módulo]]&amp;"|"&amp;tblControles[[#This Row],[Ítem]]&amp;"|"&amp;tblControles[[#This Row],[Turno]]</f>
        <v>46277|AGREGADO MEDIOS|CONOS 40X50 BM4|Cantidad</v>
      </c>
      <c r="C1004" s="871">
        <v>46277</v>
      </c>
      <c r="D1004" t="s">
        <v>9451</v>
      </c>
      <c r="E1004" t="s">
        <v>423</v>
      </c>
      <c r="F1004" t="s">
        <v>9453</v>
      </c>
      <c r="G1004">
        <v>0</v>
      </c>
      <c r="H1004" t="s">
        <v>9333</v>
      </c>
      <c r="I1004" s="871">
        <v>46293.93683766204</v>
      </c>
      <c r="J1004" t="s">
        <v>9524</v>
      </c>
      <c r="K1004" s="975" t="str">
        <f>IF(COUNTIFS(tblControles[Clave],tblControles[[#This Row],[Clave]])&gt;1,"Duplicado","")</f>
        <v/>
      </c>
    </row>
    <row r="1005" spans="2:11">
      <c r="B1005" s="975" t="str">
        <f>tblControles[[#This Row],[Fecha]]&amp;"|"&amp;tblControles[[#This Row],[Módulo]]&amp;"|"&amp;tblControles[[#This Row],[Ítem]]&amp;"|"&amp;tblControles[[#This Row],[Turno]]</f>
        <v>46277|AGREGADO MEDIOS|CONOS 30X35 BM5|Cantidad</v>
      </c>
      <c r="C1005" s="871">
        <v>46277</v>
      </c>
      <c r="D1005" t="s">
        <v>9451</v>
      </c>
      <c r="E1005" t="s">
        <v>424</v>
      </c>
      <c r="F1005" t="s">
        <v>9453</v>
      </c>
      <c r="G1005">
        <v>0</v>
      </c>
      <c r="H1005" t="s">
        <v>9333</v>
      </c>
      <c r="I1005" s="871">
        <v>46293.93683766204</v>
      </c>
      <c r="J1005" t="s">
        <v>9524</v>
      </c>
      <c r="K1005" s="975" t="str">
        <f>IF(COUNTIFS(tblControles[Clave],tblControles[[#This Row],[Clave]])&gt;1,"Duplicado","")</f>
        <v/>
      </c>
    </row>
    <row r="1006" spans="2:11">
      <c r="B1006" s="975" t="str">
        <f>tblControles[[#This Row],[Fecha]]&amp;"|"&amp;tblControles[[#This Row],[Módulo]]&amp;"|"&amp;tblControles[[#This Row],[Ítem]]&amp;"|"&amp;tblControles[[#This Row],[Turno]]</f>
        <v>46277|AGREGADO MEDIOS|CONOS 40X50 BM6|Cantidad</v>
      </c>
      <c r="C1006" s="871">
        <v>46277</v>
      </c>
      <c r="D1006" t="s">
        <v>9451</v>
      </c>
      <c r="E1006" t="s">
        <v>425</v>
      </c>
      <c r="F1006" t="s">
        <v>9453</v>
      </c>
      <c r="G1006">
        <v>0</v>
      </c>
      <c r="H1006" t="s">
        <v>9333</v>
      </c>
      <c r="I1006" s="871">
        <v>46293.93683766204</v>
      </c>
      <c r="J1006" t="s">
        <v>9524</v>
      </c>
      <c r="K1006" s="975" t="str">
        <f>IF(COUNTIFS(tblControles[Clave],tblControles[[#This Row],[Clave]])&gt;1,"Duplicado","")</f>
        <v/>
      </c>
    </row>
    <row r="1007" spans="2:11">
      <c r="B1007" s="975" t="str">
        <f>tblControles[[#This Row],[Fecha]]&amp;"|"&amp;tblControles[[#This Row],[Módulo]]&amp;"|"&amp;tblControles[[#This Row],[Ítem]]&amp;"|"&amp;tblControles[[#This Row],[Turno]]</f>
        <v>46277|AGREGADO MEDIOS|CONOS 40X50 BM7|Cantidad</v>
      </c>
      <c r="C1007" s="871">
        <v>46277</v>
      </c>
      <c r="D1007" t="s">
        <v>9451</v>
      </c>
      <c r="E1007" t="s">
        <v>426</v>
      </c>
      <c r="F1007" t="s">
        <v>9453</v>
      </c>
      <c r="G1007">
        <v>0</v>
      </c>
      <c r="H1007" t="s">
        <v>9333</v>
      </c>
      <c r="I1007" s="871">
        <v>46293.93683766204</v>
      </c>
      <c r="J1007" t="s">
        <v>9524</v>
      </c>
      <c r="K1007" s="975" t="str">
        <f>IF(COUNTIFS(tblControles[Clave],tblControles[[#This Row],[Clave]])&gt;1,"Duplicado","")</f>
        <v/>
      </c>
    </row>
    <row r="1008" spans="2:11">
      <c r="B1008" s="975" t="str">
        <f>tblControles[[#This Row],[Fecha]]&amp;"|"&amp;tblControles[[#This Row],[Módulo]]&amp;"|"&amp;tblControles[[#This Row],[Ítem]]&amp;"|"&amp;tblControles[[#This Row],[Turno]]</f>
        <v>46277|AGREGADO MEDIOS|CONOS 40X50|Cantidad</v>
      </c>
      <c r="C1008" s="871">
        <v>46277</v>
      </c>
      <c r="D1008" t="s">
        <v>9451</v>
      </c>
      <c r="E1008" t="s">
        <v>427</v>
      </c>
      <c r="F1008" t="s">
        <v>9453</v>
      </c>
      <c r="G1008">
        <v>0</v>
      </c>
      <c r="H1008" t="s">
        <v>9333</v>
      </c>
      <c r="I1008" s="871">
        <v>46293.93683766204</v>
      </c>
      <c r="J1008" t="s">
        <v>9524</v>
      </c>
      <c r="K1008" s="975" t="str">
        <f>IF(COUNTIFS(tblControles[Clave],tblControles[[#This Row],[Clave]])&gt;1,"Duplicado","")</f>
        <v/>
      </c>
    </row>
    <row r="1009" spans="2:11">
      <c r="B1009" s="975" t="str">
        <f>tblControles[[#This Row],[Fecha]]&amp;"|"&amp;tblControles[[#This Row],[Módulo]]&amp;"|"&amp;tblControles[[#This Row],[Ítem]]&amp;"|"&amp;tblControles[[#This Row],[Turno]]</f>
        <v>46277|AGREGADO MEDIOS|CONOS 30X35|Cantidad</v>
      </c>
      <c r="C1009" s="871">
        <v>46277</v>
      </c>
      <c r="D1009" t="s">
        <v>9451</v>
      </c>
      <c r="E1009" t="s">
        <v>428</v>
      </c>
      <c r="F1009" t="s">
        <v>9453</v>
      </c>
      <c r="G1009">
        <v>0</v>
      </c>
      <c r="H1009" t="s">
        <v>9333</v>
      </c>
      <c r="I1009" s="871">
        <v>46293.93683766204</v>
      </c>
      <c r="J1009" t="s">
        <v>9524</v>
      </c>
      <c r="K1009" s="975" t="str">
        <f>IF(COUNTIFS(tblControles[Clave],tblControles[[#This Row],[Clave]])&gt;1,"Duplicado","")</f>
        <v/>
      </c>
    </row>
    <row r="1010" spans="2:11">
      <c r="B1010" s="975" t="str">
        <f>tblControles[[#This Row],[Fecha]]&amp;"|"&amp;tblControles[[#This Row],[Módulo]]&amp;"|"&amp;tblControles[[#This Row],[Ítem]]&amp;"|"&amp;tblControles[[#This Row],[Turno]]</f>
        <v>46277|AGREGADO MEDIOS|BOLAS BM8|Cantidad</v>
      </c>
      <c r="C1010" s="871">
        <v>46277</v>
      </c>
      <c r="D1010" t="s">
        <v>9451</v>
      </c>
      <c r="E1010" t="s">
        <v>429</v>
      </c>
      <c r="F1010" t="s">
        <v>9453</v>
      </c>
      <c r="G1010">
        <v>0</v>
      </c>
      <c r="H1010" t="s">
        <v>9333</v>
      </c>
      <c r="I1010" s="871">
        <v>46293.93683766204</v>
      </c>
      <c r="J1010" t="s">
        <v>9524</v>
      </c>
      <c r="K1010" s="975" t="str">
        <f>IF(COUNTIFS(tblControles[Clave],tblControles[[#This Row],[Clave]])&gt;1,"Duplicado","")</f>
        <v/>
      </c>
    </row>
    <row r="1011" spans="2:11">
      <c r="B1011" s="975" t="str">
        <f>tblControles[[#This Row],[Fecha]]&amp;"|"&amp;tblControles[[#This Row],[Módulo]]&amp;"|"&amp;tblControles[[#This Row],[Ítem]]&amp;"|"&amp;tblControles[[#This Row],[Turno]]</f>
        <v>46277|AGREGADO MEDIOS|BOLAS BM9|Cantidad</v>
      </c>
      <c r="C1011" s="871">
        <v>46277</v>
      </c>
      <c r="D1011" t="s">
        <v>9451</v>
      </c>
      <c r="E1011" t="s">
        <v>430</v>
      </c>
      <c r="F1011" t="s">
        <v>9453</v>
      </c>
      <c r="G1011">
        <v>0</v>
      </c>
      <c r="H1011" t="s">
        <v>9333</v>
      </c>
      <c r="I1011" s="871">
        <v>46293.93683766204</v>
      </c>
      <c r="J1011" t="s">
        <v>9524</v>
      </c>
      <c r="K1011" s="975" t="str">
        <f>IF(COUNTIFS(tblControles[Clave],tblControles[[#This Row],[Clave]])&gt;1,"Duplicado","")</f>
        <v/>
      </c>
    </row>
    <row r="1012" spans="2:11">
      <c r="B1012" s="975" t="str">
        <f>tblControles[[#This Row],[Fecha]]&amp;"|"&amp;tblControles[[#This Row],[Módulo]]&amp;"|"&amp;tblControles[[#This Row],[Ítem]]&amp;"|"&amp;tblControles[[#This Row],[Turno]]</f>
        <v>46277|AGREGADO MEDIOS|BOLAS BM10|Cantidad</v>
      </c>
      <c r="C1012" s="871">
        <v>46277</v>
      </c>
      <c r="D1012" t="s">
        <v>9451</v>
      </c>
      <c r="E1012" t="s">
        <v>431</v>
      </c>
      <c r="F1012" t="s">
        <v>9453</v>
      </c>
      <c r="G1012">
        <v>0</v>
      </c>
      <c r="H1012" t="s">
        <v>9333</v>
      </c>
      <c r="I1012" s="871">
        <v>46293.93683766204</v>
      </c>
      <c r="J1012" t="s">
        <v>9524</v>
      </c>
      <c r="K1012" s="975" t="str">
        <f>IF(COUNTIFS(tblControles[Clave],tblControles[[#This Row],[Clave]])&gt;1,"Duplicado","")</f>
        <v/>
      </c>
    </row>
    <row r="1013" spans="2:11">
      <c r="B1013" s="975" t="str">
        <f>tblControles[[#This Row],[Fecha]]&amp;"|"&amp;tblControles[[#This Row],[Módulo]]&amp;"|"&amp;tblControles[[#This Row],[Ítem]]&amp;"|"&amp;tblControles[[#This Row],[Turno]]</f>
        <v>46277|AGREGADO MEDIOS|BOLAS ALTO CROM|Cantidad</v>
      </c>
      <c r="C1013" s="871">
        <v>46277</v>
      </c>
      <c r="D1013" t="s">
        <v>9451</v>
      </c>
      <c r="E1013" t="s">
        <v>432</v>
      </c>
      <c r="F1013" t="s">
        <v>9453</v>
      </c>
      <c r="G1013">
        <v>0</v>
      </c>
      <c r="H1013" t="s">
        <v>9333</v>
      </c>
      <c r="I1013" s="871">
        <v>46293.93683766204</v>
      </c>
      <c r="J1013" t="s">
        <v>9524</v>
      </c>
      <c r="K1013" s="975" t="str">
        <f>IF(COUNTIFS(tblControles[Clave],tblControles[[#This Row],[Clave]])&gt;1,"Duplicado","")</f>
        <v/>
      </c>
    </row>
    <row r="1014" spans="2:11">
      <c r="B1014" s="975" t="str">
        <f>tblControles[[#This Row],[Fecha]]&amp;"|"&amp;tblControles[[#This Row],[Módulo]]&amp;"|"&amp;tblControles[[#This Row],[Ítem]]&amp;"|"&amp;tblControles[[#This Row],[Turno]]</f>
        <v>46277|FILTROS H2O|Filtro # 1|Obs</v>
      </c>
      <c r="C1014" s="871">
        <v>46277</v>
      </c>
      <c r="D1014" t="s">
        <v>9430</v>
      </c>
      <c r="E1014" t="s">
        <v>9525</v>
      </c>
      <c r="F1014" t="s">
        <v>9531</v>
      </c>
      <c r="G1014" t="s">
        <v>329</v>
      </c>
      <c r="H1014" t="s">
        <v>9333</v>
      </c>
      <c r="I1014" s="871">
        <v>46293.93683766204</v>
      </c>
      <c r="J1014" t="s">
        <v>9529</v>
      </c>
      <c r="K1014" s="975" t="str">
        <f>IF(COUNTIFS(tblControles[Clave],tblControles[[#This Row],[Clave]])&gt;1,"Duplicado","")</f>
        <v/>
      </c>
    </row>
    <row r="1015" spans="2:11">
      <c r="B1015" s="975" t="str">
        <f>tblControles[[#This Row],[Fecha]]&amp;"|"&amp;tblControles[[#This Row],[Módulo]]&amp;"|"&amp;tblControles[[#This Row],[Ítem]]&amp;"|"&amp;tblControles[[#This Row],[Turno]]</f>
        <v>46277|FILTROS H2O|Filtro # 2|Obs</v>
      </c>
      <c r="C1015" s="871">
        <v>46277</v>
      </c>
      <c r="D1015" t="s">
        <v>9430</v>
      </c>
      <c r="E1015" t="s">
        <v>9463</v>
      </c>
      <c r="F1015" t="s">
        <v>9531</v>
      </c>
      <c r="G1015" t="s">
        <v>329</v>
      </c>
      <c r="H1015" t="s">
        <v>9333</v>
      </c>
      <c r="I1015" s="871">
        <v>46293.93683766204</v>
      </c>
      <c r="J1015" t="s">
        <v>9529</v>
      </c>
      <c r="K1015" s="975" t="str">
        <f>IF(COUNTIFS(tblControles[Clave],tblControles[[#This Row],[Clave]])&gt;1,"Duplicado","")</f>
        <v/>
      </c>
    </row>
    <row r="1016" spans="2:11">
      <c r="B1016" s="975" t="str">
        <f>tblControles[[#This Row],[Fecha]]&amp;"|"&amp;tblControles[[#This Row],[Módulo]]&amp;"|"&amp;tblControles[[#This Row],[Ítem]]&amp;"|"&amp;tblControles[[#This Row],[Turno]]</f>
        <v>46277|FILTROS H2O|Filtro # 3|Obs</v>
      </c>
      <c r="C1016" s="871">
        <v>46277</v>
      </c>
      <c r="D1016" t="s">
        <v>9430</v>
      </c>
      <c r="E1016" t="s">
        <v>9464</v>
      </c>
      <c r="F1016" t="s">
        <v>9531</v>
      </c>
      <c r="G1016" t="s">
        <v>329</v>
      </c>
      <c r="H1016" t="s">
        <v>9333</v>
      </c>
      <c r="I1016" s="871">
        <v>46293.93683766204</v>
      </c>
      <c r="J1016" t="s">
        <v>9529</v>
      </c>
      <c r="K1016" s="975" t="str">
        <f>IF(COUNTIFS(tblControles[Clave],tblControles[[#This Row],[Clave]])&gt;1,"Duplicado","")</f>
        <v/>
      </c>
    </row>
    <row r="1017" spans="2:11">
      <c r="B1017" s="975" t="str">
        <f>tblControles[[#This Row],[Fecha]]&amp;"|"&amp;tblControles[[#This Row],[Módulo]]&amp;"|"&amp;tblControles[[#This Row],[Ítem]]&amp;"|"&amp;tblControles[[#This Row],[Turno]]</f>
        <v>46277|FILTROS H2O|Filtro # 4|Obs</v>
      </c>
      <c r="C1017" s="871">
        <v>46277</v>
      </c>
      <c r="D1017" t="s">
        <v>9430</v>
      </c>
      <c r="E1017" t="s">
        <v>9465</v>
      </c>
      <c r="F1017" t="s">
        <v>9531</v>
      </c>
      <c r="G1017" t="s">
        <v>330</v>
      </c>
      <c r="H1017" t="s">
        <v>9333</v>
      </c>
      <c r="I1017" s="871">
        <v>46293.93683766204</v>
      </c>
      <c r="J1017" t="s">
        <v>9529</v>
      </c>
      <c r="K1017" s="975" t="str">
        <f>IF(COUNTIFS(tblControles[Clave],tblControles[[#This Row],[Clave]])&gt;1,"Duplicado","")</f>
        <v/>
      </c>
    </row>
    <row r="1018" spans="2:11">
      <c r="B1018" s="975" t="str">
        <f>tblControles[[#This Row],[Fecha]]&amp;"|"&amp;tblControles[[#This Row],[Módulo]]&amp;"|"&amp;tblControles[[#This Row],[Ítem]]&amp;"|"&amp;tblControles[[#This Row],[Turno]]</f>
        <v>46277|FILTROS H2O|Filtro # 5|Obs</v>
      </c>
      <c r="C1018" s="871">
        <v>46277</v>
      </c>
      <c r="D1018" t="s">
        <v>9430</v>
      </c>
      <c r="E1018" t="s">
        <v>9466</v>
      </c>
      <c r="F1018" t="s">
        <v>9531</v>
      </c>
      <c r="G1018" t="s">
        <v>329</v>
      </c>
      <c r="H1018" t="s">
        <v>9333</v>
      </c>
      <c r="I1018" s="871">
        <v>46293.93683766204</v>
      </c>
      <c r="J1018" t="s">
        <v>9529</v>
      </c>
      <c r="K1018" s="975" t="str">
        <f>IF(COUNTIFS(tblControles[Clave],tblControles[[#This Row],[Clave]])&gt;1,"Duplicado","")</f>
        <v/>
      </c>
    </row>
    <row r="1019" spans="2:11">
      <c r="B1019" s="975" t="str">
        <f>tblControles[[#This Row],[Fecha]]&amp;"|"&amp;tblControles[[#This Row],[Módulo]]&amp;"|"&amp;tblControles[[#This Row],[Ítem]]&amp;"|"&amp;tblControles[[#This Row],[Turno]]</f>
        <v>46277|FILTROS H2O|Filtro Linea # 5|Obs</v>
      </c>
      <c r="C1019" s="871">
        <v>46277</v>
      </c>
      <c r="D1019" t="s">
        <v>9430</v>
      </c>
      <c r="E1019" t="s">
        <v>331</v>
      </c>
      <c r="F1019" t="s">
        <v>9531</v>
      </c>
      <c r="G1019" t="s">
        <v>329</v>
      </c>
      <c r="H1019" t="s">
        <v>9333</v>
      </c>
      <c r="I1019" s="871">
        <v>46293.93683766204</v>
      </c>
      <c r="J1019" t="s">
        <v>9529</v>
      </c>
      <c r="K1019" s="975" t="str">
        <f>IF(COUNTIFS(tblControles[Clave],tblControles[[#This Row],[Clave]])&gt;1,"Duplicado","")</f>
        <v/>
      </c>
    </row>
    <row r="1020" spans="2:11">
      <c r="B1020" s="975" t="str">
        <f>tblControles[[#This Row],[Fecha]]&amp;"|"&amp;tblControles[[#This Row],[Módulo]]&amp;"|"&amp;tblControles[[#This Row],[Ítem]]&amp;"|"&amp;tblControles[[#This Row],[Turno]]</f>
        <v>46277|FILTROS H2O|Filtro Linea # 6|Obs</v>
      </c>
      <c r="C1020" s="871">
        <v>46277</v>
      </c>
      <c r="D1020" t="s">
        <v>9430</v>
      </c>
      <c r="E1020" t="s">
        <v>332</v>
      </c>
      <c r="F1020" t="s">
        <v>9531</v>
      </c>
      <c r="G1020" t="s">
        <v>329</v>
      </c>
      <c r="H1020" t="s">
        <v>9333</v>
      </c>
      <c r="I1020" s="871">
        <v>46293.93683766204</v>
      </c>
      <c r="J1020" t="s">
        <v>9529</v>
      </c>
      <c r="K1020" s="975" t="str">
        <f>IF(COUNTIFS(tblControles[Clave],tblControles[[#This Row],[Clave]])&gt;1,"Duplicado","")</f>
        <v/>
      </c>
    </row>
    <row r="1021" spans="2:11">
      <c r="B1021" s="975" t="str">
        <f>tblControles[[#This Row],[Fecha]]&amp;"|"&amp;tblControles[[#This Row],[Módulo]]&amp;"|"&amp;tblControles[[#This Row],[Ítem]]&amp;"|"&amp;tblControles[[#This Row],[Turno]]</f>
        <v>46277|FILTROS H2O|Filtro Linea # 7|Obs</v>
      </c>
      <c r="C1021" s="871">
        <v>46277</v>
      </c>
      <c r="D1021" t="s">
        <v>9430</v>
      </c>
      <c r="E1021" t="s">
        <v>9467</v>
      </c>
      <c r="F1021" t="s">
        <v>9531</v>
      </c>
      <c r="G1021" t="s">
        <v>329</v>
      </c>
      <c r="H1021" t="s">
        <v>9333</v>
      </c>
      <c r="I1021" s="871">
        <v>46293.93683766204</v>
      </c>
      <c r="J1021" t="s">
        <v>9529</v>
      </c>
      <c r="K1021" s="975" t="str">
        <f>IF(COUNTIFS(tblControles[Clave],tblControles[[#This Row],[Clave]])&gt;1,"Duplicado","")</f>
        <v/>
      </c>
    </row>
    <row r="1022" spans="2:11">
      <c r="B1022" s="975" t="str">
        <f>tblControles[[#This Row],[Fecha]]&amp;"|"&amp;tblControles[[#This Row],[Módulo]]&amp;"|"&amp;tblControles[[#This Row],[Ítem]]&amp;"|"&amp;tblControles[[#This Row],[Turno]]</f>
        <v>46277|FILTROS H2O|Filtro Linea # 8|Obs</v>
      </c>
      <c r="C1022" s="871">
        <v>46277</v>
      </c>
      <c r="D1022" t="s">
        <v>9430</v>
      </c>
      <c r="E1022" t="s">
        <v>9468</v>
      </c>
      <c r="F1022" t="s">
        <v>9531</v>
      </c>
      <c r="G1022" t="s">
        <v>330</v>
      </c>
      <c r="H1022" t="s">
        <v>9333</v>
      </c>
      <c r="I1022" s="871">
        <v>46293.93683766204</v>
      </c>
      <c r="J1022" t="s">
        <v>9529</v>
      </c>
      <c r="K1022" s="975" t="str">
        <f>IF(COUNTIFS(tblControles[Clave],tblControles[[#This Row],[Clave]])&gt;1,"Duplicado","")</f>
        <v/>
      </c>
    </row>
    <row r="1023" spans="2:11">
      <c r="B1023" s="975" t="str">
        <f>tblControles[[#This Row],[Fecha]]&amp;"|"&amp;tblControles[[#This Row],[Módulo]]&amp;"|"&amp;tblControles[[#This Row],[Ítem]]&amp;"|"&amp;tblControles[[#This Row],[Turno]]</f>
        <v>46277|FILTROS H2O|Filtro Linea # 9 (01)|Obs</v>
      </c>
      <c r="C1023" s="871">
        <v>46277</v>
      </c>
      <c r="D1023" t="s">
        <v>9430</v>
      </c>
      <c r="E1023" t="s">
        <v>9469</v>
      </c>
      <c r="F1023" t="s">
        <v>9531</v>
      </c>
      <c r="G1023" t="s">
        <v>329</v>
      </c>
      <c r="H1023" t="s">
        <v>9333</v>
      </c>
      <c r="I1023" s="871">
        <v>46293.93683766204</v>
      </c>
      <c r="J1023" t="s">
        <v>9529</v>
      </c>
      <c r="K1023" s="975" t="str">
        <f>IF(COUNTIFS(tblControles[Clave],tblControles[[#This Row],[Clave]])&gt;1,"Duplicado","")</f>
        <v/>
      </c>
    </row>
    <row r="1024" spans="2:11">
      <c r="B1024" s="975" t="str">
        <f>tblControles[[#This Row],[Fecha]]&amp;"|"&amp;tblControles[[#This Row],[Módulo]]&amp;"|"&amp;tblControles[[#This Row],[Ítem]]&amp;"|"&amp;tblControles[[#This Row],[Turno]]</f>
        <v>46277|FILTROS H2O|Filtro Linea # 9 (02)|Obs</v>
      </c>
      <c r="C1024" s="871">
        <v>46277</v>
      </c>
      <c r="D1024" t="s">
        <v>9430</v>
      </c>
      <c r="E1024" t="s">
        <v>9470</v>
      </c>
      <c r="F1024" t="s">
        <v>9531</v>
      </c>
      <c r="G1024" t="s">
        <v>330</v>
      </c>
      <c r="H1024" t="s">
        <v>9333</v>
      </c>
      <c r="I1024" s="871">
        <v>46293.93683766204</v>
      </c>
      <c r="J1024" t="s">
        <v>9529</v>
      </c>
      <c r="K1024" s="975" t="str">
        <f>IF(COUNTIFS(tblControles[Clave],tblControles[[#This Row],[Clave]])&gt;1,"Duplicado","")</f>
        <v/>
      </c>
    </row>
    <row r="1025" spans="2:11">
      <c r="B1025" s="975" t="str">
        <f>tblControles[[#This Row],[Fecha]]&amp;"|"&amp;tblControles[[#This Row],[Módulo]]&amp;"|"&amp;tblControles[[#This Row],[Ítem]]&amp;"|"&amp;tblControles[[#This Row],[Turno]]</f>
        <v>46277|PURGA TKS AIRE|TK-MG-S. ROTULO|3er Turno</v>
      </c>
      <c r="C1025" s="871">
        <v>46277</v>
      </c>
      <c r="D1025" t="s">
        <v>9433</v>
      </c>
      <c r="E1025" t="s">
        <v>9471</v>
      </c>
      <c r="F1025" t="s">
        <v>9437</v>
      </c>
      <c r="G1025" t="s">
        <v>3227</v>
      </c>
      <c r="H1025" t="s">
        <v>9333</v>
      </c>
      <c r="I1025" s="871">
        <v>46293.93683766204</v>
      </c>
      <c r="J1025" t="s">
        <v>9530</v>
      </c>
      <c r="K1025" s="975" t="str">
        <f>IF(COUNTIFS(tblControles[Clave],tblControles[[#This Row],[Clave]])&gt;1,"Duplicado","")</f>
        <v/>
      </c>
    </row>
    <row r="1026" spans="2:11">
      <c r="B1026" s="975" t="str">
        <f>tblControles[[#This Row],[Fecha]]&amp;"|"&amp;tblControles[[#This Row],[Módulo]]&amp;"|"&amp;tblControles[[#This Row],[Ítem]]&amp;"|"&amp;tblControles[[#This Row],[Turno]]</f>
        <v>46277|PURGA TKS AIRE|TK-MG-001|3er Turno</v>
      </c>
      <c r="C1026" s="871">
        <v>46277</v>
      </c>
      <c r="D1026" t="s">
        <v>9433</v>
      </c>
      <c r="E1026" t="s">
        <v>337</v>
      </c>
      <c r="F1026" t="s">
        <v>9437</v>
      </c>
      <c r="G1026" t="s">
        <v>3227</v>
      </c>
      <c r="H1026" t="s">
        <v>9333</v>
      </c>
      <c r="I1026" s="871">
        <v>46293.93683766204</v>
      </c>
      <c r="J1026" t="s">
        <v>9530</v>
      </c>
      <c r="K1026" s="975" t="str">
        <f>IF(COUNTIFS(tblControles[Clave],tblControles[[#This Row],[Clave]])&gt;1,"Duplicado","")</f>
        <v/>
      </c>
    </row>
    <row r="1027" spans="2:11">
      <c r="B1027" s="975" t="str">
        <f>tblControles[[#This Row],[Fecha]]&amp;"|"&amp;tblControles[[#This Row],[Módulo]]&amp;"|"&amp;tblControles[[#This Row],[Ítem]]&amp;"|"&amp;tblControles[[#This Row],[Turno]]</f>
        <v>46277|PURGA TKS AIRE|TK-MG-002|3er Turno</v>
      </c>
      <c r="C1027" s="871">
        <v>46277</v>
      </c>
      <c r="D1027" t="s">
        <v>9433</v>
      </c>
      <c r="E1027" t="s">
        <v>339</v>
      </c>
      <c r="F1027" t="s">
        <v>9437</v>
      </c>
      <c r="G1027" t="s">
        <v>3227</v>
      </c>
      <c r="H1027" t="s">
        <v>9333</v>
      </c>
      <c r="I1027" s="871">
        <v>46293.93683766204</v>
      </c>
      <c r="J1027" t="s">
        <v>9530</v>
      </c>
      <c r="K1027" s="975" t="str">
        <f>IF(COUNTIFS(tblControles[Clave],tblControles[[#This Row],[Clave]])&gt;1,"Duplicado","")</f>
        <v/>
      </c>
    </row>
    <row r="1028" spans="2:11">
      <c r="B1028" s="975" t="str">
        <f>tblControles[[#This Row],[Fecha]]&amp;"|"&amp;tblControles[[#This Row],[Módulo]]&amp;"|"&amp;tblControles[[#This Row],[Ítem]]&amp;"|"&amp;tblControles[[#This Row],[Turno]]</f>
        <v>46277|PURGA TKS AIRE|TK-MG-003|3er Turno</v>
      </c>
      <c r="C1028" s="871">
        <v>46277</v>
      </c>
      <c r="D1028" t="s">
        <v>9433</v>
      </c>
      <c r="E1028" t="s">
        <v>341</v>
      </c>
      <c r="F1028" t="s">
        <v>9437</v>
      </c>
      <c r="G1028" t="s">
        <v>3227</v>
      </c>
      <c r="H1028" t="s">
        <v>9333</v>
      </c>
      <c r="I1028" s="871">
        <v>46293.93683766204</v>
      </c>
      <c r="J1028" t="s">
        <v>9530</v>
      </c>
      <c r="K1028" s="975" t="str">
        <f>IF(COUNTIFS(tblControles[Clave],tblControles[[#This Row],[Clave]])&gt;1,"Duplicado","")</f>
        <v/>
      </c>
    </row>
    <row r="1029" spans="2:11">
      <c r="B1029" s="975" t="str">
        <f>tblControles[[#This Row],[Fecha]]&amp;"|"&amp;tblControles[[#This Row],[Módulo]]&amp;"|"&amp;tblControles[[#This Row],[Ítem]]&amp;"|"&amp;tblControles[[#This Row],[Turno]]</f>
        <v>46277|PURGA TKS AIRE|TK-MG-005|3er Turno</v>
      </c>
      <c r="C1029" s="871">
        <v>46277</v>
      </c>
      <c r="D1029" t="s">
        <v>9433</v>
      </c>
      <c r="E1029" t="s">
        <v>343</v>
      </c>
      <c r="F1029" t="s">
        <v>9437</v>
      </c>
      <c r="G1029" t="s">
        <v>345</v>
      </c>
      <c r="H1029" t="s">
        <v>9333</v>
      </c>
      <c r="I1029" s="871">
        <v>46293.93683766204</v>
      </c>
      <c r="J1029" t="s">
        <v>9530</v>
      </c>
      <c r="K1029" s="975" t="str">
        <f>IF(COUNTIFS(tblControles[Clave],tblControles[[#This Row],[Clave]])&gt;1,"Duplicado","")</f>
        <v/>
      </c>
    </row>
    <row r="1030" spans="2:11">
      <c r="B1030" s="975" t="str">
        <f>tblControles[[#This Row],[Fecha]]&amp;"|"&amp;tblControles[[#This Row],[Módulo]]&amp;"|"&amp;tblControles[[#This Row],[Ítem]]&amp;"|"&amp;tblControles[[#This Row],[Turno]]</f>
        <v>46277|PURGA TKS AIRE|TK-MG-006|3er Turno</v>
      </c>
      <c r="C1030" s="871">
        <v>46277</v>
      </c>
      <c r="D1030" t="s">
        <v>9433</v>
      </c>
      <c r="E1030" t="s">
        <v>346</v>
      </c>
      <c r="F1030" t="s">
        <v>9437</v>
      </c>
      <c r="G1030" t="s">
        <v>3227</v>
      </c>
      <c r="H1030" t="s">
        <v>9333</v>
      </c>
      <c r="I1030" s="871">
        <v>46293.93683766204</v>
      </c>
      <c r="J1030" t="s">
        <v>9530</v>
      </c>
      <c r="K1030" s="975" t="str">
        <f>IF(COUNTIFS(tblControles[Clave],tblControles[[#This Row],[Clave]])&gt;1,"Duplicado","")</f>
        <v/>
      </c>
    </row>
    <row r="1031" spans="2:11">
      <c r="B1031" s="975" t="str">
        <f>tblControles[[#This Row],[Fecha]]&amp;"|"&amp;tblControles[[#This Row],[Módulo]]&amp;"|"&amp;tblControles[[#This Row],[Ítem]]&amp;"|"&amp;tblControles[[#This Row],[Turno]]</f>
        <v>46277|PURGA TKS AIRE|TK-MG-007|3er Turno</v>
      </c>
      <c r="C1031" s="871">
        <v>46277</v>
      </c>
      <c r="D1031" t="s">
        <v>9433</v>
      </c>
      <c r="E1031" t="s">
        <v>347</v>
      </c>
      <c r="F1031" t="s">
        <v>9437</v>
      </c>
      <c r="G1031" t="s">
        <v>3227</v>
      </c>
      <c r="H1031" t="s">
        <v>9333</v>
      </c>
      <c r="I1031" s="871">
        <v>46293.93683766204</v>
      </c>
      <c r="J1031" t="s">
        <v>9530</v>
      </c>
      <c r="K1031" s="975" t="str">
        <f>IF(COUNTIFS(tblControles[Clave],tblControles[[#This Row],[Clave]])&gt;1,"Duplicado","")</f>
        <v/>
      </c>
    </row>
    <row r="1032" spans="2:11">
      <c r="B1032" s="975" t="str">
        <f>tblControles[[#This Row],[Fecha]]&amp;"|"&amp;tblControles[[#This Row],[Módulo]]&amp;"|"&amp;tblControles[[#This Row],[Ítem]]&amp;"|"&amp;tblControles[[#This Row],[Turno]]</f>
        <v>46277|PURGA TKS AIRE|TK-MG-004|3er Turno</v>
      </c>
      <c r="C1032" s="871">
        <v>46277</v>
      </c>
      <c r="D1032" t="s">
        <v>9433</v>
      </c>
      <c r="E1032" t="s">
        <v>349</v>
      </c>
      <c r="F1032" t="s">
        <v>9437</v>
      </c>
      <c r="G1032" t="s">
        <v>3227</v>
      </c>
      <c r="H1032" t="s">
        <v>9333</v>
      </c>
      <c r="I1032" s="871">
        <v>46293.93683766204</v>
      </c>
      <c r="J1032" t="s">
        <v>9530</v>
      </c>
      <c r="K1032" s="975" t="str">
        <f>IF(COUNTIFS(tblControles[Clave],tblControles[[#This Row],[Clave]])&gt;1,"Duplicado","")</f>
        <v/>
      </c>
    </row>
    <row r="1033" spans="2:11">
      <c r="B1033" s="975" t="str">
        <f>tblControles[[#This Row],[Fecha]]&amp;"|"&amp;tblControles[[#This Row],[Módulo]]&amp;"|"&amp;tblControles[[#This Row],[Ítem]]&amp;"|"&amp;tblControles[[#This Row],[Turno]]</f>
        <v>46277|PURGA TKS AIRE|TK-MG-008|3er Turno</v>
      </c>
      <c r="C1033" s="871">
        <v>46277</v>
      </c>
      <c r="D1033" t="s">
        <v>9433</v>
      </c>
      <c r="E1033" t="s">
        <v>351</v>
      </c>
      <c r="F1033" t="s">
        <v>9437</v>
      </c>
      <c r="G1033" t="s">
        <v>3227</v>
      </c>
      <c r="H1033" t="s">
        <v>9333</v>
      </c>
      <c r="I1033" s="871">
        <v>46293.93683766204</v>
      </c>
      <c r="J1033" t="s">
        <v>9530</v>
      </c>
      <c r="K1033" s="975" t="str">
        <f>IF(COUNTIFS(tblControles[Clave],tblControles[[#This Row],[Clave]])&gt;1,"Duplicado","")</f>
        <v/>
      </c>
    </row>
    <row r="1034" spans="2:11">
      <c r="B1034" s="975" t="str">
        <f>tblControles[[#This Row],[Fecha]]&amp;"|"&amp;tblControles[[#This Row],[Módulo]]&amp;"|"&amp;tblControles[[#This Row],[Ítem]]&amp;"|"&amp;tblControles[[#This Row],[Turno]]</f>
        <v>46277|PURGA TKS AIRE|TK-MG-009|3er Turno</v>
      </c>
      <c r="C1034" s="871">
        <v>46277</v>
      </c>
      <c r="D1034" t="s">
        <v>9433</v>
      </c>
      <c r="E1034" t="s">
        <v>353</v>
      </c>
      <c r="F1034" t="s">
        <v>9437</v>
      </c>
      <c r="G1034" t="s">
        <v>3227</v>
      </c>
      <c r="H1034" t="s">
        <v>9333</v>
      </c>
      <c r="I1034" s="871">
        <v>46293.93683766204</v>
      </c>
      <c r="J1034" t="s">
        <v>9530</v>
      </c>
      <c r="K1034" s="975" t="str">
        <f>IF(COUNTIFS(tblControles[Clave],tblControles[[#This Row],[Clave]])&gt;1,"Duplicado","")</f>
        <v/>
      </c>
    </row>
    <row r="1035" spans="2:11">
      <c r="B1035" s="975" t="str">
        <f>tblControles[[#This Row],[Fecha]]&amp;"|"&amp;tblControles[[#This Row],[Módulo]]&amp;"|"&amp;tblControles[[#This Row],[Ítem]]&amp;"|"&amp;tblControles[[#This Row],[Turno]]</f>
        <v>46277|PURGA TKS AIRE|TK-MG-010|3er Turno</v>
      </c>
      <c r="C1035" s="871">
        <v>46277</v>
      </c>
      <c r="D1035" t="s">
        <v>9433</v>
      </c>
      <c r="E1035" t="s">
        <v>355</v>
      </c>
      <c r="F1035" t="s">
        <v>9437</v>
      </c>
      <c r="G1035" t="s">
        <v>3227</v>
      </c>
      <c r="H1035" t="s">
        <v>9333</v>
      </c>
      <c r="I1035" s="871">
        <v>46293.93683766204</v>
      </c>
      <c r="J1035" t="s">
        <v>9530</v>
      </c>
      <c r="K1035" s="975" t="str">
        <f>IF(COUNTIFS(tblControles[Clave],tblControles[[#This Row],[Clave]])&gt;1,"Duplicado","")</f>
        <v/>
      </c>
    </row>
    <row r="1036" spans="2:11">
      <c r="B1036" s="975" t="str">
        <f>tblControles[[#This Row],[Fecha]]&amp;"|"&amp;tblControles[[#This Row],[Módulo]]&amp;"|"&amp;tblControles[[#This Row],[Ítem]]&amp;"|"&amp;tblControles[[#This Row],[Turno]]</f>
        <v>46277|PURGA TKS AIRE|TK-MG-011|3er Turno</v>
      </c>
      <c r="C1036" s="871">
        <v>46277</v>
      </c>
      <c r="D1036" t="s">
        <v>9433</v>
      </c>
      <c r="E1036" t="s">
        <v>357</v>
      </c>
      <c r="F1036" t="s">
        <v>9437</v>
      </c>
      <c r="G1036" t="s">
        <v>3227</v>
      </c>
      <c r="H1036" t="s">
        <v>9333</v>
      </c>
      <c r="I1036" s="871">
        <v>46293.93683766204</v>
      </c>
      <c r="J1036" t="s">
        <v>9530</v>
      </c>
      <c r="K1036" s="975" t="str">
        <f>IF(COUNTIFS(tblControles[Clave],tblControles[[#This Row],[Clave]])&gt;1,"Duplicado","")</f>
        <v/>
      </c>
    </row>
    <row r="1037" spans="2:11">
      <c r="B1037" s="975" t="str">
        <f>tblControles[[#This Row],[Fecha]]&amp;"|"&amp;tblControles[[#This Row],[Módulo]]&amp;"|"&amp;tblControles[[#This Row],[Ítem]]&amp;"|"&amp;tblControles[[#This Row],[Turno]]</f>
        <v>46277|PURGA TKS AIRE|TK-MG-012|3er Turno</v>
      </c>
      <c r="C1037" s="871">
        <v>46277</v>
      </c>
      <c r="D1037" t="s">
        <v>9433</v>
      </c>
      <c r="E1037" t="s">
        <v>359</v>
      </c>
      <c r="F1037" t="s">
        <v>9437</v>
      </c>
      <c r="G1037" t="s">
        <v>3227</v>
      </c>
      <c r="H1037" t="s">
        <v>9333</v>
      </c>
      <c r="I1037" s="871">
        <v>46293.93683766204</v>
      </c>
      <c r="J1037" t="s">
        <v>9530</v>
      </c>
      <c r="K1037" s="975" t="str">
        <f>IF(COUNTIFS(tblControles[Clave],tblControles[[#This Row],[Clave]])&gt;1,"Duplicado","")</f>
        <v/>
      </c>
    </row>
    <row r="1038" spans="2:11">
      <c r="B1038" s="975" t="str">
        <f>tblControles[[#This Row],[Fecha]]&amp;"|"&amp;tblControles[[#This Row],[Módulo]]&amp;"|"&amp;tblControles[[#This Row],[Ítem]]&amp;"|"&amp;tblControles[[#This Row],[Turno]]</f>
        <v>46277|PURGA TKS AIRE|TK-MG-013|3er Turno</v>
      </c>
      <c r="C1038" s="871">
        <v>46277</v>
      </c>
      <c r="D1038" t="s">
        <v>9433</v>
      </c>
      <c r="E1038" t="s">
        <v>361</v>
      </c>
      <c r="F1038" t="s">
        <v>9437</v>
      </c>
      <c r="G1038" t="s">
        <v>3227</v>
      </c>
      <c r="H1038" t="s">
        <v>9333</v>
      </c>
      <c r="I1038" s="871">
        <v>46293.93683766204</v>
      </c>
      <c r="J1038" t="s">
        <v>9530</v>
      </c>
      <c r="K1038" s="975" t="str">
        <f>IF(COUNTIFS(tblControles[Clave],tblControles[[#This Row],[Clave]])&gt;1,"Duplicado","")</f>
        <v/>
      </c>
    </row>
    <row r="1039" spans="2:11">
      <c r="B1039" s="975" t="str">
        <f>tblControles[[#This Row],[Fecha]]&amp;"|"&amp;tblControles[[#This Row],[Módulo]]&amp;"|"&amp;tblControles[[#This Row],[Ítem]]&amp;"|"&amp;tblControles[[#This Row],[Turno]]</f>
        <v>46277|PURGA TKS AIRE|TK-MG-014|3er Turno</v>
      </c>
      <c r="C1039" s="871">
        <v>46277</v>
      </c>
      <c r="D1039" t="s">
        <v>9433</v>
      </c>
      <c r="E1039" t="s">
        <v>363</v>
      </c>
      <c r="F1039" t="s">
        <v>9437</v>
      </c>
      <c r="G1039" t="s">
        <v>3227</v>
      </c>
      <c r="H1039" t="s">
        <v>9333</v>
      </c>
      <c r="I1039" s="871">
        <v>46293.93683766204</v>
      </c>
      <c r="J1039" t="s">
        <v>9530</v>
      </c>
      <c r="K1039" s="975" t="str">
        <f>IF(COUNTIFS(tblControles[Clave],tblControles[[#This Row],[Clave]])&gt;1,"Duplicado","")</f>
        <v/>
      </c>
    </row>
    <row r="1040" spans="2:11">
      <c r="B1040" s="975" t="str">
        <f>tblControles[[#This Row],[Fecha]]&amp;"|"&amp;tblControles[[#This Row],[Módulo]]&amp;"|"&amp;tblControles[[#This Row],[Ítem]]&amp;"|"&amp;tblControles[[#This Row],[Turno]]</f>
        <v>46277|REACTIVOS|Ácido oxálico|Turno día (12 h)</v>
      </c>
      <c r="C1040" s="871">
        <v>46277</v>
      </c>
      <c r="D1040" t="s">
        <v>9444</v>
      </c>
      <c r="E1040" t="s">
        <v>9508</v>
      </c>
      <c r="F1040" t="s">
        <v>9446</v>
      </c>
      <c r="G1040">
        <v>0</v>
      </c>
      <c r="H1040" t="s">
        <v>9333</v>
      </c>
      <c r="I1040" s="871">
        <v>46293.93683766204</v>
      </c>
      <c r="J1040" t="s">
        <v>9527</v>
      </c>
      <c r="K1040" s="975" t="str">
        <f>IF(COUNTIFS(tblControles[Clave],tblControles[[#This Row],[Clave]])&gt;1,"Duplicado","")</f>
        <v/>
      </c>
    </row>
    <row r="1041" spans="2:11">
      <c r="B1041" s="975" t="str">
        <f>tblControles[[#This Row],[Fecha]]&amp;"|"&amp;tblControles[[#This Row],[Módulo]]&amp;"|"&amp;tblControles[[#This Row],[Ítem]]&amp;"|"&amp;tblControles[[#This Row],[Turno]]</f>
        <v>46277|REACTIVOS|Ácido oxálico|Turno noche (12 h)</v>
      </c>
      <c r="C1041" s="871">
        <v>46277</v>
      </c>
      <c r="D1041" t="s">
        <v>9444</v>
      </c>
      <c r="E1041" t="s">
        <v>9508</v>
      </c>
      <c r="F1041" t="s">
        <v>9447</v>
      </c>
      <c r="G1041">
        <v>18000</v>
      </c>
      <c r="H1041" t="s">
        <v>9333</v>
      </c>
      <c r="I1041" s="871">
        <v>46293.93683766204</v>
      </c>
      <c r="J1041" t="s">
        <v>9527</v>
      </c>
      <c r="K1041" s="975" t="str">
        <f>IF(COUNTIFS(tblControles[Clave],tblControles[[#This Row],[Clave]])&gt;1,"Duplicado","")</f>
        <v/>
      </c>
    </row>
    <row r="1042" spans="2:11">
      <c r="B1042" s="975" t="str">
        <f>tblControles[[#This Row],[Fecha]]&amp;"|"&amp;tblControles[[#This Row],[Módulo]]&amp;"|"&amp;tblControles[[#This Row],[Ítem]]&amp;"|"&amp;tblControles[[#This Row],[Turno]]</f>
        <v>46277|REACTIVOS|Xantato|Turno día (12 h)</v>
      </c>
      <c r="C1042" s="871">
        <v>46277</v>
      </c>
      <c r="D1042" t="s">
        <v>9444</v>
      </c>
      <c r="E1042" t="s">
        <v>9511</v>
      </c>
      <c r="F1042" t="s">
        <v>9446</v>
      </c>
      <c r="G1042">
        <v>350</v>
      </c>
      <c r="H1042" t="s">
        <v>9333</v>
      </c>
      <c r="I1042" s="871">
        <v>46293.93683766204</v>
      </c>
      <c r="J1042" t="s">
        <v>9527</v>
      </c>
      <c r="K1042" s="975" t="str">
        <f>IF(COUNTIFS(tblControles[Clave],tblControles[[#This Row],[Clave]])&gt;1,"Duplicado","")</f>
        <v/>
      </c>
    </row>
    <row r="1043" spans="2:11">
      <c r="B1043" s="975" t="str">
        <f>tblControles[[#This Row],[Fecha]]&amp;"|"&amp;tblControles[[#This Row],[Módulo]]&amp;"|"&amp;tblControles[[#This Row],[Ítem]]&amp;"|"&amp;tblControles[[#This Row],[Turno]]</f>
        <v>46277|REACTIVOS|Xantato|Turno noche (12 h)</v>
      </c>
      <c r="C1043" s="871">
        <v>46277</v>
      </c>
      <c r="D1043" t="s">
        <v>9444</v>
      </c>
      <c r="E1043" t="s">
        <v>9511</v>
      </c>
      <c r="F1043" t="s">
        <v>9447</v>
      </c>
      <c r="G1043">
        <v>3150</v>
      </c>
      <c r="H1043" t="s">
        <v>9333</v>
      </c>
      <c r="I1043" s="871">
        <v>46293.93683766204</v>
      </c>
      <c r="J1043" t="s">
        <v>9527</v>
      </c>
      <c r="K1043" s="975" t="str">
        <f>IF(COUNTIFS(tblControles[Clave],tblControles[[#This Row],[Clave]])&gt;1,"Duplicado","")</f>
        <v/>
      </c>
    </row>
    <row r="1044" spans="2:11">
      <c r="B1044" s="975" t="str">
        <f>tblControles[[#This Row],[Fecha]]&amp;"|"&amp;tblControles[[#This Row],[Módulo]]&amp;"|"&amp;tblControles[[#This Row],[Ítem]]&amp;"|"&amp;tblControles[[#This Row],[Turno]]</f>
        <v>46277|REACTIVOS|Espumante|Consumo día</v>
      </c>
      <c r="C1044" s="871">
        <v>46277</v>
      </c>
      <c r="D1044" t="s">
        <v>9444</v>
      </c>
      <c r="E1044" t="s">
        <v>9513</v>
      </c>
      <c r="F1044" t="s">
        <v>9870</v>
      </c>
      <c r="G1044">
        <v>1500</v>
      </c>
      <c r="H1044" t="s">
        <v>9333</v>
      </c>
      <c r="I1044" s="871">
        <v>46293.93683766204</v>
      </c>
      <c r="J1044" t="s">
        <v>9527</v>
      </c>
      <c r="K1044" s="975" t="str">
        <f>IF(COUNTIFS(tblControles[Clave],tblControles[[#This Row],[Clave]])&gt;1,"Duplicado","")</f>
        <v/>
      </c>
    </row>
    <row r="1045" spans="2:11">
      <c r="B1045" s="975" t="str">
        <f>tblControles[[#This Row],[Fecha]]&amp;"|"&amp;tblControles[[#This Row],[Módulo]]&amp;"|"&amp;tblControles[[#This Row],[Ítem]]&amp;"|"&amp;tblControles[[#This Row],[Turno]]</f>
        <v>46277|TONELADAS X TURNO|Molino barras 1|1° turno</v>
      </c>
      <c r="C1045" s="871">
        <v>46277</v>
      </c>
      <c r="D1045" t="s">
        <v>9449</v>
      </c>
      <c r="E1045" t="s">
        <v>387</v>
      </c>
      <c r="F1045" t="s">
        <v>396</v>
      </c>
      <c r="G1045">
        <v>0</v>
      </c>
      <c r="H1045" t="s">
        <v>9333</v>
      </c>
      <c r="I1045" s="871">
        <v>46293.93683766204</v>
      </c>
      <c r="J1045" t="s">
        <v>9528</v>
      </c>
      <c r="K1045" s="975" t="str">
        <f>IF(COUNTIFS(tblControles[Clave],tblControles[[#This Row],[Clave]])&gt;1,"Duplicado","")</f>
        <v/>
      </c>
    </row>
    <row r="1046" spans="2:11">
      <c r="B1046" s="975" t="str">
        <f>tblControles[[#This Row],[Fecha]]&amp;"|"&amp;tblControles[[#This Row],[Módulo]]&amp;"|"&amp;tblControles[[#This Row],[Ítem]]&amp;"|"&amp;tblControles[[#This Row],[Turno]]</f>
        <v>46277|TONELADAS X TURNO|Molino barras 1|2° turno</v>
      </c>
      <c r="C1046" s="871">
        <v>46277</v>
      </c>
      <c r="D1046" t="s">
        <v>9449</v>
      </c>
      <c r="E1046" t="s">
        <v>387</v>
      </c>
      <c r="F1046" t="s">
        <v>397</v>
      </c>
      <c r="G1046">
        <v>675</v>
      </c>
      <c r="H1046" t="s">
        <v>9333</v>
      </c>
      <c r="I1046" s="871">
        <v>46293.93683766204</v>
      </c>
      <c r="J1046" t="s">
        <v>9528</v>
      </c>
      <c r="K1046" s="975" t="str">
        <f>IF(COUNTIFS(tblControles[Clave],tblControles[[#This Row],[Clave]])&gt;1,"Duplicado","")</f>
        <v/>
      </c>
    </row>
    <row r="1047" spans="2:11">
      <c r="B1047" s="975" t="str">
        <f>tblControles[[#This Row],[Fecha]]&amp;"|"&amp;tblControles[[#This Row],[Módulo]]&amp;"|"&amp;tblControles[[#This Row],[Ítem]]&amp;"|"&amp;tblControles[[#This Row],[Turno]]</f>
        <v>46277|TONELADAS X TURNO|Molino barras 1|3° turno</v>
      </c>
      <c r="C1047" s="871">
        <v>46277</v>
      </c>
      <c r="D1047" t="s">
        <v>9449</v>
      </c>
      <c r="E1047" t="s">
        <v>387</v>
      </c>
      <c r="F1047" t="s">
        <v>398</v>
      </c>
      <c r="G1047">
        <v>1502</v>
      </c>
      <c r="H1047" t="s">
        <v>9333</v>
      </c>
      <c r="I1047" s="871">
        <v>46293.93683766204</v>
      </c>
      <c r="J1047" t="s">
        <v>9528</v>
      </c>
      <c r="K1047" s="975" t="str">
        <f>IF(COUNTIFS(tblControles[Clave],tblControles[[#This Row],[Clave]])&gt;1,"Duplicado","")</f>
        <v/>
      </c>
    </row>
    <row r="1048" spans="2:11">
      <c r="B1048" s="975" t="str">
        <f>tblControles[[#This Row],[Fecha]]&amp;"|"&amp;tblControles[[#This Row],[Módulo]]&amp;"|"&amp;tblControles[[#This Row],[Ítem]]&amp;"|"&amp;tblControles[[#This Row],[Turno]]</f>
        <v>46277|TONELADAS X TURNO|Molino barras 2|1° turno</v>
      </c>
      <c r="C1048" s="871">
        <v>46277</v>
      </c>
      <c r="D1048" t="s">
        <v>9449</v>
      </c>
      <c r="E1048" t="s">
        <v>388</v>
      </c>
      <c r="F1048" t="s">
        <v>396</v>
      </c>
      <c r="G1048">
        <v>0</v>
      </c>
      <c r="H1048" t="s">
        <v>9333</v>
      </c>
      <c r="I1048" s="871">
        <v>46293.93683766204</v>
      </c>
      <c r="J1048" t="s">
        <v>9528</v>
      </c>
      <c r="K1048" s="975" t="str">
        <f>IF(COUNTIFS(tblControles[Clave],tblControles[[#This Row],[Clave]])&gt;1,"Duplicado","")</f>
        <v/>
      </c>
    </row>
    <row r="1049" spans="2:11">
      <c r="B1049" s="975" t="str">
        <f>tblControles[[#This Row],[Fecha]]&amp;"|"&amp;tblControles[[#This Row],[Módulo]]&amp;"|"&amp;tblControles[[#This Row],[Ítem]]&amp;"|"&amp;tblControles[[#This Row],[Turno]]</f>
        <v>46277|TONELADAS X TURNO|Molino barras 2|2° turno</v>
      </c>
      <c r="C1049" s="871">
        <v>46277</v>
      </c>
      <c r="D1049" t="s">
        <v>9449</v>
      </c>
      <c r="E1049" t="s">
        <v>388</v>
      </c>
      <c r="F1049" t="s">
        <v>397</v>
      </c>
      <c r="G1049">
        <v>590</v>
      </c>
      <c r="H1049" t="s">
        <v>9333</v>
      </c>
      <c r="I1049" s="871">
        <v>46293.93683766204</v>
      </c>
      <c r="J1049" t="s">
        <v>9528</v>
      </c>
      <c r="K1049" s="975" t="str">
        <f>IF(COUNTIFS(tblControles[Clave],tblControles[[#This Row],[Clave]])&gt;1,"Duplicado","")</f>
        <v/>
      </c>
    </row>
    <row r="1050" spans="2:11">
      <c r="B1050" s="975" t="str">
        <f>tblControles[[#This Row],[Fecha]]&amp;"|"&amp;tblControles[[#This Row],[Módulo]]&amp;"|"&amp;tblControles[[#This Row],[Ítem]]&amp;"|"&amp;tblControles[[#This Row],[Turno]]</f>
        <v>46277|TONELADAS X TURNO|Molino barras 2|3° turno</v>
      </c>
      <c r="C1050" s="871">
        <v>46277</v>
      </c>
      <c r="D1050" t="s">
        <v>9449</v>
      </c>
      <c r="E1050" t="s">
        <v>388</v>
      </c>
      <c r="F1050" t="s">
        <v>398</v>
      </c>
      <c r="G1050">
        <v>1260</v>
      </c>
      <c r="H1050" t="s">
        <v>9333</v>
      </c>
      <c r="I1050" s="871">
        <v>46293.93683766204</v>
      </c>
      <c r="J1050" t="s">
        <v>9528</v>
      </c>
      <c r="K1050" s="975" t="str">
        <f>IF(COUNTIFS(tblControles[Clave],tblControles[[#This Row],[Clave]])&gt;1,"Duplicado","")</f>
        <v/>
      </c>
    </row>
    <row r="1051" spans="2:11">
      <c r="B1051" s="975" t="str">
        <f>tblControles[[#This Row],[Fecha]]&amp;"|"&amp;tblControles[[#This Row],[Módulo]]&amp;"|"&amp;tblControles[[#This Row],[Ítem]]&amp;"|"&amp;tblControles[[#This Row],[Turno]]</f>
        <v>46277|TONELADAS X TURNO|Molino barras 3|1° turno</v>
      </c>
      <c r="C1051" s="871">
        <v>46277</v>
      </c>
      <c r="D1051" t="s">
        <v>9449</v>
      </c>
      <c r="E1051" t="s">
        <v>389</v>
      </c>
      <c r="F1051" t="s">
        <v>396</v>
      </c>
      <c r="G1051">
        <v>0</v>
      </c>
      <c r="H1051" t="s">
        <v>9333</v>
      </c>
      <c r="I1051" s="871">
        <v>46293.93683766204</v>
      </c>
      <c r="J1051" t="s">
        <v>9528</v>
      </c>
      <c r="K1051" s="975" t="str">
        <f>IF(COUNTIFS(tblControles[Clave],tblControles[[#This Row],[Clave]])&gt;1,"Duplicado","")</f>
        <v/>
      </c>
    </row>
    <row r="1052" spans="2:11">
      <c r="B1052" s="975" t="str">
        <f>tblControles[[#This Row],[Fecha]]&amp;"|"&amp;tblControles[[#This Row],[Módulo]]&amp;"|"&amp;tblControles[[#This Row],[Ítem]]&amp;"|"&amp;tblControles[[#This Row],[Turno]]</f>
        <v>46277|TONELADAS X TURNO|Molino barras 3|2° turno</v>
      </c>
      <c r="C1052" s="871">
        <v>46277</v>
      </c>
      <c r="D1052" t="s">
        <v>9449</v>
      </c>
      <c r="E1052" t="s">
        <v>389</v>
      </c>
      <c r="F1052" t="s">
        <v>397</v>
      </c>
      <c r="G1052">
        <v>520</v>
      </c>
      <c r="H1052" t="s">
        <v>9333</v>
      </c>
      <c r="I1052" s="871">
        <v>46293.93683766204</v>
      </c>
      <c r="J1052" t="s">
        <v>9528</v>
      </c>
      <c r="K1052" s="975" t="str">
        <f>IF(COUNTIFS(tblControles[Clave],tblControles[[#This Row],[Clave]])&gt;1,"Duplicado","")</f>
        <v/>
      </c>
    </row>
    <row r="1053" spans="2:11">
      <c r="B1053" s="975" t="str">
        <f>tblControles[[#This Row],[Fecha]]&amp;"|"&amp;tblControles[[#This Row],[Módulo]]&amp;"|"&amp;tblControles[[#This Row],[Ítem]]&amp;"|"&amp;tblControles[[#This Row],[Turno]]</f>
        <v>46277|TONELADAS X TURNO|Molino barras 3|3° turno</v>
      </c>
      <c r="C1053" s="871">
        <v>46277</v>
      </c>
      <c r="D1053" t="s">
        <v>9449</v>
      </c>
      <c r="E1053" t="s">
        <v>389</v>
      </c>
      <c r="F1053" t="s">
        <v>398</v>
      </c>
      <c r="G1053">
        <v>1170</v>
      </c>
      <c r="H1053" t="s">
        <v>9333</v>
      </c>
      <c r="I1053" s="871">
        <v>46293.93683766204</v>
      </c>
      <c r="J1053" t="s">
        <v>9528</v>
      </c>
      <c r="K1053" s="975" t="str">
        <f>IF(COUNTIFS(tblControles[Clave],tblControles[[#This Row],[Clave]])&gt;1,"Duplicado","")</f>
        <v/>
      </c>
    </row>
    <row r="1054" spans="2:11">
      <c r="B1054" s="975" t="str">
        <f>tblControles[[#This Row],[Fecha]]&amp;"|"&amp;tblControles[[#This Row],[Módulo]]&amp;"|"&amp;tblControles[[#This Row],[Ítem]]&amp;"|"&amp;tblControles[[#This Row],[Turno]]</f>
        <v>46277|TONELADAS X TURNO|Molino barras 4|1° turno</v>
      </c>
      <c r="C1054" s="871">
        <v>46277</v>
      </c>
      <c r="D1054" t="s">
        <v>9449</v>
      </c>
      <c r="E1054" t="s">
        <v>390</v>
      </c>
      <c r="F1054" t="s">
        <v>396</v>
      </c>
      <c r="G1054">
        <v>0</v>
      </c>
      <c r="H1054" t="s">
        <v>9333</v>
      </c>
      <c r="I1054" s="871">
        <v>46293.93683766204</v>
      </c>
      <c r="J1054" t="s">
        <v>9528</v>
      </c>
      <c r="K1054" s="975" t="str">
        <f>IF(COUNTIFS(tblControles[Clave],tblControles[[#This Row],[Clave]])&gt;1,"Duplicado","")</f>
        <v/>
      </c>
    </row>
    <row r="1055" spans="2:11">
      <c r="B1055" s="975" t="str">
        <f>tblControles[[#This Row],[Fecha]]&amp;"|"&amp;tblControles[[#This Row],[Módulo]]&amp;"|"&amp;tblControles[[#This Row],[Ítem]]&amp;"|"&amp;tblControles[[#This Row],[Turno]]</f>
        <v>46277|TONELADAS X TURNO|Molino barras 4|2° turno</v>
      </c>
      <c r="C1055" s="871">
        <v>46277</v>
      </c>
      <c r="D1055" t="s">
        <v>9449</v>
      </c>
      <c r="E1055" t="s">
        <v>390</v>
      </c>
      <c r="F1055" t="s">
        <v>397</v>
      </c>
      <c r="G1055">
        <v>0</v>
      </c>
      <c r="H1055" t="s">
        <v>9333</v>
      </c>
      <c r="I1055" s="871">
        <v>46293.93683766204</v>
      </c>
      <c r="J1055" t="s">
        <v>9528</v>
      </c>
      <c r="K1055" s="975" t="str">
        <f>IF(COUNTIFS(tblControles[Clave],tblControles[[#This Row],[Clave]])&gt;1,"Duplicado","")</f>
        <v/>
      </c>
    </row>
    <row r="1056" spans="2:11">
      <c r="B1056" s="975" t="str">
        <f>tblControles[[#This Row],[Fecha]]&amp;"|"&amp;tblControles[[#This Row],[Módulo]]&amp;"|"&amp;tblControles[[#This Row],[Ítem]]&amp;"|"&amp;tblControles[[#This Row],[Turno]]</f>
        <v>46277|TONELADAS X TURNO|Molino barras 4|3° turno</v>
      </c>
      <c r="C1056" s="871">
        <v>46277</v>
      </c>
      <c r="D1056" t="s">
        <v>9449</v>
      </c>
      <c r="E1056" t="s">
        <v>390</v>
      </c>
      <c r="F1056" t="s">
        <v>398</v>
      </c>
      <c r="G1056">
        <v>0</v>
      </c>
      <c r="H1056" t="s">
        <v>9333</v>
      </c>
      <c r="I1056" s="871">
        <v>46293.93683766204</v>
      </c>
      <c r="J1056" t="s">
        <v>9528</v>
      </c>
      <c r="K1056" s="975" t="str">
        <f>IF(COUNTIFS(tblControles[Clave],tblControles[[#This Row],[Clave]])&gt;1,"Duplicado","")</f>
        <v/>
      </c>
    </row>
    <row r="1057" spans="2:11">
      <c r="B1057" s="975" t="str">
        <f>tblControles[[#This Row],[Fecha]]&amp;"|"&amp;tblControles[[#This Row],[Módulo]]&amp;"|"&amp;tblControles[[#This Row],[Ítem]]&amp;"|"&amp;tblControles[[#This Row],[Turno]]</f>
        <v>46277|TONELADAS X TURNO|Molino barras 5|1° turno</v>
      </c>
      <c r="C1057" s="871">
        <v>46277</v>
      </c>
      <c r="D1057" t="s">
        <v>9449</v>
      </c>
      <c r="E1057" t="s">
        <v>391</v>
      </c>
      <c r="F1057" t="s">
        <v>396</v>
      </c>
      <c r="G1057">
        <v>0</v>
      </c>
      <c r="H1057" t="s">
        <v>9333</v>
      </c>
      <c r="I1057" s="871">
        <v>46293.93683766204</v>
      </c>
      <c r="J1057" t="s">
        <v>9528</v>
      </c>
      <c r="K1057" s="975" t="str">
        <f>IF(COUNTIFS(tblControles[Clave],tblControles[[#This Row],[Clave]])&gt;1,"Duplicado","")</f>
        <v/>
      </c>
    </row>
    <row r="1058" spans="2:11">
      <c r="B1058" s="975" t="str">
        <f>tblControles[[#This Row],[Fecha]]&amp;"|"&amp;tblControles[[#This Row],[Módulo]]&amp;"|"&amp;tblControles[[#This Row],[Ítem]]&amp;"|"&amp;tblControles[[#This Row],[Turno]]</f>
        <v>46277|TONELADAS X TURNO|Molino barras 5|2° turno</v>
      </c>
      <c r="C1058" s="871">
        <v>46277</v>
      </c>
      <c r="D1058" t="s">
        <v>9449</v>
      </c>
      <c r="E1058" t="s">
        <v>391</v>
      </c>
      <c r="F1058" t="s">
        <v>397</v>
      </c>
      <c r="G1058">
        <v>840</v>
      </c>
      <c r="H1058" t="s">
        <v>9333</v>
      </c>
      <c r="I1058" s="871">
        <v>46293.93683766204</v>
      </c>
      <c r="J1058" t="s">
        <v>9528</v>
      </c>
      <c r="K1058" s="975" t="str">
        <f>IF(COUNTIFS(tblControles[Clave],tblControles[[#This Row],[Clave]])&gt;1,"Duplicado","")</f>
        <v/>
      </c>
    </row>
    <row r="1059" spans="2:11">
      <c r="B1059" s="975" t="str">
        <f>tblControles[[#This Row],[Fecha]]&amp;"|"&amp;tblControles[[#This Row],[Módulo]]&amp;"|"&amp;tblControles[[#This Row],[Ítem]]&amp;"|"&amp;tblControles[[#This Row],[Turno]]</f>
        <v>46277|TONELADAS X TURNO|Molino barras 5|3° turno</v>
      </c>
      <c r="C1059" s="871">
        <v>46277</v>
      </c>
      <c r="D1059" t="s">
        <v>9449</v>
      </c>
      <c r="E1059" t="s">
        <v>391</v>
      </c>
      <c r="F1059" t="s">
        <v>398</v>
      </c>
      <c r="G1059">
        <v>1540</v>
      </c>
      <c r="H1059" t="s">
        <v>9333</v>
      </c>
      <c r="I1059" s="871">
        <v>46293.93683766204</v>
      </c>
      <c r="J1059" t="s">
        <v>9528</v>
      </c>
      <c r="K1059" s="975" t="str">
        <f>IF(COUNTIFS(tblControles[Clave],tblControles[[#This Row],[Clave]])&gt;1,"Duplicado","")</f>
        <v/>
      </c>
    </row>
    <row r="1060" spans="2:11">
      <c r="B1060" s="975" t="str">
        <f>tblControles[[#This Row],[Fecha]]&amp;"|"&amp;tblControles[[#This Row],[Módulo]]&amp;"|"&amp;tblControles[[#This Row],[Ítem]]&amp;"|"&amp;tblControles[[#This Row],[Turno]]</f>
        <v>46277|TONELADAS X TURNO|Molino barras 6|1° turno</v>
      </c>
      <c r="C1060" s="871">
        <v>46277</v>
      </c>
      <c r="D1060" t="s">
        <v>9449</v>
      </c>
      <c r="E1060" t="s">
        <v>392</v>
      </c>
      <c r="F1060" t="s">
        <v>396</v>
      </c>
      <c r="G1060">
        <v>0</v>
      </c>
      <c r="H1060" t="s">
        <v>9333</v>
      </c>
      <c r="I1060" s="871">
        <v>46293.93683766204</v>
      </c>
      <c r="J1060" t="s">
        <v>9528</v>
      </c>
      <c r="K1060" s="975" t="str">
        <f>IF(COUNTIFS(tblControles[Clave],tblControles[[#This Row],[Clave]])&gt;1,"Duplicado","")</f>
        <v/>
      </c>
    </row>
    <row r="1061" spans="2:11">
      <c r="B1061" s="975" t="str">
        <f>tblControles[[#This Row],[Fecha]]&amp;"|"&amp;tblControles[[#This Row],[Módulo]]&amp;"|"&amp;tblControles[[#This Row],[Ítem]]&amp;"|"&amp;tblControles[[#This Row],[Turno]]</f>
        <v>46277|TONELADAS X TURNO|Molino barras 6|2° turno</v>
      </c>
      <c r="C1061" s="871">
        <v>46277</v>
      </c>
      <c r="D1061" t="s">
        <v>9449</v>
      </c>
      <c r="E1061" t="s">
        <v>392</v>
      </c>
      <c r="F1061" t="s">
        <v>397</v>
      </c>
      <c r="G1061">
        <v>863</v>
      </c>
      <c r="H1061" t="s">
        <v>9333</v>
      </c>
      <c r="I1061" s="871">
        <v>46293.93683766204</v>
      </c>
      <c r="J1061" t="s">
        <v>9528</v>
      </c>
      <c r="K1061" s="975" t="str">
        <f>IF(COUNTIFS(tblControles[Clave],tblControles[[#This Row],[Clave]])&gt;1,"Duplicado","")</f>
        <v/>
      </c>
    </row>
    <row r="1062" spans="2:11">
      <c r="B1062" s="975" t="str">
        <f>tblControles[[#This Row],[Fecha]]&amp;"|"&amp;tblControles[[#This Row],[Módulo]]&amp;"|"&amp;tblControles[[#This Row],[Ítem]]&amp;"|"&amp;tblControles[[#This Row],[Turno]]</f>
        <v>46277|TONELADAS X TURNO|Molino barras 6|3° turno</v>
      </c>
      <c r="C1062" s="871">
        <v>46277</v>
      </c>
      <c r="D1062" t="s">
        <v>9449</v>
      </c>
      <c r="E1062" t="s">
        <v>392</v>
      </c>
      <c r="F1062" t="s">
        <v>398</v>
      </c>
      <c r="G1062">
        <v>1487</v>
      </c>
      <c r="H1062" t="s">
        <v>9333</v>
      </c>
      <c r="I1062" s="871">
        <v>46293.93683766204</v>
      </c>
      <c r="J1062" t="s">
        <v>9528</v>
      </c>
      <c r="K1062" s="975" t="str">
        <f>IF(COUNTIFS(tblControles[Clave],tblControles[[#This Row],[Clave]])&gt;1,"Duplicado","")</f>
        <v/>
      </c>
    </row>
    <row r="1063" spans="2:11">
      <c r="B1063" s="975" t="str">
        <f>tblControles[[#This Row],[Fecha]]&amp;"|"&amp;tblControles[[#This Row],[Módulo]]&amp;"|"&amp;tblControles[[#This Row],[Ítem]]&amp;"|"&amp;tblControles[[#This Row],[Turno]]</f>
        <v>46277|TONELADAS X TURNO|Molino barras 7|1° turno</v>
      </c>
      <c r="C1063" s="871">
        <v>46277</v>
      </c>
      <c r="D1063" t="s">
        <v>9449</v>
      </c>
      <c r="E1063" t="s">
        <v>393</v>
      </c>
      <c r="F1063" t="s">
        <v>396</v>
      </c>
      <c r="G1063">
        <v>0</v>
      </c>
      <c r="H1063" t="s">
        <v>9333</v>
      </c>
      <c r="I1063" s="871">
        <v>46293.93683766204</v>
      </c>
      <c r="J1063" t="s">
        <v>9528</v>
      </c>
      <c r="K1063" s="975" t="str">
        <f>IF(COUNTIFS(tblControles[Clave],tblControles[[#This Row],[Clave]])&gt;1,"Duplicado","")</f>
        <v/>
      </c>
    </row>
    <row r="1064" spans="2:11">
      <c r="B1064" s="975" t="str">
        <f>tblControles[[#This Row],[Fecha]]&amp;"|"&amp;tblControles[[#This Row],[Módulo]]&amp;"|"&amp;tblControles[[#This Row],[Ítem]]&amp;"|"&amp;tblControles[[#This Row],[Turno]]</f>
        <v>46277|TONELADAS X TURNO|Molino barras 7|2° turno</v>
      </c>
      <c r="C1064" s="871">
        <v>46277</v>
      </c>
      <c r="D1064" t="s">
        <v>9449</v>
      </c>
      <c r="E1064" t="s">
        <v>393</v>
      </c>
      <c r="F1064" t="s">
        <v>397</v>
      </c>
      <c r="G1064">
        <v>896</v>
      </c>
      <c r="H1064" t="s">
        <v>9333</v>
      </c>
      <c r="I1064" s="871">
        <v>46293.93683766204</v>
      </c>
      <c r="J1064" t="s">
        <v>9528</v>
      </c>
      <c r="K1064" s="975" t="str">
        <f>IF(COUNTIFS(tblControles[Clave],tblControles[[#This Row],[Clave]])&gt;1,"Duplicado","")</f>
        <v/>
      </c>
    </row>
    <row r="1065" spans="2:11">
      <c r="B1065" s="975" t="str">
        <f>tblControles[[#This Row],[Fecha]]&amp;"|"&amp;tblControles[[#This Row],[Módulo]]&amp;"|"&amp;tblControles[[#This Row],[Ítem]]&amp;"|"&amp;tblControles[[#This Row],[Turno]]</f>
        <v>46277|TONELADAS X TURNO|Molino barras 7|3° turno</v>
      </c>
      <c r="C1065" s="871">
        <v>46277</v>
      </c>
      <c r="D1065" t="s">
        <v>9449</v>
      </c>
      <c r="E1065" t="s">
        <v>393</v>
      </c>
      <c r="F1065" t="s">
        <v>398</v>
      </c>
      <c r="G1065">
        <v>1583</v>
      </c>
      <c r="H1065" t="s">
        <v>9333</v>
      </c>
      <c r="I1065" s="871">
        <v>46293.93683766204</v>
      </c>
      <c r="J1065" t="s">
        <v>9528</v>
      </c>
      <c r="K1065" s="975" t="str">
        <f>IF(COUNTIFS(tblControles[Clave],tblControles[[#This Row],[Clave]])&gt;1,"Duplicado","")</f>
        <v/>
      </c>
    </row>
    <row r="1066" spans="2:11">
      <c r="B1066" s="975" t="str">
        <f>tblControles[[#This Row],[Fecha]]&amp;"|"&amp;tblControles[[#This Row],[Módulo]]&amp;"|"&amp;tblControles[[#This Row],[Ítem]]&amp;"|"&amp;tblControles[[#This Row],[Turno]]</f>
        <v>46277|TONELADAS X TURNO|Molino barras 8|1° turno</v>
      </c>
      <c r="C1066" s="871">
        <v>46277</v>
      </c>
      <c r="D1066" t="s">
        <v>9449</v>
      </c>
      <c r="E1066" t="s">
        <v>394</v>
      </c>
      <c r="F1066" t="s">
        <v>396</v>
      </c>
      <c r="G1066">
        <v>0</v>
      </c>
      <c r="H1066" t="s">
        <v>9333</v>
      </c>
      <c r="I1066" s="871">
        <v>46293.93683766204</v>
      </c>
      <c r="J1066" t="s">
        <v>9528</v>
      </c>
      <c r="K1066" s="975" t="str">
        <f>IF(COUNTIFS(tblControles[Clave],tblControles[[#This Row],[Clave]])&gt;1,"Duplicado","")</f>
        <v/>
      </c>
    </row>
    <row r="1067" spans="2:11">
      <c r="B1067" s="975" t="str">
        <f>tblControles[[#This Row],[Fecha]]&amp;"|"&amp;tblControles[[#This Row],[Módulo]]&amp;"|"&amp;tblControles[[#This Row],[Ítem]]&amp;"|"&amp;tblControles[[#This Row],[Turno]]</f>
        <v>46277|TONELADAS X TURNO|Molino barras 8|2° turno</v>
      </c>
      <c r="C1067" s="871">
        <v>46277</v>
      </c>
      <c r="D1067" t="s">
        <v>9449</v>
      </c>
      <c r="E1067" t="s">
        <v>394</v>
      </c>
      <c r="F1067" t="s">
        <v>397</v>
      </c>
      <c r="G1067">
        <v>891</v>
      </c>
      <c r="H1067" t="s">
        <v>9333</v>
      </c>
      <c r="I1067" s="871">
        <v>46293.93683766204</v>
      </c>
      <c r="J1067" t="s">
        <v>9528</v>
      </c>
      <c r="K1067" s="975" t="str">
        <f>IF(COUNTIFS(tblControles[Clave],tblControles[[#This Row],[Clave]])&gt;1,"Duplicado","")</f>
        <v/>
      </c>
    </row>
    <row r="1068" spans="2:11">
      <c r="B1068" s="975" t="str">
        <f>tblControles[[#This Row],[Fecha]]&amp;"|"&amp;tblControles[[#This Row],[Módulo]]&amp;"|"&amp;tblControles[[#This Row],[Ítem]]&amp;"|"&amp;tblControles[[#This Row],[Turno]]</f>
        <v>46277|TONELADAS X TURNO|Molino barras 8|3° turno</v>
      </c>
      <c r="C1068" s="871">
        <v>46277</v>
      </c>
      <c r="D1068" t="s">
        <v>9449</v>
      </c>
      <c r="E1068" t="s">
        <v>394</v>
      </c>
      <c r="F1068" t="s">
        <v>398</v>
      </c>
      <c r="G1068">
        <v>1539</v>
      </c>
      <c r="H1068" t="s">
        <v>9333</v>
      </c>
      <c r="I1068" s="871">
        <v>46293.93683766204</v>
      </c>
      <c r="J1068" t="s">
        <v>9528</v>
      </c>
      <c r="K1068" s="975" t="str">
        <f>IF(COUNTIFS(tblControles[Clave],tblControles[[#This Row],[Clave]])&gt;1,"Duplicado","")</f>
        <v/>
      </c>
    </row>
    <row r="1069" spans="2:11">
      <c r="B1069" s="975" t="str">
        <f>tblControles[[#This Row],[Fecha]]&amp;"|"&amp;tblControles[[#This Row],[Módulo]]&amp;"|"&amp;tblControles[[#This Row],[Ítem]]&amp;"|"&amp;tblControles[[#This Row],[Turno]]</f>
        <v>46277|TONELADAS X TURNO|Molino barras 9|1° turno</v>
      </c>
      <c r="C1069" s="871">
        <v>46277</v>
      </c>
      <c r="D1069" t="s">
        <v>9449</v>
      </c>
      <c r="E1069" t="s">
        <v>395</v>
      </c>
      <c r="F1069" t="s">
        <v>396</v>
      </c>
      <c r="G1069">
        <v>0</v>
      </c>
      <c r="H1069" t="s">
        <v>9333</v>
      </c>
      <c r="I1069" s="871">
        <v>46293.93683766204</v>
      </c>
      <c r="J1069" t="s">
        <v>9528</v>
      </c>
      <c r="K1069" s="975" t="str">
        <f>IF(COUNTIFS(tblControles[Clave],tblControles[[#This Row],[Clave]])&gt;1,"Duplicado","")</f>
        <v/>
      </c>
    </row>
    <row r="1070" spans="2:11">
      <c r="B1070" s="975" t="str">
        <f>tblControles[[#This Row],[Fecha]]&amp;"|"&amp;tblControles[[#This Row],[Módulo]]&amp;"|"&amp;tblControles[[#This Row],[Ítem]]&amp;"|"&amp;tblControles[[#This Row],[Turno]]</f>
        <v>46277|TONELADAS X TURNO|Molino barras 9|2° turno</v>
      </c>
      <c r="C1070" s="871">
        <v>46277</v>
      </c>
      <c r="D1070" t="s">
        <v>9449</v>
      </c>
      <c r="E1070" t="s">
        <v>395</v>
      </c>
      <c r="F1070" t="s">
        <v>397</v>
      </c>
      <c r="G1070">
        <v>829</v>
      </c>
      <c r="H1070" t="s">
        <v>9333</v>
      </c>
      <c r="I1070" s="871">
        <v>46293.93683766204</v>
      </c>
      <c r="J1070" t="s">
        <v>9528</v>
      </c>
      <c r="K1070" s="975" t="str">
        <f>IF(COUNTIFS(tblControles[Clave],tblControles[[#This Row],[Clave]])&gt;1,"Duplicado","")</f>
        <v/>
      </c>
    </row>
    <row r="1071" spans="2:11">
      <c r="B1071" s="975" t="str">
        <f>tblControles[[#This Row],[Fecha]]&amp;"|"&amp;tblControles[[#This Row],[Módulo]]&amp;"|"&amp;tblControles[[#This Row],[Ítem]]&amp;"|"&amp;tblControles[[#This Row],[Turno]]</f>
        <v>46277|TONELADAS X TURNO|Molino barras 9|3° turno</v>
      </c>
      <c r="C1071" s="871">
        <v>46277</v>
      </c>
      <c r="D1071" t="s">
        <v>9449</v>
      </c>
      <c r="E1071" t="s">
        <v>395</v>
      </c>
      <c r="F1071" t="s">
        <v>398</v>
      </c>
      <c r="G1071">
        <v>1904</v>
      </c>
      <c r="H1071" t="s">
        <v>9333</v>
      </c>
      <c r="I1071" s="871">
        <v>46293.93683766204</v>
      </c>
      <c r="J1071" t="s">
        <v>9528</v>
      </c>
      <c r="K1071" s="975" t="str">
        <f>IF(COUNTIFS(tblControles[Clave],tblControles[[#This Row],[Clave]])&gt;1,"Duplicado","")</f>
        <v/>
      </c>
    </row>
    <row r="1072" spans="2:11">
      <c r="B1072" s="975" t="str">
        <f>tblControles[[#This Row],[Fecha]]&amp;"|"&amp;tblControles[[#This Row],[Módulo]]&amp;"|"&amp;tblControles[[#This Row],[Ítem]]&amp;"|"&amp;tblControles[[#This Row],[Turno]]</f>
        <v>46278|AGREGADO MEDIOS|BARRAS RM1|Cantidad</v>
      </c>
      <c r="C1072" s="871">
        <v>46278</v>
      </c>
      <c r="D1072" t="s">
        <v>9451</v>
      </c>
      <c r="E1072" t="s">
        <v>410</v>
      </c>
      <c r="F1072" t="s">
        <v>9453</v>
      </c>
      <c r="G1072">
        <v>9</v>
      </c>
      <c r="H1072" t="s">
        <v>9333</v>
      </c>
      <c r="I1072" s="871">
        <v>46293.93683766204</v>
      </c>
      <c r="J1072" t="s">
        <v>9524</v>
      </c>
      <c r="K1072" s="975" t="str">
        <f>IF(COUNTIFS(tblControles[Clave],tblControles[[#This Row],[Clave]])&gt;1,"Duplicado","")</f>
        <v/>
      </c>
    </row>
    <row r="1073" spans="2:11">
      <c r="B1073" s="975" t="str">
        <f>tblControles[[#This Row],[Fecha]]&amp;"|"&amp;tblControles[[#This Row],[Módulo]]&amp;"|"&amp;tblControles[[#This Row],[Ítem]]&amp;"|"&amp;tblControles[[#This Row],[Turno]]</f>
        <v>46278|AGREGADO MEDIOS|BARRAS RM2|Cantidad</v>
      </c>
      <c r="C1073" s="871">
        <v>46278</v>
      </c>
      <c r="D1073" t="s">
        <v>9451</v>
      </c>
      <c r="E1073" t="s">
        <v>411</v>
      </c>
      <c r="F1073" t="s">
        <v>9453</v>
      </c>
      <c r="G1073">
        <v>0</v>
      </c>
      <c r="H1073" t="s">
        <v>9333</v>
      </c>
      <c r="I1073" s="871">
        <v>46293.93683766204</v>
      </c>
      <c r="J1073" t="s">
        <v>9524</v>
      </c>
      <c r="K1073" s="975" t="str">
        <f>IF(COUNTIFS(tblControles[Clave],tblControles[[#This Row],[Clave]])&gt;1,"Duplicado","")</f>
        <v/>
      </c>
    </row>
    <row r="1074" spans="2:11">
      <c r="B1074" s="975" t="str">
        <f>tblControles[[#This Row],[Fecha]]&amp;"|"&amp;tblControles[[#This Row],[Módulo]]&amp;"|"&amp;tblControles[[#This Row],[Ítem]]&amp;"|"&amp;tblControles[[#This Row],[Turno]]</f>
        <v>46278|AGREGADO MEDIOS|BARRAS RM3|Cantidad</v>
      </c>
      <c r="C1074" s="871">
        <v>46278</v>
      </c>
      <c r="D1074" t="s">
        <v>9451</v>
      </c>
      <c r="E1074" t="s">
        <v>412</v>
      </c>
      <c r="F1074" t="s">
        <v>9453</v>
      </c>
      <c r="G1074">
        <v>9</v>
      </c>
      <c r="H1074" t="s">
        <v>9333</v>
      </c>
      <c r="I1074" s="871">
        <v>46293.93683766204</v>
      </c>
      <c r="J1074" t="s">
        <v>9524</v>
      </c>
      <c r="K1074" s="975" t="str">
        <f>IF(COUNTIFS(tblControles[Clave],tblControles[[#This Row],[Clave]])&gt;1,"Duplicado","")</f>
        <v/>
      </c>
    </row>
    <row r="1075" spans="2:11">
      <c r="B1075" s="975" t="str">
        <f>tblControles[[#This Row],[Fecha]]&amp;"|"&amp;tblControles[[#This Row],[Módulo]]&amp;"|"&amp;tblControles[[#This Row],[Ítem]]&amp;"|"&amp;tblControles[[#This Row],[Turno]]</f>
        <v>46278|AGREGADO MEDIOS|BARRAS RM4|Cantidad</v>
      </c>
      <c r="C1075" s="871">
        <v>46278</v>
      </c>
      <c r="D1075" t="s">
        <v>9451</v>
      </c>
      <c r="E1075" t="s">
        <v>413</v>
      </c>
      <c r="F1075" t="s">
        <v>9453</v>
      </c>
      <c r="G1075">
        <v>0</v>
      </c>
      <c r="H1075" t="s">
        <v>9333</v>
      </c>
      <c r="I1075" s="871">
        <v>46293.93683766204</v>
      </c>
      <c r="J1075" t="s">
        <v>9524</v>
      </c>
      <c r="K1075" s="975" t="str">
        <f>IF(COUNTIFS(tblControles[Clave],tblControles[[#This Row],[Clave]])&gt;1,"Duplicado","")</f>
        <v/>
      </c>
    </row>
    <row r="1076" spans="2:11">
      <c r="B1076" s="975" t="str">
        <f>tblControles[[#This Row],[Fecha]]&amp;"|"&amp;tblControles[[#This Row],[Módulo]]&amp;"|"&amp;tblControles[[#This Row],[Ítem]]&amp;"|"&amp;tblControles[[#This Row],[Turno]]</f>
        <v>46278|AGREGADO MEDIOS|BARRAS RM5|Cantidad</v>
      </c>
      <c r="C1076" s="871">
        <v>46278</v>
      </c>
      <c r="D1076" t="s">
        <v>9451</v>
      </c>
      <c r="E1076" t="s">
        <v>414</v>
      </c>
      <c r="F1076" t="s">
        <v>9453</v>
      </c>
      <c r="G1076">
        <v>9</v>
      </c>
      <c r="H1076" t="s">
        <v>9333</v>
      </c>
      <c r="I1076" s="871">
        <v>46293.93683766204</v>
      </c>
      <c r="J1076" t="s">
        <v>9524</v>
      </c>
      <c r="K1076" s="975" t="str">
        <f>IF(COUNTIFS(tblControles[Clave],tblControles[[#This Row],[Clave]])&gt;1,"Duplicado","")</f>
        <v/>
      </c>
    </row>
    <row r="1077" spans="2:11">
      <c r="B1077" s="975" t="str">
        <f>tblControles[[#This Row],[Fecha]]&amp;"|"&amp;tblControles[[#This Row],[Módulo]]&amp;"|"&amp;tblControles[[#This Row],[Ítem]]&amp;"|"&amp;tblControles[[#This Row],[Turno]]</f>
        <v>46278|AGREGADO MEDIOS|BARRAS RM6|Cantidad</v>
      </c>
      <c r="C1077" s="871">
        <v>46278</v>
      </c>
      <c r="D1077" t="s">
        <v>9451</v>
      </c>
      <c r="E1077" t="s">
        <v>415</v>
      </c>
      <c r="F1077" t="s">
        <v>9453</v>
      </c>
      <c r="G1077">
        <v>9</v>
      </c>
      <c r="H1077" t="s">
        <v>9333</v>
      </c>
      <c r="I1077" s="871">
        <v>46293.93683766204</v>
      </c>
      <c r="J1077" t="s">
        <v>9524</v>
      </c>
      <c r="K1077" s="975" t="str">
        <f>IF(COUNTIFS(tblControles[Clave],tblControles[[#This Row],[Clave]])&gt;1,"Duplicado","")</f>
        <v/>
      </c>
    </row>
    <row r="1078" spans="2:11">
      <c r="B1078" s="975" t="str">
        <f>tblControles[[#This Row],[Fecha]]&amp;"|"&amp;tblControles[[#This Row],[Módulo]]&amp;"|"&amp;tblControles[[#This Row],[Ítem]]&amp;"|"&amp;tblControles[[#This Row],[Turno]]</f>
        <v>46278|AGREGADO MEDIOS|BARRAS RM7|Cantidad</v>
      </c>
      <c r="C1078" s="871">
        <v>46278</v>
      </c>
      <c r="D1078" t="s">
        <v>9451</v>
      </c>
      <c r="E1078" t="s">
        <v>416</v>
      </c>
      <c r="F1078" t="s">
        <v>9453</v>
      </c>
      <c r="G1078">
        <v>9</v>
      </c>
      <c r="H1078" t="s">
        <v>9333</v>
      </c>
      <c r="I1078" s="871">
        <v>46293.93683766204</v>
      </c>
      <c r="J1078" t="s">
        <v>9524</v>
      </c>
      <c r="K1078" s="975" t="str">
        <f>IF(COUNTIFS(tblControles[Clave],tblControles[[#This Row],[Clave]])&gt;1,"Duplicado","")</f>
        <v/>
      </c>
    </row>
    <row r="1079" spans="2:11">
      <c r="B1079" s="975" t="str">
        <f>tblControles[[#This Row],[Fecha]]&amp;"|"&amp;tblControles[[#This Row],[Módulo]]&amp;"|"&amp;tblControles[[#This Row],[Ítem]]&amp;"|"&amp;tblControles[[#This Row],[Turno]]</f>
        <v>46278|AGREGADO MEDIOS|BARRAS RM8|Cantidad</v>
      </c>
      <c r="C1079" s="871">
        <v>46278</v>
      </c>
      <c r="D1079" t="s">
        <v>9451</v>
      </c>
      <c r="E1079" t="s">
        <v>417</v>
      </c>
      <c r="F1079" t="s">
        <v>9453</v>
      </c>
      <c r="G1079">
        <v>9</v>
      </c>
      <c r="H1079" t="s">
        <v>9333</v>
      </c>
      <c r="I1079" s="871">
        <v>46293.93683766204</v>
      </c>
      <c r="J1079" t="s">
        <v>9524</v>
      </c>
      <c r="K1079" s="975" t="str">
        <f>IF(COUNTIFS(tblControles[Clave],tblControles[[#This Row],[Clave]])&gt;1,"Duplicado","")</f>
        <v/>
      </c>
    </row>
    <row r="1080" spans="2:11">
      <c r="B1080" s="975" t="str">
        <f>tblControles[[#This Row],[Fecha]]&amp;"|"&amp;tblControles[[#This Row],[Módulo]]&amp;"|"&amp;tblControles[[#This Row],[Ítem]]&amp;"|"&amp;tblControles[[#This Row],[Turno]]</f>
        <v>46278|AGREGADO MEDIOS|BARRAS 9 RM9|Cantidad</v>
      </c>
      <c r="C1080" s="871">
        <v>46278</v>
      </c>
      <c r="D1080" t="s">
        <v>9451</v>
      </c>
      <c r="E1080" t="s">
        <v>418</v>
      </c>
      <c r="F1080" t="s">
        <v>9453</v>
      </c>
      <c r="G1080">
        <v>9</v>
      </c>
      <c r="H1080" t="s">
        <v>9333</v>
      </c>
      <c r="I1080" s="871">
        <v>46293.93683766204</v>
      </c>
      <c r="J1080" t="s">
        <v>9524</v>
      </c>
      <c r="K1080" s="975" t="str">
        <f>IF(COUNTIFS(tblControles[Clave],tblControles[[#This Row],[Clave]])&gt;1,"Duplicado","")</f>
        <v/>
      </c>
    </row>
    <row r="1081" spans="2:11">
      <c r="B1081" s="975" t="str">
        <f>tblControles[[#This Row],[Fecha]]&amp;"|"&amp;tblControles[[#This Row],[Módulo]]&amp;"|"&amp;tblControles[[#This Row],[Ítem]]&amp;"|"&amp;tblControles[[#This Row],[Turno]]</f>
        <v>46278|AGREGADO MEDIOS|CONOS 40X50 BM1|Cantidad</v>
      </c>
      <c r="C1081" s="871">
        <v>46278</v>
      </c>
      <c r="D1081" t="s">
        <v>9451</v>
      </c>
      <c r="E1081" t="s">
        <v>420</v>
      </c>
      <c r="F1081" t="s">
        <v>9453</v>
      </c>
      <c r="G1081">
        <v>0</v>
      </c>
      <c r="H1081" t="s">
        <v>9333</v>
      </c>
      <c r="I1081" s="871">
        <v>46293.93683766204</v>
      </c>
      <c r="J1081" t="s">
        <v>9524</v>
      </c>
      <c r="K1081" s="975" t="str">
        <f>IF(COUNTIFS(tblControles[Clave],tblControles[[#This Row],[Clave]])&gt;1,"Duplicado","")</f>
        <v/>
      </c>
    </row>
    <row r="1082" spans="2:11">
      <c r="B1082" s="975" t="str">
        <f>tblControles[[#This Row],[Fecha]]&amp;"|"&amp;tblControles[[#This Row],[Módulo]]&amp;"|"&amp;tblControles[[#This Row],[Ítem]]&amp;"|"&amp;tblControles[[#This Row],[Turno]]</f>
        <v>46278|AGREGADO MEDIOS|CONOS 40X50 BM2|Cantidad</v>
      </c>
      <c r="C1082" s="871">
        <v>46278</v>
      </c>
      <c r="D1082" t="s">
        <v>9451</v>
      </c>
      <c r="E1082" t="s">
        <v>421</v>
      </c>
      <c r="F1082" t="s">
        <v>9453</v>
      </c>
      <c r="G1082">
        <v>0</v>
      </c>
      <c r="H1082" t="s">
        <v>9333</v>
      </c>
      <c r="I1082" s="871">
        <v>46293.93683766204</v>
      </c>
      <c r="J1082" t="s">
        <v>9524</v>
      </c>
      <c r="K1082" s="975" t="str">
        <f>IF(COUNTIFS(tblControles[Clave],tblControles[[#This Row],[Clave]])&gt;1,"Duplicado","")</f>
        <v/>
      </c>
    </row>
    <row r="1083" spans="2:11">
      <c r="B1083" s="975" t="str">
        <f>tblControles[[#This Row],[Fecha]]&amp;"|"&amp;tblControles[[#This Row],[Módulo]]&amp;"|"&amp;tblControles[[#This Row],[Ítem]]&amp;"|"&amp;tblControles[[#This Row],[Turno]]</f>
        <v>46278|AGREGADO MEDIOS|CONOS 40X50 BM3|Cantidad</v>
      </c>
      <c r="C1083" s="871">
        <v>46278</v>
      </c>
      <c r="D1083" t="s">
        <v>9451</v>
      </c>
      <c r="E1083" t="s">
        <v>422</v>
      </c>
      <c r="F1083" t="s">
        <v>9453</v>
      </c>
      <c r="G1083">
        <v>6</v>
      </c>
      <c r="H1083" t="s">
        <v>9333</v>
      </c>
      <c r="I1083" s="871">
        <v>46293.93683766204</v>
      </c>
      <c r="J1083" t="s">
        <v>9524</v>
      </c>
      <c r="K1083" s="975" t="str">
        <f>IF(COUNTIFS(tblControles[Clave],tblControles[[#This Row],[Clave]])&gt;1,"Duplicado","")</f>
        <v/>
      </c>
    </row>
    <row r="1084" spans="2:11">
      <c r="B1084" s="975" t="str">
        <f>tblControles[[#This Row],[Fecha]]&amp;"|"&amp;tblControles[[#This Row],[Módulo]]&amp;"|"&amp;tblControles[[#This Row],[Ítem]]&amp;"|"&amp;tblControles[[#This Row],[Turno]]</f>
        <v>46278|AGREGADO MEDIOS|CONOS 40X50 BM4|Cantidad</v>
      </c>
      <c r="C1084" s="871">
        <v>46278</v>
      </c>
      <c r="D1084" t="s">
        <v>9451</v>
      </c>
      <c r="E1084" t="s">
        <v>423</v>
      </c>
      <c r="F1084" t="s">
        <v>9453</v>
      </c>
      <c r="G1084">
        <v>0</v>
      </c>
      <c r="H1084" t="s">
        <v>9333</v>
      </c>
      <c r="I1084" s="871">
        <v>46293.93683766204</v>
      </c>
      <c r="J1084" t="s">
        <v>9524</v>
      </c>
      <c r="K1084" s="975" t="str">
        <f>IF(COUNTIFS(tblControles[Clave],tblControles[[#This Row],[Clave]])&gt;1,"Duplicado","")</f>
        <v/>
      </c>
    </row>
    <row r="1085" spans="2:11">
      <c r="B1085" s="975" t="str">
        <f>tblControles[[#This Row],[Fecha]]&amp;"|"&amp;tblControles[[#This Row],[Módulo]]&amp;"|"&amp;tblControles[[#This Row],[Ítem]]&amp;"|"&amp;tblControles[[#This Row],[Turno]]</f>
        <v>46278|AGREGADO MEDIOS|CONOS 30X35 BM5|Cantidad</v>
      </c>
      <c r="C1085" s="871">
        <v>46278</v>
      </c>
      <c r="D1085" t="s">
        <v>9451</v>
      </c>
      <c r="E1085" t="s">
        <v>424</v>
      </c>
      <c r="F1085" t="s">
        <v>9453</v>
      </c>
      <c r="G1085">
        <v>10</v>
      </c>
      <c r="H1085" t="s">
        <v>9333</v>
      </c>
      <c r="I1085" s="871">
        <v>46293.93683766204</v>
      </c>
      <c r="J1085" t="s">
        <v>9524</v>
      </c>
      <c r="K1085" s="975" t="str">
        <f>IF(COUNTIFS(tblControles[Clave],tblControles[[#This Row],[Clave]])&gt;1,"Duplicado","")</f>
        <v/>
      </c>
    </row>
    <row r="1086" spans="2:11">
      <c r="B1086" s="975" t="str">
        <f>tblControles[[#This Row],[Fecha]]&amp;"|"&amp;tblControles[[#This Row],[Módulo]]&amp;"|"&amp;tblControles[[#This Row],[Ítem]]&amp;"|"&amp;tblControles[[#This Row],[Turno]]</f>
        <v>46278|AGREGADO MEDIOS|CONOS 40X50 BM6|Cantidad</v>
      </c>
      <c r="C1086" s="871">
        <v>46278</v>
      </c>
      <c r="D1086" t="s">
        <v>9451</v>
      </c>
      <c r="E1086" t="s">
        <v>425</v>
      </c>
      <c r="F1086" t="s">
        <v>9453</v>
      </c>
      <c r="G1086">
        <v>0</v>
      </c>
      <c r="H1086" t="s">
        <v>9333</v>
      </c>
      <c r="I1086" s="871">
        <v>46293.93683766204</v>
      </c>
      <c r="J1086" t="s">
        <v>9524</v>
      </c>
      <c r="K1086" s="975" t="str">
        <f>IF(COUNTIFS(tblControles[Clave],tblControles[[#This Row],[Clave]])&gt;1,"Duplicado","")</f>
        <v/>
      </c>
    </row>
    <row r="1087" spans="2:11">
      <c r="B1087" s="975" t="str">
        <f>tblControles[[#This Row],[Fecha]]&amp;"|"&amp;tblControles[[#This Row],[Módulo]]&amp;"|"&amp;tblControles[[#This Row],[Ítem]]&amp;"|"&amp;tblControles[[#This Row],[Turno]]</f>
        <v>46278|AGREGADO MEDIOS|CONOS 40X50 BM7|Cantidad</v>
      </c>
      <c r="C1087" s="871">
        <v>46278</v>
      </c>
      <c r="D1087" t="s">
        <v>9451</v>
      </c>
      <c r="E1087" t="s">
        <v>426</v>
      </c>
      <c r="F1087" t="s">
        <v>9453</v>
      </c>
      <c r="G1087">
        <v>8</v>
      </c>
      <c r="H1087" t="s">
        <v>9333</v>
      </c>
      <c r="I1087" s="871">
        <v>46293.93683766204</v>
      </c>
      <c r="J1087" t="s">
        <v>9524</v>
      </c>
      <c r="K1087" s="975" t="str">
        <f>IF(COUNTIFS(tblControles[Clave],tblControles[[#This Row],[Clave]])&gt;1,"Duplicado","")</f>
        <v/>
      </c>
    </row>
    <row r="1088" spans="2:11">
      <c r="B1088" s="975" t="str">
        <f>tblControles[[#This Row],[Fecha]]&amp;"|"&amp;tblControles[[#This Row],[Módulo]]&amp;"|"&amp;tblControles[[#This Row],[Ítem]]&amp;"|"&amp;tblControles[[#This Row],[Turno]]</f>
        <v>46278|AGREGADO MEDIOS|CONOS 40X50|Cantidad</v>
      </c>
      <c r="C1088" s="871">
        <v>46278</v>
      </c>
      <c r="D1088" t="s">
        <v>9451</v>
      </c>
      <c r="E1088" t="s">
        <v>427</v>
      </c>
      <c r="F1088" t="s">
        <v>9453</v>
      </c>
      <c r="G1088">
        <v>0</v>
      </c>
      <c r="H1088" t="s">
        <v>9333</v>
      </c>
      <c r="I1088" s="871">
        <v>46293.93683766204</v>
      </c>
      <c r="J1088" t="s">
        <v>9524</v>
      </c>
      <c r="K1088" s="975" t="str">
        <f>IF(COUNTIFS(tblControles[Clave],tblControles[[#This Row],[Clave]])&gt;1,"Duplicado","")</f>
        <v/>
      </c>
    </row>
    <row r="1089" spans="2:11">
      <c r="B1089" s="975" t="str">
        <f>tblControles[[#This Row],[Fecha]]&amp;"|"&amp;tblControles[[#This Row],[Módulo]]&amp;"|"&amp;tblControles[[#This Row],[Ítem]]&amp;"|"&amp;tblControles[[#This Row],[Turno]]</f>
        <v>46278|AGREGADO MEDIOS|CONOS 30X35|Cantidad</v>
      </c>
      <c r="C1089" s="871">
        <v>46278</v>
      </c>
      <c r="D1089" t="s">
        <v>9451</v>
      </c>
      <c r="E1089" t="s">
        <v>428</v>
      </c>
      <c r="F1089" t="s">
        <v>9453</v>
      </c>
      <c r="G1089">
        <v>24</v>
      </c>
      <c r="H1089" t="s">
        <v>9333</v>
      </c>
      <c r="I1089" s="871">
        <v>46293.93683766204</v>
      </c>
      <c r="J1089" t="s">
        <v>9524</v>
      </c>
      <c r="K1089" s="975" t="str">
        <f>IF(COUNTIFS(tblControles[Clave],tblControles[[#This Row],[Clave]])&gt;1,"Duplicado","")</f>
        <v/>
      </c>
    </row>
    <row r="1090" spans="2:11">
      <c r="B1090" s="975" t="str">
        <f>tblControles[[#This Row],[Fecha]]&amp;"|"&amp;tblControles[[#This Row],[Módulo]]&amp;"|"&amp;tblControles[[#This Row],[Ítem]]&amp;"|"&amp;tblControles[[#This Row],[Turno]]</f>
        <v>46278|AGREGADO MEDIOS|BOLAS BM8|Cantidad</v>
      </c>
      <c r="C1090" s="871">
        <v>46278</v>
      </c>
      <c r="D1090" t="s">
        <v>9451</v>
      </c>
      <c r="E1090" t="s">
        <v>429</v>
      </c>
      <c r="F1090" t="s">
        <v>9453</v>
      </c>
      <c r="G1090">
        <v>0</v>
      </c>
      <c r="H1090" t="s">
        <v>9333</v>
      </c>
      <c r="I1090" s="871">
        <v>46293.93683766204</v>
      </c>
      <c r="J1090" t="s">
        <v>9524</v>
      </c>
      <c r="K1090" s="975" t="str">
        <f>IF(COUNTIFS(tblControles[Clave],tblControles[[#This Row],[Clave]])&gt;1,"Duplicado","")</f>
        <v/>
      </c>
    </row>
    <row r="1091" spans="2:11">
      <c r="B1091" s="975" t="str">
        <f>tblControles[[#This Row],[Fecha]]&amp;"|"&amp;tblControles[[#This Row],[Módulo]]&amp;"|"&amp;tblControles[[#This Row],[Ítem]]&amp;"|"&amp;tblControles[[#This Row],[Turno]]</f>
        <v>46278|AGREGADO MEDIOS|BOLAS BM9|Cantidad</v>
      </c>
      <c r="C1091" s="871">
        <v>46278</v>
      </c>
      <c r="D1091" t="s">
        <v>9451</v>
      </c>
      <c r="E1091" t="s">
        <v>430</v>
      </c>
      <c r="F1091" t="s">
        <v>9453</v>
      </c>
      <c r="G1091">
        <v>0</v>
      </c>
      <c r="H1091" t="s">
        <v>9333</v>
      </c>
      <c r="I1091" s="871">
        <v>46293.93683766204</v>
      </c>
      <c r="J1091" t="s">
        <v>9524</v>
      </c>
      <c r="K1091" s="975" t="str">
        <f>IF(COUNTIFS(tblControles[Clave],tblControles[[#This Row],[Clave]])&gt;1,"Duplicado","")</f>
        <v/>
      </c>
    </row>
    <row r="1092" spans="2:11">
      <c r="B1092" s="975" t="str">
        <f>tblControles[[#This Row],[Fecha]]&amp;"|"&amp;tblControles[[#This Row],[Módulo]]&amp;"|"&amp;tblControles[[#This Row],[Ítem]]&amp;"|"&amp;tblControles[[#This Row],[Turno]]</f>
        <v>46278|AGREGADO MEDIOS|BOLAS BM10|Cantidad</v>
      </c>
      <c r="C1092" s="871">
        <v>46278</v>
      </c>
      <c r="D1092" t="s">
        <v>9451</v>
      </c>
      <c r="E1092" t="s">
        <v>431</v>
      </c>
      <c r="F1092" t="s">
        <v>9453</v>
      </c>
      <c r="G1092">
        <v>0</v>
      </c>
      <c r="H1092" t="s">
        <v>9333</v>
      </c>
      <c r="I1092" s="871">
        <v>46293.93683766204</v>
      </c>
      <c r="J1092" t="s">
        <v>9524</v>
      </c>
      <c r="K1092" s="975" t="str">
        <f>IF(COUNTIFS(tblControles[Clave],tblControles[[#This Row],[Clave]])&gt;1,"Duplicado","")</f>
        <v/>
      </c>
    </row>
    <row r="1093" spans="2:11">
      <c r="B1093" s="975" t="str">
        <f>tblControles[[#This Row],[Fecha]]&amp;"|"&amp;tblControles[[#This Row],[Módulo]]&amp;"|"&amp;tblControles[[#This Row],[Ítem]]&amp;"|"&amp;tblControles[[#This Row],[Turno]]</f>
        <v>46278|AGREGADO MEDIOS|BOLAS ALTO CROM|Cantidad</v>
      </c>
      <c r="C1093" s="871">
        <v>46278</v>
      </c>
      <c r="D1093" t="s">
        <v>9451</v>
      </c>
      <c r="E1093" t="s">
        <v>432</v>
      </c>
      <c r="F1093" t="s">
        <v>9453</v>
      </c>
      <c r="G1093">
        <v>0</v>
      </c>
      <c r="H1093" t="s">
        <v>9333</v>
      </c>
      <c r="I1093" s="871">
        <v>46293.93683766204</v>
      </c>
      <c r="J1093" t="s">
        <v>9524</v>
      </c>
      <c r="K1093" s="975" t="str">
        <f>IF(COUNTIFS(tblControles[Clave],tblControles[[#This Row],[Clave]])&gt;1,"Duplicado","")</f>
        <v/>
      </c>
    </row>
    <row r="1094" spans="2:11">
      <c r="B1094" s="975" t="str">
        <f>tblControles[[#This Row],[Fecha]]&amp;"|"&amp;tblControles[[#This Row],[Módulo]]&amp;"|"&amp;tblControles[[#This Row],[Ítem]]&amp;"|"&amp;tblControles[[#This Row],[Turno]]</f>
        <v>46278|FILTROS H2O|Filtro # 1|2 TURNO</v>
      </c>
      <c r="C1094" s="871">
        <v>46278</v>
      </c>
      <c r="D1094" t="s">
        <v>9430</v>
      </c>
      <c r="E1094" t="s">
        <v>9525</v>
      </c>
      <c r="F1094" t="s">
        <v>327</v>
      </c>
      <c r="G1094" t="s">
        <v>3227</v>
      </c>
      <c r="H1094" t="s">
        <v>9333</v>
      </c>
      <c r="I1094" s="871">
        <v>46293.93683766204</v>
      </c>
      <c r="J1094" t="s">
        <v>9529</v>
      </c>
      <c r="K1094" s="975" t="str">
        <f>IF(COUNTIFS(tblControles[Clave],tblControles[[#This Row],[Clave]])&gt;1,"Duplicado","")</f>
        <v/>
      </c>
    </row>
    <row r="1095" spans="2:11">
      <c r="B1095" s="975" t="str">
        <f>tblControles[[#This Row],[Fecha]]&amp;"|"&amp;tblControles[[#This Row],[Módulo]]&amp;"|"&amp;tblControles[[#This Row],[Ítem]]&amp;"|"&amp;tblControles[[#This Row],[Turno]]</f>
        <v>46278|FILTROS H2O|Filtro # 2|2 TURNO</v>
      </c>
      <c r="C1095" s="871">
        <v>46278</v>
      </c>
      <c r="D1095" t="s">
        <v>9430</v>
      </c>
      <c r="E1095" t="s">
        <v>9463</v>
      </c>
      <c r="F1095" t="s">
        <v>327</v>
      </c>
      <c r="G1095" t="s">
        <v>3227</v>
      </c>
      <c r="H1095" t="s">
        <v>9333</v>
      </c>
      <c r="I1095" s="871">
        <v>46293.93683766204</v>
      </c>
      <c r="J1095" t="s">
        <v>9529</v>
      </c>
      <c r="K1095" s="975" t="str">
        <f>IF(COUNTIFS(tblControles[Clave],tblControles[[#This Row],[Clave]])&gt;1,"Duplicado","")</f>
        <v/>
      </c>
    </row>
    <row r="1096" spans="2:11">
      <c r="B1096" s="975" t="str">
        <f>tblControles[[#This Row],[Fecha]]&amp;"|"&amp;tblControles[[#This Row],[Módulo]]&amp;"|"&amp;tblControles[[#This Row],[Ítem]]&amp;"|"&amp;tblControles[[#This Row],[Turno]]</f>
        <v>46278|FILTROS H2O|Filtro # 3|2 TURNO</v>
      </c>
      <c r="C1096" s="871">
        <v>46278</v>
      </c>
      <c r="D1096" t="s">
        <v>9430</v>
      </c>
      <c r="E1096" t="s">
        <v>9464</v>
      </c>
      <c r="F1096" t="s">
        <v>327</v>
      </c>
      <c r="G1096" t="s">
        <v>3227</v>
      </c>
      <c r="H1096" t="s">
        <v>9333</v>
      </c>
      <c r="I1096" s="871">
        <v>46293.93683766204</v>
      </c>
      <c r="J1096" t="s">
        <v>9529</v>
      </c>
      <c r="K1096" s="975" t="str">
        <f>IF(COUNTIFS(tblControles[Clave],tblControles[[#This Row],[Clave]])&gt;1,"Duplicado","")</f>
        <v/>
      </c>
    </row>
    <row r="1097" spans="2:11">
      <c r="B1097" s="975" t="str">
        <f>tblControles[[#This Row],[Fecha]]&amp;"|"&amp;tblControles[[#This Row],[Módulo]]&amp;"|"&amp;tblControles[[#This Row],[Ítem]]&amp;"|"&amp;tblControles[[#This Row],[Turno]]</f>
        <v>46278|FILTROS H2O|Filtro # 4|2 TURNO</v>
      </c>
      <c r="C1097" s="871">
        <v>46278</v>
      </c>
      <c r="D1097" t="s">
        <v>9430</v>
      </c>
      <c r="E1097" t="s">
        <v>9465</v>
      </c>
      <c r="F1097" t="s">
        <v>327</v>
      </c>
      <c r="G1097" t="s">
        <v>345</v>
      </c>
      <c r="H1097" t="s">
        <v>9333</v>
      </c>
      <c r="I1097" s="871">
        <v>46293.93683766204</v>
      </c>
      <c r="J1097" t="s">
        <v>9529</v>
      </c>
      <c r="K1097" s="975" t="str">
        <f>IF(COUNTIFS(tblControles[Clave],tblControles[[#This Row],[Clave]])&gt;1,"Duplicado","")</f>
        <v/>
      </c>
    </row>
    <row r="1098" spans="2:11">
      <c r="B1098" s="975" t="str">
        <f>tblControles[[#This Row],[Fecha]]&amp;"|"&amp;tblControles[[#This Row],[Módulo]]&amp;"|"&amp;tblControles[[#This Row],[Ítem]]&amp;"|"&amp;tblControles[[#This Row],[Turno]]</f>
        <v>46278|FILTROS H2O|Filtro # 5|2 TURNO</v>
      </c>
      <c r="C1098" s="871">
        <v>46278</v>
      </c>
      <c r="D1098" t="s">
        <v>9430</v>
      </c>
      <c r="E1098" t="s">
        <v>9466</v>
      </c>
      <c r="F1098" t="s">
        <v>327</v>
      </c>
      <c r="G1098" t="s">
        <v>3227</v>
      </c>
      <c r="H1098" t="s">
        <v>9333</v>
      </c>
      <c r="I1098" s="871">
        <v>46293.93683766204</v>
      </c>
      <c r="J1098" t="s">
        <v>9529</v>
      </c>
      <c r="K1098" s="975" t="str">
        <f>IF(COUNTIFS(tblControles[Clave],tblControles[[#This Row],[Clave]])&gt;1,"Duplicado","")</f>
        <v/>
      </c>
    </row>
    <row r="1099" spans="2:11">
      <c r="B1099" s="975" t="str">
        <f>tblControles[[#This Row],[Fecha]]&amp;"|"&amp;tblControles[[#This Row],[Módulo]]&amp;"|"&amp;tblControles[[#This Row],[Ítem]]&amp;"|"&amp;tblControles[[#This Row],[Turno]]</f>
        <v>46278|FILTROS H2O|Filtro Linea # 5|2 TURNO</v>
      </c>
      <c r="C1099" s="871">
        <v>46278</v>
      </c>
      <c r="D1099" t="s">
        <v>9430</v>
      </c>
      <c r="E1099" t="s">
        <v>331</v>
      </c>
      <c r="F1099" t="s">
        <v>327</v>
      </c>
      <c r="G1099" t="s">
        <v>3227</v>
      </c>
      <c r="H1099" t="s">
        <v>9333</v>
      </c>
      <c r="I1099" s="871">
        <v>46293.93683766204</v>
      </c>
      <c r="J1099" t="s">
        <v>9529</v>
      </c>
      <c r="K1099" s="975" t="str">
        <f>IF(COUNTIFS(tblControles[Clave],tblControles[[#This Row],[Clave]])&gt;1,"Duplicado","")</f>
        <v/>
      </c>
    </row>
    <row r="1100" spans="2:11">
      <c r="B1100" s="975" t="str">
        <f>tblControles[[#This Row],[Fecha]]&amp;"|"&amp;tblControles[[#This Row],[Módulo]]&amp;"|"&amp;tblControles[[#This Row],[Ítem]]&amp;"|"&amp;tblControles[[#This Row],[Turno]]</f>
        <v>46278|FILTROS H2O|Filtro Linea # 6|2 TURNO</v>
      </c>
      <c r="C1100" s="871">
        <v>46278</v>
      </c>
      <c r="D1100" t="s">
        <v>9430</v>
      </c>
      <c r="E1100" t="s">
        <v>332</v>
      </c>
      <c r="F1100" t="s">
        <v>327</v>
      </c>
      <c r="G1100" t="s">
        <v>3227</v>
      </c>
      <c r="H1100" t="s">
        <v>9333</v>
      </c>
      <c r="I1100" s="871">
        <v>46293.93683766204</v>
      </c>
      <c r="J1100" t="s">
        <v>9529</v>
      </c>
      <c r="K1100" s="975" t="str">
        <f>IF(COUNTIFS(tblControles[Clave],tblControles[[#This Row],[Clave]])&gt;1,"Duplicado","")</f>
        <v/>
      </c>
    </row>
    <row r="1101" spans="2:11">
      <c r="B1101" s="975" t="str">
        <f>tblControles[[#This Row],[Fecha]]&amp;"|"&amp;tblControles[[#This Row],[Módulo]]&amp;"|"&amp;tblControles[[#This Row],[Ítem]]&amp;"|"&amp;tblControles[[#This Row],[Turno]]</f>
        <v>46278|FILTROS H2O|Filtro Linea # 7|2 TURNO</v>
      </c>
      <c r="C1101" s="871">
        <v>46278</v>
      </c>
      <c r="D1101" t="s">
        <v>9430</v>
      </c>
      <c r="E1101" t="s">
        <v>9467</v>
      </c>
      <c r="F1101" t="s">
        <v>327</v>
      </c>
      <c r="G1101" t="s">
        <v>3227</v>
      </c>
      <c r="H1101" t="s">
        <v>9333</v>
      </c>
      <c r="I1101" s="871">
        <v>46293.93683766204</v>
      </c>
      <c r="J1101" t="s">
        <v>9529</v>
      </c>
      <c r="K1101" s="975" t="str">
        <f>IF(COUNTIFS(tblControles[Clave],tblControles[[#This Row],[Clave]])&gt;1,"Duplicado","")</f>
        <v/>
      </c>
    </row>
    <row r="1102" spans="2:11">
      <c r="B1102" s="975" t="str">
        <f>tblControles[[#This Row],[Fecha]]&amp;"|"&amp;tblControles[[#This Row],[Módulo]]&amp;"|"&amp;tblControles[[#This Row],[Ítem]]&amp;"|"&amp;tblControles[[#This Row],[Turno]]</f>
        <v>46278|FILTROS H2O|Filtro Linea # 8|2 TURNO</v>
      </c>
      <c r="C1102" s="871">
        <v>46278</v>
      </c>
      <c r="D1102" t="s">
        <v>9430</v>
      </c>
      <c r="E1102" t="s">
        <v>9468</v>
      </c>
      <c r="F1102" t="s">
        <v>327</v>
      </c>
      <c r="G1102" t="s">
        <v>345</v>
      </c>
      <c r="H1102" t="s">
        <v>9333</v>
      </c>
      <c r="I1102" s="871">
        <v>46293.93683766204</v>
      </c>
      <c r="J1102" t="s">
        <v>9529</v>
      </c>
      <c r="K1102" s="975" t="str">
        <f>IF(COUNTIFS(tblControles[Clave],tblControles[[#This Row],[Clave]])&gt;1,"Duplicado","")</f>
        <v/>
      </c>
    </row>
    <row r="1103" spans="2:11">
      <c r="B1103" s="975" t="str">
        <f>tblControles[[#This Row],[Fecha]]&amp;"|"&amp;tblControles[[#This Row],[Módulo]]&amp;"|"&amp;tblControles[[#This Row],[Ítem]]&amp;"|"&amp;tblControles[[#This Row],[Turno]]</f>
        <v>46278|FILTROS H2O|Filtro Linea # 9 (01)|2 TURNO</v>
      </c>
      <c r="C1103" s="871">
        <v>46278</v>
      </c>
      <c r="D1103" t="s">
        <v>9430</v>
      </c>
      <c r="E1103" t="s">
        <v>9469</v>
      </c>
      <c r="F1103" t="s">
        <v>327</v>
      </c>
      <c r="G1103" t="s">
        <v>3227</v>
      </c>
      <c r="H1103" t="s">
        <v>9333</v>
      </c>
      <c r="I1103" s="871">
        <v>46293.93683766204</v>
      </c>
      <c r="J1103" t="s">
        <v>9529</v>
      </c>
      <c r="K1103" s="975" t="str">
        <f>IF(COUNTIFS(tblControles[Clave],tblControles[[#This Row],[Clave]])&gt;1,"Duplicado","")</f>
        <v/>
      </c>
    </row>
    <row r="1104" spans="2:11">
      <c r="B1104" s="975" t="str">
        <f>tblControles[[#This Row],[Fecha]]&amp;"|"&amp;tblControles[[#This Row],[Módulo]]&amp;"|"&amp;tblControles[[#This Row],[Ítem]]&amp;"|"&amp;tblControles[[#This Row],[Turno]]</f>
        <v>46278|FILTROS H2O|Filtro Linea # 9 (02)|2 TURNO</v>
      </c>
      <c r="C1104" s="871">
        <v>46278</v>
      </c>
      <c r="D1104" t="s">
        <v>9430</v>
      </c>
      <c r="E1104" t="s">
        <v>9470</v>
      </c>
      <c r="F1104" t="s">
        <v>327</v>
      </c>
      <c r="G1104" t="s">
        <v>345</v>
      </c>
      <c r="H1104" t="s">
        <v>9333</v>
      </c>
      <c r="I1104" s="871">
        <v>46293.93683766204</v>
      </c>
      <c r="J1104" t="s">
        <v>9529</v>
      </c>
      <c r="K1104" s="975" t="str">
        <f>IF(COUNTIFS(tblControles[Clave],tblControles[[#This Row],[Clave]])&gt;1,"Duplicado","")</f>
        <v/>
      </c>
    </row>
    <row r="1105" spans="2:11">
      <c r="B1105" s="975" t="str">
        <f>tblControles[[#This Row],[Fecha]]&amp;"|"&amp;tblControles[[#This Row],[Módulo]]&amp;"|"&amp;tblControles[[#This Row],[Ítem]]&amp;"|"&amp;tblControles[[#This Row],[Turno]]</f>
        <v>46278|PURGA TKS AIRE|TK-MG-S. ROTULO|1er Turno</v>
      </c>
      <c r="C1105" s="871">
        <v>46278</v>
      </c>
      <c r="D1105" t="s">
        <v>9433</v>
      </c>
      <c r="E1105" t="s">
        <v>9471</v>
      </c>
      <c r="F1105" t="s">
        <v>9435</v>
      </c>
      <c r="G1105" t="s">
        <v>3227</v>
      </c>
      <c r="H1105" t="s">
        <v>9333</v>
      </c>
      <c r="I1105" s="871">
        <v>46293.93683766204</v>
      </c>
      <c r="J1105" t="s">
        <v>9530</v>
      </c>
      <c r="K1105" s="975" t="str">
        <f>IF(COUNTIFS(tblControles[Clave],tblControles[[#This Row],[Clave]])&gt;1,"Duplicado","")</f>
        <v/>
      </c>
    </row>
    <row r="1106" spans="2:11">
      <c r="B1106" s="975" t="str">
        <f>tblControles[[#This Row],[Fecha]]&amp;"|"&amp;tblControles[[#This Row],[Módulo]]&amp;"|"&amp;tblControles[[#This Row],[Ítem]]&amp;"|"&amp;tblControles[[#This Row],[Turno]]</f>
        <v>46278|PURGA TKS AIRE|TK-MG-S. ROTULO|3er Turno</v>
      </c>
      <c r="C1106" s="871">
        <v>46278</v>
      </c>
      <c r="D1106" t="s">
        <v>9433</v>
      </c>
      <c r="E1106" t="s">
        <v>9471</v>
      </c>
      <c r="F1106" t="s">
        <v>9437</v>
      </c>
      <c r="G1106" t="s">
        <v>3227</v>
      </c>
      <c r="H1106" t="s">
        <v>9333</v>
      </c>
      <c r="I1106" s="871">
        <v>46293.93683766204</v>
      </c>
      <c r="J1106" t="s">
        <v>9530</v>
      </c>
      <c r="K1106" s="975" t="str">
        <f>IF(COUNTIFS(tblControles[Clave],tblControles[[#This Row],[Clave]])&gt;1,"Duplicado","")</f>
        <v/>
      </c>
    </row>
    <row r="1107" spans="2:11">
      <c r="B1107" s="975" t="str">
        <f>tblControles[[#This Row],[Fecha]]&amp;"|"&amp;tblControles[[#This Row],[Módulo]]&amp;"|"&amp;tblControles[[#This Row],[Ítem]]&amp;"|"&amp;tblControles[[#This Row],[Turno]]</f>
        <v>46278|PURGA TKS AIRE|TK-MG-001|1er Turno</v>
      </c>
      <c r="C1107" s="871">
        <v>46278</v>
      </c>
      <c r="D1107" t="s">
        <v>9433</v>
      </c>
      <c r="E1107" t="s">
        <v>337</v>
      </c>
      <c r="F1107" t="s">
        <v>9435</v>
      </c>
      <c r="G1107" t="s">
        <v>3227</v>
      </c>
      <c r="H1107" t="s">
        <v>9333</v>
      </c>
      <c r="I1107" s="871">
        <v>46293.93683766204</v>
      </c>
      <c r="J1107" t="s">
        <v>9530</v>
      </c>
      <c r="K1107" s="975" t="str">
        <f>IF(COUNTIFS(tblControles[Clave],tblControles[[#This Row],[Clave]])&gt;1,"Duplicado","")</f>
        <v/>
      </c>
    </row>
    <row r="1108" spans="2:11">
      <c r="B1108" s="975" t="str">
        <f>tblControles[[#This Row],[Fecha]]&amp;"|"&amp;tblControles[[#This Row],[Módulo]]&amp;"|"&amp;tblControles[[#This Row],[Ítem]]&amp;"|"&amp;tblControles[[#This Row],[Turno]]</f>
        <v>46278|PURGA TKS AIRE|TK-MG-001|3er Turno</v>
      </c>
      <c r="C1108" s="871">
        <v>46278</v>
      </c>
      <c r="D1108" t="s">
        <v>9433</v>
      </c>
      <c r="E1108" t="s">
        <v>337</v>
      </c>
      <c r="F1108" t="s">
        <v>9437</v>
      </c>
      <c r="G1108" t="s">
        <v>3227</v>
      </c>
      <c r="H1108" t="s">
        <v>9333</v>
      </c>
      <c r="I1108" s="871">
        <v>46293.93683766204</v>
      </c>
      <c r="J1108" t="s">
        <v>9530</v>
      </c>
      <c r="K1108" s="975" t="str">
        <f>IF(COUNTIFS(tblControles[Clave],tblControles[[#This Row],[Clave]])&gt;1,"Duplicado","")</f>
        <v/>
      </c>
    </row>
    <row r="1109" spans="2:11">
      <c r="B1109" s="975" t="str">
        <f>tblControles[[#This Row],[Fecha]]&amp;"|"&amp;tblControles[[#This Row],[Módulo]]&amp;"|"&amp;tblControles[[#This Row],[Ítem]]&amp;"|"&amp;tblControles[[#This Row],[Turno]]</f>
        <v>46278|PURGA TKS AIRE|TK-MG-002|1er Turno</v>
      </c>
      <c r="C1109" s="871">
        <v>46278</v>
      </c>
      <c r="D1109" t="s">
        <v>9433</v>
      </c>
      <c r="E1109" t="s">
        <v>339</v>
      </c>
      <c r="F1109" t="s">
        <v>9435</v>
      </c>
      <c r="G1109" t="s">
        <v>3227</v>
      </c>
      <c r="H1109" t="s">
        <v>9333</v>
      </c>
      <c r="I1109" s="871">
        <v>46293.93683766204</v>
      </c>
      <c r="J1109" t="s">
        <v>9530</v>
      </c>
      <c r="K1109" s="975" t="str">
        <f>IF(COUNTIFS(tblControles[Clave],tblControles[[#This Row],[Clave]])&gt;1,"Duplicado","")</f>
        <v/>
      </c>
    </row>
    <row r="1110" spans="2:11">
      <c r="B1110" s="975" t="str">
        <f>tblControles[[#This Row],[Fecha]]&amp;"|"&amp;tblControles[[#This Row],[Módulo]]&amp;"|"&amp;tblControles[[#This Row],[Ítem]]&amp;"|"&amp;tblControles[[#This Row],[Turno]]</f>
        <v>46278|PURGA TKS AIRE|TK-MG-002|3er Turno</v>
      </c>
      <c r="C1110" s="871">
        <v>46278</v>
      </c>
      <c r="D1110" t="s">
        <v>9433</v>
      </c>
      <c r="E1110" t="s">
        <v>339</v>
      </c>
      <c r="F1110" t="s">
        <v>9437</v>
      </c>
      <c r="G1110" t="s">
        <v>3227</v>
      </c>
      <c r="H1110" t="s">
        <v>9333</v>
      </c>
      <c r="I1110" s="871">
        <v>46293.93683766204</v>
      </c>
      <c r="J1110" t="s">
        <v>9530</v>
      </c>
      <c r="K1110" s="975" t="str">
        <f>IF(COUNTIFS(tblControles[Clave],tblControles[[#This Row],[Clave]])&gt;1,"Duplicado","")</f>
        <v/>
      </c>
    </row>
    <row r="1111" spans="2:11">
      <c r="B1111" s="975" t="str">
        <f>tblControles[[#This Row],[Fecha]]&amp;"|"&amp;tblControles[[#This Row],[Módulo]]&amp;"|"&amp;tblControles[[#This Row],[Ítem]]&amp;"|"&amp;tblControles[[#This Row],[Turno]]</f>
        <v>46278|PURGA TKS AIRE|TK-MG-003|1er Turno</v>
      </c>
      <c r="C1111" s="871">
        <v>46278</v>
      </c>
      <c r="D1111" t="s">
        <v>9433</v>
      </c>
      <c r="E1111" t="s">
        <v>341</v>
      </c>
      <c r="F1111" t="s">
        <v>9435</v>
      </c>
      <c r="G1111" t="s">
        <v>3227</v>
      </c>
      <c r="H1111" t="s">
        <v>9333</v>
      </c>
      <c r="I1111" s="871">
        <v>46293.93683766204</v>
      </c>
      <c r="J1111" t="s">
        <v>9530</v>
      </c>
      <c r="K1111" s="975" t="str">
        <f>IF(COUNTIFS(tblControles[Clave],tblControles[[#This Row],[Clave]])&gt;1,"Duplicado","")</f>
        <v/>
      </c>
    </row>
    <row r="1112" spans="2:11">
      <c r="B1112" s="975" t="str">
        <f>tblControles[[#This Row],[Fecha]]&amp;"|"&amp;tblControles[[#This Row],[Módulo]]&amp;"|"&amp;tblControles[[#This Row],[Ítem]]&amp;"|"&amp;tblControles[[#This Row],[Turno]]</f>
        <v>46278|PURGA TKS AIRE|TK-MG-003|3er Turno</v>
      </c>
      <c r="C1112" s="871">
        <v>46278</v>
      </c>
      <c r="D1112" t="s">
        <v>9433</v>
      </c>
      <c r="E1112" t="s">
        <v>341</v>
      </c>
      <c r="F1112" t="s">
        <v>9437</v>
      </c>
      <c r="G1112" t="s">
        <v>3227</v>
      </c>
      <c r="H1112" t="s">
        <v>9333</v>
      </c>
      <c r="I1112" s="871">
        <v>46293.93683766204</v>
      </c>
      <c r="J1112" t="s">
        <v>9530</v>
      </c>
      <c r="K1112" s="975" t="str">
        <f>IF(COUNTIFS(tblControles[Clave],tblControles[[#This Row],[Clave]])&gt;1,"Duplicado","")</f>
        <v/>
      </c>
    </row>
    <row r="1113" spans="2:11">
      <c r="B1113" s="975" t="str">
        <f>tblControles[[#This Row],[Fecha]]&amp;"|"&amp;tblControles[[#This Row],[Módulo]]&amp;"|"&amp;tblControles[[#This Row],[Ítem]]&amp;"|"&amp;tblControles[[#This Row],[Turno]]</f>
        <v>46278|PURGA TKS AIRE|TK-MG-005|1er Turno</v>
      </c>
      <c r="C1113" s="871">
        <v>46278</v>
      </c>
      <c r="D1113" t="s">
        <v>9433</v>
      </c>
      <c r="E1113" t="s">
        <v>343</v>
      </c>
      <c r="F1113" t="s">
        <v>9435</v>
      </c>
      <c r="G1113" t="s">
        <v>345</v>
      </c>
      <c r="H1113" t="s">
        <v>9333</v>
      </c>
      <c r="I1113" s="871">
        <v>46293.93683766204</v>
      </c>
      <c r="J1113" t="s">
        <v>9530</v>
      </c>
      <c r="K1113" s="975" t="str">
        <f>IF(COUNTIFS(tblControles[Clave],tblControles[[#This Row],[Clave]])&gt;1,"Duplicado","")</f>
        <v/>
      </c>
    </row>
    <row r="1114" spans="2:11">
      <c r="B1114" s="975" t="str">
        <f>tblControles[[#This Row],[Fecha]]&amp;"|"&amp;tblControles[[#This Row],[Módulo]]&amp;"|"&amp;tblControles[[#This Row],[Ítem]]&amp;"|"&amp;tblControles[[#This Row],[Turno]]</f>
        <v>46278|PURGA TKS AIRE|TK-MG-005|3er Turno</v>
      </c>
      <c r="C1114" s="871">
        <v>46278</v>
      </c>
      <c r="D1114" t="s">
        <v>9433</v>
      </c>
      <c r="E1114" t="s">
        <v>343</v>
      </c>
      <c r="F1114" t="s">
        <v>9437</v>
      </c>
      <c r="G1114" t="s">
        <v>345</v>
      </c>
      <c r="H1114" t="s">
        <v>9333</v>
      </c>
      <c r="I1114" s="871">
        <v>46293.93683766204</v>
      </c>
      <c r="J1114" t="s">
        <v>9530</v>
      </c>
      <c r="K1114" s="975" t="str">
        <f>IF(COUNTIFS(tblControles[Clave],tblControles[[#This Row],[Clave]])&gt;1,"Duplicado","")</f>
        <v/>
      </c>
    </row>
    <row r="1115" spans="2:11">
      <c r="B1115" s="975" t="str">
        <f>tblControles[[#This Row],[Fecha]]&amp;"|"&amp;tblControles[[#This Row],[Módulo]]&amp;"|"&amp;tblControles[[#This Row],[Ítem]]&amp;"|"&amp;tblControles[[#This Row],[Turno]]</f>
        <v>46278|PURGA TKS AIRE|TK-MG-006|1er Turno</v>
      </c>
      <c r="C1115" s="871">
        <v>46278</v>
      </c>
      <c r="D1115" t="s">
        <v>9433</v>
      </c>
      <c r="E1115" t="s">
        <v>346</v>
      </c>
      <c r="F1115" t="s">
        <v>9435</v>
      </c>
      <c r="G1115" t="s">
        <v>3227</v>
      </c>
      <c r="H1115" t="s">
        <v>9333</v>
      </c>
      <c r="I1115" s="871">
        <v>46293.93683766204</v>
      </c>
      <c r="J1115" t="s">
        <v>9530</v>
      </c>
      <c r="K1115" s="975" t="str">
        <f>IF(COUNTIFS(tblControles[Clave],tblControles[[#This Row],[Clave]])&gt;1,"Duplicado","")</f>
        <v/>
      </c>
    </row>
    <row r="1116" spans="2:11">
      <c r="B1116" s="975" t="str">
        <f>tblControles[[#This Row],[Fecha]]&amp;"|"&amp;tblControles[[#This Row],[Módulo]]&amp;"|"&amp;tblControles[[#This Row],[Ítem]]&amp;"|"&amp;tblControles[[#This Row],[Turno]]</f>
        <v>46278|PURGA TKS AIRE|TK-MG-006|3er Turno</v>
      </c>
      <c r="C1116" s="871">
        <v>46278</v>
      </c>
      <c r="D1116" t="s">
        <v>9433</v>
      </c>
      <c r="E1116" t="s">
        <v>346</v>
      </c>
      <c r="F1116" t="s">
        <v>9437</v>
      </c>
      <c r="G1116" t="s">
        <v>3227</v>
      </c>
      <c r="H1116" t="s">
        <v>9333</v>
      </c>
      <c r="I1116" s="871">
        <v>46293.93683766204</v>
      </c>
      <c r="J1116" t="s">
        <v>9530</v>
      </c>
      <c r="K1116" s="975" t="str">
        <f>IF(COUNTIFS(tblControles[Clave],tblControles[[#This Row],[Clave]])&gt;1,"Duplicado","")</f>
        <v/>
      </c>
    </row>
    <row r="1117" spans="2:11">
      <c r="B1117" s="975" t="str">
        <f>tblControles[[#This Row],[Fecha]]&amp;"|"&amp;tblControles[[#This Row],[Módulo]]&amp;"|"&amp;tblControles[[#This Row],[Ítem]]&amp;"|"&amp;tblControles[[#This Row],[Turno]]</f>
        <v>46278|PURGA TKS AIRE|TK-MG-007|1er Turno</v>
      </c>
      <c r="C1117" s="871">
        <v>46278</v>
      </c>
      <c r="D1117" t="s">
        <v>9433</v>
      </c>
      <c r="E1117" t="s">
        <v>347</v>
      </c>
      <c r="F1117" t="s">
        <v>9435</v>
      </c>
      <c r="G1117" t="s">
        <v>3227</v>
      </c>
      <c r="H1117" t="s">
        <v>9333</v>
      </c>
      <c r="I1117" s="871">
        <v>46293.93683766204</v>
      </c>
      <c r="J1117" t="s">
        <v>9530</v>
      </c>
      <c r="K1117" s="975" t="str">
        <f>IF(COUNTIFS(tblControles[Clave],tblControles[[#This Row],[Clave]])&gt;1,"Duplicado","")</f>
        <v/>
      </c>
    </row>
    <row r="1118" spans="2:11">
      <c r="B1118" s="975" t="str">
        <f>tblControles[[#This Row],[Fecha]]&amp;"|"&amp;tblControles[[#This Row],[Módulo]]&amp;"|"&amp;tblControles[[#This Row],[Ítem]]&amp;"|"&amp;tblControles[[#This Row],[Turno]]</f>
        <v>46278|PURGA TKS AIRE|TK-MG-007|3er Turno</v>
      </c>
      <c r="C1118" s="871">
        <v>46278</v>
      </c>
      <c r="D1118" t="s">
        <v>9433</v>
      </c>
      <c r="E1118" t="s">
        <v>347</v>
      </c>
      <c r="F1118" t="s">
        <v>9437</v>
      </c>
      <c r="G1118" t="s">
        <v>3227</v>
      </c>
      <c r="H1118" t="s">
        <v>9333</v>
      </c>
      <c r="I1118" s="871">
        <v>46293.93683766204</v>
      </c>
      <c r="J1118" t="s">
        <v>9530</v>
      </c>
      <c r="K1118" s="975" t="str">
        <f>IF(COUNTIFS(tblControles[Clave],tblControles[[#This Row],[Clave]])&gt;1,"Duplicado","")</f>
        <v/>
      </c>
    </row>
    <row r="1119" spans="2:11">
      <c r="B1119" s="975" t="str">
        <f>tblControles[[#This Row],[Fecha]]&amp;"|"&amp;tblControles[[#This Row],[Módulo]]&amp;"|"&amp;tblControles[[#This Row],[Ítem]]&amp;"|"&amp;tblControles[[#This Row],[Turno]]</f>
        <v>46278|PURGA TKS AIRE|TK-MG-004|1er Turno</v>
      </c>
      <c r="C1119" s="871">
        <v>46278</v>
      </c>
      <c r="D1119" t="s">
        <v>9433</v>
      </c>
      <c r="E1119" t="s">
        <v>349</v>
      </c>
      <c r="F1119" t="s">
        <v>9435</v>
      </c>
      <c r="G1119" t="s">
        <v>3227</v>
      </c>
      <c r="H1119" t="s">
        <v>9333</v>
      </c>
      <c r="I1119" s="871">
        <v>46293.93683766204</v>
      </c>
      <c r="J1119" t="s">
        <v>9530</v>
      </c>
      <c r="K1119" s="975" t="str">
        <f>IF(COUNTIFS(tblControles[Clave],tblControles[[#This Row],[Clave]])&gt;1,"Duplicado","")</f>
        <v/>
      </c>
    </row>
    <row r="1120" spans="2:11">
      <c r="B1120" s="975" t="str">
        <f>tblControles[[#This Row],[Fecha]]&amp;"|"&amp;tblControles[[#This Row],[Módulo]]&amp;"|"&amp;tblControles[[#This Row],[Ítem]]&amp;"|"&amp;tblControles[[#This Row],[Turno]]</f>
        <v>46278|PURGA TKS AIRE|TK-MG-004|3er Turno</v>
      </c>
      <c r="C1120" s="871">
        <v>46278</v>
      </c>
      <c r="D1120" t="s">
        <v>9433</v>
      </c>
      <c r="E1120" t="s">
        <v>349</v>
      </c>
      <c r="F1120" t="s">
        <v>9437</v>
      </c>
      <c r="G1120" t="s">
        <v>3227</v>
      </c>
      <c r="H1120" t="s">
        <v>9333</v>
      </c>
      <c r="I1120" s="871">
        <v>46293.93683766204</v>
      </c>
      <c r="J1120" t="s">
        <v>9530</v>
      </c>
      <c r="K1120" s="975" t="str">
        <f>IF(COUNTIFS(tblControles[Clave],tblControles[[#This Row],[Clave]])&gt;1,"Duplicado","")</f>
        <v/>
      </c>
    </row>
    <row r="1121" spans="2:11">
      <c r="B1121" s="975" t="str">
        <f>tblControles[[#This Row],[Fecha]]&amp;"|"&amp;tblControles[[#This Row],[Módulo]]&amp;"|"&amp;tblControles[[#This Row],[Ítem]]&amp;"|"&amp;tblControles[[#This Row],[Turno]]</f>
        <v>46278|PURGA TKS AIRE|TK-MG-008|1er Turno</v>
      </c>
      <c r="C1121" s="871">
        <v>46278</v>
      </c>
      <c r="D1121" t="s">
        <v>9433</v>
      </c>
      <c r="E1121" t="s">
        <v>351</v>
      </c>
      <c r="F1121" t="s">
        <v>9435</v>
      </c>
      <c r="G1121" t="s">
        <v>3227</v>
      </c>
      <c r="H1121" t="s">
        <v>9333</v>
      </c>
      <c r="I1121" s="871">
        <v>46293.93683766204</v>
      </c>
      <c r="J1121" t="s">
        <v>9530</v>
      </c>
      <c r="K1121" s="975" t="str">
        <f>IF(COUNTIFS(tblControles[Clave],tblControles[[#This Row],[Clave]])&gt;1,"Duplicado","")</f>
        <v/>
      </c>
    </row>
    <row r="1122" spans="2:11">
      <c r="B1122" s="975" t="str">
        <f>tblControles[[#This Row],[Fecha]]&amp;"|"&amp;tblControles[[#This Row],[Módulo]]&amp;"|"&amp;tblControles[[#This Row],[Ítem]]&amp;"|"&amp;tblControles[[#This Row],[Turno]]</f>
        <v>46278|PURGA TKS AIRE|TK-MG-008|3er Turno</v>
      </c>
      <c r="C1122" s="871">
        <v>46278</v>
      </c>
      <c r="D1122" t="s">
        <v>9433</v>
      </c>
      <c r="E1122" t="s">
        <v>351</v>
      </c>
      <c r="F1122" t="s">
        <v>9437</v>
      </c>
      <c r="G1122" t="s">
        <v>3227</v>
      </c>
      <c r="H1122" t="s">
        <v>9333</v>
      </c>
      <c r="I1122" s="871">
        <v>46293.93683766204</v>
      </c>
      <c r="J1122" t="s">
        <v>9530</v>
      </c>
      <c r="K1122" s="975" t="str">
        <f>IF(COUNTIFS(tblControles[Clave],tblControles[[#This Row],[Clave]])&gt;1,"Duplicado","")</f>
        <v/>
      </c>
    </row>
    <row r="1123" spans="2:11">
      <c r="B1123" s="975" t="str">
        <f>tblControles[[#This Row],[Fecha]]&amp;"|"&amp;tblControles[[#This Row],[Módulo]]&amp;"|"&amp;tblControles[[#This Row],[Ítem]]&amp;"|"&amp;tblControles[[#This Row],[Turno]]</f>
        <v>46278|PURGA TKS AIRE|TK-MG-009|1er Turno</v>
      </c>
      <c r="C1123" s="871">
        <v>46278</v>
      </c>
      <c r="D1123" t="s">
        <v>9433</v>
      </c>
      <c r="E1123" t="s">
        <v>353</v>
      </c>
      <c r="F1123" t="s">
        <v>9435</v>
      </c>
      <c r="G1123" t="s">
        <v>3227</v>
      </c>
      <c r="H1123" t="s">
        <v>9333</v>
      </c>
      <c r="I1123" s="871">
        <v>46293.93683766204</v>
      </c>
      <c r="J1123" t="s">
        <v>9530</v>
      </c>
      <c r="K1123" s="975" t="str">
        <f>IF(COUNTIFS(tblControles[Clave],tblControles[[#This Row],[Clave]])&gt;1,"Duplicado","")</f>
        <v/>
      </c>
    </row>
    <row r="1124" spans="2:11">
      <c r="B1124" s="975" t="str">
        <f>tblControles[[#This Row],[Fecha]]&amp;"|"&amp;tblControles[[#This Row],[Módulo]]&amp;"|"&amp;tblControles[[#This Row],[Ítem]]&amp;"|"&amp;tblControles[[#This Row],[Turno]]</f>
        <v>46278|PURGA TKS AIRE|TK-MG-009|3er Turno</v>
      </c>
      <c r="C1124" s="871">
        <v>46278</v>
      </c>
      <c r="D1124" t="s">
        <v>9433</v>
      </c>
      <c r="E1124" t="s">
        <v>353</v>
      </c>
      <c r="F1124" t="s">
        <v>9437</v>
      </c>
      <c r="G1124" t="s">
        <v>3227</v>
      </c>
      <c r="H1124" t="s">
        <v>9333</v>
      </c>
      <c r="I1124" s="871">
        <v>46293.93683766204</v>
      </c>
      <c r="J1124" t="s">
        <v>9530</v>
      </c>
      <c r="K1124" s="975" t="str">
        <f>IF(COUNTIFS(tblControles[Clave],tblControles[[#This Row],[Clave]])&gt;1,"Duplicado","")</f>
        <v/>
      </c>
    </row>
    <row r="1125" spans="2:11">
      <c r="B1125" s="975" t="str">
        <f>tblControles[[#This Row],[Fecha]]&amp;"|"&amp;tblControles[[#This Row],[Módulo]]&amp;"|"&amp;tblControles[[#This Row],[Ítem]]&amp;"|"&amp;tblControles[[#This Row],[Turno]]</f>
        <v>46278|PURGA TKS AIRE|TK-MG-010|1er Turno</v>
      </c>
      <c r="C1125" s="871">
        <v>46278</v>
      </c>
      <c r="D1125" t="s">
        <v>9433</v>
      </c>
      <c r="E1125" t="s">
        <v>355</v>
      </c>
      <c r="F1125" t="s">
        <v>9435</v>
      </c>
      <c r="G1125" t="s">
        <v>3227</v>
      </c>
      <c r="H1125" t="s">
        <v>9333</v>
      </c>
      <c r="I1125" s="871">
        <v>46293.93683766204</v>
      </c>
      <c r="J1125" t="s">
        <v>9530</v>
      </c>
      <c r="K1125" s="975" t="str">
        <f>IF(COUNTIFS(tblControles[Clave],tblControles[[#This Row],[Clave]])&gt;1,"Duplicado","")</f>
        <v/>
      </c>
    </row>
    <row r="1126" spans="2:11">
      <c r="B1126" s="975" t="str">
        <f>tblControles[[#This Row],[Fecha]]&amp;"|"&amp;tblControles[[#This Row],[Módulo]]&amp;"|"&amp;tblControles[[#This Row],[Ítem]]&amp;"|"&amp;tblControles[[#This Row],[Turno]]</f>
        <v>46278|PURGA TKS AIRE|TK-MG-010|3er Turno</v>
      </c>
      <c r="C1126" s="871">
        <v>46278</v>
      </c>
      <c r="D1126" t="s">
        <v>9433</v>
      </c>
      <c r="E1126" t="s">
        <v>355</v>
      </c>
      <c r="F1126" t="s">
        <v>9437</v>
      </c>
      <c r="G1126" t="s">
        <v>3227</v>
      </c>
      <c r="H1126" t="s">
        <v>9333</v>
      </c>
      <c r="I1126" s="871">
        <v>46293.93683766204</v>
      </c>
      <c r="J1126" t="s">
        <v>9530</v>
      </c>
      <c r="K1126" s="975" t="str">
        <f>IF(COUNTIFS(tblControles[Clave],tblControles[[#This Row],[Clave]])&gt;1,"Duplicado","")</f>
        <v/>
      </c>
    </row>
    <row r="1127" spans="2:11">
      <c r="B1127" s="975" t="str">
        <f>tblControles[[#This Row],[Fecha]]&amp;"|"&amp;tblControles[[#This Row],[Módulo]]&amp;"|"&amp;tblControles[[#This Row],[Ítem]]&amp;"|"&amp;tblControles[[#This Row],[Turno]]</f>
        <v>46278|PURGA TKS AIRE|TK-MG-011|1er Turno</v>
      </c>
      <c r="C1127" s="871">
        <v>46278</v>
      </c>
      <c r="D1127" t="s">
        <v>9433</v>
      </c>
      <c r="E1127" t="s">
        <v>357</v>
      </c>
      <c r="F1127" t="s">
        <v>9435</v>
      </c>
      <c r="G1127" t="s">
        <v>3227</v>
      </c>
      <c r="H1127" t="s">
        <v>9333</v>
      </c>
      <c r="I1127" s="871">
        <v>46293.93683766204</v>
      </c>
      <c r="J1127" t="s">
        <v>9530</v>
      </c>
      <c r="K1127" s="975" t="str">
        <f>IF(COUNTIFS(tblControles[Clave],tblControles[[#This Row],[Clave]])&gt;1,"Duplicado","")</f>
        <v/>
      </c>
    </row>
    <row r="1128" spans="2:11">
      <c r="B1128" s="975" t="str">
        <f>tblControles[[#This Row],[Fecha]]&amp;"|"&amp;tblControles[[#This Row],[Módulo]]&amp;"|"&amp;tblControles[[#This Row],[Ítem]]&amp;"|"&amp;tblControles[[#This Row],[Turno]]</f>
        <v>46278|PURGA TKS AIRE|TK-MG-011|3er Turno</v>
      </c>
      <c r="C1128" s="871">
        <v>46278</v>
      </c>
      <c r="D1128" t="s">
        <v>9433</v>
      </c>
      <c r="E1128" t="s">
        <v>357</v>
      </c>
      <c r="F1128" t="s">
        <v>9437</v>
      </c>
      <c r="G1128" t="s">
        <v>3227</v>
      </c>
      <c r="H1128" t="s">
        <v>9333</v>
      </c>
      <c r="I1128" s="871">
        <v>46293.93683766204</v>
      </c>
      <c r="J1128" t="s">
        <v>9530</v>
      </c>
      <c r="K1128" s="975" t="str">
        <f>IF(COUNTIFS(tblControles[Clave],tblControles[[#This Row],[Clave]])&gt;1,"Duplicado","")</f>
        <v/>
      </c>
    </row>
    <row r="1129" spans="2:11">
      <c r="B1129" s="975" t="str">
        <f>tblControles[[#This Row],[Fecha]]&amp;"|"&amp;tblControles[[#This Row],[Módulo]]&amp;"|"&amp;tblControles[[#This Row],[Ítem]]&amp;"|"&amp;tblControles[[#This Row],[Turno]]</f>
        <v>46278|PURGA TKS AIRE|TK-MG-012|1er Turno</v>
      </c>
      <c r="C1129" s="871">
        <v>46278</v>
      </c>
      <c r="D1129" t="s">
        <v>9433</v>
      </c>
      <c r="E1129" t="s">
        <v>359</v>
      </c>
      <c r="F1129" t="s">
        <v>9435</v>
      </c>
      <c r="G1129" t="s">
        <v>3227</v>
      </c>
      <c r="H1129" t="s">
        <v>9333</v>
      </c>
      <c r="I1129" s="871">
        <v>46293.93683766204</v>
      </c>
      <c r="J1129" t="s">
        <v>9530</v>
      </c>
      <c r="K1129" s="975" t="str">
        <f>IF(COUNTIFS(tblControles[Clave],tblControles[[#This Row],[Clave]])&gt;1,"Duplicado","")</f>
        <v/>
      </c>
    </row>
    <row r="1130" spans="2:11">
      <c r="B1130" s="975" t="str">
        <f>tblControles[[#This Row],[Fecha]]&amp;"|"&amp;tblControles[[#This Row],[Módulo]]&amp;"|"&amp;tblControles[[#This Row],[Ítem]]&amp;"|"&amp;tblControles[[#This Row],[Turno]]</f>
        <v>46278|PURGA TKS AIRE|TK-MG-012|3er Turno</v>
      </c>
      <c r="C1130" s="871">
        <v>46278</v>
      </c>
      <c r="D1130" t="s">
        <v>9433</v>
      </c>
      <c r="E1130" t="s">
        <v>359</v>
      </c>
      <c r="F1130" t="s">
        <v>9437</v>
      </c>
      <c r="G1130" t="s">
        <v>3227</v>
      </c>
      <c r="H1130" t="s">
        <v>9333</v>
      </c>
      <c r="I1130" s="871">
        <v>46293.93683766204</v>
      </c>
      <c r="J1130" t="s">
        <v>9530</v>
      </c>
      <c r="K1130" s="975" t="str">
        <f>IF(COUNTIFS(tblControles[Clave],tblControles[[#This Row],[Clave]])&gt;1,"Duplicado","")</f>
        <v/>
      </c>
    </row>
    <row r="1131" spans="2:11">
      <c r="B1131" s="975" t="str">
        <f>tblControles[[#This Row],[Fecha]]&amp;"|"&amp;tblControles[[#This Row],[Módulo]]&amp;"|"&amp;tblControles[[#This Row],[Ítem]]&amp;"|"&amp;tblControles[[#This Row],[Turno]]</f>
        <v>46278|PURGA TKS AIRE|TK-MG-013|1er Turno</v>
      </c>
      <c r="C1131" s="871">
        <v>46278</v>
      </c>
      <c r="D1131" t="s">
        <v>9433</v>
      </c>
      <c r="E1131" t="s">
        <v>361</v>
      </c>
      <c r="F1131" t="s">
        <v>9435</v>
      </c>
      <c r="G1131" t="s">
        <v>3227</v>
      </c>
      <c r="H1131" t="s">
        <v>9333</v>
      </c>
      <c r="I1131" s="871">
        <v>46293.93683766204</v>
      </c>
      <c r="J1131" t="s">
        <v>9530</v>
      </c>
      <c r="K1131" s="975" t="str">
        <f>IF(COUNTIFS(tblControles[Clave],tblControles[[#This Row],[Clave]])&gt;1,"Duplicado","")</f>
        <v/>
      </c>
    </row>
    <row r="1132" spans="2:11">
      <c r="B1132" s="975" t="str">
        <f>tblControles[[#This Row],[Fecha]]&amp;"|"&amp;tblControles[[#This Row],[Módulo]]&amp;"|"&amp;tblControles[[#This Row],[Ítem]]&amp;"|"&amp;tblControles[[#This Row],[Turno]]</f>
        <v>46278|PURGA TKS AIRE|TK-MG-013|3er Turno</v>
      </c>
      <c r="C1132" s="871">
        <v>46278</v>
      </c>
      <c r="D1132" t="s">
        <v>9433</v>
      </c>
      <c r="E1132" t="s">
        <v>361</v>
      </c>
      <c r="F1132" t="s">
        <v>9437</v>
      </c>
      <c r="G1132" t="s">
        <v>3227</v>
      </c>
      <c r="H1132" t="s">
        <v>9333</v>
      </c>
      <c r="I1132" s="871">
        <v>46293.93683766204</v>
      </c>
      <c r="J1132" t="s">
        <v>9530</v>
      </c>
      <c r="K1132" s="975" t="str">
        <f>IF(COUNTIFS(tblControles[Clave],tblControles[[#This Row],[Clave]])&gt;1,"Duplicado","")</f>
        <v/>
      </c>
    </row>
    <row r="1133" spans="2:11">
      <c r="B1133" s="975" t="str">
        <f>tblControles[[#This Row],[Fecha]]&amp;"|"&amp;tblControles[[#This Row],[Módulo]]&amp;"|"&amp;tblControles[[#This Row],[Ítem]]&amp;"|"&amp;tblControles[[#This Row],[Turno]]</f>
        <v>46278|PURGA TKS AIRE|TK-MG-014|1er Turno</v>
      </c>
      <c r="C1133" s="871">
        <v>46278</v>
      </c>
      <c r="D1133" t="s">
        <v>9433</v>
      </c>
      <c r="E1133" t="s">
        <v>363</v>
      </c>
      <c r="F1133" t="s">
        <v>9435</v>
      </c>
      <c r="G1133" t="s">
        <v>3227</v>
      </c>
      <c r="H1133" t="s">
        <v>9333</v>
      </c>
      <c r="I1133" s="871">
        <v>46293.93683766204</v>
      </c>
      <c r="J1133" t="s">
        <v>9530</v>
      </c>
      <c r="K1133" s="975" t="str">
        <f>IF(COUNTIFS(tblControles[Clave],tblControles[[#This Row],[Clave]])&gt;1,"Duplicado","")</f>
        <v/>
      </c>
    </row>
    <row r="1134" spans="2:11">
      <c r="B1134" s="975" t="str">
        <f>tblControles[[#This Row],[Fecha]]&amp;"|"&amp;tblControles[[#This Row],[Módulo]]&amp;"|"&amp;tblControles[[#This Row],[Ítem]]&amp;"|"&amp;tblControles[[#This Row],[Turno]]</f>
        <v>46278|PURGA TKS AIRE|TK-MG-014|3er Turno</v>
      </c>
      <c r="C1134" s="871">
        <v>46278</v>
      </c>
      <c r="D1134" t="s">
        <v>9433</v>
      </c>
      <c r="E1134" t="s">
        <v>363</v>
      </c>
      <c r="F1134" t="s">
        <v>9437</v>
      </c>
      <c r="G1134" t="s">
        <v>3227</v>
      </c>
      <c r="H1134" t="s">
        <v>9333</v>
      </c>
      <c r="I1134" s="871">
        <v>46293.93683766204</v>
      </c>
      <c r="J1134" t="s">
        <v>9530</v>
      </c>
      <c r="K1134" s="975" t="str">
        <f>IF(COUNTIFS(tblControles[Clave],tblControles[[#This Row],[Clave]])&gt;1,"Duplicado","")</f>
        <v/>
      </c>
    </row>
    <row r="1135" spans="2:11">
      <c r="B1135" s="975" t="str">
        <f>tblControles[[#This Row],[Fecha]]&amp;"|"&amp;tblControles[[#This Row],[Módulo]]&amp;"|"&amp;tblControles[[#This Row],[Ítem]]&amp;"|"&amp;tblControles[[#This Row],[Turno]]</f>
        <v>46278|REACTIVOS|Ácido oxálico|Turno día (12 h)</v>
      </c>
      <c r="C1135" s="871">
        <v>46278</v>
      </c>
      <c r="D1135" t="s">
        <v>9444</v>
      </c>
      <c r="E1135" t="s">
        <v>9508</v>
      </c>
      <c r="F1135" t="s">
        <v>9446</v>
      </c>
      <c r="G1135">
        <v>16000</v>
      </c>
      <c r="H1135" t="s">
        <v>9333</v>
      </c>
      <c r="I1135" s="871">
        <v>46293.93683766204</v>
      </c>
      <c r="J1135" t="s">
        <v>9527</v>
      </c>
      <c r="K1135" s="975" t="str">
        <f>IF(COUNTIFS(tblControles[Clave],tblControles[[#This Row],[Clave]])&gt;1,"Duplicado","")</f>
        <v/>
      </c>
    </row>
    <row r="1136" spans="2:11">
      <c r="B1136" s="975" t="str">
        <f>tblControles[[#This Row],[Fecha]]&amp;"|"&amp;tblControles[[#This Row],[Módulo]]&amp;"|"&amp;tblControles[[#This Row],[Ítem]]&amp;"|"&amp;tblControles[[#This Row],[Turno]]</f>
        <v>46278|REACTIVOS|Ácido oxálico|Turno noche (12 h)</v>
      </c>
      <c r="C1136" s="871">
        <v>46278</v>
      </c>
      <c r="D1136" t="s">
        <v>9444</v>
      </c>
      <c r="E1136" t="s">
        <v>9508</v>
      </c>
      <c r="F1136" t="s">
        <v>9447</v>
      </c>
      <c r="G1136">
        <v>20000</v>
      </c>
      <c r="H1136" t="s">
        <v>9333</v>
      </c>
      <c r="I1136" s="871">
        <v>46293.93683766204</v>
      </c>
      <c r="J1136" t="s">
        <v>9527</v>
      </c>
      <c r="K1136" s="975" t="str">
        <f>IF(COUNTIFS(tblControles[Clave],tblControles[[#This Row],[Clave]])&gt;1,"Duplicado","")</f>
        <v/>
      </c>
    </row>
    <row r="1137" spans="2:11">
      <c r="B1137" s="975" t="str">
        <f>tblControles[[#This Row],[Fecha]]&amp;"|"&amp;tblControles[[#This Row],[Módulo]]&amp;"|"&amp;tblControles[[#This Row],[Ítem]]&amp;"|"&amp;tblControles[[#This Row],[Turno]]</f>
        <v>46278|REACTIVOS|Xantato|Turno día (12 h)</v>
      </c>
      <c r="C1137" s="871">
        <v>46278</v>
      </c>
      <c r="D1137" t="s">
        <v>9444</v>
      </c>
      <c r="E1137" t="s">
        <v>9511</v>
      </c>
      <c r="F1137" t="s">
        <v>9446</v>
      </c>
      <c r="G1137">
        <v>5000</v>
      </c>
      <c r="H1137" t="s">
        <v>9333</v>
      </c>
      <c r="I1137" s="871">
        <v>46293.93683766204</v>
      </c>
      <c r="J1137" t="s">
        <v>9527</v>
      </c>
      <c r="K1137" s="975" t="str">
        <f>IF(COUNTIFS(tblControles[Clave],tblControles[[#This Row],[Clave]])&gt;1,"Duplicado","")</f>
        <v/>
      </c>
    </row>
    <row r="1138" spans="2:11">
      <c r="B1138" s="975" t="str">
        <f>tblControles[[#This Row],[Fecha]]&amp;"|"&amp;tblControles[[#This Row],[Módulo]]&amp;"|"&amp;tblControles[[#This Row],[Ítem]]&amp;"|"&amp;tblControles[[#This Row],[Turno]]</f>
        <v>46278|REACTIVOS|Xantato|Turno noche (12 h)</v>
      </c>
      <c r="C1138" s="871">
        <v>46278</v>
      </c>
      <c r="D1138" t="s">
        <v>9444</v>
      </c>
      <c r="E1138" t="s">
        <v>9511</v>
      </c>
      <c r="F1138" t="s">
        <v>9447</v>
      </c>
      <c r="G1138">
        <v>4450</v>
      </c>
      <c r="H1138" t="s">
        <v>9333</v>
      </c>
      <c r="I1138" s="871">
        <v>46293.93683766204</v>
      </c>
      <c r="J1138" t="s">
        <v>9527</v>
      </c>
      <c r="K1138" s="975" t="str">
        <f>IF(COUNTIFS(tblControles[Clave],tblControles[[#This Row],[Clave]])&gt;1,"Duplicado","")</f>
        <v/>
      </c>
    </row>
    <row r="1139" spans="2:11">
      <c r="B1139" s="975" t="str">
        <f>tblControles[[#This Row],[Fecha]]&amp;"|"&amp;tblControles[[#This Row],[Módulo]]&amp;"|"&amp;tblControles[[#This Row],[Ítem]]&amp;"|"&amp;tblControles[[#This Row],[Turno]]</f>
        <v>46278|REACTIVOS|Espumante|Consumo día</v>
      </c>
      <c r="C1139" s="871">
        <v>46278</v>
      </c>
      <c r="D1139" t="s">
        <v>9444</v>
      </c>
      <c r="E1139" t="s">
        <v>9513</v>
      </c>
      <c r="F1139" t="s">
        <v>9870</v>
      </c>
      <c r="G1139">
        <v>3500</v>
      </c>
      <c r="H1139" t="s">
        <v>9333</v>
      </c>
      <c r="I1139" s="871">
        <v>46293.93683766204</v>
      </c>
      <c r="J1139" t="s">
        <v>9527</v>
      </c>
      <c r="K1139" s="975" t="str">
        <f>IF(COUNTIFS(tblControles[Clave],tblControles[[#This Row],[Clave]])&gt;1,"Duplicado","")</f>
        <v/>
      </c>
    </row>
    <row r="1140" spans="2:11">
      <c r="B1140" s="975" t="str">
        <f>tblControles[[#This Row],[Fecha]]&amp;"|"&amp;tblControles[[#This Row],[Módulo]]&amp;"|"&amp;tblControles[[#This Row],[Ítem]]&amp;"|"&amp;tblControles[[#This Row],[Turno]]</f>
        <v>46278|TONELADAS X TURNO|Molino barras 1|1° turno</v>
      </c>
      <c r="C1140" s="871">
        <v>46278</v>
      </c>
      <c r="D1140" t="s">
        <v>9449</v>
      </c>
      <c r="E1140" t="s">
        <v>387</v>
      </c>
      <c r="F1140" t="s">
        <v>396</v>
      </c>
      <c r="G1140">
        <v>1460</v>
      </c>
      <c r="H1140" t="s">
        <v>9333</v>
      </c>
      <c r="I1140" s="871">
        <v>46293.93683766204</v>
      </c>
      <c r="J1140" t="s">
        <v>9528</v>
      </c>
      <c r="K1140" s="975" t="str">
        <f>IF(COUNTIFS(tblControles[Clave],tblControles[[#This Row],[Clave]])&gt;1,"Duplicado","")</f>
        <v/>
      </c>
    </row>
    <row r="1141" spans="2:11">
      <c r="B1141" s="975" t="str">
        <f>tblControles[[#This Row],[Fecha]]&amp;"|"&amp;tblControles[[#This Row],[Módulo]]&amp;"|"&amp;tblControles[[#This Row],[Ítem]]&amp;"|"&amp;tblControles[[#This Row],[Turno]]</f>
        <v>46278|TONELADAS X TURNO|Molino barras 1|2° turno</v>
      </c>
      <c r="C1141" s="871">
        <v>46278</v>
      </c>
      <c r="D1141" t="s">
        <v>9449</v>
      </c>
      <c r="E1141" t="s">
        <v>387</v>
      </c>
      <c r="F1141" t="s">
        <v>397</v>
      </c>
      <c r="G1141">
        <v>1674</v>
      </c>
      <c r="H1141" t="s">
        <v>9333</v>
      </c>
      <c r="I1141" s="871">
        <v>46293.93683766204</v>
      </c>
      <c r="J1141" t="s">
        <v>9528</v>
      </c>
      <c r="K1141" s="975" t="str">
        <f>IF(COUNTIFS(tblControles[Clave],tblControles[[#This Row],[Clave]])&gt;1,"Duplicado","")</f>
        <v/>
      </c>
    </row>
    <row r="1142" spans="2:11">
      <c r="B1142" s="975" t="str">
        <f>tblControles[[#This Row],[Fecha]]&amp;"|"&amp;tblControles[[#This Row],[Módulo]]&amp;"|"&amp;tblControles[[#This Row],[Ítem]]&amp;"|"&amp;tblControles[[#This Row],[Turno]]</f>
        <v>46278|TONELADAS X TURNO|Molino barras 1|3° turno</v>
      </c>
      <c r="C1142" s="871">
        <v>46278</v>
      </c>
      <c r="D1142" t="s">
        <v>9449</v>
      </c>
      <c r="E1142" t="s">
        <v>387</v>
      </c>
      <c r="F1142" t="s">
        <v>398</v>
      </c>
      <c r="G1142">
        <v>1164</v>
      </c>
      <c r="H1142" t="s">
        <v>9333</v>
      </c>
      <c r="I1142" s="871">
        <v>46293.93683766204</v>
      </c>
      <c r="J1142" t="s">
        <v>9528</v>
      </c>
      <c r="K1142" s="975" t="str">
        <f>IF(COUNTIFS(tblControles[Clave],tblControles[[#This Row],[Clave]])&gt;1,"Duplicado","")</f>
        <v/>
      </c>
    </row>
    <row r="1143" spans="2:11">
      <c r="B1143" s="975" t="str">
        <f>tblControles[[#This Row],[Fecha]]&amp;"|"&amp;tblControles[[#This Row],[Módulo]]&amp;"|"&amp;tblControles[[#This Row],[Ítem]]&amp;"|"&amp;tblControles[[#This Row],[Turno]]</f>
        <v>46278|TONELADAS X TURNO|Molino barras 2|1° turno</v>
      </c>
      <c r="C1143" s="871">
        <v>46278</v>
      </c>
      <c r="D1143" t="s">
        <v>9449</v>
      </c>
      <c r="E1143" t="s">
        <v>388</v>
      </c>
      <c r="F1143" t="s">
        <v>396</v>
      </c>
      <c r="G1143">
        <v>1550</v>
      </c>
      <c r="H1143" t="s">
        <v>9333</v>
      </c>
      <c r="I1143" s="871">
        <v>46293.93683766204</v>
      </c>
      <c r="J1143" t="s">
        <v>9528</v>
      </c>
      <c r="K1143" s="975" t="str">
        <f>IF(COUNTIFS(tblControles[Clave],tblControles[[#This Row],[Clave]])&gt;1,"Duplicado","")</f>
        <v/>
      </c>
    </row>
    <row r="1144" spans="2:11">
      <c r="B1144" s="975" t="str">
        <f>tblControles[[#This Row],[Fecha]]&amp;"|"&amp;tblControles[[#This Row],[Módulo]]&amp;"|"&amp;tblControles[[#This Row],[Ítem]]&amp;"|"&amp;tblControles[[#This Row],[Turno]]</f>
        <v>46278|TONELADAS X TURNO|Molino barras 2|2° turno</v>
      </c>
      <c r="C1144" s="871">
        <v>46278</v>
      </c>
      <c r="D1144" t="s">
        <v>9449</v>
      </c>
      <c r="E1144" t="s">
        <v>388</v>
      </c>
      <c r="F1144" t="s">
        <v>397</v>
      </c>
      <c r="G1144">
        <v>1583</v>
      </c>
      <c r="H1144" t="s">
        <v>9333</v>
      </c>
      <c r="I1144" s="871">
        <v>46293.93683766204</v>
      </c>
      <c r="J1144" t="s">
        <v>9528</v>
      </c>
      <c r="K1144" s="975" t="str">
        <f>IF(COUNTIFS(tblControles[Clave],tblControles[[#This Row],[Clave]])&gt;1,"Duplicado","")</f>
        <v/>
      </c>
    </row>
    <row r="1145" spans="2:11">
      <c r="B1145" s="975" t="str">
        <f>tblControles[[#This Row],[Fecha]]&amp;"|"&amp;tblControles[[#This Row],[Módulo]]&amp;"|"&amp;tblControles[[#This Row],[Ítem]]&amp;"|"&amp;tblControles[[#This Row],[Turno]]</f>
        <v>46278|TONELADAS X TURNO|Molino barras 2|3° turno</v>
      </c>
      <c r="C1145" s="871">
        <v>46278</v>
      </c>
      <c r="D1145" t="s">
        <v>9449</v>
      </c>
      <c r="E1145" t="s">
        <v>388</v>
      </c>
      <c r="F1145" t="s">
        <v>398</v>
      </c>
      <c r="G1145">
        <v>1497</v>
      </c>
      <c r="H1145" t="s">
        <v>9333</v>
      </c>
      <c r="I1145" s="871">
        <v>46293.93683766204</v>
      </c>
      <c r="J1145" t="s">
        <v>9528</v>
      </c>
      <c r="K1145" s="975" t="str">
        <f>IF(COUNTIFS(tblControles[Clave],tblControles[[#This Row],[Clave]])&gt;1,"Duplicado","")</f>
        <v/>
      </c>
    </row>
    <row r="1146" spans="2:11">
      <c r="B1146" s="975" t="str">
        <f>tblControles[[#This Row],[Fecha]]&amp;"|"&amp;tblControles[[#This Row],[Módulo]]&amp;"|"&amp;tblControles[[#This Row],[Ítem]]&amp;"|"&amp;tblControles[[#This Row],[Turno]]</f>
        <v>46278|TONELADAS X TURNO|Molino barras 3|1° turno</v>
      </c>
      <c r="C1146" s="871">
        <v>46278</v>
      </c>
      <c r="D1146" t="s">
        <v>9449</v>
      </c>
      <c r="E1146" t="s">
        <v>389</v>
      </c>
      <c r="F1146" t="s">
        <v>396</v>
      </c>
      <c r="G1146">
        <v>1460</v>
      </c>
      <c r="H1146" t="s">
        <v>9333</v>
      </c>
      <c r="I1146" s="871">
        <v>46293.93683766204</v>
      </c>
      <c r="J1146" t="s">
        <v>9528</v>
      </c>
      <c r="K1146" s="975" t="str">
        <f>IF(COUNTIFS(tblControles[Clave],tblControles[[#This Row],[Clave]])&gt;1,"Duplicado","")</f>
        <v/>
      </c>
    </row>
    <row r="1147" spans="2:11">
      <c r="B1147" s="975" t="str">
        <f>tblControles[[#This Row],[Fecha]]&amp;"|"&amp;tblControles[[#This Row],[Módulo]]&amp;"|"&amp;tblControles[[#This Row],[Ítem]]&amp;"|"&amp;tblControles[[#This Row],[Turno]]</f>
        <v>46278|TONELADAS X TURNO|Molino barras 3|2° turno</v>
      </c>
      <c r="C1147" s="871">
        <v>46278</v>
      </c>
      <c r="D1147" t="s">
        <v>9449</v>
      </c>
      <c r="E1147" t="s">
        <v>389</v>
      </c>
      <c r="F1147" t="s">
        <v>397</v>
      </c>
      <c r="G1147">
        <v>690</v>
      </c>
      <c r="H1147" t="s">
        <v>9333</v>
      </c>
      <c r="I1147" s="871">
        <v>46293.93683766204</v>
      </c>
      <c r="J1147" t="s">
        <v>9528</v>
      </c>
      <c r="K1147" s="975" t="str">
        <f>IF(COUNTIFS(tblControles[Clave],tblControles[[#This Row],[Clave]])&gt;1,"Duplicado","")</f>
        <v/>
      </c>
    </row>
    <row r="1148" spans="2:11">
      <c r="B1148" s="975" t="str">
        <f>tblControles[[#This Row],[Fecha]]&amp;"|"&amp;tblControles[[#This Row],[Módulo]]&amp;"|"&amp;tblControles[[#This Row],[Ítem]]&amp;"|"&amp;tblControles[[#This Row],[Turno]]</f>
        <v>46278|TONELADAS X TURNO|Molino barras 3|3° turno</v>
      </c>
      <c r="C1148" s="871">
        <v>46278</v>
      </c>
      <c r="D1148" t="s">
        <v>9449</v>
      </c>
      <c r="E1148" t="s">
        <v>389</v>
      </c>
      <c r="F1148" t="s">
        <v>398</v>
      </c>
      <c r="G1148">
        <v>310</v>
      </c>
      <c r="H1148" t="s">
        <v>9333</v>
      </c>
      <c r="I1148" s="871">
        <v>46293.93683766204</v>
      </c>
      <c r="J1148" t="s">
        <v>9528</v>
      </c>
      <c r="K1148" s="975" t="str">
        <f>IF(COUNTIFS(tblControles[Clave],tblControles[[#This Row],[Clave]])&gt;1,"Duplicado","")</f>
        <v/>
      </c>
    </row>
    <row r="1149" spans="2:11">
      <c r="B1149" s="975" t="str">
        <f>tblControles[[#This Row],[Fecha]]&amp;"|"&amp;tblControles[[#This Row],[Módulo]]&amp;"|"&amp;tblControles[[#This Row],[Ítem]]&amp;"|"&amp;tblControles[[#This Row],[Turno]]</f>
        <v>46278|TONELADAS X TURNO|Molino barras 4|1° turno</v>
      </c>
      <c r="C1149" s="871">
        <v>46278</v>
      </c>
      <c r="D1149" t="s">
        <v>9449</v>
      </c>
      <c r="E1149" t="s">
        <v>390</v>
      </c>
      <c r="F1149" t="s">
        <v>396</v>
      </c>
      <c r="G1149">
        <v>0</v>
      </c>
      <c r="H1149" t="s">
        <v>9333</v>
      </c>
      <c r="I1149" s="871">
        <v>46293.93683766204</v>
      </c>
      <c r="J1149" t="s">
        <v>9528</v>
      </c>
      <c r="K1149" s="975" t="str">
        <f>IF(COUNTIFS(tblControles[Clave],tblControles[[#This Row],[Clave]])&gt;1,"Duplicado","")</f>
        <v/>
      </c>
    </row>
    <row r="1150" spans="2:11">
      <c r="B1150" s="975" t="str">
        <f>tblControles[[#This Row],[Fecha]]&amp;"|"&amp;tblControles[[#This Row],[Módulo]]&amp;"|"&amp;tblControles[[#This Row],[Ítem]]&amp;"|"&amp;tblControles[[#This Row],[Turno]]</f>
        <v>46278|TONELADAS X TURNO|Molino barras 4|2° turno</v>
      </c>
      <c r="C1150" s="871">
        <v>46278</v>
      </c>
      <c r="D1150" t="s">
        <v>9449</v>
      </c>
      <c r="E1150" t="s">
        <v>390</v>
      </c>
      <c r="F1150" t="s">
        <v>397</v>
      </c>
      <c r="G1150">
        <v>0</v>
      </c>
      <c r="H1150" t="s">
        <v>9333</v>
      </c>
      <c r="I1150" s="871">
        <v>46293.93683766204</v>
      </c>
      <c r="J1150" t="s">
        <v>9528</v>
      </c>
      <c r="K1150" s="975" t="str">
        <f>IF(COUNTIFS(tblControles[Clave],tblControles[[#This Row],[Clave]])&gt;1,"Duplicado","")</f>
        <v/>
      </c>
    </row>
    <row r="1151" spans="2:11">
      <c r="B1151" s="975" t="str">
        <f>tblControles[[#This Row],[Fecha]]&amp;"|"&amp;tblControles[[#This Row],[Módulo]]&amp;"|"&amp;tblControles[[#This Row],[Ítem]]&amp;"|"&amp;tblControles[[#This Row],[Turno]]</f>
        <v>46278|TONELADAS X TURNO|Molino barras 4|3° turno</v>
      </c>
      <c r="C1151" s="871">
        <v>46278</v>
      </c>
      <c r="D1151" t="s">
        <v>9449</v>
      </c>
      <c r="E1151" t="s">
        <v>390</v>
      </c>
      <c r="F1151" t="s">
        <v>398</v>
      </c>
      <c r="G1151">
        <v>1178</v>
      </c>
      <c r="H1151" t="s">
        <v>9333</v>
      </c>
      <c r="I1151" s="871">
        <v>46293.93683766204</v>
      </c>
      <c r="J1151" t="s">
        <v>9528</v>
      </c>
      <c r="K1151" s="975" t="str">
        <f>IF(COUNTIFS(tblControles[Clave],tblControles[[#This Row],[Clave]])&gt;1,"Duplicado","")</f>
        <v/>
      </c>
    </row>
    <row r="1152" spans="2:11">
      <c r="B1152" s="975" t="str">
        <f>tblControles[[#This Row],[Fecha]]&amp;"|"&amp;tblControles[[#This Row],[Módulo]]&amp;"|"&amp;tblControles[[#This Row],[Ítem]]&amp;"|"&amp;tblControles[[#This Row],[Turno]]</f>
        <v>46278|TONELADAS X TURNO|Molino barras 5|1° turno</v>
      </c>
      <c r="C1152" s="871">
        <v>46278</v>
      </c>
      <c r="D1152" t="s">
        <v>9449</v>
      </c>
      <c r="E1152" t="s">
        <v>391</v>
      </c>
      <c r="F1152" t="s">
        <v>396</v>
      </c>
      <c r="G1152">
        <v>1588</v>
      </c>
      <c r="H1152" t="s">
        <v>9333</v>
      </c>
      <c r="I1152" s="871">
        <v>46293.93683766204</v>
      </c>
      <c r="J1152" t="s">
        <v>9528</v>
      </c>
      <c r="K1152" s="975" t="str">
        <f>IF(COUNTIFS(tblControles[Clave],tblControles[[#This Row],[Clave]])&gt;1,"Duplicado","")</f>
        <v/>
      </c>
    </row>
    <row r="1153" spans="2:11">
      <c r="B1153" s="975" t="str">
        <f>tblControles[[#This Row],[Fecha]]&amp;"|"&amp;tblControles[[#This Row],[Módulo]]&amp;"|"&amp;tblControles[[#This Row],[Ítem]]&amp;"|"&amp;tblControles[[#This Row],[Turno]]</f>
        <v>46278|TONELADAS X TURNO|Molino barras 5|2° turno</v>
      </c>
      <c r="C1153" s="871">
        <v>46278</v>
      </c>
      <c r="D1153" t="s">
        <v>9449</v>
      </c>
      <c r="E1153" t="s">
        <v>391</v>
      </c>
      <c r="F1153" t="s">
        <v>397</v>
      </c>
      <c r="G1153">
        <v>1530</v>
      </c>
      <c r="H1153" t="s">
        <v>9333</v>
      </c>
      <c r="I1153" s="871">
        <v>46293.93683766204</v>
      </c>
      <c r="J1153" t="s">
        <v>9528</v>
      </c>
      <c r="K1153" s="975" t="str">
        <f>IF(COUNTIFS(tblControles[Clave],tblControles[[#This Row],[Clave]])&gt;1,"Duplicado","")</f>
        <v/>
      </c>
    </row>
    <row r="1154" spans="2:11">
      <c r="B1154" s="975" t="str">
        <f>tblControles[[#This Row],[Fecha]]&amp;"|"&amp;tblControles[[#This Row],[Módulo]]&amp;"|"&amp;tblControles[[#This Row],[Ítem]]&amp;"|"&amp;tblControles[[#This Row],[Turno]]</f>
        <v>46278|TONELADAS X TURNO|Molino barras 5|3° turno</v>
      </c>
      <c r="C1154" s="871">
        <v>46278</v>
      </c>
      <c r="D1154" t="s">
        <v>9449</v>
      </c>
      <c r="E1154" t="s">
        <v>391</v>
      </c>
      <c r="F1154" t="s">
        <v>398</v>
      </c>
      <c r="G1154">
        <v>1592</v>
      </c>
      <c r="H1154" t="s">
        <v>9333</v>
      </c>
      <c r="I1154" s="871">
        <v>46293.93683766204</v>
      </c>
      <c r="J1154" t="s">
        <v>9528</v>
      </c>
      <c r="K1154" s="975" t="str">
        <f>IF(COUNTIFS(tblControles[Clave],tblControles[[#This Row],[Clave]])&gt;1,"Duplicado","")</f>
        <v/>
      </c>
    </row>
    <row r="1155" spans="2:11">
      <c r="B1155" s="975" t="str">
        <f>tblControles[[#This Row],[Fecha]]&amp;"|"&amp;tblControles[[#This Row],[Módulo]]&amp;"|"&amp;tblControles[[#This Row],[Ítem]]&amp;"|"&amp;tblControles[[#This Row],[Turno]]</f>
        <v>46278|TONELADAS X TURNO|Molino barras 6|1° turno</v>
      </c>
      <c r="C1155" s="871">
        <v>46278</v>
      </c>
      <c r="D1155" t="s">
        <v>9449</v>
      </c>
      <c r="E1155" t="s">
        <v>392</v>
      </c>
      <c r="F1155" t="s">
        <v>396</v>
      </c>
      <c r="G1155">
        <v>1470</v>
      </c>
      <c r="H1155" t="s">
        <v>9333</v>
      </c>
      <c r="I1155" s="871">
        <v>46293.93683766204</v>
      </c>
      <c r="J1155" t="s">
        <v>9528</v>
      </c>
      <c r="K1155" s="975" t="str">
        <f>IF(COUNTIFS(tblControles[Clave],tblControles[[#This Row],[Clave]])&gt;1,"Duplicado","")</f>
        <v/>
      </c>
    </row>
    <row r="1156" spans="2:11">
      <c r="B1156" s="975" t="str">
        <f>tblControles[[#This Row],[Fecha]]&amp;"|"&amp;tblControles[[#This Row],[Módulo]]&amp;"|"&amp;tblControles[[#This Row],[Ítem]]&amp;"|"&amp;tblControles[[#This Row],[Turno]]</f>
        <v>46278|TONELADAS X TURNO|Molino barras 6|2° turno</v>
      </c>
      <c r="C1156" s="871">
        <v>46278</v>
      </c>
      <c r="D1156" t="s">
        <v>9449</v>
      </c>
      <c r="E1156" t="s">
        <v>392</v>
      </c>
      <c r="F1156" t="s">
        <v>397</v>
      </c>
      <c r="G1156">
        <v>1399</v>
      </c>
      <c r="H1156" t="s">
        <v>9333</v>
      </c>
      <c r="I1156" s="871">
        <v>46293.93683766204</v>
      </c>
      <c r="J1156" t="s">
        <v>9528</v>
      </c>
      <c r="K1156" s="975" t="str">
        <f>IF(COUNTIFS(tblControles[Clave],tblControles[[#This Row],[Clave]])&gt;1,"Duplicado","")</f>
        <v/>
      </c>
    </row>
    <row r="1157" spans="2:11">
      <c r="B1157" s="975" t="str">
        <f>tblControles[[#This Row],[Fecha]]&amp;"|"&amp;tblControles[[#This Row],[Módulo]]&amp;"|"&amp;tblControles[[#This Row],[Ítem]]&amp;"|"&amp;tblControles[[#This Row],[Turno]]</f>
        <v>46278|TONELADAS X TURNO|Molino barras 6|3° turno</v>
      </c>
      <c r="C1157" s="871">
        <v>46278</v>
      </c>
      <c r="D1157" t="s">
        <v>9449</v>
      </c>
      <c r="E1157" t="s">
        <v>392</v>
      </c>
      <c r="F1157" t="s">
        <v>398</v>
      </c>
      <c r="G1157">
        <v>1561</v>
      </c>
      <c r="H1157" t="s">
        <v>9333</v>
      </c>
      <c r="I1157" s="871">
        <v>46293.93683766204</v>
      </c>
      <c r="J1157" t="s">
        <v>9528</v>
      </c>
      <c r="K1157" s="975" t="str">
        <f>IF(COUNTIFS(tblControles[Clave],tblControles[[#This Row],[Clave]])&gt;1,"Duplicado","")</f>
        <v/>
      </c>
    </row>
    <row r="1158" spans="2:11">
      <c r="B1158" s="975" t="str">
        <f>tblControles[[#This Row],[Fecha]]&amp;"|"&amp;tblControles[[#This Row],[Módulo]]&amp;"|"&amp;tblControles[[#This Row],[Ítem]]&amp;"|"&amp;tblControles[[#This Row],[Turno]]</f>
        <v>46278|TONELADAS X TURNO|Molino barras 7|1° turno</v>
      </c>
      <c r="C1158" s="871">
        <v>46278</v>
      </c>
      <c r="D1158" t="s">
        <v>9449</v>
      </c>
      <c r="E1158" t="s">
        <v>393</v>
      </c>
      <c r="F1158" t="s">
        <v>396</v>
      </c>
      <c r="G1158">
        <v>1542</v>
      </c>
      <c r="H1158" t="s">
        <v>9333</v>
      </c>
      <c r="I1158" s="871">
        <v>46293.93683766204</v>
      </c>
      <c r="J1158" t="s">
        <v>9528</v>
      </c>
      <c r="K1158" s="975" t="str">
        <f>IF(COUNTIFS(tblControles[Clave],tblControles[[#This Row],[Clave]])&gt;1,"Duplicado","")</f>
        <v/>
      </c>
    </row>
    <row r="1159" spans="2:11">
      <c r="B1159" s="975" t="str">
        <f>tblControles[[#This Row],[Fecha]]&amp;"|"&amp;tblControles[[#This Row],[Módulo]]&amp;"|"&amp;tblControles[[#This Row],[Ítem]]&amp;"|"&amp;tblControles[[#This Row],[Turno]]</f>
        <v>46278|TONELADAS X TURNO|Molino barras 7|2° turno</v>
      </c>
      <c r="C1159" s="871">
        <v>46278</v>
      </c>
      <c r="D1159" t="s">
        <v>9449</v>
      </c>
      <c r="E1159" t="s">
        <v>393</v>
      </c>
      <c r="F1159" t="s">
        <v>397</v>
      </c>
      <c r="G1159">
        <v>1447</v>
      </c>
      <c r="H1159" t="s">
        <v>9333</v>
      </c>
      <c r="I1159" s="871">
        <v>46293.93683766204</v>
      </c>
      <c r="J1159" t="s">
        <v>9528</v>
      </c>
      <c r="K1159" s="975" t="str">
        <f>IF(COUNTIFS(tblControles[Clave],tblControles[[#This Row],[Clave]])&gt;1,"Duplicado","")</f>
        <v/>
      </c>
    </row>
    <row r="1160" spans="2:11">
      <c r="B1160" s="975" t="str">
        <f>tblControles[[#This Row],[Fecha]]&amp;"|"&amp;tblControles[[#This Row],[Módulo]]&amp;"|"&amp;tblControles[[#This Row],[Ítem]]&amp;"|"&amp;tblControles[[#This Row],[Turno]]</f>
        <v>46278|TONELADAS X TURNO|Molino barras 7|3° turno</v>
      </c>
      <c r="C1160" s="871">
        <v>46278</v>
      </c>
      <c r="D1160" t="s">
        <v>9449</v>
      </c>
      <c r="E1160" t="s">
        <v>393</v>
      </c>
      <c r="F1160" t="s">
        <v>398</v>
      </c>
      <c r="G1160">
        <v>1422</v>
      </c>
      <c r="H1160" t="s">
        <v>9333</v>
      </c>
      <c r="I1160" s="871">
        <v>46293.93683766204</v>
      </c>
      <c r="J1160" t="s">
        <v>9528</v>
      </c>
      <c r="K1160" s="975" t="str">
        <f>IF(COUNTIFS(tblControles[Clave],tblControles[[#This Row],[Clave]])&gt;1,"Duplicado","")</f>
        <v/>
      </c>
    </row>
    <row r="1161" spans="2:11">
      <c r="B1161" s="975" t="str">
        <f>tblControles[[#This Row],[Fecha]]&amp;"|"&amp;tblControles[[#This Row],[Módulo]]&amp;"|"&amp;tblControles[[#This Row],[Ítem]]&amp;"|"&amp;tblControles[[#This Row],[Turno]]</f>
        <v>46278|TONELADAS X TURNO|Molino barras 8|1° turno</v>
      </c>
      <c r="C1161" s="871">
        <v>46278</v>
      </c>
      <c r="D1161" t="s">
        <v>9449</v>
      </c>
      <c r="E1161" t="s">
        <v>394</v>
      </c>
      <c r="F1161" t="s">
        <v>396</v>
      </c>
      <c r="G1161">
        <v>1502</v>
      </c>
      <c r="H1161" t="s">
        <v>9333</v>
      </c>
      <c r="I1161" s="871">
        <v>46293.93683766204</v>
      </c>
      <c r="J1161" t="s">
        <v>9528</v>
      </c>
      <c r="K1161" s="975" t="str">
        <f>IF(COUNTIFS(tblControles[Clave],tblControles[[#This Row],[Clave]])&gt;1,"Duplicado","")</f>
        <v/>
      </c>
    </row>
    <row r="1162" spans="2:11">
      <c r="B1162" s="975" t="str">
        <f>tblControles[[#This Row],[Fecha]]&amp;"|"&amp;tblControles[[#This Row],[Módulo]]&amp;"|"&amp;tblControles[[#This Row],[Ítem]]&amp;"|"&amp;tblControles[[#This Row],[Turno]]</f>
        <v>46278|TONELADAS X TURNO|Molino barras 8|2° turno</v>
      </c>
      <c r="C1162" s="871">
        <v>46278</v>
      </c>
      <c r="D1162" t="s">
        <v>9449</v>
      </c>
      <c r="E1162" t="s">
        <v>394</v>
      </c>
      <c r="F1162" t="s">
        <v>397</v>
      </c>
      <c r="G1162">
        <v>1496</v>
      </c>
      <c r="H1162" t="s">
        <v>9333</v>
      </c>
      <c r="I1162" s="871">
        <v>46293.93683766204</v>
      </c>
      <c r="J1162" t="s">
        <v>9528</v>
      </c>
      <c r="K1162" s="975" t="str">
        <f>IF(COUNTIFS(tblControles[Clave],tblControles[[#This Row],[Clave]])&gt;1,"Duplicado","")</f>
        <v/>
      </c>
    </row>
    <row r="1163" spans="2:11">
      <c r="B1163" s="975" t="str">
        <f>tblControles[[#This Row],[Fecha]]&amp;"|"&amp;tblControles[[#This Row],[Módulo]]&amp;"|"&amp;tblControles[[#This Row],[Ítem]]&amp;"|"&amp;tblControles[[#This Row],[Turno]]</f>
        <v>46278|TONELADAS X TURNO|Molino barras 8|3° turno</v>
      </c>
      <c r="C1163" s="871">
        <v>46278</v>
      </c>
      <c r="D1163" t="s">
        <v>9449</v>
      </c>
      <c r="E1163" t="s">
        <v>394</v>
      </c>
      <c r="F1163" t="s">
        <v>398</v>
      </c>
      <c r="G1163">
        <v>1562</v>
      </c>
      <c r="H1163" t="s">
        <v>9333</v>
      </c>
      <c r="I1163" s="871">
        <v>46293.93683766204</v>
      </c>
      <c r="J1163" t="s">
        <v>9528</v>
      </c>
      <c r="K1163" s="975" t="str">
        <f>IF(COUNTIFS(tblControles[Clave],tblControles[[#This Row],[Clave]])&gt;1,"Duplicado","")</f>
        <v/>
      </c>
    </row>
    <row r="1164" spans="2:11">
      <c r="B1164" s="975" t="str">
        <f>tblControles[[#This Row],[Fecha]]&amp;"|"&amp;tblControles[[#This Row],[Módulo]]&amp;"|"&amp;tblControles[[#This Row],[Ítem]]&amp;"|"&amp;tblControles[[#This Row],[Turno]]</f>
        <v>46278|TONELADAS X TURNO|Molino barras 9|1° turno</v>
      </c>
      <c r="C1164" s="871">
        <v>46278</v>
      </c>
      <c r="D1164" t="s">
        <v>9449</v>
      </c>
      <c r="E1164" t="s">
        <v>395</v>
      </c>
      <c r="F1164" t="s">
        <v>396</v>
      </c>
      <c r="G1164">
        <v>1885</v>
      </c>
      <c r="H1164" t="s">
        <v>9333</v>
      </c>
      <c r="I1164" s="871">
        <v>46293.93683766204</v>
      </c>
      <c r="J1164" t="s">
        <v>9528</v>
      </c>
      <c r="K1164" s="975" t="str">
        <f>IF(COUNTIFS(tblControles[Clave],tblControles[[#This Row],[Clave]])&gt;1,"Duplicado","")</f>
        <v/>
      </c>
    </row>
    <row r="1165" spans="2:11">
      <c r="B1165" s="975" t="str">
        <f>tblControles[[#This Row],[Fecha]]&amp;"|"&amp;tblControles[[#This Row],[Módulo]]&amp;"|"&amp;tblControles[[#This Row],[Ítem]]&amp;"|"&amp;tblControles[[#This Row],[Turno]]</f>
        <v>46278|TONELADAS X TURNO|Molino barras 9|2° turno</v>
      </c>
      <c r="C1165" s="871">
        <v>46278</v>
      </c>
      <c r="D1165" t="s">
        <v>9449</v>
      </c>
      <c r="E1165" t="s">
        <v>395</v>
      </c>
      <c r="F1165" t="s">
        <v>397</v>
      </c>
      <c r="G1165">
        <v>1569</v>
      </c>
      <c r="H1165" t="s">
        <v>9333</v>
      </c>
      <c r="I1165" s="871">
        <v>46293.93683766204</v>
      </c>
      <c r="J1165" t="s">
        <v>9528</v>
      </c>
      <c r="K1165" s="975" t="str">
        <f>IF(COUNTIFS(tblControles[Clave],tblControles[[#This Row],[Clave]])&gt;1,"Duplicado","")</f>
        <v/>
      </c>
    </row>
    <row r="1166" spans="2:11">
      <c r="B1166" s="975" t="str">
        <f>tblControles[[#This Row],[Fecha]]&amp;"|"&amp;tblControles[[#This Row],[Módulo]]&amp;"|"&amp;tblControles[[#This Row],[Ítem]]&amp;"|"&amp;tblControles[[#This Row],[Turno]]</f>
        <v>46278|TONELADAS X TURNO|Molino barras 9|3° turno</v>
      </c>
      <c r="C1166" s="871">
        <v>46278</v>
      </c>
      <c r="D1166" t="s">
        <v>9449</v>
      </c>
      <c r="E1166" t="s">
        <v>395</v>
      </c>
      <c r="F1166" t="s">
        <v>398</v>
      </c>
      <c r="G1166">
        <v>1949</v>
      </c>
      <c r="H1166" t="s">
        <v>9333</v>
      </c>
      <c r="I1166" s="871">
        <v>46293.93683766204</v>
      </c>
      <c r="J1166" t="s">
        <v>9528</v>
      </c>
      <c r="K1166" s="975" t="str">
        <f>IF(COUNTIFS(tblControles[Clave],tblControles[[#This Row],[Clave]])&gt;1,"Duplicado","")</f>
        <v/>
      </c>
    </row>
    <row r="1167" spans="2:11">
      <c r="B1167" s="975" t="str">
        <f>tblControles[[#This Row],[Fecha]]&amp;"|"&amp;tblControles[[#This Row],[Módulo]]&amp;"|"&amp;tblControles[[#This Row],[Ítem]]&amp;"|"&amp;tblControles[[#This Row],[Turno]]</f>
        <v>46279|AGREGADO MEDIOS|BARRAS RM1|Cantidad</v>
      </c>
      <c r="C1167" s="871">
        <v>46279</v>
      </c>
      <c r="D1167" t="s">
        <v>9451</v>
      </c>
      <c r="E1167" t="s">
        <v>410</v>
      </c>
      <c r="F1167" t="s">
        <v>9453</v>
      </c>
      <c r="G1167">
        <v>0</v>
      </c>
      <c r="H1167" t="s">
        <v>9333</v>
      </c>
      <c r="I1167" s="871">
        <v>46293.93683766204</v>
      </c>
      <c r="J1167" t="s">
        <v>9524</v>
      </c>
      <c r="K1167" s="975" t="str">
        <f>IF(COUNTIFS(tblControles[Clave],tblControles[[#This Row],[Clave]])&gt;1,"Duplicado","")</f>
        <v/>
      </c>
    </row>
    <row r="1168" spans="2:11">
      <c r="B1168" s="975" t="str">
        <f>tblControles[[#This Row],[Fecha]]&amp;"|"&amp;tblControles[[#This Row],[Módulo]]&amp;"|"&amp;tblControles[[#This Row],[Ítem]]&amp;"|"&amp;tblControles[[#This Row],[Turno]]</f>
        <v>46279|AGREGADO MEDIOS|BARRAS RM2|Cantidad</v>
      </c>
      <c r="C1168" s="871">
        <v>46279</v>
      </c>
      <c r="D1168" t="s">
        <v>9451</v>
      </c>
      <c r="E1168" t="s">
        <v>411</v>
      </c>
      <c r="F1168" t="s">
        <v>9453</v>
      </c>
      <c r="G1168">
        <v>0</v>
      </c>
      <c r="H1168" t="s">
        <v>9333</v>
      </c>
      <c r="I1168" s="871">
        <v>46293.93683766204</v>
      </c>
      <c r="J1168" t="s">
        <v>9524</v>
      </c>
      <c r="K1168" s="975" t="str">
        <f>IF(COUNTIFS(tblControles[Clave],tblControles[[#This Row],[Clave]])&gt;1,"Duplicado","")</f>
        <v/>
      </c>
    </row>
    <row r="1169" spans="2:11">
      <c r="B1169" s="975" t="str">
        <f>tblControles[[#This Row],[Fecha]]&amp;"|"&amp;tblControles[[#This Row],[Módulo]]&amp;"|"&amp;tblControles[[#This Row],[Ítem]]&amp;"|"&amp;tblControles[[#This Row],[Turno]]</f>
        <v>46279|AGREGADO MEDIOS|BARRAS RM3|Cantidad</v>
      </c>
      <c r="C1169" s="871">
        <v>46279</v>
      </c>
      <c r="D1169" t="s">
        <v>9451</v>
      </c>
      <c r="E1169" t="s">
        <v>412</v>
      </c>
      <c r="F1169" t="s">
        <v>9453</v>
      </c>
      <c r="G1169">
        <v>7</v>
      </c>
      <c r="H1169" t="s">
        <v>9333</v>
      </c>
      <c r="I1169" s="871">
        <v>46293.93683766204</v>
      </c>
      <c r="J1169" t="s">
        <v>9524</v>
      </c>
      <c r="K1169" s="975" t="str">
        <f>IF(COUNTIFS(tblControles[Clave],tblControles[[#This Row],[Clave]])&gt;1,"Duplicado","")</f>
        <v/>
      </c>
    </row>
    <row r="1170" spans="2:11">
      <c r="B1170" s="975" t="str">
        <f>tblControles[[#This Row],[Fecha]]&amp;"|"&amp;tblControles[[#This Row],[Módulo]]&amp;"|"&amp;tblControles[[#This Row],[Ítem]]&amp;"|"&amp;tblControles[[#This Row],[Turno]]</f>
        <v>46279|AGREGADO MEDIOS|BARRAS RM4|Cantidad</v>
      </c>
      <c r="C1170" s="871">
        <v>46279</v>
      </c>
      <c r="D1170" t="s">
        <v>9451</v>
      </c>
      <c r="E1170" t="s">
        <v>413</v>
      </c>
      <c r="F1170" t="s">
        <v>9453</v>
      </c>
      <c r="G1170">
        <v>0</v>
      </c>
      <c r="H1170" t="s">
        <v>9333</v>
      </c>
      <c r="I1170" s="871">
        <v>46293.93683766204</v>
      </c>
      <c r="J1170" t="s">
        <v>9524</v>
      </c>
      <c r="K1170" s="975" t="str">
        <f>IF(COUNTIFS(tblControles[Clave],tblControles[[#This Row],[Clave]])&gt;1,"Duplicado","")</f>
        <v/>
      </c>
    </row>
    <row r="1171" spans="2:11">
      <c r="B1171" s="975" t="str">
        <f>tblControles[[#This Row],[Fecha]]&amp;"|"&amp;tblControles[[#This Row],[Módulo]]&amp;"|"&amp;tblControles[[#This Row],[Ítem]]&amp;"|"&amp;tblControles[[#This Row],[Turno]]</f>
        <v>46279|AGREGADO MEDIOS|BARRAS RM5|Cantidad</v>
      </c>
      <c r="C1171" s="871">
        <v>46279</v>
      </c>
      <c r="D1171" t="s">
        <v>9451</v>
      </c>
      <c r="E1171" t="s">
        <v>414</v>
      </c>
      <c r="F1171" t="s">
        <v>9453</v>
      </c>
      <c r="G1171">
        <v>9</v>
      </c>
      <c r="H1171" t="s">
        <v>9333</v>
      </c>
      <c r="I1171" s="871">
        <v>46293.93683766204</v>
      </c>
      <c r="J1171" t="s">
        <v>9524</v>
      </c>
      <c r="K1171" s="975" t="str">
        <f>IF(COUNTIFS(tblControles[Clave],tblControles[[#This Row],[Clave]])&gt;1,"Duplicado","")</f>
        <v/>
      </c>
    </row>
    <row r="1172" spans="2:11">
      <c r="B1172" s="975" t="str">
        <f>tblControles[[#This Row],[Fecha]]&amp;"|"&amp;tblControles[[#This Row],[Módulo]]&amp;"|"&amp;tblControles[[#This Row],[Ítem]]&amp;"|"&amp;tblControles[[#This Row],[Turno]]</f>
        <v>46279|AGREGADO MEDIOS|BARRAS RM6|Cantidad</v>
      </c>
      <c r="C1172" s="871">
        <v>46279</v>
      </c>
      <c r="D1172" t="s">
        <v>9451</v>
      </c>
      <c r="E1172" t="s">
        <v>415</v>
      </c>
      <c r="F1172" t="s">
        <v>9453</v>
      </c>
      <c r="G1172">
        <v>0</v>
      </c>
      <c r="H1172" t="s">
        <v>9333</v>
      </c>
      <c r="I1172" s="871">
        <v>46293.93683766204</v>
      </c>
      <c r="J1172" t="s">
        <v>9524</v>
      </c>
      <c r="K1172" s="975" t="str">
        <f>IF(COUNTIFS(tblControles[Clave],tblControles[[#This Row],[Clave]])&gt;1,"Duplicado","")</f>
        <v/>
      </c>
    </row>
    <row r="1173" spans="2:11">
      <c r="B1173" s="975" t="str">
        <f>tblControles[[#This Row],[Fecha]]&amp;"|"&amp;tblControles[[#This Row],[Módulo]]&amp;"|"&amp;tblControles[[#This Row],[Ítem]]&amp;"|"&amp;tblControles[[#This Row],[Turno]]</f>
        <v>46279|AGREGADO MEDIOS|BARRAS RM7|Cantidad</v>
      </c>
      <c r="C1173" s="871">
        <v>46279</v>
      </c>
      <c r="D1173" t="s">
        <v>9451</v>
      </c>
      <c r="E1173" t="s">
        <v>416</v>
      </c>
      <c r="F1173" t="s">
        <v>9453</v>
      </c>
      <c r="G1173">
        <v>0</v>
      </c>
      <c r="H1173" t="s">
        <v>9333</v>
      </c>
      <c r="I1173" s="871">
        <v>46293.93683766204</v>
      </c>
      <c r="J1173" t="s">
        <v>9524</v>
      </c>
      <c r="K1173" s="975" t="str">
        <f>IF(COUNTIFS(tblControles[Clave],tblControles[[#This Row],[Clave]])&gt;1,"Duplicado","")</f>
        <v/>
      </c>
    </row>
    <row r="1174" spans="2:11">
      <c r="B1174" s="975" t="str">
        <f>tblControles[[#This Row],[Fecha]]&amp;"|"&amp;tblControles[[#This Row],[Módulo]]&amp;"|"&amp;tblControles[[#This Row],[Ítem]]&amp;"|"&amp;tblControles[[#This Row],[Turno]]</f>
        <v>46279|AGREGADO MEDIOS|BARRAS RM8|Cantidad</v>
      </c>
      <c r="C1174" s="871">
        <v>46279</v>
      </c>
      <c r="D1174" t="s">
        <v>9451</v>
      </c>
      <c r="E1174" t="s">
        <v>417</v>
      </c>
      <c r="F1174" t="s">
        <v>9453</v>
      </c>
      <c r="G1174">
        <v>0</v>
      </c>
      <c r="H1174" t="s">
        <v>9333</v>
      </c>
      <c r="I1174" s="871">
        <v>46293.93683766204</v>
      </c>
      <c r="J1174" t="s">
        <v>9524</v>
      </c>
      <c r="K1174" s="975" t="str">
        <f>IF(COUNTIFS(tblControles[Clave],tblControles[[#This Row],[Clave]])&gt;1,"Duplicado","")</f>
        <v/>
      </c>
    </row>
    <row r="1175" spans="2:11">
      <c r="B1175" s="975" t="str">
        <f>tblControles[[#This Row],[Fecha]]&amp;"|"&amp;tblControles[[#This Row],[Módulo]]&amp;"|"&amp;tblControles[[#This Row],[Ítem]]&amp;"|"&amp;tblControles[[#This Row],[Turno]]</f>
        <v>46279|AGREGADO MEDIOS|BARRAS 9 RM9|Cantidad</v>
      </c>
      <c r="C1175" s="871">
        <v>46279</v>
      </c>
      <c r="D1175" t="s">
        <v>9451</v>
      </c>
      <c r="E1175" t="s">
        <v>418</v>
      </c>
      <c r="F1175" t="s">
        <v>9453</v>
      </c>
      <c r="G1175">
        <v>11</v>
      </c>
      <c r="H1175" t="s">
        <v>9333</v>
      </c>
      <c r="I1175" s="871">
        <v>46293.93683766204</v>
      </c>
      <c r="J1175" t="s">
        <v>9524</v>
      </c>
      <c r="K1175" s="975" t="str">
        <f>IF(COUNTIFS(tblControles[Clave],tblControles[[#This Row],[Clave]])&gt;1,"Duplicado","")</f>
        <v/>
      </c>
    </row>
    <row r="1176" spans="2:11">
      <c r="B1176" s="975" t="str">
        <f>tblControles[[#This Row],[Fecha]]&amp;"|"&amp;tblControles[[#This Row],[Módulo]]&amp;"|"&amp;tblControles[[#This Row],[Ítem]]&amp;"|"&amp;tblControles[[#This Row],[Turno]]</f>
        <v>46279|AGREGADO MEDIOS|CONOS 40X50 BM1|Cantidad</v>
      </c>
      <c r="C1176" s="871">
        <v>46279</v>
      </c>
      <c r="D1176" t="s">
        <v>9451</v>
      </c>
      <c r="E1176" t="s">
        <v>420</v>
      </c>
      <c r="F1176" t="s">
        <v>9453</v>
      </c>
      <c r="G1176">
        <v>2</v>
      </c>
      <c r="H1176" t="s">
        <v>9333</v>
      </c>
      <c r="I1176" s="871">
        <v>46293.93683766204</v>
      </c>
      <c r="J1176" t="s">
        <v>9524</v>
      </c>
      <c r="K1176" s="975" t="str">
        <f>IF(COUNTIFS(tblControles[Clave],tblControles[[#This Row],[Clave]])&gt;1,"Duplicado","")</f>
        <v/>
      </c>
    </row>
    <row r="1177" spans="2:11">
      <c r="B1177" s="975" t="str">
        <f>tblControles[[#This Row],[Fecha]]&amp;"|"&amp;tblControles[[#This Row],[Módulo]]&amp;"|"&amp;tblControles[[#This Row],[Ítem]]&amp;"|"&amp;tblControles[[#This Row],[Turno]]</f>
        <v>46279|AGREGADO MEDIOS|CONOS 40X50 BM2|Cantidad</v>
      </c>
      <c r="C1177" s="871">
        <v>46279</v>
      </c>
      <c r="D1177" t="s">
        <v>9451</v>
      </c>
      <c r="E1177" t="s">
        <v>421</v>
      </c>
      <c r="F1177" t="s">
        <v>9453</v>
      </c>
      <c r="G1177">
        <v>2</v>
      </c>
      <c r="H1177" t="s">
        <v>9333</v>
      </c>
      <c r="I1177" s="871">
        <v>46293.93683766204</v>
      </c>
      <c r="J1177" t="s">
        <v>9524</v>
      </c>
      <c r="K1177" s="975" t="str">
        <f>IF(COUNTIFS(tblControles[Clave],tblControles[[#This Row],[Clave]])&gt;1,"Duplicado","")</f>
        <v/>
      </c>
    </row>
    <row r="1178" spans="2:11">
      <c r="B1178" s="975" t="str">
        <f>tblControles[[#This Row],[Fecha]]&amp;"|"&amp;tblControles[[#This Row],[Módulo]]&amp;"|"&amp;tblControles[[#This Row],[Ítem]]&amp;"|"&amp;tblControles[[#This Row],[Turno]]</f>
        <v>46279|AGREGADO MEDIOS|CONOS 40X50 BM3|Cantidad</v>
      </c>
      <c r="C1178" s="871">
        <v>46279</v>
      </c>
      <c r="D1178" t="s">
        <v>9451</v>
      </c>
      <c r="E1178" t="s">
        <v>422</v>
      </c>
      <c r="F1178" t="s">
        <v>9453</v>
      </c>
      <c r="G1178">
        <v>4</v>
      </c>
      <c r="H1178" t="s">
        <v>9333</v>
      </c>
      <c r="I1178" s="871">
        <v>46293.93683766204</v>
      </c>
      <c r="J1178" t="s">
        <v>9524</v>
      </c>
      <c r="K1178" s="975" t="str">
        <f>IF(COUNTIFS(tblControles[Clave],tblControles[[#This Row],[Clave]])&gt;1,"Duplicado","")</f>
        <v/>
      </c>
    </row>
    <row r="1179" spans="2:11">
      <c r="B1179" s="975" t="str">
        <f>tblControles[[#This Row],[Fecha]]&amp;"|"&amp;tblControles[[#This Row],[Módulo]]&amp;"|"&amp;tblControles[[#This Row],[Ítem]]&amp;"|"&amp;tblControles[[#This Row],[Turno]]</f>
        <v>46279|AGREGADO MEDIOS|CONOS 40X50 BM4|Cantidad</v>
      </c>
      <c r="C1179" s="871">
        <v>46279</v>
      </c>
      <c r="D1179" t="s">
        <v>9451</v>
      </c>
      <c r="E1179" t="s">
        <v>423</v>
      </c>
      <c r="F1179" t="s">
        <v>9453</v>
      </c>
      <c r="G1179">
        <v>0</v>
      </c>
      <c r="H1179" t="s">
        <v>9333</v>
      </c>
      <c r="I1179" s="871">
        <v>46293.93683766204</v>
      </c>
      <c r="J1179" t="s">
        <v>9524</v>
      </c>
      <c r="K1179" s="975" t="str">
        <f>IF(COUNTIFS(tblControles[Clave],tblControles[[#This Row],[Clave]])&gt;1,"Duplicado","")</f>
        <v/>
      </c>
    </row>
    <row r="1180" spans="2:11">
      <c r="B1180" s="975" t="str">
        <f>tblControles[[#This Row],[Fecha]]&amp;"|"&amp;tblControles[[#This Row],[Módulo]]&amp;"|"&amp;tblControles[[#This Row],[Ítem]]&amp;"|"&amp;tblControles[[#This Row],[Turno]]</f>
        <v>46279|AGREGADO MEDIOS|CONOS 30X35 BM5|Cantidad</v>
      </c>
      <c r="C1180" s="871">
        <v>46279</v>
      </c>
      <c r="D1180" t="s">
        <v>9451</v>
      </c>
      <c r="E1180" t="s">
        <v>424</v>
      </c>
      <c r="F1180" t="s">
        <v>9453</v>
      </c>
      <c r="G1180">
        <v>8</v>
      </c>
      <c r="H1180" t="s">
        <v>9333</v>
      </c>
      <c r="I1180" s="871">
        <v>46293.93683766204</v>
      </c>
      <c r="J1180" t="s">
        <v>9524</v>
      </c>
      <c r="K1180" s="975" t="str">
        <f>IF(COUNTIFS(tblControles[Clave],tblControles[[#This Row],[Clave]])&gt;1,"Duplicado","")</f>
        <v/>
      </c>
    </row>
    <row r="1181" spans="2:11">
      <c r="B1181" s="975" t="str">
        <f>tblControles[[#This Row],[Fecha]]&amp;"|"&amp;tblControles[[#This Row],[Módulo]]&amp;"|"&amp;tblControles[[#This Row],[Ítem]]&amp;"|"&amp;tblControles[[#This Row],[Turno]]</f>
        <v>46279|AGREGADO MEDIOS|CONOS 40X50 BM6|Cantidad</v>
      </c>
      <c r="C1181" s="871">
        <v>46279</v>
      </c>
      <c r="D1181" t="s">
        <v>9451</v>
      </c>
      <c r="E1181" t="s">
        <v>425</v>
      </c>
      <c r="F1181" t="s">
        <v>9453</v>
      </c>
      <c r="G1181">
        <v>2</v>
      </c>
      <c r="H1181" t="s">
        <v>9333</v>
      </c>
      <c r="I1181" s="871">
        <v>46293.93683766204</v>
      </c>
      <c r="J1181" t="s">
        <v>9524</v>
      </c>
      <c r="K1181" s="975" t="str">
        <f>IF(COUNTIFS(tblControles[Clave],tblControles[[#This Row],[Clave]])&gt;1,"Duplicado","")</f>
        <v/>
      </c>
    </row>
    <row r="1182" spans="2:11">
      <c r="B1182" s="975" t="str">
        <f>tblControles[[#This Row],[Fecha]]&amp;"|"&amp;tblControles[[#This Row],[Módulo]]&amp;"|"&amp;tblControles[[#This Row],[Ítem]]&amp;"|"&amp;tblControles[[#This Row],[Turno]]</f>
        <v>46279|AGREGADO MEDIOS|CONOS 40X50 BM7|Cantidad</v>
      </c>
      <c r="C1182" s="871">
        <v>46279</v>
      </c>
      <c r="D1182" t="s">
        <v>9451</v>
      </c>
      <c r="E1182" t="s">
        <v>426</v>
      </c>
      <c r="F1182" t="s">
        <v>9453</v>
      </c>
      <c r="G1182">
        <v>2</v>
      </c>
      <c r="H1182" t="s">
        <v>9333</v>
      </c>
      <c r="I1182" s="871">
        <v>46293.93683766204</v>
      </c>
      <c r="J1182" t="s">
        <v>9524</v>
      </c>
      <c r="K1182" s="975" t="str">
        <f>IF(COUNTIFS(tblControles[Clave],tblControles[[#This Row],[Clave]])&gt;1,"Duplicado","")</f>
        <v/>
      </c>
    </row>
    <row r="1183" spans="2:11">
      <c r="B1183" s="975" t="str">
        <f>tblControles[[#This Row],[Fecha]]&amp;"|"&amp;tblControles[[#This Row],[Módulo]]&amp;"|"&amp;tblControles[[#This Row],[Ítem]]&amp;"|"&amp;tblControles[[#This Row],[Turno]]</f>
        <v>46279|AGREGADO MEDIOS|CONOS 40X50|Cantidad</v>
      </c>
      <c r="C1183" s="871">
        <v>46279</v>
      </c>
      <c r="D1183" t="s">
        <v>9451</v>
      </c>
      <c r="E1183" t="s">
        <v>427</v>
      </c>
      <c r="F1183" t="s">
        <v>9453</v>
      </c>
      <c r="G1183">
        <v>2</v>
      </c>
      <c r="H1183" t="s">
        <v>9333</v>
      </c>
      <c r="I1183" s="871">
        <v>46293.93683766204</v>
      </c>
      <c r="J1183" t="s">
        <v>9524</v>
      </c>
      <c r="K1183" s="975" t="str">
        <f>IF(COUNTIFS(tblControles[Clave],tblControles[[#This Row],[Clave]])&gt;1,"Duplicado","")</f>
        <v/>
      </c>
    </row>
    <row r="1184" spans="2:11">
      <c r="B1184" s="975" t="str">
        <f>tblControles[[#This Row],[Fecha]]&amp;"|"&amp;tblControles[[#This Row],[Módulo]]&amp;"|"&amp;tblControles[[#This Row],[Ítem]]&amp;"|"&amp;tblControles[[#This Row],[Turno]]</f>
        <v>46279|AGREGADO MEDIOS|CONOS 30X35|Cantidad</v>
      </c>
      <c r="C1184" s="871">
        <v>46279</v>
      </c>
      <c r="D1184" t="s">
        <v>9451</v>
      </c>
      <c r="E1184" t="s">
        <v>428</v>
      </c>
      <c r="F1184" t="s">
        <v>9453</v>
      </c>
      <c r="G1184">
        <v>18</v>
      </c>
      <c r="H1184" t="s">
        <v>9333</v>
      </c>
      <c r="I1184" s="871">
        <v>46293.93683766204</v>
      </c>
      <c r="J1184" t="s">
        <v>9524</v>
      </c>
      <c r="K1184" s="975" t="str">
        <f>IF(COUNTIFS(tblControles[Clave],tblControles[[#This Row],[Clave]])&gt;1,"Duplicado","")</f>
        <v/>
      </c>
    </row>
    <row r="1185" spans="2:11">
      <c r="B1185" s="975" t="str">
        <f>tblControles[[#This Row],[Fecha]]&amp;"|"&amp;tblControles[[#This Row],[Módulo]]&amp;"|"&amp;tblControles[[#This Row],[Ítem]]&amp;"|"&amp;tblControles[[#This Row],[Turno]]</f>
        <v>46279|AGREGADO MEDIOS|BOLAS BM8|Cantidad</v>
      </c>
      <c r="C1185" s="871">
        <v>46279</v>
      </c>
      <c r="D1185" t="s">
        <v>9451</v>
      </c>
      <c r="E1185" t="s">
        <v>429</v>
      </c>
      <c r="F1185" t="s">
        <v>9453</v>
      </c>
      <c r="G1185">
        <v>0</v>
      </c>
      <c r="H1185" t="s">
        <v>9333</v>
      </c>
      <c r="I1185" s="871">
        <v>46293.93683766204</v>
      </c>
      <c r="J1185" t="s">
        <v>9524</v>
      </c>
      <c r="K1185" s="975" t="str">
        <f>IF(COUNTIFS(tblControles[Clave],tblControles[[#This Row],[Clave]])&gt;1,"Duplicado","")</f>
        <v/>
      </c>
    </row>
    <row r="1186" spans="2:11">
      <c r="B1186" s="975" t="str">
        <f>tblControles[[#This Row],[Fecha]]&amp;"|"&amp;tblControles[[#This Row],[Módulo]]&amp;"|"&amp;tblControles[[#This Row],[Ítem]]&amp;"|"&amp;tblControles[[#This Row],[Turno]]</f>
        <v>46279|AGREGADO MEDIOS|BOLAS BM9|Cantidad</v>
      </c>
      <c r="C1186" s="871">
        <v>46279</v>
      </c>
      <c r="D1186" t="s">
        <v>9451</v>
      </c>
      <c r="E1186" t="s">
        <v>430</v>
      </c>
      <c r="F1186" t="s">
        <v>9453</v>
      </c>
      <c r="G1186">
        <v>0</v>
      </c>
      <c r="H1186" t="s">
        <v>9333</v>
      </c>
      <c r="I1186" s="871">
        <v>46293.93683766204</v>
      </c>
      <c r="J1186" t="s">
        <v>9524</v>
      </c>
      <c r="K1186" s="975" t="str">
        <f>IF(COUNTIFS(tblControles[Clave],tblControles[[#This Row],[Clave]])&gt;1,"Duplicado","")</f>
        <v/>
      </c>
    </row>
    <row r="1187" spans="2:11">
      <c r="B1187" s="975" t="str">
        <f>tblControles[[#This Row],[Fecha]]&amp;"|"&amp;tblControles[[#This Row],[Módulo]]&amp;"|"&amp;tblControles[[#This Row],[Ítem]]&amp;"|"&amp;tblControles[[#This Row],[Turno]]</f>
        <v>46279|AGREGADO MEDIOS|BOLAS BM10|Cantidad</v>
      </c>
      <c r="C1187" s="871">
        <v>46279</v>
      </c>
      <c r="D1187" t="s">
        <v>9451</v>
      </c>
      <c r="E1187" t="s">
        <v>431</v>
      </c>
      <c r="F1187" t="s">
        <v>9453</v>
      </c>
      <c r="G1187">
        <v>0</v>
      </c>
      <c r="H1187" t="s">
        <v>9333</v>
      </c>
      <c r="I1187" s="871">
        <v>46293.93683766204</v>
      </c>
      <c r="J1187" t="s">
        <v>9524</v>
      </c>
      <c r="K1187" s="975" t="str">
        <f>IF(COUNTIFS(tblControles[Clave],tblControles[[#This Row],[Clave]])&gt;1,"Duplicado","")</f>
        <v/>
      </c>
    </row>
    <row r="1188" spans="2:11">
      <c r="B1188" s="975" t="str">
        <f>tblControles[[#This Row],[Fecha]]&amp;"|"&amp;tblControles[[#This Row],[Módulo]]&amp;"|"&amp;tblControles[[#This Row],[Ítem]]&amp;"|"&amp;tblControles[[#This Row],[Turno]]</f>
        <v>46279|AGREGADO MEDIOS|BOLAS ALTO CROM|Cantidad</v>
      </c>
      <c r="C1188" s="871">
        <v>46279</v>
      </c>
      <c r="D1188" t="s">
        <v>9451</v>
      </c>
      <c r="E1188" t="s">
        <v>432</v>
      </c>
      <c r="F1188" t="s">
        <v>9453</v>
      </c>
      <c r="G1188">
        <v>0</v>
      </c>
      <c r="H1188" t="s">
        <v>9333</v>
      </c>
      <c r="I1188" s="871">
        <v>46293.93683766204</v>
      </c>
      <c r="J1188" t="s">
        <v>9524</v>
      </c>
      <c r="K1188" s="975" t="str">
        <f>IF(COUNTIFS(tblControles[Clave],tblControles[[#This Row],[Clave]])&gt;1,"Duplicado","")</f>
        <v/>
      </c>
    </row>
    <row r="1189" spans="2:11">
      <c r="B1189" s="975" t="str">
        <f>tblControles[[#This Row],[Fecha]]&amp;"|"&amp;tblControles[[#This Row],[Módulo]]&amp;"|"&amp;tblControles[[#This Row],[Ítem]]&amp;"|"&amp;tblControles[[#This Row],[Turno]]</f>
        <v>46279|FILTROS H2O|Filtro # 1|3 TURNO</v>
      </c>
      <c r="C1189" s="871">
        <v>46279</v>
      </c>
      <c r="D1189" t="s">
        <v>9430</v>
      </c>
      <c r="E1189" t="s">
        <v>9525</v>
      </c>
      <c r="F1189" t="s">
        <v>328</v>
      </c>
      <c r="G1189" t="s">
        <v>3227</v>
      </c>
      <c r="H1189" t="s">
        <v>9333</v>
      </c>
      <c r="I1189" s="871">
        <v>46293.93683766204</v>
      </c>
      <c r="J1189" t="s">
        <v>9529</v>
      </c>
      <c r="K1189" s="975" t="str">
        <f>IF(COUNTIFS(tblControles[Clave],tblControles[[#This Row],[Clave]])&gt;1,"Duplicado","")</f>
        <v/>
      </c>
    </row>
    <row r="1190" spans="2:11">
      <c r="B1190" s="975" t="str">
        <f>tblControles[[#This Row],[Fecha]]&amp;"|"&amp;tblControles[[#This Row],[Módulo]]&amp;"|"&amp;tblControles[[#This Row],[Ítem]]&amp;"|"&amp;tblControles[[#This Row],[Turno]]</f>
        <v>46279|FILTROS H2O|Filtro # 2|3 TURNO</v>
      </c>
      <c r="C1190" s="871">
        <v>46279</v>
      </c>
      <c r="D1190" t="s">
        <v>9430</v>
      </c>
      <c r="E1190" t="s">
        <v>9463</v>
      </c>
      <c r="F1190" t="s">
        <v>328</v>
      </c>
      <c r="G1190" t="s">
        <v>3227</v>
      </c>
      <c r="H1190" t="s">
        <v>9333</v>
      </c>
      <c r="I1190" s="871">
        <v>46293.93683766204</v>
      </c>
      <c r="J1190" t="s">
        <v>9529</v>
      </c>
      <c r="K1190" s="975" t="str">
        <f>IF(COUNTIFS(tblControles[Clave],tblControles[[#This Row],[Clave]])&gt;1,"Duplicado","")</f>
        <v/>
      </c>
    </row>
    <row r="1191" spans="2:11">
      <c r="B1191" s="975" t="str">
        <f>tblControles[[#This Row],[Fecha]]&amp;"|"&amp;tblControles[[#This Row],[Módulo]]&amp;"|"&amp;tblControles[[#This Row],[Ítem]]&amp;"|"&amp;tblControles[[#This Row],[Turno]]</f>
        <v>46279|FILTROS H2O|Filtro # 3|3 TURNO</v>
      </c>
      <c r="C1191" s="871">
        <v>46279</v>
      </c>
      <c r="D1191" t="s">
        <v>9430</v>
      </c>
      <c r="E1191" t="s">
        <v>9464</v>
      </c>
      <c r="F1191" t="s">
        <v>328</v>
      </c>
      <c r="G1191" t="s">
        <v>3227</v>
      </c>
      <c r="H1191" t="s">
        <v>9333</v>
      </c>
      <c r="I1191" s="871">
        <v>46293.93683766204</v>
      </c>
      <c r="J1191" t="s">
        <v>9529</v>
      </c>
      <c r="K1191" s="975" t="str">
        <f>IF(COUNTIFS(tblControles[Clave],tblControles[[#This Row],[Clave]])&gt;1,"Duplicado","")</f>
        <v/>
      </c>
    </row>
    <row r="1192" spans="2:11">
      <c r="B1192" s="975" t="str">
        <f>tblControles[[#This Row],[Fecha]]&amp;"|"&amp;tblControles[[#This Row],[Módulo]]&amp;"|"&amp;tblControles[[#This Row],[Ítem]]&amp;"|"&amp;tblControles[[#This Row],[Turno]]</f>
        <v>46279|FILTROS H2O|Filtro # 4|3 TURNO</v>
      </c>
      <c r="C1192" s="871">
        <v>46279</v>
      </c>
      <c r="D1192" t="s">
        <v>9430</v>
      </c>
      <c r="E1192" t="s">
        <v>9465</v>
      </c>
      <c r="F1192" t="s">
        <v>328</v>
      </c>
      <c r="G1192" t="s">
        <v>345</v>
      </c>
      <c r="H1192" t="s">
        <v>9333</v>
      </c>
      <c r="I1192" s="871">
        <v>46293.93683766204</v>
      </c>
      <c r="J1192" t="s">
        <v>9529</v>
      </c>
      <c r="K1192" s="975" t="str">
        <f>IF(COUNTIFS(tblControles[Clave],tblControles[[#This Row],[Clave]])&gt;1,"Duplicado","")</f>
        <v/>
      </c>
    </row>
    <row r="1193" spans="2:11">
      <c r="B1193" s="975" t="str">
        <f>tblControles[[#This Row],[Fecha]]&amp;"|"&amp;tblControles[[#This Row],[Módulo]]&amp;"|"&amp;tblControles[[#This Row],[Ítem]]&amp;"|"&amp;tblControles[[#This Row],[Turno]]</f>
        <v>46279|FILTROS H2O|Filtro # 5|3 TURNO</v>
      </c>
      <c r="C1193" s="871">
        <v>46279</v>
      </c>
      <c r="D1193" t="s">
        <v>9430</v>
      </c>
      <c r="E1193" t="s">
        <v>9466</v>
      </c>
      <c r="F1193" t="s">
        <v>328</v>
      </c>
      <c r="G1193" t="s">
        <v>3227</v>
      </c>
      <c r="H1193" t="s">
        <v>9333</v>
      </c>
      <c r="I1193" s="871">
        <v>46293.93683766204</v>
      </c>
      <c r="J1193" t="s">
        <v>9529</v>
      </c>
      <c r="K1193" s="975" t="str">
        <f>IF(COUNTIFS(tblControles[Clave],tblControles[[#This Row],[Clave]])&gt;1,"Duplicado","")</f>
        <v/>
      </c>
    </row>
    <row r="1194" spans="2:11">
      <c r="B1194" s="975" t="str">
        <f>tblControles[[#This Row],[Fecha]]&amp;"|"&amp;tblControles[[#This Row],[Módulo]]&amp;"|"&amp;tblControles[[#This Row],[Ítem]]&amp;"|"&amp;tblControles[[#This Row],[Turno]]</f>
        <v>46279|FILTROS H2O|Filtro Linea # 5|3 TURNO</v>
      </c>
      <c r="C1194" s="871">
        <v>46279</v>
      </c>
      <c r="D1194" t="s">
        <v>9430</v>
      </c>
      <c r="E1194" t="s">
        <v>331</v>
      </c>
      <c r="F1194" t="s">
        <v>328</v>
      </c>
      <c r="G1194" t="s">
        <v>3227</v>
      </c>
      <c r="H1194" t="s">
        <v>9333</v>
      </c>
      <c r="I1194" s="871">
        <v>46293.93683766204</v>
      </c>
      <c r="J1194" t="s">
        <v>9529</v>
      </c>
      <c r="K1194" s="975" t="str">
        <f>IF(COUNTIFS(tblControles[Clave],tblControles[[#This Row],[Clave]])&gt;1,"Duplicado","")</f>
        <v/>
      </c>
    </row>
    <row r="1195" spans="2:11">
      <c r="B1195" s="975" t="str">
        <f>tblControles[[#This Row],[Fecha]]&amp;"|"&amp;tblControles[[#This Row],[Módulo]]&amp;"|"&amp;tblControles[[#This Row],[Ítem]]&amp;"|"&amp;tblControles[[#This Row],[Turno]]</f>
        <v>46279|FILTROS H2O|Filtro Linea # 6|3 TURNO</v>
      </c>
      <c r="C1195" s="871">
        <v>46279</v>
      </c>
      <c r="D1195" t="s">
        <v>9430</v>
      </c>
      <c r="E1195" t="s">
        <v>332</v>
      </c>
      <c r="F1195" t="s">
        <v>328</v>
      </c>
      <c r="G1195" t="s">
        <v>3227</v>
      </c>
      <c r="H1195" t="s">
        <v>9333</v>
      </c>
      <c r="I1195" s="871">
        <v>46293.93683766204</v>
      </c>
      <c r="J1195" t="s">
        <v>9529</v>
      </c>
      <c r="K1195" s="975" t="str">
        <f>IF(COUNTIFS(tblControles[Clave],tblControles[[#This Row],[Clave]])&gt;1,"Duplicado","")</f>
        <v/>
      </c>
    </row>
    <row r="1196" spans="2:11">
      <c r="B1196" s="975" t="str">
        <f>tblControles[[#This Row],[Fecha]]&amp;"|"&amp;tblControles[[#This Row],[Módulo]]&amp;"|"&amp;tblControles[[#This Row],[Ítem]]&amp;"|"&amp;tblControles[[#This Row],[Turno]]</f>
        <v>46279|FILTROS H2O|Filtro Linea # 7|3 TURNO</v>
      </c>
      <c r="C1196" s="871">
        <v>46279</v>
      </c>
      <c r="D1196" t="s">
        <v>9430</v>
      </c>
      <c r="E1196" t="s">
        <v>9467</v>
      </c>
      <c r="F1196" t="s">
        <v>328</v>
      </c>
      <c r="G1196" t="s">
        <v>3227</v>
      </c>
      <c r="H1196" t="s">
        <v>9333</v>
      </c>
      <c r="I1196" s="871">
        <v>46293.93683766204</v>
      </c>
      <c r="J1196" t="s">
        <v>9529</v>
      </c>
      <c r="K1196" s="975" t="str">
        <f>IF(COUNTIFS(tblControles[Clave],tblControles[[#This Row],[Clave]])&gt;1,"Duplicado","")</f>
        <v/>
      </c>
    </row>
    <row r="1197" spans="2:11">
      <c r="B1197" s="975" t="str">
        <f>tblControles[[#This Row],[Fecha]]&amp;"|"&amp;tblControles[[#This Row],[Módulo]]&amp;"|"&amp;tblControles[[#This Row],[Ítem]]&amp;"|"&amp;tblControles[[#This Row],[Turno]]</f>
        <v>46279|FILTROS H2O|Filtro Linea # 8|3 TURNO</v>
      </c>
      <c r="C1197" s="871">
        <v>46279</v>
      </c>
      <c r="D1197" t="s">
        <v>9430</v>
      </c>
      <c r="E1197" t="s">
        <v>9468</v>
      </c>
      <c r="F1197" t="s">
        <v>328</v>
      </c>
      <c r="G1197" t="s">
        <v>345</v>
      </c>
      <c r="H1197" t="s">
        <v>9333</v>
      </c>
      <c r="I1197" s="871">
        <v>46293.93683766204</v>
      </c>
      <c r="J1197" t="s">
        <v>9529</v>
      </c>
      <c r="K1197" s="975" t="str">
        <f>IF(COUNTIFS(tblControles[Clave],tblControles[[#This Row],[Clave]])&gt;1,"Duplicado","")</f>
        <v/>
      </c>
    </row>
    <row r="1198" spans="2:11">
      <c r="B1198" s="975" t="str">
        <f>tblControles[[#This Row],[Fecha]]&amp;"|"&amp;tblControles[[#This Row],[Módulo]]&amp;"|"&amp;tblControles[[#This Row],[Ítem]]&amp;"|"&amp;tblControles[[#This Row],[Turno]]</f>
        <v>46279|FILTROS H2O|Filtro Linea # 9 (01)|3 TURNO</v>
      </c>
      <c r="C1198" s="871">
        <v>46279</v>
      </c>
      <c r="D1198" t="s">
        <v>9430</v>
      </c>
      <c r="E1198" t="s">
        <v>9469</v>
      </c>
      <c r="F1198" t="s">
        <v>328</v>
      </c>
      <c r="G1198" t="s">
        <v>3227</v>
      </c>
      <c r="H1198" t="s">
        <v>9333</v>
      </c>
      <c r="I1198" s="871">
        <v>46293.93683766204</v>
      </c>
      <c r="J1198" t="s">
        <v>9529</v>
      </c>
      <c r="K1198" s="975" t="str">
        <f>IF(COUNTIFS(tblControles[Clave],tblControles[[#This Row],[Clave]])&gt;1,"Duplicado","")</f>
        <v/>
      </c>
    </row>
    <row r="1199" spans="2:11">
      <c r="B1199" s="975" t="str">
        <f>tblControles[[#This Row],[Fecha]]&amp;"|"&amp;tblControles[[#This Row],[Módulo]]&amp;"|"&amp;tblControles[[#This Row],[Ítem]]&amp;"|"&amp;tblControles[[#This Row],[Turno]]</f>
        <v>46279|FILTROS H2O|Filtro Linea # 9 (02)|3 TURNO</v>
      </c>
      <c r="C1199" s="871">
        <v>46279</v>
      </c>
      <c r="D1199" t="s">
        <v>9430</v>
      </c>
      <c r="E1199" t="s">
        <v>9470</v>
      </c>
      <c r="F1199" t="s">
        <v>328</v>
      </c>
      <c r="G1199" t="s">
        <v>345</v>
      </c>
      <c r="H1199" t="s">
        <v>9333</v>
      </c>
      <c r="I1199" s="871">
        <v>46293.93683766204</v>
      </c>
      <c r="J1199" t="s">
        <v>9529</v>
      </c>
      <c r="K1199" s="975" t="str">
        <f>IF(COUNTIFS(tblControles[Clave],tblControles[[#This Row],[Clave]])&gt;1,"Duplicado","")</f>
        <v/>
      </c>
    </row>
    <row r="1200" spans="2:11">
      <c r="B1200" s="975" t="str">
        <f>tblControles[[#This Row],[Fecha]]&amp;"|"&amp;tblControles[[#This Row],[Módulo]]&amp;"|"&amp;tblControles[[#This Row],[Ítem]]&amp;"|"&amp;tblControles[[#This Row],[Turno]]</f>
        <v>46279|PURGA TKS AIRE|TK-MG-S. ROTULO|2do Turno</v>
      </c>
      <c r="C1200" s="871">
        <v>46279</v>
      </c>
      <c r="D1200" t="s">
        <v>9433</v>
      </c>
      <c r="E1200" t="s">
        <v>9471</v>
      </c>
      <c r="F1200" t="s">
        <v>9436</v>
      </c>
      <c r="G1200" t="s">
        <v>3227</v>
      </c>
      <c r="H1200" t="s">
        <v>9333</v>
      </c>
      <c r="I1200" s="871">
        <v>46293.93683766204</v>
      </c>
      <c r="J1200" t="s">
        <v>9530</v>
      </c>
      <c r="K1200" s="975" t="str">
        <f>IF(COUNTIFS(tblControles[Clave],tblControles[[#This Row],[Clave]])&gt;1,"Duplicado","")</f>
        <v/>
      </c>
    </row>
    <row r="1201" spans="2:11">
      <c r="B1201" s="975" t="str">
        <f>tblControles[[#This Row],[Fecha]]&amp;"|"&amp;tblControles[[#This Row],[Módulo]]&amp;"|"&amp;tblControles[[#This Row],[Ítem]]&amp;"|"&amp;tblControles[[#This Row],[Turno]]</f>
        <v>46279|PURGA TKS AIRE|TK-MG-S. ROTULO|3er Turno</v>
      </c>
      <c r="C1201" s="871">
        <v>46279</v>
      </c>
      <c r="D1201" t="s">
        <v>9433</v>
      </c>
      <c r="E1201" t="s">
        <v>9471</v>
      </c>
      <c r="F1201" t="s">
        <v>9437</v>
      </c>
      <c r="G1201" t="s">
        <v>3227</v>
      </c>
      <c r="H1201" t="s">
        <v>9333</v>
      </c>
      <c r="I1201" s="871">
        <v>46293.93683766204</v>
      </c>
      <c r="J1201" t="s">
        <v>9530</v>
      </c>
      <c r="K1201" s="975" t="str">
        <f>IF(COUNTIFS(tblControles[Clave],tblControles[[#This Row],[Clave]])&gt;1,"Duplicado","")</f>
        <v/>
      </c>
    </row>
    <row r="1202" spans="2:11">
      <c r="B1202" s="975" t="str">
        <f>tblControles[[#This Row],[Fecha]]&amp;"|"&amp;tblControles[[#This Row],[Módulo]]&amp;"|"&amp;tblControles[[#This Row],[Ítem]]&amp;"|"&amp;tblControles[[#This Row],[Turno]]</f>
        <v>46279|PURGA TKS AIRE|TK-MG-001|2do Turno</v>
      </c>
      <c r="C1202" s="871">
        <v>46279</v>
      </c>
      <c r="D1202" t="s">
        <v>9433</v>
      </c>
      <c r="E1202" t="s">
        <v>337</v>
      </c>
      <c r="F1202" t="s">
        <v>9436</v>
      </c>
      <c r="G1202" t="s">
        <v>3227</v>
      </c>
      <c r="H1202" t="s">
        <v>9333</v>
      </c>
      <c r="I1202" s="871">
        <v>46293.93683766204</v>
      </c>
      <c r="J1202" t="s">
        <v>9530</v>
      </c>
      <c r="K1202" s="975" t="str">
        <f>IF(COUNTIFS(tblControles[Clave],tblControles[[#This Row],[Clave]])&gt;1,"Duplicado","")</f>
        <v/>
      </c>
    </row>
    <row r="1203" spans="2:11">
      <c r="B1203" s="975" t="str">
        <f>tblControles[[#This Row],[Fecha]]&amp;"|"&amp;tblControles[[#This Row],[Módulo]]&amp;"|"&amp;tblControles[[#This Row],[Ítem]]&amp;"|"&amp;tblControles[[#This Row],[Turno]]</f>
        <v>46279|PURGA TKS AIRE|TK-MG-001|3er Turno</v>
      </c>
      <c r="C1203" s="871">
        <v>46279</v>
      </c>
      <c r="D1203" t="s">
        <v>9433</v>
      </c>
      <c r="E1203" t="s">
        <v>337</v>
      </c>
      <c r="F1203" t="s">
        <v>9437</v>
      </c>
      <c r="G1203" t="s">
        <v>3227</v>
      </c>
      <c r="H1203" t="s">
        <v>9333</v>
      </c>
      <c r="I1203" s="871">
        <v>46293.93683766204</v>
      </c>
      <c r="J1203" t="s">
        <v>9530</v>
      </c>
      <c r="K1203" s="975" t="str">
        <f>IF(COUNTIFS(tblControles[Clave],tblControles[[#This Row],[Clave]])&gt;1,"Duplicado","")</f>
        <v/>
      </c>
    </row>
    <row r="1204" spans="2:11">
      <c r="B1204" s="975" t="str">
        <f>tblControles[[#This Row],[Fecha]]&amp;"|"&amp;tblControles[[#This Row],[Módulo]]&amp;"|"&amp;tblControles[[#This Row],[Ítem]]&amp;"|"&amp;tblControles[[#This Row],[Turno]]</f>
        <v>46279|PURGA TKS AIRE|TK-MG-002|2do Turno</v>
      </c>
      <c r="C1204" s="871">
        <v>46279</v>
      </c>
      <c r="D1204" t="s">
        <v>9433</v>
      </c>
      <c r="E1204" t="s">
        <v>339</v>
      </c>
      <c r="F1204" t="s">
        <v>9436</v>
      </c>
      <c r="G1204" t="s">
        <v>3227</v>
      </c>
      <c r="H1204" t="s">
        <v>9333</v>
      </c>
      <c r="I1204" s="871">
        <v>46293.93683766204</v>
      </c>
      <c r="J1204" t="s">
        <v>9530</v>
      </c>
      <c r="K1204" s="975" t="str">
        <f>IF(COUNTIFS(tblControles[Clave],tblControles[[#This Row],[Clave]])&gt;1,"Duplicado","")</f>
        <v/>
      </c>
    </row>
    <row r="1205" spans="2:11">
      <c r="B1205" s="975" t="str">
        <f>tblControles[[#This Row],[Fecha]]&amp;"|"&amp;tblControles[[#This Row],[Módulo]]&amp;"|"&amp;tblControles[[#This Row],[Ítem]]&amp;"|"&amp;tblControles[[#This Row],[Turno]]</f>
        <v>46279|PURGA TKS AIRE|TK-MG-002|3er Turno</v>
      </c>
      <c r="C1205" s="871">
        <v>46279</v>
      </c>
      <c r="D1205" t="s">
        <v>9433</v>
      </c>
      <c r="E1205" t="s">
        <v>339</v>
      </c>
      <c r="F1205" t="s">
        <v>9437</v>
      </c>
      <c r="G1205" t="s">
        <v>3227</v>
      </c>
      <c r="H1205" t="s">
        <v>9333</v>
      </c>
      <c r="I1205" s="871">
        <v>46293.93683766204</v>
      </c>
      <c r="J1205" t="s">
        <v>9530</v>
      </c>
      <c r="K1205" s="975" t="str">
        <f>IF(COUNTIFS(tblControles[Clave],tblControles[[#This Row],[Clave]])&gt;1,"Duplicado","")</f>
        <v/>
      </c>
    </row>
    <row r="1206" spans="2:11">
      <c r="B1206" s="975" t="str">
        <f>tblControles[[#This Row],[Fecha]]&amp;"|"&amp;tblControles[[#This Row],[Módulo]]&amp;"|"&amp;tblControles[[#This Row],[Ítem]]&amp;"|"&amp;tblControles[[#This Row],[Turno]]</f>
        <v>46279|PURGA TKS AIRE|TK-MG-003|2do Turno</v>
      </c>
      <c r="C1206" s="871">
        <v>46279</v>
      </c>
      <c r="D1206" t="s">
        <v>9433</v>
      </c>
      <c r="E1206" t="s">
        <v>341</v>
      </c>
      <c r="F1206" t="s">
        <v>9436</v>
      </c>
      <c r="G1206" t="s">
        <v>3227</v>
      </c>
      <c r="H1206" t="s">
        <v>9333</v>
      </c>
      <c r="I1206" s="871">
        <v>46293.93683766204</v>
      </c>
      <c r="J1206" t="s">
        <v>9530</v>
      </c>
      <c r="K1206" s="975" t="str">
        <f>IF(COUNTIFS(tblControles[Clave],tblControles[[#This Row],[Clave]])&gt;1,"Duplicado","")</f>
        <v/>
      </c>
    </row>
    <row r="1207" spans="2:11">
      <c r="B1207" s="975" t="str">
        <f>tblControles[[#This Row],[Fecha]]&amp;"|"&amp;tblControles[[#This Row],[Módulo]]&amp;"|"&amp;tblControles[[#This Row],[Ítem]]&amp;"|"&amp;tblControles[[#This Row],[Turno]]</f>
        <v>46279|PURGA TKS AIRE|TK-MG-003|3er Turno</v>
      </c>
      <c r="C1207" s="871">
        <v>46279</v>
      </c>
      <c r="D1207" t="s">
        <v>9433</v>
      </c>
      <c r="E1207" t="s">
        <v>341</v>
      </c>
      <c r="F1207" t="s">
        <v>9437</v>
      </c>
      <c r="G1207" t="s">
        <v>3227</v>
      </c>
      <c r="H1207" t="s">
        <v>9333</v>
      </c>
      <c r="I1207" s="871">
        <v>46293.93683766204</v>
      </c>
      <c r="J1207" t="s">
        <v>9530</v>
      </c>
      <c r="K1207" s="975" t="str">
        <f>IF(COUNTIFS(tblControles[Clave],tblControles[[#This Row],[Clave]])&gt;1,"Duplicado","")</f>
        <v/>
      </c>
    </row>
    <row r="1208" spans="2:11">
      <c r="B1208" s="975" t="str">
        <f>tblControles[[#This Row],[Fecha]]&amp;"|"&amp;tblControles[[#This Row],[Módulo]]&amp;"|"&amp;tblControles[[#This Row],[Ítem]]&amp;"|"&amp;tblControles[[#This Row],[Turno]]</f>
        <v>46279|PURGA TKS AIRE|TK-MG-005|2do Turno</v>
      </c>
      <c r="C1208" s="871">
        <v>46279</v>
      </c>
      <c r="D1208" t="s">
        <v>9433</v>
      </c>
      <c r="E1208" t="s">
        <v>343</v>
      </c>
      <c r="F1208" t="s">
        <v>9436</v>
      </c>
      <c r="G1208" t="s">
        <v>345</v>
      </c>
      <c r="H1208" t="s">
        <v>9333</v>
      </c>
      <c r="I1208" s="871">
        <v>46293.93683766204</v>
      </c>
      <c r="J1208" t="s">
        <v>9530</v>
      </c>
      <c r="K1208" s="975" t="str">
        <f>IF(COUNTIFS(tblControles[Clave],tblControles[[#This Row],[Clave]])&gt;1,"Duplicado","")</f>
        <v/>
      </c>
    </row>
    <row r="1209" spans="2:11">
      <c r="B1209" s="975" t="str">
        <f>tblControles[[#This Row],[Fecha]]&amp;"|"&amp;tblControles[[#This Row],[Módulo]]&amp;"|"&amp;tblControles[[#This Row],[Ítem]]&amp;"|"&amp;tblControles[[#This Row],[Turno]]</f>
        <v>46279|PURGA TKS AIRE|TK-MG-005|3er Turno</v>
      </c>
      <c r="C1209" s="871">
        <v>46279</v>
      </c>
      <c r="D1209" t="s">
        <v>9433</v>
      </c>
      <c r="E1209" t="s">
        <v>343</v>
      </c>
      <c r="F1209" t="s">
        <v>9437</v>
      </c>
      <c r="G1209" t="s">
        <v>345</v>
      </c>
      <c r="H1209" t="s">
        <v>9333</v>
      </c>
      <c r="I1209" s="871">
        <v>46293.93683766204</v>
      </c>
      <c r="J1209" t="s">
        <v>9530</v>
      </c>
      <c r="K1209" s="975" t="str">
        <f>IF(COUNTIFS(tblControles[Clave],tblControles[[#This Row],[Clave]])&gt;1,"Duplicado","")</f>
        <v/>
      </c>
    </row>
    <row r="1210" spans="2:11">
      <c r="B1210" s="975" t="str">
        <f>tblControles[[#This Row],[Fecha]]&amp;"|"&amp;tblControles[[#This Row],[Módulo]]&amp;"|"&amp;tblControles[[#This Row],[Ítem]]&amp;"|"&amp;tblControles[[#This Row],[Turno]]</f>
        <v>46279|PURGA TKS AIRE|TK-MG-006|2do Turno</v>
      </c>
      <c r="C1210" s="871">
        <v>46279</v>
      </c>
      <c r="D1210" t="s">
        <v>9433</v>
      </c>
      <c r="E1210" t="s">
        <v>346</v>
      </c>
      <c r="F1210" t="s">
        <v>9436</v>
      </c>
      <c r="G1210" t="s">
        <v>3227</v>
      </c>
      <c r="H1210" t="s">
        <v>9333</v>
      </c>
      <c r="I1210" s="871">
        <v>46293.93683766204</v>
      </c>
      <c r="J1210" t="s">
        <v>9530</v>
      </c>
      <c r="K1210" s="975" t="str">
        <f>IF(COUNTIFS(tblControles[Clave],tblControles[[#This Row],[Clave]])&gt;1,"Duplicado","")</f>
        <v/>
      </c>
    </row>
    <row r="1211" spans="2:11">
      <c r="B1211" s="975" t="str">
        <f>tblControles[[#This Row],[Fecha]]&amp;"|"&amp;tblControles[[#This Row],[Módulo]]&amp;"|"&amp;tblControles[[#This Row],[Ítem]]&amp;"|"&amp;tblControles[[#This Row],[Turno]]</f>
        <v>46279|PURGA TKS AIRE|TK-MG-006|3er Turno</v>
      </c>
      <c r="C1211" s="871">
        <v>46279</v>
      </c>
      <c r="D1211" t="s">
        <v>9433</v>
      </c>
      <c r="E1211" t="s">
        <v>346</v>
      </c>
      <c r="F1211" t="s">
        <v>9437</v>
      </c>
      <c r="G1211" t="s">
        <v>3227</v>
      </c>
      <c r="H1211" t="s">
        <v>9333</v>
      </c>
      <c r="I1211" s="871">
        <v>46293.93683766204</v>
      </c>
      <c r="J1211" t="s">
        <v>9530</v>
      </c>
      <c r="K1211" s="975" t="str">
        <f>IF(COUNTIFS(tblControles[Clave],tblControles[[#This Row],[Clave]])&gt;1,"Duplicado","")</f>
        <v/>
      </c>
    </row>
    <row r="1212" spans="2:11">
      <c r="B1212" s="975" t="str">
        <f>tblControles[[#This Row],[Fecha]]&amp;"|"&amp;tblControles[[#This Row],[Módulo]]&amp;"|"&amp;tblControles[[#This Row],[Ítem]]&amp;"|"&amp;tblControles[[#This Row],[Turno]]</f>
        <v>46279|PURGA TKS AIRE|TK-MG-007|2do Turno</v>
      </c>
      <c r="C1212" s="871">
        <v>46279</v>
      </c>
      <c r="D1212" t="s">
        <v>9433</v>
      </c>
      <c r="E1212" t="s">
        <v>347</v>
      </c>
      <c r="F1212" t="s">
        <v>9436</v>
      </c>
      <c r="G1212" t="s">
        <v>3227</v>
      </c>
      <c r="H1212" t="s">
        <v>9333</v>
      </c>
      <c r="I1212" s="871">
        <v>46293.93683766204</v>
      </c>
      <c r="J1212" t="s">
        <v>9530</v>
      </c>
      <c r="K1212" s="975" t="str">
        <f>IF(COUNTIFS(tblControles[Clave],tblControles[[#This Row],[Clave]])&gt;1,"Duplicado","")</f>
        <v/>
      </c>
    </row>
    <row r="1213" spans="2:11">
      <c r="B1213" s="975" t="str">
        <f>tblControles[[#This Row],[Fecha]]&amp;"|"&amp;tblControles[[#This Row],[Módulo]]&amp;"|"&amp;tblControles[[#This Row],[Ítem]]&amp;"|"&amp;tblControles[[#This Row],[Turno]]</f>
        <v>46279|PURGA TKS AIRE|TK-MG-007|3er Turno</v>
      </c>
      <c r="C1213" s="871">
        <v>46279</v>
      </c>
      <c r="D1213" t="s">
        <v>9433</v>
      </c>
      <c r="E1213" t="s">
        <v>347</v>
      </c>
      <c r="F1213" t="s">
        <v>9437</v>
      </c>
      <c r="G1213" t="s">
        <v>3227</v>
      </c>
      <c r="H1213" t="s">
        <v>9333</v>
      </c>
      <c r="I1213" s="871">
        <v>46293.93683766204</v>
      </c>
      <c r="J1213" t="s">
        <v>9530</v>
      </c>
      <c r="K1213" s="975" t="str">
        <f>IF(COUNTIFS(tblControles[Clave],tblControles[[#This Row],[Clave]])&gt;1,"Duplicado","")</f>
        <v/>
      </c>
    </row>
    <row r="1214" spans="2:11">
      <c r="B1214" s="975" t="str">
        <f>tblControles[[#This Row],[Fecha]]&amp;"|"&amp;tblControles[[#This Row],[Módulo]]&amp;"|"&amp;tblControles[[#This Row],[Ítem]]&amp;"|"&amp;tblControles[[#This Row],[Turno]]</f>
        <v>46279|PURGA TKS AIRE|TK-MG-004|2do Turno</v>
      </c>
      <c r="C1214" s="871">
        <v>46279</v>
      </c>
      <c r="D1214" t="s">
        <v>9433</v>
      </c>
      <c r="E1214" t="s">
        <v>349</v>
      </c>
      <c r="F1214" t="s">
        <v>9436</v>
      </c>
      <c r="G1214" t="s">
        <v>3227</v>
      </c>
      <c r="H1214" t="s">
        <v>9333</v>
      </c>
      <c r="I1214" s="871">
        <v>46293.93683766204</v>
      </c>
      <c r="J1214" t="s">
        <v>9530</v>
      </c>
      <c r="K1214" s="975" t="str">
        <f>IF(COUNTIFS(tblControles[Clave],tblControles[[#This Row],[Clave]])&gt;1,"Duplicado","")</f>
        <v/>
      </c>
    </row>
    <row r="1215" spans="2:11">
      <c r="B1215" s="975" t="str">
        <f>tblControles[[#This Row],[Fecha]]&amp;"|"&amp;tblControles[[#This Row],[Módulo]]&amp;"|"&amp;tblControles[[#This Row],[Ítem]]&amp;"|"&amp;tblControles[[#This Row],[Turno]]</f>
        <v>46279|PURGA TKS AIRE|TK-MG-004|3er Turno</v>
      </c>
      <c r="C1215" s="871">
        <v>46279</v>
      </c>
      <c r="D1215" t="s">
        <v>9433</v>
      </c>
      <c r="E1215" t="s">
        <v>349</v>
      </c>
      <c r="F1215" t="s">
        <v>9437</v>
      </c>
      <c r="G1215" t="s">
        <v>3227</v>
      </c>
      <c r="H1215" t="s">
        <v>9333</v>
      </c>
      <c r="I1215" s="871">
        <v>46293.93683766204</v>
      </c>
      <c r="J1215" t="s">
        <v>9530</v>
      </c>
      <c r="K1215" s="975" t="str">
        <f>IF(COUNTIFS(tblControles[Clave],tblControles[[#This Row],[Clave]])&gt;1,"Duplicado","")</f>
        <v/>
      </c>
    </row>
    <row r="1216" spans="2:11">
      <c r="B1216" s="975" t="str">
        <f>tblControles[[#This Row],[Fecha]]&amp;"|"&amp;tblControles[[#This Row],[Módulo]]&amp;"|"&amp;tblControles[[#This Row],[Ítem]]&amp;"|"&amp;tblControles[[#This Row],[Turno]]</f>
        <v>46279|PURGA TKS AIRE|TK-MG-008|2do Turno</v>
      </c>
      <c r="C1216" s="871">
        <v>46279</v>
      </c>
      <c r="D1216" t="s">
        <v>9433</v>
      </c>
      <c r="E1216" t="s">
        <v>351</v>
      </c>
      <c r="F1216" t="s">
        <v>9436</v>
      </c>
      <c r="G1216" t="s">
        <v>3227</v>
      </c>
      <c r="H1216" t="s">
        <v>9333</v>
      </c>
      <c r="I1216" s="871">
        <v>46293.93683766204</v>
      </c>
      <c r="J1216" t="s">
        <v>9530</v>
      </c>
      <c r="K1216" s="975" t="str">
        <f>IF(COUNTIFS(tblControles[Clave],tblControles[[#This Row],[Clave]])&gt;1,"Duplicado","")</f>
        <v/>
      </c>
    </row>
    <row r="1217" spans="2:11">
      <c r="B1217" s="975" t="str">
        <f>tblControles[[#This Row],[Fecha]]&amp;"|"&amp;tblControles[[#This Row],[Módulo]]&amp;"|"&amp;tblControles[[#This Row],[Ítem]]&amp;"|"&amp;tblControles[[#This Row],[Turno]]</f>
        <v>46279|PURGA TKS AIRE|TK-MG-008|3er Turno</v>
      </c>
      <c r="C1217" s="871">
        <v>46279</v>
      </c>
      <c r="D1217" t="s">
        <v>9433</v>
      </c>
      <c r="E1217" t="s">
        <v>351</v>
      </c>
      <c r="F1217" t="s">
        <v>9437</v>
      </c>
      <c r="G1217" t="s">
        <v>3227</v>
      </c>
      <c r="H1217" t="s">
        <v>9333</v>
      </c>
      <c r="I1217" s="871">
        <v>46293.93683766204</v>
      </c>
      <c r="J1217" t="s">
        <v>9530</v>
      </c>
      <c r="K1217" s="975" t="str">
        <f>IF(COUNTIFS(tblControles[Clave],tblControles[[#This Row],[Clave]])&gt;1,"Duplicado","")</f>
        <v/>
      </c>
    </row>
    <row r="1218" spans="2:11">
      <c r="B1218" s="975" t="str">
        <f>tblControles[[#This Row],[Fecha]]&amp;"|"&amp;tblControles[[#This Row],[Módulo]]&amp;"|"&amp;tblControles[[#This Row],[Ítem]]&amp;"|"&amp;tblControles[[#This Row],[Turno]]</f>
        <v>46279|PURGA TKS AIRE|TK-MG-009|2do Turno</v>
      </c>
      <c r="C1218" s="871">
        <v>46279</v>
      </c>
      <c r="D1218" t="s">
        <v>9433</v>
      </c>
      <c r="E1218" t="s">
        <v>353</v>
      </c>
      <c r="F1218" t="s">
        <v>9436</v>
      </c>
      <c r="G1218" t="s">
        <v>3227</v>
      </c>
      <c r="H1218" t="s">
        <v>9333</v>
      </c>
      <c r="I1218" s="871">
        <v>46293.93683766204</v>
      </c>
      <c r="J1218" t="s">
        <v>9530</v>
      </c>
      <c r="K1218" s="975" t="str">
        <f>IF(COUNTIFS(tblControles[Clave],tblControles[[#This Row],[Clave]])&gt;1,"Duplicado","")</f>
        <v/>
      </c>
    </row>
    <row r="1219" spans="2:11">
      <c r="B1219" s="975" t="str">
        <f>tblControles[[#This Row],[Fecha]]&amp;"|"&amp;tblControles[[#This Row],[Módulo]]&amp;"|"&amp;tblControles[[#This Row],[Ítem]]&amp;"|"&amp;tblControles[[#This Row],[Turno]]</f>
        <v>46279|PURGA TKS AIRE|TK-MG-009|3er Turno</v>
      </c>
      <c r="C1219" s="871">
        <v>46279</v>
      </c>
      <c r="D1219" t="s">
        <v>9433</v>
      </c>
      <c r="E1219" t="s">
        <v>353</v>
      </c>
      <c r="F1219" t="s">
        <v>9437</v>
      </c>
      <c r="G1219" t="s">
        <v>3227</v>
      </c>
      <c r="H1219" t="s">
        <v>9333</v>
      </c>
      <c r="I1219" s="871">
        <v>46293.93683766204</v>
      </c>
      <c r="J1219" t="s">
        <v>9530</v>
      </c>
      <c r="K1219" s="975" t="str">
        <f>IF(COUNTIFS(tblControles[Clave],tblControles[[#This Row],[Clave]])&gt;1,"Duplicado","")</f>
        <v/>
      </c>
    </row>
    <row r="1220" spans="2:11">
      <c r="B1220" s="975" t="str">
        <f>tblControles[[#This Row],[Fecha]]&amp;"|"&amp;tblControles[[#This Row],[Módulo]]&amp;"|"&amp;tblControles[[#This Row],[Ítem]]&amp;"|"&amp;tblControles[[#This Row],[Turno]]</f>
        <v>46279|PURGA TKS AIRE|TK-MG-010|2do Turno</v>
      </c>
      <c r="C1220" s="871">
        <v>46279</v>
      </c>
      <c r="D1220" t="s">
        <v>9433</v>
      </c>
      <c r="E1220" t="s">
        <v>355</v>
      </c>
      <c r="F1220" t="s">
        <v>9436</v>
      </c>
      <c r="G1220" t="s">
        <v>3227</v>
      </c>
      <c r="H1220" t="s">
        <v>9333</v>
      </c>
      <c r="I1220" s="871">
        <v>46293.93683766204</v>
      </c>
      <c r="J1220" t="s">
        <v>9530</v>
      </c>
      <c r="K1220" s="975" t="str">
        <f>IF(COUNTIFS(tblControles[Clave],tblControles[[#This Row],[Clave]])&gt;1,"Duplicado","")</f>
        <v/>
      </c>
    </row>
    <row r="1221" spans="2:11">
      <c r="B1221" s="975" t="str">
        <f>tblControles[[#This Row],[Fecha]]&amp;"|"&amp;tblControles[[#This Row],[Módulo]]&amp;"|"&amp;tblControles[[#This Row],[Ítem]]&amp;"|"&amp;tblControles[[#This Row],[Turno]]</f>
        <v>46279|PURGA TKS AIRE|TK-MG-010|3er Turno</v>
      </c>
      <c r="C1221" s="871">
        <v>46279</v>
      </c>
      <c r="D1221" t="s">
        <v>9433</v>
      </c>
      <c r="E1221" t="s">
        <v>355</v>
      </c>
      <c r="F1221" t="s">
        <v>9437</v>
      </c>
      <c r="G1221" t="s">
        <v>3227</v>
      </c>
      <c r="H1221" t="s">
        <v>9333</v>
      </c>
      <c r="I1221" s="871">
        <v>46293.93683766204</v>
      </c>
      <c r="J1221" t="s">
        <v>9530</v>
      </c>
      <c r="K1221" s="975" t="str">
        <f>IF(COUNTIFS(tblControles[Clave],tblControles[[#This Row],[Clave]])&gt;1,"Duplicado","")</f>
        <v/>
      </c>
    </row>
    <row r="1222" spans="2:11">
      <c r="B1222" s="975" t="str">
        <f>tblControles[[#This Row],[Fecha]]&amp;"|"&amp;tblControles[[#This Row],[Módulo]]&amp;"|"&amp;tblControles[[#This Row],[Ítem]]&amp;"|"&amp;tblControles[[#This Row],[Turno]]</f>
        <v>46279|PURGA TKS AIRE|TK-MG-011|2do Turno</v>
      </c>
      <c r="C1222" s="871">
        <v>46279</v>
      </c>
      <c r="D1222" t="s">
        <v>9433</v>
      </c>
      <c r="E1222" t="s">
        <v>357</v>
      </c>
      <c r="F1222" t="s">
        <v>9436</v>
      </c>
      <c r="G1222" t="s">
        <v>3227</v>
      </c>
      <c r="H1222" t="s">
        <v>9333</v>
      </c>
      <c r="I1222" s="871">
        <v>46293.93683766204</v>
      </c>
      <c r="J1222" t="s">
        <v>9530</v>
      </c>
      <c r="K1222" s="975" t="str">
        <f>IF(COUNTIFS(tblControles[Clave],tblControles[[#This Row],[Clave]])&gt;1,"Duplicado","")</f>
        <v/>
      </c>
    </row>
    <row r="1223" spans="2:11">
      <c r="B1223" s="975" t="str">
        <f>tblControles[[#This Row],[Fecha]]&amp;"|"&amp;tblControles[[#This Row],[Módulo]]&amp;"|"&amp;tblControles[[#This Row],[Ítem]]&amp;"|"&amp;tblControles[[#This Row],[Turno]]</f>
        <v>46279|PURGA TKS AIRE|TK-MG-011|3er Turno</v>
      </c>
      <c r="C1223" s="871">
        <v>46279</v>
      </c>
      <c r="D1223" t="s">
        <v>9433</v>
      </c>
      <c r="E1223" t="s">
        <v>357</v>
      </c>
      <c r="F1223" t="s">
        <v>9437</v>
      </c>
      <c r="G1223" t="s">
        <v>3227</v>
      </c>
      <c r="H1223" t="s">
        <v>9333</v>
      </c>
      <c r="I1223" s="871">
        <v>46293.93683766204</v>
      </c>
      <c r="J1223" t="s">
        <v>9530</v>
      </c>
      <c r="K1223" s="975" t="str">
        <f>IF(COUNTIFS(tblControles[Clave],tblControles[[#This Row],[Clave]])&gt;1,"Duplicado","")</f>
        <v/>
      </c>
    </row>
    <row r="1224" spans="2:11">
      <c r="B1224" s="975" t="str">
        <f>tblControles[[#This Row],[Fecha]]&amp;"|"&amp;tblControles[[#This Row],[Módulo]]&amp;"|"&amp;tblControles[[#This Row],[Ítem]]&amp;"|"&amp;tblControles[[#This Row],[Turno]]</f>
        <v>46279|PURGA TKS AIRE|TK-MG-012|2do Turno</v>
      </c>
      <c r="C1224" s="871">
        <v>46279</v>
      </c>
      <c r="D1224" t="s">
        <v>9433</v>
      </c>
      <c r="E1224" t="s">
        <v>359</v>
      </c>
      <c r="F1224" t="s">
        <v>9436</v>
      </c>
      <c r="G1224" t="s">
        <v>3227</v>
      </c>
      <c r="H1224" t="s">
        <v>9333</v>
      </c>
      <c r="I1224" s="871">
        <v>46293.93683766204</v>
      </c>
      <c r="J1224" t="s">
        <v>9530</v>
      </c>
      <c r="K1224" s="975" t="str">
        <f>IF(COUNTIFS(tblControles[Clave],tblControles[[#This Row],[Clave]])&gt;1,"Duplicado","")</f>
        <v/>
      </c>
    </row>
    <row r="1225" spans="2:11">
      <c r="B1225" s="975" t="str">
        <f>tblControles[[#This Row],[Fecha]]&amp;"|"&amp;tblControles[[#This Row],[Módulo]]&amp;"|"&amp;tblControles[[#This Row],[Ítem]]&amp;"|"&amp;tblControles[[#This Row],[Turno]]</f>
        <v>46279|PURGA TKS AIRE|TK-MG-012|3er Turno</v>
      </c>
      <c r="C1225" s="871">
        <v>46279</v>
      </c>
      <c r="D1225" t="s">
        <v>9433</v>
      </c>
      <c r="E1225" t="s">
        <v>359</v>
      </c>
      <c r="F1225" t="s">
        <v>9437</v>
      </c>
      <c r="G1225" t="s">
        <v>3227</v>
      </c>
      <c r="H1225" t="s">
        <v>9333</v>
      </c>
      <c r="I1225" s="871">
        <v>46293.93683766204</v>
      </c>
      <c r="J1225" t="s">
        <v>9530</v>
      </c>
      <c r="K1225" s="975" t="str">
        <f>IF(COUNTIFS(tblControles[Clave],tblControles[[#This Row],[Clave]])&gt;1,"Duplicado","")</f>
        <v/>
      </c>
    </row>
    <row r="1226" spans="2:11">
      <c r="B1226" s="975" t="str">
        <f>tblControles[[#This Row],[Fecha]]&amp;"|"&amp;tblControles[[#This Row],[Módulo]]&amp;"|"&amp;tblControles[[#This Row],[Ítem]]&amp;"|"&amp;tblControles[[#This Row],[Turno]]</f>
        <v>46279|PURGA TKS AIRE|TK-MG-013|2do Turno</v>
      </c>
      <c r="C1226" s="871">
        <v>46279</v>
      </c>
      <c r="D1226" t="s">
        <v>9433</v>
      </c>
      <c r="E1226" t="s">
        <v>361</v>
      </c>
      <c r="F1226" t="s">
        <v>9436</v>
      </c>
      <c r="G1226" t="s">
        <v>3227</v>
      </c>
      <c r="H1226" t="s">
        <v>9333</v>
      </c>
      <c r="I1226" s="871">
        <v>46293.93683766204</v>
      </c>
      <c r="J1226" t="s">
        <v>9530</v>
      </c>
      <c r="K1226" s="975" t="str">
        <f>IF(COUNTIFS(tblControles[Clave],tblControles[[#This Row],[Clave]])&gt;1,"Duplicado","")</f>
        <v/>
      </c>
    </row>
    <row r="1227" spans="2:11">
      <c r="B1227" s="975" t="str">
        <f>tblControles[[#This Row],[Fecha]]&amp;"|"&amp;tblControles[[#This Row],[Módulo]]&amp;"|"&amp;tblControles[[#This Row],[Ítem]]&amp;"|"&amp;tblControles[[#This Row],[Turno]]</f>
        <v>46279|PURGA TKS AIRE|TK-MG-013|3er Turno</v>
      </c>
      <c r="C1227" s="871">
        <v>46279</v>
      </c>
      <c r="D1227" t="s">
        <v>9433</v>
      </c>
      <c r="E1227" t="s">
        <v>361</v>
      </c>
      <c r="F1227" t="s">
        <v>9437</v>
      </c>
      <c r="G1227" t="s">
        <v>3227</v>
      </c>
      <c r="H1227" t="s">
        <v>9333</v>
      </c>
      <c r="I1227" s="871">
        <v>46293.93683766204</v>
      </c>
      <c r="J1227" t="s">
        <v>9530</v>
      </c>
      <c r="K1227" s="975" t="str">
        <f>IF(COUNTIFS(tblControles[Clave],tblControles[[#This Row],[Clave]])&gt;1,"Duplicado","")</f>
        <v/>
      </c>
    </row>
    <row r="1228" spans="2:11">
      <c r="B1228" s="975" t="str">
        <f>tblControles[[#This Row],[Fecha]]&amp;"|"&amp;tblControles[[#This Row],[Módulo]]&amp;"|"&amp;tblControles[[#This Row],[Ítem]]&amp;"|"&amp;tblControles[[#This Row],[Turno]]</f>
        <v>46279|PURGA TKS AIRE|TK-MG-014|2do Turno</v>
      </c>
      <c r="C1228" s="871">
        <v>46279</v>
      </c>
      <c r="D1228" t="s">
        <v>9433</v>
      </c>
      <c r="E1228" t="s">
        <v>363</v>
      </c>
      <c r="F1228" t="s">
        <v>9436</v>
      </c>
      <c r="G1228" t="s">
        <v>3227</v>
      </c>
      <c r="H1228" t="s">
        <v>9333</v>
      </c>
      <c r="I1228" s="871">
        <v>46293.93683766204</v>
      </c>
      <c r="J1228" t="s">
        <v>9530</v>
      </c>
      <c r="K1228" s="975" t="str">
        <f>IF(COUNTIFS(tblControles[Clave],tblControles[[#This Row],[Clave]])&gt;1,"Duplicado","")</f>
        <v/>
      </c>
    </row>
    <row r="1229" spans="2:11">
      <c r="B1229" s="975" t="str">
        <f>tblControles[[#This Row],[Fecha]]&amp;"|"&amp;tblControles[[#This Row],[Módulo]]&amp;"|"&amp;tblControles[[#This Row],[Ítem]]&amp;"|"&amp;tblControles[[#This Row],[Turno]]</f>
        <v>46279|PURGA TKS AIRE|TK-MG-014|3er Turno</v>
      </c>
      <c r="C1229" s="871">
        <v>46279</v>
      </c>
      <c r="D1229" t="s">
        <v>9433</v>
      </c>
      <c r="E1229" t="s">
        <v>363</v>
      </c>
      <c r="F1229" t="s">
        <v>9437</v>
      </c>
      <c r="G1229" t="s">
        <v>3227</v>
      </c>
      <c r="H1229" t="s">
        <v>9333</v>
      </c>
      <c r="I1229" s="871">
        <v>46293.93683766204</v>
      </c>
      <c r="J1229" t="s">
        <v>9530</v>
      </c>
      <c r="K1229" s="975" t="str">
        <f>IF(COUNTIFS(tblControles[Clave],tblControles[[#This Row],[Clave]])&gt;1,"Duplicado","")</f>
        <v/>
      </c>
    </row>
    <row r="1230" spans="2:11">
      <c r="B1230" s="975" t="str">
        <f>tblControles[[#This Row],[Fecha]]&amp;"|"&amp;tblControles[[#This Row],[Módulo]]&amp;"|"&amp;tblControles[[#This Row],[Ítem]]&amp;"|"&amp;tblControles[[#This Row],[Turno]]</f>
        <v>46279|REACTIVOS|Ácido oxálico|Turno día (12 h)</v>
      </c>
      <c r="C1230" s="871">
        <v>46279</v>
      </c>
      <c r="D1230" t="s">
        <v>9444</v>
      </c>
      <c r="E1230" t="s">
        <v>9508</v>
      </c>
      <c r="F1230" t="s">
        <v>9446</v>
      </c>
      <c r="G1230">
        <v>16000</v>
      </c>
      <c r="H1230" t="s">
        <v>9333</v>
      </c>
      <c r="I1230" s="871">
        <v>46293.93683766204</v>
      </c>
      <c r="J1230" t="s">
        <v>9527</v>
      </c>
      <c r="K1230" s="975" t="str">
        <f>IF(COUNTIFS(tblControles[Clave],tblControles[[#This Row],[Clave]])&gt;1,"Duplicado","")</f>
        <v/>
      </c>
    </row>
    <row r="1231" spans="2:11">
      <c r="B1231" s="975" t="str">
        <f>tblControles[[#This Row],[Fecha]]&amp;"|"&amp;tblControles[[#This Row],[Módulo]]&amp;"|"&amp;tblControles[[#This Row],[Ítem]]&amp;"|"&amp;tblControles[[#This Row],[Turno]]</f>
        <v>46279|REACTIVOS|Ácido oxálico|Turno noche (12 h)</v>
      </c>
      <c r="C1231" s="871">
        <v>46279</v>
      </c>
      <c r="D1231" t="s">
        <v>9444</v>
      </c>
      <c r="E1231" t="s">
        <v>9508</v>
      </c>
      <c r="F1231" t="s">
        <v>9447</v>
      </c>
      <c r="G1231">
        <v>18000</v>
      </c>
      <c r="H1231" t="s">
        <v>9333</v>
      </c>
      <c r="I1231" s="871">
        <v>46293.93683766204</v>
      </c>
      <c r="J1231" t="s">
        <v>9527</v>
      </c>
      <c r="K1231" s="975" t="str">
        <f>IF(COUNTIFS(tblControles[Clave],tblControles[[#This Row],[Clave]])&gt;1,"Duplicado","")</f>
        <v/>
      </c>
    </row>
    <row r="1232" spans="2:11">
      <c r="B1232" s="975" t="str">
        <f>tblControles[[#This Row],[Fecha]]&amp;"|"&amp;tblControles[[#This Row],[Módulo]]&amp;"|"&amp;tblControles[[#This Row],[Ítem]]&amp;"|"&amp;tblControles[[#This Row],[Turno]]</f>
        <v>46279|REACTIVOS|Xantato|Turno día (12 h)</v>
      </c>
      <c r="C1232" s="871">
        <v>46279</v>
      </c>
      <c r="D1232" t="s">
        <v>9444</v>
      </c>
      <c r="E1232" t="s">
        <v>9511</v>
      </c>
      <c r="F1232" t="s">
        <v>9446</v>
      </c>
      <c r="G1232">
        <v>5100</v>
      </c>
      <c r="H1232" t="s">
        <v>9333</v>
      </c>
      <c r="I1232" s="871">
        <v>46293.93683766204</v>
      </c>
      <c r="J1232" t="s">
        <v>9527</v>
      </c>
      <c r="K1232" s="975" t="str">
        <f>IF(COUNTIFS(tblControles[Clave],tblControles[[#This Row],[Clave]])&gt;1,"Duplicado","")</f>
        <v/>
      </c>
    </row>
    <row r="1233" spans="2:11">
      <c r="B1233" s="975" t="str">
        <f>tblControles[[#This Row],[Fecha]]&amp;"|"&amp;tblControles[[#This Row],[Módulo]]&amp;"|"&amp;tblControles[[#This Row],[Ítem]]&amp;"|"&amp;tblControles[[#This Row],[Turno]]</f>
        <v>46279|REACTIVOS|Xantato|Turno noche (12 h)</v>
      </c>
      <c r="C1233" s="871">
        <v>46279</v>
      </c>
      <c r="D1233" t="s">
        <v>9444</v>
      </c>
      <c r="E1233" t="s">
        <v>9511</v>
      </c>
      <c r="F1233" t="s">
        <v>9447</v>
      </c>
      <c r="G1233">
        <v>3900</v>
      </c>
      <c r="H1233" t="s">
        <v>9333</v>
      </c>
      <c r="I1233" s="871">
        <v>46293.93683766204</v>
      </c>
      <c r="J1233" t="s">
        <v>9527</v>
      </c>
      <c r="K1233" s="975" t="str">
        <f>IF(COUNTIFS(tblControles[Clave],tblControles[[#This Row],[Clave]])&gt;1,"Duplicado","")</f>
        <v/>
      </c>
    </row>
    <row r="1234" spans="2:11">
      <c r="B1234" s="975" t="str">
        <f>tblControles[[#This Row],[Fecha]]&amp;"|"&amp;tblControles[[#This Row],[Módulo]]&amp;"|"&amp;tblControles[[#This Row],[Ítem]]&amp;"|"&amp;tblControles[[#This Row],[Turno]]</f>
        <v>46279|REACTIVOS|Espumante|Consumo día</v>
      </c>
      <c r="C1234" s="871">
        <v>46279</v>
      </c>
      <c r="D1234" t="s">
        <v>9444</v>
      </c>
      <c r="E1234" t="s">
        <v>9513</v>
      </c>
      <c r="F1234" t="s">
        <v>9870</v>
      </c>
      <c r="G1234">
        <v>3500</v>
      </c>
      <c r="H1234" t="s">
        <v>9333</v>
      </c>
      <c r="I1234" s="871">
        <v>46293.93683766204</v>
      </c>
      <c r="J1234" t="s">
        <v>9527</v>
      </c>
      <c r="K1234" s="975" t="str">
        <f>IF(COUNTIFS(tblControles[Clave],tblControles[[#This Row],[Clave]])&gt;1,"Duplicado","")</f>
        <v/>
      </c>
    </row>
    <row r="1235" spans="2:11">
      <c r="B1235" s="975" t="str">
        <f>tblControles[[#This Row],[Fecha]]&amp;"|"&amp;tblControles[[#This Row],[Módulo]]&amp;"|"&amp;tblControles[[#This Row],[Ítem]]&amp;"|"&amp;tblControles[[#This Row],[Turno]]</f>
        <v>46279|TONELADAS X TURNO|Molino barras 1|1° turno</v>
      </c>
      <c r="C1235" s="871">
        <v>46279</v>
      </c>
      <c r="D1235" t="s">
        <v>9449</v>
      </c>
      <c r="E1235" t="s">
        <v>387</v>
      </c>
      <c r="F1235" t="s">
        <v>396</v>
      </c>
      <c r="G1235">
        <v>0</v>
      </c>
      <c r="H1235" t="s">
        <v>9333</v>
      </c>
      <c r="I1235" s="871">
        <v>46293.93683766204</v>
      </c>
      <c r="J1235" t="s">
        <v>9528</v>
      </c>
      <c r="K1235" s="975" t="str">
        <f>IF(COUNTIFS(tblControles[Clave],tblControles[[#This Row],[Clave]])&gt;1,"Duplicado","")</f>
        <v/>
      </c>
    </row>
    <row r="1236" spans="2:11">
      <c r="B1236" s="975" t="str">
        <f>tblControles[[#This Row],[Fecha]]&amp;"|"&amp;tblControles[[#This Row],[Módulo]]&amp;"|"&amp;tblControles[[#This Row],[Ítem]]&amp;"|"&amp;tblControles[[#This Row],[Turno]]</f>
        <v>46279|TONELADAS X TURNO|Molino barras 1|2° turno</v>
      </c>
      <c r="C1236" s="871">
        <v>46279</v>
      </c>
      <c r="D1236" t="s">
        <v>9449</v>
      </c>
      <c r="E1236" t="s">
        <v>387</v>
      </c>
      <c r="F1236" t="s">
        <v>397</v>
      </c>
      <c r="G1236">
        <v>348</v>
      </c>
      <c r="H1236" t="s">
        <v>9333</v>
      </c>
      <c r="I1236" s="871">
        <v>46293.93683766204</v>
      </c>
      <c r="J1236" t="s">
        <v>9528</v>
      </c>
      <c r="K1236" s="975" t="str">
        <f>IF(COUNTIFS(tblControles[Clave],tblControles[[#This Row],[Clave]])&gt;1,"Duplicado","")</f>
        <v/>
      </c>
    </row>
    <row r="1237" spans="2:11">
      <c r="B1237" s="975" t="str">
        <f>tblControles[[#This Row],[Fecha]]&amp;"|"&amp;tblControles[[#This Row],[Módulo]]&amp;"|"&amp;tblControles[[#This Row],[Ítem]]&amp;"|"&amp;tblControles[[#This Row],[Turno]]</f>
        <v>46279|TONELADAS X TURNO|Molino barras 1|3° turno</v>
      </c>
      <c r="C1237" s="871">
        <v>46279</v>
      </c>
      <c r="D1237" t="s">
        <v>9449</v>
      </c>
      <c r="E1237" t="s">
        <v>387</v>
      </c>
      <c r="F1237" t="s">
        <v>398</v>
      </c>
      <c r="G1237">
        <v>1619</v>
      </c>
      <c r="H1237" t="s">
        <v>9333</v>
      </c>
      <c r="I1237" s="871">
        <v>46293.93683766204</v>
      </c>
      <c r="J1237" t="s">
        <v>9528</v>
      </c>
      <c r="K1237" s="975" t="str">
        <f>IF(COUNTIFS(tblControles[Clave],tblControles[[#This Row],[Clave]])&gt;1,"Duplicado","")</f>
        <v/>
      </c>
    </row>
    <row r="1238" spans="2:11">
      <c r="B1238" s="975" t="str">
        <f>tblControles[[#This Row],[Fecha]]&amp;"|"&amp;tblControles[[#This Row],[Módulo]]&amp;"|"&amp;tblControles[[#This Row],[Ítem]]&amp;"|"&amp;tblControles[[#This Row],[Turno]]</f>
        <v>46279|TONELADAS X TURNO|Molino barras 2|1° turno</v>
      </c>
      <c r="C1238" s="871">
        <v>46279</v>
      </c>
      <c r="D1238" t="s">
        <v>9449</v>
      </c>
      <c r="E1238" t="s">
        <v>388</v>
      </c>
      <c r="F1238" t="s">
        <v>396</v>
      </c>
      <c r="G1238">
        <v>1480</v>
      </c>
      <c r="H1238" t="s">
        <v>9333</v>
      </c>
      <c r="I1238" s="871">
        <v>46293.93683766204</v>
      </c>
      <c r="J1238" t="s">
        <v>9528</v>
      </c>
      <c r="K1238" s="975" t="str">
        <f>IF(COUNTIFS(tblControles[Clave],tblControles[[#This Row],[Clave]])&gt;1,"Duplicado","")</f>
        <v/>
      </c>
    </row>
    <row r="1239" spans="2:11">
      <c r="B1239" s="975" t="str">
        <f>tblControles[[#This Row],[Fecha]]&amp;"|"&amp;tblControles[[#This Row],[Módulo]]&amp;"|"&amp;tblControles[[#This Row],[Ítem]]&amp;"|"&amp;tblControles[[#This Row],[Turno]]</f>
        <v>46279|TONELADAS X TURNO|Molino barras 2|2° turno</v>
      </c>
      <c r="C1239" s="871">
        <v>46279</v>
      </c>
      <c r="D1239" t="s">
        <v>9449</v>
      </c>
      <c r="E1239" t="s">
        <v>388</v>
      </c>
      <c r="F1239" t="s">
        <v>397</v>
      </c>
      <c r="G1239">
        <v>930</v>
      </c>
      <c r="H1239" t="s">
        <v>9333</v>
      </c>
      <c r="I1239" s="871">
        <v>46293.93683766204</v>
      </c>
      <c r="J1239" t="s">
        <v>9528</v>
      </c>
      <c r="K1239" s="975" t="str">
        <f>IF(COUNTIFS(tblControles[Clave],tblControles[[#This Row],[Clave]])&gt;1,"Duplicado","")</f>
        <v/>
      </c>
    </row>
    <row r="1240" spans="2:11">
      <c r="B1240" s="975" t="str">
        <f>tblControles[[#This Row],[Fecha]]&amp;"|"&amp;tblControles[[#This Row],[Módulo]]&amp;"|"&amp;tblControles[[#This Row],[Ítem]]&amp;"|"&amp;tblControles[[#This Row],[Turno]]</f>
        <v>46279|TONELADAS X TURNO|Molino barras 2|3° turno</v>
      </c>
      <c r="C1240" s="871">
        <v>46279</v>
      </c>
      <c r="D1240" t="s">
        <v>9449</v>
      </c>
      <c r="E1240" t="s">
        <v>388</v>
      </c>
      <c r="F1240" t="s">
        <v>398</v>
      </c>
      <c r="G1240">
        <v>0</v>
      </c>
      <c r="H1240" t="s">
        <v>9333</v>
      </c>
      <c r="I1240" s="871">
        <v>46293.93683766204</v>
      </c>
      <c r="J1240" t="s">
        <v>9528</v>
      </c>
      <c r="K1240" s="975" t="str">
        <f>IF(COUNTIFS(tblControles[Clave],tblControles[[#This Row],[Clave]])&gt;1,"Duplicado","")</f>
        <v/>
      </c>
    </row>
    <row r="1241" spans="2:11">
      <c r="B1241" s="975" t="str">
        <f>tblControles[[#This Row],[Fecha]]&amp;"|"&amp;tblControles[[#This Row],[Módulo]]&amp;"|"&amp;tblControles[[#This Row],[Ítem]]&amp;"|"&amp;tblControles[[#This Row],[Turno]]</f>
        <v>46279|TONELADAS X TURNO|Molino barras 3|1° turno</v>
      </c>
      <c r="C1241" s="871">
        <v>46279</v>
      </c>
      <c r="D1241" t="s">
        <v>9449</v>
      </c>
      <c r="E1241" t="s">
        <v>389</v>
      </c>
      <c r="F1241" t="s">
        <v>396</v>
      </c>
      <c r="G1241">
        <v>1320</v>
      </c>
      <c r="H1241" t="s">
        <v>9333</v>
      </c>
      <c r="I1241" s="871">
        <v>46293.93683766204</v>
      </c>
      <c r="J1241" t="s">
        <v>9528</v>
      </c>
      <c r="K1241" s="975" t="str">
        <f>IF(COUNTIFS(tblControles[Clave],tblControles[[#This Row],[Clave]])&gt;1,"Duplicado","")</f>
        <v/>
      </c>
    </row>
    <row r="1242" spans="2:11">
      <c r="B1242" s="975" t="str">
        <f>tblControles[[#This Row],[Fecha]]&amp;"|"&amp;tblControles[[#This Row],[Módulo]]&amp;"|"&amp;tblControles[[#This Row],[Ítem]]&amp;"|"&amp;tblControles[[#This Row],[Turno]]</f>
        <v>46279|TONELADAS X TURNO|Molino barras 3|2° turno</v>
      </c>
      <c r="C1242" s="871">
        <v>46279</v>
      </c>
      <c r="D1242" t="s">
        <v>9449</v>
      </c>
      <c r="E1242" t="s">
        <v>389</v>
      </c>
      <c r="F1242" t="s">
        <v>397</v>
      </c>
      <c r="G1242">
        <v>1338</v>
      </c>
      <c r="H1242" t="s">
        <v>9333</v>
      </c>
      <c r="I1242" s="871">
        <v>46293.93683766204</v>
      </c>
      <c r="J1242" t="s">
        <v>9528</v>
      </c>
      <c r="K1242" s="975" t="str">
        <f>IF(COUNTIFS(tblControles[Clave],tblControles[[#This Row],[Clave]])&gt;1,"Duplicado","")</f>
        <v/>
      </c>
    </row>
    <row r="1243" spans="2:11">
      <c r="B1243" s="975" t="str">
        <f>tblControles[[#This Row],[Fecha]]&amp;"|"&amp;tblControles[[#This Row],[Módulo]]&amp;"|"&amp;tblControles[[#This Row],[Ítem]]&amp;"|"&amp;tblControles[[#This Row],[Turno]]</f>
        <v>46279|TONELADAS X TURNO|Molino barras 3|3° turno</v>
      </c>
      <c r="C1243" s="871">
        <v>46279</v>
      </c>
      <c r="D1243" t="s">
        <v>9449</v>
      </c>
      <c r="E1243" t="s">
        <v>389</v>
      </c>
      <c r="F1243" t="s">
        <v>398</v>
      </c>
      <c r="G1243">
        <v>1572</v>
      </c>
      <c r="H1243" t="s">
        <v>9333</v>
      </c>
      <c r="I1243" s="871">
        <v>46293.93683766204</v>
      </c>
      <c r="J1243" t="s">
        <v>9528</v>
      </c>
      <c r="K1243" s="975" t="str">
        <f>IF(COUNTIFS(tblControles[Clave],tblControles[[#This Row],[Clave]])&gt;1,"Duplicado","")</f>
        <v/>
      </c>
    </row>
    <row r="1244" spans="2:11">
      <c r="B1244" s="975" t="str">
        <f>tblControles[[#This Row],[Fecha]]&amp;"|"&amp;tblControles[[#This Row],[Módulo]]&amp;"|"&amp;tblControles[[#This Row],[Ítem]]&amp;"|"&amp;tblControles[[#This Row],[Turno]]</f>
        <v>46279|TONELADAS X TURNO|Molino barras 4|1° turno</v>
      </c>
      <c r="C1244" s="871">
        <v>46279</v>
      </c>
      <c r="D1244" t="s">
        <v>9449</v>
      </c>
      <c r="E1244" t="s">
        <v>390</v>
      </c>
      <c r="F1244" t="s">
        <v>396</v>
      </c>
      <c r="G1244">
        <v>1205</v>
      </c>
      <c r="H1244" t="s">
        <v>9333</v>
      </c>
      <c r="I1244" s="871">
        <v>46293.93683766204</v>
      </c>
      <c r="J1244" t="s">
        <v>9528</v>
      </c>
      <c r="K1244" s="975" t="str">
        <f>IF(COUNTIFS(tblControles[Clave],tblControles[[#This Row],[Clave]])&gt;1,"Duplicado","")</f>
        <v/>
      </c>
    </row>
    <row r="1245" spans="2:11">
      <c r="B1245" s="975" t="str">
        <f>tblControles[[#This Row],[Fecha]]&amp;"|"&amp;tblControles[[#This Row],[Módulo]]&amp;"|"&amp;tblControles[[#This Row],[Ítem]]&amp;"|"&amp;tblControles[[#This Row],[Turno]]</f>
        <v>46279|TONELADAS X TURNO|Molino barras 4|2° turno</v>
      </c>
      <c r="C1245" s="871">
        <v>46279</v>
      </c>
      <c r="D1245" t="s">
        <v>9449</v>
      </c>
      <c r="E1245" t="s">
        <v>390</v>
      </c>
      <c r="F1245" t="s">
        <v>397</v>
      </c>
      <c r="G1245">
        <v>1281</v>
      </c>
      <c r="H1245" t="s">
        <v>9333</v>
      </c>
      <c r="I1245" s="871">
        <v>46293.93683766204</v>
      </c>
      <c r="J1245" t="s">
        <v>9528</v>
      </c>
      <c r="K1245" s="975" t="str">
        <f>IF(COUNTIFS(tblControles[Clave],tblControles[[#This Row],[Clave]])&gt;1,"Duplicado","")</f>
        <v/>
      </c>
    </row>
    <row r="1246" spans="2:11">
      <c r="B1246" s="975" t="str">
        <f>tblControles[[#This Row],[Fecha]]&amp;"|"&amp;tblControles[[#This Row],[Módulo]]&amp;"|"&amp;tblControles[[#This Row],[Ítem]]&amp;"|"&amp;tblControles[[#This Row],[Turno]]</f>
        <v>46279|TONELADAS X TURNO|Molino barras 4|3° turno</v>
      </c>
      <c r="C1246" s="871">
        <v>46279</v>
      </c>
      <c r="D1246" t="s">
        <v>9449</v>
      </c>
      <c r="E1246" t="s">
        <v>390</v>
      </c>
      <c r="F1246" t="s">
        <v>398</v>
      </c>
      <c r="G1246">
        <v>1170</v>
      </c>
      <c r="H1246" t="s">
        <v>9333</v>
      </c>
      <c r="I1246" s="871">
        <v>46293.93683766204</v>
      </c>
      <c r="J1246" t="s">
        <v>9528</v>
      </c>
      <c r="K1246" s="975" t="str">
        <f>IF(COUNTIFS(tblControles[Clave],tblControles[[#This Row],[Clave]])&gt;1,"Duplicado","")</f>
        <v/>
      </c>
    </row>
    <row r="1247" spans="2:11">
      <c r="B1247" s="975" t="str">
        <f>tblControles[[#This Row],[Fecha]]&amp;"|"&amp;tblControles[[#This Row],[Módulo]]&amp;"|"&amp;tblControles[[#This Row],[Ítem]]&amp;"|"&amp;tblControles[[#This Row],[Turno]]</f>
        <v>46279|TONELADAS X TURNO|Molino barras 5|1° turno</v>
      </c>
      <c r="C1247" s="871">
        <v>46279</v>
      </c>
      <c r="D1247" t="s">
        <v>9449</v>
      </c>
      <c r="E1247" t="s">
        <v>391</v>
      </c>
      <c r="F1247" t="s">
        <v>396</v>
      </c>
      <c r="G1247">
        <v>1542</v>
      </c>
      <c r="H1247" t="s">
        <v>9333</v>
      </c>
      <c r="I1247" s="871">
        <v>46293.93683766204</v>
      </c>
      <c r="J1247" t="s">
        <v>9528</v>
      </c>
      <c r="K1247" s="975" t="str">
        <f>IF(COUNTIFS(tblControles[Clave],tblControles[[#This Row],[Clave]])&gt;1,"Duplicado","")</f>
        <v/>
      </c>
    </row>
    <row r="1248" spans="2:11">
      <c r="B1248" s="975" t="str">
        <f>tblControles[[#This Row],[Fecha]]&amp;"|"&amp;tblControles[[#This Row],[Módulo]]&amp;"|"&amp;tblControles[[#This Row],[Ítem]]&amp;"|"&amp;tblControles[[#This Row],[Turno]]</f>
        <v>46279|TONELADAS X TURNO|Molino barras 5|2° turno</v>
      </c>
      <c r="C1248" s="871">
        <v>46279</v>
      </c>
      <c r="D1248" t="s">
        <v>9449</v>
      </c>
      <c r="E1248" t="s">
        <v>391</v>
      </c>
      <c r="F1248" t="s">
        <v>397</v>
      </c>
      <c r="G1248">
        <v>1370</v>
      </c>
      <c r="H1248" t="s">
        <v>9333</v>
      </c>
      <c r="I1248" s="871">
        <v>46293.93683766204</v>
      </c>
      <c r="J1248" t="s">
        <v>9528</v>
      </c>
      <c r="K1248" s="975" t="str">
        <f>IF(COUNTIFS(tblControles[Clave],tblControles[[#This Row],[Clave]])&gt;1,"Duplicado","")</f>
        <v/>
      </c>
    </row>
    <row r="1249" spans="2:11">
      <c r="B1249" s="975" t="str">
        <f>tblControles[[#This Row],[Fecha]]&amp;"|"&amp;tblControles[[#This Row],[Módulo]]&amp;"|"&amp;tblControles[[#This Row],[Ítem]]&amp;"|"&amp;tblControles[[#This Row],[Turno]]</f>
        <v>46279|TONELADAS X TURNO|Molino barras 5|3° turno</v>
      </c>
      <c r="C1249" s="871">
        <v>46279</v>
      </c>
      <c r="D1249" t="s">
        <v>9449</v>
      </c>
      <c r="E1249" t="s">
        <v>391</v>
      </c>
      <c r="F1249" t="s">
        <v>398</v>
      </c>
      <c r="G1249">
        <v>1459</v>
      </c>
      <c r="H1249" t="s">
        <v>9333</v>
      </c>
      <c r="I1249" s="871">
        <v>46293.93683766204</v>
      </c>
      <c r="J1249" t="s">
        <v>9528</v>
      </c>
      <c r="K1249" s="975" t="str">
        <f>IF(COUNTIFS(tblControles[Clave],tblControles[[#This Row],[Clave]])&gt;1,"Duplicado","")</f>
        <v/>
      </c>
    </row>
    <row r="1250" spans="2:11">
      <c r="B1250" s="975" t="str">
        <f>tblControles[[#This Row],[Fecha]]&amp;"|"&amp;tblControles[[#This Row],[Módulo]]&amp;"|"&amp;tblControles[[#This Row],[Ítem]]&amp;"|"&amp;tblControles[[#This Row],[Turno]]</f>
        <v>46279|TONELADAS X TURNO|Molino barras 6|1° turno</v>
      </c>
      <c r="C1250" s="871">
        <v>46279</v>
      </c>
      <c r="D1250" t="s">
        <v>9449</v>
      </c>
      <c r="E1250" t="s">
        <v>392</v>
      </c>
      <c r="F1250" t="s">
        <v>396</v>
      </c>
      <c r="G1250">
        <v>1475</v>
      </c>
      <c r="H1250" t="s">
        <v>9333</v>
      </c>
      <c r="I1250" s="871">
        <v>46293.93683766204</v>
      </c>
      <c r="J1250" t="s">
        <v>9528</v>
      </c>
      <c r="K1250" s="975" t="str">
        <f>IF(COUNTIFS(tblControles[Clave],tblControles[[#This Row],[Clave]])&gt;1,"Duplicado","")</f>
        <v/>
      </c>
    </row>
    <row r="1251" spans="2:11">
      <c r="B1251" s="975" t="str">
        <f>tblControles[[#This Row],[Fecha]]&amp;"|"&amp;tblControles[[#This Row],[Módulo]]&amp;"|"&amp;tblControles[[#This Row],[Ítem]]&amp;"|"&amp;tblControles[[#This Row],[Turno]]</f>
        <v>46279|TONELADAS X TURNO|Molino barras 6|2° turno</v>
      </c>
      <c r="C1251" s="871">
        <v>46279</v>
      </c>
      <c r="D1251" t="s">
        <v>9449</v>
      </c>
      <c r="E1251" t="s">
        <v>392</v>
      </c>
      <c r="F1251" t="s">
        <v>397</v>
      </c>
      <c r="G1251">
        <v>1369</v>
      </c>
      <c r="H1251" t="s">
        <v>9333</v>
      </c>
      <c r="I1251" s="871">
        <v>46293.93683766204</v>
      </c>
      <c r="J1251" t="s">
        <v>9528</v>
      </c>
      <c r="K1251" s="975" t="str">
        <f>IF(COUNTIFS(tblControles[Clave],tblControles[[#This Row],[Clave]])&gt;1,"Duplicado","")</f>
        <v/>
      </c>
    </row>
    <row r="1252" spans="2:11">
      <c r="B1252" s="975" t="str">
        <f>tblControles[[#This Row],[Fecha]]&amp;"|"&amp;tblControles[[#This Row],[Módulo]]&amp;"|"&amp;tblControles[[#This Row],[Ítem]]&amp;"|"&amp;tblControles[[#This Row],[Turno]]</f>
        <v>46279|TONELADAS X TURNO|Molino barras 6|3° turno</v>
      </c>
      <c r="C1252" s="871">
        <v>46279</v>
      </c>
      <c r="D1252" t="s">
        <v>9449</v>
      </c>
      <c r="E1252" t="s">
        <v>392</v>
      </c>
      <c r="F1252" t="s">
        <v>398</v>
      </c>
      <c r="G1252">
        <v>1434</v>
      </c>
      <c r="H1252" t="s">
        <v>9333</v>
      </c>
      <c r="I1252" s="871">
        <v>46293.93683766204</v>
      </c>
      <c r="J1252" t="s">
        <v>9528</v>
      </c>
      <c r="K1252" s="975" t="str">
        <f>IF(COUNTIFS(tblControles[Clave],tblControles[[#This Row],[Clave]])&gt;1,"Duplicado","")</f>
        <v/>
      </c>
    </row>
    <row r="1253" spans="2:11">
      <c r="B1253" s="975" t="str">
        <f>tblControles[[#This Row],[Fecha]]&amp;"|"&amp;tblControles[[#This Row],[Módulo]]&amp;"|"&amp;tblControles[[#This Row],[Ítem]]&amp;"|"&amp;tblControles[[#This Row],[Turno]]</f>
        <v>46279|TONELADAS X TURNO|Molino barras 7|1° turno</v>
      </c>
      <c r="C1253" s="871">
        <v>46279</v>
      </c>
      <c r="D1253" t="s">
        <v>9449</v>
      </c>
      <c r="E1253" t="s">
        <v>393</v>
      </c>
      <c r="F1253" t="s">
        <v>396</v>
      </c>
      <c r="G1253">
        <v>1560</v>
      </c>
      <c r="H1253" t="s">
        <v>9333</v>
      </c>
      <c r="I1253" s="871">
        <v>46293.93683766204</v>
      </c>
      <c r="J1253" t="s">
        <v>9528</v>
      </c>
      <c r="K1253" s="975" t="str">
        <f>IF(COUNTIFS(tblControles[Clave],tblControles[[#This Row],[Clave]])&gt;1,"Duplicado","")</f>
        <v/>
      </c>
    </row>
    <row r="1254" spans="2:11">
      <c r="B1254" s="975" t="str">
        <f>tblControles[[#This Row],[Fecha]]&amp;"|"&amp;tblControles[[#This Row],[Módulo]]&amp;"|"&amp;tblControles[[#This Row],[Ítem]]&amp;"|"&amp;tblControles[[#This Row],[Turno]]</f>
        <v>46279|TONELADAS X TURNO|Molino barras 7|2° turno</v>
      </c>
      <c r="C1254" s="871">
        <v>46279</v>
      </c>
      <c r="D1254" t="s">
        <v>9449</v>
      </c>
      <c r="E1254" t="s">
        <v>393</v>
      </c>
      <c r="F1254" t="s">
        <v>397</v>
      </c>
      <c r="G1254">
        <v>1390</v>
      </c>
      <c r="H1254" t="s">
        <v>9333</v>
      </c>
      <c r="I1254" s="871">
        <v>46293.93683766204</v>
      </c>
      <c r="J1254" t="s">
        <v>9528</v>
      </c>
      <c r="K1254" s="975" t="str">
        <f>IF(COUNTIFS(tblControles[Clave],tblControles[[#This Row],[Clave]])&gt;1,"Duplicado","")</f>
        <v/>
      </c>
    </row>
    <row r="1255" spans="2:11">
      <c r="B1255" s="975" t="str">
        <f>tblControles[[#This Row],[Fecha]]&amp;"|"&amp;tblControles[[#This Row],[Módulo]]&amp;"|"&amp;tblControles[[#This Row],[Ítem]]&amp;"|"&amp;tblControles[[#This Row],[Turno]]</f>
        <v>46279|TONELADAS X TURNO|Molino barras 7|3° turno</v>
      </c>
      <c r="C1255" s="871">
        <v>46279</v>
      </c>
      <c r="D1255" t="s">
        <v>9449</v>
      </c>
      <c r="E1255" t="s">
        <v>393</v>
      </c>
      <c r="F1255" t="s">
        <v>398</v>
      </c>
      <c r="G1255">
        <v>1433</v>
      </c>
      <c r="H1255" t="s">
        <v>9333</v>
      </c>
      <c r="I1255" s="871">
        <v>46293.93683766204</v>
      </c>
      <c r="J1255" t="s">
        <v>9528</v>
      </c>
      <c r="K1255" s="975" t="str">
        <f>IF(COUNTIFS(tblControles[Clave],tblControles[[#This Row],[Clave]])&gt;1,"Duplicado","")</f>
        <v/>
      </c>
    </row>
    <row r="1256" spans="2:11">
      <c r="B1256" s="975" t="str">
        <f>tblControles[[#This Row],[Fecha]]&amp;"|"&amp;tblControles[[#This Row],[Módulo]]&amp;"|"&amp;tblControles[[#This Row],[Ítem]]&amp;"|"&amp;tblControles[[#This Row],[Turno]]</f>
        <v>46279|TONELADAS X TURNO|Molino barras 8|1° turno</v>
      </c>
      <c r="C1256" s="871">
        <v>46279</v>
      </c>
      <c r="D1256" t="s">
        <v>9449</v>
      </c>
      <c r="E1256" t="s">
        <v>394</v>
      </c>
      <c r="F1256" t="s">
        <v>396</v>
      </c>
      <c r="G1256">
        <v>1406</v>
      </c>
      <c r="H1256" t="s">
        <v>9333</v>
      </c>
      <c r="I1256" s="871">
        <v>46293.93683766204</v>
      </c>
      <c r="J1256" t="s">
        <v>9528</v>
      </c>
      <c r="K1256" s="975" t="str">
        <f>IF(COUNTIFS(tblControles[Clave],tblControles[[#This Row],[Clave]])&gt;1,"Duplicado","")</f>
        <v/>
      </c>
    </row>
    <row r="1257" spans="2:11">
      <c r="B1257" s="975" t="str">
        <f>tblControles[[#This Row],[Fecha]]&amp;"|"&amp;tblControles[[#This Row],[Módulo]]&amp;"|"&amp;tblControles[[#This Row],[Ítem]]&amp;"|"&amp;tblControles[[#This Row],[Turno]]</f>
        <v>46279|TONELADAS X TURNO|Molino barras 8|2° turno</v>
      </c>
      <c r="C1257" s="871">
        <v>46279</v>
      </c>
      <c r="D1257" t="s">
        <v>9449</v>
      </c>
      <c r="E1257" t="s">
        <v>394</v>
      </c>
      <c r="F1257" t="s">
        <v>397</v>
      </c>
      <c r="G1257">
        <v>1378</v>
      </c>
      <c r="H1257" t="s">
        <v>9333</v>
      </c>
      <c r="I1257" s="871">
        <v>46293.93683766204</v>
      </c>
      <c r="J1257" t="s">
        <v>9528</v>
      </c>
      <c r="K1257" s="975" t="str">
        <f>IF(COUNTIFS(tblControles[Clave],tblControles[[#This Row],[Clave]])&gt;1,"Duplicado","")</f>
        <v/>
      </c>
    </row>
    <row r="1258" spans="2:11">
      <c r="B1258" s="975" t="str">
        <f>tblControles[[#This Row],[Fecha]]&amp;"|"&amp;tblControles[[#This Row],[Módulo]]&amp;"|"&amp;tblControles[[#This Row],[Ítem]]&amp;"|"&amp;tblControles[[#This Row],[Turno]]</f>
        <v>46279|TONELADAS X TURNO|Molino barras 8|3° turno</v>
      </c>
      <c r="C1258" s="871">
        <v>46279</v>
      </c>
      <c r="D1258" t="s">
        <v>9449</v>
      </c>
      <c r="E1258" t="s">
        <v>394</v>
      </c>
      <c r="F1258" t="s">
        <v>398</v>
      </c>
      <c r="G1258">
        <v>1443</v>
      </c>
      <c r="H1258" t="s">
        <v>9333</v>
      </c>
      <c r="I1258" s="871">
        <v>46293.93683766204</v>
      </c>
      <c r="J1258" t="s">
        <v>9528</v>
      </c>
      <c r="K1258" s="975" t="str">
        <f>IF(COUNTIFS(tblControles[Clave],tblControles[[#This Row],[Clave]])&gt;1,"Duplicado","")</f>
        <v/>
      </c>
    </row>
    <row r="1259" spans="2:11">
      <c r="B1259" s="975" t="str">
        <f>tblControles[[#This Row],[Fecha]]&amp;"|"&amp;tblControles[[#This Row],[Módulo]]&amp;"|"&amp;tblControles[[#This Row],[Ítem]]&amp;"|"&amp;tblControles[[#This Row],[Turno]]</f>
        <v>46279|TONELADAS X TURNO|Molino barras 9|1° turno</v>
      </c>
      <c r="C1259" s="871">
        <v>46279</v>
      </c>
      <c r="D1259" t="s">
        <v>9449</v>
      </c>
      <c r="E1259" t="s">
        <v>395</v>
      </c>
      <c r="F1259" t="s">
        <v>396</v>
      </c>
      <c r="G1259">
        <v>1732</v>
      </c>
      <c r="H1259" t="s">
        <v>9333</v>
      </c>
      <c r="I1259" s="871">
        <v>46293.93683766204</v>
      </c>
      <c r="J1259" t="s">
        <v>9528</v>
      </c>
      <c r="K1259" s="975" t="str">
        <f>IF(COUNTIFS(tblControles[Clave],tblControles[[#This Row],[Clave]])&gt;1,"Duplicado","")</f>
        <v/>
      </c>
    </row>
    <row r="1260" spans="2:11">
      <c r="B1260" s="975" t="str">
        <f>tblControles[[#This Row],[Fecha]]&amp;"|"&amp;tblControles[[#This Row],[Módulo]]&amp;"|"&amp;tblControles[[#This Row],[Ítem]]&amp;"|"&amp;tblControles[[#This Row],[Turno]]</f>
        <v>46279|TONELADAS X TURNO|Molino barras 9|2° turno</v>
      </c>
      <c r="C1260" s="871">
        <v>46279</v>
      </c>
      <c r="D1260" t="s">
        <v>9449</v>
      </c>
      <c r="E1260" t="s">
        <v>395</v>
      </c>
      <c r="F1260" t="s">
        <v>397</v>
      </c>
      <c r="G1260">
        <v>1861</v>
      </c>
      <c r="H1260" t="s">
        <v>9333</v>
      </c>
      <c r="I1260" s="871">
        <v>46293.93683766204</v>
      </c>
      <c r="J1260" t="s">
        <v>9528</v>
      </c>
      <c r="K1260" s="975" t="str">
        <f>IF(COUNTIFS(tblControles[Clave],tblControles[[#This Row],[Clave]])&gt;1,"Duplicado","")</f>
        <v/>
      </c>
    </row>
    <row r="1261" spans="2:11">
      <c r="B1261" s="975" t="str">
        <f>tblControles[[#This Row],[Fecha]]&amp;"|"&amp;tblControles[[#This Row],[Módulo]]&amp;"|"&amp;tblControles[[#This Row],[Ítem]]&amp;"|"&amp;tblControles[[#This Row],[Turno]]</f>
        <v>46279|TONELADAS X TURNO|Molino barras 9|3° turno</v>
      </c>
      <c r="C1261" s="871">
        <v>46279</v>
      </c>
      <c r="D1261" t="s">
        <v>9449</v>
      </c>
      <c r="E1261" t="s">
        <v>395</v>
      </c>
      <c r="F1261" t="s">
        <v>398</v>
      </c>
      <c r="G1261">
        <v>1837</v>
      </c>
      <c r="H1261" t="s">
        <v>9333</v>
      </c>
      <c r="I1261" s="871">
        <v>46293.93683766204</v>
      </c>
      <c r="J1261" t="s">
        <v>9528</v>
      </c>
      <c r="K1261" s="975" t="str">
        <f>IF(COUNTIFS(tblControles[Clave],tblControles[[#This Row],[Clave]])&gt;1,"Duplicado","")</f>
        <v/>
      </c>
    </row>
    <row r="1262" spans="2:11">
      <c r="B1262" s="975" t="str">
        <f>tblControles[[#This Row],[Fecha]]&amp;"|"&amp;tblControles[[#This Row],[Módulo]]&amp;"|"&amp;tblControles[[#This Row],[Ítem]]&amp;"|"&amp;tblControles[[#This Row],[Turno]]</f>
        <v>46280|AGREGADO MEDIOS|BARRAS RM1|Cantidad</v>
      </c>
      <c r="C1262" s="871">
        <v>46280</v>
      </c>
      <c r="D1262" t="s">
        <v>9451</v>
      </c>
      <c r="E1262" t="s">
        <v>410</v>
      </c>
      <c r="F1262" t="s">
        <v>9453</v>
      </c>
      <c r="G1262">
        <v>0</v>
      </c>
      <c r="H1262" t="s">
        <v>9333</v>
      </c>
      <c r="I1262" s="871">
        <v>46293.93683766204</v>
      </c>
      <c r="J1262" t="s">
        <v>9524</v>
      </c>
      <c r="K1262" s="975" t="str">
        <f>IF(COUNTIFS(tblControles[Clave],tblControles[[#This Row],[Clave]])&gt;1,"Duplicado","")</f>
        <v/>
      </c>
    </row>
    <row r="1263" spans="2:11">
      <c r="B1263" s="975" t="str">
        <f>tblControles[[#This Row],[Fecha]]&amp;"|"&amp;tblControles[[#This Row],[Módulo]]&amp;"|"&amp;tblControles[[#This Row],[Ítem]]&amp;"|"&amp;tblControles[[#This Row],[Turno]]</f>
        <v>46280|AGREGADO MEDIOS|BARRAS RM2|Cantidad</v>
      </c>
      <c r="C1263" s="871">
        <v>46280</v>
      </c>
      <c r="D1263" t="s">
        <v>9451</v>
      </c>
      <c r="E1263" t="s">
        <v>411</v>
      </c>
      <c r="F1263" t="s">
        <v>9453</v>
      </c>
      <c r="G1263">
        <v>0</v>
      </c>
      <c r="H1263" t="s">
        <v>9333</v>
      </c>
      <c r="I1263" s="871">
        <v>46293.93683766204</v>
      </c>
      <c r="J1263" t="s">
        <v>9524</v>
      </c>
      <c r="K1263" s="975" t="str">
        <f>IF(COUNTIFS(tblControles[Clave],tblControles[[#This Row],[Clave]])&gt;1,"Duplicado","")</f>
        <v/>
      </c>
    </row>
    <row r="1264" spans="2:11">
      <c r="B1264" s="975" t="str">
        <f>tblControles[[#This Row],[Fecha]]&amp;"|"&amp;tblControles[[#This Row],[Módulo]]&amp;"|"&amp;tblControles[[#This Row],[Ítem]]&amp;"|"&amp;tblControles[[#This Row],[Turno]]</f>
        <v>46280|AGREGADO MEDIOS|BARRAS RM3|Cantidad</v>
      </c>
      <c r="C1264" s="871">
        <v>46280</v>
      </c>
      <c r="D1264" t="s">
        <v>9451</v>
      </c>
      <c r="E1264" t="s">
        <v>412</v>
      </c>
      <c r="F1264" t="s">
        <v>9453</v>
      </c>
      <c r="G1264">
        <v>0</v>
      </c>
      <c r="H1264" t="s">
        <v>9333</v>
      </c>
      <c r="I1264" s="871">
        <v>46293.93683766204</v>
      </c>
      <c r="J1264" t="s">
        <v>9524</v>
      </c>
      <c r="K1264" s="975" t="str">
        <f>IF(COUNTIFS(tblControles[Clave],tblControles[[#This Row],[Clave]])&gt;1,"Duplicado","")</f>
        <v/>
      </c>
    </row>
    <row r="1265" spans="2:11">
      <c r="B1265" s="975" t="str">
        <f>tblControles[[#This Row],[Fecha]]&amp;"|"&amp;tblControles[[#This Row],[Módulo]]&amp;"|"&amp;tblControles[[#This Row],[Ítem]]&amp;"|"&amp;tblControles[[#This Row],[Turno]]</f>
        <v>46280|AGREGADO MEDIOS|BARRAS RM4|Cantidad</v>
      </c>
      <c r="C1265" s="871">
        <v>46280</v>
      </c>
      <c r="D1265" t="s">
        <v>9451</v>
      </c>
      <c r="E1265" t="s">
        <v>413</v>
      </c>
      <c r="F1265" t="s">
        <v>9453</v>
      </c>
      <c r="G1265">
        <v>0</v>
      </c>
      <c r="H1265" t="s">
        <v>9333</v>
      </c>
      <c r="I1265" s="871">
        <v>46293.93683766204</v>
      </c>
      <c r="J1265" t="s">
        <v>9524</v>
      </c>
      <c r="K1265" s="975" t="str">
        <f>IF(COUNTIFS(tblControles[Clave],tblControles[[#This Row],[Clave]])&gt;1,"Duplicado","")</f>
        <v/>
      </c>
    </row>
    <row r="1266" spans="2:11">
      <c r="B1266" s="975" t="str">
        <f>tblControles[[#This Row],[Fecha]]&amp;"|"&amp;tblControles[[#This Row],[Módulo]]&amp;"|"&amp;tblControles[[#This Row],[Ítem]]&amp;"|"&amp;tblControles[[#This Row],[Turno]]</f>
        <v>46280|AGREGADO MEDIOS|BARRAS RM5|Cantidad</v>
      </c>
      <c r="C1266" s="871">
        <v>46280</v>
      </c>
      <c r="D1266" t="s">
        <v>9451</v>
      </c>
      <c r="E1266" t="s">
        <v>414</v>
      </c>
      <c r="F1266" t="s">
        <v>9453</v>
      </c>
      <c r="G1266">
        <v>0</v>
      </c>
      <c r="H1266" t="s">
        <v>9333</v>
      </c>
      <c r="I1266" s="871">
        <v>46293.93683766204</v>
      </c>
      <c r="J1266" t="s">
        <v>9524</v>
      </c>
      <c r="K1266" s="975" t="str">
        <f>IF(COUNTIFS(tblControles[Clave],tblControles[[#This Row],[Clave]])&gt;1,"Duplicado","")</f>
        <v/>
      </c>
    </row>
    <row r="1267" spans="2:11">
      <c r="B1267" s="975" t="str">
        <f>tblControles[[#This Row],[Fecha]]&amp;"|"&amp;tblControles[[#This Row],[Módulo]]&amp;"|"&amp;tblControles[[#This Row],[Ítem]]&amp;"|"&amp;tblControles[[#This Row],[Turno]]</f>
        <v>46280|AGREGADO MEDIOS|BARRAS RM6|Cantidad</v>
      </c>
      <c r="C1267" s="871">
        <v>46280</v>
      </c>
      <c r="D1267" t="s">
        <v>9451</v>
      </c>
      <c r="E1267" t="s">
        <v>415</v>
      </c>
      <c r="F1267" t="s">
        <v>9453</v>
      </c>
      <c r="G1267">
        <v>9</v>
      </c>
      <c r="H1267" t="s">
        <v>9333</v>
      </c>
      <c r="I1267" s="871">
        <v>46293.93683766204</v>
      </c>
      <c r="J1267" t="s">
        <v>9524</v>
      </c>
      <c r="K1267" s="975" t="str">
        <f>IF(COUNTIFS(tblControles[Clave],tblControles[[#This Row],[Clave]])&gt;1,"Duplicado","")</f>
        <v/>
      </c>
    </row>
    <row r="1268" spans="2:11">
      <c r="B1268" s="975" t="str">
        <f>tblControles[[#This Row],[Fecha]]&amp;"|"&amp;tblControles[[#This Row],[Módulo]]&amp;"|"&amp;tblControles[[#This Row],[Ítem]]&amp;"|"&amp;tblControles[[#This Row],[Turno]]</f>
        <v>46280|AGREGADO MEDIOS|BARRAS RM7|Cantidad</v>
      </c>
      <c r="C1268" s="871">
        <v>46280</v>
      </c>
      <c r="D1268" t="s">
        <v>9451</v>
      </c>
      <c r="E1268" t="s">
        <v>416</v>
      </c>
      <c r="F1268" t="s">
        <v>9453</v>
      </c>
      <c r="G1268">
        <v>0</v>
      </c>
      <c r="H1268" t="s">
        <v>9333</v>
      </c>
      <c r="I1268" s="871">
        <v>46293.93683766204</v>
      </c>
      <c r="J1268" t="s">
        <v>9524</v>
      </c>
      <c r="K1268" s="975" t="str">
        <f>IF(COUNTIFS(tblControles[Clave],tblControles[[#This Row],[Clave]])&gt;1,"Duplicado","")</f>
        <v/>
      </c>
    </row>
    <row r="1269" spans="2:11">
      <c r="B1269" s="975" t="str">
        <f>tblControles[[#This Row],[Fecha]]&amp;"|"&amp;tblControles[[#This Row],[Módulo]]&amp;"|"&amp;tblControles[[#This Row],[Ítem]]&amp;"|"&amp;tblControles[[#This Row],[Turno]]</f>
        <v>46280|AGREGADO MEDIOS|BARRAS RM8|Cantidad</v>
      </c>
      <c r="C1269" s="871">
        <v>46280</v>
      </c>
      <c r="D1269" t="s">
        <v>9451</v>
      </c>
      <c r="E1269" t="s">
        <v>417</v>
      </c>
      <c r="F1269" t="s">
        <v>9453</v>
      </c>
      <c r="G1269">
        <v>0</v>
      </c>
      <c r="H1269" t="s">
        <v>9333</v>
      </c>
      <c r="I1269" s="871">
        <v>46293.93683766204</v>
      </c>
      <c r="J1269" t="s">
        <v>9524</v>
      </c>
      <c r="K1269" s="975" t="str">
        <f>IF(COUNTIFS(tblControles[Clave],tblControles[[#This Row],[Clave]])&gt;1,"Duplicado","")</f>
        <v/>
      </c>
    </row>
    <row r="1270" spans="2:11">
      <c r="B1270" s="975" t="str">
        <f>tblControles[[#This Row],[Fecha]]&amp;"|"&amp;tblControles[[#This Row],[Módulo]]&amp;"|"&amp;tblControles[[#This Row],[Ítem]]&amp;"|"&amp;tblControles[[#This Row],[Turno]]</f>
        <v>46280|AGREGADO MEDIOS|BARRAS 9 RM9|Cantidad</v>
      </c>
      <c r="C1270" s="871">
        <v>46280</v>
      </c>
      <c r="D1270" t="s">
        <v>9451</v>
      </c>
      <c r="E1270" t="s">
        <v>418</v>
      </c>
      <c r="F1270" t="s">
        <v>9453</v>
      </c>
      <c r="G1270">
        <v>0</v>
      </c>
      <c r="H1270" t="s">
        <v>9333</v>
      </c>
      <c r="I1270" s="871">
        <v>46293.93683766204</v>
      </c>
      <c r="J1270" t="s">
        <v>9524</v>
      </c>
      <c r="K1270" s="975" t="str">
        <f>IF(COUNTIFS(tblControles[Clave],tblControles[[#This Row],[Clave]])&gt;1,"Duplicado","")</f>
        <v/>
      </c>
    </row>
    <row r="1271" spans="2:11">
      <c r="B1271" s="975" t="str">
        <f>tblControles[[#This Row],[Fecha]]&amp;"|"&amp;tblControles[[#This Row],[Módulo]]&amp;"|"&amp;tblControles[[#This Row],[Ítem]]&amp;"|"&amp;tblControles[[#This Row],[Turno]]</f>
        <v>46280|AGREGADO MEDIOS|CONOS 40X50 BM1|Cantidad</v>
      </c>
      <c r="C1271" s="871">
        <v>46280</v>
      </c>
      <c r="D1271" t="s">
        <v>9451</v>
      </c>
      <c r="E1271" t="s">
        <v>420</v>
      </c>
      <c r="F1271" t="s">
        <v>9453</v>
      </c>
      <c r="G1271">
        <v>2</v>
      </c>
      <c r="H1271" t="s">
        <v>9333</v>
      </c>
      <c r="I1271" s="871">
        <v>46293.93683766204</v>
      </c>
      <c r="J1271" t="s">
        <v>9524</v>
      </c>
      <c r="K1271" s="975" t="str">
        <f>IF(COUNTIFS(tblControles[Clave],tblControles[[#This Row],[Clave]])&gt;1,"Duplicado","")</f>
        <v/>
      </c>
    </row>
    <row r="1272" spans="2:11">
      <c r="B1272" s="975" t="str">
        <f>tblControles[[#This Row],[Fecha]]&amp;"|"&amp;tblControles[[#This Row],[Módulo]]&amp;"|"&amp;tblControles[[#This Row],[Ítem]]&amp;"|"&amp;tblControles[[#This Row],[Turno]]</f>
        <v>46280|AGREGADO MEDIOS|CONOS 40X50 BM2|Cantidad</v>
      </c>
      <c r="C1272" s="871">
        <v>46280</v>
      </c>
      <c r="D1272" t="s">
        <v>9451</v>
      </c>
      <c r="E1272" t="s">
        <v>421</v>
      </c>
      <c r="F1272" t="s">
        <v>9453</v>
      </c>
      <c r="G1272">
        <v>0</v>
      </c>
      <c r="H1272" t="s">
        <v>9333</v>
      </c>
      <c r="I1272" s="871">
        <v>46293.93683766204</v>
      </c>
      <c r="J1272" t="s">
        <v>9524</v>
      </c>
      <c r="K1272" s="975" t="str">
        <f>IF(COUNTIFS(tblControles[Clave],tblControles[[#This Row],[Clave]])&gt;1,"Duplicado","")</f>
        <v/>
      </c>
    </row>
    <row r="1273" spans="2:11">
      <c r="B1273" s="975" t="str">
        <f>tblControles[[#This Row],[Fecha]]&amp;"|"&amp;tblControles[[#This Row],[Módulo]]&amp;"|"&amp;tblControles[[#This Row],[Ítem]]&amp;"|"&amp;tblControles[[#This Row],[Turno]]</f>
        <v>46280|AGREGADO MEDIOS|CONOS 40X50 BM3|Cantidad</v>
      </c>
      <c r="C1273" s="871">
        <v>46280</v>
      </c>
      <c r="D1273" t="s">
        <v>9451</v>
      </c>
      <c r="E1273" t="s">
        <v>422</v>
      </c>
      <c r="F1273" t="s">
        <v>9453</v>
      </c>
      <c r="G1273">
        <v>4</v>
      </c>
      <c r="H1273" t="s">
        <v>9333</v>
      </c>
      <c r="I1273" s="871">
        <v>46293.93683766204</v>
      </c>
      <c r="J1273" t="s">
        <v>9524</v>
      </c>
      <c r="K1273" s="975" t="str">
        <f>IF(COUNTIFS(tblControles[Clave],tblControles[[#This Row],[Clave]])&gt;1,"Duplicado","")</f>
        <v/>
      </c>
    </row>
    <row r="1274" spans="2:11">
      <c r="B1274" s="975" t="str">
        <f>tblControles[[#This Row],[Fecha]]&amp;"|"&amp;tblControles[[#This Row],[Módulo]]&amp;"|"&amp;tblControles[[#This Row],[Ítem]]&amp;"|"&amp;tblControles[[#This Row],[Turno]]</f>
        <v>46280|AGREGADO MEDIOS|CONOS 40X50 BM4|Cantidad</v>
      </c>
      <c r="C1274" s="871">
        <v>46280</v>
      </c>
      <c r="D1274" t="s">
        <v>9451</v>
      </c>
      <c r="E1274" t="s">
        <v>423</v>
      </c>
      <c r="F1274" t="s">
        <v>9453</v>
      </c>
      <c r="G1274">
        <v>0</v>
      </c>
      <c r="H1274" t="s">
        <v>9333</v>
      </c>
      <c r="I1274" s="871">
        <v>46293.93683766204</v>
      </c>
      <c r="J1274" t="s">
        <v>9524</v>
      </c>
      <c r="K1274" s="975" t="str">
        <f>IF(COUNTIFS(tblControles[Clave],tblControles[[#This Row],[Clave]])&gt;1,"Duplicado","")</f>
        <v/>
      </c>
    </row>
    <row r="1275" spans="2:11">
      <c r="B1275" s="975" t="str">
        <f>tblControles[[#This Row],[Fecha]]&amp;"|"&amp;tblControles[[#This Row],[Módulo]]&amp;"|"&amp;tblControles[[#This Row],[Ítem]]&amp;"|"&amp;tblControles[[#This Row],[Turno]]</f>
        <v>46280|AGREGADO MEDIOS|CONOS 30X35 BM5|Cantidad</v>
      </c>
      <c r="C1275" s="871">
        <v>46280</v>
      </c>
      <c r="D1275" t="s">
        <v>9451</v>
      </c>
      <c r="E1275" t="s">
        <v>424</v>
      </c>
      <c r="F1275" t="s">
        <v>9453</v>
      </c>
      <c r="G1275">
        <v>8</v>
      </c>
      <c r="H1275" t="s">
        <v>9333</v>
      </c>
      <c r="I1275" s="871">
        <v>46293.93683766204</v>
      </c>
      <c r="J1275" t="s">
        <v>9524</v>
      </c>
      <c r="K1275" s="975" t="str">
        <f>IF(COUNTIFS(tblControles[Clave],tblControles[[#This Row],[Clave]])&gt;1,"Duplicado","")</f>
        <v/>
      </c>
    </row>
    <row r="1276" spans="2:11">
      <c r="B1276" s="975" t="str">
        <f>tblControles[[#This Row],[Fecha]]&amp;"|"&amp;tblControles[[#This Row],[Módulo]]&amp;"|"&amp;tblControles[[#This Row],[Ítem]]&amp;"|"&amp;tblControles[[#This Row],[Turno]]</f>
        <v>46280|AGREGADO MEDIOS|CONOS 40X50 BM6|Cantidad</v>
      </c>
      <c r="C1276" s="871">
        <v>46280</v>
      </c>
      <c r="D1276" t="s">
        <v>9451</v>
      </c>
      <c r="E1276" t="s">
        <v>425</v>
      </c>
      <c r="F1276" t="s">
        <v>9453</v>
      </c>
      <c r="G1276">
        <v>4</v>
      </c>
      <c r="H1276" t="s">
        <v>9333</v>
      </c>
      <c r="I1276" s="871">
        <v>46293.93683766204</v>
      </c>
      <c r="J1276" t="s">
        <v>9524</v>
      </c>
      <c r="K1276" s="975" t="str">
        <f>IF(COUNTIFS(tblControles[Clave],tblControles[[#This Row],[Clave]])&gt;1,"Duplicado","")</f>
        <v/>
      </c>
    </row>
    <row r="1277" spans="2:11">
      <c r="B1277" s="975" t="str">
        <f>tblControles[[#This Row],[Fecha]]&amp;"|"&amp;tblControles[[#This Row],[Módulo]]&amp;"|"&amp;tblControles[[#This Row],[Ítem]]&amp;"|"&amp;tblControles[[#This Row],[Turno]]</f>
        <v>46280|AGREGADO MEDIOS|CONOS 40X50 BM7|Cantidad</v>
      </c>
      <c r="C1277" s="871">
        <v>46280</v>
      </c>
      <c r="D1277" t="s">
        <v>9451</v>
      </c>
      <c r="E1277" t="s">
        <v>426</v>
      </c>
      <c r="F1277" t="s">
        <v>9453</v>
      </c>
      <c r="G1277">
        <v>8</v>
      </c>
      <c r="H1277" t="s">
        <v>9333</v>
      </c>
      <c r="I1277" s="871">
        <v>46293.93683766204</v>
      </c>
      <c r="J1277" t="s">
        <v>9524</v>
      </c>
      <c r="K1277" s="975" t="str">
        <f>IF(COUNTIFS(tblControles[Clave],tblControles[[#This Row],[Clave]])&gt;1,"Duplicado","")</f>
        <v/>
      </c>
    </row>
    <row r="1278" spans="2:11">
      <c r="B1278" s="975" t="str">
        <f>tblControles[[#This Row],[Fecha]]&amp;"|"&amp;tblControles[[#This Row],[Módulo]]&amp;"|"&amp;tblControles[[#This Row],[Ítem]]&amp;"|"&amp;tblControles[[#This Row],[Turno]]</f>
        <v>46280|AGREGADO MEDIOS|CONOS 40X50|Cantidad</v>
      </c>
      <c r="C1278" s="871">
        <v>46280</v>
      </c>
      <c r="D1278" t="s">
        <v>9451</v>
      </c>
      <c r="E1278" t="s">
        <v>427</v>
      </c>
      <c r="F1278" t="s">
        <v>9453</v>
      </c>
      <c r="G1278">
        <v>2</v>
      </c>
      <c r="H1278" t="s">
        <v>9333</v>
      </c>
      <c r="I1278" s="871">
        <v>46293.93683766204</v>
      </c>
      <c r="J1278" t="s">
        <v>9524</v>
      </c>
      <c r="K1278" s="975" t="str">
        <f>IF(COUNTIFS(tblControles[Clave],tblControles[[#This Row],[Clave]])&gt;1,"Duplicado","")</f>
        <v/>
      </c>
    </row>
    <row r="1279" spans="2:11">
      <c r="B1279" s="975" t="str">
        <f>tblControles[[#This Row],[Fecha]]&amp;"|"&amp;tblControles[[#This Row],[Módulo]]&amp;"|"&amp;tblControles[[#This Row],[Ítem]]&amp;"|"&amp;tblControles[[#This Row],[Turno]]</f>
        <v>46280|AGREGADO MEDIOS|CONOS 30X35|Cantidad</v>
      </c>
      <c r="C1279" s="871">
        <v>46280</v>
      </c>
      <c r="D1279" t="s">
        <v>9451</v>
      </c>
      <c r="E1279" t="s">
        <v>428</v>
      </c>
      <c r="F1279" t="s">
        <v>9453</v>
      </c>
      <c r="G1279">
        <v>24</v>
      </c>
      <c r="H1279" t="s">
        <v>9333</v>
      </c>
      <c r="I1279" s="871">
        <v>46293.93683766204</v>
      </c>
      <c r="J1279" t="s">
        <v>9524</v>
      </c>
      <c r="K1279" s="975" t="str">
        <f>IF(COUNTIFS(tblControles[Clave],tblControles[[#This Row],[Clave]])&gt;1,"Duplicado","")</f>
        <v/>
      </c>
    </row>
    <row r="1280" spans="2:11">
      <c r="B1280" s="975" t="str">
        <f>tblControles[[#This Row],[Fecha]]&amp;"|"&amp;tblControles[[#This Row],[Módulo]]&amp;"|"&amp;tblControles[[#This Row],[Ítem]]&amp;"|"&amp;tblControles[[#This Row],[Turno]]</f>
        <v>46280|AGREGADO MEDIOS|BOLAS BM8|Cantidad</v>
      </c>
      <c r="C1280" s="871">
        <v>46280</v>
      </c>
      <c r="D1280" t="s">
        <v>9451</v>
      </c>
      <c r="E1280" t="s">
        <v>429</v>
      </c>
      <c r="F1280" t="s">
        <v>9453</v>
      </c>
      <c r="G1280">
        <v>0</v>
      </c>
      <c r="H1280" t="s">
        <v>9333</v>
      </c>
      <c r="I1280" s="871">
        <v>46293.93683766204</v>
      </c>
      <c r="J1280" t="s">
        <v>9524</v>
      </c>
      <c r="K1280" s="975" t="str">
        <f>IF(COUNTIFS(tblControles[Clave],tblControles[[#This Row],[Clave]])&gt;1,"Duplicado","")</f>
        <v/>
      </c>
    </row>
    <row r="1281" spans="2:11">
      <c r="B1281" s="975" t="str">
        <f>tblControles[[#This Row],[Fecha]]&amp;"|"&amp;tblControles[[#This Row],[Módulo]]&amp;"|"&amp;tblControles[[#This Row],[Ítem]]&amp;"|"&amp;tblControles[[#This Row],[Turno]]</f>
        <v>46280|AGREGADO MEDIOS|BOLAS BM9|Cantidad</v>
      </c>
      <c r="C1281" s="871">
        <v>46280</v>
      </c>
      <c r="D1281" t="s">
        <v>9451</v>
      </c>
      <c r="E1281" t="s">
        <v>430</v>
      </c>
      <c r="F1281" t="s">
        <v>9453</v>
      </c>
      <c r="G1281">
        <v>0</v>
      </c>
      <c r="H1281" t="s">
        <v>9333</v>
      </c>
      <c r="I1281" s="871">
        <v>46293.93683766204</v>
      </c>
      <c r="J1281" t="s">
        <v>9524</v>
      </c>
      <c r="K1281" s="975" t="str">
        <f>IF(COUNTIFS(tblControles[Clave],tblControles[[#This Row],[Clave]])&gt;1,"Duplicado","")</f>
        <v/>
      </c>
    </row>
    <row r="1282" spans="2:11">
      <c r="B1282" s="975" t="str">
        <f>tblControles[[#This Row],[Fecha]]&amp;"|"&amp;tblControles[[#This Row],[Módulo]]&amp;"|"&amp;tblControles[[#This Row],[Ítem]]&amp;"|"&amp;tblControles[[#This Row],[Turno]]</f>
        <v>46280|AGREGADO MEDIOS|BOLAS BM10|Cantidad</v>
      </c>
      <c r="C1282" s="871">
        <v>46280</v>
      </c>
      <c r="D1282" t="s">
        <v>9451</v>
      </c>
      <c r="E1282" t="s">
        <v>431</v>
      </c>
      <c r="F1282" t="s">
        <v>9453</v>
      </c>
      <c r="G1282">
        <v>0</v>
      </c>
      <c r="H1282" t="s">
        <v>9333</v>
      </c>
      <c r="I1282" s="871">
        <v>46293.93683766204</v>
      </c>
      <c r="J1282" t="s">
        <v>9524</v>
      </c>
      <c r="K1282" s="975" t="str">
        <f>IF(COUNTIFS(tblControles[Clave],tblControles[[#This Row],[Clave]])&gt;1,"Duplicado","")</f>
        <v/>
      </c>
    </row>
    <row r="1283" spans="2:11">
      <c r="B1283" s="975" t="str">
        <f>tblControles[[#This Row],[Fecha]]&amp;"|"&amp;tblControles[[#This Row],[Módulo]]&amp;"|"&amp;tblControles[[#This Row],[Ítem]]&amp;"|"&amp;tblControles[[#This Row],[Turno]]</f>
        <v>46280|AGREGADO MEDIOS|BOLAS ALTO CROM|Cantidad</v>
      </c>
      <c r="C1283" s="871">
        <v>46280</v>
      </c>
      <c r="D1283" t="s">
        <v>9451</v>
      </c>
      <c r="E1283" t="s">
        <v>432</v>
      </c>
      <c r="F1283" t="s">
        <v>9453</v>
      </c>
      <c r="G1283">
        <v>0</v>
      </c>
      <c r="H1283" t="s">
        <v>9333</v>
      </c>
      <c r="I1283" s="871">
        <v>46293.93683766204</v>
      </c>
      <c r="J1283" t="s">
        <v>9524</v>
      </c>
      <c r="K1283" s="975" t="str">
        <f>IF(COUNTIFS(tblControles[Clave],tblControles[[#This Row],[Clave]])&gt;1,"Duplicado","")</f>
        <v/>
      </c>
    </row>
    <row r="1284" spans="2:11">
      <c r="B1284" s="975" t="str">
        <f>tblControles[[#This Row],[Fecha]]&amp;"|"&amp;tblControles[[#This Row],[Módulo]]&amp;"|"&amp;tblControles[[#This Row],[Ítem]]&amp;"|"&amp;tblControles[[#This Row],[Turno]]</f>
        <v>46280|FILTROS H2O|Filtro # 1|2 TURNO</v>
      </c>
      <c r="C1284" s="871">
        <v>46280</v>
      </c>
      <c r="D1284" t="s">
        <v>9430</v>
      </c>
      <c r="E1284" t="s">
        <v>9525</v>
      </c>
      <c r="F1284" t="s">
        <v>327</v>
      </c>
      <c r="G1284" t="s">
        <v>3227</v>
      </c>
      <c r="H1284" t="s">
        <v>9333</v>
      </c>
      <c r="I1284" s="871">
        <v>46293.93683766204</v>
      </c>
      <c r="J1284" t="s">
        <v>9532</v>
      </c>
      <c r="K1284" s="975" t="str">
        <f>IF(COUNTIFS(tblControles[Clave],tblControles[[#This Row],[Clave]])&gt;1,"Duplicado","")</f>
        <v/>
      </c>
    </row>
    <row r="1285" spans="2:11">
      <c r="B1285" s="975" t="str">
        <f>tblControles[[#This Row],[Fecha]]&amp;"|"&amp;tblControles[[#This Row],[Módulo]]&amp;"|"&amp;tblControles[[#This Row],[Ítem]]&amp;"|"&amp;tblControles[[#This Row],[Turno]]</f>
        <v>46280|FILTROS H2O|Filtro # 1|3 TURNO</v>
      </c>
      <c r="C1285" s="871">
        <v>46280</v>
      </c>
      <c r="D1285" t="s">
        <v>9430</v>
      </c>
      <c r="E1285" t="s">
        <v>9525</v>
      </c>
      <c r="F1285" t="s">
        <v>328</v>
      </c>
      <c r="G1285" t="s">
        <v>3227</v>
      </c>
      <c r="H1285" t="s">
        <v>9333</v>
      </c>
      <c r="I1285" s="871">
        <v>46293.93683766204</v>
      </c>
      <c r="J1285" t="s">
        <v>9532</v>
      </c>
      <c r="K1285" s="975" t="str">
        <f>IF(COUNTIFS(tblControles[Clave],tblControles[[#This Row],[Clave]])&gt;1,"Duplicado","")</f>
        <v/>
      </c>
    </row>
    <row r="1286" spans="2:11">
      <c r="B1286" s="975" t="str">
        <f>tblControles[[#This Row],[Fecha]]&amp;"|"&amp;tblControles[[#This Row],[Módulo]]&amp;"|"&amp;tblControles[[#This Row],[Ítem]]&amp;"|"&amp;tblControles[[#This Row],[Turno]]</f>
        <v>46280|FILTROS H2O|Filtro # 2|2 TURNO</v>
      </c>
      <c r="C1286" s="871">
        <v>46280</v>
      </c>
      <c r="D1286" t="s">
        <v>9430</v>
      </c>
      <c r="E1286" t="s">
        <v>9463</v>
      </c>
      <c r="F1286" t="s">
        <v>327</v>
      </c>
      <c r="G1286" t="s">
        <v>3227</v>
      </c>
      <c r="H1286" t="s">
        <v>9333</v>
      </c>
      <c r="I1286" s="871">
        <v>46293.93683766204</v>
      </c>
      <c r="J1286" t="s">
        <v>9532</v>
      </c>
      <c r="K1286" s="975" t="str">
        <f>IF(COUNTIFS(tblControles[Clave],tblControles[[#This Row],[Clave]])&gt;1,"Duplicado","")</f>
        <v/>
      </c>
    </row>
    <row r="1287" spans="2:11">
      <c r="B1287" s="975" t="str">
        <f>tblControles[[#This Row],[Fecha]]&amp;"|"&amp;tblControles[[#This Row],[Módulo]]&amp;"|"&amp;tblControles[[#This Row],[Ítem]]&amp;"|"&amp;tblControles[[#This Row],[Turno]]</f>
        <v>46280|FILTROS H2O|Filtro # 2|3 TURNO</v>
      </c>
      <c r="C1287" s="871">
        <v>46280</v>
      </c>
      <c r="D1287" t="s">
        <v>9430</v>
      </c>
      <c r="E1287" t="s">
        <v>9463</v>
      </c>
      <c r="F1287" t="s">
        <v>328</v>
      </c>
      <c r="G1287" t="s">
        <v>3227</v>
      </c>
      <c r="H1287" t="s">
        <v>9333</v>
      </c>
      <c r="I1287" s="871">
        <v>46293.93683766204</v>
      </c>
      <c r="J1287" t="s">
        <v>9532</v>
      </c>
      <c r="K1287" s="975" t="str">
        <f>IF(COUNTIFS(tblControles[Clave],tblControles[[#This Row],[Clave]])&gt;1,"Duplicado","")</f>
        <v/>
      </c>
    </row>
    <row r="1288" spans="2:11">
      <c r="B1288" s="975" t="str">
        <f>tblControles[[#This Row],[Fecha]]&amp;"|"&amp;tblControles[[#This Row],[Módulo]]&amp;"|"&amp;tblControles[[#This Row],[Ítem]]&amp;"|"&amp;tblControles[[#This Row],[Turno]]</f>
        <v>46280|FILTROS H2O|Filtro # 3|2 TURNO</v>
      </c>
      <c r="C1288" s="871">
        <v>46280</v>
      </c>
      <c r="D1288" t="s">
        <v>9430</v>
      </c>
      <c r="E1288" t="s">
        <v>9464</v>
      </c>
      <c r="F1288" t="s">
        <v>327</v>
      </c>
      <c r="G1288" t="s">
        <v>3227</v>
      </c>
      <c r="H1288" t="s">
        <v>9333</v>
      </c>
      <c r="I1288" s="871">
        <v>46293.93683766204</v>
      </c>
      <c r="J1288" t="s">
        <v>9532</v>
      </c>
      <c r="K1288" s="975" t="str">
        <f>IF(COUNTIFS(tblControles[Clave],tblControles[[#This Row],[Clave]])&gt;1,"Duplicado","")</f>
        <v/>
      </c>
    </row>
    <row r="1289" spans="2:11">
      <c r="B1289" s="975" t="str">
        <f>tblControles[[#This Row],[Fecha]]&amp;"|"&amp;tblControles[[#This Row],[Módulo]]&amp;"|"&amp;tblControles[[#This Row],[Ítem]]&amp;"|"&amp;tblControles[[#This Row],[Turno]]</f>
        <v>46280|FILTROS H2O|Filtro # 3|3 TURNO</v>
      </c>
      <c r="C1289" s="871">
        <v>46280</v>
      </c>
      <c r="D1289" t="s">
        <v>9430</v>
      </c>
      <c r="E1289" t="s">
        <v>9464</v>
      </c>
      <c r="F1289" t="s">
        <v>328</v>
      </c>
      <c r="G1289" t="s">
        <v>3227</v>
      </c>
      <c r="H1289" t="s">
        <v>9333</v>
      </c>
      <c r="I1289" s="871">
        <v>46293.93683766204</v>
      </c>
      <c r="J1289" t="s">
        <v>9532</v>
      </c>
      <c r="K1289" s="975" t="str">
        <f>IF(COUNTIFS(tblControles[Clave],tblControles[[#This Row],[Clave]])&gt;1,"Duplicado","")</f>
        <v/>
      </c>
    </row>
    <row r="1290" spans="2:11">
      <c r="B1290" s="975" t="str">
        <f>tblControles[[#This Row],[Fecha]]&amp;"|"&amp;tblControles[[#This Row],[Módulo]]&amp;"|"&amp;tblControles[[#This Row],[Ítem]]&amp;"|"&amp;tblControles[[#This Row],[Turno]]</f>
        <v>46280|FILTROS H2O|Filtro # 4|2 TURNO</v>
      </c>
      <c r="C1290" s="871">
        <v>46280</v>
      </c>
      <c r="D1290" t="s">
        <v>9430</v>
      </c>
      <c r="E1290" t="s">
        <v>9465</v>
      </c>
      <c r="F1290" t="s">
        <v>327</v>
      </c>
      <c r="G1290" t="s">
        <v>345</v>
      </c>
      <c r="H1290" t="s">
        <v>9333</v>
      </c>
      <c r="I1290" s="871">
        <v>46293.93683766204</v>
      </c>
      <c r="J1290" t="s">
        <v>9532</v>
      </c>
      <c r="K1290" s="975" t="str">
        <f>IF(COUNTIFS(tblControles[Clave],tblControles[[#This Row],[Clave]])&gt;1,"Duplicado","")</f>
        <v/>
      </c>
    </row>
    <row r="1291" spans="2:11">
      <c r="B1291" s="975" t="str">
        <f>tblControles[[#This Row],[Fecha]]&amp;"|"&amp;tblControles[[#This Row],[Módulo]]&amp;"|"&amp;tblControles[[#This Row],[Ítem]]&amp;"|"&amp;tblControles[[#This Row],[Turno]]</f>
        <v>46280|FILTROS H2O|Filtro # 4|3 TURNO</v>
      </c>
      <c r="C1291" s="871">
        <v>46280</v>
      </c>
      <c r="D1291" t="s">
        <v>9430</v>
      </c>
      <c r="E1291" t="s">
        <v>9465</v>
      </c>
      <c r="F1291" t="s">
        <v>328</v>
      </c>
      <c r="G1291" t="s">
        <v>345</v>
      </c>
      <c r="H1291" t="s">
        <v>9333</v>
      </c>
      <c r="I1291" s="871">
        <v>46293.93683766204</v>
      </c>
      <c r="J1291" t="s">
        <v>9532</v>
      </c>
      <c r="K1291" s="975" t="str">
        <f>IF(COUNTIFS(tblControles[Clave],tblControles[[#This Row],[Clave]])&gt;1,"Duplicado","")</f>
        <v/>
      </c>
    </row>
    <row r="1292" spans="2:11">
      <c r="B1292" s="975" t="str">
        <f>tblControles[[#This Row],[Fecha]]&amp;"|"&amp;tblControles[[#This Row],[Módulo]]&amp;"|"&amp;tblControles[[#This Row],[Ítem]]&amp;"|"&amp;tblControles[[#This Row],[Turno]]</f>
        <v>46280|FILTROS H2O|Filtro # 5|2 TURNO</v>
      </c>
      <c r="C1292" s="871">
        <v>46280</v>
      </c>
      <c r="D1292" t="s">
        <v>9430</v>
      </c>
      <c r="E1292" t="s">
        <v>9466</v>
      </c>
      <c r="F1292" t="s">
        <v>327</v>
      </c>
      <c r="G1292" t="s">
        <v>3227</v>
      </c>
      <c r="H1292" t="s">
        <v>9333</v>
      </c>
      <c r="I1292" s="871">
        <v>46293.93683766204</v>
      </c>
      <c r="J1292" t="s">
        <v>9532</v>
      </c>
      <c r="K1292" s="975" t="str">
        <f>IF(COUNTIFS(tblControles[Clave],tblControles[[#This Row],[Clave]])&gt;1,"Duplicado","")</f>
        <v/>
      </c>
    </row>
    <row r="1293" spans="2:11">
      <c r="B1293" s="975" t="str">
        <f>tblControles[[#This Row],[Fecha]]&amp;"|"&amp;tblControles[[#This Row],[Módulo]]&amp;"|"&amp;tblControles[[#This Row],[Ítem]]&amp;"|"&amp;tblControles[[#This Row],[Turno]]</f>
        <v>46280|FILTROS H2O|Filtro # 5|3 TURNO</v>
      </c>
      <c r="C1293" s="871">
        <v>46280</v>
      </c>
      <c r="D1293" t="s">
        <v>9430</v>
      </c>
      <c r="E1293" t="s">
        <v>9466</v>
      </c>
      <c r="F1293" t="s">
        <v>328</v>
      </c>
      <c r="G1293" t="s">
        <v>3227</v>
      </c>
      <c r="H1293" t="s">
        <v>9333</v>
      </c>
      <c r="I1293" s="871">
        <v>46293.93683766204</v>
      </c>
      <c r="J1293" t="s">
        <v>9532</v>
      </c>
      <c r="K1293" s="975" t="str">
        <f>IF(COUNTIFS(tblControles[Clave],tblControles[[#This Row],[Clave]])&gt;1,"Duplicado","")</f>
        <v/>
      </c>
    </row>
    <row r="1294" spans="2:11">
      <c r="B1294" s="975" t="str">
        <f>tblControles[[#This Row],[Fecha]]&amp;"|"&amp;tblControles[[#This Row],[Módulo]]&amp;"|"&amp;tblControles[[#This Row],[Ítem]]&amp;"|"&amp;tblControles[[#This Row],[Turno]]</f>
        <v>46280|FILTROS H2O|Filtro Linea # 5|2 TURNO</v>
      </c>
      <c r="C1294" s="871">
        <v>46280</v>
      </c>
      <c r="D1294" t="s">
        <v>9430</v>
      </c>
      <c r="E1294" t="s">
        <v>331</v>
      </c>
      <c r="F1294" t="s">
        <v>327</v>
      </c>
      <c r="G1294" t="s">
        <v>3227</v>
      </c>
      <c r="H1294" t="s">
        <v>9333</v>
      </c>
      <c r="I1294" s="871">
        <v>46293.93683766204</v>
      </c>
      <c r="J1294" t="s">
        <v>9532</v>
      </c>
      <c r="K1294" s="975" t="str">
        <f>IF(COUNTIFS(tblControles[Clave],tblControles[[#This Row],[Clave]])&gt;1,"Duplicado","")</f>
        <v/>
      </c>
    </row>
    <row r="1295" spans="2:11">
      <c r="B1295" s="975" t="str">
        <f>tblControles[[#This Row],[Fecha]]&amp;"|"&amp;tblControles[[#This Row],[Módulo]]&amp;"|"&amp;tblControles[[#This Row],[Ítem]]&amp;"|"&amp;tblControles[[#This Row],[Turno]]</f>
        <v>46280|FILTROS H2O|Filtro Linea # 5|3 TURNO</v>
      </c>
      <c r="C1295" s="871">
        <v>46280</v>
      </c>
      <c r="D1295" t="s">
        <v>9430</v>
      </c>
      <c r="E1295" t="s">
        <v>331</v>
      </c>
      <c r="F1295" t="s">
        <v>328</v>
      </c>
      <c r="G1295" t="s">
        <v>3227</v>
      </c>
      <c r="H1295" t="s">
        <v>9333</v>
      </c>
      <c r="I1295" s="871">
        <v>46293.93683766204</v>
      </c>
      <c r="J1295" t="s">
        <v>9532</v>
      </c>
      <c r="K1295" s="975" t="str">
        <f>IF(COUNTIFS(tblControles[Clave],tblControles[[#This Row],[Clave]])&gt;1,"Duplicado","")</f>
        <v/>
      </c>
    </row>
    <row r="1296" spans="2:11">
      <c r="B1296" s="975" t="str">
        <f>tblControles[[#This Row],[Fecha]]&amp;"|"&amp;tblControles[[#This Row],[Módulo]]&amp;"|"&amp;tblControles[[#This Row],[Ítem]]&amp;"|"&amp;tblControles[[#This Row],[Turno]]</f>
        <v>46280|FILTROS H2O|Filtro Linea # 6|2 TURNO</v>
      </c>
      <c r="C1296" s="871">
        <v>46280</v>
      </c>
      <c r="D1296" t="s">
        <v>9430</v>
      </c>
      <c r="E1296" t="s">
        <v>332</v>
      </c>
      <c r="F1296" t="s">
        <v>327</v>
      </c>
      <c r="G1296" t="s">
        <v>3227</v>
      </c>
      <c r="H1296" t="s">
        <v>9333</v>
      </c>
      <c r="I1296" s="871">
        <v>46293.93683766204</v>
      </c>
      <c r="J1296" t="s">
        <v>9532</v>
      </c>
      <c r="K1296" s="975" t="str">
        <f>IF(COUNTIFS(tblControles[Clave],tblControles[[#This Row],[Clave]])&gt;1,"Duplicado","")</f>
        <v/>
      </c>
    </row>
    <row r="1297" spans="2:11">
      <c r="B1297" s="975" t="str">
        <f>tblControles[[#This Row],[Fecha]]&amp;"|"&amp;tblControles[[#This Row],[Módulo]]&amp;"|"&amp;tblControles[[#This Row],[Ítem]]&amp;"|"&amp;tblControles[[#This Row],[Turno]]</f>
        <v>46280|FILTROS H2O|Filtro Linea # 6|3 TURNO</v>
      </c>
      <c r="C1297" s="871">
        <v>46280</v>
      </c>
      <c r="D1297" t="s">
        <v>9430</v>
      </c>
      <c r="E1297" t="s">
        <v>332</v>
      </c>
      <c r="F1297" t="s">
        <v>328</v>
      </c>
      <c r="G1297" t="s">
        <v>3227</v>
      </c>
      <c r="H1297" t="s">
        <v>9333</v>
      </c>
      <c r="I1297" s="871">
        <v>46293.93683766204</v>
      </c>
      <c r="J1297" t="s">
        <v>9532</v>
      </c>
      <c r="K1297" s="975" t="str">
        <f>IF(COUNTIFS(tblControles[Clave],tblControles[[#This Row],[Clave]])&gt;1,"Duplicado","")</f>
        <v/>
      </c>
    </row>
    <row r="1298" spans="2:11">
      <c r="B1298" s="975" t="str">
        <f>tblControles[[#This Row],[Fecha]]&amp;"|"&amp;tblControles[[#This Row],[Módulo]]&amp;"|"&amp;tblControles[[#This Row],[Ítem]]&amp;"|"&amp;tblControles[[#This Row],[Turno]]</f>
        <v>46280|FILTROS H2O|Filtro Linea # 7|2 TURNO</v>
      </c>
      <c r="C1298" s="871">
        <v>46280</v>
      </c>
      <c r="D1298" t="s">
        <v>9430</v>
      </c>
      <c r="E1298" t="s">
        <v>9467</v>
      </c>
      <c r="F1298" t="s">
        <v>327</v>
      </c>
      <c r="G1298" t="s">
        <v>345</v>
      </c>
      <c r="H1298" t="s">
        <v>9333</v>
      </c>
      <c r="I1298" s="871">
        <v>46293.93683766204</v>
      </c>
      <c r="J1298" t="s">
        <v>9532</v>
      </c>
      <c r="K1298" s="975" t="str">
        <f>IF(COUNTIFS(tblControles[Clave],tblControles[[#This Row],[Clave]])&gt;1,"Duplicado","")</f>
        <v/>
      </c>
    </row>
    <row r="1299" spans="2:11">
      <c r="B1299" s="975" t="str">
        <f>tblControles[[#This Row],[Fecha]]&amp;"|"&amp;tblControles[[#This Row],[Módulo]]&amp;"|"&amp;tblControles[[#This Row],[Ítem]]&amp;"|"&amp;tblControles[[#This Row],[Turno]]</f>
        <v>46280|FILTROS H2O|Filtro Linea # 7|3 TURNO</v>
      </c>
      <c r="C1299" s="871">
        <v>46280</v>
      </c>
      <c r="D1299" t="s">
        <v>9430</v>
      </c>
      <c r="E1299" t="s">
        <v>9467</v>
      </c>
      <c r="F1299" t="s">
        <v>328</v>
      </c>
      <c r="G1299" t="s">
        <v>345</v>
      </c>
      <c r="H1299" t="s">
        <v>9333</v>
      </c>
      <c r="I1299" s="871">
        <v>46293.93683766204</v>
      </c>
      <c r="J1299" t="s">
        <v>9532</v>
      </c>
      <c r="K1299" s="975" t="str">
        <f>IF(COUNTIFS(tblControles[Clave],tblControles[[#This Row],[Clave]])&gt;1,"Duplicado","")</f>
        <v/>
      </c>
    </row>
    <row r="1300" spans="2:11">
      <c r="B1300" s="975" t="str">
        <f>tblControles[[#This Row],[Fecha]]&amp;"|"&amp;tblControles[[#This Row],[Módulo]]&amp;"|"&amp;tblControles[[#This Row],[Ítem]]&amp;"|"&amp;tblControles[[#This Row],[Turno]]</f>
        <v>46280|FILTROS H2O|Filtro Linea # 8|2 TURNO</v>
      </c>
      <c r="C1300" s="871">
        <v>46280</v>
      </c>
      <c r="D1300" t="s">
        <v>9430</v>
      </c>
      <c r="E1300" t="s">
        <v>9468</v>
      </c>
      <c r="F1300" t="s">
        <v>327</v>
      </c>
      <c r="G1300" t="s">
        <v>345</v>
      </c>
      <c r="H1300" t="s">
        <v>9333</v>
      </c>
      <c r="I1300" s="871">
        <v>46293.93683766204</v>
      </c>
      <c r="J1300" t="s">
        <v>9532</v>
      </c>
      <c r="K1300" s="975" t="str">
        <f>IF(COUNTIFS(tblControles[Clave],tblControles[[#This Row],[Clave]])&gt;1,"Duplicado","")</f>
        <v/>
      </c>
    </row>
    <row r="1301" spans="2:11">
      <c r="B1301" s="975" t="str">
        <f>tblControles[[#This Row],[Fecha]]&amp;"|"&amp;tblControles[[#This Row],[Módulo]]&amp;"|"&amp;tblControles[[#This Row],[Ítem]]&amp;"|"&amp;tblControles[[#This Row],[Turno]]</f>
        <v>46280|FILTROS H2O|Filtro Linea # 8|3 TURNO</v>
      </c>
      <c r="C1301" s="871">
        <v>46280</v>
      </c>
      <c r="D1301" t="s">
        <v>9430</v>
      </c>
      <c r="E1301" t="s">
        <v>9468</v>
      </c>
      <c r="F1301" t="s">
        <v>328</v>
      </c>
      <c r="G1301" t="s">
        <v>345</v>
      </c>
      <c r="H1301" t="s">
        <v>9333</v>
      </c>
      <c r="I1301" s="871">
        <v>46293.93683766204</v>
      </c>
      <c r="J1301" t="s">
        <v>9532</v>
      </c>
      <c r="K1301" s="975" t="str">
        <f>IF(COUNTIFS(tblControles[Clave],tblControles[[#This Row],[Clave]])&gt;1,"Duplicado","")</f>
        <v/>
      </c>
    </row>
    <row r="1302" spans="2:11">
      <c r="B1302" s="975" t="str">
        <f>tblControles[[#This Row],[Fecha]]&amp;"|"&amp;tblControles[[#This Row],[Módulo]]&amp;"|"&amp;tblControles[[#This Row],[Ítem]]&amp;"|"&amp;tblControles[[#This Row],[Turno]]</f>
        <v>46280|FILTROS H2O|Filtro Linea # 9 (01)|2 TURNO</v>
      </c>
      <c r="C1302" s="871">
        <v>46280</v>
      </c>
      <c r="D1302" t="s">
        <v>9430</v>
      </c>
      <c r="E1302" t="s">
        <v>9469</v>
      </c>
      <c r="F1302" t="s">
        <v>327</v>
      </c>
      <c r="G1302" t="s">
        <v>3227</v>
      </c>
      <c r="H1302" t="s">
        <v>9333</v>
      </c>
      <c r="I1302" s="871">
        <v>46293.93683766204</v>
      </c>
      <c r="J1302" t="s">
        <v>9532</v>
      </c>
      <c r="K1302" s="975" t="str">
        <f>IF(COUNTIFS(tblControles[Clave],tblControles[[#This Row],[Clave]])&gt;1,"Duplicado","")</f>
        <v/>
      </c>
    </row>
    <row r="1303" spans="2:11">
      <c r="B1303" s="975" t="str">
        <f>tblControles[[#This Row],[Fecha]]&amp;"|"&amp;tblControles[[#This Row],[Módulo]]&amp;"|"&amp;tblControles[[#This Row],[Ítem]]&amp;"|"&amp;tblControles[[#This Row],[Turno]]</f>
        <v>46280|FILTROS H2O|Filtro Linea # 9 (01)|3 TURNO</v>
      </c>
      <c r="C1303" s="871">
        <v>46280</v>
      </c>
      <c r="D1303" t="s">
        <v>9430</v>
      </c>
      <c r="E1303" t="s">
        <v>9469</v>
      </c>
      <c r="F1303" t="s">
        <v>328</v>
      </c>
      <c r="G1303" t="s">
        <v>3227</v>
      </c>
      <c r="H1303" t="s">
        <v>9333</v>
      </c>
      <c r="I1303" s="871">
        <v>46293.93683766204</v>
      </c>
      <c r="J1303" t="s">
        <v>9532</v>
      </c>
      <c r="K1303" s="975" t="str">
        <f>IF(COUNTIFS(tblControles[Clave],tblControles[[#This Row],[Clave]])&gt;1,"Duplicado","")</f>
        <v/>
      </c>
    </row>
    <row r="1304" spans="2:11">
      <c r="B1304" s="975" t="str">
        <f>tblControles[[#This Row],[Fecha]]&amp;"|"&amp;tblControles[[#This Row],[Módulo]]&amp;"|"&amp;tblControles[[#This Row],[Ítem]]&amp;"|"&amp;tblControles[[#This Row],[Turno]]</f>
        <v>46280|FILTROS H2O|Filtro Linea # 9 (02)|2 TURNO</v>
      </c>
      <c r="C1304" s="871">
        <v>46280</v>
      </c>
      <c r="D1304" t="s">
        <v>9430</v>
      </c>
      <c r="E1304" t="s">
        <v>9470</v>
      </c>
      <c r="F1304" t="s">
        <v>327</v>
      </c>
      <c r="G1304" t="s">
        <v>345</v>
      </c>
      <c r="H1304" t="s">
        <v>9333</v>
      </c>
      <c r="I1304" s="871">
        <v>46293.93683766204</v>
      </c>
      <c r="J1304" t="s">
        <v>9532</v>
      </c>
      <c r="K1304" s="975" t="str">
        <f>IF(COUNTIFS(tblControles[Clave],tblControles[[#This Row],[Clave]])&gt;1,"Duplicado","")</f>
        <v/>
      </c>
    </row>
    <row r="1305" spans="2:11">
      <c r="B1305" s="975" t="str">
        <f>tblControles[[#This Row],[Fecha]]&amp;"|"&amp;tblControles[[#This Row],[Módulo]]&amp;"|"&amp;tblControles[[#This Row],[Ítem]]&amp;"|"&amp;tblControles[[#This Row],[Turno]]</f>
        <v>46280|FILTROS H2O|Filtro Linea # 9 (02)|3 TURNO</v>
      </c>
      <c r="C1305" s="871">
        <v>46280</v>
      </c>
      <c r="D1305" t="s">
        <v>9430</v>
      </c>
      <c r="E1305" t="s">
        <v>9470</v>
      </c>
      <c r="F1305" t="s">
        <v>328</v>
      </c>
      <c r="G1305" t="s">
        <v>345</v>
      </c>
      <c r="H1305" t="s">
        <v>9333</v>
      </c>
      <c r="I1305" s="871">
        <v>46293.93683766204</v>
      </c>
      <c r="J1305" t="s">
        <v>9532</v>
      </c>
      <c r="K1305" s="975" t="str">
        <f>IF(COUNTIFS(tblControles[Clave],tblControles[[#This Row],[Clave]])&gt;1,"Duplicado","")</f>
        <v/>
      </c>
    </row>
    <row r="1306" spans="2:11">
      <c r="B1306" s="975" t="str">
        <f>tblControles[[#This Row],[Fecha]]&amp;"|"&amp;tblControles[[#This Row],[Módulo]]&amp;"|"&amp;tblControles[[#This Row],[Ítem]]&amp;"|"&amp;tblControles[[#This Row],[Turno]]</f>
        <v>46280|PURGA TKS AIRE|TK-MG-S. ROTULO|2do Turno</v>
      </c>
      <c r="C1306" s="871">
        <v>46280</v>
      </c>
      <c r="D1306" t="s">
        <v>9433</v>
      </c>
      <c r="E1306" t="s">
        <v>9471</v>
      </c>
      <c r="F1306" t="s">
        <v>9436</v>
      </c>
      <c r="G1306" t="s">
        <v>3227</v>
      </c>
      <c r="H1306" t="s">
        <v>9333</v>
      </c>
      <c r="I1306" s="871">
        <v>46293.93683766204</v>
      </c>
      <c r="J1306" t="s">
        <v>9530</v>
      </c>
      <c r="K1306" s="975" t="str">
        <f>IF(COUNTIFS(tblControles[Clave],tblControles[[#This Row],[Clave]])&gt;1,"Duplicado","")</f>
        <v/>
      </c>
    </row>
    <row r="1307" spans="2:11">
      <c r="B1307" s="975" t="str">
        <f>tblControles[[#This Row],[Fecha]]&amp;"|"&amp;tblControles[[#This Row],[Módulo]]&amp;"|"&amp;tblControles[[#This Row],[Ítem]]&amp;"|"&amp;tblControles[[#This Row],[Turno]]</f>
        <v>46280|PURGA TKS AIRE|TK-MG-S. ROTULO|3er Turno</v>
      </c>
      <c r="C1307" s="871">
        <v>46280</v>
      </c>
      <c r="D1307" t="s">
        <v>9433</v>
      </c>
      <c r="E1307" t="s">
        <v>9471</v>
      </c>
      <c r="F1307" t="s">
        <v>9437</v>
      </c>
      <c r="G1307" t="s">
        <v>3227</v>
      </c>
      <c r="H1307" t="s">
        <v>9333</v>
      </c>
      <c r="I1307" s="871">
        <v>46293.93683766204</v>
      </c>
      <c r="J1307" t="s">
        <v>9530</v>
      </c>
      <c r="K1307" s="975" t="str">
        <f>IF(COUNTIFS(tblControles[Clave],tblControles[[#This Row],[Clave]])&gt;1,"Duplicado","")</f>
        <v/>
      </c>
    </row>
    <row r="1308" spans="2:11">
      <c r="B1308" s="975" t="str">
        <f>tblControles[[#This Row],[Fecha]]&amp;"|"&amp;tblControles[[#This Row],[Módulo]]&amp;"|"&amp;tblControles[[#This Row],[Ítem]]&amp;"|"&amp;tblControles[[#This Row],[Turno]]</f>
        <v>46280|PURGA TKS AIRE|TK-MG-001|2do Turno</v>
      </c>
      <c r="C1308" s="871">
        <v>46280</v>
      </c>
      <c r="D1308" t="s">
        <v>9433</v>
      </c>
      <c r="E1308" t="s">
        <v>337</v>
      </c>
      <c r="F1308" t="s">
        <v>9436</v>
      </c>
      <c r="G1308" t="s">
        <v>3227</v>
      </c>
      <c r="H1308" t="s">
        <v>9333</v>
      </c>
      <c r="I1308" s="871">
        <v>46293.93683766204</v>
      </c>
      <c r="J1308" t="s">
        <v>9530</v>
      </c>
      <c r="K1308" s="975" t="str">
        <f>IF(COUNTIFS(tblControles[Clave],tblControles[[#This Row],[Clave]])&gt;1,"Duplicado","")</f>
        <v/>
      </c>
    </row>
    <row r="1309" spans="2:11">
      <c r="B1309" s="975" t="str">
        <f>tblControles[[#This Row],[Fecha]]&amp;"|"&amp;tblControles[[#This Row],[Módulo]]&amp;"|"&amp;tblControles[[#This Row],[Ítem]]&amp;"|"&amp;tblControles[[#This Row],[Turno]]</f>
        <v>46280|PURGA TKS AIRE|TK-MG-001|3er Turno</v>
      </c>
      <c r="C1309" s="871">
        <v>46280</v>
      </c>
      <c r="D1309" t="s">
        <v>9433</v>
      </c>
      <c r="E1309" t="s">
        <v>337</v>
      </c>
      <c r="F1309" t="s">
        <v>9437</v>
      </c>
      <c r="G1309" t="s">
        <v>3227</v>
      </c>
      <c r="H1309" t="s">
        <v>9333</v>
      </c>
      <c r="I1309" s="871">
        <v>46293.93683766204</v>
      </c>
      <c r="J1309" t="s">
        <v>9530</v>
      </c>
      <c r="K1309" s="975" t="str">
        <f>IF(COUNTIFS(tblControles[Clave],tblControles[[#This Row],[Clave]])&gt;1,"Duplicado","")</f>
        <v/>
      </c>
    </row>
    <row r="1310" spans="2:11">
      <c r="B1310" s="975" t="str">
        <f>tblControles[[#This Row],[Fecha]]&amp;"|"&amp;tblControles[[#This Row],[Módulo]]&amp;"|"&amp;tblControles[[#This Row],[Ítem]]&amp;"|"&amp;tblControles[[#This Row],[Turno]]</f>
        <v>46280|PURGA TKS AIRE|TK-MG-002|2do Turno</v>
      </c>
      <c r="C1310" s="871">
        <v>46280</v>
      </c>
      <c r="D1310" t="s">
        <v>9433</v>
      </c>
      <c r="E1310" t="s">
        <v>339</v>
      </c>
      <c r="F1310" t="s">
        <v>9436</v>
      </c>
      <c r="G1310" t="s">
        <v>3227</v>
      </c>
      <c r="H1310" t="s">
        <v>9333</v>
      </c>
      <c r="I1310" s="871">
        <v>46293.93683766204</v>
      </c>
      <c r="J1310" t="s">
        <v>9530</v>
      </c>
      <c r="K1310" s="975" t="str">
        <f>IF(COUNTIFS(tblControles[Clave],tblControles[[#This Row],[Clave]])&gt;1,"Duplicado","")</f>
        <v/>
      </c>
    </row>
    <row r="1311" spans="2:11">
      <c r="B1311" s="975" t="str">
        <f>tblControles[[#This Row],[Fecha]]&amp;"|"&amp;tblControles[[#This Row],[Módulo]]&amp;"|"&amp;tblControles[[#This Row],[Ítem]]&amp;"|"&amp;tblControles[[#This Row],[Turno]]</f>
        <v>46280|PURGA TKS AIRE|TK-MG-002|3er Turno</v>
      </c>
      <c r="C1311" s="871">
        <v>46280</v>
      </c>
      <c r="D1311" t="s">
        <v>9433</v>
      </c>
      <c r="E1311" t="s">
        <v>339</v>
      </c>
      <c r="F1311" t="s">
        <v>9437</v>
      </c>
      <c r="G1311" t="s">
        <v>3227</v>
      </c>
      <c r="H1311" t="s">
        <v>9333</v>
      </c>
      <c r="I1311" s="871">
        <v>46293.93683766204</v>
      </c>
      <c r="J1311" t="s">
        <v>9530</v>
      </c>
      <c r="K1311" s="975" t="str">
        <f>IF(COUNTIFS(tblControles[Clave],tblControles[[#This Row],[Clave]])&gt;1,"Duplicado","")</f>
        <v/>
      </c>
    </row>
    <row r="1312" spans="2:11">
      <c r="B1312" s="975" t="str">
        <f>tblControles[[#This Row],[Fecha]]&amp;"|"&amp;tblControles[[#This Row],[Módulo]]&amp;"|"&amp;tblControles[[#This Row],[Ítem]]&amp;"|"&amp;tblControles[[#This Row],[Turno]]</f>
        <v>46280|PURGA TKS AIRE|TK-MG-003|2do Turno</v>
      </c>
      <c r="C1312" s="871">
        <v>46280</v>
      </c>
      <c r="D1312" t="s">
        <v>9433</v>
      </c>
      <c r="E1312" t="s">
        <v>341</v>
      </c>
      <c r="F1312" t="s">
        <v>9436</v>
      </c>
      <c r="G1312" t="s">
        <v>3227</v>
      </c>
      <c r="H1312" t="s">
        <v>9333</v>
      </c>
      <c r="I1312" s="871">
        <v>46293.93683766204</v>
      </c>
      <c r="J1312" t="s">
        <v>9530</v>
      </c>
      <c r="K1312" s="975" t="str">
        <f>IF(COUNTIFS(tblControles[Clave],tblControles[[#This Row],[Clave]])&gt;1,"Duplicado","")</f>
        <v/>
      </c>
    </row>
    <row r="1313" spans="2:11">
      <c r="B1313" s="975" t="str">
        <f>tblControles[[#This Row],[Fecha]]&amp;"|"&amp;tblControles[[#This Row],[Módulo]]&amp;"|"&amp;tblControles[[#This Row],[Ítem]]&amp;"|"&amp;tblControles[[#This Row],[Turno]]</f>
        <v>46280|PURGA TKS AIRE|TK-MG-003|3er Turno</v>
      </c>
      <c r="C1313" s="871">
        <v>46280</v>
      </c>
      <c r="D1313" t="s">
        <v>9433</v>
      </c>
      <c r="E1313" t="s">
        <v>341</v>
      </c>
      <c r="F1313" t="s">
        <v>9437</v>
      </c>
      <c r="G1313" t="s">
        <v>3227</v>
      </c>
      <c r="H1313" t="s">
        <v>9333</v>
      </c>
      <c r="I1313" s="871">
        <v>46293.93683766204</v>
      </c>
      <c r="J1313" t="s">
        <v>9530</v>
      </c>
      <c r="K1313" s="975" t="str">
        <f>IF(COUNTIFS(tblControles[Clave],tblControles[[#This Row],[Clave]])&gt;1,"Duplicado","")</f>
        <v/>
      </c>
    </row>
    <row r="1314" spans="2:11">
      <c r="B1314" s="975" t="str">
        <f>tblControles[[#This Row],[Fecha]]&amp;"|"&amp;tblControles[[#This Row],[Módulo]]&amp;"|"&amp;tblControles[[#This Row],[Ítem]]&amp;"|"&amp;tblControles[[#This Row],[Turno]]</f>
        <v>46280|PURGA TKS AIRE|TK-MG-005|2do Turno</v>
      </c>
      <c r="C1314" s="871">
        <v>46280</v>
      </c>
      <c r="D1314" t="s">
        <v>9433</v>
      </c>
      <c r="E1314" t="s">
        <v>343</v>
      </c>
      <c r="F1314" t="s">
        <v>9436</v>
      </c>
      <c r="G1314" t="s">
        <v>345</v>
      </c>
      <c r="H1314" t="s">
        <v>9333</v>
      </c>
      <c r="I1314" s="871">
        <v>46293.93683766204</v>
      </c>
      <c r="J1314" t="s">
        <v>9530</v>
      </c>
      <c r="K1314" s="975" t="str">
        <f>IF(COUNTIFS(tblControles[Clave],tblControles[[#This Row],[Clave]])&gt;1,"Duplicado","")</f>
        <v/>
      </c>
    </row>
    <row r="1315" spans="2:11">
      <c r="B1315" s="975" t="str">
        <f>tblControles[[#This Row],[Fecha]]&amp;"|"&amp;tblControles[[#This Row],[Módulo]]&amp;"|"&amp;tblControles[[#This Row],[Ítem]]&amp;"|"&amp;tblControles[[#This Row],[Turno]]</f>
        <v>46280|PURGA TKS AIRE|TK-MG-005|3er Turno</v>
      </c>
      <c r="C1315" s="871">
        <v>46280</v>
      </c>
      <c r="D1315" t="s">
        <v>9433</v>
      </c>
      <c r="E1315" t="s">
        <v>343</v>
      </c>
      <c r="F1315" t="s">
        <v>9437</v>
      </c>
      <c r="G1315" t="s">
        <v>345</v>
      </c>
      <c r="H1315" t="s">
        <v>9333</v>
      </c>
      <c r="I1315" s="871">
        <v>46293.93683766204</v>
      </c>
      <c r="J1315" t="s">
        <v>9530</v>
      </c>
      <c r="K1315" s="975" t="str">
        <f>IF(COUNTIFS(tblControles[Clave],tblControles[[#This Row],[Clave]])&gt;1,"Duplicado","")</f>
        <v/>
      </c>
    </row>
    <row r="1316" spans="2:11">
      <c r="B1316" s="975" t="str">
        <f>tblControles[[#This Row],[Fecha]]&amp;"|"&amp;tblControles[[#This Row],[Módulo]]&amp;"|"&amp;tblControles[[#This Row],[Ítem]]&amp;"|"&amp;tblControles[[#This Row],[Turno]]</f>
        <v>46280|PURGA TKS AIRE|TK-MG-006|2do Turno</v>
      </c>
      <c r="C1316" s="871">
        <v>46280</v>
      </c>
      <c r="D1316" t="s">
        <v>9433</v>
      </c>
      <c r="E1316" t="s">
        <v>346</v>
      </c>
      <c r="F1316" t="s">
        <v>9436</v>
      </c>
      <c r="G1316" t="s">
        <v>3227</v>
      </c>
      <c r="H1316" t="s">
        <v>9333</v>
      </c>
      <c r="I1316" s="871">
        <v>46293.93683766204</v>
      </c>
      <c r="J1316" t="s">
        <v>9530</v>
      </c>
      <c r="K1316" s="975" t="str">
        <f>IF(COUNTIFS(tblControles[Clave],tblControles[[#This Row],[Clave]])&gt;1,"Duplicado","")</f>
        <v/>
      </c>
    </row>
    <row r="1317" spans="2:11">
      <c r="B1317" s="975" t="str">
        <f>tblControles[[#This Row],[Fecha]]&amp;"|"&amp;tblControles[[#This Row],[Módulo]]&amp;"|"&amp;tblControles[[#This Row],[Ítem]]&amp;"|"&amp;tblControles[[#This Row],[Turno]]</f>
        <v>46280|PURGA TKS AIRE|TK-MG-006|3er Turno</v>
      </c>
      <c r="C1317" s="871">
        <v>46280</v>
      </c>
      <c r="D1317" t="s">
        <v>9433</v>
      </c>
      <c r="E1317" t="s">
        <v>346</v>
      </c>
      <c r="F1317" t="s">
        <v>9437</v>
      </c>
      <c r="G1317" t="s">
        <v>3227</v>
      </c>
      <c r="H1317" t="s">
        <v>9333</v>
      </c>
      <c r="I1317" s="871">
        <v>46293.93683766204</v>
      </c>
      <c r="J1317" t="s">
        <v>9530</v>
      </c>
      <c r="K1317" s="975" t="str">
        <f>IF(COUNTIFS(tblControles[Clave],tblControles[[#This Row],[Clave]])&gt;1,"Duplicado","")</f>
        <v/>
      </c>
    </row>
    <row r="1318" spans="2:11">
      <c r="B1318" s="975" t="str">
        <f>tblControles[[#This Row],[Fecha]]&amp;"|"&amp;tblControles[[#This Row],[Módulo]]&amp;"|"&amp;tblControles[[#This Row],[Ítem]]&amp;"|"&amp;tblControles[[#This Row],[Turno]]</f>
        <v>46280|PURGA TKS AIRE|TK-MG-007|2do Turno</v>
      </c>
      <c r="C1318" s="871">
        <v>46280</v>
      </c>
      <c r="D1318" t="s">
        <v>9433</v>
      </c>
      <c r="E1318" t="s">
        <v>347</v>
      </c>
      <c r="F1318" t="s">
        <v>9436</v>
      </c>
      <c r="G1318" t="s">
        <v>3227</v>
      </c>
      <c r="H1318" t="s">
        <v>9333</v>
      </c>
      <c r="I1318" s="871">
        <v>46293.93683766204</v>
      </c>
      <c r="J1318" t="s">
        <v>9530</v>
      </c>
      <c r="K1318" s="975" t="str">
        <f>IF(COUNTIFS(tblControles[Clave],tblControles[[#This Row],[Clave]])&gt;1,"Duplicado","")</f>
        <v/>
      </c>
    </row>
    <row r="1319" spans="2:11">
      <c r="B1319" s="975" t="str">
        <f>tblControles[[#This Row],[Fecha]]&amp;"|"&amp;tblControles[[#This Row],[Módulo]]&amp;"|"&amp;tblControles[[#This Row],[Ítem]]&amp;"|"&amp;tblControles[[#This Row],[Turno]]</f>
        <v>46280|PURGA TKS AIRE|TK-MG-007|3er Turno</v>
      </c>
      <c r="C1319" s="871">
        <v>46280</v>
      </c>
      <c r="D1319" t="s">
        <v>9433</v>
      </c>
      <c r="E1319" t="s">
        <v>347</v>
      </c>
      <c r="F1319" t="s">
        <v>9437</v>
      </c>
      <c r="G1319" t="s">
        <v>3227</v>
      </c>
      <c r="H1319" t="s">
        <v>9333</v>
      </c>
      <c r="I1319" s="871">
        <v>46293.93683766204</v>
      </c>
      <c r="J1319" t="s">
        <v>9530</v>
      </c>
      <c r="K1319" s="975" t="str">
        <f>IF(COUNTIFS(tblControles[Clave],tblControles[[#This Row],[Clave]])&gt;1,"Duplicado","")</f>
        <v/>
      </c>
    </row>
    <row r="1320" spans="2:11">
      <c r="B1320" s="975" t="str">
        <f>tblControles[[#This Row],[Fecha]]&amp;"|"&amp;tblControles[[#This Row],[Módulo]]&amp;"|"&amp;tblControles[[#This Row],[Ítem]]&amp;"|"&amp;tblControles[[#This Row],[Turno]]</f>
        <v>46280|PURGA TKS AIRE|TK-MG-004|2do Turno</v>
      </c>
      <c r="C1320" s="871">
        <v>46280</v>
      </c>
      <c r="D1320" t="s">
        <v>9433</v>
      </c>
      <c r="E1320" t="s">
        <v>349</v>
      </c>
      <c r="F1320" t="s">
        <v>9436</v>
      </c>
      <c r="G1320" t="s">
        <v>3227</v>
      </c>
      <c r="H1320" t="s">
        <v>9333</v>
      </c>
      <c r="I1320" s="871">
        <v>46293.93683766204</v>
      </c>
      <c r="J1320" t="s">
        <v>9530</v>
      </c>
      <c r="K1320" s="975" t="str">
        <f>IF(COUNTIFS(tblControles[Clave],tblControles[[#This Row],[Clave]])&gt;1,"Duplicado","")</f>
        <v/>
      </c>
    </row>
    <row r="1321" spans="2:11">
      <c r="B1321" s="975" t="str">
        <f>tblControles[[#This Row],[Fecha]]&amp;"|"&amp;tblControles[[#This Row],[Módulo]]&amp;"|"&amp;tblControles[[#This Row],[Ítem]]&amp;"|"&amp;tblControles[[#This Row],[Turno]]</f>
        <v>46280|PURGA TKS AIRE|TK-MG-004|3er Turno</v>
      </c>
      <c r="C1321" s="871">
        <v>46280</v>
      </c>
      <c r="D1321" t="s">
        <v>9433</v>
      </c>
      <c r="E1321" t="s">
        <v>349</v>
      </c>
      <c r="F1321" t="s">
        <v>9437</v>
      </c>
      <c r="G1321" t="s">
        <v>3227</v>
      </c>
      <c r="H1321" t="s">
        <v>9333</v>
      </c>
      <c r="I1321" s="871">
        <v>46293.93683766204</v>
      </c>
      <c r="J1321" t="s">
        <v>9530</v>
      </c>
      <c r="K1321" s="975" t="str">
        <f>IF(COUNTIFS(tblControles[Clave],tblControles[[#This Row],[Clave]])&gt;1,"Duplicado","")</f>
        <v/>
      </c>
    </row>
    <row r="1322" spans="2:11">
      <c r="B1322" s="975" t="str">
        <f>tblControles[[#This Row],[Fecha]]&amp;"|"&amp;tblControles[[#This Row],[Módulo]]&amp;"|"&amp;tblControles[[#This Row],[Ítem]]&amp;"|"&amp;tblControles[[#This Row],[Turno]]</f>
        <v>46280|PURGA TKS AIRE|TK-MG-008|2do Turno</v>
      </c>
      <c r="C1322" s="871">
        <v>46280</v>
      </c>
      <c r="D1322" t="s">
        <v>9433</v>
      </c>
      <c r="E1322" t="s">
        <v>351</v>
      </c>
      <c r="F1322" t="s">
        <v>9436</v>
      </c>
      <c r="G1322" t="s">
        <v>3227</v>
      </c>
      <c r="H1322" t="s">
        <v>9333</v>
      </c>
      <c r="I1322" s="871">
        <v>46293.93683766204</v>
      </c>
      <c r="J1322" t="s">
        <v>9530</v>
      </c>
      <c r="K1322" s="975" t="str">
        <f>IF(COUNTIFS(tblControles[Clave],tblControles[[#This Row],[Clave]])&gt;1,"Duplicado","")</f>
        <v/>
      </c>
    </row>
    <row r="1323" spans="2:11">
      <c r="B1323" s="975" t="str">
        <f>tblControles[[#This Row],[Fecha]]&amp;"|"&amp;tblControles[[#This Row],[Módulo]]&amp;"|"&amp;tblControles[[#This Row],[Ítem]]&amp;"|"&amp;tblControles[[#This Row],[Turno]]</f>
        <v>46280|PURGA TKS AIRE|TK-MG-008|3er Turno</v>
      </c>
      <c r="C1323" s="871">
        <v>46280</v>
      </c>
      <c r="D1323" t="s">
        <v>9433</v>
      </c>
      <c r="E1323" t="s">
        <v>351</v>
      </c>
      <c r="F1323" t="s">
        <v>9437</v>
      </c>
      <c r="G1323" t="s">
        <v>3227</v>
      </c>
      <c r="H1323" t="s">
        <v>9333</v>
      </c>
      <c r="I1323" s="871">
        <v>46293.93683766204</v>
      </c>
      <c r="J1323" t="s">
        <v>9530</v>
      </c>
      <c r="K1323" s="975" t="str">
        <f>IF(COUNTIFS(tblControles[Clave],tblControles[[#This Row],[Clave]])&gt;1,"Duplicado","")</f>
        <v/>
      </c>
    </row>
    <row r="1324" spans="2:11">
      <c r="B1324" s="975" t="str">
        <f>tblControles[[#This Row],[Fecha]]&amp;"|"&amp;tblControles[[#This Row],[Módulo]]&amp;"|"&amp;tblControles[[#This Row],[Ítem]]&amp;"|"&amp;tblControles[[#This Row],[Turno]]</f>
        <v>46280|PURGA TKS AIRE|TK-MG-009|2do Turno</v>
      </c>
      <c r="C1324" s="871">
        <v>46280</v>
      </c>
      <c r="D1324" t="s">
        <v>9433</v>
      </c>
      <c r="E1324" t="s">
        <v>353</v>
      </c>
      <c r="F1324" t="s">
        <v>9436</v>
      </c>
      <c r="G1324" t="s">
        <v>3227</v>
      </c>
      <c r="H1324" t="s">
        <v>9333</v>
      </c>
      <c r="I1324" s="871">
        <v>46293.93683766204</v>
      </c>
      <c r="J1324" t="s">
        <v>9530</v>
      </c>
      <c r="K1324" s="975" t="str">
        <f>IF(COUNTIFS(tblControles[Clave],tblControles[[#This Row],[Clave]])&gt;1,"Duplicado","")</f>
        <v/>
      </c>
    </row>
    <row r="1325" spans="2:11">
      <c r="B1325" s="975" t="str">
        <f>tblControles[[#This Row],[Fecha]]&amp;"|"&amp;tblControles[[#This Row],[Módulo]]&amp;"|"&amp;tblControles[[#This Row],[Ítem]]&amp;"|"&amp;tblControles[[#This Row],[Turno]]</f>
        <v>46280|PURGA TKS AIRE|TK-MG-009|3er Turno</v>
      </c>
      <c r="C1325" s="871">
        <v>46280</v>
      </c>
      <c r="D1325" t="s">
        <v>9433</v>
      </c>
      <c r="E1325" t="s">
        <v>353</v>
      </c>
      <c r="F1325" t="s">
        <v>9437</v>
      </c>
      <c r="G1325" t="s">
        <v>3227</v>
      </c>
      <c r="H1325" t="s">
        <v>9333</v>
      </c>
      <c r="I1325" s="871">
        <v>46293.93683766204</v>
      </c>
      <c r="J1325" t="s">
        <v>9530</v>
      </c>
      <c r="K1325" s="975" t="str">
        <f>IF(COUNTIFS(tblControles[Clave],tblControles[[#This Row],[Clave]])&gt;1,"Duplicado","")</f>
        <v/>
      </c>
    </row>
    <row r="1326" spans="2:11">
      <c r="B1326" s="975" t="str">
        <f>tblControles[[#This Row],[Fecha]]&amp;"|"&amp;tblControles[[#This Row],[Módulo]]&amp;"|"&amp;tblControles[[#This Row],[Ítem]]&amp;"|"&amp;tblControles[[#This Row],[Turno]]</f>
        <v>46280|PURGA TKS AIRE|TK-MG-010|2do Turno</v>
      </c>
      <c r="C1326" s="871">
        <v>46280</v>
      </c>
      <c r="D1326" t="s">
        <v>9433</v>
      </c>
      <c r="E1326" t="s">
        <v>355</v>
      </c>
      <c r="F1326" t="s">
        <v>9436</v>
      </c>
      <c r="G1326" t="s">
        <v>3227</v>
      </c>
      <c r="H1326" t="s">
        <v>9333</v>
      </c>
      <c r="I1326" s="871">
        <v>46293.93683766204</v>
      </c>
      <c r="J1326" t="s">
        <v>9530</v>
      </c>
      <c r="K1326" s="975" t="str">
        <f>IF(COUNTIFS(tblControles[Clave],tblControles[[#This Row],[Clave]])&gt;1,"Duplicado","")</f>
        <v/>
      </c>
    </row>
    <row r="1327" spans="2:11">
      <c r="B1327" s="975" t="str">
        <f>tblControles[[#This Row],[Fecha]]&amp;"|"&amp;tblControles[[#This Row],[Módulo]]&amp;"|"&amp;tblControles[[#This Row],[Ítem]]&amp;"|"&amp;tblControles[[#This Row],[Turno]]</f>
        <v>46280|PURGA TKS AIRE|TK-MG-010|3er Turno</v>
      </c>
      <c r="C1327" s="871">
        <v>46280</v>
      </c>
      <c r="D1327" t="s">
        <v>9433</v>
      </c>
      <c r="E1327" t="s">
        <v>355</v>
      </c>
      <c r="F1327" t="s">
        <v>9437</v>
      </c>
      <c r="G1327" t="s">
        <v>3227</v>
      </c>
      <c r="H1327" t="s">
        <v>9333</v>
      </c>
      <c r="I1327" s="871">
        <v>46293.93683766204</v>
      </c>
      <c r="J1327" t="s">
        <v>9530</v>
      </c>
      <c r="K1327" s="975" t="str">
        <f>IF(COUNTIFS(tblControles[Clave],tblControles[[#This Row],[Clave]])&gt;1,"Duplicado","")</f>
        <v/>
      </c>
    </row>
    <row r="1328" spans="2:11">
      <c r="B1328" s="975" t="str">
        <f>tblControles[[#This Row],[Fecha]]&amp;"|"&amp;tblControles[[#This Row],[Módulo]]&amp;"|"&amp;tblControles[[#This Row],[Ítem]]&amp;"|"&amp;tblControles[[#This Row],[Turno]]</f>
        <v>46280|PURGA TKS AIRE|TK-MG-011|2do Turno</v>
      </c>
      <c r="C1328" s="871">
        <v>46280</v>
      </c>
      <c r="D1328" t="s">
        <v>9433</v>
      </c>
      <c r="E1328" t="s">
        <v>357</v>
      </c>
      <c r="F1328" t="s">
        <v>9436</v>
      </c>
      <c r="G1328" t="s">
        <v>3227</v>
      </c>
      <c r="H1328" t="s">
        <v>9333</v>
      </c>
      <c r="I1328" s="871">
        <v>46293.93683766204</v>
      </c>
      <c r="J1328" t="s">
        <v>9530</v>
      </c>
      <c r="K1328" s="975" t="str">
        <f>IF(COUNTIFS(tblControles[Clave],tblControles[[#This Row],[Clave]])&gt;1,"Duplicado","")</f>
        <v/>
      </c>
    </row>
    <row r="1329" spans="2:11">
      <c r="B1329" s="975" t="str">
        <f>tblControles[[#This Row],[Fecha]]&amp;"|"&amp;tblControles[[#This Row],[Módulo]]&amp;"|"&amp;tblControles[[#This Row],[Ítem]]&amp;"|"&amp;tblControles[[#This Row],[Turno]]</f>
        <v>46280|PURGA TKS AIRE|TK-MG-011|3er Turno</v>
      </c>
      <c r="C1329" s="871">
        <v>46280</v>
      </c>
      <c r="D1329" t="s">
        <v>9433</v>
      </c>
      <c r="E1329" t="s">
        <v>357</v>
      </c>
      <c r="F1329" t="s">
        <v>9437</v>
      </c>
      <c r="G1329" t="s">
        <v>3227</v>
      </c>
      <c r="H1329" t="s">
        <v>9333</v>
      </c>
      <c r="I1329" s="871">
        <v>46293.93683766204</v>
      </c>
      <c r="J1329" t="s">
        <v>9530</v>
      </c>
      <c r="K1329" s="975" t="str">
        <f>IF(COUNTIFS(tblControles[Clave],tblControles[[#This Row],[Clave]])&gt;1,"Duplicado","")</f>
        <v/>
      </c>
    </row>
    <row r="1330" spans="2:11">
      <c r="B1330" s="975" t="str">
        <f>tblControles[[#This Row],[Fecha]]&amp;"|"&amp;tblControles[[#This Row],[Módulo]]&amp;"|"&amp;tblControles[[#This Row],[Ítem]]&amp;"|"&amp;tblControles[[#This Row],[Turno]]</f>
        <v>46280|PURGA TKS AIRE|TK-MG-012|2do Turno</v>
      </c>
      <c r="C1330" s="871">
        <v>46280</v>
      </c>
      <c r="D1330" t="s">
        <v>9433</v>
      </c>
      <c r="E1330" t="s">
        <v>359</v>
      </c>
      <c r="F1330" t="s">
        <v>9436</v>
      </c>
      <c r="G1330" t="s">
        <v>3227</v>
      </c>
      <c r="H1330" t="s">
        <v>9333</v>
      </c>
      <c r="I1330" s="871">
        <v>46293.93683766204</v>
      </c>
      <c r="J1330" t="s">
        <v>9530</v>
      </c>
      <c r="K1330" s="975" t="str">
        <f>IF(COUNTIFS(tblControles[Clave],tblControles[[#This Row],[Clave]])&gt;1,"Duplicado","")</f>
        <v/>
      </c>
    </row>
    <row r="1331" spans="2:11">
      <c r="B1331" s="975" t="str">
        <f>tblControles[[#This Row],[Fecha]]&amp;"|"&amp;tblControles[[#This Row],[Módulo]]&amp;"|"&amp;tblControles[[#This Row],[Ítem]]&amp;"|"&amp;tblControles[[#This Row],[Turno]]</f>
        <v>46280|PURGA TKS AIRE|TK-MG-012|3er Turno</v>
      </c>
      <c r="C1331" s="871">
        <v>46280</v>
      </c>
      <c r="D1331" t="s">
        <v>9433</v>
      </c>
      <c r="E1331" t="s">
        <v>359</v>
      </c>
      <c r="F1331" t="s">
        <v>9437</v>
      </c>
      <c r="G1331" t="s">
        <v>3227</v>
      </c>
      <c r="H1331" t="s">
        <v>9333</v>
      </c>
      <c r="I1331" s="871">
        <v>46293.93683766204</v>
      </c>
      <c r="J1331" t="s">
        <v>9530</v>
      </c>
      <c r="K1331" s="975" t="str">
        <f>IF(COUNTIFS(tblControles[Clave],tblControles[[#This Row],[Clave]])&gt;1,"Duplicado","")</f>
        <v/>
      </c>
    </row>
    <row r="1332" spans="2:11">
      <c r="B1332" s="975" t="str">
        <f>tblControles[[#This Row],[Fecha]]&amp;"|"&amp;tblControles[[#This Row],[Módulo]]&amp;"|"&amp;tblControles[[#This Row],[Ítem]]&amp;"|"&amp;tblControles[[#This Row],[Turno]]</f>
        <v>46280|PURGA TKS AIRE|TK-MG-013|2do Turno</v>
      </c>
      <c r="C1332" s="871">
        <v>46280</v>
      </c>
      <c r="D1332" t="s">
        <v>9433</v>
      </c>
      <c r="E1332" t="s">
        <v>361</v>
      </c>
      <c r="F1332" t="s">
        <v>9436</v>
      </c>
      <c r="G1332" t="s">
        <v>3227</v>
      </c>
      <c r="H1332" t="s">
        <v>9333</v>
      </c>
      <c r="I1332" s="871">
        <v>46293.93683766204</v>
      </c>
      <c r="J1332" t="s">
        <v>9530</v>
      </c>
      <c r="K1332" s="975" t="str">
        <f>IF(COUNTIFS(tblControles[Clave],tblControles[[#This Row],[Clave]])&gt;1,"Duplicado","")</f>
        <v/>
      </c>
    </row>
    <row r="1333" spans="2:11">
      <c r="B1333" s="975" t="str">
        <f>tblControles[[#This Row],[Fecha]]&amp;"|"&amp;tblControles[[#This Row],[Módulo]]&amp;"|"&amp;tblControles[[#This Row],[Ítem]]&amp;"|"&amp;tblControles[[#This Row],[Turno]]</f>
        <v>46280|PURGA TKS AIRE|TK-MG-013|3er Turno</v>
      </c>
      <c r="C1333" s="871">
        <v>46280</v>
      </c>
      <c r="D1333" t="s">
        <v>9433</v>
      </c>
      <c r="E1333" t="s">
        <v>361</v>
      </c>
      <c r="F1333" t="s">
        <v>9437</v>
      </c>
      <c r="G1333" t="s">
        <v>3227</v>
      </c>
      <c r="H1333" t="s">
        <v>9333</v>
      </c>
      <c r="I1333" s="871">
        <v>46293.93683766204</v>
      </c>
      <c r="J1333" t="s">
        <v>9530</v>
      </c>
      <c r="K1333" s="975" t="str">
        <f>IF(COUNTIFS(tblControles[Clave],tblControles[[#This Row],[Clave]])&gt;1,"Duplicado","")</f>
        <v/>
      </c>
    </row>
    <row r="1334" spans="2:11">
      <c r="B1334" s="975" t="str">
        <f>tblControles[[#This Row],[Fecha]]&amp;"|"&amp;tblControles[[#This Row],[Módulo]]&amp;"|"&amp;tblControles[[#This Row],[Ítem]]&amp;"|"&amp;tblControles[[#This Row],[Turno]]</f>
        <v>46280|PURGA TKS AIRE|TK-MG-014|2do Turno</v>
      </c>
      <c r="C1334" s="871">
        <v>46280</v>
      </c>
      <c r="D1334" t="s">
        <v>9433</v>
      </c>
      <c r="E1334" t="s">
        <v>363</v>
      </c>
      <c r="F1334" t="s">
        <v>9436</v>
      </c>
      <c r="G1334" t="s">
        <v>3227</v>
      </c>
      <c r="H1334" t="s">
        <v>9333</v>
      </c>
      <c r="I1334" s="871">
        <v>46293.93683766204</v>
      </c>
      <c r="J1334" t="s">
        <v>9530</v>
      </c>
      <c r="K1334" s="975" t="str">
        <f>IF(COUNTIFS(tblControles[Clave],tblControles[[#This Row],[Clave]])&gt;1,"Duplicado","")</f>
        <v/>
      </c>
    </row>
    <row r="1335" spans="2:11">
      <c r="B1335" s="975" t="str">
        <f>tblControles[[#This Row],[Fecha]]&amp;"|"&amp;tblControles[[#This Row],[Módulo]]&amp;"|"&amp;tblControles[[#This Row],[Ítem]]&amp;"|"&amp;tblControles[[#This Row],[Turno]]</f>
        <v>46280|PURGA TKS AIRE|TK-MG-014|3er Turno</v>
      </c>
      <c r="C1335" s="871">
        <v>46280</v>
      </c>
      <c r="D1335" t="s">
        <v>9433</v>
      </c>
      <c r="E1335" t="s">
        <v>363</v>
      </c>
      <c r="F1335" t="s">
        <v>9437</v>
      </c>
      <c r="G1335" t="s">
        <v>3227</v>
      </c>
      <c r="H1335" t="s">
        <v>9333</v>
      </c>
      <c r="I1335" s="871">
        <v>46293.93683766204</v>
      </c>
      <c r="J1335" t="s">
        <v>9530</v>
      </c>
      <c r="K1335" s="975" t="str">
        <f>IF(COUNTIFS(tblControles[Clave],tblControles[[#This Row],[Clave]])&gt;1,"Duplicado","")</f>
        <v/>
      </c>
    </row>
    <row r="1336" spans="2:11">
      <c r="B1336" s="975" t="str">
        <f>tblControles[[#This Row],[Fecha]]&amp;"|"&amp;tblControles[[#This Row],[Módulo]]&amp;"|"&amp;tblControles[[#This Row],[Ítem]]&amp;"|"&amp;tblControles[[#This Row],[Turno]]</f>
        <v>46280|REACTIVOS|Ácido oxálico|Turno día (12 h)</v>
      </c>
      <c r="C1336" s="871">
        <v>46280</v>
      </c>
      <c r="D1336" t="s">
        <v>9444</v>
      </c>
      <c r="E1336" t="s">
        <v>9508</v>
      </c>
      <c r="F1336" t="s">
        <v>9446</v>
      </c>
      <c r="G1336">
        <v>22000</v>
      </c>
      <c r="H1336" t="s">
        <v>9333</v>
      </c>
      <c r="I1336" s="871">
        <v>46293.93683766204</v>
      </c>
      <c r="J1336" t="s">
        <v>9527</v>
      </c>
      <c r="K1336" s="975" t="str">
        <f>IF(COUNTIFS(tblControles[Clave],tblControles[[#This Row],[Clave]])&gt;1,"Duplicado","")</f>
        <v/>
      </c>
    </row>
    <row r="1337" spans="2:11">
      <c r="B1337" s="975" t="str">
        <f>tblControles[[#This Row],[Fecha]]&amp;"|"&amp;tblControles[[#This Row],[Módulo]]&amp;"|"&amp;tblControles[[#This Row],[Ítem]]&amp;"|"&amp;tblControles[[#This Row],[Turno]]</f>
        <v>46280|REACTIVOS|Ácido oxálico|Turno noche (12 h)</v>
      </c>
      <c r="C1337" s="871">
        <v>46280</v>
      </c>
      <c r="D1337" t="s">
        <v>9444</v>
      </c>
      <c r="E1337" t="s">
        <v>9508</v>
      </c>
      <c r="F1337" t="s">
        <v>9447</v>
      </c>
      <c r="G1337">
        <v>20000</v>
      </c>
      <c r="H1337" t="s">
        <v>9333</v>
      </c>
      <c r="I1337" s="871">
        <v>46293.93683766204</v>
      </c>
      <c r="J1337" t="s">
        <v>9527</v>
      </c>
      <c r="K1337" s="975" t="str">
        <f>IF(COUNTIFS(tblControles[Clave],tblControles[[#This Row],[Clave]])&gt;1,"Duplicado","")</f>
        <v/>
      </c>
    </row>
    <row r="1338" spans="2:11">
      <c r="B1338" s="975" t="str">
        <f>tblControles[[#This Row],[Fecha]]&amp;"|"&amp;tblControles[[#This Row],[Módulo]]&amp;"|"&amp;tblControles[[#This Row],[Ítem]]&amp;"|"&amp;tblControles[[#This Row],[Turno]]</f>
        <v>46280|REACTIVOS|Xantato|Turno día (12 h)</v>
      </c>
      <c r="C1338" s="871">
        <v>46280</v>
      </c>
      <c r="D1338" t="s">
        <v>9444</v>
      </c>
      <c r="E1338" t="s">
        <v>9511</v>
      </c>
      <c r="F1338" t="s">
        <v>9446</v>
      </c>
      <c r="G1338">
        <v>4000</v>
      </c>
      <c r="H1338" t="s">
        <v>9333</v>
      </c>
      <c r="I1338" s="871">
        <v>46293.93683766204</v>
      </c>
      <c r="J1338" t="s">
        <v>9527</v>
      </c>
      <c r="K1338" s="975" t="str">
        <f>IF(COUNTIFS(tblControles[Clave],tblControles[[#This Row],[Clave]])&gt;1,"Duplicado","")</f>
        <v/>
      </c>
    </row>
    <row r="1339" spans="2:11">
      <c r="B1339" s="975" t="str">
        <f>tblControles[[#This Row],[Fecha]]&amp;"|"&amp;tblControles[[#This Row],[Módulo]]&amp;"|"&amp;tblControles[[#This Row],[Ítem]]&amp;"|"&amp;tblControles[[#This Row],[Turno]]</f>
        <v>46280|REACTIVOS|Xantato|Turno noche (12 h)</v>
      </c>
      <c r="C1339" s="871">
        <v>46280</v>
      </c>
      <c r="D1339" t="s">
        <v>9444</v>
      </c>
      <c r="E1339" t="s">
        <v>9511</v>
      </c>
      <c r="F1339" t="s">
        <v>9447</v>
      </c>
      <c r="G1339">
        <v>3900</v>
      </c>
      <c r="H1339" t="s">
        <v>9333</v>
      </c>
      <c r="I1339" s="871">
        <v>46293.93683766204</v>
      </c>
      <c r="J1339" t="s">
        <v>9527</v>
      </c>
      <c r="K1339" s="975" t="str">
        <f>IF(COUNTIFS(tblControles[Clave],tblControles[[#This Row],[Clave]])&gt;1,"Duplicado","")</f>
        <v/>
      </c>
    </row>
    <row r="1340" spans="2:11">
      <c r="B1340" s="975" t="str">
        <f>tblControles[[#This Row],[Fecha]]&amp;"|"&amp;tblControles[[#This Row],[Módulo]]&amp;"|"&amp;tblControles[[#This Row],[Ítem]]&amp;"|"&amp;tblControles[[#This Row],[Turno]]</f>
        <v>46280|REACTIVOS|Espumante|Consumo día</v>
      </c>
      <c r="C1340" s="871">
        <v>46280</v>
      </c>
      <c r="D1340" t="s">
        <v>9444</v>
      </c>
      <c r="E1340" t="s">
        <v>9513</v>
      </c>
      <c r="F1340" t="s">
        <v>9870</v>
      </c>
      <c r="G1340">
        <v>3500</v>
      </c>
      <c r="H1340" t="s">
        <v>9333</v>
      </c>
      <c r="I1340" s="871">
        <v>46293.93683766204</v>
      </c>
      <c r="J1340" t="s">
        <v>9527</v>
      </c>
      <c r="K1340" s="975" t="str">
        <f>IF(COUNTIFS(tblControles[Clave],tblControles[[#This Row],[Clave]])&gt;1,"Duplicado","")</f>
        <v/>
      </c>
    </row>
    <row r="1341" spans="2:11">
      <c r="B1341" s="975" t="str">
        <f>tblControles[[#This Row],[Fecha]]&amp;"|"&amp;tblControles[[#This Row],[Módulo]]&amp;"|"&amp;tblControles[[#This Row],[Ítem]]&amp;"|"&amp;tblControles[[#This Row],[Turno]]</f>
        <v>46280|TONELADAS X TURNO|Molino barras 1|1° turno</v>
      </c>
      <c r="C1341" s="871">
        <v>46280</v>
      </c>
      <c r="D1341" t="s">
        <v>9449</v>
      </c>
      <c r="E1341" t="s">
        <v>387</v>
      </c>
      <c r="F1341" t="s">
        <v>396</v>
      </c>
      <c r="G1341">
        <v>1620</v>
      </c>
      <c r="H1341" t="s">
        <v>9333</v>
      </c>
      <c r="I1341" s="871">
        <v>46293.93683766204</v>
      </c>
      <c r="J1341" t="s">
        <v>9528</v>
      </c>
      <c r="K1341" s="975" t="str">
        <f>IF(COUNTIFS(tblControles[Clave],tblControles[[#This Row],[Clave]])&gt;1,"Duplicado","")</f>
        <v/>
      </c>
    </row>
    <row r="1342" spans="2:11">
      <c r="B1342" s="975" t="str">
        <f>tblControles[[#This Row],[Fecha]]&amp;"|"&amp;tblControles[[#This Row],[Módulo]]&amp;"|"&amp;tblControles[[#This Row],[Ítem]]&amp;"|"&amp;tblControles[[#This Row],[Turno]]</f>
        <v>46280|TONELADAS X TURNO|Molino barras 1|2° turno</v>
      </c>
      <c r="C1342" s="871">
        <v>46280</v>
      </c>
      <c r="D1342" t="s">
        <v>9449</v>
      </c>
      <c r="E1342" t="s">
        <v>387</v>
      </c>
      <c r="F1342" t="s">
        <v>397</v>
      </c>
      <c r="G1342">
        <v>1657</v>
      </c>
      <c r="H1342" t="s">
        <v>9333</v>
      </c>
      <c r="I1342" s="871">
        <v>46293.93683766204</v>
      </c>
      <c r="J1342" t="s">
        <v>9528</v>
      </c>
      <c r="K1342" s="975" t="str">
        <f>IF(COUNTIFS(tblControles[Clave],tblControles[[#This Row],[Clave]])&gt;1,"Duplicado","")</f>
        <v/>
      </c>
    </row>
    <row r="1343" spans="2:11">
      <c r="B1343" s="975" t="str">
        <f>tblControles[[#This Row],[Fecha]]&amp;"|"&amp;tblControles[[#This Row],[Módulo]]&amp;"|"&amp;tblControles[[#This Row],[Ítem]]&amp;"|"&amp;tblControles[[#This Row],[Turno]]</f>
        <v>46280|TONELADAS X TURNO|Molino barras 1|3° turno</v>
      </c>
      <c r="C1343" s="871">
        <v>46280</v>
      </c>
      <c r="D1343" t="s">
        <v>9449</v>
      </c>
      <c r="E1343" t="s">
        <v>387</v>
      </c>
      <c r="F1343" t="s">
        <v>398</v>
      </c>
      <c r="G1343">
        <v>1600</v>
      </c>
      <c r="H1343" t="s">
        <v>9333</v>
      </c>
      <c r="I1343" s="871">
        <v>46293.93683766204</v>
      </c>
      <c r="J1343" t="s">
        <v>9528</v>
      </c>
      <c r="K1343" s="975" t="str">
        <f>IF(COUNTIFS(tblControles[Clave],tblControles[[#This Row],[Clave]])&gt;1,"Duplicado","")</f>
        <v/>
      </c>
    </row>
    <row r="1344" spans="2:11">
      <c r="B1344" s="975" t="str">
        <f>tblControles[[#This Row],[Fecha]]&amp;"|"&amp;tblControles[[#This Row],[Módulo]]&amp;"|"&amp;tblControles[[#This Row],[Ítem]]&amp;"|"&amp;tblControles[[#This Row],[Turno]]</f>
        <v>46280|TONELADAS X TURNO|Molino barras 2|1° turno</v>
      </c>
      <c r="C1344" s="871">
        <v>46280</v>
      </c>
      <c r="D1344" t="s">
        <v>9449</v>
      </c>
      <c r="E1344" t="s">
        <v>388</v>
      </c>
      <c r="F1344" t="s">
        <v>396</v>
      </c>
      <c r="G1344">
        <v>993</v>
      </c>
      <c r="H1344" t="s">
        <v>9333</v>
      </c>
      <c r="I1344" s="871">
        <v>46293.93683766204</v>
      </c>
      <c r="J1344" t="s">
        <v>9528</v>
      </c>
      <c r="K1344" s="975" t="str">
        <f>IF(COUNTIFS(tblControles[Clave],tblControles[[#This Row],[Clave]])&gt;1,"Duplicado","")</f>
        <v/>
      </c>
    </row>
    <row r="1345" spans="2:11">
      <c r="B1345" s="975" t="str">
        <f>tblControles[[#This Row],[Fecha]]&amp;"|"&amp;tblControles[[#This Row],[Módulo]]&amp;"|"&amp;tblControles[[#This Row],[Ítem]]&amp;"|"&amp;tblControles[[#This Row],[Turno]]</f>
        <v>46280|TONELADAS X TURNO|Molino barras 2|2° turno</v>
      </c>
      <c r="C1345" s="871">
        <v>46280</v>
      </c>
      <c r="D1345" t="s">
        <v>9449</v>
      </c>
      <c r="E1345" t="s">
        <v>388</v>
      </c>
      <c r="F1345" t="s">
        <v>397</v>
      </c>
      <c r="G1345">
        <v>1516</v>
      </c>
      <c r="H1345" t="s">
        <v>9333</v>
      </c>
      <c r="I1345" s="871">
        <v>46293.93683766204</v>
      </c>
      <c r="J1345" t="s">
        <v>9528</v>
      </c>
      <c r="K1345" s="975" t="str">
        <f>IF(COUNTIFS(tblControles[Clave],tblControles[[#This Row],[Clave]])&gt;1,"Duplicado","")</f>
        <v/>
      </c>
    </row>
    <row r="1346" spans="2:11">
      <c r="B1346" s="975" t="str">
        <f>tblControles[[#This Row],[Fecha]]&amp;"|"&amp;tblControles[[#This Row],[Módulo]]&amp;"|"&amp;tblControles[[#This Row],[Ítem]]&amp;"|"&amp;tblControles[[#This Row],[Turno]]</f>
        <v>46280|TONELADAS X TURNO|Molino barras 2|3° turno</v>
      </c>
      <c r="C1346" s="871">
        <v>46280</v>
      </c>
      <c r="D1346" t="s">
        <v>9449</v>
      </c>
      <c r="E1346" t="s">
        <v>388</v>
      </c>
      <c r="F1346" t="s">
        <v>398</v>
      </c>
      <c r="G1346">
        <v>1650</v>
      </c>
      <c r="H1346" t="s">
        <v>9333</v>
      </c>
      <c r="I1346" s="871">
        <v>46293.93683766204</v>
      </c>
      <c r="J1346" t="s">
        <v>9528</v>
      </c>
      <c r="K1346" s="975" t="str">
        <f>IF(COUNTIFS(tblControles[Clave],tblControles[[#This Row],[Clave]])&gt;1,"Duplicado","")</f>
        <v/>
      </c>
    </row>
    <row r="1347" spans="2:11">
      <c r="B1347" s="975" t="str">
        <f>tblControles[[#This Row],[Fecha]]&amp;"|"&amp;tblControles[[#This Row],[Módulo]]&amp;"|"&amp;tblControles[[#This Row],[Ítem]]&amp;"|"&amp;tblControles[[#This Row],[Turno]]</f>
        <v>46280|TONELADAS X TURNO|Molino barras 3|1° turno</v>
      </c>
      <c r="C1347" s="871">
        <v>46280</v>
      </c>
      <c r="D1347" t="s">
        <v>9449</v>
      </c>
      <c r="E1347" t="s">
        <v>389</v>
      </c>
      <c r="F1347" t="s">
        <v>396</v>
      </c>
      <c r="G1347">
        <v>0</v>
      </c>
      <c r="H1347" t="s">
        <v>9333</v>
      </c>
      <c r="I1347" s="871">
        <v>46293.93683766204</v>
      </c>
      <c r="J1347" t="s">
        <v>9528</v>
      </c>
      <c r="K1347" s="975" t="str">
        <f>IF(COUNTIFS(tblControles[Clave],tblControles[[#This Row],[Clave]])&gt;1,"Duplicado","")</f>
        <v/>
      </c>
    </row>
    <row r="1348" spans="2:11">
      <c r="B1348" s="975" t="str">
        <f>tblControles[[#This Row],[Fecha]]&amp;"|"&amp;tblControles[[#This Row],[Módulo]]&amp;"|"&amp;tblControles[[#This Row],[Ítem]]&amp;"|"&amp;tblControles[[#This Row],[Turno]]</f>
        <v>46280|TONELADAS X TURNO|Molino barras 3|2° turno</v>
      </c>
      <c r="C1348" s="871">
        <v>46280</v>
      </c>
      <c r="D1348" t="s">
        <v>9449</v>
      </c>
      <c r="E1348" t="s">
        <v>389</v>
      </c>
      <c r="F1348" t="s">
        <v>397</v>
      </c>
      <c r="G1348">
        <v>0</v>
      </c>
      <c r="H1348" t="s">
        <v>9333</v>
      </c>
      <c r="I1348" s="871">
        <v>46293.93683766204</v>
      </c>
      <c r="J1348" t="s">
        <v>9528</v>
      </c>
      <c r="K1348" s="975" t="str">
        <f>IF(COUNTIFS(tblControles[Clave],tblControles[[#This Row],[Clave]])&gt;1,"Duplicado","")</f>
        <v/>
      </c>
    </row>
    <row r="1349" spans="2:11">
      <c r="B1349" s="975" t="str">
        <f>tblControles[[#This Row],[Fecha]]&amp;"|"&amp;tblControles[[#This Row],[Módulo]]&amp;"|"&amp;tblControles[[#This Row],[Ítem]]&amp;"|"&amp;tblControles[[#This Row],[Turno]]</f>
        <v>46280|TONELADAS X TURNO|Molino barras 3|3° turno</v>
      </c>
      <c r="C1349" s="871">
        <v>46280</v>
      </c>
      <c r="D1349" t="s">
        <v>9449</v>
      </c>
      <c r="E1349" t="s">
        <v>389</v>
      </c>
      <c r="F1349" t="s">
        <v>398</v>
      </c>
      <c r="G1349">
        <v>0</v>
      </c>
      <c r="H1349" t="s">
        <v>9333</v>
      </c>
      <c r="I1349" s="871">
        <v>46293.93683766204</v>
      </c>
      <c r="J1349" t="s">
        <v>9528</v>
      </c>
      <c r="K1349" s="975" t="str">
        <f>IF(COUNTIFS(tblControles[Clave],tblControles[[#This Row],[Clave]])&gt;1,"Duplicado","")</f>
        <v/>
      </c>
    </row>
    <row r="1350" spans="2:11">
      <c r="B1350" s="975" t="str">
        <f>tblControles[[#This Row],[Fecha]]&amp;"|"&amp;tblControles[[#This Row],[Módulo]]&amp;"|"&amp;tblControles[[#This Row],[Ítem]]&amp;"|"&amp;tblControles[[#This Row],[Turno]]</f>
        <v>46280|TONELADAS X TURNO|Molino barras 4|1° turno</v>
      </c>
      <c r="C1350" s="871">
        <v>46280</v>
      </c>
      <c r="D1350" t="s">
        <v>9449</v>
      </c>
      <c r="E1350" t="s">
        <v>390</v>
      </c>
      <c r="F1350" t="s">
        <v>396</v>
      </c>
      <c r="G1350">
        <v>209</v>
      </c>
      <c r="H1350" t="s">
        <v>9333</v>
      </c>
      <c r="I1350" s="871">
        <v>46293.93683766204</v>
      </c>
      <c r="J1350" t="s">
        <v>9528</v>
      </c>
      <c r="K1350" s="975" t="str">
        <f>IF(COUNTIFS(tblControles[Clave],tblControles[[#This Row],[Clave]])&gt;1,"Duplicado","")</f>
        <v/>
      </c>
    </row>
    <row r="1351" spans="2:11">
      <c r="B1351" s="975" t="str">
        <f>tblControles[[#This Row],[Fecha]]&amp;"|"&amp;tblControles[[#This Row],[Módulo]]&amp;"|"&amp;tblControles[[#This Row],[Ítem]]&amp;"|"&amp;tblControles[[#This Row],[Turno]]</f>
        <v>46280|TONELADAS X TURNO|Molino barras 4|2° turno</v>
      </c>
      <c r="C1351" s="871">
        <v>46280</v>
      </c>
      <c r="D1351" t="s">
        <v>9449</v>
      </c>
      <c r="E1351" t="s">
        <v>390</v>
      </c>
      <c r="F1351" t="s">
        <v>397</v>
      </c>
      <c r="G1351">
        <v>0</v>
      </c>
      <c r="H1351" t="s">
        <v>9333</v>
      </c>
      <c r="I1351" s="871">
        <v>46293.93683766204</v>
      </c>
      <c r="J1351" t="s">
        <v>9528</v>
      </c>
      <c r="K1351" s="975" t="str">
        <f>IF(COUNTIFS(tblControles[Clave],tblControles[[#This Row],[Clave]])&gt;1,"Duplicado","")</f>
        <v/>
      </c>
    </row>
    <row r="1352" spans="2:11">
      <c r="B1352" s="975" t="str">
        <f>tblControles[[#This Row],[Fecha]]&amp;"|"&amp;tblControles[[#This Row],[Módulo]]&amp;"|"&amp;tblControles[[#This Row],[Ítem]]&amp;"|"&amp;tblControles[[#This Row],[Turno]]</f>
        <v>46280|TONELADAS X TURNO|Molino barras 4|3° turno</v>
      </c>
      <c r="C1352" s="871">
        <v>46280</v>
      </c>
      <c r="D1352" t="s">
        <v>9449</v>
      </c>
      <c r="E1352" t="s">
        <v>390</v>
      </c>
      <c r="F1352" t="s">
        <v>398</v>
      </c>
      <c r="G1352">
        <v>0</v>
      </c>
      <c r="H1352" t="s">
        <v>9333</v>
      </c>
      <c r="I1352" s="871">
        <v>46293.93683766204</v>
      </c>
      <c r="J1352" t="s">
        <v>9528</v>
      </c>
      <c r="K1352" s="975" t="str">
        <f>IF(COUNTIFS(tblControles[Clave],tblControles[[#This Row],[Clave]])&gt;1,"Duplicado","")</f>
        <v/>
      </c>
    </row>
    <row r="1353" spans="2:11">
      <c r="B1353" s="975" t="str">
        <f>tblControles[[#This Row],[Fecha]]&amp;"|"&amp;tblControles[[#This Row],[Módulo]]&amp;"|"&amp;tblControles[[#This Row],[Ítem]]&amp;"|"&amp;tblControles[[#This Row],[Turno]]</f>
        <v>46280|TONELADAS X TURNO|Molino barras 5|1° turno</v>
      </c>
      <c r="C1353" s="871">
        <v>46280</v>
      </c>
      <c r="D1353" t="s">
        <v>9449</v>
      </c>
      <c r="E1353" t="s">
        <v>391</v>
      </c>
      <c r="F1353" t="s">
        <v>396</v>
      </c>
      <c r="G1353">
        <v>1583</v>
      </c>
      <c r="H1353" t="s">
        <v>9333</v>
      </c>
      <c r="I1353" s="871">
        <v>46293.93683766204</v>
      </c>
      <c r="J1353" t="s">
        <v>9528</v>
      </c>
      <c r="K1353" s="975" t="str">
        <f>IF(COUNTIFS(tblControles[Clave],tblControles[[#This Row],[Clave]])&gt;1,"Duplicado","")</f>
        <v/>
      </c>
    </row>
    <row r="1354" spans="2:11">
      <c r="B1354" s="975" t="str">
        <f>tblControles[[#This Row],[Fecha]]&amp;"|"&amp;tblControles[[#This Row],[Módulo]]&amp;"|"&amp;tblControles[[#This Row],[Ítem]]&amp;"|"&amp;tblControles[[#This Row],[Turno]]</f>
        <v>46280|TONELADAS X TURNO|Molino barras 5|2° turno</v>
      </c>
      <c r="C1354" s="871">
        <v>46280</v>
      </c>
      <c r="D1354" t="s">
        <v>9449</v>
      </c>
      <c r="E1354" t="s">
        <v>391</v>
      </c>
      <c r="F1354" t="s">
        <v>397</v>
      </c>
      <c r="G1354">
        <v>1603</v>
      </c>
      <c r="H1354" t="s">
        <v>9333</v>
      </c>
      <c r="I1354" s="871">
        <v>46293.93683766204</v>
      </c>
      <c r="J1354" t="s">
        <v>9528</v>
      </c>
      <c r="K1354" s="975" t="str">
        <f>IF(COUNTIFS(tblControles[Clave],tblControles[[#This Row],[Clave]])&gt;1,"Duplicado","")</f>
        <v/>
      </c>
    </row>
    <row r="1355" spans="2:11">
      <c r="B1355" s="975" t="str">
        <f>tblControles[[#This Row],[Fecha]]&amp;"|"&amp;tblControles[[#This Row],[Módulo]]&amp;"|"&amp;tblControles[[#This Row],[Ítem]]&amp;"|"&amp;tblControles[[#This Row],[Turno]]</f>
        <v>46280|TONELADAS X TURNO|Molino barras 5|3° turno</v>
      </c>
      <c r="C1355" s="871">
        <v>46280</v>
      </c>
      <c r="D1355" t="s">
        <v>9449</v>
      </c>
      <c r="E1355" t="s">
        <v>391</v>
      </c>
      <c r="F1355" t="s">
        <v>398</v>
      </c>
      <c r="G1355">
        <v>1409</v>
      </c>
      <c r="H1355" t="s">
        <v>9333</v>
      </c>
      <c r="I1355" s="871">
        <v>46293.93683766204</v>
      </c>
      <c r="J1355" t="s">
        <v>9528</v>
      </c>
      <c r="K1355" s="975" t="str">
        <f>IF(COUNTIFS(tblControles[Clave],tblControles[[#This Row],[Clave]])&gt;1,"Duplicado","")</f>
        <v/>
      </c>
    </row>
    <row r="1356" spans="2:11">
      <c r="B1356" s="975" t="str">
        <f>tblControles[[#This Row],[Fecha]]&amp;"|"&amp;tblControles[[#This Row],[Módulo]]&amp;"|"&amp;tblControles[[#This Row],[Ítem]]&amp;"|"&amp;tblControles[[#This Row],[Turno]]</f>
        <v>46280|TONELADAS X TURNO|Molino barras 6|1° turno</v>
      </c>
      <c r="C1356" s="871">
        <v>46280</v>
      </c>
      <c r="D1356" t="s">
        <v>9449</v>
      </c>
      <c r="E1356" t="s">
        <v>392</v>
      </c>
      <c r="F1356" t="s">
        <v>396</v>
      </c>
      <c r="G1356">
        <v>1490</v>
      </c>
      <c r="H1356" t="s">
        <v>9333</v>
      </c>
      <c r="I1356" s="871">
        <v>46293.93683766204</v>
      </c>
      <c r="J1356" t="s">
        <v>9528</v>
      </c>
      <c r="K1356" s="975" t="str">
        <f>IF(COUNTIFS(tblControles[Clave],tblControles[[#This Row],[Clave]])&gt;1,"Duplicado","")</f>
        <v/>
      </c>
    </row>
    <row r="1357" spans="2:11">
      <c r="B1357" s="975" t="str">
        <f>tblControles[[#This Row],[Fecha]]&amp;"|"&amp;tblControles[[#This Row],[Módulo]]&amp;"|"&amp;tblControles[[#This Row],[Ítem]]&amp;"|"&amp;tblControles[[#This Row],[Turno]]</f>
        <v>46280|TONELADAS X TURNO|Molino barras 6|2° turno</v>
      </c>
      <c r="C1357" s="871">
        <v>46280</v>
      </c>
      <c r="D1357" t="s">
        <v>9449</v>
      </c>
      <c r="E1357" t="s">
        <v>392</v>
      </c>
      <c r="F1357" t="s">
        <v>397</v>
      </c>
      <c r="G1357">
        <v>1453</v>
      </c>
      <c r="H1357" t="s">
        <v>9333</v>
      </c>
      <c r="I1357" s="871">
        <v>46293.93683766204</v>
      </c>
      <c r="J1357" t="s">
        <v>9528</v>
      </c>
      <c r="K1357" s="975" t="str">
        <f>IF(COUNTIFS(tblControles[Clave],tblControles[[#This Row],[Clave]])&gt;1,"Duplicado","")</f>
        <v/>
      </c>
    </row>
    <row r="1358" spans="2:11">
      <c r="B1358" s="975" t="str">
        <f>tblControles[[#This Row],[Fecha]]&amp;"|"&amp;tblControles[[#This Row],[Módulo]]&amp;"|"&amp;tblControles[[#This Row],[Ítem]]&amp;"|"&amp;tblControles[[#This Row],[Turno]]</f>
        <v>46280|TONELADAS X TURNO|Molino barras 6|3° turno</v>
      </c>
      <c r="C1358" s="871">
        <v>46280</v>
      </c>
      <c r="D1358" t="s">
        <v>9449</v>
      </c>
      <c r="E1358" t="s">
        <v>392</v>
      </c>
      <c r="F1358" t="s">
        <v>398</v>
      </c>
      <c r="G1358">
        <v>1343</v>
      </c>
      <c r="H1358" t="s">
        <v>9333</v>
      </c>
      <c r="I1358" s="871">
        <v>46293.93683766204</v>
      </c>
      <c r="J1358" t="s">
        <v>9528</v>
      </c>
      <c r="K1358" s="975" t="str">
        <f>IF(COUNTIFS(tblControles[Clave],tblControles[[#This Row],[Clave]])&gt;1,"Duplicado","")</f>
        <v/>
      </c>
    </row>
    <row r="1359" spans="2:11">
      <c r="B1359" s="975" t="str">
        <f>tblControles[[#This Row],[Fecha]]&amp;"|"&amp;tblControles[[#This Row],[Módulo]]&amp;"|"&amp;tblControles[[#This Row],[Ítem]]&amp;"|"&amp;tblControles[[#This Row],[Turno]]</f>
        <v>46280|TONELADAS X TURNO|Molino barras 7|1° turno</v>
      </c>
      <c r="C1359" s="871">
        <v>46280</v>
      </c>
      <c r="D1359" t="s">
        <v>9449</v>
      </c>
      <c r="E1359" t="s">
        <v>393</v>
      </c>
      <c r="F1359" t="s">
        <v>396</v>
      </c>
      <c r="G1359">
        <v>1548</v>
      </c>
      <c r="H1359" t="s">
        <v>9333</v>
      </c>
      <c r="I1359" s="871">
        <v>46293.93683766204</v>
      </c>
      <c r="J1359" t="s">
        <v>9528</v>
      </c>
      <c r="K1359" s="975" t="str">
        <f>IF(COUNTIFS(tblControles[Clave],tblControles[[#This Row],[Clave]])&gt;1,"Duplicado","")</f>
        <v/>
      </c>
    </row>
    <row r="1360" spans="2:11">
      <c r="B1360" s="975" t="str">
        <f>tblControles[[#This Row],[Fecha]]&amp;"|"&amp;tblControles[[#This Row],[Módulo]]&amp;"|"&amp;tblControles[[#This Row],[Ítem]]&amp;"|"&amp;tblControles[[#This Row],[Turno]]</f>
        <v>46280|TONELADAS X TURNO|Molino barras 7|2° turno</v>
      </c>
      <c r="C1360" s="871">
        <v>46280</v>
      </c>
      <c r="D1360" t="s">
        <v>9449</v>
      </c>
      <c r="E1360" t="s">
        <v>393</v>
      </c>
      <c r="F1360" t="s">
        <v>397</v>
      </c>
      <c r="G1360">
        <v>1650</v>
      </c>
      <c r="H1360" t="s">
        <v>9333</v>
      </c>
      <c r="I1360" s="871">
        <v>46293.93683766204</v>
      </c>
      <c r="J1360" t="s">
        <v>9528</v>
      </c>
      <c r="K1360" s="975" t="str">
        <f>IF(COUNTIFS(tblControles[Clave],tblControles[[#This Row],[Clave]])&gt;1,"Duplicado","")</f>
        <v/>
      </c>
    </row>
    <row r="1361" spans="2:11">
      <c r="B1361" s="975" t="str">
        <f>tblControles[[#This Row],[Fecha]]&amp;"|"&amp;tblControles[[#This Row],[Módulo]]&amp;"|"&amp;tblControles[[#This Row],[Ítem]]&amp;"|"&amp;tblControles[[#This Row],[Turno]]</f>
        <v>46280|TONELADAS X TURNO|Molino barras 7|3° turno</v>
      </c>
      <c r="C1361" s="871">
        <v>46280</v>
      </c>
      <c r="D1361" t="s">
        <v>9449</v>
      </c>
      <c r="E1361" t="s">
        <v>393</v>
      </c>
      <c r="F1361" t="s">
        <v>398</v>
      </c>
      <c r="G1361">
        <v>1385</v>
      </c>
      <c r="H1361" t="s">
        <v>9333</v>
      </c>
      <c r="I1361" s="871">
        <v>46293.93683766204</v>
      </c>
      <c r="J1361" t="s">
        <v>9528</v>
      </c>
      <c r="K1361" s="975" t="str">
        <f>IF(COUNTIFS(tblControles[Clave],tblControles[[#This Row],[Clave]])&gt;1,"Duplicado","")</f>
        <v/>
      </c>
    </row>
    <row r="1362" spans="2:11">
      <c r="B1362" s="975" t="str">
        <f>tblControles[[#This Row],[Fecha]]&amp;"|"&amp;tblControles[[#This Row],[Módulo]]&amp;"|"&amp;tblControles[[#This Row],[Ítem]]&amp;"|"&amp;tblControles[[#This Row],[Turno]]</f>
        <v>46280|TONELADAS X TURNO|Molino barras 8|1° turno</v>
      </c>
      <c r="C1362" s="871">
        <v>46280</v>
      </c>
      <c r="D1362" t="s">
        <v>9449</v>
      </c>
      <c r="E1362" t="s">
        <v>394</v>
      </c>
      <c r="F1362" t="s">
        <v>396</v>
      </c>
      <c r="G1362">
        <v>1138</v>
      </c>
      <c r="H1362" t="s">
        <v>9333</v>
      </c>
      <c r="I1362" s="871">
        <v>46293.93683766204</v>
      </c>
      <c r="J1362" t="s">
        <v>9528</v>
      </c>
      <c r="K1362" s="975" t="str">
        <f>IF(COUNTIFS(tblControles[Clave],tblControles[[#This Row],[Clave]])&gt;1,"Duplicado","")</f>
        <v/>
      </c>
    </row>
    <row r="1363" spans="2:11">
      <c r="B1363" s="975" t="str">
        <f>tblControles[[#This Row],[Fecha]]&amp;"|"&amp;tblControles[[#This Row],[Módulo]]&amp;"|"&amp;tblControles[[#This Row],[Ítem]]&amp;"|"&amp;tblControles[[#This Row],[Turno]]</f>
        <v>46280|TONELADAS X TURNO|Molino barras 8|2° turno</v>
      </c>
      <c r="C1363" s="871">
        <v>46280</v>
      </c>
      <c r="D1363" t="s">
        <v>9449</v>
      </c>
      <c r="E1363" t="s">
        <v>394</v>
      </c>
      <c r="F1363" t="s">
        <v>397</v>
      </c>
      <c r="G1363">
        <v>535</v>
      </c>
      <c r="H1363" t="s">
        <v>9333</v>
      </c>
      <c r="I1363" s="871">
        <v>46293.93683766204</v>
      </c>
      <c r="J1363" t="s">
        <v>9528</v>
      </c>
      <c r="K1363" s="975" t="str">
        <f>IF(COUNTIFS(tblControles[Clave],tblControles[[#This Row],[Clave]])&gt;1,"Duplicado","")</f>
        <v/>
      </c>
    </row>
    <row r="1364" spans="2:11">
      <c r="B1364" s="975" t="str">
        <f>tblControles[[#This Row],[Fecha]]&amp;"|"&amp;tblControles[[#This Row],[Módulo]]&amp;"|"&amp;tblControles[[#This Row],[Ítem]]&amp;"|"&amp;tblControles[[#This Row],[Turno]]</f>
        <v>46280|TONELADAS X TURNO|Molino barras 8|3° turno</v>
      </c>
      <c r="C1364" s="871">
        <v>46280</v>
      </c>
      <c r="D1364" t="s">
        <v>9449</v>
      </c>
      <c r="E1364" t="s">
        <v>394</v>
      </c>
      <c r="F1364" t="s">
        <v>398</v>
      </c>
      <c r="G1364">
        <v>700</v>
      </c>
      <c r="H1364" t="s">
        <v>9333</v>
      </c>
      <c r="I1364" s="871">
        <v>46293.93683766204</v>
      </c>
      <c r="J1364" t="s">
        <v>9528</v>
      </c>
      <c r="K1364" s="975" t="str">
        <f>IF(COUNTIFS(tblControles[Clave],tblControles[[#This Row],[Clave]])&gt;1,"Duplicado","")</f>
        <v/>
      </c>
    </row>
    <row r="1365" spans="2:11">
      <c r="B1365" s="975" t="str">
        <f>tblControles[[#This Row],[Fecha]]&amp;"|"&amp;tblControles[[#This Row],[Módulo]]&amp;"|"&amp;tblControles[[#This Row],[Ítem]]&amp;"|"&amp;tblControles[[#This Row],[Turno]]</f>
        <v>46280|TONELADAS X TURNO|Molino barras 9|1° turno</v>
      </c>
      <c r="C1365" s="871">
        <v>46280</v>
      </c>
      <c r="D1365" t="s">
        <v>9449</v>
      </c>
      <c r="E1365" t="s">
        <v>395</v>
      </c>
      <c r="F1365" t="s">
        <v>396</v>
      </c>
      <c r="G1365">
        <v>1594</v>
      </c>
      <c r="H1365" t="s">
        <v>9333</v>
      </c>
      <c r="I1365" s="871">
        <v>46293.93683766204</v>
      </c>
      <c r="J1365" t="s">
        <v>9528</v>
      </c>
      <c r="K1365" s="975" t="str">
        <f>IF(COUNTIFS(tblControles[Clave],tblControles[[#This Row],[Clave]])&gt;1,"Duplicado","")</f>
        <v/>
      </c>
    </row>
    <row r="1366" spans="2:11">
      <c r="B1366" s="975" t="str">
        <f>tblControles[[#This Row],[Fecha]]&amp;"|"&amp;tblControles[[#This Row],[Módulo]]&amp;"|"&amp;tblControles[[#This Row],[Ítem]]&amp;"|"&amp;tblControles[[#This Row],[Turno]]</f>
        <v>46280|TONELADAS X TURNO|Molino barras 9|2° turno</v>
      </c>
      <c r="C1366" s="871">
        <v>46280</v>
      </c>
      <c r="D1366" t="s">
        <v>9449</v>
      </c>
      <c r="E1366" t="s">
        <v>395</v>
      </c>
      <c r="F1366" t="s">
        <v>397</v>
      </c>
      <c r="G1366">
        <v>1870</v>
      </c>
      <c r="H1366" t="s">
        <v>9333</v>
      </c>
      <c r="I1366" s="871">
        <v>46293.93683766204</v>
      </c>
      <c r="J1366" t="s">
        <v>9528</v>
      </c>
      <c r="K1366" s="975" t="str">
        <f>IF(COUNTIFS(tblControles[Clave],tblControles[[#This Row],[Clave]])&gt;1,"Duplicado","")</f>
        <v/>
      </c>
    </row>
    <row r="1367" spans="2:11">
      <c r="B1367" s="975" t="str">
        <f>tblControles[[#This Row],[Fecha]]&amp;"|"&amp;tblControles[[#This Row],[Módulo]]&amp;"|"&amp;tblControles[[#This Row],[Ítem]]&amp;"|"&amp;tblControles[[#This Row],[Turno]]</f>
        <v>46280|TONELADAS X TURNO|Molino barras 9|3° turno</v>
      </c>
      <c r="C1367" s="871">
        <v>46280</v>
      </c>
      <c r="D1367" t="s">
        <v>9449</v>
      </c>
      <c r="E1367" t="s">
        <v>395</v>
      </c>
      <c r="F1367" t="s">
        <v>398</v>
      </c>
      <c r="G1367">
        <v>1738</v>
      </c>
      <c r="H1367" t="s">
        <v>9333</v>
      </c>
      <c r="I1367" s="871">
        <v>46293.93683766204</v>
      </c>
      <c r="J1367" t="s">
        <v>9528</v>
      </c>
      <c r="K1367" s="975" t="str">
        <f>IF(COUNTIFS(tblControles[Clave],tblControles[[#This Row],[Clave]])&gt;1,"Duplicado","")</f>
        <v/>
      </c>
    </row>
    <row r="1368" spans="2:11">
      <c r="B1368" s="975" t="str">
        <f>tblControles[[#This Row],[Fecha]]&amp;"|"&amp;tblControles[[#This Row],[Módulo]]&amp;"|"&amp;tblControles[[#This Row],[Ítem]]&amp;"|"&amp;tblControles[[#This Row],[Turno]]</f>
        <v>46281|AGREGADO MEDIOS|BARRAS RM1|Cantidad</v>
      </c>
      <c r="C1368" s="871">
        <v>46281</v>
      </c>
      <c r="D1368" t="s">
        <v>9451</v>
      </c>
      <c r="E1368" t="s">
        <v>410</v>
      </c>
      <c r="F1368" t="s">
        <v>9453</v>
      </c>
      <c r="G1368">
        <v>9</v>
      </c>
      <c r="H1368" t="s">
        <v>9333</v>
      </c>
      <c r="I1368" s="871">
        <v>46293.93683766204</v>
      </c>
      <c r="J1368" t="s">
        <v>9524</v>
      </c>
      <c r="K1368" s="975" t="str">
        <f>IF(COUNTIFS(tblControles[Clave],tblControles[[#This Row],[Clave]])&gt;1,"Duplicado","")</f>
        <v/>
      </c>
    </row>
    <row r="1369" spans="2:11">
      <c r="B1369" s="975" t="str">
        <f>tblControles[[#This Row],[Fecha]]&amp;"|"&amp;tblControles[[#This Row],[Módulo]]&amp;"|"&amp;tblControles[[#This Row],[Ítem]]&amp;"|"&amp;tblControles[[#This Row],[Turno]]</f>
        <v>46281|AGREGADO MEDIOS|BARRAS RM2|Cantidad</v>
      </c>
      <c r="C1369" s="871">
        <v>46281</v>
      </c>
      <c r="D1369" t="s">
        <v>9451</v>
      </c>
      <c r="E1369" t="s">
        <v>411</v>
      </c>
      <c r="F1369" t="s">
        <v>9453</v>
      </c>
      <c r="G1369">
        <v>9</v>
      </c>
      <c r="H1369" t="s">
        <v>9333</v>
      </c>
      <c r="I1369" s="871">
        <v>46293.93683766204</v>
      </c>
      <c r="J1369" t="s">
        <v>9524</v>
      </c>
      <c r="K1369" s="975" t="str">
        <f>IF(COUNTIFS(tblControles[Clave],tblControles[[#This Row],[Clave]])&gt;1,"Duplicado","")</f>
        <v/>
      </c>
    </row>
    <row r="1370" spans="2:11">
      <c r="B1370" s="975" t="str">
        <f>tblControles[[#This Row],[Fecha]]&amp;"|"&amp;tblControles[[#This Row],[Módulo]]&amp;"|"&amp;tblControles[[#This Row],[Ítem]]&amp;"|"&amp;tblControles[[#This Row],[Turno]]</f>
        <v>46281|AGREGADO MEDIOS|BARRAS RM3|Cantidad</v>
      </c>
      <c r="C1370" s="871">
        <v>46281</v>
      </c>
      <c r="D1370" t="s">
        <v>9451</v>
      </c>
      <c r="E1370" t="s">
        <v>412</v>
      </c>
      <c r="F1370" t="s">
        <v>9453</v>
      </c>
      <c r="G1370">
        <v>0</v>
      </c>
      <c r="H1370" t="s">
        <v>9333</v>
      </c>
      <c r="I1370" s="871">
        <v>46293.93683766204</v>
      </c>
      <c r="J1370" t="s">
        <v>9524</v>
      </c>
      <c r="K1370" s="975" t="str">
        <f>IF(COUNTIFS(tblControles[Clave],tblControles[[#This Row],[Clave]])&gt;1,"Duplicado","")</f>
        <v/>
      </c>
    </row>
    <row r="1371" spans="2:11">
      <c r="B1371" s="975" t="str">
        <f>tblControles[[#This Row],[Fecha]]&amp;"|"&amp;tblControles[[#This Row],[Módulo]]&amp;"|"&amp;tblControles[[#This Row],[Ítem]]&amp;"|"&amp;tblControles[[#This Row],[Turno]]</f>
        <v>46281|AGREGADO MEDIOS|BARRAS RM4|Cantidad</v>
      </c>
      <c r="C1371" s="871">
        <v>46281</v>
      </c>
      <c r="D1371" t="s">
        <v>9451</v>
      </c>
      <c r="E1371" t="s">
        <v>413</v>
      </c>
      <c r="F1371" t="s">
        <v>9453</v>
      </c>
      <c r="G1371">
        <v>0</v>
      </c>
      <c r="H1371" t="s">
        <v>9333</v>
      </c>
      <c r="I1371" s="871">
        <v>46293.93683766204</v>
      </c>
      <c r="J1371" t="s">
        <v>9524</v>
      </c>
      <c r="K1371" s="975" t="str">
        <f>IF(COUNTIFS(tblControles[Clave],tblControles[[#This Row],[Clave]])&gt;1,"Duplicado","")</f>
        <v/>
      </c>
    </row>
    <row r="1372" spans="2:11">
      <c r="B1372" s="975" t="str">
        <f>tblControles[[#This Row],[Fecha]]&amp;"|"&amp;tblControles[[#This Row],[Módulo]]&amp;"|"&amp;tblControles[[#This Row],[Ítem]]&amp;"|"&amp;tblControles[[#This Row],[Turno]]</f>
        <v>46281|AGREGADO MEDIOS|BARRAS RM5|Cantidad</v>
      </c>
      <c r="C1372" s="871">
        <v>46281</v>
      </c>
      <c r="D1372" t="s">
        <v>9451</v>
      </c>
      <c r="E1372" t="s">
        <v>414</v>
      </c>
      <c r="F1372" t="s">
        <v>9453</v>
      </c>
      <c r="G1372">
        <v>0</v>
      </c>
      <c r="H1372" t="s">
        <v>9333</v>
      </c>
      <c r="I1372" s="871">
        <v>46293.93683766204</v>
      </c>
      <c r="J1372" t="s">
        <v>9524</v>
      </c>
      <c r="K1372" s="975" t="str">
        <f>IF(COUNTIFS(tblControles[Clave],tblControles[[#This Row],[Clave]])&gt;1,"Duplicado","")</f>
        <v/>
      </c>
    </row>
    <row r="1373" spans="2:11">
      <c r="B1373" s="975" t="str">
        <f>tblControles[[#This Row],[Fecha]]&amp;"|"&amp;tblControles[[#This Row],[Módulo]]&amp;"|"&amp;tblControles[[#This Row],[Ítem]]&amp;"|"&amp;tblControles[[#This Row],[Turno]]</f>
        <v>46281|AGREGADO MEDIOS|BARRAS RM6|Cantidad</v>
      </c>
      <c r="C1373" s="871">
        <v>46281</v>
      </c>
      <c r="D1373" t="s">
        <v>9451</v>
      </c>
      <c r="E1373" t="s">
        <v>415</v>
      </c>
      <c r="F1373" t="s">
        <v>9453</v>
      </c>
      <c r="G1373">
        <v>0</v>
      </c>
      <c r="H1373" t="s">
        <v>9333</v>
      </c>
      <c r="I1373" s="871">
        <v>46293.93683766204</v>
      </c>
      <c r="J1373" t="s">
        <v>9524</v>
      </c>
      <c r="K1373" s="975" t="str">
        <f>IF(COUNTIFS(tblControles[Clave],tblControles[[#This Row],[Clave]])&gt;1,"Duplicado","")</f>
        <v/>
      </c>
    </row>
    <row r="1374" spans="2:11">
      <c r="B1374" s="975" t="str">
        <f>tblControles[[#This Row],[Fecha]]&amp;"|"&amp;tblControles[[#This Row],[Módulo]]&amp;"|"&amp;tblControles[[#This Row],[Ítem]]&amp;"|"&amp;tblControles[[#This Row],[Turno]]</f>
        <v>46281|AGREGADO MEDIOS|BARRAS RM7|Cantidad</v>
      </c>
      <c r="C1374" s="871">
        <v>46281</v>
      </c>
      <c r="D1374" t="s">
        <v>9451</v>
      </c>
      <c r="E1374" t="s">
        <v>416</v>
      </c>
      <c r="F1374" t="s">
        <v>9453</v>
      </c>
      <c r="G1374">
        <v>11</v>
      </c>
      <c r="H1374" t="s">
        <v>9333</v>
      </c>
      <c r="I1374" s="871">
        <v>46293.93683766204</v>
      </c>
      <c r="J1374" t="s">
        <v>9524</v>
      </c>
      <c r="K1374" s="975" t="str">
        <f>IF(COUNTIFS(tblControles[Clave],tblControles[[#This Row],[Clave]])&gt;1,"Duplicado","")</f>
        <v/>
      </c>
    </row>
    <row r="1375" spans="2:11">
      <c r="B1375" s="975" t="str">
        <f>tblControles[[#This Row],[Fecha]]&amp;"|"&amp;tblControles[[#This Row],[Módulo]]&amp;"|"&amp;tblControles[[#This Row],[Ítem]]&amp;"|"&amp;tblControles[[#This Row],[Turno]]</f>
        <v>46281|AGREGADO MEDIOS|BARRAS RM8|Cantidad</v>
      </c>
      <c r="C1375" s="871">
        <v>46281</v>
      </c>
      <c r="D1375" t="s">
        <v>9451</v>
      </c>
      <c r="E1375" t="s">
        <v>417</v>
      </c>
      <c r="F1375" t="s">
        <v>9453</v>
      </c>
      <c r="G1375">
        <v>0</v>
      </c>
      <c r="H1375" t="s">
        <v>9333</v>
      </c>
      <c r="I1375" s="871">
        <v>46293.93683766204</v>
      </c>
      <c r="J1375" t="s">
        <v>9524</v>
      </c>
      <c r="K1375" s="975" t="str">
        <f>IF(COUNTIFS(tblControles[Clave],tblControles[[#This Row],[Clave]])&gt;1,"Duplicado","")</f>
        <v/>
      </c>
    </row>
    <row r="1376" spans="2:11">
      <c r="B1376" s="975" t="str">
        <f>tblControles[[#This Row],[Fecha]]&amp;"|"&amp;tblControles[[#This Row],[Módulo]]&amp;"|"&amp;tblControles[[#This Row],[Ítem]]&amp;"|"&amp;tblControles[[#This Row],[Turno]]</f>
        <v>46281|AGREGADO MEDIOS|BARRAS 9 RM9|Cantidad</v>
      </c>
      <c r="C1376" s="871">
        <v>46281</v>
      </c>
      <c r="D1376" t="s">
        <v>9451</v>
      </c>
      <c r="E1376" t="s">
        <v>418</v>
      </c>
      <c r="F1376" t="s">
        <v>9453</v>
      </c>
      <c r="G1376">
        <v>9</v>
      </c>
      <c r="H1376" t="s">
        <v>9333</v>
      </c>
      <c r="I1376" s="871">
        <v>46293.93683766204</v>
      </c>
      <c r="J1376" t="s">
        <v>9524</v>
      </c>
      <c r="K1376" s="975" t="str">
        <f>IF(COUNTIFS(tblControles[Clave],tblControles[[#This Row],[Clave]])&gt;1,"Duplicado","")</f>
        <v/>
      </c>
    </row>
    <row r="1377" spans="2:11">
      <c r="B1377" s="975" t="str">
        <f>tblControles[[#This Row],[Fecha]]&amp;"|"&amp;tblControles[[#This Row],[Módulo]]&amp;"|"&amp;tblControles[[#This Row],[Ítem]]&amp;"|"&amp;tblControles[[#This Row],[Turno]]</f>
        <v>46281|AGREGADO MEDIOS|CONOS 40X50 BM1|Cantidad</v>
      </c>
      <c r="C1377" s="871">
        <v>46281</v>
      </c>
      <c r="D1377" t="s">
        <v>9451</v>
      </c>
      <c r="E1377" t="s">
        <v>420</v>
      </c>
      <c r="F1377" t="s">
        <v>9453</v>
      </c>
      <c r="G1377">
        <v>2</v>
      </c>
      <c r="H1377" t="s">
        <v>9333</v>
      </c>
      <c r="I1377" s="871">
        <v>46293.93683766204</v>
      </c>
      <c r="J1377" t="s">
        <v>9524</v>
      </c>
      <c r="K1377" s="975" t="str">
        <f>IF(COUNTIFS(tblControles[Clave],tblControles[[#This Row],[Clave]])&gt;1,"Duplicado","")</f>
        <v/>
      </c>
    </row>
    <row r="1378" spans="2:11">
      <c r="B1378" s="975" t="str">
        <f>tblControles[[#This Row],[Fecha]]&amp;"|"&amp;tblControles[[#This Row],[Módulo]]&amp;"|"&amp;tblControles[[#This Row],[Ítem]]&amp;"|"&amp;tblControles[[#This Row],[Turno]]</f>
        <v>46281|AGREGADO MEDIOS|CONOS 40X50 BM2|Cantidad</v>
      </c>
      <c r="C1378" s="871">
        <v>46281</v>
      </c>
      <c r="D1378" t="s">
        <v>9451</v>
      </c>
      <c r="E1378" t="s">
        <v>421</v>
      </c>
      <c r="F1378" t="s">
        <v>9453</v>
      </c>
      <c r="G1378">
        <v>0</v>
      </c>
      <c r="H1378" t="s">
        <v>9333</v>
      </c>
      <c r="I1378" s="871">
        <v>46293.93683766204</v>
      </c>
      <c r="J1378" t="s">
        <v>9524</v>
      </c>
      <c r="K1378" s="975" t="str">
        <f>IF(COUNTIFS(tblControles[Clave],tblControles[[#This Row],[Clave]])&gt;1,"Duplicado","")</f>
        <v/>
      </c>
    </row>
    <row r="1379" spans="2:11">
      <c r="B1379" s="975" t="str">
        <f>tblControles[[#This Row],[Fecha]]&amp;"|"&amp;tblControles[[#This Row],[Módulo]]&amp;"|"&amp;tblControles[[#This Row],[Ítem]]&amp;"|"&amp;tblControles[[#This Row],[Turno]]</f>
        <v>46281|AGREGADO MEDIOS|CONOS 40X50 BM3|Cantidad</v>
      </c>
      <c r="C1379" s="871">
        <v>46281</v>
      </c>
      <c r="D1379" t="s">
        <v>9451</v>
      </c>
      <c r="E1379" t="s">
        <v>422</v>
      </c>
      <c r="F1379" t="s">
        <v>9453</v>
      </c>
      <c r="G1379">
        <v>0</v>
      </c>
      <c r="H1379" t="s">
        <v>9333</v>
      </c>
      <c r="I1379" s="871">
        <v>46293.93683766204</v>
      </c>
      <c r="J1379" t="s">
        <v>9524</v>
      </c>
      <c r="K1379" s="975" t="str">
        <f>IF(COUNTIFS(tblControles[Clave],tblControles[[#This Row],[Clave]])&gt;1,"Duplicado","")</f>
        <v/>
      </c>
    </row>
    <row r="1380" spans="2:11">
      <c r="B1380" s="975" t="str">
        <f>tblControles[[#This Row],[Fecha]]&amp;"|"&amp;tblControles[[#This Row],[Módulo]]&amp;"|"&amp;tblControles[[#This Row],[Ítem]]&amp;"|"&amp;tblControles[[#This Row],[Turno]]</f>
        <v>46281|AGREGADO MEDIOS|CONOS 40X50 BM4|Cantidad</v>
      </c>
      <c r="C1380" s="871">
        <v>46281</v>
      </c>
      <c r="D1380" t="s">
        <v>9451</v>
      </c>
      <c r="E1380" t="s">
        <v>423</v>
      </c>
      <c r="F1380" t="s">
        <v>9453</v>
      </c>
      <c r="G1380">
        <v>0</v>
      </c>
      <c r="H1380" t="s">
        <v>9333</v>
      </c>
      <c r="I1380" s="871">
        <v>46293.93683766204</v>
      </c>
      <c r="J1380" t="s">
        <v>9524</v>
      </c>
      <c r="K1380" s="975" t="str">
        <f>IF(COUNTIFS(tblControles[Clave],tblControles[[#This Row],[Clave]])&gt;1,"Duplicado","")</f>
        <v/>
      </c>
    </row>
    <row r="1381" spans="2:11">
      <c r="B1381" s="975" t="str">
        <f>tblControles[[#This Row],[Fecha]]&amp;"|"&amp;tblControles[[#This Row],[Módulo]]&amp;"|"&amp;tblControles[[#This Row],[Ítem]]&amp;"|"&amp;tblControles[[#This Row],[Turno]]</f>
        <v>46281|AGREGADO MEDIOS|CONOS 30X35 BM5|Cantidad</v>
      </c>
      <c r="C1381" s="871">
        <v>46281</v>
      </c>
      <c r="D1381" t="s">
        <v>9451</v>
      </c>
      <c r="E1381" t="s">
        <v>424</v>
      </c>
      <c r="F1381" t="s">
        <v>9453</v>
      </c>
      <c r="G1381">
        <v>6</v>
      </c>
      <c r="H1381" t="s">
        <v>9333</v>
      </c>
      <c r="I1381" s="871">
        <v>46293.93683766204</v>
      </c>
      <c r="J1381" t="s">
        <v>9524</v>
      </c>
      <c r="K1381" s="975" t="str">
        <f>IF(COUNTIFS(tblControles[Clave],tblControles[[#This Row],[Clave]])&gt;1,"Duplicado","")</f>
        <v/>
      </c>
    </row>
    <row r="1382" spans="2:11">
      <c r="B1382" s="975" t="str">
        <f>tblControles[[#This Row],[Fecha]]&amp;"|"&amp;tblControles[[#This Row],[Módulo]]&amp;"|"&amp;tblControles[[#This Row],[Ítem]]&amp;"|"&amp;tblControles[[#This Row],[Turno]]</f>
        <v>46281|AGREGADO MEDIOS|CONOS 40X50 BM6|Cantidad</v>
      </c>
      <c r="C1382" s="871">
        <v>46281</v>
      </c>
      <c r="D1382" t="s">
        <v>9451</v>
      </c>
      <c r="E1382" t="s">
        <v>425</v>
      </c>
      <c r="F1382" t="s">
        <v>9453</v>
      </c>
      <c r="G1382">
        <v>4</v>
      </c>
      <c r="H1382" t="s">
        <v>9333</v>
      </c>
      <c r="I1382" s="871">
        <v>46293.93683766204</v>
      </c>
      <c r="J1382" t="s">
        <v>9524</v>
      </c>
      <c r="K1382" s="975" t="str">
        <f>IF(COUNTIFS(tblControles[Clave],tblControles[[#This Row],[Clave]])&gt;1,"Duplicado","")</f>
        <v/>
      </c>
    </row>
    <row r="1383" spans="2:11">
      <c r="B1383" s="975" t="str">
        <f>tblControles[[#This Row],[Fecha]]&amp;"|"&amp;tblControles[[#This Row],[Módulo]]&amp;"|"&amp;tblControles[[#This Row],[Ítem]]&amp;"|"&amp;tblControles[[#This Row],[Turno]]</f>
        <v>46281|AGREGADO MEDIOS|CONOS 40X50 BM7|Cantidad</v>
      </c>
      <c r="C1383" s="871">
        <v>46281</v>
      </c>
      <c r="D1383" t="s">
        <v>9451</v>
      </c>
      <c r="E1383" t="s">
        <v>426</v>
      </c>
      <c r="F1383" t="s">
        <v>9453</v>
      </c>
      <c r="G1383">
        <v>6</v>
      </c>
      <c r="H1383" t="s">
        <v>9333</v>
      </c>
      <c r="I1383" s="871">
        <v>46293.93683766204</v>
      </c>
      <c r="J1383" t="s">
        <v>9524</v>
      </c>
      <c r="K1383" s="975" t="str">
        <f>IF(COUNTIFS(tblControles[Clave],tblControles[[#This Row],[Clave]])&gt;1,"Duplicado","")</f>
        <v/>
      </c>
    </row>
    <row r="1384" spans="2:11">
      <c r="B1384" s="975" t="str">
        <f>tblControles[[#This Row],[Fecha]]&amp;"|"&amp;tblControles[[#This Row],[Módulo]]&amp;"|"&amp;tblControles[[#This Row],[Ítem]]&amp;"|"&amp;tblControles[[#This Row],[Turno]]</f>
        <v>46281|AGREGADO MEDIOS|CONOS 40X50|Cantidad</v>
      </c>
      <c r="C1384" s="871">
        <v>46281</v>
      </c>
      <c r="D1384" t="s">
        <v>9451</v>
      </c>
      <c r="E1384" t="s">
        <v>427</v>
      </c>
      <c r="F1384" t="s">
        <v>9453</v>
      </c>
      <c r="G1384">
        <v>2</v>
      </c>
      <c r="H1384" t="s">
        <v>9333</v>
      </c>
      <c r="I1384" s="871">
        <v>46293.93683766204</v>
      </c>
      <c r="J1384" t="s">
        <v>9524</v>
      </c>
      <c r="K1384" s="975" t="str">
        <f>IF(COUNTIFS(tblControles[Clave],tblControles[[#This Row],[Clave]])&gt;1,"Duplicado","")</f>
        <v/>
      </c>
    </row>
    <row r="1385" spans="2:11">
      <c r="B1385" s="975" t="str">
        <f>tblControles[[#This Row],[Fecha]]&amp;"|"&amp;tblControles[[#This Row],[Módulo]]&amp;"|"&amp;tblControles[[#This Row],[Ítem]]&amp;"|"&amp;tblControles[[#This Row],[Turno]]</f>
        <v>46281|AGREGADO MEDIOS|CONOS 30X35|Cantidad</v>
      </c>
      <c r="C1385" s="871">
        <v>46281</v>
      </c>
      <c r="D1385" t="s">
        <v>9451</v>
      </c>
      <c r="E1385" t="s">
        <v>428</v>
      </c>
      <c r="F1385" t="s">
        <v>9453</v>
      </c>
      <c r="G1385">
        <v>16</v>
      </c>
      <c r="H1385" t="s">
        <v>9333</v>
      </c>
      <c r="I1385" s="871">
        <v>46293.93683766204</v>
      </c>
      <c r="J1385" t="s">
        <v>9524</v>
      </c>
      <c r="K1385" s="975" t="str">
        <f>IF(COUNTIFS(tblControles[Clave],tblControles[[#This Row],[Clave]])&gt;1,"Duplicado","")</f>
        <v/>
      </c>
    </row>
    <row r="1386" spans="2:11">
      <c r="B1386" s="975" t="str">
        <f>tblControles[[#This Row],[Fecha]]&amp;"|"&amp;tblControles[[#This Row],[Módulo]]&amp;"|"&amp;tblControles[[#This Row],[Ítem]]&amp;"|"&amp;tblControles[[#This Row],[Turno]]</f>
        <v>46281|AGREGADO MEDIOS|BOLAS BM8|Cantidad</v>
      </c>
      <c r="C1386" s="871">
        <v>46281</v>
      </c>
      <c r="D1386" t="s">
        <v>9451</v>
      </c>
      <c r="E1386" t="s">
        <v>429</v>
      </c>
      <c r="F1386" t="s">
        <v>9453</v>
      </c>
      <c r="G1386">
        <v>0</v>
      </c>
      <c r="H1386" t="s">
        <v>9333</v>
      </c>
      <c r="I1386" s="871">
        <v>46293.93683766204</v>
      </c>
      <c r="J1386" t="s">
        <v>9524</v>
      </c>
      <c r="K1386" s="975" t="str">
        <f>IF(COUNTIFS(tblControles[Clave],tblControles[[#This Row],[Clave]])&gt;1,"Duplicado","")</f>
        <v/>
      </c>
    </row>
    <row r="1387" spans="2:11">
      <c r="B1387" s="975" t="str">
        <f>tblControles[[#This Row],[Fecha]]&amp;"|"&amp;tblControles[[#This Row],[Módulo]]&amp;"|"&amp;tblControles[[#This Row],[Ítem]]&amp;"|"&amp;tblControles[[#This Row],[Turno]]</f>
        <v>46281|AGREGADO MEDIOS|BOLAS BM9|Cantidad</v>
      </c>
      <c r="C1387" s="871">
        <v>46281</v>
      </c>
      <c r="D1387" t="s">
        <v>9451</v>
      </c>
      <c r="E1387" t="s">
        <v>430</v>
      </c>
      <c r="F1387" t="s">
        <v>9453</v>
      </c>
      <c r="G1387">
        <v>6</v>
      </c>
      <c r="H1387" t="s">
        <v>9333</v>
      </c>
      <c r="I1387" s="871">
        <v>46293.93683766204</v>
      </c>
      <c r="J1387" t="s">
        <v>9524</v>
      </c>
      <c r="K1387" s="975" t="str">
        <f>IF(COUNTIFS(tblControles[Clave],tblControles[[#This Row],[Clave]])&gt;1,"Duplicado","")</f>
        <v/>
      </c>
    </row>
    <row r="1388" spans="2:11">
      <c r="B1388" s="975" t="str">
        <f>tblControles[[#This Row],[Fecha]]&amp;"|"&amp;tblControles[[#This Row],[Módulo]]&amp;"|"&amp;tblControles[[#This Row],[Ítem]]&amp;"|"&amp;tblControles[[#This Row],[Turno]]</f>
        <v>46281|AGREGADO MEDIOS|BOLAS BM10|Cantidad</v>
      </c>
      <c r="C1388" s="871">
        <v>46281</v>
      </c>
      <c r="D1388" t="s">
        <v>9451</v>
      </c>
      <c r="E1388" t="s">
        <v>431</v>
      </c>
      <c r="F1388" t="s">
        <v>9453</v>
      </c>
      <c r="G1388">
        <v>0</v>
      </c>
      <c r="H1388" t="s">
        <v>9333</v>
      </c>
      <c r="I1388" s="871">
        <v>46293.93683766204</v>
      </c>
      <c r="J1388" t="s">
        <v>9524</v>
      </c>
      <c r="K1388" s="975" t="str">
        <f>IF(COUNTIFS(tblControles[Clave],tblControles[[#This Row],[Clave]])&gt;1,"Duplicado","")</f>
        <v/>
      </c>
    </row>
    <row r="1389" spans="2:11">
      <c r="B1389" s="975" t="str">
        <f>tblControles[[#This Row],[Fecha]]&amp;"|"&amp;tblControles[[#This Row],[Módulo]]&amp;"|"&amp;tblControles[[#This Row],[Ítem]]&amp;"|"&amp;tblControles[[#This Row],[Turno]]</f>
        <v>46281|AGREGADO MEDIOS|BOLAS ALTO CROM|Cantidad</v>
      </c>
      <c r="C1389" s="871">
        <v>46281</v>
      </c>
      <c r="D1389" t="s">
        <v>9451</v>
      </c>
      <c r="E1389" t="s">
        <v>432</v>
      </c>
      <c r="F1389" t="s">
        <v>9453</v>
      </c>
      <c r="G1389">
        <v>6</v>
      </c>
      <c r="H1389" t="s">
        <v>9333</v>
      </c>
      <c r="I1389" s="871">
        <v>46293.93683766204</v>
      </c>
      <c r="J1389" t="s">
        <v>9524</v>
      </c>
      <c r="K1389" s="975" t="str">
        <f>IF(COUNTIFS(tblControles[Clave],tblControles[[#This Row],[Clave]])&gt;1,"Duplicado","")</f>
        <v/>
      </c>
    </row>
    <row r="1390" spans="2:11">
      <c r="B1390" s="975" t="str">
        <f>tblControles[[#This Row],[Fecha]]&amp;"|"&amp;tblControles[[#This Row],[Módulo]]&amp;"|"&amp;tblControles[[#This Row],[Ítem]]&amp;"|"&amp;tblControles[[#This Row],[Turno]]</f>
        <v>46281|PURGA TKS AIRE|TK-MG-S. ROTULO|3er Turno</v>
      </c>
      <c r="C1390" s="871">
        <v>46281</v>
      </c>
      <c r="D1390" t="s">
        <v>9433</v>
      </c>
      <c r="E1390" t="s">
        <v>9471</v>
      </c>
      <c r="F1390" t="s">
        <v>9437</v>
      </c>
      <c r="G1390" t="s">
        <v>3227</v>
      </c>
      <c r="H1390" t="s">
        <v>9333</v>
      </c>
      <c r="I1390" s="871">
        <v>46293.93683766204</v>
      </c>
      <c r="J1390" t="s">
        <v>9530</v>
      </c>
      <c r="K1390" s="975" t="str">
        <f>IF(COUNTIFS(tblControles[Clave],tblControles[[#This Row],[Clave]])&gt;1,"Duplicado","")</f>
        <v/>
      </c>
    </row>
    <row r="1391" spans="2:11">
      <c r="B1391" s="975" t="str">
        <f>tblControles[[#This Row],[Fecha]]&amp;"|"&amp;tblControles[[#This Row],[Módulo]]&amp;"|"&amp;tblControles[[#This Row],[Ítem]]&amp;"|"&amp;tblControles[[#This Row],[Turno]]</f>
        <v>46281|PURGA TKS AIRE|TK-MG-001|3er Turno</v>
      </c>
      <c r="C1391" s="871">
        <v>46281</v>
      </c>
      <c r="D1391" t="s">
        <v>9433</v>
      </c>
      <c r="E1391" t="s">
        <v>337</v>
      </c>
      <c r="F1391" t="s">
        <v>9437</v>
      </c>
      <c r="G1391" t="s">
        <v>3227</v>
      </c>
      <c r="H1391" t="s">
        <v>9333</v>
      </c>
      <c r="I1391" s="871">
        <v>46293.93683766204</v>
      </c>
      <c r="J1391" t="s">
        <v>9530</v>
      </c>
      <c r="K1391" s="975" t="str">
        <f>IF(COUNTIFS(tblControles[Clave],tblControles[[#This Row],[Clave]])&gt;1,"Duplicado","")</f>
        <v/>
      </c>
    </row>
    <row r="1392" spans="2:11">
      <c r="B1392" s="975" t="str">
        <f>tblControles[[#This Row],[Fecha]]&amp;"|"&amp;tblControles[[#This Row],[Módulo]]&amp;"|"&amp;tblControles[[#This Row],[Ítem]]&amp;"|"&amp;tblControles[[#This Row],[Turno]]</f>
        <v>46281|PURGA TKS AIRE|TK-MG-002|3er Turno</v>
      </c>
      <c r="C1392" s="871">
        <v>46281</v>
      </c>
      <c r="D1392" t="s">
        <v>9433</v>
      </c>
      <c r="E1392" t="s">
        <v>339</v>
      </c>
      <c r="F1392" t="s">
        <v>9437</v>
      </c>
      <c r="G1392" t="s">
        <v>3227</v>
      </c>
      <c r="H1392" t="s">
        <v>9333</v>
      </c>
      <c r="I1392" s="871">
        <v>46293.93683766204</v>
      </c>
      <c r="J1392" t="s">
        <v>9530</v>
      </c>
      <c r="K1392" s="975" t="str">
        <f>IF(COUNTIFS(tblControles[Clave],tblControles[[#This Row],[Clave]])&gt;1,"Duplicado","")</f>
        <v/>
      </c>
    </row>
    <row r="1393" spans="2:11">
      <c r="B1393" s="975" t="str">
        <f>tblControles[[#This Row],[Fecha]]&amp;"|"&amp;tblControles[[#This Row],[Módulo]]&amp;"|"&amp;tblControles[[#This Row],[Ítem]]&amp;"|"&amp;tblControles[[#This Row],[Turno]]</f>
        <v>46281|PURGA TKS AIRE|TK-MG-003|3er Turno</v>
      </c>
      <c r="C1393" s="871">
        <v>46281</v>
      </c>
      <c r="D1393" t="s">
        <v>9433</v>
      </c>
      <c r="E1393" t="s">
        <v>341</v>
      </c>
      <c r="F1393" t="s">
        <v>9437</v>
      </c>
      <c r="G1393" t="s">
        <v>3227</v>
      </c>
      <c r="H1393" t="s">
        <v>9333</v>
      </c>
      <c r="I1393" s="871">
        <v>46293.93683766204</v>
      </c>
      <c r="J1393" t="s">
        <v>9530</v>
      </c>
      <c r="K1393" s="975" t="str">
        <f>IF(COUNTIFS(tblControles[Clave],tblControles[[#This Row],[Clave]])&gt;1,"Duplicado","")</f>
        <v/>
      </c>
    </row>
    <row r="1394" spans="2:11">
      <c r="B1394" s="975" t="str">
        <f>tblControles[[#This Row],[Fecha]]&amp;"|"&amp;tblControles[[#This Row],[Módulo]]&amp;"|"&amp;tblControles[[#This Row],[Ítem]]&amp;"|"&amp;tblControles[[#This Row],[Turno]]</f>
        <v>46281|PURGA TKS AIRE|TK-MG-005|3er Turno</v>
      </c>
      <c r="C1394" s="871">
        <v>46281</v>
      </c>
      <c r="D1394" t="s">
        <v>9433</v>
      </c>
      <c r="E1394" t="s">
        <v>343</v>
      </c>
      <c r="F1394" t="s">
        <v>9437</v>
      </c>
      <c r="G1394" t="s">
        <v>345</v>
      </c>
      <c r="H1394" t="s">
        <v>9333</v>
      </c>
      <c r="I1394" s="871">
        <v>46293.93683766204</v>
      </c>
      <c r="J1394" t="s">
        <v>9530</v>
      </c>
      <c r="K1394" s="975" t="str">
        <f>IF(COUNTIFS(tblControles[Clave],tblControles[[#This Row],[Clave]])&gt;1,"Duplicado","")</f>
        <v/>
      </c>
    </row>
    <row r="1395" spans="2:11">
      <c r="B1395" s="975" t="str">
        <f>tblControles[[#This Row],[Fecha]]&amp;"|"&amp;tblControles[[#This Row],[Módulo]]&amp;"|"&amp;tblControles[[#This Row],[Ítem]]&amp;"|"&amp;tblControles[[#This Row],[Turno]]</f>
        <v>46281|PURGA TKS AIRE|TK-MG-006|3er Turno</v>
      </c>
      <c r="C1395" s="871">
        <v>46281</v>
      </c>
      <c r="D1395" t="s">
        <v>9433</v>
      </c>
      <c r="E1395" t="s">
        <v>346</v>
      </c>
      <c r="F1395" t="s">
        <v>9437</v>
      </c>
      <c r="G1395" t="s">
        <v>3227</v>
      </c>
      <c r="H1395" t="s">
        <v>9333</v>
      </c>
      <c r="I1395" s="871">
        <v>46293.93683766204</v>
      </c>
      <c r="J1395" t="s">
        <v>9530</v>
      </c>
      <c r="K1395" s="975" t="str">
        <f>IF(COUNTIFS(tblControles[Clave],tblControles[[#This Row],[Clave]])&gt;1,"Duplicado","")</f>
        <v/>
      </c>
    </row>
    <row r="1396" spans="2:11">
      <c r="B1396" s="975" t="str">
        <f>tblControles[[#This Row],[Fecha]]&amp;"|"&amp;tblControles[[#This Row],[Módulo]]&amp;"|"&amp;tblControles[[#This Row],[Ítem]]&amp;"|"&amp;tblControles[[#This Row],[Turno]]</f>
        <v>46281|PURGA TKS AIRE|TK-MG-007|3er Turno</v>
      </c>
      <c r="C1396" s="871">
        <v>46281</v>
      </c>
      <c r="D1396" t="s">
        <v>9433</v>
      </c>
      <c r="E1396" t="s">
        <v>347</v>
      </c>
      <c r="F1396" t="s">
        <v>9437</v>
      </c>
      <c r="G1396" t="s">
        <v>3227</v>
      </c>
      <c r="H1396" t="s">
        <v>9333</v>
      </c>
      <c r="I1396" s="871">
        <v>46293.93683766204</v>
      </c>
      <c r="J1396" t="s">
        <v>9530</v>
      </c>
      <c r="K1396" s="975" t="str">
        <f>IF(COUNTIFS(tblControles[Clave],tblControles[[#This Row],[Clave]])&gt;1,"Duplicado","")</f>
        <v/>
      </c>
    </row>
    <row r="1397" spans="2:11">
      <c r="B1397" s="975" t="str">
        <f>tblControles[[#This Row],[Fecha]]&amp;"|"&amp;tblControles[[#This Row],[Módulo]]&amp;"|"&amp;tblControles[[#This Row],[Ítem]]&amp;"|"&amp;tblControles[[#This Row],[Turno]]</f>
        <v>46281|PURGA TKS AIRE|TK-MG-004|3er Turno</v>
      </c>
      <c r="C1397" s="871">
        <v>46281</v>
      </c>
      <c r="D1397" t="s">
        <v>9433</v>
      </c>
      <c r="E1397" t="s">
        <v>349</v>
      </c>
      <c r="F1397" t="s">
        <v>9437</v>
      </c>
      <c r="G1397" t="s">
        <v>3227</v>
      </c>
      <c r="H1397" t="s">
        <v>9333</v>
      </c>
      <c r="I1397" s="871">
        <v>46293.93683766204</v>
      </c>
      <c r="J1397" t="s">
        <v>9530</v>
      </c>
      <c r="K1397" s="975" t="str">
        <f>IF(COUNTIFS(tblControles[Clave],tblControles[[#This Row],[Clave]])&gt;1,"Duplicado","")</f>
        <v/>
      </c>
    </row>
    <row r="1398" spans="2:11">
      <c r="B1398" s="975" t="str">
        <f>tblControles[[#This Row],[Fecha]]&amp;"|"&amp;tblControles[[#This Row],[Módulo]]&amp;"|"&amp;tblControles[[#This Row],[Ítem]]&amp;"|"&amp;tblControles[[#This Row],[Turno]]</f>
        <v>46281|PURGA TKS AIRE|TK-MG-008|3er Turno</v>
      </c>
      <c r="C1398" s="871">
        <v>46281</v>
      </c>
      <c r="D1398" t="s">
        <v>9433</v>
      </c>
      <c r="E1398" t="s">
        <v>351</v>
      </c>
      <c r="F1398" t="s">
        <v>9437</v>
      </c>
      <c r="G1398" t="s">
        <v>3227</v>
      </c>
      <c r="H1398" t="s">
        <v>9333</v>
      </c>
      <c r="I1398" s="871">
        <v>46293.93683766204</v>
      </c>
      <c r="J1398" t="s">
        <v>9530</v>
      </c>
      <c r="K1398" s="975" t="str">
        <f>IF(COUNTIFS(tblControles[Clave],tblControles[[#This Row],[Clave]])&gt;1,"Duplicado","")</f>
        <v/>
      </c>
    </row>
    <row r="1399" spans="2:11">
      <c r="B1399" s="975" t="str">
        <f>tblControles[[#This Row],[Fecha]]&amp;"|"&amp;tblControles[[#This Row],[Módulo]]&amp;"|"&amp;tblControles[[#This Row],[Ítem]]&amp;"|"&amp;tblControles[[#This Row],[Turno]]</f>
        <v>46281|PURGA TKS AIRE|TK-MG-009|3er Turno</v>
      </c>
      <c r="C1399" s="871">
        <v>46281</v>
      </c>
      <c r="D1399" t="s">
        <v>9433</v>
      </c>
      <c r="E1399" t="s">
        <v>353</v>
      </c>
      <c r="F1399" t="s">
        <v>9437</v>
      </c>
      <c r="G1399" t="s">
        <v>3227</v>
      </c>
      <c r="H1399" t="s">
        <v>9333</v>
      </c>
      <c r="I1399" s="871">
        <v>46293.93683766204</v>
      </c>
      <c r="J1399" t="s">
        <v>9530</v>
      </c>
      <c r="K1399" s="975" t="str">
        <f>IF(COUNTIFS(tblControles[Clave],tblControles[[#This Row],[Clave]])&gt;1,"Duplicado","")</f>
        <v/>
      </c>
    </row>
    <row r="1400" spans="2:11">
      <c r="B1400" s="975" t="str">
        <f>tblControles[[#This Row],[Fecha]]&amp;"|"&amp;tblControles[[#This Row],[Módulo]]&amp;"|"&amp;tblControles[[#This Row],[Ítem]]&amp;"|"&amp;tblControles[[#This Row],[Turno]]</f>
        <v>46281|PURGA TKS AIRE|TK-MG-010|3er Turno</v>
      </c>
      <c r="C1400" s="871">
        <v>46281</v>
      </c>
      <c r="D1400" t="s">
        <v>9433</v>
      </c>
      <c r="E1400" t="s">
        <v>355</v>
      </c>
      <c r="F1400" t="s">
        <v>9437</v>
      </c>
      <c r="G1400" t="s">
        <v>3227</v>
      </c>
      <c r="H1400" t="s">
        <v>9333</v>
      </c>
      <c r="I1400" s="871">
        <v>46293.93683766204</v>
      </c>
      <c r="J1400" t="s">
        <v>9530</v>
      </c>
      <c r="K1400" s="975" t="str">
        <f>IF(COUNTIFS(tblControles[Clave],tblControles[[#This Row],[Clave]])&gt;1,"Duplicado","")</f>
        <v/>
      </c>
    </row>
    <row r="1401" spans="2:11">
      <c r="B1401" s="975" t="str">
        <f>tblControles[[#This Row],[Fecha]]&amp;"|"&amp;tblControles[[#This Row],[Módulo]]&amp;"|"&amp;tblControles[[#This Row],[Ítem]]&amp;"|"&amp;tblControles[[#This Row],[Turno]]</f>
        <v>46281|PURGA TKS AIRE|TK-MG-011|3er Turno</v>
      </c>
      <c r="C1401" s="871">
        <v>46281</v>
      </c>
      <c r="D1401" t="s">
        <v>9433</v>
      </c>
      <c r="E1401" t="s">
        <v>357</v>
      </c>
      <c r="F1401" t="s">
        <v>9437</v>
      </c>
      <c r="G1401" t="s">
        <v>3227</v>
      </c>
      <c r="H1401" t="s">
        <v>9333</v>
      </c>
      <c r="I1401" s="871">
        <v>46293.93683766204</v>
      </c>
      <c r="J1401" t="s">
        <v>9530</v>
      </c>
      <c r="K1401" s="975" t="str">
        <f>IF(COUNTIFS(tblControles[Clave],tblControles[[#This Row],[Clave]])&gt;1,"Duplicado","")</f>
        <v/>
      </c>
    </row>
    <row r="1402" spans="2:11">
      <c r="B1402" s="975" t="str">
        <f>tblControles[[#This Row],[Fecha]]&amp;"|"&amp;tblControles[[#This Row],[Módulo]]&amp;"|"&amp;tblControles[[#This Row],[Ítem]]&amp;"|"&amp;tblControles[[#This Row],[Turno]]</f>
        <v>46281|PURGA TKS AIRE|TK-MG-012|3er Turno</v>
      </c>
      <c r="C1402" s="871">
        <v>46281</v>
      </c>
      <c r="D1402" t="s">
        <v>9433</v>
      </c>
      <c r="E1402" t="s">
        <v>359</v>
      </c>
      <c r="F1402" t="s">
        <v>9437</v>
      </c>
      <c r="G1402" t="s">
        <v>3227</v>
      </c>
      <c r="H1402" t="s">
        <v>9333</v>
      </c>
      <c r="I1402" s="871">
        <v>46293.93683766204</v>
      </c>
      <c r="J1402" t="s">
        <v>9530</v>
      </c>
      <c r="K1402" s="975" t="str">
        <f>IF(COUNTIFS(tblControles[Clave],tblControles[[#This Row],[Clave]])&gt;1,"Duplicado","")</f>
        <v/>
      </c>
    </row>
    <row r="1403" spans="2:11">
      <c r="B1403" s="975" t="str">
        <f>tblControles[[#This Row],[Fecha]]&amp;"|"&amp;tblControles[[#This Row],[Módulo]]&amp;"|"&amp;tblControles[[#This Row],[Ítem]]&amp;"|"&amp;tblControles[[#This Row],[Turno]]</f>
        <v>46281|PURGA TKS AIRE|TK-MG-013|3er Turno</v>
      </c>
      <c r="C1403" s="871">
        <v>46281</v>
      </c>
      <c r="D1403" t="s">
        <v>9433</v>
      </c>
      <c r="E1403" t="s">
        <v>361</v>
      </c>
      <c r="F1403" t="s">
        <v>9437</v>
      </c>
      <c r="G1403" t="s">
        <v>3227</v>
      </c>
      <c r="H1403" t="s">
        <v>9333</v>
      </c>
      <c r="I1403" s="871">
        <v>46293.93683766204</v>
      </c>
      <c r="J1403" t="s">
        <v>9530</v>
      </c>
      <c r="K1403" s="975" t="str">
        <f>IF(COUNTIFS(tblControles[Clave],tblControles[[#This Row],[Clave]])&gt;1,"Duplicado","")</f>
        <v/>
      </c>
    </row>
    <row r="1404" spans="2:11">
      <c r="B1404" s="975" t="str">
        <f>tblControles[[#This Row],[Fecha]]&amp;"|"&amp;tblControles[[#This Row],[Módulo]]&amp;"|"&amp;tblControles[[#This Row],[Ítem]]&amp;"|"&amp;tblControles[[#This Row],[Turno]]</f>
        <v>46281|PURGA TKS AIRE|TK-MG-014|3er Turno</v>
      </c>
      <c r="C1404" s="871">
        <v>46281</v>
      </c>
      <c r="D1404" t="s">
        <v>9433</v>
      </c>
      <c r="E1404" t="s">
        <v>363</v>
      </c>
      <c r="F1404" t="s">
        <v>9437</v>
      </c>
      <c r="G1404" t="s">
        <v>3227</v>
      </c>
      <c r="H1404" t="s">
        <v>9333</v>
      </c>
      <c r="I1404" s="871">
        <v>46293.93683766204</v>
      </c>
      <c r="J1404" t="s">
        <v>9530</v>
      </c>
      <c r="K1404" s="975" t="str">
        <f>IF(COUNTIFS(tblControles[Clave],tblControles[[#This Row],[Clave]])&gt;1,"Duplicado","")</f>
        <v/>
      </c>
    </row>
    <row r="1405" spans="2:11">
      <c r="B1405" s="975" t="str">
        <f>tblControles[[#This Row],[Fecha]]&amp;"|"&amp;tblControles[[#This Row],[Módulo]]&amp;"|"&amp;tblControles[[#This Row],[Ítem]]&amp;"|"&amp;tblControles[[#This Row],[Turno]]</f>
        <v>46281|REACTIVOS|Ácido oxálico|Turno día (12 h)</v>
      </c>
      <c r="C1405" s="871">
        <v>46281</v>
      </c>
      <c r="D1405" t="s">
        <v>9444</v>
      </c>
      <c r="E1405" t="s">
        <v>9508</v>
      </c>
      <c r="F1405" t="s">
        <v>9446</v>
      </c>
      <c r="G1405">
        <v>20000</v>
      </c>
      <c r="H1405" t="s">
        <v>9333</v>
      </c>
      <c r="I1405" s="871">
        <v>46293.93683766204</v>
      </c>
      <c r="J1405" t="s">
        <v>9527</v>
      </c>
      <c r="K1405" s="975" t="str">
        <f>IF(COUNTIFS(tblControles[Clave],tblControles[[#This Row],[Clave]])&gt;1,"Duplicado","")</f>
        <v/>
      </c>
    </row>
    <row r="1406" spans="2:11">
      <c r="B1406" s="975" t="str">
        <f>tblControles[[#This Row],[Fecha]]&amp;"|"&amp;tblControles[[#This Row],[Módulo]]&amp;"|"&amp;tblControles[[#This Row],[Ítem]]&amp;"|"&amp;tblControles[[#This Row],[Turno]]</f>
        <v>46281|REACTIVOS|Ácido oxálico|Turno noche (12 h)</v>
      </c>
      <c r="C1406" s="871">
        <v>46281</v>
      </c>
      <c r="D1406" t="s">
        <v>9444</v>
      </c>
      <c r="E1406" t="s">
        <v>9508</v>
      </c>
      <c r="F1406" t="s">
        <v>9447</v>
      </c>
      <c r="G1406">
        <v>20000</v>
      </c>
      <c r="H1406" t="s">
        <v>9333</v>
      </c>
      <c r="I1406" s="871">
        <v>46293.93683766204</v>
      </c>
      <c r="J1406" t="s">
        <v>9527</v>
      </c>
      <c r="K1406" s="975" t="str">
        <f>IF(COUNTIFS(tblControles[Clave],tblControles[[#This Row],[Clave]])&gt;1,"Duplicado","")</f>
        <v/>
      </c>
    </row>
    <row r="1407" spans="2:11">
      <c r="B1407" s="975" t="str">
        <f>tblControles[[#This Row],[Fecha]]&amp;"|"&amp;tblControles[[#This Row],[Módulo]]&amp;"|"&amp;tblControles[[#This Row],[Ítem]]&amp;"|"&amp;tblControles[[#This Row],[Turno]]</f>
        <v>46281|REACTIVOS|Xantato|Turno día (12 h)</v>
      </c>
      <c r="C1407" s="871">
        <v>46281</v>
      </c>
      <c r="D1407" t="s">
        <v>9444</v>
      </c>
      <c r="E1407" t="s">
        <v>9511</v>
      </c>
      <c r="F1407" t="s">
        <v>9446</v>
      </c>
      <c r="G1407">
        <v>3700</v>
      </c>
      <c r="H1407" t="s">
        <v>9333</v>
      </c>
      <c r="I1407" s="871">
        <v>46293.93683766204</v>
      </c>
      <c r="J1407" t="s">
        <v>9527</v>
      </c>
      <c r="K1407" s="975" t="str">
        <f>IF(COUNTIFS(tblControles[Clave],tblControles[[#This Row],[Clave]])&gt;1,"Duplicado","")</f>
        <v/>
      </c>
    </row>
    <row r="1408" spans="2:11">
      <c r="B1408" s="975" t="str">
        <f>tblControles[[#This Row],[Fecha]]&amp;"|"&amp;tblControles[[#This Row],[Módulo]]&amp;"|"&amp;tblControles[[#This Row],[Ítem]]&amp;"|"&amp;tblControles[[#This Row],[Turno]]</f>
        <v>46281|REACTIVOS|Xantato|Turno noche (12 h)</v>
      </c>
      <c r="C1408" s="871">
        <v>46281</v>
      </c>
      <c r="D1408" t="s">
        <v>9444</v>
      </c>
      <c r="E1408" t="s">
        <v>9511</v>
      </c>
      <c r="F1408" t="s">
        <v>9447</v>
      </c>
      <c r="G1408">
        <v>3700</v>
      </c>
      <c r="H1408" t="s">
        <v>9333</v>
      </c>
      <c r="I1408" s="871">
        <v>46293.93683766204</v>
      </c>
      <c r="J1408" t="s">
        <v>9527</v>
      </c>
      <c r="K1408" s="975" t="str">
        <f>IF(COUNTIFS(tblControles[Clave],tblControles[[#This Row],[Clave]])&gt;1,"Duplicado","")</f>
        <v/>
      </c>
    </row>
    <row r="1409" spans="2:11">
      <c r="B1409" s="975" t="str">
        <f>tblControles[[#This Row],[Fecha]]&amp;"|"&amp;tblControles[[#This Row],[Módulo]]&amp;"|"&amp;tblControles[[#This Row],[Ítem]]&amp;"|"&amp;tblControles[[#This Row],[Turno]]</f>
        <v>46281|REACTIVOS|Espumante|Consumo día</v>
      </c>
      <c r="C1409" s="871">
        <v>46281</v>
      </c>
      <c r="D1409" t="s">
        <v>9444</v>
      </c>
      <c r="E1409" t="s">
        <v>9513</v>
      </c>
      <c r="F1409" t="s">
        <v>9870</v>
      </c>
      <c r="G1409">
        <v>3500</v>
      </c>
      <c r="H1409" t="s">
        <v>9333</v>
      </c>
      <c r="I1409" s="871">
        <v>46293.93683766204</v>
      </c>
      <c r="J1409" t="s">
        <v>9527</v>
      </c>
      <c r="K1409" s="975" t="str">
        <f>IF(COUNTIFS(tblControles[Clave],tblControles[[#This Row],[Clave]])&gt;1,"Duplicado","")</f>
        <v/>
      </c>
    </row>
    <row r="1410" spans="2:11">
      <c r="B1410" s="975" t="str">
        <f>tblControles[[#This Row],[Fecha]]&amp;"|"&amp;tblControles[[#This Row],[Módulo]]&amp;"|"&amp;tblControles[[#This Row],[Ítem]]&amp;"|"&amp;tblControles[[#This Row],[Turno]]</f>
        <v>46281|TONELADAS X TURNO|Molino barras 1|1° turno</v>
      </c>
      <c r="C1410" s="871">
        <v>46281</v>
      </c>
      <c r="D1410" t="s">
        <v>9449</v>
      </c>
      <c r="E1410" t="s">
        <v>387</v>
      </c>
      <c r="F1410" t="s">
        <v>396</v>
      </c>
      <c r="G1410">
        <v>1795</v>
      </c>
      <c r="H1410" t="s">
        <v>9333</v>
      </c>
      <c r="I1410" s="871">
        <v>46293.93683766204</v>
      </c>
      <c r="J1410" t="s">
        <v>9528</v>
      </c>
      <c r="K1410" s="975" t="str">
        <f>IF(COUNTIFS(tblControles[Clave],tblControles[[#This Row],[Clave]])&gt;1,"Duplicado","")</f>
        <v/>
      </c>
    </row>
    <row r="1411" spans="2:11">
      <c r="B1411" s="975" t="str">
        <f>tblControles[[#This Row],[Fecha]]&amp;"|"&amp;tblControles[[#This Row],[Módulo]]&amp;"|"&amp;tblControles[[#This Row],[Ítem]]&amp;"|"&amp;tblControles[[#This Row],[Turno]]</f>
        <v>46281|TONELADAS X TURNO|Molino barras 1|2° turno</v>
      </c>
      <c r="C1411" s="871">
        <v>46281</v>
      </c>
      <c r="D1411" t="s">
        <v>9449</v>
      </c>
      <c r="E1411" t="s">
        <v>387</v>
      </c>
      <c r="F1411" t="s">
        <v>397</v>
      </c>
      <c r="G1411">
        <v>1405</v>
      </c>
      <c r="H1411" t="s">
        <v>9333</v>
      </c>
      <c r="I1411" s="871">
        <v>46293.93683766204</v>
      </c>
      <c r="J1411" t="s">
        <v>9528</v>
      </c>
      <c r="K1411" s="975" t="str">
        <f>IF(COUNTIFS(tblControles[Clave],tblControles[[#This Row],[Clave]])&gt;1,"Duplicado","")</f>
        <v/>
      </c>
    </row>
    <row r="1412" spans="2:11">
      <c r="B1412" s="975" t="str">
        <f>tblControles[[#This Row],[Fecha]]&amp;"|"&amp;tblControles[[#This Row],[Módulo]]&amp;"|"&amp;tblControles[[#This Row],[Ítem]]&amp;"|"&amp;tblControles[[#This Row],[Turno]]</f>
        <v>46281|TONELADAS X TURNO|Molino barras 1|3° turno</v>
      </c>
      <c r="C1412" s="871">
        <v>46281</v>
      </c>
      <c r="D1412" t="s">
        <v>9449</v>
      </c>
      <c r="E1412" t="s">
        <v>387</v>
      </c>
      <c r="F1412" t="s">
        <v>398</v>
      </c>
      <c r="G1412">
        <v>1729</v>
      </c>
      <c r="H1412" t="s">
        <v>9333</v>
      </c>
      <c r="I1412" s="871">
        <v>46293.93683766204</v>
      </c>
      <c r="J1412" t="s">
        <v>9528</v>
      </c>
      <c r="K1412" s="975" t="str">
        <f>IF(COUNTIFS(tblControles[Clave],tblControles[[#This Row],[Clave]])&gt;1,"Duplicado","")</f>
        <v/>
      </c>
    </row>
    <row r="1413" spans="2:11">
      <c r="B1413" s="975" t="str">
        <f>tblControles[[#This Row],[Fecha]]&amp;"|"&amp;tblControles[[#This Row],[Módulo]]&amp;"|"&amp;tblControles[[#This Row],[Ítem]]&amp;"|"&amp;tblControles[[#This Row],[Turno]]</f>
        <v>46281|TONELADAS X TURNO|Molino barras 2|1° turno</v>
      </c>
      <c r="C1413" s="871">
        <v>46281</v>
      </c>
      <c r="D1413" t="s">
        <v>9449</v>
      </c>
      <c r="E1413" t="s">
        <v>388</v>
      </c>
      <c r="F1413" t="s">
        <v>396</v>
      </c>
      <c r="G1413">
        <v>1801</v>
      </c>
      <c r="H1413" t="s">
        <v>9333</v>
      </c>
      <c r="I1413" s="871">
        <v>46293.93683766204</v>
      </c>
      <c r="J1413" t="s">
        <v>9528</v>
      </c>
      <c r="K1413" s="975" t="str">
        <f>IF(COUNTIFS(tblControles[Clave],tblControles[[#This Row],[Clave]])&gt;1,"Duplicado","")</f>
        <v/>
      </c>
    </row>
    <row r="1414" spans="2:11">
      <c r="B1414" s="975" t="str">
        <f>tblControles[[#This Row],[Fecha]]&amp;"|"&amp;tblControles[[#This Row],[Módulo]]&amp;"|"&amp;tblControles[[#This Row],[Ítem]]&amp;"|"&amp;tblControles[[#This Row],[Turno]]</f>
        <v>46281|TONELADAS X TURNO|Molino barras 2|2° turno</v>
      </c>
      <c r="C1414" s="871">
        <v>46281</v>
      </c>
      <c r="D1414" t="s">
        <v>9449</v>
      </c>
      <c r="E1414" t="s">
        <v>388</v>
      </c>
      <c r="F1414" t="s">
        <v>397</v>
      </c>
      <c r="G1414">
        <v>1391</v>
      </c>
      <c r="H1414" t="s">
        <v>9333</v>
      </c>
      <c r="I1414" s="871">
        <v>46293.93683766204</v>
      </c>
      <c r="J1414" t="s">
        <v>9528</v>
      </c>
      <c r="K1414" s="975" t="str">
        <f>IF(COUNTIFS(tblControles[Clave],tblControles[[#This Row],[Clave]])&gt;1,"Duplicado","")</f>
        <v/>
      </c>
    </row>
    <row r="1415" spans="2:11">
      <c r="B1415" s="975" t="str">
        <f>tblControles[[#This Row],[Fecha]]&amp;"|"&amp;tblControles[[#This Row],[Módulo]]&amp;"|"&amp;tblControles[[#This Row],[Ítem]]&amp;"|"&amp;tblControles[[#This Row],[Turno]]</f>
        <v>46281|TONELADAS X TURNO|Molino barras 2|3° turno</v>
      </c>
      <c r="C1415" s="871">
        <v>46281</v>
      </c>
      <c r="D1415" t="s">
        <v>9449</v>
      </c>
      <c r="E1415" t="s">
        <v>388</v>
      </c>
      <c r="F1415" t="s">
        <v>398</v>
      </c>
      <c r="G1415">
        <v>1604</v>
      </c>
      <c r="H1415" t="s">
        <v>9333</v>
      </c>
      <c r="I1415" s="871">
        <v>46293.93683766204</v>
      </c>
      <c r="J1415" t="s">
        <v>9528</v>
      </c>
      <c r="K1415" s="975" t="str">
        <f>IF(COUNTIFS(tblControles[Clave],tblControles[[#This Row],[Clave]])&gt;1,"Duplicado","")</f>
        <v/>
      </c>
    </row>
    <row r="1416" spans="2:11">
      <c r="B1416" s="975" t="str">
        <f>tblControles[[#This Row],[Fecha]]&amp;"|"&amp;tblControles[[#This Row],[Módulo]]&amp;"|"&amp;tblControles[[#This Row],[Ítem]]&amp;"|"&amp;tblControles[[#This Row],[Turno]]</f>
        <v>46281|TONELADAS X TURNO|Molino barras 3|1° turno</v>
      </c>
      <c r="C1416" s="871">
        <v>46281</v>
      </c>
      <c r="D1416" t="s">
        <v>9449</v>
      </c>
      <c r="E1416" t="s">
        <v>389</v>
      </c>
      <c r="F1416" t="s">
        <v>396</v>
      </c>
      <c r="G1416">
        <v>0</v>
      </c>
      <c r="H1416" t="s">
        <v>9333</v>
      </c>
      <c r="I1416" s="871">
        <v>46293.93683766204</v>
      </c>
      <c r="J1416" t="s">
        <v>9528</v>
      </c>
      <c r="K1416" s="975" t="str">
        <f>IF(COUNTIFS(tblControles[Clave],tblControles[[#This Row],[Clave]])&gt;1,"Duplicado","")</f>
        <v/>
      </c>
    </row>
    <row r="1417" spans="2:11">
      <c r="B1417" s="975" t="str">
        <f>tblControles[[#This Row],[Fecha]]&amp;"|"&amp;tblControles[[#This Row],[Módulo]]&amp;"|"&amp;tblControles[[#This Row],[Ítem]]&amp;"|"&amp;tblControles[[#This Row],[Turno]]</f>
        <v>46281|TONELADAS X TURNO|Molino barras 3|2° turno</v>
      </c>
      <c r="C1417" s="871">
        <v>46281</v>
      </c>
      <c r="D1417" t="s">
        <v>9449</v>
      </c>
      <c r="E1417" t="s">
        <v>389</v>
      </c>
      <c r="F1417" t="s">
        <v>397</v>
      </c>
      <c r="G1417">
        <v>0</v>
      </c>
      <c r="H1417" t="s">
        <v>9333</v>
      </c>
      <c r="I1417" s="871">
        <v>46293.93683766204</v>
      </c>
      <c r="J1417" t="s">
        <v>9528</v>
      </c>
      <c r="K1417" s="975" t="str">
        <f>IF(COUNTIFS(tblControles[Clave],tblControles[[#This Row],[Clave]])&gt;1,"Duplicado","")</f>
        <v/>
      </c>
    </row>
    <row r="1418" spans="2:11">
      <c r="B1418" s="975" t="str">
        <f>tblControles[[#This Row],[Fecha]]&amp;"|"&amp;tblControles[[#This Row],[Módulo]]&amp;"|"&amp;tblControles[[#This Row],[Ítem]]&amp;"|"&amp;tblControles[[#This Row],[Turno]]</f>
        <v>46281|TONELADAS X TURNO|Molino barras 3|3° turno</v>
      </c>
      <c r="C1418" s="871">
        <v>46281</v>
      </c>
      <c r="D1418" t="s">
        <v>9449</v>
      </c>
      <c r="E1418" t="s">
        <v>389</v>
      </c>
      <c r="F1418" t="s">
        <v>398</v>
      </c>
      <c r="G1418">
        <v>0</v>
      </c>
      <c r="H1418" t="s">
        <v>9333</v>
      </c>
      <c r="I1418" s="871">
        <v>46293.93683766204</v>
      </c>
      <c r="J1418" t="s">
        <v>9528</v>
      </c>
      <c r="K1418" s="975" t="str">
        <f>IF(COUNTIFS(tblControles[Clave],tblControles[[#This Row],[Clave]])&gt;1,"Duplicado","")</f>
        <v/>
      </c>
    </row>
    <row r="1419" spans="2:11">
      <c r="B1419" s="975" t="str">
        <f>tblControles[[#This Row],[Fecha]]&amp;"|"&amp;tblControles[[#This Row],[Módulo]]&amp;"|"&amp;tblControles[[#This Row],[Ítem]]&amp;"|"&amp;tblControles[[#This Row],[Turno]]</f>
        <v>46281|TONELADAS X TURNO|Molino barras 4|1° turno</v>
      </c>
      <c r="C1419" s="871">
        <v>46281</v>
      </c>
      <c r="D1419" t="s">
        <v>9449</v>
      </c>
      <c r="E1419" t="s">
        <v>390</v>
      </c>
      <c r="F1419" t="s">
        <v>396</v>
      </c>
      <c r="G1419">
        <v>0</v>
      </c>
      <c r="H1419" t="s">
        <v>9333</v>
      </c>
      <c r="I1419" s="871">
        <v>46293.93683766204</v>
      </c>
      <c r="J1419" t="s">
        <v>9528</v>
      </c>
      <c r="K1419" s="975" t="str">
        <f>IF(COUNTIFS(tblControles[Clave],tblControles[[#This Row],[Clave]])&gt;1,"Duplicado","")</f>
        <v/>
      </c>
    </row>
    <row r="1420" spans="2:11">
      <c r="B1420" s="975" t="str">
        <f>tblControles[[#This Row],[Fecha]]&amp;"|"&amp;tblControles[[#This Row],[Módulo]]&amp;"|"&amp;tblControles[[#This Row],[Ítem]]&amp;"|"&amp;tblControles[[#This Row],[Turno]]</f>
        <v>46281|TONELADAS X TURNO|Molino barras 4|2° turno</v>
      </c>
      <c r="C1420" s="871">
        <v>46281</v>
      </c>
      <c r="D1420" t="s">
        <v>9449</v>
      </c>
      <c r="E1420" t="s">
        <v>390</v>
      </c>
      <c r="F1420" t="s">
        <v>397</v>
      </c>
      <c r="G1420">
        <v>0</v>
      </c>
      <c r="H1420" t="s">
        <v>9333</v>
      </c>
      <c r="I1420" s="871">
        <v>46293.93683766204</v>
      </c>
      <c r="J1420" t="s">
        <v>9528</v>
      </c>
      <c r="K1420" s="975" t="str">
        <f>IF(COUNTIFS(tblControles[Clave],tblControles[[#This Row],[Clave]])&gt;1,"Duplicado","")</f>
        <v/>
      </c>
    </row>
    <row r="1421" spans="2:11">
      <c r="B1421" s="975" t="str">
        <f>tblControles[[#This Row],[Fecha]]&amp;"|"&amp;tblControles[[#This Row],[Módulo]]&amp;"|"&amp;tblControles[[#This Row],[Ítem]]&amp;"|"&amp;tblControles[[#This Row],[Turno]]</f>
        <v>46281|TONELADAS X TURNO|Molino barras 4|3° turno</v>
      </c>
      <c r="C1421" s="871">
        <v>46281</v>
      </c>
      <c r="D1421" t="s">
        <v>9449</v>
      </c>
      <c r="E1421" t="s">
        <v>390</v>
      </c>
      <c r="F1421" t="s">
        <v>398</v>
      </c>
      <c r="G1421">
        <v>0</v>
      </c>
      <c r="H1421" t="s">
        <v>9333</v>
      </c>
      <c r="I1421" s="871">
        <v>46293.93683766204</v>
      </c>
      <c r="J1421" t="s">
        <v>9528</v>
      </c>
      <c r="K1421" s="975" t="str">
        <f>IF(COUNTIFS(tblControles[Clave],tblControles[[#This Row],[Clave]])&gt;1,"Duplicado","")</f>
        <v/>
      </c>
    </row>
    <row r="1422" spans="2:11">
      <c r="B1422" s="975" t="str">
        <f>tblControles[[#This Row],[Fecha]]&amp;"|"&amp;tblControles[[#This Row],[Módulo]]&amp;"|"&amp;tblControles[[#This Row],[Ítem]]&amp;"|"&amp;tblControles[[#This Row],[Turno]]</f>
        <v>46281|TONELADAS X TURNO|Molino barras 5|1° turno</v>
      </c>
      <c r="C1422" s="871">
        <v>46281</v>
      </c>
      <c r="D1422" t="s">
        <v>9449</v>
      </c>
      <c r="E1422" t="s">
        <v>391</v>
      </c>
      <c r="F1422" t="s">
        <v>396</v>
      </c>
      <c r="G1422">
        <v>1541</v>
      </c>
      <c r="H1422" t="s">
        <v>9333</v>
      </c>
      <c r="I1422" s="871">
        <v>46293.93683766204</v>
      </c>
      <c r="J1422" t="s">
        <v>9528</v>
      </c>
      <c r="K1422" s="975" t="str">
        <f>IF(COUNTIFS(tblControles[Clave],tblControles[[#This Row],[Clave]])&gt;1,"Duplicado","")</f>
        <v/>
      </c>
    </row>
    <row r="1423" spans="2:11">
      <c r="B1423" s="975" t="str">
        <f>tblControles[[#This Row],[Fecha]]&amp;"|"&amp;tblControles[[#This Row],[Módulo]]&amp;"|"&amp;tblControles[[#This Row],[Ítem]]&amp;"|"&amp;tblControles[[#This Row],[Turno]]</f>
        <v>46281|TONELADAS X TURNO|Molino barras 5|2° turno</v>
      </c>
      <c r="C1423" s="871">
        <v>46281</v>
      </c>
      <c r="D1423" t="s">
        <v>9449</v>
      </c>
      <c r="E1423" t="s">
        <v>391</v>
      </c>
      <c r="F1423" t="s">
        <v>397</v>
      </c>
      <c r="G1423">
        <v>1493</v>
      </c>
      <c r="H1423" t="s">
        <v>9333</v>
      </c>
      <c r="I1423" s="871">
        <v>46293.93683766204</v>
      </c>
      <c r="J1423" t="s">
        <v>9528</v>
      </c>
      <c r="K1423" s="975" t="str">
        <f>IF(COUNTIFS(tblControles[Clave],tblControles[[#This Row],[Clave]])&gt;1,"Duplicado","")</f>
        <v/>
      </c>
    </row>
    <row r="1424" spans="2:11">
      <c r="B1424" s="975" t="str">
        <f>tblControles[[#This Row],[Fecha]]&amp;"|"&amp;tblControles[[#This Row],[Módulo]]&amp;"|"&amp;tblControles[[#This Row],[Ítem]]&amp;"|"&amp;tblControles[[#This Row],[Turno]]</f>
        <v>46281|TONELADAS X TURNO|Molino barras 5|3° turno</v>
      </c>
      <c r="C1424" s="871">
        <v>46281</v>
      </c>
      <c r="D1424" t="s">
        <v>9449</v>
      </c>
      <c r="E1424" t="s">
        <v>391</v>
      </c>
      <c r="F1424" t="s">
        <v>398</v>
      </c>
      <c r="G1424">
        <v>1523</v>
      </c>
      <c r="H1424" t="s">
        <v>9333</v>
      </c>
      <c r="I1424" s="871">
        <v>46293.93683766204</v>
      </c>
      <c r="J1424" t="s">
        <v>9528</v>
      </c>
      <c r="K1424" s="975" t="str">
        <f>IF(COUNTIFS(tblControles[Clave],tblControles[[#This Row],[Clave]])&gt;1,"Duplicado","")</f>
        <v/>
      </c>
    </row>
    <row r="1425" spans="2:11">
      <c r="B1425" s="975" t="str">
        <f>tblControles[[#This Row],[Fecha]]&amp;"|"&amp;tblControles[[#This Row],[Módulo]]&amp;"|"&amp;tblControles[[#This Row],[Ítem]]&amp;"|"&amp;tblControles[[#This Row],[Turno]]</f>
        <v>46281|TONELADAS X TURNO|Molino barras 6|1° turno</v>
      </c>
      <c r="C1425" s="871">
        <v>46281</v>
      </c>
      <c r="D1425" t="s">
        <v>9449</v>
      </c>
      <c r="E1425" t="s">
        <v>392</v>
      </c>
      <c r="F1425" t="s">
        <v>396</v>
      </c>
      <c r="G1425">
        <v>1448</v>
      </c>
      <c r="H1425" t="s">
        <v>9333</v>
      </c>
      <c r="I1425" s="871">
        <v>46293.93683766204</v>
      </c>
      <c r="J1425" t="s">
        <v>9528</v>
      </c>
      <c r="K1425" s="975" t="str">
        <f>IF(COUNTIFS(tblControles[Clave],tblControles[[#This Row],[Clave]])&gt;1,"Duplicado","")</f>
        <v/>
      </c>
    </row>
    <row r="1426" spans="2:11">
      <c r="B1426" s="975" t="str">
        <f>tblControles[[#This Row],[Fecha]]&amp;"|"&amp;tblControles[[#This Row],[Módulo]]&amp;"|"&amp;tblControles[[#This Row],[Ítem]]&amp;"|"&amp;tblControles[[#This Row],[Turno]]</f>
        <v>46281|TONELADAS X TURNO|Molino barras 6|2° turno</v>
      </c>
      <c r="C1426" s="871">
        <v>46281</v>
      </c>
      <c r="D1426" t="s">
        <v>9449</v>
      </c>
      <c r="E1426" t="s">
        <v>392</v>
      </c>
      <c r="F1426" t="s">
        <v>397</v>
      </c>
      <c r="G1426">
        <v>1479</v>
      </c>
      <c r="H1426" t="s">
        <v>9333</v>
      </c>
      <c r="I1426" s="871">
        <v>46293.93683766204</v>
      </c>
      <c r="J1426" t="s">
        <v>9528</v>
      </c>
      <c r="K1426" s="975" t="str">
        <f>IF(COUNTIFS(tblControles[Clave],tblControles[[#This Row],[Clave]])&gt;1,"Duplicado","")</f>
        <v/>
      </c>
    </row>
    <row r="1427" spans="2:11">
      <c r="B1427" s="975" t="str">
        <f>tblControles[[#This Row],[Fecha]]&amp;"|"&amp;tblControles[[#This Row],[Módulo]]&amp;"|"&amp;tblControles[[#This Row],[Ítem]]&amp;"|"&amp;tblControles[[#This Row],[Turno]]</f>
        <v>46281|TONELADAS X TURNO|Molino barras 6|3° turno</v>
      </c>
      <c r="C1427" s="871">
        <v>46281</v>
      </c>
      <c r="D1427" t="s">
        <v>9449</v>
      </c>
      <c r="E1427" t="s">
        <v>392</v>
      </c>
      <c r="F1427" t="s">
        <v>398</v>
      </c>
      <c r="G1427">
        <v>1471</v>
      </c>
      <c r="H1427" t="s">
        <v>9333</v>
      </c>
      <c r="I1427" s="871">
        <v>46293.93683766204</v>
      </c>
      <c r="J1427" t="s">
        <v>9528</v>
      </c>
      <c r="K1427" s="975" t="str">
        <f>IF(COUNTIFS(tblControles[Clave],tblControles[[#This Row],[Clave]])&gt;1,"Duplicado","")</f>
        <v/>
      </c>
    </row>
    <row r="1428" spans="2:11">
      <c r="B1428" s="975" t="str">
        <f>tblControles[[#This Row],[Fecha]]&amp;"|"&amp;tblControles[[#This Row],[Módulo]]&amp;"|"&amp;tblControles[[#This Row],[Ítem]]&amp;"|"&amp;tblControles[[#This Row],[Turno]]</f>
        <v>46281|TONELADAS X TURNO|Molino barras 7|1° turno</v>
      </c>
      <c r="C1428" s="871">
        <v>46281</v>
      </c>
      <c r="D1428" t="s">
        <v>9449</v>
      </c>
      <c r="E1428" t="s">
        <v>393</v>
      </c>
      <c r="F1428" t="s">
        <v>396</v>
      </c>
      <c r="G1428">
        <v>1560</v>
      </c>
      <c r="H1428" t="s">
        <v>9333</v>
      </c>
      <c r="I1428" s="871">
        <v>46293.93683766204</v>
      </c>
      <c r="J1428" t="s">
        <v>9528</v>
      </c>
      <c r="K1428" s="975" t="str">
        <f>IF(COUNTIFS(tblControles[Clave],tblControles[[#This Row],[Clave]])&gt;1,"Duplicado","")</f>
        <v/>
      </c>
    </row>
    <row r="1429" spans="2:11">
      <c r="B1429" s="975" t="str">
        <f>tblControles[[#This Row],[Fecha]]&amp;"|"&amp;tblControles[[#This Row],[Módulo]]&amp;"|"&amp;tblControles[[#This Row],[Ítem]]&amp;"|"&amp;tblControles[[#This Row],[Turno]]</f>
        <v>46281|TONELADAS X TURNO|Molino barras 7|2° turno</v>
      </c>
      <c r="C1429" s="871">
        <v>46281</v>
      </c>
      <c r="D1429" t="s">
        <v>9449</v>
      </c>
      <c r="E1429" t="s">
        <v>393</v>
      </c>
      <c r="F1429" t="s">
        <v>397</v>
      </c>
      <c r="G1429">
        <v>1446</v>
      </c>
      <c r="H1429" t="s">
        <v>9333</v>
      </c>
      <c r="I1429" s="871">
        <v>46293.93683766204</v>
      </c>
      <c r="J1429" t="s">
        <v>9528</v>
      </c>
      <c r="K1429" s="975" t="str">
        <f>IF(COUNTIFS(tblControles[Clave],tblControles[[#This Row],[Clave]])&gt;1,"Duplicado","")</f>
        <v/>
      </c>
    </row>
    <row r="1430" spans="2:11">
      <c r="B1430" s="975" t="str">
        <f>tblControles[[#This Row],[Fecha]]&amp;"|"&amp;tblControles[[#This Row],[Módulo]]&amp;"|"&amp;tblControles[[#This Row],[Ítem]]&amp;"|"&amp;tblControles[[#This Row],[Turno]]</f>
        <v>46281|TONELADAS X TURNO|Molino barras 7|3° turno</v>
      </c>
      <c r="C1430" s="871">
        <v>46281</v>
      </c>
      <c r="D1430" t="s">
        <v>9449</v>
      </c>
      <c r="E1430" t="s">
        <v>393</v>
      </c>
      <c r="F1430" t="s">
        <v>398</v>
      </c>
      <c r="G1430">
        <v>948</v>
      </c>
      <c r="H1430" t="s">
        <v>9333</v>
      </c>
      <c r="I1430" s="871">
        <v>46293.93683766204</v>
      </c>
      <c r="J1430" t="s">
        <v>9528</v>
      </c>
      <c r="K1430" s="975" t="str">
        <f>IF(COUNTIFS(tblControles[Clave],tblControles[[#This Row],[Clave]])&gt;1,"Duplicado","")</f>
        <v/>
      </c>
    </row>
    <row r="1431" spans="2:11">
      <c r="B1431" s="975" t="str">
        <f>tblControles[[#This Row],[Fecha]]&amp;"|"&amp;tblControles[[#This Row],[Módulo]]&amp;"|"&amp;tblControles[[#This Row],[Ítem]]&amp;"|"&amp;tblControles[[#This Row],[Turno]]</f>
        <v>46281|TONELADAS X TURNO|Molino barras 8|1° turno</v>
      </c>
      <c r="C1431" s="871">
        <v>46281</v>
      </c>
      <c r="D1431" t="s">
        <v>9449</v>
      </c>
      <c r="E1431" t="s">
        <v>394</v>
      </c>
      <c r="F1431" t="s">
        <v>396</v>
      </c>
      <c r="G1431">
        <v>1503</v>
      </c>
      <c r="H1431" t="s">
        <v>9333</v>
      </c>
      <c r="I1431" s="871">
        <v>46293.93683766204</v>
      </c>
      <c r="J1431" t="s">
        <v>9528</v>
      </c>
      <c r="K1431" s="975" t="str">
        <f>IF(COUNTIFS(tblControles[Clave],tblControles[[#This Row],[Clave]])&gt;1,"Duplicado","")</f>
        <v/>
      </c>
    </row>
    <row r="1432" spans="2:11">
      <c r="B1432" s="975" t="str">
        <f>tblControles[[#This Row],[Fecha]]&amp;"|"&amp;tblControles[[#This Row],[Módulo]]&amp;"|"&amp;tblControles[[#This Row],[Ítem]]&amp;"|"&amp;tblControles[[#This Row],[Turno]]</f>
        <v>46281|TONELADAS X TURNO|Molino barras 8|2° turno</v>
      </c>
      <c r="C1432" s="871">
        <v>46281</v>
      </c>
      <c r="D1432" t="s">
        <v>9449</v>
      </c>
      <c r="E1432" t="s">
        <v>394</v>
      </c>
      <c r="F1432" t="s">
        <v>397</v>
      </c>
      <c r="G1432">
        <v>1486</v>
      </c>
      <c r="H1432" t="s">
        <v>9333</v>
      </c>
      <c r="I1432" s="871">
        <v>46293.93683766204</v>
      </c>
      <c r="J1432" t="s">
        <v>9528</v>
      </c>
      <c r="K1432" s="975" t="str">
        <f>IF(COUNTIFS(tblControles[Clave],tblControles[[#This Row],[Clave]])&gt;1,"Duplicado","")</f>
        <v/>
      </c>
    </row>
    <row r="1433" spans="2:11">
      <c r="B1433" s="975" t="str">
        <f>tblControles[[#This Row],[Fecha]]&amp;"|"&amp;tblControles[[#This Row],[Módulo]]&amp;"|"&amp;tblControles[[#This Row],[Ítem]]&amp;"|"&amp;tblControles[[#This Row],[Turno]]</f>
        <v>46281|TONELADAS X TURNO|Molino barras 8|3° turno</v>
      </c>
      <c r="C1433" s="871">
        <v>46281</v>
      </c>
      <c r="D1433" t="s">
        <v>9449</v>
      </c>
      <c r="E1433" t="s">
        <v>394</v>
      </c>
      <c r="F1433" t="s">
        <v>398</v>
      </c>
      <c r="G1433">
        <v>1459</v>
      </c>
      <c r="H1433" t="s">
        <v>9333</v>
      </c>
      <c r="I1433" s="871">
        <v>46293.93683766204</v>
      </c>
      <c r="J1433" t="s">
        <v>9528</v>
      </c>
      <c r="K1433" s="975" t="str">
        <f>IF(COUNTIFS(tblControles[Clave],tblControles[[#This Row],[Clave]])&gt;1,"Duplicado","")</f>
        <v/>
      </c>
    </row>
    <row r="1434" spans="2:11">
      <c r="B1434" s="975" t="str">
        <f>tblControles[[#This Row],[Fecha]]&amp;"|"&amp;tblControles[[#This Row],[Módulo]]&amp;"|"&amp;tblControles[[#This Row],[Ítem]]&amp;"|"&amp;tblControles[[#This Row],[Turno]]</f>
        <v>46281|TONELADAS X TURNO|Molino barras 9|1° turno</v>
      </c>
      <c r="C1434" s="871">
        <v>46281</v>
      </c>
      <c r="D1434" t="s">
        <v>9449</v>
      </c>
      <c r="E1434" t="s">
        <v>395</v>
      </c>
      <c r="F1434" t="s">
        <v>396</v>
      </c>
      <c r="G1434">
        <v>1623</v>
      </c>
      <c r="H1434" t="s">
        <v>9333</v>
      </c>
      <c r="I1434" s="871">
        <v>46293.93683766204</v>
      </c>
      <c r="J1434" t="s">
        <v>9528</v>
      </c>
      <c r="K1434" s="975" t="str">
        <f>IF(COUNTIFS(tblControles[Clave],tblControles[[#This Row],[Clave]])&gt;1,"Duplicado","")</f>
        <v/>
      </c>
    </row>
    <row r="1435" spans="2:11">
      <c r="B1435" s="975" t="str">
        <f>tblControles[[#This Row],[Fecha]]&amp;"|"&amp;tblControles[[#This Row],[Módulo]]&amp;"|"&amp;tblControles[[#This Row],[Ítem]]&amp;"|"&amp;tblControles[[#This Row],[Turno]]</f>
        <v>46281|TONELADAS X TURNO|Molino barras 9|2° turno</v>
      </c>
      <c r="C1435" s="871">
        <v>46281</v>
      </c>
      <c r="D1435" t="s">
        <v>9449</v>
      </c>
      <c r="E1435" t="s">
        <v>395</v>
      </c>
      <c r="F1435" t="s">
        <v>397</v>
      </c>
      <c r="G1435">
        <v>1712</v>
      </c>
      <c r="H1435" t="s">
        <v>9333</v>
      </c>
      <c r="I1435" s="871">
        <v>46293.93683766204</v>
      </c>
      <c r="J1435" t="s">
        <v>9528</v>
      </c>
      <c r="K1435" s="975" t="str">
        <f>IF(COUNTIFS(tblControles[Clave],tblControles[[#This Row],[Clave]])&gt;1,"Duplicado","")</f>
        <v/>
      </c>
    </row>
    <row r="1436" spans="2:11">
      <c r="B1436" s="975" t="str">
        <f>tblControles[[#This Row],[Fecha]]&amp;"|"&amp;tblControles[[#This Row],[Módulo]]&amp;"|"&amp;tblControles[[#This Row],[Ítem]]&amp;"|"&amp;tblControles[[#This Row],[Turno]]</f>
        <v>46281|TONELADAS X TURNO|Molino barras 9|3° turno</v>
      </c>
      <c r="C1436" s="871">
        <v>46281</v>
      </c>
      <c r="D1436" t="s">
        <v>9449</v>
      </c>
      <c r="E1436" t="s">
        <v>395</v>
      </c>
      <c r="F1436" t="s">
        <v>398</v>
      </c>
      <c r="G1436">
        <v>1785</v>
      </c>
      <c r="H1436" t="s">
        <v>9333</v>
      </c>
      <c r="I1436" s="871">
        <v>46293.93683766204</v>
      </c>
      <c r="J1436" t="s">
        <v>9528</v>
      </c>
      <c r="K1436" s="975" t="str">
        <f>IF(COUNTIFS(tblControles[Clave],tblControles[[#This Row],[Clave]])&gt;1,"Duplicado","")</f>
        <v/>
      </c>
    </row>
    <row r="1437" spans="2:11">
      <c r="B1437" s="975" t="str">
        <f>tblControles[[#This Row],[Fecha]]&amp;"|"&amp;tblControles[[#This Row],[Módulo]]&amp;"|"&amp;tblControles[[#This Row],[Ítem]]&amp;"|"&amp;tblControles[[#This Row],[Turno]]</f>
        <v>46282|AGREGADO MEDIOS|BARRAS RM1|Cantidad</v>
      </c>
      <c r="C1437" s="871">
        <v>46282</v>
      </c>
      <c r="D1437" t="s">
        <v>9451</v>
      </c>
      <c r="E1437" t="s">
        <v>410</v>
      </c>
      <c r="F1437" t="s">
        <v>9453</v>
      </c>
      <c r="G1437">
        <v>0</v>
      </c>
      <c r="H1437" t="s">
        <v>9333</v>
      </c>
      <c r="I1437" s="871">
        <v>46293.93683766204</v>
      </c>
      <c r="J1437" t="s">
        <v>9524</v>
      </c>
      <c r="K1437" s="975" t="str">
        <f>IF(COUNTIFS(tblControles[Clave],tblControles[[#This Row],[Clave]])&gt;1,"Duplicado","")</f>
        <v/>
      </c>
    </row>
    <row r="1438" spans="2:11">
      <c r="B1438" s="975" t="str">
        <f>tblControles[[#This Row],[Fecha]]&amp;"|"&amp;tblControles[[#This Row],[Módulo]]&amp;"|"&amp;tblControles[[#This Row],[Ítem]]&amp;"|"&amp;tblControles[[#This Row],[Turno]]</f>
        <v>46282|AGREGADO MEDIOS|BARRAS RM2|Cantidad</v>
      </c>
      <c r="C1438" s="871">
        <v>46282</v>
      </c>
      <c r="D1438" t="s">
        <v>9451</v>
      </c>
      <c r="E1438" t="s">
        <v>411</v>
      </c>
      <c r="F1438" t="s">
        <v>9453</v>
      </c>
      <c r="G1438">
        <v>0</v>
      </c>
      <c r="H1438" t="s">
        <v>9333</v>
      </c>
      <c r="I1438" s="871">
        <v>46293.93683766204</v>
      </c>
      <c r="J1438" t="s">
        <v>9524</v>
      </c>
      <c r="K1438" s="975" t="str">
        <f>IF(COUNTIFS(tblControles[Clave],tblControles[[#This Row],[Clave]])&gt;1,"Duplicado","")</f>
        <v/>
      </c>
    </row>
    <row r="1439" spans="2:11">
      <c r="B1439" s="975" t="str">
        <f>tblControles[[#This Row],[Fecha]]&amp;"|"&amp;tblControles[[#This Row],[Módulo]]&amp;"|"&amp;tblControles[[#This Row],[Ítem]]&amp;"|"&amp;tblControles[[#This Row],[Turno]]</f>
        <v>46282|AGREGADO MEDIOS|BARRAS RM3|Cantidad</v>
      </c>
      <c r="C1439" s="871">
        <v>46282</v>
      </c>
      <c r="D1439" t="s">
        <v>9451</v>
      </c>
      <c r="E1439" t="s">
        <v>412</v>
      </c>
      <c r="F1439" t="s">
        <v>9453</v>
      </c>
      <c r="G1439">
        <v>0</v>
      </c>
      <c r="H1439" t="s">
        <v>9333</v>
      </c>
      <c r="I1439" s="871">
        <v>46293.93683766204</v>
      </c>
      <c r="J1439" t="s">
        <v>9524</v>
      </c>
      <c r="K1439" s="975" t="str">
        <f>IF(COUNTIFS(tblControles[Clave],tblControles[[#This Row],[Clave]])&gt;1,"Duplicado","")</f>
        <v/>
      </c>
    </row>
    <row r="1440" spans="2:11">
      <c r="B1440" s="975" t="str">
        <f>tblControles[[#This Row],[Fecha]]&amp;"|"&amp;tblControles[[#This Row],[Módulo]]&amp;"|"&amp;tblControles[[#This Row],[Ítem]]&amp;"|"&amp;tblControles[[#This Row],[Turno]]</f>
        <v>46282|AGREGADO MEDIOS|BARRAS RM4|Cantidad</v>
      </c>
      <c r="C1440" s="871">
        <v>46282</v>
      </c>
      <c r="D1440" t="s">
        <v>9451</v>
      </c>
      <c r="E1440" t="s">
        <v>413</v>
      </c>
      <c r="F1440" t="s">
        <v>9453</v>
      </c>
      <c r="G1440">
        <v>0</v>
      </c>
      <c r="H1440" t="s">
        <v>9333</v>
      </c>
      <c r="I1440" s="871">
        <v>46293.93683766204</v>
      </c>
      <c r="J1440" t="s">
        <v>9524</v>
      </c>
      <c r="K1440" s="975" t="str">
        <f>IF(COUNTIFS(tblControles[Clave],tblControles[[#This Row],[Clave]])&gt;1,"Duplicado","")</f>
        <v/>
      </c>
    </row>
    <row r="1441" spans="2:11">
      <c r="B1441" s="975" t="str">
        <f>tblControles[[#This Row],[Fecha]]&amp;"|"&amp;tblControles[[#This Row],[Módulo]]&amp;"|"&amp;tblControles[[#This Row],[Ítem]]&amp;"|"&amp;tblControles[[#This Row],[Turno]]</f>
        <v>46282|AGREGADO MEDIOS|BARRAS RM5|Cantidad</v>
      </c>
      <c r="C1441" s="871">
        <v>46282</v>
      </c>
      <c r="D1441" t="s">
        <v>9451</v>
      </c>
      <c r="E1441" t="s">
        <v>414</v>
      </c>
      <c r="F1441" t="s">
        <v>9453</v>
      </c>
      <c r="G1441">
        <v>0</v>
      </c>
      <c r="H1441" t="s">
        <v>9333</v>
      </c>
      <c r="I1441" s="871">
        <v>46293.93683766204</v>
      </c>
      <c r="J1441" t="s">
        <v>9524</v>
      </c>
      <c r="K1441" s="975" t="str">
        <f>IF(COUNTIFS(tblControles[Clave],tblControles[[#This Row],[Clave]])&gt;1,"Duplicado","")</f>
        <v/>
      </c>
    </row>
    <row r="1442" spans="2:11">
      <c r="B1442" s="975" t="str">
        <f>tblControles[[#This Row],[Fecha]]&amp;"|"&amp;tblControles[[#This Row],[Módulo]]&amp;"|"&amp;tblControles[[#This Row],[Ítem]]&amp;"|"&amp;tblControles[[#This Row],[Turno]]</f>
        <v>46282|AGREGADO MEDIOS|BARRAS RM6|Cantidad</v>
      </c>
      <c r="C1442" s="871">
        <v>46282</v>
      </c>
      <c r="D1442" t="s">
        <v>9451</v>
      </c>
      <c r="E1442" t="s">
        <v>415</v>
      </c>
      <c r="F1442" t="s">
        <v>9453</v>
      </c>
      <c r="G1442">
        <v>0</v>
      </c>
      <c r="H1442" t="s">
        <v>9333</v>
      </c>
      <c r="I1442" s="871">
        <v>46293.93683766204</v>
      </c>
      <c r="J1442" t="s">
        <v>9524</v>
      </c>
      <c r="K1442" s="975" t="str">
        <f>IF(COUNTIFS(tblControles[Clave],tblControles[[#This Row],[Clave]])&gt;1,"Duplicado","")</f>
        <v/>
      </c>
    </row>
    <row r="1443" spans="2:11">
      <c r="B1443" s="975" t="str">
        <f>tblControles[[#This Row],[Fecha]]&amp;"|"&amp;tblControles[[#This Row],[Módulo]]&amp;"|"&amp;tblControles[[#This Row],[Ítem]]&amp;"|"&amp;tblControles[[#This Row],[Turno]]</f>
        <v>46282|AGREGADO MEDIOS|BARRAS RM7|Cantidad</v>
      </c>
      <c r="C1443" s="871">
        <v>46282</v>
      </c>
      <c r="D1443" t="s">
        <v>9451</v>
      </c>
      <c r="E1443" t="s">
        <v>416</v>
      </c>
      <c r="F1443" t="s">
        <v>9453</v>
      </c>
      <c r="G1443">
        <v>0</v>
      </c>
      <c r="H1443" t="s">
        <v>9333</v>
      </c>
      <c r="I1443" s="871">
        <v>46293.93683766204</v>
      </c>
      <c r="J1443" t="s">
        <v>9524</v>
      </c>
      <c r="K1443" s="975" t="str">
        <f>IF(COUNTIFS(tblControles[Clave],tblControles[[#This Row],[Clave]])&gt;1,"Duplicado","")</f>
        <v/>
      </c>
    </row>
    <row r="1444" spans="2:11">
      <c r="B1444" s="975" t="str">
        <f>tblControles[[#This Row],[Fecha]]&amp;"|"&amp;tblControles[[#This Row],[Módulo]]&amp;"|"&amp;tblControles[[#This Row],[Ítem]]&amp;"|"&amp;tblControles[[#This Row],[Turno]]</f>
        <v>46282|AGREGADO MEDIOS|BARRAS RM8|Cantidad</v>
      </c>
      <c r="C1444" s="871">
        <v>46282</v>
      </c>
      <c r="D1444" t="s">
        <v>9451</v>
      </c>
      <c r="E1444" t="s">
        <v>417</v>
      </c>
      <c r="F1444" t="s">
        <v>9453</v>
      </c>
      <c r="G1444">
        <v>0</v>
      </c>
      <c r="H1444" t="s">
        <v>9333</v>
      </c>
      <c r="I1444" s="871">
        <v>46293.93683766204</v>
      </c>
      <c r="J1444" t="s">
        <v>9524</v>
      </c>
      <c r="K1444" s="975" t="str">
        <f>IF(COUNTIFS(tblControles[Clave],tblControles[[#This Row],[Clave]])&gt;1,"Duplicado","")</f>
        <v/>
      </c>
    </row>
    <row r="1445" spans="2:11">
      <c r="B1445" s="975" t="str">
        <f>tblControles[[#This Row],[Fecha]]&amp;"|"&amp;tblControles[[#This Row],[Módulo]]&amp;"|"&amp;tblControles[[#This Row],[Ítem]]&amp;"|"&amp;tblControles[[#This Row],[Turno]]</f>
        <v>46282|AGREGADO MEDIOS|BARRAS 9 RM9|Cantidad</v>
      </c>
      <c r="C1445" s="871">
        <v>46282</v>
      </c>
      <c r="D1445" t="s">
        <v>9451</v>
      </c>
      <c r="E1445" t="s">
        <v>418</v>
      </c>
      <c r="F1445" t="s">
        <v>9453</v>
      </c>
      <c r="G1445">
        <v>0</v>
      </c>
      <c r="H1445" t="s">
        <v>9333</v>
      </c>
      <c r="I1445" s="871">
        <v>46293.93683766204</v>
      </c>
      <c r="J1445" t="s">
        <v>9524</v>
      </c>
      <c r="K1445" s="975" t="str">
        <f>IF(COUNTIFS(tblControles[Clave],tblControles[[#This Row],[Clave]])&gt;1,"Duplicado","")</f>
        <v/>
      </c>
    </row>
    <row r="1446" spans="2:11">
      <c r="B1446" s="975" t="str">
        <f>tblControles[[#This Row],[Fecha]]&amp;"|"&amp;tblControles[[#This Row],[Módulo]]&amp;"|"&amp;tblControles[[#This Row],[Ítem]]&amp;"|"&amp;tblControles[[#This Row],[Turno]]</f>
        <v>46282|AGREGADO MEDIOS|CONOS 40X50 BM1|Cantidad</v>
      </c>
      <c r="C1446" s="871">
        <v>46282</v>
      </c>
      <c r="D1446" t="s">
        <v>9451</v>
      </c>
      <c r="E1446" t="s">
        <v>420</v>
      </c>
      <c r="F1446" t="s">
        <v>9453</v>
      </c>
      <c r="G1446">
        <v>4</v>
      </c>
      <c r="H1446" t="s">
        <v>9333</v>
      </c>
      <c r="I1446" s="871">
        <v>46293.93683766204</v>
      </c>
      <c r="J1446" t="s">
        <v>9524</v>
      </c>
      <c r="K1446" s="975" t="str">
        <f>IF(COUNTIFS(tblControles[Clave],tblControles[[#This Row],[Clave]])&gt;1,"Duplicado","")</f>
        <v/>
      </c>
    </row>
    <row r="1447" spans="2:11">
      <c r="B1447" s="975" t="str">
        <f>tblControles[[#This Row],[Fecha]]&amp;"|"&amp;tblControles[[#This Row],[Módulo]]&amp;"|"&amp;tblControles[[#This Row],[Ítem]]&amp;"|"&amp;tblControles[[#This Row],[Turno]]</f>
        <v>46282|AGREGADO MEDIOS|CONOS 40X50 BM2|Cantidad</v>
      </c>
      <c r="C1447" s="871">
        <v>46282</v>
      </c>
      <c r="D1447" t="s">
        <v>9451</v>
      </c>
      <c r="E1447" t="s">
        <v>421</v>
      </c>
      <c r="F1447" t="s">
        <v>9453</v>
      </c>
      <c r="G1447">
        <v>2</v>
      </c>
      <c r="H1447" t="s">
        <v>9333</v>
      </c>
      <c r="I1447" s="871">
        <v>46293.93683766204</v>
      </c>
      <c r="J1447" t="s">
        <v>9524</v>
      </c>
      <c r="K1447" s="975" t="str">
        <f>IF(COUNTIFS(tblControles[Clave],tblControles[[#This Row],[Clave]])&gt;1,"Duplicado","")</f>
        <v/>
      </c>
    </row>
    <row r="1448" spans="2:11">
      <c r="B1448" s="975" t="str">
        <f>tblControles[[#This Row],[Fecha]]&amp;"|"&amp;tblControles[[#This Row],[Módulo]]&amp;"|"&amp;tblControles[[#This Row],[Ítem]]&amp;"|"&amp;tblControles[[#This Row],[Turno]]</f>
        <v>46282|AGREGADO MEDIOS|CONOS 40X50 BM3|Cantidad</v>
      </c>
      <c r="C1448" s="871">
        <v>46282</v>
      </c>
      <c r="D1448" t="s">
        <v>9451</v>
      </c>
      <c r="E1448" t="s">
        <v>422</v>
      </c>
      <c r="F1448" t="s">
        <v>9453</v>
      </c>
      <c r="G1448">
        <v>0</v>
      </c>
      <c r="H1448" t="s">
        <v>9333</v>
      </c>
      <c r="I1448" s="871">
        <v>46293.93683766204</v>
      </c>
      <c r="J1448" t="s">
        <v>9524</v>
      </c>
      <c r="K1448" s="975" t="str">
        <f>IF(COUNTIFS(tblControles[Clave],tblControles[[#This Row],[Clave]])&gt;1,"Duplicado","")</f>
        <v/>
      </c>
    </row>
    <row r="1449" spans="2:11">
      <c r="B1449" s="975" t="str">
        <f>tblControles[[#This Row],[Fecha]]&amp;"|"&amp;tblControles[[#This Row],[Módulo]]&amp;"|"&amp;tblControles[[#This Row],[Ítem]]&amp;"|"&amp;tblControles[[#This Row],[Turno]]</f>
        <v>46282|AGREGADO MEDIOS|CONOS 40X50 BM4|Cantidad</v>
      </c>
      <c r="C1449" s="871">
        <v>46282</v>
      </c>
      <c r="D1449" t="s">
        <v>9451</v>
      </c>
      <c r="E1449" t="s">
        <v>423</v>
      </c>
      <c r="F1449" t="s">
        <v>9453</v>
      </c>
      <c r="G1449">
        <v>4</v>
      </c>
      <c r="H1449" t="s">
        <v>9333</v>
      </c>
      <c r="I1449" s="871">
        <v>46293.93683766204</v>
      </c>
      <c r="J1449" t="s">
        <v>9524</v>
      </c>
      <c r="K1449" s="975" t="str">
        <f>IF(COUNTIFS(tblControles[Clave],tblControles[[#This Row],[Clave]])&gt;1,"Duplicado","")</f>
        <v/>
      </c>
    </row>
    <row r="1450" spans="2:11">
      <c r="B1450" s="975" t="str">
        <f>tblControles[[#This Row],[Fecha]]&amp;"|"&amp;tblControles[[#This Row],[Módulo]]&amp;"|"&amp;tblControles[[#This Row],[Ítem]]&amp;"|"&amp;tblControles[[#This Row],[Turno]]</f>
        <v>46282|AGREGADO MEDIOS|CONOS 30X35 BM5|Cantidad</v>
      </c>
      <c r="C1450" s="871">
        <v>46282</v>
      </c>
      <c r="D1450" t="s">
        <v>9451</v>
      </c>
      <c r="E1450" t="s">
        <v>424</v>
      </c>
      <c r="F1450" t="s">
        <v>9453</v>
      </c>
      <c r="G1450">
        <v>4</v>
      </c>
      <c r="H1450" t="s">
        <v>9333</v>
      </c>
      <c r="I1450" s="871">
        <v>46293.93683766204</v>
      </c>
      <c r="J1450" t="s">
        <v>9524</v>
      </c>
      <c r="K1450" s="975" t="str">
        <f>IF(COUNTIFS(tblControles[Clave],tblControles[[#This Row],[Clave]])&gt;1,"Duplicado","")</f>
        <v/>
      </c>
    </row>
    <row r="1451" spans="2:11">
      <c r="B1451" s="975" t="str">
        <f>tblControles[[#This Row],[Fecha]]&amp;"|"&amp;tblControles[[#This Row],[Módulo]]&amp;"|"&amp;tblControles[[#This Row],[Ítem]]&amp;"|"&amp;tblControles[[#This Row],[Turno]]</f>
        <v>46282|AGREGADO MEDIOS|CONOS 40X50 BM6|Cantidad</v>
      </c>
      <c r="C1451" s="871">
        <v>46282</v>
      </c>
      <c r="D1451" t="s">
        <v>9451</v>
      </c>
      <c r="E1451" t="s">
        <v>425</v>
      </c>
      <c r="F1451" t="s">
        <v>9453</v>
      </c>
      <c r="G1451">
        <v>6</v>
      </c>
      <c r="H1451" t="s">
        <v>9333</v>
      </c>
      <c r="I1451" s="871">
        <v>46293.93683766204</v>
      </c>
      <c r="J1451" t="s">
        <v>9524</v>
      </c>
      <c r="K1451" s="975" t="str">
        <f>IF(COUNTIFS(tblControles[Clave],tblControles[[#This Row],[Clave]])&gt;1,"Duplicado","")</f>
        <v/>
      </c>
    </row>
    <row r="1452" spans="2:11">
      <c r="B1452" s="975" t="str">
        <f>tblControles[[#This Row],[Fecha]]&amp;"|"&amp;tblControles[[#This Row],[Módulo]]&amp;"|"&amp;tblControles[[#This Row],[Ítem]]&amp;"|"&amp;tblControles[[#This Row],[Turno]]</f>
        <v>46282|AGREGADO MEDIOS|CONOS 40X50 BM7|Cantidad</v>
      </c>
      <c r="C1452" s="871">
        <v>46282</v>
      </c>
      <c r="D1452" t="s">
        <v>9451</v>
      </c>
      <c r="E1452" t="s">
        <v>426</v>
      </c>
      <c r="F1452" t="s">
        <v>9453</v>
      </c>
      <c r="G1452">
        <v>0</v>
      </c>
      <c r="H1452" t="s">
        <v>9333</v>
      </c>
      <c r="I1452" s="871">
        <v>46293.93683766204</v>
      </c>
      <c r="J1452" t="s">
        <v>9524</v>
      </c>
      <c r="K1452" s="975" t="str">
        <f>IF(COUNTIFS(tblControles[Clave],tblControles[[#This Row],[Clave]])&gt;1,"Duplicado","")</f>
        <v/>
      </c>
    </row>
    <row r="1453" spans="2:11">
      <c r="B1453" s="975" t="str">
        <f>tblControles[[#This Row],[Fecha]]&amp;"|"&amp;tblControles[[#This Row],[Módulo]]&amp;"|"&amp;tblControles[[#This Row],[Ítem]]&amp;"|"&amp;tblControles[[#This Row],[Turno]]</f>
        <v>46282|AGREGADO MEDIOS|CONOS 40X50|Cantidad</v>
      </c>
      <c r="C1453" s="871">
        <v>46282</v>
      </c>
      <c r="D1453" t="s">
        <v>9451</v>
      </c>
      <c r="E1453" t="s">
        <v>427</v>
      </c>
      <c r="F1453" t="s">
        <v>9453</v>
      </c>
      <c r="G1453">
        <v>4</v>
      </c>
      <c r="H1453" t="s">
        <v>9333</v>
      </c>
      <c r="I1453" s="871">
        <v>46293.93683766204</v>
      </c>
      <c r="J1453" t="s">
        <v>9524</v>
      </c>
      <c r="K1453" s="975" t="str">
        <f>IF(COUNTIFS(tblControles[Clave],tblControles[[#This Row],[Clave]])&gt;1,"Duplicado","")</f>
        <v/>
      </c>
    </row>
    <row r="1454" spans="2:11">
      <c r="B1454" s="975" t="str">
        <f>tblControles[[#This Row],[Fecha]]&amp;"|"&amp;tblControles[[#This Row],[Módulo]]&amp;"|"&amp;tblControles[[#This Row],[Ítem]]&amp;"|"&amp;tblControles[[#This Row],[Turno]]</f>
        <v>46282|AGREGADO MEDIOS|CONOS 30X35|Cantidad</v>
      </c>
      <c r="C1454" s="871">
        <v>46282</v>
      </c>
      <c r="D1454" t="s">
        <v>9451</v>
      </c>
      <c r="E1454" t="s">
        <v>428</v>
      </c>
      <c r="F1454" t="s">
        <v>9453</v>
      </c>
      <c r="G1454">
        <v>16</v>
      </c>
      <c r="H1454" t="s">
        <v>9333</v>
      </c>
      <c r="I1454" s="871">
        <v>46293.93683766204</v>
      </c>
      <c r="J1454" t="s">
        <v>9524</v>
      </c>
      <c r="K1454" s="975" t="str">
        <f>IF(COUNTIFS(tblControles[Clave],tblControles[[#This Row],[Clave]])&gt;1,"Duplicado","")</f>
        <v/>
      </c>
    </row>
    <row r="1455" spans="2:11">
      <c r="B1455" s="975" t="str">
        <f>tblControles[[#This Row],[Fecha]]&amp;"|"&amp;tblControles[[#This Row],[Módulo]]&amp;"|"&amp;tblControles[[#This Row],[Ítem]]&amp;"|"&amp;tblControles[[#This Row],[Turno]]</f>
        <v>46282|AGREGADO MEDIOS|BOLAS BM8|Cantidad</v>
      </c>
      <c r="C1455" s="871">
        <v>46282</v>
      </c>
      <c r="D1455" t="s">
        <v>9451</v>
      </c>
      <c r="E1455" t="s">
        <v>429</v>
      </c>
      <c r="F1455" t="s">
        <v>9453</v>
      </c>
      <c r="G1455">
        <v>0</v>
      </c>
      <c r="H1455" t="s">
        <v>9333</v>
      </c>
      <c r="I1455" s="871">
        <v>46293.93683766204</v>
      </c>
      <c r="J1455" t="s">
        <v>9524</v>
      </c>
      <c r="K1455" s="975" t="str">
        <f>IF(COUNTIFS(tblControles[Clave],tblControles[[#This Row],[Clave]])&gt;1,"Duplicado","")</f>
        <v/>
      </c>
    </row>
    <row r="1456" spans="2:11">
      <c r="B1456" s="975" t="str">
        <f>tblControles[[#This Row],[Fecha]]&amp;"|"&amp;tblControles[[#This Row],[Módulo]]&amp;"|"&amp;tblControles[[#This Row],[Ítem]]&amp;"|"&amp;tblControles[[#This Row],[Turno]]</f>
        <v>46282|AGREGADO MEDIOS|BOLAS BM9|Cantidad</v>
      </c>
      <c r="C1456" s="871">
        <v>46282</v>
      </c>
      <c r="D1456" t="s">
        <v>9451</v>
      </c>
      <c r="E1456" t="s">
        <v>430</v>
      </c>
      <c r="F1456" t="s">
        <v>9453</v>
      </c>
      <c r="G1456">
        <v>7</v>
      </c>
      <c r="H1456" t="s">
        <v>9333</v>
      </c>
      <c r="I1456" s="871">
        <v>46293.93683766204</v>
      </c>
      <c r="J1456" t="s">
        <v>9524</v>
      </c>
      <c r="K1456" s="975" t="str">
        <f>IF(COUNTIFS(tblControles[Clave],tblControles[[#This Row],[Clave]])&gt;1,"Duplicado","")</f>
        <v/>
      </c>
    </row>
    <row r="1457" spans="2:11">
      <c r="B1457" s="975" t="str">
        <f>tblControles[[#This Row],[Fecha]]&amp;"|"&amp;tblControles[[#This Row],[Módulo]]&amp;"|"&amp;tblControles[[#This Row],[Ítem]]&amp;"|"&amp;tblControles[[#This Row],[Turno]]</f>
        <v>46282|AGREGADO MEDIOS|BOLAS BM10|Cantidad</v>
      </c>
      <c r="C1457" s="871">
        <v>46282</v>
      </c>
      <c r="D1457" t="s">
        <v>9451</v>
      </c>
      <c r="E1457" t="s">
        <v>431</v>
      </c>
      <c r="F1457" t="s">
        <v>9453</v>
      </c>
      <c r="G1457">
        <v>0</v>
      </c>
      <c r="H1457" t="s">
        <v>9333</v>
      </c>
      <c r="I1457" s="871">
        <v>46293.93683766204</v>
      </c>
      <c r="J1457" t="s">
        <v>9524</v>
      </c>
      <c r="K1457" s="975" t="str">
        <f>IF(COUNTIFS(tblControles[Clave],tblControles[[#This Row],[Clave]])&gt;1,"Duplicado","")</f>
        <v/>
      </c>
    </row>
    <row r="1458" spans="2:11">
      <c r="B1458" s="975" t="str">
        <f>tblControles[[#This Row],[Fecha]]&amp;"|"&amp;tblControles[[#This Row],[Módulo]]&amp;"|"&amp;tblControles[[#This Row],[Ítem]]&amp;"|"&amp;tblControles[[#This Row],[Turno]]</f>
        <v>46282|AGREGADO MEDIOS|BOLAS ALTO CROM|Cantidad</v>
      </c>
      <c r="C1458" s="871">
        <v>46282</v>
      </c>
      <c r="D1458" t="s">
        <v>9451</v>
      </c>
      <c r="E1458" t="s">
        <v>432</v>
      </c>
      <c r="F1458" t="s">
        <v>9453</v>
      </c>
      <c r="G1458">
        <v>7</v>
      </c>
      <c r="H1458" t="s">
        <v>9333</v>
      </c>
      <c r="I1458" s="871">
        <v>46293.93683766204</v>
      </c>
      <c r="J1458" t="s">
        <v>9524</v>
      </c>
      <c r="K1458" s="975" t="str">
        <f>IF(COUNTIFS(tblControles[Clave],tblControles[[#This Row],[Clave]])&gt;1,"Duplicado","")</f>
        <v/>
      </c>
    </row>
    <row r="1459" spans="2:11">
      <c r="B1459" s="975" t="str">
        <f>tblControles[[#This Row],[Fecha]]&amp;"|"&amp;tblControles[[#This Row],[Módulo]]&amp;"|"&amp;tblControles[[#This Row],[Ítem]]&amp;"|"&amp;tblControles[[#This Row],[Turno]]</f>
        <v>46282|PURGA TKS AIRE|TK-MG-S. ROTULO|3er Turno</v>
      </c>
      <c r="C1459" s="871">
        <v>46282</v>
      </c>
      <c r="D1459" t="s">
        <v>9433</v>
      </c>
      <c r="E1459" t="s">
        <v>9471</v>
      </c>
      <c r="F1459" t="s">
        <v>9437</v>
      </c>
      <c r="G1459" t="s">
        <v>3227</v>
      </c>
      <c r="H1459" t="s">
        <v>9333</v>
      </c>
      <c r="I1459" s="871">
        <v>46293.93683766204</v>
      </c>
      <c r="J1459" t="s">
        <v>9530</v>
      </c>
      <c r="K1459" s="975" t="str">
        <f>IF(COUNTIFS(tblControles[Clave],tblControles[[#This Row],[Clave]])&gt;1,"Duplicado","")</f>
        <v/>
      </c>
    </row>
    <row r="1460" spans="2:11">
      <c r="B1460" s="975" t="str">
        <f>tblControles[[#This Row],[Fecha]]&amp;"|"&amp;tblControles[[#This Row],[Módulo]]&amp;"|"&amp;tblControles[[#This Row],[Ítem]]&amp;"|"&amp;tblControles[[#This Row],[Turno]]</f>
        <v>46282|PURGA TKS AIRE|TK-MG-001|3er Turno</v>
      </c>
      <c r="C1460" s="871">
        <v>46282</v>
      </c>
      <c r="D1460" t="s">
        <v>9433</v>
      </c>
      <c r="E1460" t="s">
        <v>337</v>
      </c>
      <c r="F1460" t="s">
        <v>9437</v>
      </c>
      <c r="G1460" t="s">
        <v>3227</v>
      </c>
      <c r="H1460" t="s">
        <v>9333</v>
      </c>
      <c r="I1460" s="871">
        <v>46293.93683766204</v>
      </c>
      <c r="J1460" t="s">
        <v>9530</v>
      </c>
      <c r="K1460" s="975" t="str">
        <f>IF(COUNTIFS(tblControles[Clave],tblControles[[#This Row],[Clave]])&gt;1,"Duplicado","")</f>
        <v/>
      </c>
    </row>
    <row r="1461" spans="2:11">
      <c r="B1461" s="975" t="str">
        <f>tblControles[[#This Row],[Fecha]]&amp;"|"&amp;tblControles[[#This Row],[Módulo]]&amp;"|"&amp;tblControles[[#This Row],[Ítem]]&amp;"|"&amp;tblControles[[#This Row],[Turno]]</f>
        <v>46282|PURGA TKS AIRE|TK-MG-002|3er Turno</v>
      </c>
      <c r="C1461" s="871">
        <v>46282</v>
      </c>
      <c r="D1461" t="s">
        <v>9433</v>
      </c>
      <c r="E1461" t="s">
        <v>339</v>
      </c>
      <c r="F1461" t="s">
        <v>9437</v>
      </c>
      <c r="G1461" t="s">
        <v>3227</v>
      </c>
      <c r="H1461" t="s">
        <v>9333</v>
      </c>
      <c r="I1461" s="871">
        <v>46293.93683766204</v>
      </c>
      <c r="J1461" t="s">
        <v>9530</v>
      </c>
      <c r="K1461" s="975" t="str">
        <f>IF(COUNTIFS(tblControles[Clave],tblControles[[#This Row],[Clave]])&gt;1,"Duplicado","")</f>
        <v/>
      </c>
    </row>
    <row r="1462" spans="2:11">
      <c r="B1462" s="975" t="str">
        <f>tblControles[[#This Row],[Fecha]]&amp;"|"&amp;tblControles[[#This Row],[Módulo]]&amp;"|"&amp;tblControles[[#This Row],[Ítem]]&amp;"|"&amp;tblControles[[#This Row],[Turno]]</f>
        <v>46282|PURGA TKS AIRE|TK-MG-003|3er Turno</v>
      </c>
      <c r="C1462" s="871">
        <v>46282</v>
      </c>
      <c r="D1462" t="s">
        <v>9433</v>
      </c>
      <c r="E1462" t="s">
        <v>341</v>
      </c>
      <c r="F1462" t="s">
        <v>9437</v>
      </c>
      <c r="G1462" t="s">
        <v>3227</v>
      </c>
      <c r="H1462" t="s">
        <v>9333</v>
      </c>
      <c r="I1462" s="871">
        <v>46293.93683766204</v>
      </c>
      <c r="J1462" t="s">
        <v>9530</v>
      </c>
      <c r="K1462" s="975" t="str">
        <f>IF(COUNTIFS(tblControles[Clave],tblControles[[#This Row],[Clave]])&gt;1,"Duplicado","")</f>
        <v/>
      </c>
    </row>
    <row r="1463" spans="2:11">
      <c r="B1463" s="975" t="str">
        <f>tblControles[[#This Row],[Fecha]]&amp;"|"&amp;tblControles[[#This Row],[Módulo]]&amp;"|"&amp;tblControles[[#This Row],[Ítem]]&amp;"|"&amp;tblControles[[#This Row],[Turno]]</f>
        <v>46282|PURGA TKS AIRE|TK-MG-005|3er Turno</v>
      </c>
      <c r="C1463" s="871">
        <v>46282</v>
      </c>
      <c r="D1463" t="s">
        <v>9433</v>
      </c>
      <c r="E1463" t="s">
        <v>343</v>
      </c>
      <c r="F1463" t="s">
        <v>9437</v>
      </c>
      <c r="G1463" t="s">
        <v>345</v>
      </c>
      <c r="H1463" t="s">
        <v>9333</v>
      </c>
      <c r="I1463" s="871">
        <v>46293.93683766204</v>
      </c>
      <c r="J1463" t="s">
        <v>9530</v>
      </c>
      <c r="K1463" s="975" t="str">
        <f>IF(COUNTIFS(tblControles[Clave],tblControles[[#This Row],[Clave]])&gt;1,"Duplicado","")</f>
        <v/>
      </c>
    </row>
    <row r="1464" spans="2:11">
      <c r="B1464" s="975" t="str">
        <f>tblControles[[#This Row],[Fecha]]&amp;"|"&amp;tblControles[[#This Row],[Módulo]]&amp;"|"&amp;tblControles[[#This Row],[Ítem]]&amp;"|"&amp;tblControles[[#This Row],[Turno]]</f>
        <v>46282|PURGA TKS AIRE|TK-MG-006|3er Turno</v>
      </c>
      <c r="C1464" s="871">
        <v>46282</v>
      </c>
      <c r="D1464" t="s">
        <v>9433</v>
      </c>
      <c r="E1464" t="s">
        <v>346</v>
      </c>
      <c r="F1464" t="s">
        <v>9437</v>
      </c>
      <c r="G1464" t="s">
        <v>3227</v>
      </c>
      <c r="H1464" t="s">
        <v>9333</v>
      </c>
      <c r="I1464" s="871">
        <v>46293.93683766204</v>
      </c>
      <c r="J1464" t="s">
        <v>9530</v>
      </c>
      <c r="K1464" s="975" t="str">
        <f>IF(COUNTIFS(tblControles[Clave],tblControles[[#This Row],[Clave]])&gt;1,"Duplicado","")</f>
        <v/>
      </c>
    </row>
    <row r="1465" spans="2:11">
      <c r="B1465" s="975" t="str">
        <f>tblControles[[#This Row],[Fecha]]&amp;"|"&amp;tblControles[[#This Row],[Módulo]]&amp;"|"&amp;tblControles[[#This Row],[Ítem]]&amp;"|"&amp;tblControles[[#This Row],[Turno]]</f>
        <v>46282|PURGA TKS AIRE|TK-MG-007|3er Turno</v>
      </c>
      <c r="C1465" s="871">
        <v>46282</v>
      </c>
      <c r="D1465" t="s">
        <v>9433</v>
      </c>
      <c r="E1465" t="s">
        <v>347</v>
      </c>
      <c r="F1465" t="s">
        <v>9437</v>
      </c>
      <c r="G1465" t="s">
        <v>3227</v>
      </c>
      <c r="H1465" t="s">
        <v>9333</v>
      </c>
      <c r="I1465" s="871">
        <v>46293.93683766204</v>
      </c>
      <c r="J1465" t="s">
        <v>9530</v>
      </c>
      <c r="K1465" s="975" t="str">
        <f>IF(COUNTIFS(tblControles[Clave],tblControles[[#This Row],[Clave]])&gt;1,"Duplicado","")</f>
        <v/>
      </c>
    </row>
    <row r="1466" spans="2:11">
      <c r="B1466" s="975" t="str">
        <f>tblControles[[#This Row],[Fecha]]&amp;"|"&amp;tblControles[[#This Row],[Módulo]]&amp;"|"&amp;tblControles[[#This Row],[Ítem]]&amp;"|"&amp;tblControles[[#This Row],[Turno]]</f>
        <v>46282|PURGA TKS AIRE|TK-MG-004|3er Turno</v>
      </c>
      <c r="C1466" s="871">
        <v>46282</v>
      </c>
      <c r="D1466" t="s">
        <v>9433</v>
      </c>
      <c r="E1466" t="s">
        <v>349</v>
      </c>
      <c r="F1466" t="s">
        <v>9437</v>
      </c>
      <c r="G1466" t="s">
        <v>3227</v>
      </c>
      <c r="H1466" t="s">
        <v>9333</v>
      </c>
      <c r="I1466" s="871">
        <v>46293.93683766204</v>
      </c>
      <c r="J1466" t="s">
        <v>9530</v>
      </c>
      <c r="K1466" s="975" t="str">
        <f>IF(COUNTIFS(tblControles[Clave],tblControles[[#This Row],[Clave]])&gt;1,"Duplicado","")</f>
        <v/>
      </c>
    </row>
    <row r="1467" spans="2:11">
      <c r="B1467" s="975" t="str">
        <f>tblControles[[#This Row],[Fecha]]&amp;"|"&amp;tblControles[[#This Row],[Módulo]]&amp;"|"&amp;tblControles[[#This Row],[Ítem]]&amp;"|"&amp;tblControles[[#This Row],[Turno]]</f>
        <v>46282|PURGA TKS AIRE|TK-MG-008|3er Turno</v>
      </c>
      <c r="C1467" s="871">
        <v>46282</v>
      </c>
      <c r="D1467" t="s">
        <v>9433</v>
      </c>
      <c r="E1467" t="s">
        <v>351</v>
      </c>
      <c r="F1467" t="s">
        <v>9437</v>
      </c>
      <c r="G1467" t="s">
        <v>3227</v>
      </c>
      <c r="H1467" t="s">
        <v>9333</v>
      </c>
      <c r="I1467" s="871">
        <v>46293.93683766204</v>
      </c>
      <c r="J1467" t="s">
        <v>9530</v>
      </c>
      <c r="K1467" s="975" t="str">
        <f>IF(COUNTIFS(tblControles[Clave],tblControles[[#This Row],[Clave]])&gt;1,"Duplicado","")</f>
        <v/>
      </c>
    </row>
    <row r="1468" spans="2:11">
      <c r="B1468" s="975" t="str">
        <f>tblControles[[#This Row],[Fecha]]&amp;"|"&amp;tblControles[[#This Row],[Módulo]]&amp;"|"&amp;tblControles[[#This Row],[Ítem]]&amp;"|"&amp;tblControles[[#This Row],[Turno]]</f>
        <v>46282|PURGA TKS AIRE|TK-MG-009|3er Turno</v>
      </c>
      <c r="C1468" s="871">
        <v>46282</v>
      </c>
      <c r="D1468" t="s">
        <v>9433</v>
      </c>
      <c r="E1468" t="s">
        <v>353</v>
      </c>
      <c r="F1468" t="s">
        <v>9437</v>
      </c>
      <c r="G1468" t="s">
        <v>3227</v>
      </c>
      <c r="H1468" t="s">
        <v>9333</v>
      </c>
      <c r="I1468" s="871">
        <v>46293.93683766204</v>
      </c>
      <c r="J1468" t="s">
        <v>9530</v>
      </c>
      <c r="K1468" s="975" t="str">
        <f>IF(COUNTIFS(tblControles[Clave],tblControles[[#This Row],[Clave]])&gt;1,"Duplicado","")</f>
        <v/>
      </c>
    </row>
    <row r="1469" spans="2:11">
      <c r="B1469" s="975" t="str">
        <f>tblControles[[#This Row],[Fecha]]&amp;"|"&amp;tblControles[[#This Row],[Módulo]]&amp;"|"&amp;tblControles[[#This Row],[Ítem]]&amp;"|"&amp;tblControles[[#This Row],[Turno]]</f>
        <v>46282|PURGA TKS AIRE|TK-MG-010|3er Turno</v>
      </c>
      <c r="C1469" s="871">
        <v>46282</v>
      </c>
      <c r="D1469" t="s">
        <v>9433</v>
      </c>
      <c r="E1469" t="s">
        <v>355</v>
      </c>
      <c r="F1469" t="s">
        <v>9437</v>
      </c>
      <c r="G1469" t="s">
        <v>3227</v>
      </c>
      <c r="H1469" t="s">
        <v>9333</v>
      </c>
      <c r="I1469" s="871">
        <v>46293.93683766204</v>
      </c>
      <c r="J1469" t="s">
        <v>9530</v>
      </c>
      <c r="K1469" s="975" t="str">
        <f>IF(COUNTIFS(tblControles[Clave],tblControles[[#This Row],[Clave]])&gt;1,"Duplicado","")</f>
        <v/>
      </c>
    </row>
    <row r="1470" spans="2:11">
      <c r="B1470" s="975" t="str">
        <f>tblControles[[#This Row],[Fecha]]&amp;"|"&amp;tblControles[[#This Row],[Módulo]]&amp;"|"&amp;tblControles[[#This Row],[Ítem]]&amp;"|"&amp;tblControles[[#This Row],[Turno]]</f>
        <v>46282|PURGA TKS AIRE|TK-MG-011|3er Turno</v>
      </c>
      <c r="C1470" s="871">
        <v>46282</v>
      </c>
      <c r="D1470" t="s">
        <v>9433</v>
      </c>
      <c r="E1470" t="s">
        <v>357</v>
      </c>
      <c r="F1470" t="s">
        <v>9437</v>
      </c>
      <c r="G1470" t="s">
        <v>3227</v>
      </c>
      <c r="H1470" t="s">
        <v>9333</v>
      </c>
      <c r="I1470" s="871">
        <v>46293.93683766204</v>
      </c>
      <c r="J1470" t="s">
        <v>9530</v>
      </c>
      <c r="K1470" s="975" t="str">
        <f>IF(COUNTIFS(tblControles[Clave],tblControles[[#This Row],[Clave]])&gt;1,"Duplicado","")</f>
        <v/>
      </c>
    </row>
    <row r="1471" spans="2:11">
      <c r="B1471" s="975" t="str">
        <f>tblControles[[#This Row],[Fecha]]&amp;"|"&amp;tblControles[[#This Row],[Módulo]]&amp;"|"&amp;tblControles[[#This Row],[Ítem]]&amp;"|"&amp;tblControles[[#This Row],[Turno]]</f>
        <v>46282|PURGA TKS AIRE|TK-MG-012|3er Turno</v>
      </c>
      <c r="C1471" s="871">
        <v>46282</v>
      </c>
      <c r="D1471" t="s">
        <v>9433</v>
      </c>
      <c r="E1471" t="s">
        <v>359</v>
      </c>
      <c r="F1471" t="s">
        <v>9437</v>
      </c>
      <c r="G1471" t="s">
        <v>3227</v>
      </c>
      <c r="H1471" t="s">
        <v>9333</v>
      </c>
      <c r="I1471" s="871">
        <v>46293.93683766204</v>
      </c>
      <c r="J1471" t="s">
        <v>9530</v>
      </c>
      <c r="K1471" s="975" t="str">
        <f>IF(COUNTIFS(tblControles[Clave],tblControles[[#This Row],[Clave]])&gt;1,"Duplicado","")</f>
        <v/>
      </c>
    </row>
    <row r="1472" spans="2:11">
      <c r="B1472" s="975" t="str">
        <f>tblControles[[#This Row],[Fecha]]&amp;"|"&amp;tblControles[[#This Row],[Módulo]]&amp;"|"&amp;tblControles[[#This Row],[Ítem]]&amp;"|"&amp;tblControles[[#This Row],[Turno]]</f>
        <v>46282|PURGA TKS AIRE|TK-MG-013|3er Turno</v>
      </c>
      <c r="C1472" s="871">
        <v>46282</v>
      </c>
      <c r="D1472" t="s">
        <v>9433</v>
      </c>
      <c r="E1472" t="s">
        <v>361</v>
      </c>
      <c r="F1472" t="s">
        <v>9437</v>
      </c>
      <c r="G1472" t="s">
        <v>3227</v>
      </c>
      <c r="H1472" t="s">
        <v>9333</v>
      </c>
      <c r="I1472" s="871">
        <v>46293.93683766204</v>
      </c>
      <c r="J1472" t="s">
        <v>9530</v>
      </c>
      <c r="K1472" s="975" t="str">
        <f>IF(COUNTIFS(tblControles[Clave],tblControles[[#This Row],[Clave]])&gt;1,"Duplicado","")</f>
        <v/>
      </c>
    </row>
    <row r="1473" spans="2:11">
      <c r="B1473" s="975" t="str">
        <f>tblControles[[#This Row],[Fecha]]&amp;"|"&amp;tblControles[[#This Row],[Módulo]]&amp;"|"&amp;tblControles[[#This Row],[Ítem]]&amp;"|"&amp;tblControles[[#This Row],[Turno]]</f>
        <v>46282|PURGA TKS AIRE|TK-MG-014|3er Turno</v>
      </c>
      <c r="C1473" s="871">
        <v>46282</v>
      </c>
      <c r="D1473" t="s">
        <v>9433</v>
      </c>
      <c r="E1473" t="s">
        <v>363</v>
      </c>
      <c r="F1473" t="s">
        <v>9437</v>
      </c>
      <c r="G1473" t="s">
        <v>3227</v>
      </c>
      <c r="H1473" t="s">
        <v>9333</v>
      </c>
      <c r="I1473" s="871">
        <v>46293.93683766204</v>
      </c>
      <c r="J1473" t="s">
        <v>9530</v>
      </c>
      <c r="K1473" s="975" t="str">
        <f>IF(COUNTIFS(tblControles[Clave],tblControles[[#This Row],[Clave]])&gt;1,"Duplicado","")</f>
        <v/>
      </c>
    </row>
    <row r="1474" spans="2:11">
      <c r="B1474" s="975" t="str">
        <f>tblControles[[#This Row],[Fecha]]&amp;"|"&amp;tblControles[[#This Row],[Módulo]]&amp;"|"&amp;tblControles[[#This Row],[Ítem]]&amp;"|"&amp;tblControles[[#This Row],[Turno]]</f>
        <v>46282|REACTIVOS|Ácido oxálico|Turno día (12 h)</v>
      </c>
      <c r="C1474" s="871">
        <v>46282</v>
      </c>
      <c r="D1474" t="s">
        <v>9444</v>
      </c>
      <c r="E1474" t="s">
        <v>9508</v>
      </c>
      <c r="F1474" t="s">
        <v>9446</v>
      </c>
      <c r="G1474">
        <v>18000</v>
      </c>
      <c r="H1474" t="s">
        <v>9333</v>
      </c>
      <c r="I1474" s="871">
        <v>46293.93683766204</v>
      </c>
      <c r="J1474" t="s">
        <v>9527</v>
      </c>
      <c r="K1474" s="975" t="str">
        <f>IF(COUNTIFS(tblControles[Clave],tblControles[[#This Row],[Clave]])&gt;1,"Duplicado","")</f>
        <v/>
      </c>
    </row>
    <row r="1475" spans="2:11">
      <c r="B1475" s="975" t="str">
        <f>tblControles[[#This Row],[Fecha]]&amp;"|"&amp;tblControles[[#This Row],[Módulo]]&amp;"|"&amp;tblControles[[#This Row],[Ítem]]&amp;"|"&amp;tblControles[[#This Row],[Turno]]</f>
        <v>46282|REACTIVOS|Ácido oxálico|Turno noche (12 h)</v>
      </c>
      <c r="C1475" s="871">
        <v>46282</v>
      </c>
      <c r="D1475" t="s">
        <v>9444</v>
      </c>
      <c r="E1475" t="s">
        <v>9508</v>
      </c>
      <c r="F1475" t="s">
        <v>9447</v>
      </c>
      <c r="G1475">
        <v>18000</v>
      </c>
      <c r="H1475" t="s">
        <v>9333</v>
      </c>
      <c r="I1475" s="871">
        <v>46293.93683766204</v>
      </c>
      <c r="J1475" t="s">
        <v>9527</v>
      </c>
      <c r="K1475" s="975" t="str">
        <f>IF(COUNTIFS(tblControles[Clave],tblControles[[#This Row],[Clave]])&gt;1,"Duplicado","")</f>
        <v/>
      </c>
    </row>
    <row r="1476" spans="2:11">
      <c r="B1476" s="975" t="str">
        <f>tblControles[[#This Row],[Fecha]]&amp;"|"&amp;tblControles[[#This Row],[Módulo]]&amp;"|"&amp;tblControles[[#This Row],[Ítem]]&amp;"|"&amp;tblControles[[#This Row],[Turno]]</f>
        <v>46282|REACTIVOS|Xantato|Turno día (12 h)</v>
      </c>
      <c r="C1476" s="871">
        <v>46282</v>
      </c>
      <c r="D1476" t="s">
        <v>9444</v>
      </c>
      <c r="E1476" t="s">
        <v>9511</v>
      </c>
      <c r="F1476" t="s">
        <v>9446</v>
      </c>
      <c r="G1476">
        <v>3500</v>
      </c>
      <c r="H1476" t="s">
        <v>9333</v>
      </c>
      <c r="I1476" s="871">
        <v>46293.93683766204</v>
      </c>
      <c r="J1476" t="s">
        <v>9527</v>
      </c>
      <c r="K1476" s="975" t="str">
        <f>IF(COUNTIFS(tblControles[Clave],tblControles[[#This Row],[Clave]])&gt;1,"Duplicado","")</f>
        <v/>
      </c>
    </row>
    <row r="1477" spans="2:11">
      <c r="B1477" s="975" t="str">
        <f>tblControles[[#This Row],[Fecha]]&amp;"|"&amp;tblControles[[#This Row],[Módulo]]&amp;"|"&amp;tblControles[[#This Row],[Ítem]]&amp;"|"&amp;tblControles[[#This Row],[Turno]]</f>
        <v>46282|REACTIVOS|Xantato|Turno noche (12 h)</v>
      </c>
      <c r="C1477" s="871">
        <v>46282</v>
      </c>
      <c r="D1477" t="s">
        <v>9444</v>
      </c>
      <c r="E1477" t="s">
        <v>9511</v>
      </c>
      <c r="F1477" t="s">
        <v>9447</v>
      </c>
      <c r="G1477">
        <v>3800</v>
      </c>
      <c r="H1477" t="s">
        <v>9333</v>
      </c>
      <c r="I1477" s="871">
        <v>46293.93683766204</v>
      </c>
      <c r="J1477" t="s">
        <v>9527</v>
      </c>
      <c r="K1477" s="975" t="str">
        <f>IF(COUNTIFS(tblControles[Clave],tblControles[[#This Row],[Clave]])&gt;1,"Duplicado","")</f>
        <v/>
      </c>
    </row>
    <row r="1478" spans="2:11">
      <c r="B1478" s="975" t="str">
        <f>tblControles[[#This Row],[Fecha]]&amp;"|"&amp;tblControles[[#This Row],[Módulo]]&amp;"|"&amp;tblControles[[#This Row],[Ítem]]&amp;"|"&amp;tblControles[[#This Row],[Turno]]</f>
        <v>46282|REACTIVOS|Espumante|Consumo día</v>
      </c>
      <c r="C1478" s="871">
        <v>46282</v>
      </c>
      <c r="D1478" t="s">
        <v>9444</v>
      </c>
      <c r="E1478" t="s">
        <v>9513</v>
      </c>
      <c r="F1478" t="s">
        <v>9870</v>
      </c>
      <c r="G1478">
        <v>3000</v>
      </c>
      <c r="H1478" t="s">
        <v>9333</v>
      </c>
      <c r="I1478" s="871">
        <v>46293.93683766204</v>
      </c>
      <c r="J1478" t="s">
        <v>9527</v>
      </c>
      <c r="K1478" s="975" t="str">
        <f>IF(COUNTIFS(tblControles[Clave],tblControles[[#This Row],[Clave]])&gt;1,"Duplicado","")</f>
        <v/>
      </c>
    </row>
    <row r="1479" spans="2:11">
      <c r="B1479" s="975" t="str">
        <f>tblControles[[#This Row],[Fecha]]&amp;"|"&amp;tblControles[[#This Row],[Módulo]]&amp;"|"&amp;tblControles[[#This Row],[Ítem]]&amp;"|"&amp;tblControles[[#This Row],[Turno]]</f>
        <v>46282|TONELADAS X TURNO|Molino barras 1|1° turno</v>
      </c>
      <c r="C1479" s="871">
        <v>46282</v>
      </c>
      <c r="D1479" t="s">
        <v>9449</v>
      </c>
      <c r="E1479" t="s">
        <v>387</v>
      </c>
      <c r="F1479" t="s">
        <v>396</v>
      </c>
      <c r="G1479">
        <v>1602</v>
      </c>
      <c r="H1479" t="s">
        <v>9333</v>
      </c>
      <c r="I1479" s="871">
        <v>46293.93683766204</v>
      </c>
      <c r="J1479" t="s">
        <v>9528</v>
      </c>
      <c r="K1479" s="975" t="str">
        <f>IF(COUNTIFS(tblControles[Clave],tblControles[[#This Row],[Clave]])&gt;1,"Duplicado","")</f>
        <v/>
      </c>
    </row>
    <row r="1480" spans="2:11">
      <c r="B1480" s="975" t="str">
        <f>tblControles[[#This Row],[Fecha]]&amp;"|"&amp;tblControles[[#This Row],[Módulo]]&amp;"|"&amp;tblControles[[#This Row],[Ítem]]&amp;"|"&amp;tblControles[[#This Row],[Turno]]</f>
        <v>46282|TONELADAS X TURNO|Molino barras 1|2° turno</v>
      </c>
      <c r="C1480" s="871">
        <v>46282</v>
      </c>
      <c r="D1480" t="s">
        <v>9449</v>
      </c>
      <c r="E1480" t="s">
        <v>387</v>
      </c>
      <c r="F1480" t="s">
        <v>397</v>
      </c>
      <c r="G1480">
        <v>1743</v>
      </c>
      <c r="H1480" t="s">
        <v>9333</v>
      </c>
      <c r="I1480" s="871">
        <v>46293.93683766204</v>
      </c>
      <c r="J1480" t="s">
        <v>9528</v>
      </c>
      <c r="K1480" s="975" t="str">
        <f>IF(COUNTIFS(tblControles[Clave],tblControles[[#This Row],[Clave]])&gt;1,"Duplicado","")</f>
        <v/>
      </c>
    </row>
    <row r="1481" spans="2:11">
      <c r="B1481" s="975" t="str">
        <f>tblControles[[#This Row],[Fecha]]&amp;"|"&amp;tblControles[[#This Row],[Módulo]]&amp;"|"&amp;tblControles[[#This Row],[Ítem]]&amp;"|"&amp;tblControles[[#This Row],[Turno]]</f>
        <v>46282|TONELADAS X TURNO|Molino barras 1|3° turno</v>
      </c>
      <c r="C1481" s="871">
        <v>46282</v>
      </c>
      <c r="D1481" t="s">
        <v>9449</v>
      </c>
      <c r="E1481" t="s">
        <v>387</v>
      </c>
      <c r="F1481" t="s">
        <v>398</v>
      </c>
      <c r="G1481">
        <v>1629</v>
      </c>
      <c r="H1481" t="s">
        <v>9333</v>
      </c>
      <c r="I1481" s="871">
        <v>46293.93683766204</v>
      </c>
      <c r="J1481" t="s">
        <v>9528</v>
      </c>
      <c r="K1481" s="975" t="str">
        <f>IF(COUNTIFS(tblControles[Clave],tblControles[[#This Row],[Clave]])&gt;1,"Duplicado","")</f>
        <v/>
      </c>
    </row>
    <row r="1482" spans="2:11">
      <c r="B1482" s="975" t="str">
        <f>tblControles[[#This Row],[Fecha]]&amp;"|"&amp;tblControles[[#This Row],[Módulo]]&amp;"|"&amp;tblControles[[#This Row],[Ítem]]&amp;"|"&amp;tblControles[[#This Row],[Turno]]</f>
        <v>46282|TONELADAS X TURNO|Molino barras 2|1° turno</v>
      </c>
      <c r="C1482" s="871">
        <v>46282</v>
      </c>
      <c r="D1482" t="s">
        <v>9449</v>
      </c>
      <c r="E1482" t="s">
        <v>388</v>
      </c>
      <c r="F1482" t="s">
        <v>396</v>
      </c>
      <c r="G1482">
        <v>1595</v>
      </c>
      <c r="H1482" t="s">
        <v>9333</v>
      </c>
      <c r="I1482" s="871">
        <v>46293.93683766204</v>
      </c>
      <c r="J1482" t="s">
        <v>9528</v>
      </c>
      <c r="K1482" s="975" t="str">
        <f>IF(COUNTIFS(tblControles[Clave],tblControles[[#This Row],[Clave]])&gt;1,"Duplicado","")</f>
        <v/>
      </c>
    </row>
    <row r="1483" spans="2:11">
      <c r="B1483" s="975" t="str">
        <f>tblControles[[#This Row],[Fecha]]&amp;"|"&amp;tblControles[[#This Row],[Módulo]]&amp;"|"&amp;tblControles[[#This Row],[Ítem]]&amp;"|"&amp;tblControles[[#This Row],[Turno]]</f>
        <v>46282|TONELADAS X TURNO|Molino barras 2|2° turno</v>
      </c>
      <c r="C1483" s="871">
        <v>46282</v>
      </c>
      <c r="D1483" t="s">
        <v>9449</v>
      </c>
      <c r="E1483" t="s">
        <v>388</v>
      </c>
      <c r="F1483" t="s">
        <v>397</v>
      </c>
      <c r="G1483">
        <v>1687</v>
      </c>
      <c r="H1483" t="s">
        <v>9333</v>
      </c>
      <c r="I1483" s="871">
        <v>46293.93683766204</v>
      </c>
      <c r="J1483" t="s">
        <v>9528</v>
      </c>
      <c r="K1483" s="975" t="str">
        <f>IF(COUNTIFS(tblControles[Clave],tblControles[[#This Row],[Clave]])&gt;1,"Duplicado","")</f>
        <v/>
      </c>
    </row>
    <row r="1484" spans="2:11">
      <c r="B1484" s="975" t="str">
        <f>tblControles[[#This Row],[Fecha]]&amp;"|"&amp;tblControles[[#This Row],[Módulo]]&amp;"|"&amp;tblControles[[#This Row],[Ítem]]&amp;"|"&amp;tblControles[[#This Row],[Turno]]</f>
        <v>46282|TONELADAS X TURNO|Molino barras 2|3° turno</v>
      </c>
      <c r="C1484" s="871">
        <v>46282</v>
      </c>
      <c r="D1484" t="s">
        <v>9449</v>
      </c>
      <c r="E1484" t="s">
        <v>388</v>
      </c>
      <c r="F1484" t="s">
        <v>398</v>
      </c>
      <c r="G1484">
        <v>1513</v>
      </c>
      <c r="H1484" t="s">
        <v>9333</v>
      </c>
      <c r="I1484" s="871">
        <v>46293.93683766204</v>
      </c>
      <c r="J1484" t="s">
        <v>9528</v>
      </c>
      <c r="K1484" s="975" t="str">
        <f>IF(COUNTIFS(tblControles[Clave],tblControles[[#This Row],[Clave]])&gt;1,"Duplicado","")</f>
        <v/>
      </c>
    </row>
    <row r="1485" spans="2:11">
      <c r="B1485" s="975" t="str">
        <f>tblControles[[#This Row],[Fecha]]&amp;"|"&amp;tblControles[[#This Row],[Módulo]]&amp;"|"&amp;tblControles[[#This Row],[Ítem]]&amp;"|"&amp;tblControles[[#This Row],[Turno]]</f>
        <v>46282|TONELADAS X TURNO|Molino barras 3|1° turno</v>
      </c>
      <c r="C1485" s="871">
        <v>46282</v>
      </c>
      <c r="D1485" t="s">
        <v>9449</v>
      </c>
      <c r="E1485" t="s">
        <v>389</v>
      </c>
      <c r="F1485" t="s">
        <v>396</v>
      </c>
      <c r="G1485">
        <v>0</v>
      </c>
      <c r="H1485" t="s">
        <v>9333</v>
      </c>
      <c r="I1485" s="871">
        <v>46293.93683766204</v>
      </c>
      <c r="J1485" t="s">
        <v>9528</v>
      </c>
      <c r="K1485" s="975" t="str">
        <f>IF(COUNTIFS(tblControles[Clave],tblControles[[#This Row],[Clave]])&gt;1,"Duplicado","")</f>
        <v/>
      </c>
    </row>
    <row r="1486" spans="2:11">
      <c r="B1486" s="975" t="str">
        <f>tblControles[[#This Row],[Fecha]]&amp;"|"&amp;tblControles[[#This Row],[Módulo]]&amp;"|"&amp;tblControles[[#This Row],[Ítem]]&amp;"|"&amp;tblControles[[#This Row],[Turno]]</f>
        <v>46282|TONELADAS X TURNO|Molino barras 3|2° turno</v>
      </c>
      <c r="C1486" s="871">
        <v>46282</v>
      </c>
      <c r="D1486" t="s">
        <v>9449</v>
      </c>
      <c r="E1486" t="s">
        <v>389</v>
      </c>
      <c r="F1486" t="s">
        <v>397</v>
      </c>
      <c r="G1486">
        <v>0</v>
      </c>
      <c r="H1486" t="s">
        <v>9333</v>
      </c>
      <c r="I1486" s="871">
        <v>46293.93683766204</v>
      </c>
      <c r="J1486" t="s">
        <v>9528</v>
      </c>
      <c r="K1486" s="975" t="str">
        <f>IF(COUNTIFS(tblControles[Clave],tblControles[[#This Row],[Clave]])&gt;1,"Duplicado","")</f>
        <v/>
      </c>
    </row>
    <row r="1487" spans="2:11">
      <c r="B1487" s="975" t="str">
        <f>tblControles[[#This Row],[Fecha]]&amp;"|"&amp;tblControles[[#This Row],[Módulo]]&amp;"|"&amp;tblControles[[#This Row],[Ítem]]&amp;"|"&amp;tblControles[[#This Row],[Turno]]</f>
        <v>46282|TONELADAS X TURNO|Molino barras 3|3° turno</v>
      </c>
      <c r="C1487" s="871">
        <v>46282</v>
      </c>
      <c r="D1487" t="s">
        <v>9449</v>
      </c>
      <c r="E1487" t="s">
        <v>389</v>
      </c>
      <c r="F1487" t="s">
        <v>398</v>
      </c>
      <c r="G1487">
        <v>410</v>
      </c>
      <c r="H1487" t="s">
        <v>9333</v>
      </c>
      <c r="I1487" s="871">
        <v>46293.93683766204</v>
      </c>
      <c r="J1487" t="s">
        <v>9528</v>
      </c>
      <c r="K1487" s="975" t="str">
        <f>IF(COUNTIFS(tblControles[Clave],tblControles[[#This Row],[Clave]])&gt;1,"Duplicado","")</f>
        <v/>
      </c>
    </row>
    <row r="1488" spans="2:11">
      <c r="B1488" s="975" t="str">
        <f>tblControles[[#This Row],[Fecha]]&amp;"|"&amp;tblControles[[#This Row],[Módulo]]&amp;"|"&amp;tblControles[[#This Row],[Ítem]]&amp;"|"&amp;tblControles[[#This Row],[Turno]]</f>
        <v>46282|TONELADAS X TURNO|Molino barras 4|1° turno</v>
      </c>
      <c r="C1488" s="871">
        <v>46282</v>
      </c>
      <c r="D1488" t="s">
        <v>9449</v>
      </c>
      <c r="E1488" t="s">
        <v>390</v>
      </c>
      <c r="F1488" t="s">
        <v>396</v>
      </c>
      <c r="G1488">
        <v>0</v>
      </c>
      <c r="H1488" t="s">
        <v>9333</v>
      </c>
      <c r="I1488" s="871">
        <v>46293.93683766204</v>
      </c>
      <c r="J1488" t="s">
        <v>9528</v>
      </c>
      <c r="K1488" s="975" t="str">
        <f>IF(COUNTIFS(tblControles[Clave],tblControles[[#This Row],[Clave]])&gt;1,"Duplicado","")</f>
        <v/>
      </c>
    </row>
    <row r="1489" spans="2:11">
      <c r="B1489" s="975" t="str">
        <f>tblControles[[#This Row],[Fecha]]&amp;"|"&amp;tblControles[[#This Row],[Módulo]]&amp;"|"&amp;tblControles[[#This Row],[Ítem]]&amp;"|"&amp;tblControles[[#This Row],[Turno]]</f>
        <v>46282|TONELADAS X TURNO|Molino barras 4|2° turno</v>
      </c>
      <c r="C1489" s="871">
        <v>46282</v>
      </c>
      <c r="D1489" t="s">
        <v>9449</v>
      </c>
      <c r="E1489" t="s">
        <v>390</v>
      </c>
      <c r="F1489" t="s">
        <v>397</v>
      </c>
      <c r="G1489">
        <v>0</v>
      </c>
      <c r="H1489" t="s">
        <v>9333</v>
      </c>
      <c r="I1489" s="871">
        <v>46293.93683766204</v>
      </c>
      <c r="J1489" t="s">
        <v>9528</v>
      </c>
      <c r="K1489" s="975" t="str">
        <f>IF(COUNTIFS(tblControles[Clave],tblControles[[#This Row],[Clave]])&gt;1,"Duplicado","")</f>
        <v/>
      </c>
    </row>
    <row r="1490" spans="2:11">
      <c r="B1490" s="975" t="str">
        <f>tblControles[[#This Row],[Fecha]]&amp;"|"&amp;tblControles[[#This Row],[Módulo]]&amp;"|"&amp;tblControles[[#This Row],[Ítem]]&amp;"|"&amp;tblControles[[#This Row],[Turno]]</f>
        <v>46282|TONELADAS X TURNO|Molino barras 4|3° turno</v>
      </c>
      <c r="C1490" s="871">
        <v>46282</v>
      </c>
      <c r="D1490" t="s">
        <v>9449</v>
      </c>
      <c r="E1490" t="s">
        <v>390</v>
      </c>
      <c r="F1490" t="s">
        <v>398</v>
      </c>
      <c r="G1490">
        <v>99</v>
      </c>
      <c r="H1490" t="s">
        <v>9333</v>
      </c>
      <c r="I1490" s="871">
        <v>46293.93683766204</v>
      </c>
      <c r="J1490" t="s">
        <v>9528</v>
      </c>
      <c r="K1490" s="975" t="str">
        <f>IF(COUNTIFS(tblControles[Clave],tblControles[[#This Row],[Clave]])&gt;1,"Duplicado","")</f>
        <v/>
      </c>
    </row>
    <row r="1491" spans="2:11">
      <c r="B1491" s="975" t="str">
        <f>tblControles[[#This Row],[Fecha]]&amp;"|"&amp;tblControles[[#This Row],[Módulo]]&amp;"|"&amp;tblControles[[#This Row],[Ítem]]&amp;"|"&amp;tblControles[[#This Row],[Turno]]</f>
        <v>46282|TONELADAS X TURNO|Molino barras 5|1° turno</v>
      </c>
      <c r="C1491" s="871">
        <v>46282</v>
      </c>
      <c r="D1491" t="s">
        <v>9449</v>
      </c>
      <c r="E1491" t="s">
        <v>391</v>
      </c>
      <c r="F1491" t="s">
        <v>396</v>
      </c>
      <c r="G1491">
        <v>1510</v>
      </c>
      <c r="H1491" t="s">
        <v>9333</v>
      </c>
      <c r="I1491" s="871">
        <v>46293.93683766204</v>
      </c>
      <c r="J1491" t="s">
        <v>9528</v>
      </c>
      <c r="K1491" s="975" t="str">
        <f>IF(COUNTIFS(tblControles[Clave],tblControles[[#This Row],[Clave]])&gt;1,"Duplicado","")</f>
        <v/>
      </c>
    </row>
    <row r="1492" spans="2:11">
      <c r="B1492" s="975" t="str">
        <f>tblControles[[#This Row],[Fecha]]&amp;"|"&amp;tblControles[[#This Row],[Módulo]]&amp;"|"&amp;tblControles[[#This Row],[Ítem]]&amp;"|"&amp;tblControles[[#This Row],[Turno]]</f>
        <v>46282|TONELADAS X TURNO|Molino barras 5|2° turno</v>
      </c>
      <c r="C1492" s="871">
        <v>46282</v>
      </c>
      <c r="D1492" t="s">
        <v>9449</v>
      </c>
      <c r="E1492" t="s">
        <v>391</v>
      </c>
      <c r="F1492" t="s">
        <v>397</v>
      </c>
      <c r="G1492">
        <v>1523</v>
      </c>
      <c r="H1492" t="s">
        <v>9333</v>
      </c>
      <c r="I1492" s="871">
        <v>46293.93683766204</v>
      </c>
      <c r="J1492" t="s">
        <v>9528</v>
      </c>
      <c r="K1492" s="975" t="str">
        <f>IF(COUNTIFS(tblControles[Clave],tblControles[[#This Row],[Clave]])&gt;1,"Duplicado","")</f>
        <v/>
      </c>
    </row>
    <row r="1493" spans="2:11">
      <c r="B1493" s="975" t="str">
        <f>tblControles[[#This Row],[Fecha]]&amp;"|"&amp;tblControles[[#This Row],[Módulo]]&amp;"|"&amp;tblControles[[#This Row],[Ítem]]&amp;"|"&amp;tblControles[[#This Row],[Turno]]</f>
        <v>46282|TONELADAS X TURNO|Molino barras 5|3° turno</v>
      </c>
      <c r="C1493" s="871">
        <v>46282</v>
      </c>
      <c r="D1493" t="s">
        <v>9449</v>
      </c>
      <c r="E1493" t="s">
        <v>391</v>
      </c>
      <c r="F1493" t="s">
        <v>398</v>
      </c>
      <c r="G1493">
        <v>1500</v>
      </c>
      <c r="H1493" t="s">
        <v>9333</v>
      </c>
      <c r="I1493" s="871">
        <v>46293.93683766204</v>
      </c>
      <c r="J1493" t="s">
        <v>9528</v>
      </c>
      <c r="K1493" s="975" t="str">
        <f>IF(COUNTIFS(tblControles[Clave],tblControles[[#This Row],[Clave]])&gt;1,"Duplicado","")</f>
        <v/>
      </c>
    </row>
    <row r="1494" spans="2:11">
      <c r="B1494" s="975" t="str">
        <f>tblControles[[#This Row],[Fecha]]&amp;"|"&amp;tblControles[[#This Row],[Módulo]]&amp;"|"&amp;tblControles[[#This Row],[Ítem]]&amp;"|"&amp;tblControles[[#This Row],[Turno]]</f>
        <v>46282|TONELADAS X TURNO|Molino barras 6|1° turno</v>
      </c>
      <c r="C1494" s="871">
        <v>46282</v>
      </c>
      <c r="D1494" t="s">
        <v>9449</v>
      </c>
      <c r="E1494" t="s">
        <v>392</v>
      </c>
      <c r="F1494" t="s">
        <v>396</v>
      </c>
      <c r="G1494">
        <v>1525</v>
      </c>
      <c r="H1494" t="s">
        <v>9333</v>
      </c>
      <c r="I1494" s="871">
        <v>46293.93683766204</v>
      </c>
      <c r="J1494" t="s">
        <v>9528</v>
      </c>
      <c r="K1494" s="975" t="str">
        <f>IF(COUNTIFS(tblControles[Clave],tblControles[[#This Row],[Clave]])&gt;1,"Duplicado","")</f>
        <v/>
      </c>
    </row>
    <row r="1495" spans="2:11">
      <c r="B1495" s="975" t="str">
        <f>tblControles[[#This Row],[Fecha]]&amp;"|"&amp;tblControles[[#This Row],[Módulo]]&amp;"|"&amp;tblControles[[#This Row],[Ítem]]&amp;"|"&amp;tblControles[[#This Row],[Turno]]</f>
        <v>46282|TONELADAS X TURNO|Molino barras 6|2° turno</v>
      </c>
      <c r="C1495" s="871">
        <v>46282</v>
      </c>
      <c r="D1495" t="s">
        <v>9449</v>
      </c>
      <c r="E1495" t="s">
        <v>392</v>
      </c>
      <c r="F1495" t="s">
        <v>397</v>
      </c>
      <c r="G1495">
        <v>1538</v>
      </c>
      <c r="H1495" t="s">
        <v>9333</v>
      </c>
      <c r="I1495" s="871">
        <v>46293.93683766204</v>
      </c>
      <c r="J1495" t="s">
        <v>9528</v>
      </c>
      <c r="K1495" s="975" t="str">
        <f>IF(COUNTIFS(tblControles[Clave],tblControles[[#This Row],[Clave]])&gt;1,"Duplicado","")</f>
        <v/>
      </c>
    </row>
    <row r="1496" spans="2:11">
      <c r="B1496" s="975" t="str">
        <f>tblControles[[#This Row],[Fecha]]&amp;"|"&amp;tblControles[[#This Row],[Módulo]]&amp;"|"&amp;tblControles[[#This Row],[Ítem]]&amp;"|"&amp;tblControles[[#This Row],[Turno]]</f>
        <v>46282|TONELADAS X TURNO|Molino barras 6|3° turno</v>
      </c>
      <c r="C1496" s="871">
        <v>46282</v>
      </c>
      <c r="D1496" t="s">
        <v>9449</v>
      </c>
      <c r="E1496" t="s">
        <v>392</v>
      </c>
      <c r="F1496" t="s">
        <v>398</v>
      </c>
      <c r="G1496">
        <v>1457</v>
      </c>
      <c r="H1496" t="s">
        <v>9333</v>
      </c>
      <c r="I1496" s="871">
        <v>46293.93683766204</v>
      </c>
      <c r="J1496" t="s">
        <v>9528</v>
      </c>
      <c r="K1496" s="975" t="str">
        <f>IF(COUNTIFS(tblControles[Clave],tblControles[[#This Row],[Clave]])&gt;1,"Duplicado","")</f>
        <v/>
      </c>
    </row>
    <row r="1497" spans="2:11">
      <c r="B1497" s="975" t="str">
        <f>tblControles[[#This Row],[Fecha]]&amp;"|"&amp;tblControles[[#This Row],[Módulo]]&amp;"|"&amp;tblControles[[#This Row],[Ítem]]&amp;"|"&amp;tblControles[[#This Row],[Turno]]</f>
        <v>46282|TONELADAS X TURNO|Molino barras 7|1° turno</v>
      </c>
      <c r="C1497" s="871">
        <v>46282</v>
      </c>
      <c r="D1497" t="s">
        <v>9449</v>
      </c>
      <c r="E1497" t="s">
        <v>393</v>
      </c>
      <c r="F1497" t="s">
        <v>396</v>
      </c>
      <c r="G1497">
        <v>0</v>
      </c>
      <c r="H1497" t="s">
        <v>9333</v>
      </c>
      <c r="I1497" s="871">
        <v>46293.93683766204</v>
      </c>
      <c r="J1497" t="s">
        <v>9528</v>
      </c>
      <c r="K1497" s="975" t="str">
        <f>IF(COUNTIFS(tblControles[Clave],tblControles[[#This Row],[Clave]])&gt;1,"Duplicado","")</f>
        <v/>
      </c>
    </row>
    <row r="1498" spans="2:11">
      <c r="B1498" s="975" t="str">
        <f>tblControles[[#This Row],[Fecha]]&amp;"|"&amp;tblControles[[#This Row],[Módulo]]&amp;"|"&amp;tblControles[[#This Row],[Ítem]]&amp;"|"&amp;tblControles[[#This Row],[Turno]]</f>
        <v>46282|TONELADAS X TURNO|Molino barras 7|2° turno</v>
      </c>
      <c r="C1498" s="871">
        <v>46282</v>
      </c>
      <c r="D1498" t="s">
        <v>9449</v>
      </c>
      <c r="E1498" t="s">
        <v>393</v>
      </c>
      <c r="F1498" t="s">
        <v>397</v>
      </c>
      <c r="G1498">
        <v>0</v>
      </c>
      <c r="H1498" t="s">
        <v>9333</v>
      </c>
      <c r="I1498" s="871">
        <v>46293.93683766204</v>
      </c>
      <c r="J1498" t="s">
        <v>9528</v>
      </c>
      <c r="K1498" s="975" t="str">
        <f>IF(COUNTIFS(tblControles[Clave],tblControles[[#This Row],[Clave]])&gt;1,"Duplicado","")</f>
        <v/>
      </c>
    </row>
    <row r="1499" spans="2:11">
      <c r="B1499" s="975" t="str">
        <f>tblControles[[#This Row],[Fecha]]&amp;"|"&amp;tblControles[[#This Row],[Módulo]]&amp;"|"&amp;tblControles[[#This Row],[Ítem]]&amp;"|"&amp;tblControles[[#This Row],[Turno]]</f>
        <v>46282|TONELADAS X TURNO|Molino barras 7|3° turno</v>
      </c>
      <c r="C1499" s="871">
        <v>46282</v>
      </c>
      <c r="D1499" t="s">
        <v>9449</v>
      </c>
      <c r="E1499" t="s">
        <v>393</v>
      </c>
      <c r="F1499" t="s">
        <v>398</v>
      </c>
      <c r="G1499">
        <v>0</v>
      </c>
      <c r="H1499" t="s">
        <v>9333</v>
      </c>
      <c r="I1499" s="871">
        <v>46293.93683766204</v>
      </c>
      <c r="J1499" t="s">
        <v>9528</v>
      </c>
      <c r="K1499" s="975" t="str">
        <f>IF(COUNTIFS(tblControles[Clave],tblControles[[#This Row],[Clave]])&gt;1,"Duplicado","")</f>
        <v/>
      </c>
    </row>
    <row r="1500" spans="2:11">
      <c r="B1500" s="975" t="str">
        <f>tblControles[[#This Row],[Fecha]]&amp;"|"&amp;tblControles[[#This Row],[Módulo]]&amp;"|"&amp;tblControles[[#This Row],[Ítem]]&amp;"|"&amp;tblControles[[#This Row],[Turno]]</f>
        <v>46282|TONELADAS X TURNO|Molino barras 8|1° turno</v>
      </c>
      <c r="C1500" s="871">
        <v>46282</v>
      </c>
      <c r="D1500" t="s">
        <v>9449</v>
      </c>
      <c r="E1500" t="s">
        <v>394</v>
      </c>
      <c r="F1500" t="s">
        <v>396</v>
      </c>
      <c r="G1500">
        <v>1504</v>
      </c>
      <c r="H1500" t="s">
        <v>9333</v>
      </c>
      <c r="I1500" s="871">
        <v>46293.93683766204</v>
      </c>
      <c r="J1500" t="s">
        <v>9528</v>
      </c>
      <c r="K1500" s="975" t="str">
        <f>IF(COUNTIFS(tblControles[Clave],tblControles[[#This Row],[Clave]])&gt;1,"Duplicado","")</f>
        <v/>
      </c>
    </row>
    <row r="1501" spans="2:11">
      <c r="B1501" s="975" t="str">
        <f>tblControles[[#This Row],[Fecha]]&amp;"|"&amp;tblControles[[#This Row],[Módulo]]&amp;"|"&amp;tblControles[[#This Row],[Ítem]]&amp;"|"&amp;tblControles[[#This Row],[Turno]]</f>
        <v>46282|TONELADAS X TURNO|Molino barras 8|2° turno</v>
      </c>
      <c r="C1501" s="871">
        <v>46282</v>
      </c>
      <c r="D1501" t="s">
        <v>9449</v>
      </c>
      <c r="E1501" t="s">
        <v>394</v>
      </c>
      <c r="F1501" t="s">
        <v>397</v>
      </c>
      <c r="G1501">
        <v>1514</v>
      </c>
      <c r="H1501" t="s">
        <v>9333</v>
      </c>
      <c r="I1501" s="871">
        <v>46293.93683766204</v>
      </c>
      <c r="J1501" t="s">
        <v>9528</v>
      </c>
      <c r="K1501" s="975" t="str">
        <f>IF(COUNTIFS(tblControles[Clave],tblControles[[#This Row],[Clave]])&gt;1,"Duplicado","")</f>
        <v/>
      </c>
    </row>
    <row r="1502" spans="2:11">
      <c r="B1502" s="975" t="str">
        <f>tblControles[[#This Row],[Fecha]]&amp;"|"&amp;tblControles[[#This Row],[Módulo]]&amp;"|"&amp;tblControles[[#This Row],[Ítem]]&amp;"|"&amp;tblControles[[#This Row],[Turno]]</f>
        <v>46282|TONELADAS X TURNO|Molino barras 8|3° turno</v>
      </c>
      <c r="C1502" s="871">
        <v>46282</v>
      </c>
      <c r="D1502" t="s">
        <v>9449</v>
      </c>
      <c r="E1502" t="s">
        <v>394</v>
      </c>
      <c r="F1502" t="s">
        <v>398</v>
      </c>
      <c r="G1502">
        <v>1480</v>
      </c>
      <c r="H1502" t="s">
        <v>9333</v>
      </c>
      <c r="I1502" s="871">
        <v>46293.93683766204</v>
      </c>
      <c r="J1502" t="s">
        <v>9528</v>
      </c>
      <c r="K1502" s="975" t="str">
        <f>IF(COUNTIFS(tblControles[Clave],tblControles[[#This Row],[Clave]])&gt;1,"Duplicado","")</f>
        <v/>
      </c>
    </row>
    <row r="1503" spans="2:11">
      <c r="B1503" s="975" t="str">
        <f>tblControles[[#This Row],[Fecha]]&amp;"|"&amp;tblControles[[#This Row],[Módulo]]&amp;"|"&amp;tblControles[[#This Row],[Ítem]]&amp;"|"&amp;tblControles[[#This Row],[Turno]]</f>
        <v>46282|TONELADAS X TURNO|Molino barras 9|1° turno</v>
      </c>
      <c r="C1503" s="871">
        <v>46282</v>
      </c>
      <c r="D1503" t="s">
        <v>9449</v>
      </c>
      <c r="E1503" t="s">
        <v>395</v>
      </c>
      <c r="F1503" t="s">
        <v>396</v>
      </c>
      <c r="G1503">
        <v>1568</v>
      </c>
      <c r="H1503" t="s">
        <v>9333</v>
      </c>
      <c r="I1503" s="871">
        <v>46293.93683766204</v>
      </c>
      <c r="J1503" t="s">
        <v>9528</v>
      </c>
      <c r="K1503" s="975" t="str">
        <f>IF(COUNTIFS(tblControles[Clave],tblControles[[#This Row],[Clave]])&gt;1,"Duplicado","")</f>
        <v/>
      </c>
    </row>
    <row r="1504" spans="2:11">
      <c r="B1504" s="975" t="str">
        <f>tblControles[[#This Row],[Fecha]]&amp;"|"&amp;tblControles[[#This Row],[Módulo]]&amp;"|"&amp;tblControles[[#This Row],[Ítem]]&amp;"|"&amp;tblControles[[#This Row],[Turno]]</f>
        <v>46282|TONELADAS X TURNO|Molino barras 9|2° turno</v>
      </c>
      <c r="C1504" s="871">
        <v>46282</v>
      </c>
      <c r="D1504" t="s">
        <v>9449</v>
      </c>
      <c r="E1504" t="s">
        <v>395</v>
      </c>
      <c r="F1504" t="s">
        <v>397</v>
      </c>
      <c r="G1504">
        <v>1836</v>
      </c>
      <c r="H1504" t="s">
        <v>9333</v>
      </c>
      <c r="I1504" s="871">
        <v>46293.93683766204</v>
      </c>
      <c r="J1504" t="s">
        <v>9528</v>
      </c>
      <c r="K1504" s="975" t="str">
        <f>IF(COUNTIFS(tblControles[Clave],tblControles[[#This Row],[Clave]])&gt;1,"Duplicado","")</f>
        <v/>
      </c>
    </row>
    <row r="1505" spans="2:11">
      <c r="B1505" s="975" t="str">
        <f>tblControles[[#This Row],[Fecha]]&amp;"|"&amp;tblControles[[#This Row],[Módulo]]&amp;"|"&amp;tblControles[[#This Row],[Ítem]]&amp;"|"&amp;tblControles[[#This Row],[Turno]]</f>
        <v>46282|TONELADAS X TURNO|Molino barras 9|3° turno</v>
      </c>
      <c r="C1505" s="871">
        <v>46282</v>
      </c>
      <c r="D1505" t="s">
        <v>9449</v>
      </c>
      <c r="E1505" t="s">
        <v>395</v>
      </c>
      <c r="F1505" t="s">
        <v>398</v>
      </c>
      <c r="G1505">
        <v>1797</v>
      </c>
      <c r="H1505" t="s">
        <v>9333</v>
      </c>
      <c r="I1505" s="871">
        <v>46293.93683766204</v>
      </c>
      <c r="J1505" t="s">
        <v>9528</v>
      </c>
      <c r="K1505" s="975" t="str">
        <f>IF(COUNTIFS(tblControles[Clave],tblControles[[#This Row],[Clave]])&gt;1,"Duplicado","")</f>
        <v/>
      </c>
    </row>
    <row r="1506" spans="2:11">
      <c r="B1506" s="975" t="str">
        <f>tblControles[[#This Row],[Fecha]]&amp;"|"&amp;tblControles[[#This Row],[Módulo]]&amp;"|"&amp;tblControles[[#This Row],[Ítem]]&amp;"|"&amp;tblControles[[#This Row],[Turno]]</f>
        <v>46283|AGREGADO MEDIOS|BARRAS RM1|Cantidad</v>
      </c>
      <c r="C1506" s="871">
        <v>46283</v>
      </c>
      <c r="D1506" t="s">
        <v>9451</v>
      </c>
      <c r="E1506" t="s">
        <v>410</v>
      </c>
      <c r="F1506" t="s">
        <v>9453</v>
      </c>
      <c r="G1506">
        <v>10</v>
      </c>
      <c r="H1506" t="s">
        <v>9333</v>
      </c>
      <c r="I1506" s="871">
        <v>46293.93683766204</v>
      </c>
      <c r="J1506" t="s">
        <v>9524</v>
      </c>
      <c r="K1506" s="975" t="str">
        <f>IF(COUNTIFS(tblControles[Clave],tblControles[[#This Row],[Clave]])&gt;1,"Duplicado","")</f>
        <v/>
      </c>
    </row>
    <row r="1507" spans="2:11">
      <c r="B1507" s="975" t="str">
        <f>tblControles[[#This Row],[Fecha]]&amp;"|"&amp;tblControles[[#This Row],[Módulo]]&amp;"|"&amp;tblControles[[#This Row],[Ítem]]&amp;"|"&amp;tblControles[[#This Row],[Turno]]</f>
        <v>46283|AGREGADO MEDIOS|BARRAS RM2|Cantidad</v>
      </c>
      <c r="C1507" s="871">
        <v>46283</v>
      </c>
      <c r="D1507" t="s">
        <v>9451</v>
      </c>
      <c r="E1507" t="s">
        <v>411</v>
      </c>
      <c r="F1507" t="s">
        <v>9453</v>
      </c>
      <c r="G1507">
        <v>0</v>
      </c>
      <c r="H1507" t="s">
        <v>9333</v>
      </c>
      <c r="I1507" s="871">
        <v>46293.93683766204</v>
      </c>
      <c r="J1507" t="s">
        <v>9524</v>
      </c>
      <c r="K1507" s="975" t="str">
        <f>IF(COUNTIFS(tblControles[Clave],tblControles[[#This Row],[Clave]])&gt;1,"Duplicado","")</f>
        <v/>
      </c>
    </row>
    <row r="1508" spans="2:11">
      <c r="B1508" s="975" t="str">
        <f>tblControles[[#This Row],[Fecha]]&amp;"|"&amp;tblControles[[#This Row],[Módulo]]&amp;"|"&amp;tblControles[[#This Row],[Ítem]]&amp;"|"&amp;tblControles[[#This Row],[Turno]]</f>
        <v>46283|AGREGADO MEDIOS|BARRAS RM3|Cantidad</v>
      </c>
      <c r="C1508" s="871">
        <v>46283</v>
      </c>
      <c r="D1508" t="s">
        <v>9451</v>
      </c>
      <c r="E1508" t="s">
        <v>412</v>
      </c>
      <c r="F1508" t="s">
        <v>9453</v>
      </c>
      <c r="G1508">
        <v>0</v>
      </c>
      <c r="H1508" t="s">
        <v>9333</v>
      </c>
      <c r="I1508" s="871">
        <v>46293.93683766204</v>
      </c>
      <c r="J1508" t="s">
        <v>9524</v>
      </c>
      <c r="K1508" s="975" t="str">
        <f>IF(COUNTIFS(tblControles[Clave],tblControles[[#This Row],[Clave]])&gt;1,"Duplicado","")</f>
        <v/>
      </c>
    </row>
    <row r="1509" spans="2:11">
      <c r="B1509" s="975" t="str">
        <f>tblControles[[#This Row],[Fecha]]&amp;"|"&amp;tblControles[[#This Row],[Módulo]]&amp;"|"&amp;tblControles[[#This Row],[Ítem]]&amp;"|"&amp;tblControles[[#This Row],[Turno]]</f>
        <v>46283|AGREGADO MEDIOS|BARRAS RM4|Cantidad</v>
      </c>
      <c r="C1509" s="871">
        <v>46283</v>
      </c>
      <c r="D1509" t="s">
        <v>9451</v>
      </c>
      <c r="E1509" t="s">
        <v>413</v>
      </c>
      <c r="F1509" t="s">
        <v>9453</v>
      </c>
      <c r="G1509">
        <v>0</v>
      </c>
      <c r="H1509" t="s">
        <v>9333</v>
      </c>
      <c r="I1509" s="871">
        <v>46293.93683766204</v>
      </c>
      <c r="J1509" t="s">
        <v>9524</v>
      </c>
      <c r="K1509" s="975" t="str">
        <f>IF(COUNTIFS(tblControles[Clave],tblControles[[#This Row],[Clave]])&gt;1,"Duplicado","")</f>
        <v/>
      </c>
    </row>
    <row r="1510" spans="2:11">
      <c r="B1510" s="975" t="str">
        <f>tblControles[[#This Row],[Fecha]]&amp;"|"&amp;tblControles[[#This Row],[Módulo]]&amp;"|"&amp;tblControles[[#This Row],[Ítem]]&amp;"|"&amp;tblControles[[#This Row],[Turno]]</f>
        <v>46283|AGREGADO MEDIOS|BARRAS RM5|Cantidad</v>
      </c>
      <c r="C1510" s="871">
        <v>46283</v>
      </c>
      <c r="D1510" t="s">
        <v>9451</v>
      </c>
      <c r="E1510" t="s">
        <v>414</v>
      </c>
      <c r="F1510" t="s">
        <v>9453</v>
      </c>
      <c r="G1510">
        <v>18</v>
      </c>
      <c r="H1510" t="s">
        <v>9333</v>
      </c>
      <c r="I1510" s="871">
        <v>46293.93683766204</v>
      </c>
      <c r="J1510" t="s">
        <v>9524</v>
      </c>
      <c r="K1510" s="975" t="str">
        <f>IF(COUNTIFS(tblControles[Clave],tblControles[[#This Row],[Clave]])&gt;1,"Duplicado","")</f>
        <v/>
      </c>
    </row>
    <row r="1511" spans="2:11">
      <c r="B1511" s="975" t="str">
        <f>tblControles[[#This Row],[Fecha]]&amp;"|"&amp;tblControles[[#This Row],[Módulo]]&amp;"|"&amp;tblControles[[#This Row],[Ítem]]&amp;"|"&amp;tblControles[[#This Row],[Turno]]</f>
        <v>46283|AGREGADO MEDIOS|BARRAS RM6|Cantidad</v>
      </c>
      <c r="C1511" s="871">
        <v>46283</v>
      </c>
      <c r="D1511" t="s">
        <v>9451</v>
      </c>
      <c r="E1511" t="s">
        <v>415</v>
      </c>
      <c r="F1511" t="s">
        <v>9453</v>
      </c>
      <c r="G1511">
        <v>9</v>
      </c>
      <c r="H1511" t="s">
        <v>9333</v>
      </c>
      <c r="I1511" s="871">
        <v>46293.93683766204</v>
      </c>
      <c r="J1511" t="s">
        <v>9524</v>
      </c>
      <c r="K1511" s="975" t="str">
        <f>IF(COUNTIFS(tblControles[Clave],tblControles[[#This Row],[Clave]])&gt;1,"Duplicado","")</f>
        <v/>
      </c>
    </row>
    <row r="1512" spans="2:11">
      <c r="B1512" s="975" t="str">
        <f>tblControles[[#This Row],[Fecha]]&amp;"|"&amp;tblControles[[#This Row],[Módulo]]&amp;"|"&amp;tblControles[[#This Row],[Ítem]]&amp;"|"&amp;tblControles[[#This Row],[Turno]]</f>
        <v>46283|AGREGADO MEDIOS|BARRAS RM7|Cantidad</v>
      </c>
      <c r="C1512" s="871">
        <v>46283</v>
      </c>
      <c r="D1512" t="s">
        <v>9451</v>
      </c>
      <c r="E1512" t="s">
        <v>416</v>
      </c>
      <c r="F1512" t="s">
        <v>9453</v>
      </c>
      <c r="G1512">
        <v>0</v>
      </c>
      <c r="H1512" t="s">
        <v>9333</v>
      </c>
      <c r="I1512" s="871">
        <v>46293.93683766204</v>
      </c>
      <c r="J1512" t="s">
        <v>9524</v>
      </c>
      <c r="K1512" s="975" t="str">
        <f>IF(COUNTIFS(tblControles[Clave],tblControles[[#This Row],[Clave]])&gt;1,"Duplicado","")</f>
        <v/>
      </c>
    </row>
    <row r="1513" spans="2:11">
      <c r="B1513" s="975" t="str">
        <f>tblControles[[#This Row],[Fecha]]&amp;"|"&amp;tblControles[[#This Row],[Módulo]]&amp;"|"&amp;tblControles[[#This Row],[Ítem]]&amp;"|"&amp;tblControles[[#This Row],[Turno]]</f>
        <v>46283|AGREGADO MEDIOS|BARRAS RM8|Cantidad</v>
      </c>
      <c r="C1513" s="871">
        <v>46283</v>
      </c>
      <c r="D1513" t="s">
        <v>9451</v>
      </c>
      <c r="E1513" t="s">
        <v>417</v>
      </c>
      <c r="F1513" t="s">
        <v>9453</v>
      </c>
      <c r="G1513">
        <v>15</v>
      </c>
      <c r="H1513" t="s">
        <v>9333</v>
      </c>
      <c r="I1513" s="871">
        <v>46293.93683766204</v>
      </c>
      <c r="J1513" t="s">
        <v>9524</v>
      </c>
      <c r="K1513" s="975" t="str">
        <f>IF(COUNTIFS(tblControles[Clave],tblControles[[#This Row],[Clave]])&gt;1,"Duplicado","")</f>
        <v/>
      </c>
    </row>
    <row r="1514" spans="2:11">
      <c r="B1514" s="975" t="str">
        <f>tblControles[[#This Row],[Fecha]]&amp;"|"&amp;tblControles[[#This Row],[Módulo]]&amp;"|"&amp;tblControles[[#This Row],[Ítem]]&amp;"|"&amp;tblControles[[#This Row],[Turno]]</f>
        <v>46283|AGREGADO MEDIOS|BARRAS 9 RM9|Cantidad</v>
      </c>
      <c r="C1514" s="871">
        <v>46283</v>
      </c>
      <c r="D1514" t="s">
        <v>9451</v>
      </c>
      <c r="E1514" t="s">
        <v>418</v>
      </c>
      <c r="F1514" t="s">
        <v>9453</v>
      </c>
      <c r="G1514">
        <v>9</v>
      </c>
      <c r="H1514" t="s">
        <v>9333</v>
      </c>
      <c r="I1514" s="871">
        <v>46293.93683766204</v>
      </c>
      <c r="J1514" t="s">
        <v>9524</v>
      </c>
      <c r="K1514" s="975" t="str">
        <f>IF(COUNTIFS(tblControles[Clave],tblControles[[#This Row],[Clave]])&gt;1,"Duplicado","")</f>
        <v/>
      </c>
    </row>
    <row r="1515" spans="2:11">
      <c r="B1515" s="975" t="str">
        <f>tblControles[[#This Row],[Fecha]]&amp;"|"&amp;tblControles[[#This Row],[Módulo]]&amp;"|"&amp;tblControles[[#This Row],[Ítem]]&amp;"|"&amp;tblControles[[#This Row],[Turno]]</f>
        <v>46283|AGREGADO MEDIOS|CONOS 40X50 BM1|Cantidad</v>
      </c>
      <c r="C1515" s="871">
        <v>46283</v>
      </c>
      <c r="D1515" t="s">
        <v>9451</v>
      </c>
      <c r="E1515" t="s">
        <v>420</v>
      </c>
      <c r="F1515" t="s">
        <v>9453</v>
      </c>
      <c r="G1515">
        <v>4</v>
      </c>
      <c r="H1515" t="s">
        <v>9333</v>
      </c>
      <c r="I1515" s="871">
        <v>46293.93683766204</v>
      </c>
      <c r="J1515" t="s">
        <v>9524</v>
      </c>
      <c r="K1515" s="975" t="str">
        <f>IF(COUNTIFS(tblControles[Clave],tblControles[[#This Row],[Clave]])&gt;1,"Duplicado","")</f>
        <v/>
      </c>
    </row>
    <row r="1516" spans="2:11">
      <c r="B1516" s="975" t="str">
        <f>tblControles[[#This Row],[Fecha]]&amp;"|"&amp;tblControles[[#This Row],[Módulo]]&amp;"|"&amp;tblControles[[#This Row],[Ítem]]&amp;"|"&amp;tblControles[[#This Row],[Turno]]</f>
        <v>46283|AGREGADO MEDIOS|CONOS 40X50 BM2|Cantidad</v>
      </c>
      <c r="C1516" s="871">
        <v>46283</v>
      </c>
      <c r="D1516" t="s">
        <v>9451</v>
      </c>
      <c r="E1516" t="s">
        <v>421</v>
      </c>
      <c r="F1516" t="s">
        <v>9453</v>
      </c>
      <c r="G1516">
        <v>0</v>
      </c>
      <c r="H1516" t="s">
        <v>9333</v>
      </c>
      <c r="I1516" s="871">
        <v>46293.93683766204</v>
      </c>
      <c r="J1516" t="s">
        <v>9524</v>
      </c>
      <c r="K1516" s="975" t="str">
        <f>IF(COUNTIFS(tblControles[Clave],tblControles[[#This Row],[Clave]])&gt;1,"Duplicado","")</f>
        <v/>
      </c>
    </row>
    <row r="1517" spans="2:11">
      <c r="B1517" s="975" t="str">
        <f>tblControles[[#This Row],[Fecha]]&amp;"|"&amp;tblControles[[#This Row],[Módulo]]&amp;"|"&amp;tblControles[[#This Row],[Ítem]]&amp;"|"&amp;tblControles[[#This Row],[Turno]]</f>
        <v>46283|AGREGADO MEDIOS|CONOS 40X50 BM3|Cantidad</v>
      </c>
      <c r="C1517" s="871">
        <v>46283</v>
      </c>
      <c r="D1517" t="s">
        <v>9451</v>
      </c>
      <c r="E1517" t="s">
        <v>422</v>
      </c>
      <c r="F1517" t="s">
        <v>9453</v>
      </c>
      <c r="G1517">
        <v>0</v>
      </c>
      <c r="H1517" t="s">
        <v>9333</v>
      </c>
      <c r="I1517" s="871">
        <v>46293.93683766204</v>
      </c>
      <c r="J1517" t="s">
        <v>9524</v>
      </c>
      <c r="K1517" s="975" t="str">
        <f>IF(COUNTIFS(tblControles[Clave],tblControles[[#This Row],[Clave]])&gt;1,"Duplicado","")</f>
        <v/>
      </c>
    </row>
    <row r="1518" spans="2:11">
      <c r="B1518" s="975" t="str">
        <f>tblControles[[#This Row],[Fecha]]&amp;"|"&amp;tblControles[[#This Row],[Módulo]]&amp;"|"&amp;tblControles[[#This Row],[Ítem]]&amp;"|"&amp;tblControles[[#This Row],[Turno]]</f>
        <v>46283|AGREGADO MEDIOS|CONOS 40X50 BM4|Cantidad</v>
      </c>
      <c r="C1518" s="871">
        <v>46283</v>
      </c>
      <c r="D1518" t="s">
        <v>9451</v>
      </c>
      <c r="E1518" t="s">
        <v>423</v>
      </c>
      <c r="F1518" t="s">
        <v>9453</v>
      </c>
      <c r="G1518">
        <v>0</v>
      </c>
      <c r="H1518" t="s">
        <v>9333</v>
      </c>
      <c r="I1518" s="871">
        <v>46293.93683766204</v>
      </c>
      <c r="J1518" t="s">
        <v>9524</v>
      </c>
      <c r="K1518" s="975" t="str">
        <f>IF(COUNTIFS(tblControles[Clave],tblControles[[#This Row],[Clave]])&gt;1,"Duplicado","")</f>
        <v/>
      </c>
    </row>
    <row r="1519" spans="2:11">
      <c r="B1519" s="975" t="str">
        <f>tblControles[[#This Row],[Fecha]]&amp;"|"&amp;tblControles[[#This Row],[Módulo]]&amp;"|"&amp;tblControles[[#This Row],[Ítem]]&amp;"|"&amp;tblControles[[#This Row],[Turno]]</f>
        <v>46283|AGREGADO MEDIOS|CONOS 30X35 BM5|Cantidad</v>
      </c>
      <c r="C1519" s="871">
        <v>46283</v>
      </c>
      <c r="D1519" t="s">
        <v>9451</v>
      </c>
      <c r="E1519" t="s">
        <v>424</v>
      </c>
      <c r="F1519" t="s">
        <v>9453</v>
      </c>
      <c r="G1519">
        <v>6</v>
      </c>
      <c r="H1519" t="s">
        <v>9333</v>
      </c>
      <c r="I1519" s="871">
        <v>46293.93683766204</v>
      </c>
      <c r="J1519" t="s">
        <v>9524</v>
      </c>
      <c r="K1519" s="975" t="str">
        <f>IF(COUNTIFS(tblControles[Clave],tblControles[[#This Row],[Clave]])&gt;1,"Duplicado","")</f>
        <v/>
      </c>
    </row>
    <row r="1520" spans="2:11">
      <c r="B1520" s="975" t="str">
        <f>tblControles[[#This Row],[Fecha]]&amp;"|"&amp;tblControles[[#This Row],[Módulo]]&amp;"|"&amp;tblControles[[#This Row],[Ítem]]&amp;"|"&amp;tblControles[[#This Row],[Turno]]</f>
        <v>46283|AGREGADO MEDIOS|CONOS 40X50 BM6|Cantidad</v>
      </c>
      <c r="C1520" s="871">
        <v>46283</v>
      </c>
      <c r="D1520" t="s">
        <v>9451</v>
      </c>
      <c r="E1520" t="s">
        <v>425</v>
      </c>
      <c r="F1520" t="s">
        <v>9453</v>
      </c>
      <c r="G1520">
        <v>6</v>
      </c>
      <c r="H1520" t="s">
        <v>9333</v>
      </c>
      <c r="I1520" s="871">
        <v>46293.93683766204</v>
      </c>
      <c r="J1520" t="s">
        <v>9524</v>
      </c>
      <c r="K1520" s="975" t="str">
        <f>IF(COUNTIFS(tblControles[Clave],tblControles[[#This Row],[Clave]])&gt;1,"Duplicado","")</f>
        <v/>
      </c>
    </row>
    <row r="1521" spans="2:11">
      <c r="B1521" s="975" t="str">
        <f>tblControles[[#This Row],[Fecha]]&amp;"|"&amp;tblControles[[#This Row],[Módulo]]&amp;"|"&amp;tblControles[[#This Row],[Ítem]]&amp;"|"&amp;tblControles[[#This Row],[Turno]]</f>
        <v>46283|AGREGADO MEDIOS|CONOS 40X50 BM7|Cantidad</v>
      </c>
      <c r="C1521" s="871">
        <v>46283</v>
      </c>
      <c r="D1521" t="s">
        <v>9451</v>
      </c>
      <c r="E1521" t="s">
        <v>426</v>
      </c>
      <c r="F1521" t="s">
        <v>9453</v>
      </c>
      <c r="G1521">
        <v>0</v>
      </c>
      <c r="H1521" t="s">
        <v>9333</v>
      </c>
      <c r="I1521" s="871">
        <v>46293.93683766204</v>
      </c>
      <c r="J1521" t="s">
        <v>9524</v>
      </c>
      <c r="K1521" s="975" t="str">
        <f>IF(COUNTIFS(tblControles[Clave],tblControles[[#This Row],[Clave]])&gt;1,"Duplicado","")</f>
        <v/>
      </c>
    </row>
    <row r="1522" spans="2:11">
      <c r="B1522" s="975" t="str">
        <f>tblControles[[#This Row],[Fecha]]&amp;"|"&amp;tblControles[[#This Row],[Módulo]]&amp;"|"&amp;tblControles[[#This Row],[Ítem]]&amp;"|"&amp;tblControles[[#This Row],[Turno]]</f>
        <v>46283|AGREGADO MEDIOS|CONOS 40X50|Cantidad</v>
      </c>
      <c r="C1522" s="871">
        <v>46283</v>
      </c>
      <c r="D1522" t="s">
        <v>9451</v>
      </c>
      <c r="E1522" t="s">
        <v>427</v>
      </c>
      <c r="F1522" t="s">
        <v>9453</v>
      </c>
      <c r="G1522">
        <v>4</v>
      </c>
      <c r="H1522" t="s">
        <v>9333</v>
      </c>
      <c r="I1522" s="871">
        <v>46293.93683766204</v>
      </c>
      <c r="J1522" t="s">
        <v>9524</v>
      </c>
      <c r="K1522" s="975" t="str">
        <f>IF(COUNTIFS(tblControles[Clave],tblControles[[#This Row],[Clave]])&gt;1,"Duplicado","")</f>
        <v/>
      </c>
    </row>
    <row r="1523" spans="2:11">
      <c r="B1523" s="975" t="str">
        <f>tblControles[[#This Row],[Fecha]]&amp;"|"&amp;tblControles[[#This Row],[Módulo]]&amp;"|"&amp;tblControles[[#This Row],[Ítem]]&amp;"|"&amp;tblControles[[#This Row],[Turno]]</f>
        <v>46283|AGREGADO MEDIOS|CONOS 30X35|Cantidad</v>
      </c>
      <c r="C1523" s="871">
        <v>46283</v>
      </c>
      <c r="D1523" t="s">
        <v>9451</v>
      </c>
      <c r="E1523" t="s">
        <v>428</v>
      </c>
      <c r="F1523" t="s">
        <v>9453</v>
      </c>
      <c r="G1523">
        <v>12</v>
      </c>
      <c r="H1523" t="s">
        <v>9333</v>
      </c>
      <c r="I1523" s="871">
        <v>46293.93683766204</v>
      </c>
      <c r="J1523" t="s">
        <v>9524</v>
      </c>
      <c r="K1523" s="975" t="str">
        <f>IF(COUNTIFS(tblControles[Clave],tblControles[[#This Row],[Clave]])&gt;1,"Duplicado","")</f>
        <v/>
      </c>
    </row>
    <row r="1524" spans="2:11">
      <c r="B1524" s="975" t="str">
        <f>tblControles[[#This Row],[Fecha]]&amp;"|"&amp;tblControles[[#This Row],[Módulo]]&amp;"|"&amp;tblControles[[#This Row],[Ítem]]&amp;"|"&amp;tblControles[[#This Row],[Turno]]</f>
        <v>46283|AGREGADO MEDIOS|BOLAS BM8|Cantidad</v>
      </c>
      <c r="C1524" s="871">
        <v>46283</v>
      </c>
      <c r="D1524" t="s">
        <v>9451</v>
      </c>
      <c r="E1524" t="s">
        <v>429</v>
      </c>
      <c r="F1524" t="s">
        <v>9453</v>
      </c>
      <c r="G1524">
        <v>2</v>
      </c>
      <c r="H1524" t="s">
        <v>9333</v>
      </c>
      <c r="I1524" s="871">
        <v>46293.93683766204</v>
      </c>
      <c r="J1524" t="s">
        <v>9524</v>
      </c>
      <c r="K1524" s="975" t="str">
        <f>IF(COUNTIFS(tblControles[Clave],tblControles[[#This Row],[Clave]])&gt;1,"Duplicado","")</f>
        <v/>
      </c>
    </row>
    <row r="1525" spans="2:11">
      <c r="B1525" s="975" t="str">
        <f>tblControles[[#This Row],[Fecha]]&amp;"|"&amp;tblControles[[#This Row],[Módulo]]&amp;"|"&amp;tblControles[[#This Row],[Ítem]]&amp;"|"&amp;tblControles[[#This Row],[Turno]]</f>
        <v>46283|AGREGADO MEDIOS|BOLAS BM9|Cantidad</v>
      </c>
      <c r="C1525" s="871">
        <v>46283</v>
      </c>
      <c r="D1525" t="s">
        <v>9451</v>
      </c>
      <c r="E1525" t="s">
        <v>430</v>
      </c>
      <c r="F1525" t="s">
        <v>9453</v>
      </c>
      <c r="G1525">
        <v>6</v>
      </c>
      <c r="H1525" t="s">
        <v>9333</v>
      </c>
      <c r="I1525" s="871">
        <v>46293.93683766204</v>
      </c>
      <c r="J1525" t="s">
        <v>9524</v>
      </c>
      <c r="K1525" s="975" t="str">
        <f>IF(COUNTIFS(tblControles[Clave],tblControles[[#This Row],[Clave]])&gt;1,"Duplicado","")</f>
        <v/>
      </c>
    </row>
    <row r="1526" spans="2:11">
      <c r="B1526" s="975" t="str">
        <f>tblControles[[#This Row],[Fecha]]&amp;"|"&amp;tblControles[[#This Row],[Módulo]]&amp;"|"&amp;tblControles[[#This Row],[Ítem]]&amp;"|"&amp;tblControles[[#This Row],[Turno]]</f>
        <v>46283|AGREGADO MEDIOS|BOLAS BM10|Cantidad</v>
      </c>
      <c r="C1526" s="871">
        <v>46283</v>
      </c>
      <c r="D1526" t="s">
        <v>9451</v>
      </c>
      <c r="E1526" t="s">
        <v>431</v>
      </c>
      <c r="F1526" t="s">
        <v>9453</v>
      </c>
      <c r="G1526">
        <v>0</v>
      </c>
      <c r="H1526" t="s">
        <v>9333</v>
      </c>
      <c r="I1526" s="871">
        <v>46293.93683766204</v>
      </c>
      <c r="J1526" t="s">
        <v>9524</v>
      </c>
      <c r="K1526" s="975" t="str">
        <f>IF(COUNTIFS(tblControles[Clave],tblControles[[#This Row],[Clave]])&gt;1,"Duplicado","")</f>
        <v/>
      </c>
    </row>
    <row r="1527" spans="2:11">
      <c r="B1527" s="975" t="str">
        <f>tblControles[[#This Row],[Fecha]]&amp;"|"&amp;tblControles[[#This Row],[Módulo]]&amp;"|"&amp;tblControles[[#This Row],[Ítem]]&amp;"|"&amp;tblControles[[#This Row],[Turno]]</f>
        <v>46283|AGREGADO MEDIOS|BOLAS ALTO CROM|Cantidad</v>
      </c>
      <c r="C1527" s="871">
        <v>46283</v>
      </c>
      <c r="D1527" t="s">
        <v>9451</v>
      </c>
      <c r="E1527" t="s">
        <v>432</v>
      </c>
      <c r="F1527" t="s">
        <v>9453</v>
      </c>
      <c r="G1527">
        <v>8</v>
      </c>
      <c r="H1527" t="s">
        <v>9333</v>
      </c>
      <c r="I1527" s="871">
        <v>46293.93683766204</v>
      </c>
      <c r="J1527" t="s">
        <v>9524</v>
      </c>
      <c r="K1527" s="975" t="str">
        <f>IF(COUNTIFS(tblControles[Clave],tblControles[[#This Row],[Clave]])&gt;1,"Duplicado","")</f>
        <v/>
      </c>
    </row>
    <row r="1528" spans="2:11">
      <c r="B1528" s="975" t="str">
        <f>tblControles[[#This Row],[Fecha]]&amp;"|"&amp;tblControles[[#This Row],[Módulo]]&amp;"|"&amp;tblControles[[#This Row],[Ítem]]&amp;"|"&amp;tblControles[[#This Row],[Turno]]</f>
        <v>46283|FILTROS H2O|Filtro # 1|2 TURNO</v>
      </c>
      <c r="C1528" s="871">
        <v>46283</v>
      </c>
      <c r="D1528" t="s">
        <v>9430</v>
      </c>
      <c r="E1528" t="s">
        <v>9525</v>
      </c>
      <c r="F1528" t="s">
        <v>327</v>
      </c>
      <c r="G1528" t="s">
        <v>3227</v>
      </c>
      <c r="H1528" t="s">
        <v>9333</v>
      </c>
      <c r="I1528" s="871">
        <v>46293.93683766204</v>
      </c>
      <c r="J1528" t="s">
        <v>9532</v>
      </c>
      <c r="K1528" s="975" t="str">
        <f>IF(COUNTIFS(tblControles[Clave],tblControles[[#This Row],[Clave]])&gt;1,"Duplicado","")</f>
        <v/>
      </c>
    </row>
    <row r="1529" spans="2:11">
      <c r="B1529" s="975" t="str">
        <f>tblControles[[#This Row],[Fecha]]&amp;"|"&amp;tblControles[[#This Row],[Módulo]]&amp;"|"&amp;tblControles[[#This Row],[Ítem]]&amp;"|"&amp;tblControles[[#This Row],[Turno]]</f>
        <v>46283|FILTROS H2O|Filtro # 2|2 TURNO</v>
      </c>
      <c r="C1529" s="871">
        <v>46283</v>
      </c>
      <c r="D1529" t="s">
        <v>9430</v>
      </c>
      <c r="E1529" t="s">
        <v>9463</v>
      </c>
      <c r="F1529" t="s">
        <v>327</v>
      </c>
      <c r="G1529" t="s">
        <v>3227</v>
      </c>
      <c r="H1529" t="s">
        <v>9333</v>
      </c>
      <c r="I1529" s="871">
        <v>46293.93683766204</v>
      </c>
      <c r="J1529" t="s">
        <v>9532</v>
      </c>
      <c r="K1529" s="975" t="str">
        <f>IF(COUNTIFS(tblControles[Clave],tblControles[[#This Row],[Clave]])&gt;1,"Duplicado","")</f>
        <v/>
      </c>
    </row>
    <row r="1530" spans="2:11">
      <c r="B1530" s="975" t="str">
        <f>tblControles[[#This Row],[Fecha]]&amp;"|"&amp;tblControles[[#This Row],[Módulo]]&amp;"|"&amp;tblControles[[#This Row],[Ítem]]&amp;"|"&amp;tblControles[[#This Row],[Turno]]</f>
        <v>46283|FILTROS H2O|Filtro # 3|2 TURNO</v>
      </c>
      <c r="C1530" s="871">
        <v>46283</v>
      </c>
      <c r="D1530" t="s">
        <v>9430</v>
      </c>
      <c r="E1530" t="s">
        <v>9464</v>
      </c>
      <c r="F1530" t="s">
        <v>327</v>
      </c>
      <c r="G1530" t="s">
        <v>3227</v>
      </c>
      <c r="H1530" t="s">
        <v>9333</v>
      </c>
      <c r="I1530" s="871">
        <v>46293.93683766204</v>
      </c>
      <c r="J1530" t="s">
        <v>9532</v>
      </c>
      <c r="K1530" s="975" t="str">
        <f>IF(COUNTIFS(tblControles[Clave],tblControles[[#This Row],[Clave]])&gt;1,"Duplicado","")</f>
        <v/>
      </c>
    </row>
    <row r="1531" spans="2:11">
      <c r="B1531" s="975" t="str">
        <f>tblControles[[#This Row],[Fecha]]&amp;"|"&amp;tblControles[[#This Row],[Módulo]]&amp;"|"&amp;tblControles[[#This Row],[Ítem]]&amp;"|"&amp;tblControles[[#This Row],[Turno]]</f>
        <v>46283|FILTROS H2O|Filtro # 4|2 TURNO</v>
      </c>
      <c r="C1531" s="871">
        <v>46283</v>
      </c>
      <c r="D1531" t="s">
        <v>9430</v>
      </c>
      <c r="E1531" t="s">
        <v>9465</v>
      </c>
      <c r="F1531" t="s">
        <v>327</v>
      </c>
      <c r="G1531" t="s">
        <v>345</v>
      </c>
      <c r="H1531" t="s">
        <v>9333</v>
      </c>
      <c r="I1531" s="871">
        <v>46293.93683766204</v>
      </c>
      <c r="J1531" t="s">
        <v>9532</v>
      </c>
      <c r="K1531" s="975" t="str">
        <f>IF(COUNTIFS(tblControles[Clave],tblControles[[#This Row],[Clave]])&gt;1,"Duplicado","")</f>
        <v/>
      </c>
    </row>
    <row r="1532" spans="2:11">
      <c r="B1532" s="975" t="str">
        <f>tblControles[[#This Row],[Fecha]]&amp;"|"&amp;tblControles[[#This Row],[Módulo]]&amp;"|"&amp;tblControles[[#This Row],[Ítem]]&amp;"|"&amp;tblControles[[#This Row],[Turno]]</f>
        <v>46283|FILTROS H2O|Filtro # 5|2 TURNO</v>
      </c>
      <c r="C1532" s="871">
        <v>46283</v>
      </c>
      <c r="D1532" t="s">
        <v>9430</v>
      </c>
      <c r="E1532" t="s">
        <v>9466</v>
      </c>
      <c r="F1532" t="s">
        <v>327</v>
      </c>
      <c r="G1532" t="s">
        <v>3227</v>
      </c>
      <c r="H1532" t="s">
        <v>9333</v>
      </c>
      <c r="I1532" s="871">
        <v>46293.93683766204</v>
      </c>
      <c r="J1532" t="s">
        <v>9532</v>
      </c>
      <c r="K1532" s="975" t="str">
        <f>IF(COUNTIFS(tblControles[Clave],tblControles[[#This Row],[Clave]])&gt;1,"Duplicado","")</f>
        <v/>
      </c>
    </row>
    <row r="1533" spans="2:11">
      <c r="B1533" s="975" t="str">
        <f>tblControles[[#This Row],[Fecha]]&amp;"|"&amp;tblControles[[#This Row],[Módulo]]&amp;"|"&amp;tblControles[[#This Row],[Ítem]]&amp;"|"&amp;tblControles[[#This Row],[Turno]]</f>
        <v>46283|FILTROS H2O|Filtro Linea # 5|2 TURNO</v>
      </c>
      <c r="C1533" s="871">
        <v>46283</v>
      </c>
      <c r="D1533" t="s">
        <v>9430</v>
      </c>
      <c r="E1533" t="s">
        <v>331</v>
      </c>
      <c r="F1533" t="s">
        <v>327</v>
      </c>
      <c r="G1533" t="s">
        <v>3227</v>
      </c>
      <c r="H1533" t="s">
        <v>9333</v>
      </c>
      <c r="I1533" s="871">
        <v>46293.93683766204</v>
      </c>
      <c r="J1533" t="s">
        <v>9532</v>
      </c>
      <c r="K1533" s="975" t="str">
        <f>IF(COUNTIFS(tblControles[Clave],tblControles[[#This Row],[Clave]])&gt;1,"Duplicado","")</f>
        <v/>
      </c>
    </row>
    <row r="1534" spans="2:11">
      <c r="B1534" s="975" t="str">
        <f>tblControles[[#This Row],[Fecha]]&amp;"|"&amp;tblControles[[#This Row],[Módulo]]&amp;"|"&amp;tblControles[[#This Row],[Ítem]]&amp;"|"&amp;tblControles[[#This Row],[Turno]]</f>
        <v>46283|FILTROS H2O|Filtro Linea # 6|2 TURNO</v>
      </c>
      <c r="C1534" s="871">
        <v>46283</v>
      </c>
      <c r="D1534" t="s">
        <v>9430</v>
      </c>
      <c r="E1534" t="s">
        <v>332</v>
      </c>
      <c r="F1534" t="s">
        <v>327</v>
      </c>
      <c r="G1534" t="s">
        <v>3227</v>
      </c>
      <c r="H1534" t="s">
        <v>9333</v>
      </c>
      <c r="I1534" s="871">
        <v>46293.93683766204</v>
      </c>
      <c r="J1534" t="s">
        <v>9532</v>
      </c>
      <c r="K1534" s="975" t="str">
        <f>IF(COUNTIFS(tblControles[Clave],tblControles[[#This Row],[Clave]])&gt;1,"Duplicado","")</f>
        <v/>
      </c>
    </row>
    <row r="1535" spans="2:11">
      <c r="B1535" s="975" t="str">
        <f>tblControles[[#This Row],[Fecha]]&amp;"|"&amp;tblControles[[#This Row],[Módulo]]&amp;"|"&amp;tblControles[[#This Row],[Ítem]]&amp;"|"&amp;tblControles[[#This Row],[Turno]]</f>
        <v>46283|FILTROS H2O|Filtro Linea # 7|2 TURNO</v>
      </c>
      <c r="C1535" s="871">
        <v>46283</v>
      </c>
      <c r="D1535" t="s">
        <v>9430</v>
      </c>
      <c r="E1535" t="s">
        <v>9467</v>
      </c>
      <c r="F1535" t="s">
        <v>327</v>
      </c>
      <c r="G1535" t="s">
        <v>345</v>
      </c>
      <c r="H1535" t="s">
        <v>9333</v>
      </c>
      <c r="I1535" s="871">
        <v>46293.93683766204</v>
      </c>
      <c r="J1535" t="s">
        <v>9532</v>
      </c>
      <c r="K1535" s="975" t="str">
        <f>IF(COUNTIFS(tblControles[Clave],tblControles[[#This Row],[Clave]])&gt;1,"Duplicado","")</f>
        <v/>
      </c>
    </row>
    <row r="1536" spans="2:11">
      <c r="B1536" s="975" t="str">
        <f>tblControles[[#This Row],[Fecha]]&amp;"|"&amp;tblControles[[#This Row],[Módulo]]&amp;"|"&amp;tblControles[[#This Row],[Ítem]]&amp;"|"&amp;tblControles[[#This Row],[Turno]]</f>
        <v>46283|FILTROS H2O|Filtro Linea # 8|2 TURNO</v>
      </c>
      <c r="C1536" s="871">
        <v>46283</v>
      </c>
      <c r="D1536" t="s">
        <v>9430</v>
      </c>
      <c r="E1536" t="s">
        <v>9468</v>
      </c>
      <c r="F1536" t="s">
        <v>327</v>
      </c>
      <c r="G1536" t="s">
        <v>345</v>
      </c>
      <c r="H1536" t="s">
        <v>9333</v>
      </c>
      <c r="I1536" s="871">
        <v>46293.93683766204</v>
      </c>
      <c r="J1536" t="s">
        <v>9532</v>
      </c>
      <c r="K1536" s="975" t="str">
        <f>IF(COUNTIFS(tblControles[Clave],tblControles[[#This Row],[Clave]])&gt;1,"Duplicado","")</f>
        <v/>
      </c>
    </row>
    <row r="1537" spans="2:11">
      <c r="B1537" s="975" t="str">
        <f>tblControles[[#This Row],[Fecha]]&amp;"|"&amp;tblControles[[#This Row],[Módulo]]&amp;"|"&amp;tblControles[[#This Row],[Ítem]]&amp;"|"&amp;tblControles[[#This Row],[Turno]]</f>
        <v>46283|FILTROS H2O|Filtro Linea # 9 (01)|2 TURNO</v>
      </c>
      <c r="C1537" s="871">
        <v>46283</v>
      </c>
      <c r="D1537" t="s">
        <v>9430</v>
      </c>
      <c r="E1537" t="s">
        <v>9469</v>
      </c>
      <c r="F1537" t="s">
        <v>327</v>
      </c>
      <c r="G1537" t="s">
        <v>3227</v>
      </c>
      <c r="H1537" t="s">
        <v>9333</v>
      </c>
      <c r="I1537" s="871">
        <v>46293.93683766204</v>
      </c>
      <c r="J1537" t="s">
        <v>9532</v>
      </c>
      <c r="K1537" s="975" t="str">
        <f>IF(COUNTIFS(tblControles[Clave],tblControles[[#This Row],[Clave]])&gt;1,"Duplicado","")</f>
        <v/>
      </c>
    </row>
    <row r="1538" spans="2:11">
      <c r="B1538" s="975" t="str">
        <f>tblControles[[#This Row],[Fecha]]&amp;"|"&amp;tblControles[[#This Row],[Módulo]]&amp;"|"&amp;tblControles[[#This Row],[Ítem]]&amp;"|"&amp;tblControles[[#This Row],[Turno]]</f>
        <v>46283|FILTROS H2O|Filtro Linea # 9 (02)|2 TURNO</v>
      </c>
      <c r="C1538" s="871">
        <v>46283</v>
      </c>
      <c r="D1538" t="s">
        <v>9430</v>
      </c>
      <c r="E1538" t="s">
        <v>9470</v>
      </c>
      <c r="F1538" t="s">
        <v>327</v>
      </c>
      <c r="G1538" t="s">
        <v>345</v>
      </c>
      <c r="H1538" t="s">
        <v>9333</v>
      </c>
      <c r="I1538" s="871">
        <v>46293.93683766204</v>
      </c>
      <c r="J1538" t="s">
        <v>9532</v>
      </c>
      <c r="K1538" s="975" t="str">
        <f>IF(COUNTIFS(tblControles[Clave],tblControles[[#This Row],[Clave]])&gt;1,"Duplicado","")</f>
        <v/>
      </c>
    </row>
    <row r="1539" spans="2:11">
      <c r="B1539" s="975" t="str">
        <f>tblControles[[#This Row],[Fecha]]&amp;"|"&amp;tblControles[[#This Row],[Módulo]]&amp;"|"&amp;tblControles[[#This Row],[Ítem]]&amp;"|"&amp;tblControles[[#This Row],[Turno]]</f>
        <v>46283|PURGA TKS AIRE|TK-MG-S. ROTULO|2do Turno</v>
      </c>
      <c r="C1539" s="871">
        <v>46283</v>
      </c>
      <c r="D1539" t="s">
        <v>9433</v>
      </c>
      <c r="E1539" t="s">
        <v>9471</v>
      </c>
      <c r="F1539" t="s">
        <v>9436</v>
      </c>
      <c r="G1539" t="s">
        <v>3227</v>
      </c>
      <c r="H1539" t="s">
        <v>9333</v>
      </c>
      <c r="I1539" s="871">
        <v>46293.93683766204</v>
      </c>
      <c r="J1539" t="s">
        <v>9530</v>
      </c>
      <c r="K1539" s="975" t="str">
        <f>IF(COUNTIFS(tblControles[Clave],tblControles[[#This Row],[Clave]])&gt;1,"Duplicado","")</f>
        <v/>
      </c>
    </row>
    <row r="1540" spans="2:11">
      <c r="B1540" s="975" t="str">
        <f>tblControles[[#This Row],[Fecha]]&amp;"|"&amp;tblControles[[#This Row],[Módulo]]&amp;"|"&amp;tblControles[[#This Row],[Ítem]]&amp;"|"&amp;tblControles[[#This Row],[Turno]]</f>
        <v>46283|PURGA TKS AIRE|TK-MG-S. ROTULO|3er Turno</v>
      </c>
      <c r="C1540" s="871">
        <v>46283</v>
      </c>
      <c r="D1540" t="s">
        <v>9433</v>
      </c>
      <c r="E1540" t="s">
        <v>9471</v>
      </c>
      <c r="F1540" t="s">
        <v>9437</v>
      </c>
      <c r="G1540" t="s">
        <v>3227</v>
      </c>
      <c r="H1540" t="s">
        <v>9333</v>
      </c>
      <c r="I1540" s="871">
        <v>46293.93683766204</v>
      </c>
      <c r="J1540" t="s">
        <v>9530</v>
      </c>
      <c r="K1540" s="975" t="str">
        <f>IF(COUNTIFS(tblControles[Clave],tblControles[[#This Row],[Clave]])&gt;1,"Duplicado","")</f>
        <v/>
      </c>
    </row>
    <row r="1541" spans="2:11">
      <c r="B1541" s="975" t="str">
        <f>tblControles[[#This Row],[Fecha]]&amp;"|"&amp;tblControles[[#This Row],[Módulo]]&amp;"|"&amp;tblControles[[#This Row],[Ítem]]&amp;"|"&amp;tblControles[[#This Row],[Turno]]</f>
        <v>46283|PURGA TKS AIRE|TK-MG-001|2do Turno</v>
      </c>
      <c r="C1541" s="871">
        <v>46283</v>
      </c>
      <c r="D1541" t="s">
        <v>9433</v>
      </c>
      <c r="E1541" t="s">
        <v>337</v>
      </c>
      <c r="F1541" t="s">
        <v>9436</v>
      </c>
      <c r="G1541" t="s">
        <v>3227</v>
      </c>
      <c r="H1541" t="s">
        <v>9333</v>
      </c>
      <c r="I1541" s="871">
        <v>46293.93683766204</v>
      </c>
      <c r="J1541" t="s">
        <v>9530</v>
      </c>
      <c r="K1541" s="975" t="str">
        <f>IF(COUNTIFS(tblControles[Clave],tblControles[[#This Row],[Clave]])&gt;1,"Duplicado","")</f>
        <v/>
      </c>
    </row>
    <row r="1542" spans="2:11">
      <c r="B1542" s="975" t="str">
        <f>tblControles[[#This Row],[Fecha]]&amp;"|"&amp;tblControles[[#This Row],[Módulo]]&amp;"|"&amp;tblControles[[#This Row],[Ítem]]&amp;"|"&amp;tblControles[[#This Row],[Turno]]</f>
        <v>46283|PURGA TKS AIRE|TK-MG-001|3er Turno</v>
      </c>
      <c r="C1542" s="871">
        <v>46283</v>
      </c>
      <c r="D1542" t="s">
        <v>9433</v>
      </c>
      <c r="E1542" t="s">
        <v>337</v>
      </c>
      <c r="F1542" t="s">
        <v>9437</v>
      </c>
      <c r="G1542" t="s">
        <v>3227</v>
      </c>
      <c r="H1542" t="s">
        <v>9333</v>
      </c>
      <c r="I1542" s="871">
        <v>46293.93683766204</v>
      </c>
      <c r="J1542" t="s">
        <v>9530</v>
      </c>
      <c r="K1542" s="975" t="str">
        <f>IF(COUNTIFS(tblControles[Clave],tblControles[[#This Row],[Clave]])&gt;1,"Duplicado","")</f>
        <v/>
      </c>
    </row>
    <row r="1543" spans="2:11">
      <c r="B1543" s="975" t="str">
        <f>tblControles[[#This Row],[Fecha]]&amp;"|"&amp;tblControles[[#This Row],[Módulo]]&amp;"|"&amp;tblControles[[#This Row],[Ítem]]&amp;"|"&amp;tblControles[[#This Row],[Turno]]</f>
        <v>46283|PURGA TKS AIRE|TK-MG-002|2do Turno</v>
      </c>
      <c r="C1543" s="871">
        <v>46283</v>
      </c>
      <c r="D1543" t="s">
        <v>9433</v>
      </c>
      <c r="E1543" t="s">
        <v>339</v>
      </c>
      <c r="F1543" t="s">
        <v>9436</v>
      </c>
      <c r="G1543" t="s">
        <v>3227</v>
      </c>
      <c r="H1543" t="s">
        <v>9333</v>
      </c>
      <c r="I1543" s="871">
        <v>46293.93683766204</v>
      </c>
      <c r="J1543" t="s">
        <v>9530</v>
      </c>
      <c r="K1543" s="975" t="str">
        <f>IF(COUNTIFS(tblControles[Clave],tblControles[[#This Row],[Clave]])&gt;1,"Duplicado","")</f>
        <v/>
      </c>
    </row>
    <row r="1544" spans="2:11">
      <c r="B1544" s="975" t="str">
        <f>tblControles[[#This Row],[Fecha]]&amp;"|"&amp;tblControles[[#This Row],[Módulo]]&amp;"|"&amp;tblControles[[#This Row],[Ítem]]&amp;"|"&amp;tblControles[[#This Row],[Turno]]</f>
        <v>46283|PURGA TKS AIRE|TK-MG-002|3er Turno</v>
      </c>
      <c r="C1544" s="871">
        <v>46283</v>
      </c>
      <c r="D1544" t="s">
        <v>9433</v>
      </c>
      <c r="E1544" t="s">
        <v>339</v>
      </c>
      <c r="F1544" t="s">
        <v>9437</v>
      </c>
      <c r="G1544" t="s">
        <v>3227</v>
      </c>
      <c r="H1544" t="s">
        <v>9333</v>
      </c>
      <c r="I1544" s="871">
        <v>46293.93683766204</v>
      </c>
      <c r="J1544" t="s">
        <v>9530</v>
      </c>
      <c r="K1544" s="975" t="str">
        <f>IF(COUNTIFS(tblControles[Clave],tblControles[[#This Row],[Clave]])&gt;1,"Duplicado","")</f>
        <v/>
      </c>
    </row>
    <row r="1545" spans="2:11">
      <c r="B1545" s="975" t="str">
        <f>tblControles[[#This Row],[Fecha]]&amp;"|"&amp;tblControles[[#This Row],[Módulo]]&amp;"|"&amp;tblControles[[#This Row],[Ítem]]&amp;"|"&amp;tblControles[[#This Row],[Turno]]</f>
        <v>46283|PURGA TKS AIRE|TK-MG-003|2do Turno</v>
      </c>
      <c r="C1545" s="871">
        <v>46283</v>
      </c>
      <c r="D1545" t="s">
        <v>9433</v>
      </c>
      <c r="E1545" t="s">
        <v>341</v>
      </c>
      <c r="F1545" t="s">
        <v>9436</v>
      </c>
      <c r="G1545" t="s">
        <v>3227</v>
      </c>
      <c r="H1545" t="s">
        <v>9333</v>
      </c>
      <c r="I1545" s="871">
        <v>46293.93683766204</v>
      </c>
      <c r="J1545" t="s">
        <v>9530</v>
      </c>
      <c r="K1545" s="975" t="str">
        <f>IF(COUNTIFS(tblControles[Clave],tblControles[[#This Row],[Clave]])&gt;1,"Duplicado","")</f>
        <v/>
      </c>
    </row>
    <row r="1546" spans="2:11">
      <c r="B1546" s="975" t="str">
        <f>tblControles[[#This Row],[Fecha]]&amp;"|"&amp;tblControles[[#This Row],[Módulo]]&amp;"|"&amp;tblControles[[#This Row],[Ítem]]&amp;"|"&amp;tblControles[[#This Row],[Turno]]</f>
        <v>46283|PURGA TKS AIRE|TK-MG-003|3er Turno</v>
      </c>
      <c r="C1546" s="871">
        <v>46283</v>
      </c>
      <c r="D1546" t="s">
        <v>9433</v>
      </c>
      <c r="E1546" t="s">
        <v>341</v>
      </c>
      <c r="F1546" t="s">
        <v>9437</v>
      </c>
      <c r="G1546" t="s">
        <v>3227</v>
      </c>
      <c r="H1546" t="s">
        <v>9333</v>
      </c>
      <c r="I1546" s="871">
        <v>46293.93683766204</v>
      </c>
      <c r="J1546" t="s">
        <v>9530</v>
      </c>
      <c r="K1546" s="975" t="str">
        <f>IF(COUNTIFS(tblControles[Clave],tblControles[[#This Row],[Clave]])&gt;1,"Duplicado","")</f>
        <v/>
      </c>
    </row>
    <row r="1547" spans="2:11">
      <c r="B1547" s="975" t="str">
        <f>tblControles[[#This Row],[Fecha]]&amp;"|"&amp;tblControles[[#This Row],[Módulo]]&amp;"|"&amp;tblControles[[#This Row],[Ítem]]&amp;"|"&amp;tblControles[[#This Row],[Turno]]</f>
        <v>46283|PURGA TKS AIRE|TK-MG-005|2do Turno</v>
      </c>
      <c r="C1547" s="871">
        <v>46283</v>
      </c>
      <c r="D1547" t="s">
        <v>9433</v>
      </c>
      <c r="E1547" t="s">
        <v>343</v>
      </c>
      <c r="F1547" t="s">
        <v>9436</v>
      </c>
      <c r="G1547" t="s">
        <v>345</v>
      </c>
      <c r="H1547" t="s">
        <v>9333</v>
      </c>
      <c r="I1547" s="871">
        <v>46293.93683766204</v>
      </c>
      <c r="J1547" t="s">
        <v>9530</v>
      </c>
      <c r="K1547" s="975" t="str">
        <f>IF(COUNTIFS(tblControles[Clave],tblControles[[#This Row],[Clave]])&gt;1,"Duplicado","")</f>
        <v/>
      </c>
    </row>
    <row r="1548" spans="2:11">
      <c r="B1548" s="975" t="str">
        <f>tblControles[[#This Row],[Fecha]]&amp;"|"&amp;tblControles[[#This Row],[Módulo]]&amp;"|"&amp;tblControles[[#This Row],[Ítem]]&amp;"|"&amp;tblControles[[#This Row],[Turno]]</f>
        <v>46283|PURGA TKS AIRE|TK-MG-005|3er Turno</v>
      </c>
      <c r="C1548" s="871">
        <v>46283</v>
      </c>
      <c r="D1548" t="s">
        <v>9433</v>
      </c>
      <c r="E1548" t="s">
        <v>343</v>
      </c>
      <c r="F1548" t="s">
        <v>9437</v>
      </c>
      <c r="G1548" t="s">
        <v>345</v>
      </c>
      <c r="H1548" t="s">
        <v>9333</v>
      </c>
      <c r="I1548" s="871">
        <v>46293.93683766204</v>
      </c>
      <c r="J1548" t="s">
        <v>9530</v>
      </c>
      <c r="K1548" s="975" t="str">
        <f>IF(COUNTIFS(tblControles[Clave],tblControles[[#This Row],[Clave]])&gt;1,"Duplicado","")</f>
        <v/>
      </c>
    </row>
    <row r="1549" spans="2:11">
      <c r="B1549" s="975" t="str">
        <f>tblControles[[#This Row],[Fecha]]&amp;"|"&amp;tblControles[[#This Row],[Módulo]]&amp;"|"&amp;tblControles[[#This Row],[Ítem]]&amp;"|"&amp;tblControles[[#This Row],[Turno]]</f>
        <v>46283|PURGA TKS AIRE|TK-MG-006|2do Turno</v>
      </c>
      <c r="C1549" s="871">
        <v>46283</v>
      </c>
      <c r="D1549" t="s">
        <v>9433</v>
      </c>
      <c r="E1549" t="s">
        <v>346</v>
      </c>
      <c r="F1549" t="s">
        <v>9436</v>
      </c>
      <c r="G1549" t="s">
        <v>3227</v>
      </c>
      <c r="H1549" t="s">
        <v>9333</v>
      </c>
      <c r="I1549" s="871">
        <v>46293.93683766204</v>
      </c>
      <c r="J1549" t="s">
        <v>9530</v>
      </c>
      <c r="K1549" s="975" t="str">
        <f>IF(COUNTIFS(tblControles[Clave],tblControles[[#This Row],[Clave]])&gt;1,"Duplicado","")</f>
        <v/>
      </c>
    </row>
    <row r="1550" spans="2:11">
      <c r="B1550" s="975" t="str">
        <f>tblControles[[#This Row],[Fecha]]&amp;"|"&amp;tblControles[[#This Row],[Módulo]]&amp;"|"&amp;tblControles[[#This Row],[Ítem]]&amp;"|"&amp;tblControles[[#This Row],[Turno]]</f>
        <v>46283|PURGA TKS AIRE|TK-MG-006|3er Turno</v>
      </c>
      <c r="C1550" s="871">
        <v>46283</v>
      </c>
      <c r="D1550" t="s">
        <v>9433</v>
      </c>
      <c r="E1550" t="s">
        <v>346</v>
      </c>
      <c r="F1550" t="s">
        <v>9437</v>
      </c>
      <c r="G1550" t="s">
        <v>3227</v>
      </c>
      <c r="H1550" t="s">
        <v>9333</v>
      </c>
      <c r="I1550" s="871">
        <v>46293.93683766204</v>
      </c>
      <c r="J1550" t="s">
        <v>9530</v>
      </c>
      <c r="K1550" s="975" t="str">
        <f>IF(COUNTIFS(tblControles[Clave],tblControles[[#This Row],[Clave]])&gt;1,"Duplicado","")</f>
        <v/>
      </c>
    </row>
    <row r="1551" spans="2:11">
      <c r="B1551" s="975" t="str">
        <f>tblControles[[#This Row],[Fecha]]&amp;"|"&amp;tblControles[[#This Row],[Módulo]]&amp;"|"&amp;tblControles[[#This Row],[Ítem]]&amp;"|"&amp;tblControles[[#This Row],[Turno]]</f>
        <v>46283|PURGA TKS AIRE|TK-MG-007|2do Turno</v>
      </c>
      <c r="C1551" s="871">
        <v>46283</v>
      </c>
      <c r="D1551" t="s">
        <v>9433</v>
      </c>
      <c r="E1551" t="s">
        <v>347</v>
      </c>
      <c r="F1551" t="s">
        <v>9436</v>
      </c>
      <c r="G1551" t="s">
        <v>3227</v>
      </c>
      <c r="H1551" t="s">
        <v>9333</v>
      </c>
      <c r="I1551" s="871">
        <v>46293.93683766204</v>
      </c>
      <c r="J1551" t="s">
        <v>9530</v>
      </c>
      <c r="K1551" s="975" t="str">
        <f>IF(COUNTIFS(tblControles[Clave],tblControles[[#This Row],[Clave]])&gt;1,"Duplicado","")</f>
        <v/>
      </c>
    </row>
    <row r="1552" spans="2:11">
      <c r="B1552" s="975" t="str">
        <f>tblControles[[#This Row],[Fecha]]&amp;"|"&amp;tblControles[[#This Row],[Módulo]]&amp;"|"&amp;tblControles[[#This Row],[Ítem]]&amp;"|"&amp;tblControles[[#This Row],[Turno]]</f>
        <v>46283|PURGA TKS AIRE|TK-MG-007|3er Turno</v>
      </c>
      <c r="C1552" s="871">
        <v>46283</v>
      </c>
      <c r="D1552" t="s">
        <v>9433</v>
      </c>
      <c r="E1552" t="s">
        <v>347</v>
      </c>
      <c r="F1552" t="s">
        <v>9437</v>
      </c>
      <c r="G1552" t="s">
        <v>3227</v>
      </c>
      <c r="H1552" t="s">
        <v>9333</v>
      </c>
      <c r="I1552" s="871">
        <v>46293.93683766204</v>
      </c>
      <c r="J1552" t="s">
        <v>9530</v>
      </c>
      <c r="K1552" s="975" t="str">
        <f>IF(COUNTIFS(tblControles[Clave],tblControles[[#This Row],[Clave]])&gt;1,"Duplicado","")</f>
        <v/>
      </c>
    </row>
    <row r="1553" spans="2:11">
      <c r="B1553" s="975" t="str">
        <f>tblControles[[#This Row],[Fecha]]&amp;"|"&amp;tblControles[[#This Row],[Módulo]]&amp;"|"&amp;tblControles[[#This Row],[Ítem]]&amp;"|"&amp;tblControles[[#This Row],[Turno]]</f>
        <v>46283|PURGA TKS AIRE|TK-MG-004|2do Turno</v>
      </c>
      <c r="C1553" s="871">
        <v>46283</v>
      </c>
      <c r="D1553" t="s">
        <v>9433</v>
      </c>
      <c r="E1553" t="s">
        <v>349</v>
      </c>
      <c r="F1553" t="s">
        <v>9436</v>
      </c>
      <c r="G1553" t="s">
        <v>3227</v>
      </c>
      <c r="H1553" t="s">
        <v>9333</v>
      </c>
      <c r="I1553" s="871">
        <v>46293.93683766204</v>
      </c>
      <c r="J1553" t="s">
        <v>9530</v>
      </c>
      <c r="K1553" s="975" t="str">
        <f>IF(COUNTIFS(tblControles[Clave],tblControles[[#This Row],[Clave]])&gt;1,"Duplicado","")</f>
        <v/>
      </c>
    </row>
    <row r="1554" spans="2:11">
      <c r="B1554" s="975" t="str">
        <f>tblControles[[#This Row],[Fecha]]&amp;"|"&amp;tblControles[[#This Row],[Módulo]]&amp;"|"&amp;tblControles[[#This Row],[Ítem]]&amp;"|"&amp;tblControles[[#This Row],[Turno]]</f>
        <v>46283|PURGA TKS AIRE|TK-MG-004|3er Turno</v>
      </c>
      <c r="C1554" s="871">
        <v>46283</v>
      </c>
      <c r="D1554" t="s">
        <v>9433</v>
      </c>
      <c r="E1554" t="s">
        <v>349</v>
      </c>
      <c r="F1554" t="s">
        <v>9437</v>
      </c>
      <c r="G1554" t="s">
        <v>3227</v>
      </c>
      <c r="H1554" t="s">
        <v>9333</v>
      </c>
      <c r="I1554" s="871">
        <v>46293.93683766204</v>
      </c>
      <c r="J1554" t="s">
        <v>9530</v>
      </c>
      <c r="K1554" s="975" t="str">
        <f>IF(COUNTIFS(tblControles[Clave],tblControles[[#This Row],[Clave]])&gt;1,"Duplicado","")</f>
        <v/>
      </c>
    </row>
    <row r="1555" spans="2:11">
      <c r="B1555" s="975" t="str">
        <f>tblControles[[#This Row],[Fecha]]&amp;"|"&amp;tblControles[[#This Row],[Módulo]]&amp;"|"&amp;tblControles[[#This Row],[Ítem]]&amp;"|"&amp;tblControles[[#This Row],[Turno]]</f>
        <v>46283|PURGA TKS AIRE|TK-MG-008|2do Turno</v>
      </c>
      <c r="C1555" s="871">
        <v>46283</v>
      </c>
      <c r="D1555" t="s">
        <v>9433</v>
      </c>
      <c r="E1555" t="s">
        <v>351</v>
      </c>
      <c r="F1555" t="s">
        <v>9436</v>
      </c>
      <c r="G1555" t="s">
        <v>3227</v>
      </c>
      <c r="H1555" t="s">
        <v>9333</v>
      </c>
      <c r="I1555" s="871">
        <v>46293.93683766204</v>
      </c>
      <c r="J1555" t="s">
        <v>9530</v>
      </c>
      <c r="K1555" s="975" t="str">
        <f>IF(COUNTIFS(tblControles[Clave],tblControles[[#This Row],[Clave]])&gt;1,"Duplicado","")</f>
        <v/>
      </c>
    </row>
    <row r="1556" spans="2:11">
      <c r="B1556" s="975" t="str">
        <f>tblControles[[#This Row],[Fecha]]&amp;"|"&amp;tblControles[[#This Row],[Módulo]]&amp;"|"&amp;tblControles[[#This Row],[Ítem]]&amp;"|"&amp;tblControles[[#This Row],[Turno]]</f>
        <v>46283|PURGA TKS AIRE|TK-MG-008|3er Turno</v>
      </c>
      <c r="C1556" s="871">
        <v>46283</v>
      </c>
      <c r="D1556" t="s">
        <v>9433</v>
      </c>
      <c r="E1556" t="s">
        <v>351</v>
      </c>
      <c r="F1556" t="s">
        <v>9437</v>
      </c>
      <c r="G1556" t="s">
        <v>3227</v>
      </c>
      <c r="H1556" t="s">
        <v>9333</v>
      </c>
      <c r="I1556" s="871">
        <v>46293.93683766204</v>
      </c>
      <c r="J1556" t="s">
        <v>9530</v>
      </c>
      <c r="K1556" s="975" t="str">
        <f>IF(COUNTIFS(tblControles[Clave],tblControles[[#This Row],[Clave]])&gt;1,"Duplicado","")</f>
        <v/>
      </c>
    </row>
    <row r="1557" spans="2:11">
      <c r="B1557" s="975" t="str">
        <f>tblControles[[#This Row],[Fecha]]&amp;"|"&amp;tblControles[[#This Row],[Módulo]]&amp;"|"&amp;tblControles[[#This Row],[Ítem]]&amp;"|"&amp;tblControles[[#This Row],[Turno]]</f>
        <v>46283|PURGA TKS AIRE|TK-MG-009|2do Turno</v>
      </c>
      <c r="C1557" s="871">
        <v>46283</v>
      </c>
      <c r="D1557" t="s">
        <v>9433</v>
      </c>
      <c r="E1557" t="s">
        <v>353</v>
      </c>
      <c r="F1557" t="s">
        <v>9436</v>
      </c>
      <c r="G1557" t="s">
        <v>3227</v>
      </c>
      <c r="H1557" t="s">
        <v>9333</v>
      </c>
      <c r="I1557" s="871">
        <v>46293.93683766204</v>
      </c>
      <c r="J1557" t="s">
        <v>9530</v>
      </c>
      <c r="K1557" s="975" t="str">
        <f>IF(COUNTIFS(tblControles[Clave],tblControles[[#This Row],[Clave]])&gt;1,"Duplicado","")</f>
        <v/>
      </c>
    </row>
    <row r="1558" spans="2:11">
      <c r="B1558" s="975" t="str">
        <f>tblControles[[#This Row],[Fecha]]&amp;"|"&amp;tblControles[[#This Row],[Módulo]]&amp;"|"&amp;tblControles[[#This Row],[Ítem]]&amp;"|"&amp;tblControles[[#This Row],[Turno]]</f>
        <v>46283|PURGA TKS AIRE|TK-MG-009|3er Turno</v>
      </c>
      <c r="C1558" s="871">
        <v>46283</v>
      </c>
      <c r="D1558" t="s">
        <v>9433</v>
      </c>
      <c r="E1558" t="s">
        <v>353</v>
      </c>
      <c r="F1558" t="s">
        <v>9437</v>
      </c>
      <c r="G1558" t="s">
        <v>3227</v>
      </c>
      <c r="H1558" t="s">
        <v>9333</v>
      </c>
      <c r="I1558" s="871">
        <v>46293.93683766204</v>
      </c>
      <c r="J1558" t="s">
        <v>9530</v>
      </c>
      <c r="K1558" s="975" t="str">
        <f>IF(COUNTIFS(tblControles[Clave],tblControles[[#This Row],[Clave]])&gt;1,"Duplicado","")</f>
        <v/>
      </c>
    </row>
    <row r="1559" spans="2:11">
      <c r="B1559" s="975" t="str">
        <f>tblControles[[#This Row],[Fecha]]&amp;"|"&amp;tblControles[[#This Row],[Módulo]]&amp;"|"&amp;tblControles[[#This Row],[Ítem]]&amp;"|"&amp;tblControles[[#This Row],[Turno]]</f>
        <v>46283|PURGA TKS AIRE|TK-MG-010|2do Turno</v>
      </c>
      <c r="C1559" s="871">
        <v>46283</v>
      </c>
      <c r="D1559" t="s">
        <v>9433</v>
      </c>
      <c r="E1559" t="s">
        <v>355</v>
      </c>
      <c r="F1559" t="s">
        <v>9436</v>
      </c>
      <c r="G1559" t="s">
        <v>3227</v>
      </c>
      <c r="H1559" t="s">
        <v>9333</v>
      </c>
      <c r="I1559" s="871">
        <v>46293.93683766204</v>
      </c>
      <c r="J1559" t="s">
        <v>9530</v>
      </c>
      <c r="K1559" s="975" t="str">
        <f>IF(COUNTIFS(tblControles[Clave],tblControles[[#This Row],[Clave]])&gt;1,"Duplicado","")</f>
        <v/>
      </c>
    </row>
    <row r="1560" spans="2:11">
      <c r="B1560" s="975" t="str">
        <f>tblControles[[#This Row],[Fecha]]&amp;"|"&amp;tblControles[[#This Row],[Módulo]]&amp;"|"&amp;tblControles[[#This Row],[Ítem]]&amp;"|"&amp;tblControles[[#This Row],[Turno]]</f>
        <v>46283|PURGA TKS AIRE|TK-MG-010|3er Turno</v>
      </c>
      <c r="C1560" s="871">
        <v>46283</v>
      </c>
      <c r="D1560" t="s">
        <v>9433</v>
      </c>
      <c r="E1560" t="s">
        <v>355</v>
      </c>
      <c r="F1560" t="s">
        <v>9437</v>
      </c>
      <c r="G1560" t="s">
        <v>3227</v>
      </c>
      <c r="H1560" t="s">
        <v>9333</v>
      </c>
      <c r="I1560" s="871">
        <v>46293.93683766204</v>
      </c>
      <c r="J1560" t="s">
        <v>9530</v>
      </c>
      <c r="K1560" s="975" t="str">
        <f>IF(COUNTIFS(tblControles[Clave],tblControles[[#This Row],[Clave]])&gt;1,"Duplicado","")</f>
        <v/>
      </c>
    </row>
    <row r="1561" spans="2:11">
      <c r="B1561" s="975" t="str">
        <f>tblControles[[#This Row],[Fecha]]&amp;"|"&amp;tblControles[[#This Row],[Módulo]]&amp;"|"&amp;tblControles[[#This Row],[Ítem]]&amp;"|"&amp;tblControles[[#This Row],[Turno]]</f>
        <v>46283|PURGA TKS AIRE|TK-MG-011|2do Turno</v>
      </c>
      <c r="C1561" s="871">
        <v>46283</v>
      </c>
      <c r="D1561" t="s">
        <v>9433</v>
      </c>
      <c r="E1561" t="s">
        <v>357</v>
      </c>
      <c r="F1561" t="s">
        <v>9436</v>
      </c>
      <c r="G1561" t="s">
        <v>3227</v>
      </c>
      <c r="H1561" t="s">
        <v>9333</v>
      </c>
      <c r="I1561" s="871">
        <v>46293.93683766204</v>
      </c>
      <c r="J1561" t="s">
        <v>9530</v>
      </c>
      <c r="K1561" s="975" t="str">
        <f>IF(COUNTIFS(tblControles[Clave],tblControles[[#This Row],[Clave]])&gt;1,"Duplicado","")</f>
        <v/>
      </c>
    </row>
    <row r="1562" spans="2:11">
      <c r="B1562" s="975" t="str">
        <f>tblControles[[#This Row],[Fecha]]&amp;"|"&amp;tblControles[[#This Row],[Módulo]]&amp;"|"&amp;tblControles[[#This Row],[Ítem]]&amp;"|"&amp;tblControles[[#This Row],[Turno]]</f>
        <v>46283|PURGA TKS AIRE|TK-MG-011|3er Turno</v>
      </c>
      <c r="C1562" s="871">
        <v>46283</v>
      </c>
      <c r="D1562" t="s">
        <v>9433</v>
      </c>
      <c r="E1562" t="s">
        <v>357</v>
      </c>
      <c r="F1562" t="s">
        <v>9437</v>
      </c>
      <c r="G1562" t="s">
        <v>3227</v>
      </c>
      <c r="H1562" t="s">
        <v>9333</v>
      </c>
      <c r="I1562" s="871">
        <v>46293.93683766204</v>
      </c>
      <c r="J1562" t="s">
        <v>9530</v>
      </c>
      <c r="K1562" s="975" t="str">
        <f>IF(COUNTIFS(tblControles[Clave],tblControles[[#This Row],[Clave]])&gt;1,"Duplicado","")</f>
        <v/>
      </c>
    </row>
    <row r="1563" spans="2:11">
      <c r="B1563" s="975" t="str">
        <f>tblControles[[#This Row],[Fecha]]&amp;"|"&amp;tblControles[[#This Row],[Módulo]]&amp;"|"&amp;tblControles[[#This Row],[Ítem]]&amp;"|"&amp;tblControles[[#This Row],[Turno]]</f>
        <v>46283|PURGA TKS AIRE|TK-MG-012|2do Turno</v>
      </c>
      <c r="C1563" s="871">
        <v>46283</v>
      </c>
      <c r="D1563" t="s">
        <v>9433</v>
      </c>
      <c r="E1563" t="s">
        <v>359</v>
      </c>
      <c r="F1563" t="s">
        <v>9436</v>
      </c>
      <c r="G1563" t="s">
        <v>3227</v>
      </c>
      <c r="H1563" t="s">
        <v>9333</v>
      </c>
      <c r="I1563" s="871">
        <v>46293.93683766204</v>
      </c>
      <c r="J1563" t="s">
        <v>9530</v>
      </c>
      <c r="K1563" s="975" t="str">
        <f>IF(COUNTIFS(tblControles[Clave],tblControles[[#This Row],[Clave]])&gt;1,"Duplicado","")</f>
        <v/>
      </c>
    </row>
    <row r="1564" spans="2:11">
      <c r="B1564" s="975" t="str">
        <f>tblControles[[#This Row],[Fecha]]&amp;"|"&amp;tblControles[[#This Row],[Módulo]]&amp;"|"&amp;tblControles[[#This Row],[Ítem]]&amp;"|"&amp;tblControles[[#This Row],[Turno]]</f>
        <v>46283|PURGA TKS AIRE|TK-MG-012|3er Turno</v>
      </c>
      <c r="C1564" s="871">
        <v>46283</v>
      </c>
      <c r="D1564" t="s">
        <v>9433</v>
      </c>
      <c r="E1564" t="s">
        <v>359</v>
      </c>
      <c r="F1564" t="s">
        <v>9437</v>
      </c>
      <c r="G1564" t="s">
        <v>3227</v>
      </c>
      <c r="H1564" t="s">
        <v>9333</v>
      </c>
      <c r="I1564" s="871">
        <v>46293.93683766204</v>
      </c>
      <c r="J1564" t="s">
        <v>9530</v>
      </c>
      <c r="K1564" s="975" t="str">
        <f>IF(COUNTIFS(tblControles[Clave],tblControles[[#This Row],[Clave]])&gt;1,"Duplicado","")</f>
        <v/>
      </c>
    </row>
    <row r="1565" spans="2:11">
      <c r="B1565" s="975" t="str">
        <f>tblControles[[#This Row],[Fecha]]&amp;"|"&amp;tblControles[[#This Row],[Módulo]]&amp;"|"&amp;tblControles[[#This Row],[Ítem]]&amp;"|"&amp;tblControles[[#This Row],[Turno]]</f>
        <v>46283|PURGA TKS AIRE|TK-MG-013|2do Turno</v>
      </c>
      <c r="C1565" s="871">
        <v>46283</v>
      </c>
      <c r="D1565" t="s">
        <v>9433</v>
      </c>
      <c r="E1565" t="s">
        <v>361</v>
      </c>
      <c r="F1565" t="s">
        <v>9436</v>
      </c>
      <c r="G1565" t="s">
        <v>3227</v>
      </c>
      <c r="H1565" t="s">
        <v>9333</v>
      </c>
      <c r="I1565" s="871">
        <v>46293.93683766204</v>
      </c>
      <c r="J1565" t="s">
        <v>9530</v>
      </c>
      <c r="K1565" s="975" t="str">
        <f>IF(COUNTIFS(tblControles[Clave],tblControles[[#This Row],[Clave]])&gt;1,"Duplicado","")</f>
        <v/>
      </c>
    </row>
    <row r="1566" spans="2:11">
      <c r="B1566" s="975" t="str">
        <f>tblControles[[#This Row],[Fecha]]&amp;"|"&amp;tblControles[[#This Row],[Módulo]]&amp;"|"&amp;tblControles[[#This Row],[Ítem]]&amp;"|"&amp;tblControles[[#This Row],[Turno]]</f>
        <v>46283|PURGA TKS AIRE|TK-MG-013|3er Turno</v>
      </c>
      <c r="C1566" s="871">
        <v>46283</v>
      </c>
      <c r="D1566" t="s">
        <v>9433</v>
      </c>
      <c r="E1566" t="s">
        <v>361</v>
      </c>
      <c r="F1566" t="s">
        <v>9437</v>
      </c>
      <c r="G1566" t="s">
        <v>3227</v>
      </c>
      <c r="H1566" t="s">
        <v>9333</v>
      </c>
      <c r="I1566" s="871">
        <v>46293.93683766204</v>
      </c>
      <c r="J1566" t="s">
        <v>9530</v>
      </c>
      <c r="K1566" s="975" t="str">
        <f>IF(COUNTIFS(tblControles[Clave],tblControles[[#This Row],[Clave]])&gt;1,"Duplicado","")</f>
        <v/>
      </c>
    </row>
    <row r="1567" spans="2:11">
      <c r="B1567" s="975" t="str">
        <f>tblControles[[#This Row],[Fecha]]&amp;"|"&amp;tblControles[[#This Row],[Módulo]]&amp;"|"&amp;tblControles[[#This Row],[Ítem]]&amp;"|"&amp;tblControles[[#This Row],[Turno]]</f>
        <v>46283|PURGA TKS AIRE|TK-MG-014|2do Turno</v>
      </c>
      <c r="C1567" s="871">
        <v>46283</v>
      </c>
      <c r="D1567" t="s">
        <v>9433</v>
      </c>
      <c r="E1567" t="s">
        <v>363</v>
      </c>
      <c r="F1567" t="s">
        <v>9436</v>
      </c>
      <c r="G1567" t="s">
        <v>3227</v>
      </c>
      <c r="H1567" t="s">
        <v>9333</v>
      </c>
      <c r="I1567" s="871">
        <v>46293.93683766204</v>
      </c>
      <c r="J1567" t="s">
        <v>9530</v>
      </c>
      <c r="K1567" s="975" t="str">
        <f>IF(COUNTIFS(tblControles[Clave],tblControles[[#This Row],[Clave]])&gt;1,"Duplicado","")</f>
        <v/>
      </c>
    </row>
    <row r="1568" spans="2:11">
      <c r="B1568" s="975" t="str">
        <f>tblControles[[#This Row],[Fecha]]&amp;"|"&amp;tblControles[[#This Row],[Módulo]]&amp;"|"&amp;tblControles[[#This Row],[Ítem]]&amp;"|"&amp;tblControles[[#This Row],[Turno]]</f>
        <v>46283|PURGA TKS AIRE|TK-MG-014|3er Turno</v>
      </c>
      <c r="C1568" s="871">
        <v>46283</v>
      </c>
      <c r="D1568" t="s">
        <v>9433</v>
      </c>
      <c r="E1568" t="s">
        <v>363</v>
      </c>
      <c r="F1568" t="s">
        <v>9437</v>
      </c>
      <c r="G1568" t="s">
        <v>3227</v>
      </c>
      <c r="H1568" t="s">
        <v>9333</v>
      </c>
      <c r="I1568" s="871">
        <v>46293.93683766204</v>
      </c>
      <c r="J1568" t="s">
        <v>9530</v>
      </c>
      <c r="K1568" s="975" t="str">
        <f>IF(COUNTIFS(tblControles[Clave],tblControles[[#This Row],[Clave]])&gt;1,"Duplicado","")</f>
        <v/>
      </c>
    </row>
    <row r="1569" spans="2:11">
      <c r="B1569" s="975" t="str">
        <f>tblControles[[#This Row],[Fecha]]&amp;"|"&amp;tblControles[[#This Row],[Módulo]]&amp;"|"&amp;tblControles[[#This Row],[Ítem]]&amp;"|"&amp;tblControles[[#This Row],[Turno]]</f>
        <v>46283|REACTIVOS|Ácido oxálico|Turno día (12 h)</v>
      </c>
      <c r="C1569" s="871">
        <v>46283</v>
      </c>
      <c r="D1569" t="s">
        <v>9444</v>
      </c>
      <c r="E1569" t="s">
        <v>9508</v>
      </c>
      <c r="F1569" t="s">
        <v>9446</v>
      </c>
      <c r="G1569">
        <v>16000</v>
      </c>
      <c r="H1569" t="s">
        <v>9333</v>
      </c>
      <c r="I1569" s="871">
        <v>46293.93683766204</v>
      </c>
      <c r="J1569" t="s">
        <v>9527</v>
      </c>
      <c r="K1569" s="975" t="str">
        <f>IF(COUNTIFS(tblControles[Clave],tblControles[[#This Row],[Clave]])&gt;1,"Duplicado","")</f>
        <v/>
      </c>
    </row>
    <row r="1570" spans="2:11">
      <c r="B1570" s="975" t="str">
        <f>tblControles[[#This Row],[Fecha]]&amp;"|"&amp;tblControles[[#This Row],[Módulo]]&amp;"|"&amp;tblControles[[#This Row],[Ítem]]&amp;"|"&amp;tblControles[[#This Row],[Turno]]</f>
        <v>46283|REACTIVOS|Ácido oxálico|Turno noche (12 h)</v>
      </c>
      <c r="C1570" s="871">
        <v>46283</v>
      </c>
      <c r="D1570" t="s">
        <v>9444</v>
      </c>
      <c r="E1570" t="s">
        <v>9508</v>
      </c>
      <c r="F1570" t="s">
        <v>9447</v>
      </c>
      <c r="G1570">
        <v>18000</v>
      </c>
      <c r="H1570" t="s">
        <v>9333</v>
      </c>
      <c r="I1570" s="871">
        <v>46293.93683766204</v>
      </c>
      <c r="J1570" t="s">
        <v>9527</v>
      </c>
      <c r="K1570" s="975" t="str">
        <f>IF(COUNTIFS(tblControles[Clave],tblControles[[#This Row],[Clave]])&gt;1,"Duplicado","")</f>
        <v/>
      </c>
    </row>
    <row r="1571" spans="2:11">
      <c r="B1571" s="975" t="str">
        <f>tblControles[[#This Row],[Fecha]]&amp;"|"&amp;tblControles[[#This Row],[Módulo]]&amp;"|"&amp;tblControles[[#This Row],[Ítem]]&amp;"|"&amp;tblControles[[#This Row],[Turno]]</f>
        <v>46283|REACTIVOS|Xantato|Turno día (12 h)</v>
      </c>
      <c r="C1571" s="871">
        <v>46283</v>
      </c>
      <c r="D1571" t="s">
        <v>9444</v>
      </c>
      <c r="E1571" t="s">
        <v>9511</v>
      </c>
      <c r="F1571" t="s">
        <v>9446</v>
      </c>
      <c r="G1571">
        <v>3700</v>
      </c>
      <c r="H1571" t="s">
        <v>9333</v>
      </c>
      <c r="I1571" s="871">
        <v>46293.93683766204</v>
      </c>
      <c r="J1571" t="s">
        <v>9527</v>
      </c>
      <c r="K1571" s="975" t="str">
        <f>IF(COUNTIFS(tblControles[Clave],tblControles[[#This Row],[Clave]])&gt;1,"Duplicado","")</f>
        <v/>
      </c>
    </row>
    <row r="1572" spans="2:11">
      <c r="B1572" s="975" t="str">
        <f>tblControles[[#This Row],[Fecha]]&amp;"|"&amp;tblControles[[#This Row],[Módulo]]&amp;"|"&amp;tblControles[[#This Row],[Ítem]]&amp;"|"&amp;tblControles[[#This Row],[Turno]]</f>
        <v>46283|REACTIVOS|Xantato|Turno noche (12 h)</v>
      </c>
      <c r="C1572" s="871">
        <v>46283</v>
      </c>
      <c r="D1572" t="s">
        <v>9444</v>
      </c>
      <c r="E1572" t="s">
        <v>9511</v>
      </c>
      <c r="F1572" t="s">
        <v>9447</v>
      </c>
      <c r="G1572">
        <v>3150</v>
      </c>
      <c r="H1572" t="s">
        <v>9333</v>
      </c>
      <c r="I1572" s="871">
        <v>46293.93683766204</v>
      </c>
      <c r="J1572" t="s">
        <v>9527</v>
      </c>
      <c r="K1572" s="975" t="str">
        <f>IF(COUNTIFS(tblControles[Clave],tblControles[[#This Row],[Clave]])&gt;1,"Duplicado","")</f>
        <v/>
      </c>
    </row>
    <row r="1573" spans="2:11">
      <c r="B1573" s="975" t="str">
        <f>tblControles[[#This Row],[Fecha]]&amp;"|"&amp;tblControles[[#This Row],[Módulo]]&amp;"|"&amp;tblControles[[#This Row],[Ítem]]&amp;"|"&amp;tblControles[[#This Row],[Turno]]</f>
        <v>46283|REACTIVOS|Espumante|Consumo día</v>
      </c>
      <c r="C1573" s="871">
        <v>46283</v>
      </c>
      <c r="D1573" t="s">
        <v>9444</v>
      </c>
      <c r="E1573" t="s">
        <v>9513</v>
      </c>
      <c r="F1573" t="s">
        <v>9870</v>
      </c>
      <c r="G1573">
        <v>3500</v>
      </c>
      <c r="H1573" t="s">
        <v>9333</v>
      </c>
      <c r="I1573" s="871">
        <v>46293.93683766204</v>
      </c>
      <c r="J1573" t="s">
        <v>9527</v>
      </c>
      <c r="K1573" s="975" t="str">
        <f>IF(COUNTIFS(tblControles[Clave],tblControles[[#This Row],[Clave]])&gt;1,"Duplicado","")</f>
        <v/>
      </c>
    </row>
    <row r="1574" spans="2:11">
      <c r="B1574" s="975" t="str">
        <f>tblControles[[#This Row],[Fecha]]&amp;"|"&amp;tblControles[[#This Row],[Módulo]]&amp;"|"&amp;tblControles[[#This Row],[Ítem]]&amp;"|"&amp;tblControles[[#This Row],[Turno]]</f>
        <v>46283|TONELADAS X TURNO|Molino barras 1|1° turno</v>
      </c>
      <c r="C1574" s="871">
        <v>46283</v>
      </c>
      <c r="D1574" t="s">
        <v>9449</v>
      </c>
      <c r="E1574" t="s">
        <v>387</v>
      </c>
      <c r="F1574" t="s">
        <v>396</v>
      </c>
      <c r="G1574">
        <v>1539</v>
      </c>
      <c r="H1574" t="s">
        <v>9333</v>
      </c>
      <c r="I1574" s="871">
        <v>46293.93683766204</v>
      </c>
      <c r="J1574" t="s">
        <v>9528</v>
      </c>
      <c r="K1574" s="975" t="str">
        <f>IF(COUNTIFS(tblControles[Clave],tblControles[[#This Row],[Clave]])&gt;1,"Duplicado","")</f>
        <v/>
      </c>
    </row>
    <row r="1575" spans="2:11">
      <c r="B1575" s="975" t="str">
        <f>tblControles[[#This Row],[Fecha]]&amp;"|"&amp;tblControles[[#This Row],[Módulo]]&amp;"|"&amp;tblControles[[#This Row],[Ítem]]&amp;"|"&amp;tblControles[[#This Row],[Turno]]</f>
        <v>46283|TONELADAS X TURNO|Molino barras 1|2° turno</v>
      </c>
      <c r="C1575" s="871">
        <v>46283</v>
      </c>
      <c r="D1575" t="s">
        <v>9449</v>
      </c>
      <c r="E1575" t="s">
        <v>387</v>
      </c>
      <c r="F1575" t="s">
        <v>397</v>
      </c>
      <c r="G1575">
        <v>1567</v>
      </c>
      <c r="H1575" t="s">
        <v>9333</v>
      </c>
      <c r="I1575" s="871">
        <v>46293.93683766204</v>
      </c>
      <c r="J1575" t="s">
        <v>9528</v>
      </c>
      <c r="K1575" s="975" t="str">
        <f>IF(COUNTIFS(tblControles[Clave],tblControles[[#This Row],[Clave]])&gt;1,"Duplicado","")</f>
        <v/>
      </c>
    </row>
    <row r="1576" spans="2:11">
      <c r="B1576" s="975" t="str">
        <f>tblControles[[#This Row],[Fecha]]&amp;"|"&amp;tblControles[[#This Row],[Módulo]]&amp;"|"&amp;tblControles[[#This Row],[Ítem]]&amp;"|"&amp;tblControles[[#This Row],[Turno]]</f>
        <v>46283|TONELADAS X TURNO|Molino barras 1|3° turno</v>
      </c>
      <c r="C1576" s="871">
        <v>46283</v>
      </c>
      <c r="D1576" t="s">
        <v>9449</v>
      </c>
      <c r="E1576" t="s">
        <v>387</v>
      </c>
      <c r="F1576" t="s">
        <v>398</v>
      </c>
      <c r="G1576">
        <v>1717</v>
      </c>
      <c r="H1576" t="s">
        <v>9333</v>
      </c>
      <c r="I1576" s="871">
        <v>46293.93683766204</v>
      </c>
      <c r="J1576" t="s">
        <v>9528</v>
      </c>
      <c r="K1576" s="975" t="str">
        <f>IF(COUNTIFS(tblControles[Clave],tblControles[[#This Row],[Clave]])&gt;1,"Duplicado","")</f>
        <v/>
      </c>
    </row>
    <row r="1577" spans="2:11">
      <c r="B1577" s="975" t="str">
        <f>tblControles[[#This Row],[Fecha]]&amp;"|"&amp;tblControles[[#This Row],[Módulo]]&amp;"|"&amp;tblControles[[#This Row],[Ítem]]&amp;"|"&amp;tblControles[[#This Row],[Turno]]</f>
        <v>46283|TONELADAS X TURNO|Molino barras 2|1° turno</v>
      </c>
      <c r="C1577" s="871">
        <v>46283</v>
      </c>
      <c r="D1577" t="s">
        <v>9449</v>
      </c>
      <c r="E1577" t="s">
        <v>388</v>
      </c>
      <c r="F1577" t="s">
        <v>396</v>
      </c>
      <c r="G1577">
        <v>1642</v>
      </c>
      <c r="H1577" t="s">
        <v>9333</v>
      </c>
      <c r="I1577" s="871">
        <v>46293.93683766204</v>
      </c>
      <c r="J1577" t="s">
        <v>9528</v>
      </c>
      <c r="K1577" s="975" t="str">
        <f>IF(COUNTIFS(tblControles[Clave],tblControles[[#This Row],[Clave]])&gt;1,"Duplicado","")</f>
        <v/>
      </c>
    </row>
    <row r="1578" spans="2:11">
      <c r="B1578" s="975" t="str">
        <f>tblControles[[#This Row],[Fecha]]&amp;"|"&amp;tblControles[[#This Row],[Módulo]]&amp;"|"&amp;tblControles[[#This Row],[Ítem]]&amp;"|"&amp;tblControles[[#This Row],[Turno]]</f>
        <v>46283|TONELADAS X TURNO|Molino barras 2|2° turno</v>
      </c>
      <c r="C1578" s="871">
        <v>46283</v>
      </c>
      <c r="D1578" t="s">
        <v>9449</v>
      </c>
      <c r="E1578" t="s">
        <v>388</v>
      </c>
      <c r="F1578" t="s">
        <v>397</v>
      </c>
      <c r="G1578">
        <v>1623</v>
      </c>
      <c r="H1578" t="s">
        <v>9333</v>
      </c>
      <c r="I1578" s="871">
        <v>46293.93683766204</v>
      </c>
      <c r="J1578" t="s">
        <v>9528</v>
      </c>
      <c r="K1578" s="975" t="str">
        <f>IF(COUNTIFS(tblControles[Clave],tblControles[[#This Row],[Clave]])&gt;1,"Duplicado","")</f>
        <v/>
      </c>
    </row>
    <row r="1579" spans="2:11">
      <c r="B1579" s="975" t="str">
        <f>tblControles[[#This Row],[Fecha]]&amp;"|"&amp;tblControles[[#This Row],[Módulo]]&amp;"|"&amp;tblControles[[#This Row],[Ítem]]&amp;"|"&amp;tblControles[[#This Row],[Turno]]</f>
        <v>46283|TONELADAS X TURNO|Molino barras 2|3° turno</v>
      </c>
      <c r="C1579" s="871">
        <v>46283</v>
      </c>
      <c r="D1579" t="s">
        <v>9449</v>
      </c>
      <c r="E1579" t="s">
        <v>388</v>
      </c>
      <c r="F1579" t="s">
        <v>398</v>
      </c>
      <c r="G1579">
        <v>1685</v>
      </c>
      <c r="H1579" t="s">
        <v>9333</v>
      </c>
      <c r="I1579" s="871">
        <v>46293.93683766204</v>
      </c>
      <c r="J1579" t="s">
        <v>9528</v>
      </c>
      <c r="K1579" s="975" t="str">
        <f>IF(COUNTIFS(tblControles[Clave],tblControles[[#This Row],[Clave]])&gt;1,"Duplicado","")</f>
        <v/>
      </c>
    </row>
    <row r="1580" spans="2:11">
      <c r="B1580" s="975" t="str">
        <f>tblControles[[#This Row],[Fecha]]&amp;"|"&amp;tblControles[[#This Row],[Módulo]]&amp;"|"&amp;tblControles[[#This Row],[Ítem]]&amp;"|"&amp;tblControles[[#This Row],[Turno]]</f>
        <v>46283|TONELADAS X TURNO|Molino barras 3|1° turno</v>
      </c>
      <c r="C1580" s="871">
        <v>46283</v>
      </c>
      <c r="D1580" t="s">
        <v>9449</v>
      </c>
      <c r="E1580" t="s">
        <v>389</v>
      </c>
      <c r="F1580" t="s">
        <v>396</v>
      </c>
      <c r="G1580">
        <v>0</v>
      </c>
      <c r="H1580" t="s">
        <v>9333</v>
      </c>
      <c r="I1580" s="871">
        <v>46293.93683766204</v>
      </c>
      <c r="J1580" t="s">
        <v>9528</v>
      </c>
      <c r="K1580" s="975" t="str">
        <f>IF(COUNTIFS(tblControles[Clave],tblControles[[#This Row],[Clave]])&gt;1,"Duplicado","")</f>
        <v/>
      </c>
    </row>
    <row r="1581" spans="2:11">
      <c r="B1581" s="975" t="str">
        <f>tblControles[[#This Row],[Fecha]]&amp;"|"&amp;tblControles[[#This Row],[Módulo]]&amp;"|"&amp;tblControles[[#This Row],[Ítem]]&amp;"|"&amp;tblControles[[#This Row],[Turno]]</f>
        <v>46283|TONELADAS X TURNO|Molino barras 3|2° turno</v>
      </c>
      <c r="C1581" s="871">
        <v>46283</v>
      </c>
      <c r="D1581" t="s">
        <v>9449</v>
      </c>
      <c r="E1581" t="s">
        <v>389</v>
      </c>
      <c r="F1581" t="s">
        <v>397</v>
      </c>
      <c r="G1581">
        <v>0</v>
      </c>
      <c r="H1581" t="s">
        <v>9333</v>
      </c>
      <c r="I1581" s="871">
        <v>46293.93683766204</v>
      </c>
      <c r="J1581" t="s">
        <v>9528</v>
      </c>
      <c r="K1581" s="975" t="str">
        <f>IF(COUNTIFS(tblControles[Clave],tblControles[[#This Row],[Clave]])&gt;1,"Duplicado","")</f>
        <v/>
      </c>
    </row>
    <row r="1582" spans="2:11">
      <c r="B1582" s="975" t="str">
        <f>tblControles[[#This Row],[Fecha]]&amp;"|"&amp;tblControles[[#This Row],[Módulo]]&amp;"|"&amp;tblControles[[#This Row],[Ítem]]&amp;"|"&amp;tblControles[[#This Row],[Turno]]</f>
        <v>46283|TONELADAS X TURNO|Molino barras 3|3° turno</v>
      </c>
      <c r="C1582" s="871">
        <v>46283</v>
      </c>
      <c r="D1582" t="s">
        <v>9449</v>
      </c>
      <c r="E1582" t="s">
        <v>389</v>
      </c>
      <c r="F1582" t="s">
        <v>398</v>
      </c>
      <c r="G1582">
        <v>0</v>
      </c>
      <c r="H1582" t="s">
        <v>9333</v>
      </c>
      <c r="I1582" s="871">
        <v>46293.93683766204</v>
      </c>
      <c r="J1582" t="s">
        <v>9528</v>
      </c>
      <c r="K1582" s="975" t="str">
        <f>IF(COUNTIFS(tblControles[Clave],tblControles[[#This Row],[Clave]])&gt;1,"Duplicado","")</f>
        <v/>
      </c>
    </row>
    <row r="1583" spans="2:11">
      <c r="B1583" s="975" t="str">
        <f>tblControles[[#This Row],[Fecha]]&amp;"|"&amp;tblControles[[#This Row],[Módulo]]&amp;"|"&amp;tblControles[[#This Row],[Ítem]]&amp;"|"&amp;tblControles[[#This Row],[Turno]]</f>
        <v>46283|TONELADAS X TURNO|Molino barras 4|1° turno</v>
      </c>
      <c r="C1583" s="871">
        <v>46283</v>
      </c>
      <c r="D1583" t="s">
        <v>9449</v>
      </c>
      <c r="E1583" t="s">
        <v>390</v>
      </c>
      <c r="F1583" t="s">
        <v>396</v>
      </c>
      <c r="G1583">
        <v>965</v>
      </c>
      <c r="H1583" t="s">
        <v>9333</v>
      </c>
      <c r="I1583" s="871">
        <v>46293.93683766204</v>
      </c>
      <c r="J1583" t="s">
        <v>9528</v>
      </c>
      <c r="K1583" s="975" t="str">
        <f>IF(COUNTIFS(tblControles[Clave],tblControles[[#This Row],[Clave]])&gt;1,"Duplicado","")</f>
        <v/>
      </c>
    </row>
    <row r="1584" spans="2:11">
      <c r="B1584" s="975" t="str">
        <f>tblControles[[#This Row],[Fecha]]&amp;"|"&amp;tblControles[[#This Row],[Módulo]]&amp;"|"&amp;tblControles[[#This Row],[Ítem]]&amp;"|"&amp;tblControles[[#This Row],[Turno]]</f>
        <v>46283|TONELADAS X TURNO|Molino barras 4|2° turno</v>
      </c>
      <c r="C1584" s="871">
        <v>46283</v>
      </c>
      <c r="D1584" t="s">
        <v>9449</v>
      </c>
      <c r="E1584" t="s">
        <v>390</v>
      </c>
      <c r="F1584" t="s">
        <v>397</v>
      </c>
      <c r="G1584">
        <v>331</v>
      </c>
      <c r="H1584" t="s">
        <v>9333</v>
      </c>
      <c r="I1584" s="871">
        <v>46293.93683766204</v>
      </c>
      <c r="J1584" t="s">
        <v>9528</v>
      </c>
      <c r="K1584" s="975" t="str">
        <f>IF(COUNTIFS(tblControles[Clave],tblControles[[#This Row],[Clave]])&gt;1,"Duplicado","")</f>
        <v/>
      </c>
    </row>
    <row r="1585" spans="2:11">
      <c r="B1585" s="975" t="str">
        <f>tblControles[[#This Row],[Fecha]]&amp;"|"&amp;tblControles[[#This Row],[Módulo]]&amp;"|"&amp;tblControles[[#This Row],[Ítem]]&amp;"|"&amp;tblControles[[#This Row],[Turno]]</f>
        <v>46283|TONELADAS X TURNO|Molino barras 4|3° turno</v>
      </c>
      <c r="C1585" s="871">
        <v>46283</v>
      </c>
      <c r="D1585" t="s">
        <v>9449</v>
      </c>
      <c r="E1585" t="s">
        <v>390</v>
      </c>
      <c r="F1585" t="s">
        <v>398</v>
      </c>
      <c r="G1585">
        <v>1290</v>
      </c>
      <c r="H1585" t="s">
        <v>9333</v>
      </c>
      <c r="I1585" s="871">
        <v>46293.93683766204</v>
      </c>
      <c r="J1585" t="s">
        <v>9528</v>
      </c>
      <c r="K1585" s="975" t="str">
        <f>IF(COUNTIFS(tblControles[Clave],tblControles[[#This Row],[Clave]])&gt;1,"Duplicado","")</f>
        <v/>
      </c>
    </row>
    <row r="1586" spans="2:11">
      <c r="B1586" s="975" t="str">
        <f>tblControles[[#This Row],[Fecha]]&amp;"|"&amp;tblControles[[#This Row],[Módulo]]&amp;"|"&amp;tblControles[[#This Row],[Ítem]]&amp;"|"&amp;tblControles[[#This Row],[Turno]]</f>
        <v>46283|TONELADAS X TURNO|Molino barras 5|1° turno</v>
      </c>
      <c r="C1586" s="871">
        <v>46283</v>
      </c>
      <c r="D1586" t="s">
        <v>9449</v>
      </c>
      <c r="E1586" t="s">
        <v>391</v>
      </c>
      <c r="F1586" t="s">
        <v>396</v>
      </c>
      <c r="G1586">
        <v>1599</v>
      </c>
      <c r="H1586" t="s">
        <v>9333</v>
      </c>
      <c r="I1586" s="871">
        <v>46293.93683766204</v>
      </c>
      <c r="J1586" t="s">
        <v>9528</v>
      </c>
      <c r="K1586" s="975" t="str">
        <f>IF(COUNTIFS(tblControles[Clave],tblControles[[#This Row],[Clave]])&gt;1,"Duplicado","")</f>
        <v/>
      </c>
    </row>
    <row r="1587" spans="2:11">
      <c r="B1587" s="975" t="str">
        <f>tblControles[[#This Row],[Fecha]]&amp;"|"&amp;tblControles[[#This Row],[Módulo]]&amp;"|"&amp;tblControles[[#This Row],[Ítem]]&amp;"|"&amp;tblControles[[#This Row],[Turno]]</f>
        <v>46283|TONELADAS X TURNO|Molino barras 5|2° turno</v>
      </c>
      <c r="C1587" s="871">
        <v>46283</v>
      </c>
      <c r="D1587" t="s">
        <v>9449</v>
      </c>
      <c r="E1587" t="s">
        <v>391</v>
      </c>
      <c r="F1587" t="s">
        <v>397</v>
      </c>
      <c r="G1587">
        <v>1532</v>
      </c>
      <c r="H1587" t="s">
        <v>9333</v>
      </c>
      <c r="I1587" s="871">
        <v>46293.93683766204</v>
      </c>
      <c r="J1587" t="s">
        <v>9528</v>
      </c>
      <c r="K1587" s="975" t="str">
        <f>IF(COUNTIFS(tblControles[Clave],tblControles[[#This Row],[Clave]])&gt;1,"Duplicado","")</f>
        <v/>
      </c>
    </row>
    <row r="1588" spans="2:11">
      <c r="B1588" s="975" t="str">
        <f>tblControles[[#This Row],[Fecha]]&amp;"|"&amp;tblControles[[#This Row],[Módulo]]&amp;"|"&amp;tblControles[[#This Row],[Ítem]]&amp;"|"&amp;tblControles[[#This Row],[Turno]]</f>
        <v>46283|TONELADAS X TURNO|Molino barras 5|3° turno</v>
      </c>
      <c r="C1588" s="871">
        <v>46283</v>
      </c>
      <c r="D1588" t="s">
        <v>9449</v>
      </c>
      <c r="E1588" t="s">
        <v>391</v>
      </c>
      <c r="F1588" t="s">
        <v>398</v>
      </c>
      <c r="G1588">
        <v>1689</v>
      </c>
      <c r="H1588" t="s">
        <v>9333</v>
      </c>
      <c r="I1588" s="871">
        <v>46293.93683766204</v>
      </c>
      <c r="J1588" t="s">
        <v>9528</v>
      </c>
      <c r="K1588" s="975" t="str">
        <f>IF(COUNTIFS(tblControles[Clave],tblControles[[#This Row],[Clave]])&gt;1,"Duplicado","")</f>
        <v/>
      </c>
    </row>
    <row r="1589" spans="2:11">
      <c r="B1589" s="975" t="str">
        <f>tblControles[[#This Row],[Fecha]]&amp;"|"&amp;tblControles[[#This Row],[Módulo]]&amp;"|"&amp;tblControles[[#This Row],[Ítem]]&amp;"|"&amp;tblControles[[#This Row],[Turno]]</f>
        <v>46283|TONELADAS X TURNO|Molino barras 6|1° turno</v>
      </c>
      <c r="C1589" s="871">
        <v>46283</v>
      </c>
      <c r="D1589" t="s">
        <v>9449</v>
      </c>
      <c r="E1589" t="s">
        <v>392</v>
      </c>
      <c r="F1589" t="s">
        <v>396</v>
      </c>
      <c r="G1589">
        <v>1060</v>
      </c>
      <c r="H1589" t="s">
        <v>9333</v>
      </c>
      <c r="I1589" s="871">
        <v>46293.93683766204</v>
      </c>
      <c r="J1589" t="s">
        <v>9528</v>
      </c>
      <c r="K1589" s="975" t="str">
        <f>IF(COUNTIFS(tblControles[Clave],tblControles[[#This Row],[Clave]])&gt;1,"Duplicado","")</f>
        <v/>
      </c>
    </row>
    <row r="1590" spans="2:11">
      <c r="B1590" s="975" t="str">
        <f>tblControles[[#This Row],[Fecha]]&amp;"|"&amp;tblControles[[#This Row],[Módulo]]&amp;"|"&amp;tblControles[[#This Row],[Ítem]]&amp;"|"&amp;tblControles[[#This Row],[Turno]]</f>
        <v>46283|TONELADAS X TURNO|Molino barras 6|2° turno</v>
      </c>
      <c r="C1590" s="871">
        <v>46283</v>
      </c>
      <c r="D1590" t="s">
        <v>9449</v>
      </c>
      <c r="E1590" t="s">
        <v>392</v>
      </c>
      <c r="F1590" t="s">
        <v>397</v>
      </c>
      <c r="G1590">
        <v>1457</v>
      </c>
      <c r="H1590" t="s">
        <v>9333</v>
      </c>
      <c r="I1590" s="871">
        <v>46293.93683766204</v>
      </c>
      <c r="J1590" t="s">
        <v>9528</v>
      </c>
      <c r="K1590" s="975" t="str">
        <f>IF(COUNTIFS(tblControles[Clave],tblControles[[#This Row],[Clave]])&gt;1,"Duplicado","")</f>
        <v/>
      </c>
    </row>
    <row r="1591" spans="2:11">
      <c r="B1591" s="975" t="str">
        <f>tblControles[[#This Row],[Fecha]]&amp;"|"&amp;tblControles[[#This Row],[Módulo]]&amp;"|"&amp;tblControles[[#This Row],[Ítem]]&amp;"|"&amp;tblControles[[#This Row],[Turno]]</f>
        <v>46283|TONELADAS X TURNO|Molino barras 6|3° turno</v>
      </c>
      <c r="C1591" s="871">
        <v>46283</v>
      </c>
      <c r="D1591" t="s">
        <v>9449</v>
      </c>
      <c r="E1591" t="s">
        <v>392</v>
      </c>
      <c r="F1591" t="s">
        <v>398</v>
      </c>
      <c r="G1591">
        <v>1644</v>
      </c>
      <c r="H1591" t="s">
        <v>9333</v>
      </c>
      <c r="I1591" s="871">
        <v>46293.93683766204</v>
      </c>
      <c r="J1591" t="s">
        <v>9528</v>
      </c>
      <c r="K1591" s="975" t="str">
        <f>IF(COUNTIFS(tblControles[Clave],tblControles[[#This Row],[Clave]])&gt;1,"Duplicado","")</f>
        <v/>
      </c>
    </row>
    <row r="1592" spans="2:11">
      <c r="B1592" s="975" t="str">
        <f>tblControles[[#This Row],[Fecha]]&amp;"|"&amp;tblControles[[#This Row],[Módulo]]&amp;"|"&amp;tblControles[[#This Row],[Ítem]]&amp;"|"&amp;tblControles[[#This Row],[Turno]]</f>
        <v>46283|TONELADAS X TURNO|Molino barras 7|1° turno</v>
      </c>
      <c r="C1592" s="871">
        <v>46283</v>
      </c>
      <c r="D1592" t="s">
        <v>9449</v>
      </c>
      <c r="E1592" t="s">
        <v>393</v>
      </c>
      <c r="F1592" t="s">
        <v>396</v>
      </c>
      <c r="G1592">
        <v>0</v>
      </c>
      <c r="H1592" t="s">
        <v>9333</v>
      </c>
      <c r="I1592" s="871">
        <v>46293.93683766204</v>
      </c>
      <c r="J1592" t="s">
        <v>9528</v>
      </c>
      <c r="K1592" s="975" t="str">
        <f>IF(COUNTIFS(tblControles[Clave],tblControles[[#This Row],[Clave]])&gt;1,"Duplicado","")</f>
        <v/>
      </c>
    </row>
    <row r="1593" spans="2:11">
      <c r="B1593" s="975" t="str">
        <f>tblControles[[#This Row],[Fecha]]&amp;"|"&amp;tblControles[[#This Row],[Módulo]]&amp;"|"&amp;tblControles[[#This Row],[Ítem]]&amp;"|"&amp;tblControles[[#This Row],[Turno]]</f>
        <v>46283|TONELADAS X TURNO|Molino barras 7|2° turno</v>
      </c>
      <c r="C1593" s="871">
        <v>46283</v>
      </c>
      <c r="D1593" t="s">
        <v>9449</v>
      </c>
      <c r="E1593" t="s">
        <v>393</v>
      </c>
      <c r="F1593" t="s">
        <v>397</v>
      </c>
      <c r="G1593">
        <v>0</v>
      </c>
      <c r="H1593" t="s">
        <v>9333</v>
      </c>
      <c r="I1593" s="871">
        <v>46293.93683766204</v>
      </c>
      <c r="J1593" t="s">
        <v>9528</v>
      </c>
      <c r="K1593" s="975" t="str">
        <f>IF(COUNTIFS(tblControles[Clave],tblControles[[#This Row],[Clave]])&gt;1,"Duplicado","")</f>
        <v/>
      </c>
    </row>
    <row r="1594" spans="2:11">
      <c r="B1594" s="975" t="str">
        <f>tblControles[[#This Row],[Fecha]]&amp;"|"&amp;tblControles[[#This Row],[Módulo]]&amp;"|"&amp;tblControles[[#This Row],[Ítem]]&amp;"|"&amp;tblControles[[#This Row],[Turno]]</f>
        <v>46283|TONELADAS X TURNO|Molino barras 7|3° turno</v>
      </c>
      <c r="C1594" s="871">
        <v>46283</v>
      </c>
      <c r="D1594" t="s">
        <v>9449</v>
      </c>
      <c r="E1594" t="s">
        <v>393</v>
      </c>
      <c r="F1594" t="s">
        <v>398</v>
      </c>
      <c r="G1594">
        <v>0</v>
      </c>
      <c r="H1594" t="s">
        <v>9333</v>
      </c>
      <c r="I1594" s="871">
        <v>46293.93683766204</v>
      </c>
      <c r="J1594" t="s">
        <v>9528</v>
      </c>
      <c r="K1594" s="975" t="str">
        <f>IF(COUNTIFS(tblControles[Clave],tblControles[[#This Row],[Clave]])&gt;1,"Duplicado","")</f>
        <v/>
      </c>
    </row>
    <row r="1595" spans="2:11">
      <c r="B1595" s="975" t="str">
        <f>tblControles[[#This Row],[Fecha]]&amp;"|"&amp;tblControles[[#This Row],[Módulo]]&amp;"|"&amp;tblControles[[#This Row],[Ítem]]&amp;"|"&amp;tblControles[[#This Row],[Turno]]</f>
        <v>46283|TONELADAS X TURNO|Molino barras 8|1° turno</v>
      </c>
      <c r="C1595" s="871">
        <v>46283</v>
      </c>
      <c r="D1595" t="s">
        <v>9449</v>
      </c>
      <c r="E1595" t="s">
        <v>394</v>
      </c>
      <c r="F1595" t="s">
        <v>396</v>
      </c>
      <c r="G1595">
        <v>1687</v>
      </c>
      <c r="H1595" t="s">
        <v>9333</v>
      </c>
      <c r="I1595" s="871">
        <v>46293.93683766204</v>
      </c>
      <c r="J1595" t="s">
        <v>9528</v>
      </c>
      <c r="K1595" s="975" t="str">
        <f>IF(COUNTIFS(tblControles[Clave],tblControles[[#This Row],[Clave]])&gt;1,"Duplicado","")</f>
        <v/>
      </c>
    </row>
    <row r="1596" spans="2:11">
      <c r="B1596" s="975" t="str">
        <f>tblControles[[#This Row],[Fecha]]&amp;"|"&amp;tblControles[[#This Row],[Módulo]]&amp;"|"&amp;tblControles[[#This Row],[Ítem]]&amp;"|"&amp;tblControles[[#This Row],[Turno]]</f>
        <v>46283|TONELADAS X TURNO|Molino barras 8|2° turno</v>
      </c>
      <c r="C1596" s="871">
        <v>46283</v>
      </c>
      <c r="D1596" t="s">
        <v>9449</v>
      </c>
      <c r="E1596" t="s">
        <v>394</v>
      </c>
      <c r="F1596" t="s">
        <v>397</v>
      </c>
      <c r="G1596">
        <v>1498</v>
      </c>
      <c r="H1596" t="s">
        <v>9333</v>
      </c>
      <c r="I1596" s="871">
        <v>46293.93683766204</v>
      </c>
      <c r="J1596" t="s">
        <v>9528</v>
      </c>
      <c r="K1596" s="975" t="str">
        <f>IF(COUNTIFS(tblControles[Clave],tblControles[[#This Row],[Clave]])&gt;1,"Duplicado","")</f>
        <v/>
      </c>
    </row>
    <row r="1597" spans="2:11">
      <c r="B1597" s="975" t="str">
        <f>tblControles[[#This Row],[Fecha]]&amp;"|"&amp;tblControles[[#This Row],[Módulo]]&amp;"|"&amp;tblControles[[#This Row],[Ítem]]&amp;"|"&amp;tblControles[[#This Row],[Turno]]</f>
        <v>46283|TONELADAS X TURNO|Molino barras 8|3° turno</v>
      </c>
      <c r="C1597" s="871">
        <v>46283</v>
      </c>
      <c r="D1597" t="s">
        <v>9449</v>
      </c>
      <c r="E1597" t="s">
        <v>394</v>
      </c>
      <c r="F1597" t="s">
        <v>398</v>
      </c>
      <c r="G1597">
        <v>1654</v>
      </c>
      <c r="H1597" t="s">
        <v>9333</v>
      </c>
      <c r="I1597" s="871">
        <v>46293.93683766204</v>
      </c>
      <c r="J1597" t="s">
        <v>9528</v>
      </c>
      <c r="K1597" s="975" t="str">
        <f>IF(COUNTIFS(tblControles[Clave],tblControles[[#This Row],[Clave]])&gt;1,"Duplicado","")</f>
        <v/>
      </c>
    </row>
    <row r="1598" spans="2:11">
      <c r="B1598" s="975" t="str">
        <f>tblControles[[#This Row],[Fecha]]&amp;"|"&amp;tblControles[[#This Row],[Módulo]]&amp;"|"&amp;tblControles[[#This Row],[Ítem]]&amp;"|"&amp;tblControles[[#This Row],[Turno]]</f>
        <v>46283|TONELADAS X TURNO|Molino barras 9|1° turno</v>
      </c>
      <c r="C1598" s="871">
        <v>46283</v>
      </c>
      <c r="D1598" t="s">
        <v>9449</v>
      </c>
      <c r="E1598" t="s">
        <v>395</v>
      </c>
      <c r="F1598" t="s">
        <v>396</v>
      </c>
      <c r="G1598">
        <v>1589</v>
      </c>
      <c r="H1598" t="s">
        <v>9333</v>
      </c>
      <c r="I1598" s="871">
        <v>46293.93683766204</v>
      </c>
      <c r="J1598" t="s">
        <v>9528</v>
      </c>
      <c r="K1598" s="975" t="str">
        <f>IF(COUNTIFS(tblControles[Clave],tblControles[[#This Row],[Clave]])&gt;1,"Duplicado","")</f>
        <v/>
      </c>
    </row>
    <row r="1599" spans="2:11">
      <c r="B1599" s="975" t="str">
        <f>tblControles[[#This Row],[Fecha]]&amp;"|"&amp;tblControles[[#This Row],[Módulo]]&amp;"|"&amp;tblControles[[#This Row],[Ítem]]&amp;"|"&amp;tblControles[[#This Row],[Turno]]</f>
        <v>46283|TONELADAS X TURNO|Molino barras 9|2° turno</v>
      </c>
      <c r="C1599" s="871">
        <v>46283</v>
      </c>
      <c r="D1599" t="s">
        <v>9449</v>
      </c>
      <c r="E1599" t="s">
        <v>395</v>
      </c>
      <c r="F1599" t="s">
        <v>397</v>
      </c>
      <c r="G1599">
        <v>1775</v>
      </c>
      <c r="H1599" t="s">
        <v>9333</v>
      </c>
      <c r="I1599" s="871">
        <v>46293.93683766204</v>
      </c>
      <c r="J1599" t="s">
        <v>9528</v>
      </c>
      <c r="K1599" s="975" t="str">
        <f>IF(COUNTIFS(tblControles[Clave],tblControles[[#This Row],[Clave]])&gt;1,"Duplicado","")</f>
        <v/>
      </c>
    </row>
    <row r="1600" spans="2:11">
      <c r="B1600" s="975" t="str">
        <f>tblControles[[#This Row],[Fecha]]&amp;"|"&amp;tblControles[[#This Row],[Módulo]]&amp;"|"&amp;tblControles[[#This Row],[Ítem]]&amp;"|"&amp;tblControles[[#This Row],[Turno]]</f>
        <v>46283|TONELADAS X TURNO|Molino barras 9|3° turno</v>
      </c>
      <c r="C1600" s="871">
        <v>46283</v>
      </c>
      <c r="D1600" t="s">
        <v>9449</v>
      </c>
      <c r="E1600" t="s">
        <v>395</v>
      </c>
      <c r="F1600" t="s">
        <v>398</v>
      </c>
      <c r="G1600">
        <v>1836</v>
      </c>
      <c r="H1600" t="s">
        <v>9333</v>
      </c>
      <c r="I1600" s="871">
        <v>46293.93683766204</v>
      </c>
      <c r="J1600" t="s">
        <v>9528</v>
      </c>
      <c r="K1600" s="975" t="str">
        <f>IF(COUNTIFS(tblControles[Clave],tblControles[[#This Row],[Clave]])&gt;1,"Duplicado","")</f>
        <v/>
      </c>
    </row>
    <row r="1601" spans="2:11">
      <c r="B1601" s="975" t="str">
        <f>tblControles[[#This Row],[Fecha]]&amp;"|"&amp;tblControles[[#This Row],[Módulo]]&amp;"|"&amp;tblControles[[#This Row],[Ítem]]&amp;"|"&amp;tblControles[[#This Row],[Turno]]</f>
        <v>46284|AGREGADO MEDIOS|BARRAS RM1|Cantidad</v>
      </c>
      <c r="C1601" s="871">
        <v>46284</v>
      </c>
      <c r="D1601" t="s">
        <v>9451</v>
      </c>
      <c r="E1601" t="s">
        <v>410</v>
      </c>
      <c r="F1601" t="s">
        <v>9453</v>
      </c>
      <c r="G1601">
        <v>0</v>
      </c>
      <c r="H1601" t="s">
        <v>9333</v>
      </c>
      <c r="I1601" s="871">
        <v>46293.93683766204</v>
      </c>
      <c r="J1601" t="s">
        <v>9524</v>
      </c>
      <c r="K1601" s="975" t="str">
        <f>IF(COUNTIFS(tblControles[Clave],tblControles[[#This Row],[Clave]])&gt;1,"Duplicado","")</f>
        <v/>
      </c>
    </row>
    <row r="1602" spans="2:11">
      <c r="B1602" s="975" t="str">
        <f>tblControles[[#This Row],[Fecha]]&amp;"|"&amp;tblControles[[#This Row],[Módulo]]&amp;"|"&amp;tblControles[[#This Row],[Ítem]]&amp;"|"&amp;tblControles[[#This Row],[Turno]]</f>
        <v>46284|AGREGADO MEDIOS|BARRAS RM2|Cantidad</v>
      </c>
      <c r="C1602" s="871">
        <v>46284</v>
      </c>
      <c r="D1602" t="s">
        <v>9451</v>
      </c>
      <c r="E1602" t="s">
        <v>411</v>
      </c>
      <c r="F1602" t="s">
        <v>9453</v>
      </c>
      <c r="G1602">
        <v>0</v>
      </c>
      <c r="H1602" t="s">
        <v>9333</v>
      </c>
      <c r="I1602" s="871">
        <v>46293.93683766204</v>
      </c>
      <c r="J1602" t="s">
        <v>9524</v>
      </c>
      <c r="K1602" s="975" t="str">
        <f>IF(COUNTIFS(tblControles[Clave],tblControles[[#This Row],[Clave]])&gt;1,"Duplicado","")</f>
        <v/>
      </c>
    </row>
    <row r="1603" spans="2:11">
      <c r="B1603" s="975" t="str">
        <f>tblControles[[#This Row],[Fecha]]&amp;"|"&amp;tblControles[[#This Row],[Módulo]]&amp;"|"&amp;tblControles[[#This Row],[Ítem]]&amp;"|"&amp;tblControles[[#This Row],[Turno]]</f>
        <v>46284|AGREGADO MEDIOS|BARRAS RM3|Cantidad</v>
      </c>
      <c r="C1603" s="871">
        <v>46284</v>
      </c>
      <c r="D1603" t="s">
        <v>9451</v>
      </c>
      <c r="E1603" t="s">
        <v>412</v>
      </c>
      <c r="F1603" t="s">
        <v>9453</v>
      </c>
      <c r="G1603">
        <v>0</v>
      </c>
      <c r="H1603" t="s">
        <v>9333</v>
      </c>
      <c r="I1603" s="871">
        <v>46293.93683766204</v>
      </c>
      <c r="J1603" t="s">
        <v>9524</v>
      </c>
      <c r="K1603" s="975" t="str">
        <f>IF(COUNTIFS(tblControles[Clave],tblControles[[#This Row],[Clave]])&gt;1,"Duplicado","")</f>
        <v/>
      </c>
    </row>
    <row r="1604" spans="2:11">
      <c r="B1604" s="975" t="str">
        <f>tblControles[[#This Row],[Fecha]]&amp;"|"&amp;tblControles[[#This Row],[Módulo]]&amp;"|"&amp;tblControles[[#This Row],[Ítem]]&amp;"|"&amp;tblControles[[#This Row],[Turno]]</f>
        <v>46284|AGREGADO MEDIOS|BARRAS RM4|Cantidad</v>
      </c>
      <c r="C1604" s="871">
        <v>46284</v>
      </c>
      <c r="D1604" t="s">
        <v>9451</v>
      </c>
      <c r="E1604" t="s">
        <v>413</v>
      </c>
      <c r="F1604" t="s">
        <v>9453</v>
      </c>
      <c r="G1604">
        <v>0</v>
      </c>
      <c r="H1604" t="s">
        <v>9333</v>
      </c>
      <c r="I1604" s="871">
        <v>46293.93683766204</v>
      </c>
      <c r="J1604" t="s">
        <v>9524</v>
      </c>
      <c r="K1604" s="975" t="str">
        <f>IF(COUNTIFS(tblControles[Clave],tblControles[[#This Row],[Clave]])&gt;1,"Duplicado","")</f>
        <v/>
      </c>
    </row>
    <row r="1605" spans="2:11">
      <c r="B1605" s="975" t="str">
        <f>tblControles[[#This Row],[Fecha]]&amp;"|"&amp;tblControles[[#This Row],[Módulo]]&amp;"|"&amp;tblControles[[#This Row],[Ítem]]&amp;"|"&amp;tblControles[[#This Row],[Turno]]</f>
        <v>46284|AGREGADO MEDIOS|BARRAS RM5|Cantidad</v>
      </c>
      <c r="C1605" s="871">
        <v>46284</v>
      </c>
      <c r="D1605" t="s">
        <v>9451</v>
      </c>
      <c r="E1605" t="s">
        <v>414</v>
      </c>
      <c r="F1605" t="s">
        <v>9453</v>
      </c>
      <c r="G1605">
        <v>0</v>
      </c>
      <c r="H1605" t="s">
        <v>9333</v>
      </c>
      <c r="I1605" s="871">
        <v>46293.93683766204</v>
      </c>
      <c r="J1605" t="s">
        <v>9524</v>
      </c>
      <c r="K1605" s="975" t="str">
        <f>IF(COUNTIFS(tblControles[Clave],tblControles[[#This Row],[Clave]])&gt;1,"Duplicado","")</f>
        <v/>
      </c>
    </row>
    <row r="1606" spans="2:11">
      <c r="B1606" s="975" t="str">
        <f>tblControles[[#This Row],[Fecha]]&amp;"|"&amp;tblControles[[#This Row],[Módulo]]&amp;"|"&amp;tblControles[[#This Row],[Ítem]]&amp;"|"&amp;tblControles[[#This Row],[Turno]]</f>
        <v>46284|AGREGADO MEDIOS|BARRAS RM6|Cantidad</v>
      </c>
      <c r="C1606" s="871">
        <v>46284</v>
      </c>
      <c r="D1606" t="s">
        <v>9451</v>
      </c>
      <c r="E1606" t="s">
        <v>415</v>
      </c>
      <c r="F1606" t="s">
        <v>9453</v>
      </c>
      <c r="G1606">
        <v>0</v>
      </c>
      <c r="H1606" t="s">
        <v>9333</v>
      </c>
      <c r="I1606" s="871">
        <v>46293.93683766204</v>
      </c>
      <c r="J1606" t="s">
        <v>9524</v>
      </c>
      <c r="K1606" s="975" t="str">
        <f>IF(COUNTIFS(tblControles[Clave],tblControles[[#This Row],[Clave]])&gt;1,"Duplicado","")</f>
        <v/>
      </c>
    </row>
    <row r="1607" spans="2:11">
      <c r="B1607" s="975" t="str">
        <f>tblControles[[#This Row],[Fecha]]&amp;"|"&amp;tblControles[[#This Row],[Módulo]]&amp;"|"&amp;tblControles[[#This Row],[Ítem]]&amp;"|"&amp;tblControles[[#This Row],[Turno]]</f>
        <v>46284|AGREGADO MEDIOS|BARRAS RM7|Cantidad</v>
      </c>
      <c r="C1607" s="871">
        <v>46284</v>
      </c>
      <c r="D1607" t="s">
        <v>9451</v>
      </c>
      <c r="E1607" t="s">
        <v>416</v>
      </c>
      <c r="F1607" t="s">
        <v>9453</v>
      </c>
      <c r="G1607">
        <v>0</v>
      </c>
      <c r="H1607" t="s">
        <v>9333</v>
      </c>
      <c r="I1607" s="871">
        <v>46293.93683766204</v>
      </c>
      <c r="J1607" t="s">
        <v>9524</v>
      </c>
      <c r="K1607" s="975" t="str">
        <f>IF(COUNTIFS(tblControles[Clave],tblControles[[#This Row],[Clave]])&gt;1,"Duplicado","")</f>
        <v/>
      </c>
    </row>
    <row r="1608" spans="2:11">
      <c r="B1608" s="975" t="str">
        <f>tblControles[[#This Row],[Fecha]]&amp;"|"&amp;tblControles[[#This Row],[Módulo]]&amp;"|"&amp;tblControles[[#This Row],[Ítem]]&amp;"|"&amp;tblControles[[#This Row],[Turno]]</f>
        <v>46284|AGREGADO MEDIOS|BARRAS RM8|Cantidad</v>
      </c>
      <c r="C1608" s="871">
        <v>46284</v>
      </c>
      <c r="D1608" t="s">
        <v>9451</v>
      </c>
      <c r="E1608" t="s">
        <v>417</v>
      </c>
      <c r="F1608" t="s">
        <v>9453</v>
      </c>
      <c r="G1608">
        <v>0</v>
      </c>
      <c r="H1608" t="s">
        <v>9333</v>
      </c>
      <c r="I1608" s="871">
        <v>46293.93683766204</v>
      </c>
      <c r="J1608" t="s">
        <v>9524</v>
      </c>
      <c r="K1608" s="975" t="str">
        <f>IF(COUNTIFS(tblControles[Clave],tblControles[[#This Row],[Clave]])&gt;1,"Duplicado","")</f>
        <v/>
      </c>
    </row>
    <row r="1609" spans="2:11">
      <c r="B1609" s="975" t="str">
        <f>tblControles[[#This Row],[Fecha]]&amp;"|"&amp;tblControles[[#This Row],[Módulo]]&amp;"|"&amp;tblControles[[#This Row],[Ítem]]&amp;"|"&amp;tblControles[[#This Row],[Turno]]</f>
        <v>46284|AGREGADO MEDIOS|BARRAS 9 RM9|Cantidad</v>
      </c>
      <c r="C1609" s="871">
        <v>46284</v>
      </c>
      <c r="D1609" t="s">
        <v>9451</v>
      </c>
      <c r="E1609" t="s">
        <v>418</v>
      </c>
      <c r="F1609" t="s">
        <v>9453</v>
      </c>
      <c r="G1609">
        <v>0</v>
      </c>
      <c r="H1609" t="s">
        <v>9333</v>
      </c>
      <c r="I1609" s="871">
        <v>46293.93683766204</v>
      </c>
      <c r="J1609" t="s">
        <v>9524</v>
      </c>
      <c r="K1609" s="975" t="str">
        <f>IF(COUNTIFS(tblControles[Clave],tblControles[[#This Row],[Clave]])&gt;1,"Duplicado","")</f>
        <v/>
      </c>
    </row>
    <row r="1610" spans="2:11">
      <c r="B1610" s="975" t="str">
        <f>tblControles[[#This Row],[Fecha]]&amp;"|"&amp;tblControles[[#This Row],[Módulo]]&amp;"|"&amp;tblControles[[#This Row],[Ítem]]&amp;"|"&amp;tblControles[[#This Row],[Turno]]</f>
        <v>46284|AGREGADO MEDIOS|CONOS 40X50 BM1|Cantidad</v>
      </c>
      <c r="C1610" s="871">
        <v>46284</v>
      </c>
      <c r="D1610" t="s">
        <v>9451</v>
      </c>
      <c r="E1610" t="s">
        <v>420</v>
      </c>
      <c r="F1610" t="s">
        <v>9453</v>
      </c>
      <c r="G1610">
        <v>2</v>
      </c>
      <c r="H1610" t="s">
        <v>9333</v>
      </c>
      <c r="I1610" s="871">
        <v>46293.93683766204</v>
      </c>
      <c r="J1610" t="s">
        <v>9524</v>
      </c>
      <c r="K1610" s="975" t="str">
        <f>IF(COUNTIFS(tblControles[Clave],tblControles[[#This Row],[Clave]])&gt;1,"Duplicado","")</f>
        <v/>
      </c>
    </row>
    <row r="1611" spans="2:11">
      <c r="B1611" s="975" t="str">
        <f>tblControles[[#This Row],[Fecha]]&amp;"|"&amp;tblControles[[#This Row],[Módulo]]&amp;"|"&amp;tblControles[[#This Row],[Ítem]]&amp;"|"&amp;tblControles[[#This Row],[Turno]]</f>
        <v>46284|AGREGADO MEDIOS|CONOS 40X50 BM2|Cantidad</v>
      </c>
      <c r="C1611" s="871">
        <v>46284</v>
      </c>
      <c r="D1611" t="s">
        <v>9451</v>
      </c>
      <c r="E1611" t="s">
        <v>421</v>
      </c>
      <c r="F1611" t="s">
        <v>9453</v>
      </c>
      <c r="G1611">
        <v>0</v>
      </c>
      <c r="H1611" t="s">
        <v>9333</v>
      </c>
      <c r="I1611" s="871">
        <v>46293.93683766204</v>
      </c>
      <c r="J1611" t="s">
        <v>9524</v>
      </c>
      <c r="K1611" s="975" t="str">
        <f>IF(COUNTIFS(tblControles[Clave],tblControles[[#This Row],[Clave]])&gt;1,"Duplicado","")</f>
        <v/>
      </c>
    </row>
    <row r="1612" spans="2:11">
      <c r="B1612" s="975" t="str">
        <f>tblControles[[#This Row],[Fecha]]&amp;"|"&amp;tblControles[[#This Row],[Módulo]]&amp;"|"&amp;tblControles[[#This Row],[Ítem]]&amp;"|"&amp;tblControles[[#This Row],[Turno]]</f>
        <v>46284|AGREGADO MEDIOS|CONOS 40X50 BM3|Cantidad</v>
      </c>
      <c r="C1612" s="871">
        <v>46284</v>
      </c>
      <c r="D1612" t="s">
        <v>9451</v>
      </c>
      <c r="E1612" t="s">
        <v>422</v>
      </c>
      <c r="F1612" t="s">
        <v>9453</v>
      </c>
      <c r="G1612">
        <v>0</v>
      </c>
      <c r="H1612" t="s">
        <v>9333</v>
      </c>
      <c r="I1612" s="871">
        <v>46293.93683766204</v>
      </c>
      <c r="J1612" t="s">
        <v>9524</v>
      </c>
      <c r="K1612" s="975" t="str">
        <f>IF(COUNTIFS(tblControles[Clave],tblControles[[#This Row],[Clave]])&gt;1,"Duplicado","")</f>
        <v/>
      </c>
    </row>
    <row r="1613" spans="2:11">
      <c r="B1613" s="975" t="str">
        <f>tblControles[[#This Row],[Fecha]]&amp;"|"&amp;tblControles[[#This Row],[Módulo]]&amp;"|"&amp;tblControles[[#This Row],[Ítem]]&amp;"|"&amp;tblControles[[#This Row],[Turno]]</f>
        <v>46284|AGREGADO MEDIOS|CONOS 40X50 BM4|Cantidad</v>
      </c>
      <c r="C1613" s="871">
        <v>46284</v>
      </c>
      <c r="D1613" t="s">
        <v>9451</v>
      </c>
      <c r="E1613" t="s">
        <v>423</v>
      </c>
      <c r="F1613" t="s">
        <v>9453</v>
      </c>
      <c r="G1613">
        <v>0</v>
      </c>
      <c r="H1613" t="s">
        <v>9333</v>
      </c>
      <c r="I1613" s="871">
        <v>46293.93683766204</v>
      </c>
      <c r="J1613" t="s">
        <v>9524</v>
      </c>
      <c r="K1613" s="975" t="str">
        <f>IF(COUNTIFS(tblControles[Clave],tblControles[[#This Row],[Clave]])&gt;1,"Duplicado","")</f>
        <v/>
      </c>
    </row>
    <row r="1614" spans="2:11">
      <c r="B1614" s="975" t="str">
        <f>tblControles[[#This Row],[Fecha]]&amp;"|"&amp;tblControles[[#This Row],[Módulo]]&amp;"|"&amp;tblControles[[#This Row],[Ítem]]&amp;"|"&amp;tblControles[[#This Row],[Turno]]</f>
        <v>46284|AGREGADO MEDIOS|CONOS 30X35 BM5|Cantidad</v>
      </c>
      <c r="C1614" s="871">
        <v>46284</v>
      </c>
      <c r="D1614" t="s">
        <v>9451</v>
      </c>
      <c r="E1614" t="s">
        <v>424</v>
      </c>
      <c r="F1614" t="s">
        <v>9453</v>
      </c>
      <c r="G1614">
        <v>0</v>
      </c>
      <c r="H1614" t="s">
        <v>9333</v>
      </c>
      <c r="I1614" s="871">
        <v>46293.93683766204</v>
      </c>
      <c r="J1614" t="s">
        <v>9524</v>
      </c>
      <c r="K1614" s="975" t="str">
        <f>IF(COUNTIFS(tblControles[Clave],tblControles[[#This Row],[Clave]])&gt;1,"Duplicado","")</f>
        <v/>
      </c>
    </row>
    <row r="1615" spans="2:11">
      <c r="B1615" s="975" t="str">
        <f>tblControles[[#This Row],[Fecha]]&amp;"|"&amp;tblControles[[#This Row],[Módulo]]&amp;"|"&amp;tblControles[[#This Row],[Ítem]]&amp;"|"&amp;tblControles[[#This Row],[Turno]]</f>
        <v>46284|AGREGADO MEDIOS|CONOS 40X50 BM6|Cantidad</v>
      </c>
      <c r="C1615" s="871">
        <v>46284</v>
      </c>
      <c r="D1615" t="s">
        <v>9451</v>
      </c>
      <c r="E1615" t="s">
        <v>425</v>
      </c>
      <c r="F1615" t="s">
        <v>9453</v>
      </c>
      <c r="G1615">
        <v>4</v>
      </c>
      <c r="H1615" t="s">
        <v>9333</v>
      </c>
      <c r="I1615" s="871">
        <v>46293.93683766204</v>
      </c>
      <c r="J1615" t="s">
        <v>9524</v>
      </c>
      <c r="K1615" s="975" t="str">
        <f>IF(COUNTIFS(tblControles[Clave],tblControles[[#This Row],[Clave]])&gt;1,"Duplicado","")</f>
        <v/>
      </c>
    </row>
    <row r="1616" spans="2:11">
      <c r="B1616" s="975" t="str">
        <f>tblControles[[#This Row],[Fecha]]&amp;"|"&amp;tblControles[[#This Row],[Módulo]]&amp;"|"&amp;tblControles[[#This Row],[Ítem]]&amp;"|"&amp;tblControles[[#This Row],[Turno]]</f>
        <v>46284|AGREGADO MEDIOS|CONOS 40X50 BM7|Cantidad</v>
      </c>
      <c r="C1616" s="871">
        <v>46284</v>
      </c>
      <c r="D1616" t="s">
        <v>9451</v>
      </c>
      <c r="E1616" t="s">
        <v>426</v>
      </c>
      <c r="F1616" t="s">
        <v>9453</v>
      </c>
      <c r="G1616">
        <v>0</v>
      </c>
      <c r="H1616" t="s">
        <v>9333</v>
      </c>
      <c r="I1616" s="871">
        <v>46293.93683766204</v>
      </c>
      <c r="J1616" t="s">
        <v>9524</v>
      </c>
      <c r="K1616" s="975" t="str">
        <f>IF(COUNTIFS(tblControles[Clave],tblControles[[#This Row],[Clave]])&gt;1,"Duplicado","")</f>
        <v/>
      </c>
    </row>
    <row r="1617" spans="2:11">
      <c r="B1617" s="975" t="str">
        <f>tblControles[[#This Row],[Fecha]]&amp;"|"&amp;tblControles[[#This Row],[Módulo]]&amp;"|"&amp;tblControles[[#This Row],[Ítem]]&amp;"|"&amp;tblControles[[#This Row],[Turno]]</f>
        <v>46284|AGREGADO MEDIOS|CONOS 40X50|Cantidad</v>
      </c>
      <c r="C1617" s="871">
        <v>46284</v>
      </c>
      <c r="D1617" t="s">
        <v>9451</v>
      </c>
      <c r="E1617" t="s">
        <v>427</v>
      </c>
      <c r="F1617" t="s">
        <v>9453</v>
      </c>
      <c r="G1617">
        <v>2</v>
      </c>
      <c r="H1617" t="s">
        <v>9333</v>
      </c>
      <c r="I1617" s="871">
        <v>46293.93683766204</v>
      </c>
      <c r="J1617" t="s">
        <v>9524</v>
      </c>
      <c r="K1617" s="975" t="str">
        <f>IF(COUNTIFS(tblControles[Clave],tblControles[[#This Row],[Clave]])&gt;1,"Duplicado","")</f>
        <v/>
      </c>
    </row>
    <row r="1618" spans="2:11">
      <c r="B1618" s="975" t="str">
        <f>tblControles[[#This Row],[Fecha]]&amp;"|"&amp;tblControles[[#This Row],[Módulo]]&amp;"|"&amp;tblControles[[#This Row],[Ítem]]&amp;"|"&amp;tblControles[[#This Row],[Turno]]</f>
        <v>46284|AGREGADO MEDIOS|CONOS 30X35|Cantidad</v>
      </c>
      <c r="C1618" s="871">
        <v>46284</v>
      </c>
      <c r="D1618" t="s">
        <v>9451</v>
      </c>
      <c r="E1618" t="s">
        <v>428</v>
      </c>
      <c r="F1618" t="s">
        <v>9453</v>
      </c>
      <c r="G1618">
        <v>4</v>
      </c>
      <c r="H1618" t="s">
        <v>9333</v>
      </c>
      <c r="I1618" s="871">
        <v>46293.93683766204</v>
      </c>
      <c r="J1618" t="s">
        <v>9524</v>
      </c>
      <c r="K1618" s="975" t="str">
        <f>IF(COUNTIFS(tblControles[Clave],tblControles[[#This Row],[Clave]])&gt;1,"Duplicado","")</f>
        <v/>
      </c>
    </row>
    <row r="1619" spans="2:11">
      <c r="B1619" s="975" t="str">
        <f>tblControles[[#This Row],[Fecha]]&amp;"|"&amp;tblControles[[#This Row],[Módulo]]&amp;"|"&amp;tblControles[[#This Row],[Ítem]]&amp;"|"&amp;tblControles[[#This Row],[Turno]]</f>
        <v>46284|AGREGADO MEDIOS|BOLAS BM8|Cantidad</v>
      </c>
      <c r="C1619" s="871">
        <v>46284</v>
      </c>
      <c r="D1619" t="s">
        <v>9451</v>
      </c>
      <c r="E1619" t="s">
        <v>429</v>
      </c>
      <c r="F1619" t="s">
        <v>9453</v>
      </c>
      <c r="G1619">
        <v>0</v>
      </c>
      <c r="H1619" t="s">
        <v>9333</v>
      </c>
      <c r="I1619" s="871">
        <v>46293.93683766204</v>
      </c>
      <c r="J1619" t="s">
        <v>9524</v>
      </c>
      <c r="K1619" s="975" t="str">
        <f>IF(COUNTIFS(tblControles[Clave],tblControles[[#This Row],[Clave]])&gt;1,"Duplicado","")</f>
        <v/>
      </c>
    </row>
    <row r="1620" spans="2:11">
      <c r="B1620" s="975" t="str">
        <f>tblControles[[#This Row],[Fecha]]&amp;"|"&amp;tblControles[[#This Row],[Módulo]]&amp;"|"&amp;tblControles[[#This Row],[Ítem]]&amp;"|"&amp;tblControles[[#This Row],[Turno]]</f>
        <v>46284|AGREGADO MEDIOS|BOLAS BM9|Cantidad</v>
      </c>
      <c r="C1620" s="871">
        <v>46284</v>
      </c>
      <c r="D1620" t="s">
        <v>9451</v>
      </c>
      <c r="E1620" t="s">
        <v>430</v>
      </c>
      <c r="F1620" t="s">
        <v>9453</v>
      </c>
      <c r="G1620">
        <v>2</v>
      </c>
      <c r="H1620" t="s">
        <v>9333</v>
      </c>
      <c r="I1620" s="871">
        <v>46293.93683766204</v>
      </c>
      <c r="J1620" t="s">
        <v>9524</v>
      </c>
      <c r="K1620" s="975" t="str">
        <f>IF(COUNTIFS(tblControles[Clave],tblControles[[#This Row],[Clave]])&gt;1,"Duplicado","")</f>
        <v/>
      </c>
    </row>
    <row r="1621" spans="2:11">
      <c r="B1621" s="975" t="str">
        <f>tblControles[[#This Row],[Fecha]]&amp;"|"&amp;tblControles[[#This Row],[Módulo]]&amp;"|"&amp;tblControles[[#This Row],[Ítem]]&amp;"|"&amp;tblControles[[#This Row],[Turno]]</f>
        <v>46284|AGREGADO MEDIOS|BOLAS BM10|Cantidad</v>
      </c>
      <c r="C1621" s="871">
        <v>46284</v>
      </c>
      <c r="D1621" t="s">
        <v>9451</v>
      </c>
      <c r="E1621" t="s">
        <v>431</v>
      </c>
      <c r="F1621" t="s">
        <v>9453</v>
      </c>
      <c r="G1621">
        <v>0</v>
      </c>
      <c r="H1621" t="s">
        <v>9333</v>
      </c>
      <c r="I1621" s="871">
        <v>46293.93683766204</v>
      </c>
      <c r="J1621" t="s">
        <v>9524</v>
      </c>
      <c r="K1621" s="975" t="str">
        <f>IF(COUNTIFS(tblControles[Clave],tblControles[[#This Row],[Clave]])&gt;1,"Duplicado","")</f>
        <v/>
      </c>
    </row>
    <row r="1622" spans="2:11">
      <c r="B1622" s="975" t="str">
        <f>tblControles[[#This Row],[Fecha]]&amp;"|"&amp;tblControles[[#This Row],[Módulo]]&amp;"|"&amp;tblControles[[#This Row],[Ítem]]&amp;"|"&amp;tblControles[[#This Row],[Turno]]</f>
        <v>46284|AGREGADO MEDIOS|BOLAS ALTO CROM|Cantidad</v>
      </c>
      <c r="C1622" s="871">
        <v>46284</v>
      </c>
      <c r="D1622" t="s">
        <v>9451</v>
      </c>
      <c r="E1622" t="s">
        <v>432</v>
      </c>
      <c r="F1622" t="s">
        <v>9453</v>
      </c>
      <c r="G1622">
        <v>2</v>
      </c>
      <c r="H1622" t="s">
        <v>9333</v>
      </c>
      <c r="I1622" s="871">
        <v>46293.93683766204</v>
      </c>
      <c r="J1622" t="s">
        <v>9524</v>
      </c>
      <c r="K1622" s="975" t="str">
        <f>IF(COUNTIFS(tblControles[Clave],tblControles[[#This Row],[Clave]])&gt;1,"Duplicado","")</f>
        <v/>
      </c>
    </row>
    <row r="1623" spans="2:11">
      <c r="B1623" s="975" t="str">
        <f>tblControles[[#This Row],[Fecha]]&amp;"|"&amp;tblControles[[#This Row],[Módulo]]&amp;"|"&amp;tblControles[[#This Row],[Ítem]]&amp;"|"&amp;tblControles[[#This Row],[Turno]]</f>
        <v>46284|PURGA TKS AIRE|TK-MG-S. ROTULO|2do Turno</v>
      </c>
      <c r="C1623" s="871">
        <v>46284</v>
      </c>
      <c r="D1623" t="s">
        <v>9433</v>
      </c>
      <c r="E1623" t="s">
        <v>9471</v>
      </c>
      <c r="F1623" t="s">
        <v>9436</v>
      </c>
      <c r="G1623" t="s">
        <v>3227</v>
      </c>
      <c r="H1623" t="s">
        <v>9333</v>
      </c>
      <c r="I1623" s="871">
        <v>46293.93683766204</v>
      </c>
      <c r="J1623" t="s">
        <v>9530</v>
      </c>
      <c r="K1623" s="975" t="str">
        <f>IF(COUNTIFS(tblControles[Clave],tblControles[[#This Row],[Clave]])&gt;1,"Duplicado","")</f>
        <v/>
      </c>
    </row>
    <row r="1624" spans="2:11">
      <c r="B1624" s="975" t="str">
        <f>tblControles[[#This Row],[Fecha]]&amp;"|"&amp;tblControles[[#This Row],[Módulo]]&amp;"|"&amp;tblControles[[#This Row],[Ítem]]&amp;"|"&amp;tblControles[[#This Row],[Turno]]</f>
        <v>46284|PURGA TKS AIRE|TK-MG-S. ROTULO|3er Turno</v>
      </c>
      <c r="C1624" s="871">
        <v>46284</v>
      </c>
      <c r="D1624" t="s">
        <v>9433</v>
      </c>
      <c r="E1624" t="s">
        <v>9471</v>
      </c>
      <c r="F1624" t="s">
        <v>9437</v>
      </c>
      <c r="G1624" t="s">
        <v>3227</v>
      </c>
      <c r="H1624" t="s">
        <v>9333</v>
      </c>
      <c r="I1624" s="871">
        <v>46293.93683766204</v>
      </c>
      <c r="J1624" t="s">
        <v>9530</v>
      </c>
      <c r="K1624" s="975" t="str">
        <f>IF(COUNTIFS(tblControles[Clave],tblControles[[#This Row],[Clave]])&gt;1,"Duplicado","")</f>
        <v/>
      </c>
    </row>
    <row r="1625" spans="2:11">
      <c r="B1625" s="975" t="str">
        <f>tblControles[[#This Row],[Fecha]]&amp;"|"&amp;tblControles[[#This Row],[Módulo]]&amp;"|"&amp;tblControles[[#This Row],[Ítem]]&amp;"|"&amp;tblControles[[#This Row],[Turno]]</f>
        <v>46284|PURGA TKS AIRE|TK-MG-001|2do Turno</v>
      </c>
      <c r="C1625" s="871">
        <v>46284</v>
      </c>
      <c r="D1625" t="s">
        <v>9433</v>
      </c>
      <c r="E1625" t="s">
        <v>337</v>
      </c>
      <c r="F1625" t="s">
        <v>9436</v>
      </c>
      <c r="G1625" t="s">
        <v>3227</v>
      </c>
      <c r="H1625" t="s">
        <v>9333</v>
      </c>
      <c r="I1625" s="871">
        <v>46293.93683766204</v>
      </c>
      <c r="J1625" t="s">
        <v>9530</v>
      </c>
      <c r="K1625" s="975" t="str">
        <f>IF(COUNTIFS(tblControles[Clave],tblControles[[#This Row],[Clave]])&gt;1,"Duplicado","")</f>
        <v/>
      </c>
    </row>
    <row r="1626" spans="2:11">
      <c r="B1626" s="975" t="str">
        <f>tblControles[[#This Row],[Fecha]]&amp;"|"&amp;tblControles[[#This Row],[Módulo]]&amp;"|"&amp;tblControles[[#This Row],[Ítem]]&amp;"|"&amp;tblControles[[#This Row],[Turno]]</f>
        <v>46284|PURGA TKS AIRE|TK-MG-001|3er Turno</v>
      </c>
      <c r="C1626" s="871">
        <v>46284</v>
      </c>
      <c r="D1626" t="s">
        <v>9433</v>
      </c>
      <c r="E1626" t="s">
        <v>337</v>
      </c>
      <c r="F1626" t="s">
        <v>9437</v>
      </c>
      <c r="G1626" t="s">
        <v>3227</v>
      </c>
      <c r="H1626" t="s">
        <v>9333</v>
      </c>
      <c r="I1626" s="871">
        <v>46293.93683766204</v>
      </c>
      <c r="J1626" t="s">
        <v>9530</v>
      </c>
      <c r="K1626" s="975" t="str">
        <f>IF(COUNTIFS(tblControles[Clave],tblControles[[#This Row],[Clave]])&gt;1,"Duplicado","")</f>
        <v/>
      </c>
    </row>
    <row r="1627" spans="2:11">
      <c r="B1627" s="975" t="str">
        <f>tblControles[[#This Row],[Fecha]]&amp;"|"&amp;tblControles[[#This Row],[Módulo]]&amp;"|"&amp;tblControles[[#This Row],[Ítem]]&amp;"|"&amp;tblControles[[#This Row],[Turno]]</f>
        <v>46284|PURGA TKS AIRE|TK-MG-002|2do Turno</v>
      </c>
      <c r="C1627" s="871">
        <v>46284</v>
      </c>
      <c r="D1627" t="s">
        <v>9433</v>
      </c>
      <c r="E1627" t="s">
        <v>339</v>
      </c>
      <c r="F1627" t="s">
        <v>9436</v>
      </c>
      <c r="G1627" t="s">
        <v>3227</v>
      </c>
      <c r="H1627" t="s">
        <v>9333</v>
      </c>
      <c r="I1627" s="871">
        <v>46293.93683766204</v>
      </c>
      <c r="J1627" t="s">
        <v>9530</v>
      </c>
      <c r="K1627" s="975" t="str">
        <f>IF(COUNTIFS(tblControles[Clave],tblControles[[#This Row],[Clave]])&gt;1,"Duplicado","")</f>
        <v/>
      </c>
    </row>
    <row r="1628" spans="2:11">
      <c r="B1628" s="975" t="str">
        <f>tblControles[[#This Row],[Fecha]]&amp;"|"&amp;tblControles[[#This Row],[Módulo]]&amp;"|"&amp;tblControles[[#This Row],[Ítem]]&amp;"|"&amp;tblControles[[#This Row],[Turno]]</f>
        <v>46284|PURGA TKS AIRE|TK-MG-002|3er Turno</v>
      </c>
      <c r="C1628" s="871">
        <v>46284</v>
      </c>
      <c r="D1628" t="s">
        <v>9433</v>
      </c>
      <c r="E1628" t="s">
        <v>339</v>
      </c>
      <c r="F1628" t="s">
        <v>9437</v>
      </c>
      <c r="G1628" t="s">
        <v>3227</v>
      </c>
      <c r="H1628" t="s">
        <v>9333</v>
      </c>
      <c r="I1628" s="871">
        <v>46293.93683766204</v>
      </c>
      <c r="J1628" t="s">
        <v>9530</v>
      </c>
      <c r="K1628" s="975" t="str">
        <f>IF(COUNTIFS(tblControles[Clave],tblControles[[#This Row],[Clave]])&gt;1,"Duplicado","")</f>
        <v/>
      </c>
    </row>
    <row r="1629" spans="2:11">
      <c r="B1629" s="975" t="str">
        <f>tblControles[[#This Row],[Fecha]]&amp;"|"&amp;tblControles[[#This Row],[Módulo]]&amp;"|"&amp;tblControles[[#This Row],[Ítem]]&amp;"|"&amp;tblControles[[#This Row],[Turno]]</f>
        <v>46284|PURGA TKS AIRE|TK-MG-003|2do Turno</v>
      </c>
      <c r="C1629" s="871">
        <v>46284</v>
      </c>
      <c r="D1629" t="s">
        <v>9433</v>
      </c>
      <c r="E1629" t="s">
        <v>341</v>
      </c>
      <c r="F1629" t="s">
        <v>9436</v>
      </c>
      <c r="G1629" t="s">
        <v>3227</v>
      </c>
      <c r="H1629" t="s">
        <v>9333</v>
      </c>
      <c r="I1629" s="871">
        <v>46293.93683766204</v>
      </c>
      <c r="J1629" t="s">
        <v>9530</v>
      </c>
      <c r="K1629" s="975" t="str">
        <f>IF(COUNTIFS(tblControles[Clave],tblControles[[#This Row],[Clave]])&gt;1,"Duplicado","")</f>
        <v/>
      </c>
    </row>
    <row r="1630" spans="2:11">
      <c r="B1630" s="975" t="str">
        <f>tblControles[[#This Row],[Fecha]]&amp;"|"&amp;tblControles[[#This Row],[Módulo]]&amp;"|"&amp;tblControles[[#This Row],[Ítem]]&amp;"|"&amp;tblControles[[#This Row],[Turno]]</f>
        <v>46284|PURGA TKS AIRE|TK-MG-003|3er Turno</v>
      </c>
      <c r="C1630" s="871">
        <v>46284</v>
      </c>
      <c r="D1630" t="s">
        <v>9433</v>
      </c>
      <c r="E1630" t="s">
        <v>341</v>
      </c>
      <c r="F1630" t="s">
        <v>9437</v>
      </c>
      <c r="G1630" t="s">
        <v>3227</v>
      </c>
      <c r="H1630" t="s">
        <v>9333</v>
      </c>
      <c r="I1630" s="871">
        <v>46293.93683766204</v>
      </c>
      <c r="J1630" t="s">
        <v>9530</v>
      </c>
      <c r="K1630" s="975" t="str">
        <f>IF(COUNTIFS(tblControles[Clave],tblControles[[#This Row],[Clave]])&gt;1,"Duplicado","")</f>
        <v/>
      </c>
    </row>
    <row r="1631" spans="2:11">
      <c r="B1631" s="975" t="str">
        <f>tblControles[[#This Row],[Fecha]]&amp;"|"&amp;tblControles[[#This Row],[Módulo]]&amp;"|"&amp;tblControles[[#This Row],[Ítem]]&amp;"|"&amp;tblControles[[#This Row],[Turno]]</f>
        <v>46284|PURGA TKS AIRE|TK-MG-005|2do Turno</v>
      </c>
      <c r="C1631" s="871">
        <v>46284</v>
      </c>
      <c r="D1631" t="s">
        <v>9433</v>
      </c>
      <c r="E1631" t="s">
        <v>343</v>
      </c>
      <c r="F1631" t="s">
        <v>9436</v>
      </c>
      <c r="G1631" t="s">
        <v>345</v>
      </c>
      <c r="H1631" t="s">
        <v>9333</v>
      </c>
      <c r="I1631" s="871">
        <v>46293.93683766204</v>
      </c>
      <c r="J1631" t="s">
        <v>9530</v>
      </c>
      <c r="K1631" s="975" t="str">
        <f>IF(COUNTIFS(tblControles[Clave],tblControles[[#This Row],[Clave]])&gt;1,"Duplicado","")</f>
        <v/>
      </c>
    </row>
    <row r="1632" spans="2:11">
      <c r="B1632" s="975" t="str">
        <f>tblControles[[#This Row],[Fecha]]&amp;"|"&amp;tblControles[[#This Row],[Módulo]]&amp;"|"&amp;tblControles[[#This Row],[Ítem]]&amp;"|"&amp;tblControles[[#This Row],[Turno]]</f>
        <v>46284|PURGA TKS AIRE|TK-MG-005|3er Turno</v>
      </c>
      <c r="C1632" s="871">
        <v>46284</v>
      </c>
      <c r="D1632" t="s">
        <v>9433</v>
      </c>
      <c r="E1632" t="s">
        <v>343</v>
      </c>
      <c r="F1632" t="s">
        <v>9437</v>
      </c>
      <c r="G1632" t="s">
        <v>345</v>
      </c>
      <c r="H1632" t="s">
        <v>9333</v>
      </c>
      <c r="I1632" s="871">
        <v>46293.93683766204</v>
      </c>
      <c r="J1632" t="s">
        <v>9530</v>
      </c>
      <c r="K1632" s="975" t="str">
        <f>IF(COUNTIFS(tblControles[Clave],tblControles[[#This Row],[Clave]])&gt;1,"Duplicado","")</f>
        <v/>
      </c>
    </row>
    <row r="1633" spans="2:11">
      <c r="B1633" s="975" t="str">
        <f>tblControles[[#This Row],[Fecha]]&amp;"|"&amp;tblControles[[#This Row],[Módulo]]&amp;"|"&amp;tblControles[[#This Row],[Ítem]]&amp;"|"&amp;tblControles[[#This Row],[Turno]]</f>
        <v>46284|PURGA TKS AIRE|TK-MG-006|2do Turno</v>
      </c>
      <c r="C1633" s="871">
        <v>46284</v>
      </c>
      <c r="D1633" t="s">
        <v>9433</v>
      </c>
      <c r="E1633" t="s">
        <v>346</v>
      </c>
      <c r="F1633" t="s">
        <v>9436</v>
      </c>
      <c r="G1633" t="s">
        <v>3227</v>
      </c>
      <c r="H1633" t="s">
        <v>9333</v>
      </c>
      <c r="I1633" s="871">
        <v>46293.93683766204</v>
      </c>
      <c r="J1633" t="s">
        <v>9530</v>
      </c>
      <c r="K1633" s="975" t="str">
        <f>IF(COUNTIFS(tblControles[Clave],tblControles[[#This Row],[Clave]])&gt;1,"Duplicado","")</f>
        <v/>
      </c>
    </row>
    <row r="1634" spans="2:11">
      <c r="B1634" s="975" t="str">
        <f>tblControles[[#This Row],[Fecha]]&amp;"|"&amp;tblControles[[#This Row],[Módulo]]&amp;"|"&amp;tblControles[[#This Row],[Ítem]]&amp;"|"&amp;tblControles[[#This Row],[Turno]]</f>
        <v>46284|PURGA TKS AIRE|TK-MG-006|3er Turno</v>
      </c>
      <c r="C1634" s="871">
        <v>46284</v>
      </c>
      <c r="D1634" t="s">
        <v>9433</v>
      </c>
      <c r="E1634" t="s">
        <v>346</v>
      </c>
      <c r="F1634" t="s">
        <v>9437</v>
      </c>
      <c r="G1634" t="s">
        <v>3227</v>
      </c>
      <c r="H1634" t="s">
        <v>9333</v>
      </c>
      <c r="I1634" s="871">
        <v>46293.93683766204</v>
      </c>
      <c r="J1634" t="s">
        <v>9530</v>
      </c>
      <c r="K1634" s="975" t="str">
        <f>IF(COUNTIFS(tblControles[Clave],tblControles[[#This Row],[Clave]])&gt;1,"Duplicado","")</f>
        <v/>
      </c>
    </row>
    <row r="1635" spans="2:11">
      <c r="B1635" s="975" t="str">
        <f>tblControles[[#This Row],[Fecha]]&amp;"|"&amp;tblControles[[#This Row],[Módulo]]&amp;"|"&amp;tblControles[[#This Row],[Ítem]]&amp;"|"&amp;tblControles[[#This Row],[Turno]]</f>
        <v>46284|PURGA TKS AIRE|TK-MG-007|2do Turno</v>
      </c>
      <c r="C1635" s="871">
        <v>46284</v>
      </c>
      <c r="D1635" t="s">
        <v>9433</v>
      </c>
      <c r="E1635" t="s">
        <v>347</v>
      </c>
      <c r="F1635" t="s">
        <v>9436</v>
      </c>
      <c r="G1635" t="s">
        <v>3227</v>
      </c>
      <c r="H1635" t="s">
        <v>9333</v>
      </c>
      <c r="I1635" s="871">
        <v>46293.93683766204</v>
      </c>
      <c r="J1635" t="s">
        <v>9530</v>
      </c>
      <c r="K1635" s="975" t="str">
        <f>IF(COUNTIFS(tblControles[Clave],tblControles[[#This Row],[Clave]])&gt;1,"Duplicado","")</f>
        <v/>
      </c>
    </row>
    <row r="1636" spans="2:11">
      <c r="B1636" s="975" t="str">
        <f>tblControles[[#This Row],[Fecha]]&amp;"|"&amp;tblControles[[#This Row],[Módulo]]&amp;"|"&amp;tblControles[[#This Row],[Ítem]]&amp;"|"&amp;tblControles[[#This Row],[Turno]]</f>
        <v>46284|PURGA TKS AIRE|TK-MG-007|3er Turno</v>
      </c>
      <c r="C1636" s="871">
        <v>46284</v>
      </c>
      <c r="D1636" t="s">
        <v>9433</v>
      </c>
      <c r="E1636" t="s">
        <v>347</v>
      </c>
      <c r="F1636" t="s">
        <v>9437</v>
      </c>
      <c r="G1636" t="s">
        <v>3227</v>
      </c>
      <c r="H1636" t="s">
        <v>9333</v>
      </c>
      <c r="I1636" s="871">
        <v>46293.93683766204</v>
      </c>
      <c r="J1636" t="s">
        <v>9530</v>
      </c>
      <c r="K1636" s="975" t="str">
        <f>IF(COUNTIFS(tblControles[Clave],tblControles[[#This Row],[Clave]])&gt;1,"Duplicado","")</f>
        <v/>
      </c>
    </row>
    <row r="1637" spans="2:11">
      <c r="B1637" s="975" t="str">
        <f>tblControles[[#This Row],[Fecha]]&amp;"|"&amp;tblControles[[#This Row],[Módulo]]&amp;"|"&amp;tblControles[[#This Row],[Ítem]]&amp;"|"&amp;tblControles[[#This Row],[Turno]]</f>
        <v>46284|PURGA TKS AIRE|TK-MG-004|2do Turno</v>
      </c>
      <c r="C1637" s="871">
        <v>46284</v>
      </c>
      <c r="D1637" t="s">
        <v>9433</v>
      </c>
      <c r="E1637" t="s">
        <v>349</v>
      </c>
      <c r="F1637" t="s">
        <v>9436</v>
      </c>
      <c r="G1637" t="s">
        <v>3227</v>
      </c>
      <c r="H1637" t="s">
        <v>9333</v>
      </c>
      <c r="I1637" s="871">
        <v>46293.93683766204</v>
      </c>
      <c r="J1637" t="s">
        <v>9530</v>
      </c>
      <c r="K1637" s="975" t="str">
        <f>IF(COUNTIFS(tblControles[Clave],tblControles[[#This Row],[Clave]])&gt;1,"Duplicado","")</f>
        <v/>
      </c>
    </row>
    <row r="1638" spans="2:11">
      <c r="B1638" s="975" t="str">
        <f>tblControles[[#This Row],[Fecha]]&amp;"|"&amp;tblControles[[#This Row],[Módulo]]&amp;"|"&amp;tblControles[[#This Row],[Ítem]]&amp;"|"&amp;tblControles[[#This Row],[Turno]]</f>
        <v>46284|PURGA TKS AIRE|TK-MG-004|3er Turno</v>
      </c>
      <c r="C1638" s="871">
        <v>46284</v>
      </c>
      <c r="D1638" t="s">
        <v>9433</v>
      </c>
      <c r="E1638" t="s">
        <v>349</v>
      </c>
      <c r="F1638" t="s">
        <v>9437</v>
      </c>
      <c r="G1638" t="s">
        <v>3227</v>
      </c>
      <c r="H1638" t="s">
        <v>9333</v>
      </c>
      <c r="I1638" s="871">
        <v>46293.93683766204</v>
      </c>
      <c r="J1638" t="s">
        <v>9530</v>
      </c>
      <c r="K1638" s="975" t="str">
        <f>IF(COUNTIFS(tblControles[Clave],tblControles[[#This Row],[Clave]])&gt;1,"Duplicado","")</f>
        <v/>
      </c>
    </row>
    <row r="1639" spans="2:11">
      <c r="B1639" s="975" t="str">
        <f>tblControles[[#This Row],[Fecha]]&amp;"|"&amp;tblControles[[#This Row],[Módulo]]&amp;"|"&amp;tblControles[[#This Row],[Ítem]]&amp;"|"&amp;tblControles[[#This Row],[Turno]]</f>
        <v>46284|PURGA TKS AIRE|TK-MG-008|2do Turno</v>
      </c>
      <c r="C1639" s="871">
        <v>46284</v>
      </c>
      <c r="D1639" t="s">
        <v>9433</v>
      </c>
      <c r="E1639" t="s">
        <v>351</v>
      </c>
      <c r="F1639" t="s">
        <v>9436</v>
      </c>
      <c r="G1639" t="s">
        <v>3227</v>
      </c>
      <c r="H1639" t="s">
        <v>9333</v>
      </c>
      <c r="I1639" s="871">
        <v>46293.93683766204</v>
      </c>
      <c r="J1639" t="s">
        <v>9530</v>
      </c>
      <c r="K1639" s="975" t="str">
        <f>IF(COUNTIFS(tblControles[Clave],tblControles[[#This Row],[Clave]])&gt;1,"Duplicado","")</f>
        <v/>
      </c>
    </row>
    <row r="1640" spans="2:11">
      <c r="B1640" s="975" t="str">
        <f>tblControles[[#This Row],[Fecha]]&amp;"|"&amp;tblControles[[#This Row],[Módulo]]&amp;"|"&amp;tblControles[[#This Row],[Ítem]]&amp;"|"&amp;tblControles[[#This Row],[Turno]]</f>
        <v>46284|PURGA TKS AIRE|TK-MG-008|3er Turno</v>
      </c>
      <c r="C1640" s="871">
        <v>46284</v>
      </c>
      <c r="D1640" t="s">
        <v>9433</v>
      </c>
      <c r="E1640" t="s">
        <v>351</v>
      </c>
      <c r="F1640" t="s">
        <v>9437</v>
      </c>
      <c r="G1640" t="s">
        <v>3227</v>
      </c>
      <c r="H1640" t="s">
        <v>9333</v>
      </c>
      <c r="I1640" s="871">
        <v>46293.93683766204</v>
      </c>
      <c r="J1640" t="s">
        <v>9530</v>
      </c>
      <c r="K1640" s="975" t="str">
        <f>IF(COUNTIFS(tblControles[Clave],tblControles[[#This Row],[Clave]])&gt;1,"Duplicado","")</f>
        <v/>
      </c>
    </row>
    <row r="1641" spans="2:11">
      <c r="B1641" s="975" t="str">
        <f>tblControles[[#This Row],[Fecha]]&amp;"|"&amp;tblControles[[#This Row],[Módulo]]&amp;"|"&amp;tblControles[[#This Row],[Ítem]]&amp;"|"&amp;tblControles[[#This Row],[Turno]]</f>
        <v>46284|PURGA TKS AIRE|TK-MG-009|2do Turno</v>
      </c>
      <c r="C1641" s="871">
        <v>46284</v>
      </c>
      <c r="D1641" t="s">
        <v>9433</v>
      </c>
      <c r="E1641" t="s">
        <v>353</v>
      </c>
      <c r="F1641" t="s">
        <v>9436</v>
      </c>
      <c r="G1641" t="s">
        <v>3227</v>
      </c>
      <c r="H1641" t="s">
        <v>9333</v>
      </c>
      <c r="I1641" s="871">
        <v>46293.93683766204</v>
      </c>
      <c r="J1641" t="s">
        <v>9530</v>
      </c>
      <c r="K1641" s="975" t="str">
        <f>IF(COUNTIFS(tblControles[Clave],tblControles[[#This Row],[Clave]])&gt;1,"Duplicado","")</f>
        <v/>
      </c>
    </row>
    <row r="1642" spans="2:11">
      <c r="B1642" s="975" t="str">
        <f>tblControles[[#This Row],[Fecha]]&amp;"|"&amp;tblControles[[#This Row],[Módulo]]&amp;"|"&amp;tblControles[[#This Row],[Ítem]]&amp;"|"&amp;tblControles[[#This Row],[Turno]]</f>
        <v>46284|PURGA TKS AIRE|TK-MG-009|3er Turno</v>
      </c>
      <c r="C1642" s="871">
        <v>46284</v>
      </c>
      <c r="D1642" t="s">
        <v>9433</v>
      </c>
      <c r="E1642" t="s">
        <v>353</v>
      </c>
      <c r="F1642" t="s">
        <v>9437</v>
      </c>
      <c r="G1642" t="s">
        <v>3227</v>
      </c>
      <c r="H1642" t="s">
        <v>9333</v>
      </c>
      <c r="I1642" s="871">
        <v>46293.93683766204</v>
      </c>
      <c r="J1642" t="s">
        <v>9530</v>
      </c>
      <c r="K1642" s="975" t="str">
        <f>IF(COUNTIFS(tblControles[Clave],tblControles[[#This Row],[Clave]])&gt;1,"Duplicado","")</f>
        <v/>
      </c>
    </row>
    <row r="1643" spans="2:11">
      <c r="B1643" s="975" t="str">
        <f>tblControles[[#This Row],[Fecha]]&amp;"|"&amp;tblControles[[#This Row],[Módulo]]&amp;"|"&amp;tblControles[[#This Row],[Ítem]]&amp;"|"&amp;tblControles[[#This Row],[Turno]]</f>
        <v>46284|PURGA TKS AIRE|TK-MG-010|2do Turno</v>
      </c>
      <c r="C1643" s="871">
        <v>46284</v>
      </c>
      <c r="D1643" t="s">
        <v>9433</v>
      </c>
      <c r="E1643" t="s">
        <v>355</v>
      </c>
      <c r="F1643" t="s">
        <v>9436</v>
      </c>
      <c r="G1643" t="s">
        <v>3227</v>
      </c>
      <c r="H1643" t="s">
        <v>9333</v>
      </c>
      <c r="I1643" s="871">
        <v>46293.93683766204</v>
      </c>
      <c r="J1643" t="s">
        <v>9530</v>
      </c>
      <c r="K1643" s="975" t="str">
        <f>IF(COUNTIFS(tblControles[Clave],tblControles[[#This Row],[Clave]])&gt;1,"Duplicado","")</f>
        <v/>
      </c>
    </row>
    <row r="1644" spans="2:11">
      <c r="B1644" s="975" t="str">
        <f>tblControles[[#This Row],[Fecha]]&amp;"|"&amp;tblControles[[#This Row],[Módulo]]&amp;"|"&amp;tblControles[[#This Row],[Ítem]]&amp;"|"&amp;tblControles[[#This Row],[Turno]]</f>
        <v>46284|PURGA TKS AIRE|TK-MG-010|3er Turno</v>
      </c>
      <c r="C1644" s="871">
        <v>46284</v>
      </c>
      <c r="D1644" t="s">
        <v>9433</v>
      </c>
      <c r="E1644" t="s">
        <v>355</v>
      </c>
      <c r="F1644" t="s">
        <v>9437</v>
      </c>
      <c r="G1644" t="s">
        <v>3227</v>
      </c>
      <c r="H1644" t="s">
        <v>9333</v>
      </c>
      <c r="I1644" s="871">
        <v>46293.93683766204</v>
      </c>
      <c r="J1644" t="s">
        <v>9530</v>
      </c>
      <c r="K1644" s="975" t="str">
        <f>IF(COUNTIFS(tblControles[Clave],tblControles[[#This Row],[Clave]])&gt;1,"Duplicado","")</f>
        <v/>
      </c>
    </row>
    <row r="1645" spans="2:11">
      <c r="B1645" s="975" t="str">
        <f>tblControles[[#This Row],[Fecha]]&amp;"|"&amp;tblControles[[#This Row],[Módulo]]&amp;"|"&amp;tblControles[[#This Row],[Ítem]]&amp;"|"&amp;tblControles[[#This Row],[Turno]]</f>
        <v>46284|PURGA TKS AIRE|TK-MG-011|2do Turno</v>
      </c>
      <c r="C1645" s="871">
        <v>46284</v>
      </c>
      <c r="D1645" t="s">
        <v>9433</v>
      </c>
      <c r="E1645" t="s">
        <v>357</v>
      </c>
      <c r="F1645" t="s">
        <v>9436</v>
      </c>
      <c r="G1645" t="s">
        <v>3227</v>
      </c>
      <c r="H1645" t="s">
        <v>9333</v>
      </c>
      <c r="I1645" s="871">
        <v>46293.93683766204</v>
      </c>
      <c r="J1645" t="s">
        <v>9530</v>
      </c>
      <c r="K1645" s="975" t="str">
        <f>IF(COUNTIFS(tblControles[Clave],tblControles[[#This Row],[Clave]])&gt;1,"Duplicado","")</f>
        <v/>
      </c>
    </row>
    <row r="1646" spans="2:11">
      <c r="B1646" s="975" t="str">
        <f>tblControles[[#This Row],[Fecha]]&amp;"|"&amp;tblControles[[#This Row],[Módulo]]&amp;"|"&amp;tblControles[[#This Row],[Ítem]]&amp;"|"&amp;tblControles[[#This Row],[Turno]]</f>
        <v>46284|PURGA TKS AIRE|TK-MG-011|3er Turno</v>
      </c>
      <c r="C1646" s="871">
        <v>46284</v>
      </c>
      <c r="D1646" t="s">
        <v>9433</v>
      </c>
      <c r="E1646" t="s">
        <v>357</v>
      </c>
      <c r="F1646" t="s">
        <v>9437</v>
      </c>
      <c r="G1646" t="s">
        <v>3227</v>
      </c>
      <c r="H1646" t="s">
        <v>9333</v>
      </c>
      <c r="I1646" s="871">
        <v>46293.93683766204</v>
      </c>
      <c r="J1646" t="s">
        <v>9530</v>
      </c>
      <c r="K1646" s="975" t="str">
        <f>IF(COUNTIFS(tblControles[Clave],tblControles[[#This Row],[Clave]])&gt;1,"Duplicado","")</f>
        <v/>
      </c>
    </row>
    <row r="1647" spans="2:11">
      <c r="B1647" s="975" t="str">
        <f>tblControles[[#This Row],[Fecha]]&amp;"|"&amp;tblControles[[#This Row],[Módulo]]&amp;"|"&amp;tblControles[[#This Row],[Ítem]]&amp;"|"&amp;tblControles[[#This Row],[Turno]]</f>
        <v>46284|PURGA TKS AIRE|TK-MG-012|2do Turno</v>
      </c>
      <c r="C1647" s="871">
        <v>46284</v>
      </c>
      <c r="D1647" t="s">
        <v>9433</v>
      </c>
      <c r="E1647" t="s">
        <v>359</v>
      </c>
      <c r="F1647" t="s">
        <v>9436</v>
      </c>
      <c r="G1647" t="s">
        <v>3227</v>
      </c>
      <c r="H1647" t="s">
        <v>9333</v>
      </c>
      <c r="I1647" s="871">
        <v>46293.93683766204</v>
      </c>
      <c r="J1647" t="s">
        <v>9530</v>
      </c>
      <c r="K1647" s="975" t="str">
        <f>IF(COUNTIFS(tblControles[Clave],tblControles[[#This Row],[Clave]])&gt;1,"Duplicado","")</f>
        <v/>
      </c>
    </row>
    <row r="1648" spans="2:11">
      <c r="B1648" s="975" t="str">
        <f>tblControles[[#This Row],[Fecha]]&amp;"|"&amp;tblControles[[#This Row],[Módulo]]&amp;"|"&amp;tblControles[[#This Row],[Ítem]]&amp;"|"&amp;tblControles[[#This Row],[Turno]]</f>
        <v>46284|PURGA TKS AIRE|TK-MG-012|3er Turno</v>
      </c>
      <c r="C1648" s="871">
        <v>46284</v>
      </c>
      <c r="D1648" t="s">
        <v>9433</v>
      </c>
      <c r="E1648" t="s">
        <v>359</v>
      </c>
      <c r="F1648" t="s">
        <v>9437</v>
      </c>
      <c r="G1648" t="s">
        <v>3227</v>
      </c>
      <c r="H1648" t="s">
        <v>9333</v>
      </c>
      <c r="I1648" s="871">
        <v>46293.93683766204</v>
      </c>
      <c r="J1648" t="s">
        <v>9530</v>
      </c>
      <c r="K1648" s="975" t="str">
        <f>IF(COUNTIFS(tblControles[Clave],tblControles[[#This Row],[Clave]])&gt;1,"Duplicado","")</f>
        <v/>
      </c>
    </row>
    <row r="1649" spans="2:11">
      <c r="B1649" s="975" t="str">
        <f>tblControles[[#This Row],[Fecha]]&amp;"|"&amp;tblControles[[#This Row],[Módulo]]&amp;"|"&amp;tblControles[[#This Row],[Ítem]]&amp;"|"&amp;tblControles[[#This Row],[Turno]]</f>
        <v>46284|PURGA TKS AIRE|TK-MG-013|2do Turno</v>
      </c>
      <c r="C1649" s="871">
        <v>46284</v>
      </c>
      <c r="D1649" t="s">
        <v>9433</v>
      </c>
      <c r="E1649" t="s">
        <v>361</v>
      </c>
      <c r="F1649" t="s">
        <v>9436</v>
      </c>
      <c r="G1649" t="s">
        <v>3227</v>
      </c>
      <c r="H1649" t="s">
        <v>9333</v>
      </c>
      <c r="I1649" s="871">
        <v>46293.93683766204</v>
      </c>
      <c r="J1649" t="s">
        <v>9530</v>
      </c>
      <c r="K1649" s="975" t="str">
        <f>IF(COUNTIFS(tblControles[Clave],tblControles[[#This Row],[Clave]])&gt;1,"Duplicado","")</f>
        <v/>
      </c>
    </row>
    <row r="1650" spans="2:11">
      <c r="B1650" s="975" t="str">
        <f>tblControles[[#This Row],[Fecha]]&amp;"|"&amp;tblControles[[#This Row],[Módulo]]&amp;"|"&amp;tblControles[[#This Row],[Ítem]]&amp;"|"&amp;tblControles[[#This Row],[Turno]]</f>
        <v>46284|PURGA TKS AIRE|TK-MG-013|3er Turno</v>
      </c>
      <c r="C1650" s="871">
        <v>46284</v>
      </c>
      <c r="D1650" t="s">
        <v>9433</v>
      </c>
      <c r="E1650" t="s">
        <v>361</v>
      </c>
      <c r="F1650" t="s">
        <v>9437</v>
      </c>
      <c r="G1650" t="s">
        <v>3227</v>
      </c>
      <c r="H1650" t="s">
        <v>9333</v>
      </c>
      <c r="I1650" s="871">
        <v>46293.93683766204</v>
      </c>
      <c r="J1650" t="s">
        <v>9530</v>
      </c>
      <c r="K1650" s="975" t="str">
        <f>IF(COUNTIFS(tblControles[Clave],tblControles[[#This Row],[Clave]])&gt;1,"Duplicado","")</f>
        <v/>
      </c>
    </row>
    <row r="1651" spans="2:11">
      <c r="B1651" s="975" t="str">
        <f>tblControles[[#This Row],[Fecha]]&amp;"|"&amp;tblControles[[#This Row],[Módulo]]&amp;"|"&amp;tblControles[[#This Row],[Ítem]]&amp;"|"&amp;tblControles[[#This Row],[Turno]]</f>
        <v>46284|PURGA TKS AIRE|TK-MG-014|2do Turno</v>
      </c>
      <c r="C1651" s="871">
        <v>46284</v>
      </c>
      <c r="D1651" t="s">
        <v>9433</v>
      </c>
      <c r="E1651" t="s">
        <v>363</v>
      </c>
      <c r="F1651" t="s">
        <v>9436</v>
      </c>
      <c r="G1651" t="s">
        <v>3227</v>
      </c>
      <c r="H1651" t="s">
        <v>9333</v>
      </c>
      <c r="I1651" s="871">
        <v>46293.93683766204</v>
      </c>
      <c r="J1651" t="s">
        <v>9530</v>
      </c>
      <c r="K1651" s="975" t="str">
        <f>IF(COUNTIFS(tblControles[Clave],tblControles[[#This Row],[Clave]])&gt;1,"Duplicado","")</f>
        <v/>
      </c>
    </row>
    <row r="1652" spans="2:11">
      <c r="B1652" s="975" t="str">
        <f>tblControles[[#This Row],[Fecha]]&amp;"|"&amp;tblControles[[#This Row],[Módulo]]&amp;"|"&amp;tblControles[[#This Row],[Ítem]]&amp;"|"&amp;tblControles[[#This Row],[Turno]]</f>
        <v>46284|PURGA TKS AIRE|TK-MG-014|3er Turno</v>
      </c>
      <c r="C1652" s="871">
        <v>46284</v>
      </c>
      <c r="D1652" t="s">
        <v>9433</v>
      </c>
      <c r="E1652" t="s">
        <v>363</v>
      </c>
      <c r="F1652" t="s">
        <v>9437</v>
      </c>
      <c r="G1652" t="s">
        <v>3227</v>
      </c>
      <c r="H1652" t="s">
        <v>9333</v>
      </c>
      <c r="I1652" s="871">
        <v>46293.93683766204</v>
      </c>
      <c r="J1652" t="s">
        <v>9530</v>
      </c>
      <c r="K1652" s="975" t="str">
        <f>IF(COUNTIFS(tblControles[Clave],tblControles[[#This Row],[Clave]])&gt;1,"Duplicado","")</f>
        <v/>
      </c>
    </row>
    <row r="1653" spans="2:11">
      <c r="B1653" s="975" t="str">
        <f>tblControles[[#This Row],[Fecha]]&amp;"|"&amp;tblControles[[#This Row],[Módulo]]&amp;"|"&amp;tblControles[[#This Row],[Ítem]]&amp;"|"&amp;tblControles[[#This Row],[Turno]]</f>
        <v>46284|REACTIVOS|Ácido oxálico|Turno día (12 h)</v>
      </c>
      <c r="C1653" s="871">
        <v>46284</v>
      </c>
      <c r="D1653" t="s">
        <v>9444</v>
      </c>
      <c r="E1653" t="s">
        <v>9508</v>
      </c>
      <c r="F1653" t="s">
        <v>9446</v>
      </c>
      <c r="G1653">
        <v>16000</v>
      </c>
      <c r="H1653" t="s">
        <v>9333</v>
      </c>
      <c r="I1653" s="871">
        <v>46293.93683766204</v>
      </c>
      <c r="J1653" t="s">
        <v>9527</v>
      </c>
      <c r="K1653" s="975" t="str">
        <f>IF(COUNTIFS(tblControles[Clave],tblControles[[#This Row],[Clave]])&gt;1,"Duplicado","")</f>
        <v/>
      </c>
    </row>
    <row r="1654" spans="2:11">
      <c r="B1654" s="975" t="str">
        <f>tblControles[[#This Row],[Fecha]]&amp;"|"&amp;tblControles[[#This Row],[Módulo]]&amp;"|"&amp;tblControles[[#This Row],[Ítem]]&amp;"|"&amp;tblControles[[#This Row],[Turno]]</f>
        <v>46284|REACTIVOS|Ácido oxálico|Turno noche (12 h)</v>
      </c>
      <c r="C1654" s="871">
        <v>46284</v>
      </c>
      <c r="D1654" t="s">
        <v>9444</v>
      </c>
      <c r="E1654" t="s">
        <v>9508</v>
      </c>
      <c r="F1654" t="s">
        <v>9447</v>
      </c>
      <c r="G1654">
        <v>20000</v>
      </c>
      <c r="H1654" t="s">
        <v>9333</v>
      </c>
      <c r="I1654" s="871">
        <v>46293.93683766204</v>
      </c>
      <c r="J1654" t="s">
        <v>9527</v>
      </c>
      <c r="K1654" s="975" t="str">
        <f>IF(COUNTIFS(tblControles[Clave],tblControles[[#This Row],[Clave]])&gt;1,"Duplicado","")</f>
        <v/>
      </c>
    </row>
    <row r="1655" spans="2:11">
      <c r="B1655" s="975" t="str">
        <f>tblControles[[#This Row],[Fecha]]&amp;"|"&amp;tblControles[[#This Row],[Módulo]]&amp;"|"&amp;tblControles[[#This Row],[Ítem]]&amp;"|"&amp;tblControles[[#This Row],[Turno]]</f>
        <v>46284|REACTIVOS|Xantato|Turno día (12 h)</v>
      </c>
      <c r="C1655" s="871">
        <v>46284</v>
      </c>
      <c r="D1655" t="s">
        <v>9444</v>
      </c>
      <c r="E1655" t="s">
        <v>9511</v>
      </c>
      <c r="F1655" t="s">
        <v>9446</v>
      </c>
      <c r="G1655">
        <v>3250</v>
      </c>
      <c r="H1655" t="s">
        <v>9333</v>
      </c>
      <c r="I1655" s="871">
        <v>46293.93683766204</v>
      </c>
      <c r="J1655" t="s">
        <v>9527</v>
      </c>
      <c r="K1655" s="975" t="str">
        <f>IF(COUNTIFS(tblControles[Clave],tblControles[[#This Row],[Clave]])&gt;1,"Duplicado","")</f>
        <v/>
      </c>
    </row>
    <row r="1656" spans="2:11">
      <c r="B1656" s="975" t="str">
        <f>tblControles[[#This Row],[Fecha]]&amp;"|"&amp;tblControles[[#This Row],[Módulo]]&amp;"|"&amp;tblControles[[#This Row],[Ítem]]&amp;"|"&amp;tblControles[[#This Row],[Turno]]</f>
        <v>46284|REACTIVOS|Xantato|Turno noche (12 h)</v>
      </c>
      <c r="C1656" s="871">
        <v>46284</v>
      </c>
      <c r="D1656" t="s">
        <v>9444</v>
      </c>
      <c r="E1656" t="s">
        <v>9511</v>
      </c>
      <c r="F1656" t="s">
        <v>9447</v>
      </c>
      <c r="G1656">
        <v>3600</v>
      </c>
      <c r="H1656" t="s">
        <v>9333</v>
      </c>
      <c r="I1656" s="871">
        <v>46293.93683766204</v>
      </c>
      <c r="J1656" t="s">
        <v>9527</v>
      </c>
      <c r="K1656" s="975" t="str">
        <f>IF(COUNTIFS(tblControles[Clave],tblControles[[#This Row],[Clave]])&gt;1,"Duplicado","")</f>
        <v/>
      </c>
    </row>
    <row r="1657" spans="2:11">
      <c r="B1657" s="975" t="str">
        <f>tblControles[[#This Row],[Fecha]]&amp;"|"&amp;tblControles[[#This Row],[Módulo]]&amp;"|"&amp;tblControles[[#This Row],[Ítem]]&amp;"|"&amp;tblControles[[#This Row],[Turno]]</f>
        <v>46284|REACTIVOS|Espumante|Consumo día</v>
      </c>
      <c r="C1657" s="871">
        <v>46284</v>
      </c>
      <c r="D1657" t="s">
        <v>9444</v>
      </c>
      <c r="E1657" t="s">
        <v>9513</v>
      </c>
      <c r="F1657" t="s">
        <v>9870</v>
      </c>
      <c r="G1657">
        <v>3000</v>
      </c>
      <c r="H1657" t="s">
        <v>9333</v>
      </c>
      <c r="I1657" s="871">
        <v>46293.93683766204</v>
      </c>
      <c r="J1657" t="s">
        <v>9527</v>
      </c>
      <c r="K1657" s="975" t="str">
        <f>IF(COUNTIFS(tblControles[Clave],tblControles[[#This Row],[Clave]])&gt;1,"Duplicado","")</f>
        <v/>
      </c>
    </row>
    <row r="1658" spans="2:11">
      <c r="B1658" s="975" t="str">
        <f>tblControles[[#This Row],[Fecha]]&amp;"|"&amp;tblControles[[#This Row],[Módulo]]&amp;"|"&amp;tblControles[[#This Row],[Ítem]]&amp;"|"&amp;tblControles[[#This Row],[Turno]]</f>
        <v>46284|TONELADAS X TURNO|Molino barras 1|1° turno</v>
      </c>
      <c r="C1658" s="871">
        <v>46284</v>
      </c>
      <c r="D1658" t="s">
        <v>9449</v>
      </c>
      <c r="E1658" t="s">
        <v>387</v>
      </c>
      <c r="F1658" t="s">
        <v>396</v>
      </c>
      <c r="G1658">
        <v>1598</v>
      </c>
      <c r="H1658" t="s">
        <v>9333</v>
      </c>
      <c r="I1658" s="871">
        <v>46293.93683766204</v>
      </c>
      <c r="J1658" t="s">
        <v>9528</v>
      </c>
      <c r="K1658" s="975" t="str">
        <f>IF(COUNTIFS(tblControles[Clave],tblControles[[#This Row],[Clave]])&gt;1,"Duplicado","")</f>
        <v/>
      </c>
    </row>
    <row r="1659" spans="2:11">
      <c r="B1659" s="975" t="str">
        <f>tblControles[[#This Row],[Fecha]]&amp;"|"&amp;tblControles[[#This Row],[Módulo]]&amp;"|"&amp;tblControles[[#This Row],[Ítem]]&amp;"|"&amp;tblControles[[#This Row],[Turno]]</f>
        <v>46284|TONELADAS X TURNO|Molino barras 1|2° turno</v>
      </c>
      <c r="C1659" s="871">
        <v>46284</v>
      </c>
      <c r="D1659" t="s">
        <v>9449</v>
      </c>
      <c r="E1659" t="s">
        <v>387</v>
      </c>
      <c r="F1659" t="s">
        <v>397</v>
      </c>
      <c r="G1659">
        <v>1607</v>
      </c>
      <c r="H1659" t="s">
        <v>9333</v>
      </c>
      <c r="I1659" s="871">
        <v>46293.93683766204</v>
      </c>
      <c r="J1659" t="s">
        <v>9528</v>
      </c>
      <c r="K1659" s="975" t="str">
        <f>IF(COUNTIFS(tblControles[Clave],tblControles[[#This Row],[Clave]])&gt;1,"Duplicado","")</f>
        <v/>
      </c>
    </row>
    <row r="1660" spans="2:11">
      <c r="B1660" s="975" t="str">
        <f>tblControles[[#This Row],[Fecha]]&amp;"|"&amp;tblControles[[#This Row],[Módulo]]&amp;"|"&amp;tblControles[[#This Row],[Ítem]]&amp;"|"&amp;tblControles[[#This Row],[Turno]]</f>
        <v>46284|TONELADAS X TURNO|Molino barras 1|3° turno</v>
      </c>
      <c r="C1660" s="871">
        <v>46284</v>
      </c>
      <c r="D1660" t="s">
        <v>9449</v>
      </c>
      <c r="E1660" t="s">
        <v>387</v>
      </c>
      <c r="F1660" t="s">
        <v>398</v>
      </c>
      <c r="G1660">
        <v>1720</v>
      </c>
      <c r="H1660" t="s">
        <v>9333</v>
      </c>
      <c r="I1660" s="871">
        <v>46293.93683766204</v>
      </c>
      <c r="J1660" t="s">
        <v>9528</v>
      </c>
      <c r="K1660" s="975" t="str">
        <f>IF(COUNTIFS(tblControles[Clave],tblControles[[#This Row],[Clave]])&gt;1,"Duplicado","")</f>
        <v/>
      </c>
    </row>
    <row r="1661" spans="2:11">
      <c r="B1661" s="975" t="str">
        <f>tblControles[[#This Row],[Fecha]]&amp;"|"&amp;tblControles[[#This Row],[Módulo]]&amp;"|"&amp;tblControles[[#This Row],[Ítem]]&amp;"|"&amp;tblControles[[#This Row],[Turno]]</f>
        <v>46284|TONELADAS X TURNO|Molino barras 2|1° turno</v>
      </c>
      <c r="C1661" s="871">
        <v>46284</v>
      </c>
      <c r="D1661" t="s">
        <v>9449</v>
      </c>
      <c r="E1661" t="s">
        <v>388</v>
      </c>
      <c r="F1661" t="s">
        <v>396</v>
      </c>
      <c r="G1661">
        <v>592</v>
      </c>
      <c r="H1661" t="s">
        <v>9333</v>
      </c>
      <c r="I1661" s="871">
        <v>46293.93683766204</v>
      </c>
      <c r="J1661" t="s">
        <v>9528</v>
      </c>
      <c r="K1661" s="975" t="str">
        <f>IF(COUNTIFS(tblControles[Clave],tblControles[[#This Row],[Clave]])&gt;1,"Duplicado","")</f>
        <v/>
      </c>
    </row>
    <row r="1662" spans="2:11">
      <c r="B1662" s="975" t="str">
        <f>tblControles[[#This Row],[Fecha]]&amp;"|"&amp;tblControles[[#This Row],[Módulo]]&amp;"|"&amp;tblControles[[#This Row],[Ítem]]&amp;"|"&amp;tblControles[[#This Row],[Turno]]</f>
        <v>46284|TONELADAS X TURNO|Molino barras 2|2° turno</v>
      </c>
      <c r="C1662" s="871">
        <v>46284</v>
      </c>
      <c r="D1662" t="s">
        <v>9449</v>
      </c>
      <c r="E1662" t="s">
        <v>388</v>
      </c>
      <c r="F1662" t="s">
        <v>397</v>
      </c>
      <c r="G1662">
        <v>1240</v>
      </c>
      <c r="H1662" t="s">
        <v>9333</v>
      </c>
      <c r="I1662" s="871">
        <v>46293.93683766204</v>
      </c>
      <c r="J1662" t="s">
        <v>9528</v>
      </c>
      <c r="K1662" s="975" t="str">
        <f>IF(COUNTIFS(tblControles[Clave],tblControles[[#This Row],[Clave]])&gt;1,"Duplicado","")</f>
        <v/>
      </c>
    </row>
    <row r="1663" spans="2:11">
      <c r="B1663" s="975" t="str">
        <f>tblControles[[#This Row],[Fecha]]&amp;"|"&amp;tblControles[[#This Row],[Módulo]]&amp;"|"&amp;tblControles[[#This Row],[Ítem]]&amp;"|"&amp;tblControles[[#This Row],[Turno]]</f>
        <v>46284|TONELADAS X TURNO|Molino barras 2|3° turno</v>
      </c>
      <c r="C1663" s="871">
        <v>46284</v>
      </c>
      <c r="D1663" t="s">
        <v>9449</v>
      </c>
      <c r="E1663" t="s">
        <v>388</v>
      </c>
      <c r="F1663" t="s">
        <v>398</v>
      </c>
      <c r="G1663">
        <v>1408</v>
      </c>
      <c r="H1663" t="s">
        <v>9333</v>
      </c>
      <c r="I1663" s="871">
        <v>46293.93683766204</v>
      </c>
      <c r="J1663" t="s">
        <v>9528</v>
      </c>
      <c r="K1663" s="975" t="str">
        <f>IF(COUNTIFS(tblControles[Clave],tblControles[[#This Row],[Clave]])&gt;1,"Duplicado","")</f>
        <v/>
      </c>
    </row>
    <row r="1664" spans="2:11">
      <c r="B1664" s="975" t="str">
        <f>tblControles[[#This Row],[Fecha]]&amp;"|"&amp;tblControles[[#This Row],[Módulo]]&amp;"|"&amp;tblControles[[#This Row],[Ítem]]&amp;"|"&amp;tblControles[[#This Row],[Turno]]</f>
        <v>46284|TONELADAS X TURNO|Molino barras 3|1° turno</v>
      </c>
      <c r="C1664" s="871">
        <v>46284</v>
      </c>
      <c r="D1664" t="s">
        <v>9449</v>
      </c>
      <c r="E1664" t="s">
        <v>389</v>
      </c>
      <c r="F1664" t="s">
        <v>396</v>
      </c>
      <c r="G1664">
        <v>645</v>
      </c>
      <c r="H1664" t="s">
        <v>9333</v>
      </c>
      <c r="I1664" s="871">
        <v>46293.93683766204</v>
      </c>
      <c r="J1664" t="s">
        <v>9528</v>
      </c>
      <c r="K1664" s="975" t="str">
        <f>IF(COUNTIFS(tblControles[Clave],tblControles[[#This Row],[Clave]])&gt;1,"Duplicado","")</f>
        <v/>
      </c>
    </row>
    <row r="1665" spans="2:11">
      <c r="B1665" s="975" t="str">
        <f>tblControles[[#This Row],[Fecha]]&amp;"|"&amp;tblControles[[#This Row],[Módulo]]&amp;"|"&amp;tblControles[[#This Row],[Ítem]]&amp;"|"&amp;tblControles[[#This Row],[Turno]]</f>
        <v>46284|TONELADAS X TURNO|Molino barras 3|2° turno</v>
      </c>
      <c r="C1665" s="871">
        <v>46284</v>
      </c>
      <c r="D1665" t="s">
        <v>9449</v>
      </c>
      <c r="E1665" t="s">
        <v>389</v>
      </c>
      <c r="F1665" t="s">
        <v>397</v>
      </c>
      <c r="G1665">
        <v>0</v>
      </c>
      <c r="H1665" t="s">
        <v>9333</v>
      </c>
      <c r="I1665" s="871">
        <v>46293.93683766204</v>
      </c>
      <c r="J1665" t="s">
        <v>9528</v>
      </c>
      <c r="K1665" s="975" t="str">
        <f>IF(COUNTIFS(tblControles[Clave],tblControles[[#This Row],[Clave]])&gt;1,"Duplicado","")</f>
        <v/>
      </c>
    </row>
    <row r="1666" spans="2:11">
      <c r="B1666" s="975" t="str">
        <f>tblControles[[#This Row],[Fecha]]&amp;"|"&amp;tblControles[[#This Row],[Módulo]]&amp;"|"&amp;tblControles[[#This Row],[Ítem]]&amp;"|"&amp;tblControles[[#This Row],[Turno]]</f>
        <v>46284|TONELADAS X TURNO|Molino barras 3|3° turno</v>
      </c>
      <c r="C1666" s="871">
        <v>46284</v>
      </c>
      <c r="D1666" t="s">
        <v>9449</v>
      </c>
      <c r="E1666" t="s">
        <v>389</v>
      </c>
      <c r="F1666" t="s">
        <v>398</v>
      </c>
      <c r="G1666">
        <v>0</v>
      </c>
      <c r="H1666" t="s">
        <v>9333</v>
      </c>
      <c r="I1666" s="871">
        <v>46293.93683766204</v>
      </c>
      <c r="J1666" t="s">
        <v>9528</v>
      </c>
      <c r="K1666" s="975" t="str">
        <f>IF(COUNTIFS(tblControles[Clave],tblControles[[#This Row],[Clave]])&gt;1,"Duplicado","")</f>
        <v/>
      </c>
    </row>
    <row r="1667" spans="2:11">
      <c r="B1667" s="975" t="str">
        <f>tblControles[[#This Row],[Fecha]]&amp;"|"&amp;tblControles[[#This Row],[Módulo]]&amp;"|"&amp;tblControles[[#This Row],[Ítem]]&amp;"|"&amp;tblControles[[#This Row],[Turno]]</f>
        <v>46284|TONELADAS X TURNO|Molino barras 4|1° turno</v>
      </c>
      <c r="C1667" s="871">
        <v>46284</v>
      </c>
      <c r="D1667" t="s">
        <v>9449</v>
      </c>
      <c r="E1667" t="s">
        <v>390</v>
      </c>
      <c r="F1667" t="s">
        <v>396</v>
      </c>
      <c r="G1667">
        <v>509</v>
      </c>
      <c r="H1667" t="s">
        <v>9333</v>
      </c>
      <c r="I1667" s="871">
        <v>46293.93683766204</v>
      </c>
      <c r="J1667" t="s">
        <v>9528</v>
      </c>
      <c r="K1667" s="975" t="str">
        <f>IF(COUNTIFS(tblControles[Clave],tblControles[[#This Row],[Clave]])&gt;1,"Duplicado","")</f>
        <v/>
      </c>
    </row>
    <row r="1668" spans="2:11">
      <c r="B1668" s="975" t="str">
        <f>tblControles[[#This Row],[Fecha]]&amp;"|"&amp;tblControles[[#This Row],[Módulo]]&amp;"|"&amp;tblControles[[#This Row],[Ítem]]&amp;"|"&amp;tblControles[[#This Row],[Turno]]</f>
        <v>46284|TONELADAS X TURNO|Molino barras 4|2° turno</v>
      </c>
      <c r="C1668" s="871">
        <v>46284</v>
      </c>
      <c r="D1668" t="s">
        <v>9449</v>
      </c>
      <c r="E1668" t="s">
        <v>390</v>
      </c>
      <c r="F1668" t="s">
        <v>397</v>
      </c>
      <c r="G1668">
        <v>938</v>
      </c>
      <c r="H1668" t="s">
        <v>9333</v>
      </c>
      <c r="I1668" s="871">
        <v>46293.93683766204</v>
      </c>
      <c r="J1668" t="s">
        <v>9528</v>
      </c>
      <c r="K1668" s="975" t="str">
        <f>IF(COUNTIFS(tblControles[Clave],tblControles[[#This Row],[Clave]])&gt;1,"Duplicado","")</f>
        <v/>
      </c>
    </row>
    <row r="1669" spans="2:11">
      <c r="B1669" s="975" t="str">
        <f>tblControles[[#This Row],[Fecha]]&amp;"|"&amp;tblControles[[#This Row],[Módulo]]&amp;"|"&amp;tblControles[[#This Row],[Ítem]]&amp;"|"&amp;tblControles[[#This Row],[Turno]]</f>
        <v>46284|TONELADAS X TURNO|Molino barras 4|3° turno</v>
      </c>
      <c r="C1669" s="871">
        <v>46284</v>
      </c>
      <c r="D1669" t="s">
        <v>9449</v>
      </c>
      <c r="E1669" t="s">
        <v>390</v>
      </c>
      <c r="F1669" t="s">
        <v>398</v>
      </c>
      <c r="G1669">
        <v>1243</v>
      </c>
      <c r="H1669" t="s">
        <v>9333</v>
      </c>
      <c r="I1669" s="871">
        <v>46293.93683766204</v>
      </c>
      <c r="J1669" t="s">
        <v>9528</v>
      </c>
      <c r="K1669" s="975" t="str">
        <f>IF(COUNTIFS(tblControles[Clave],tblControles[[#This Row],[Clave]])&gt;1,"Duplicado","")</f>
        <v/>
      </c>
    </row>
    <row r="1670" spans="2:11">
      <c r="B1670" s="975" t="str">
        <f>tblControles[[#This Row],[Fecha]]&amp;"|"&amp;tblControles[[#This Row],[Módulo]]&amp;"|"&amp;tblControles[[#This Row],[Ítem]]&amp;"|"&amp;tblControles[[#This Row],[Turno]]</f>
        <v>46284|TONELADAS X TURNO|Molino barras 5|1° turno</v>
      </c>
      <c r="C1670" s="871">
        <v>46284</v>
      </c>
      <c r="D1670" t="s">
        <v>9449</v>
      </c>
      <c r="E1670" t="s">
        <v>391</v>
      </c>
      <c r="F1670" t="s">
        <v>396</v>
      </c>
      <c r="G1670">
        <v>1613</v>
      </c>
      <c r="H1670" t="s">
        <v>9333</v>
      </c>
      <c r="I1670" s="871">
        <v>46293.93683766204</v>
      </c>
      <c r="J1670" t="s">
        <v>9528</v>
      </c>
      <c r="K1670" s="975" t="str">
        <f>IF(COUNTIFS(tblControles[Clave],tblControles[[#This Row],[Clave]])&gt;1,"Duplicado","")</f>
        <v/>
      </c>
    </row>
    <row r="1671" spans="2:11">
      <c r="B1671" s="975" t="str">
        <f>tblControles[[#This Row],[Fecha]]&amp;"|"&amp;tblControles[[#This Row],[Módulo]]&amp;"|"&amp;tblControles[[#This Row],[Ítem]]&amp;"|"&amp;tblControles[[#This Row],[Turno]]</f>
        <v>46284|TONELADAS X TURNO|Molino barras 5|2° turno</v>
      </c>
      <c r="C1671" s="871">
        <v>46284</v>
      </c>
      <c r="D1671" t="s">
        <v>9449</v>
      </c>
      <c r="E1671" t="s">
        <v>391</v>
      </c>
      <c r="F1671" t="s">
        <v>397</v>
      </c>
      <c r="G1671">
        <v>1853</v>
      </c>
      <c r="H1671" t="s">
        <v>9333</v>
      </c>
      <c r="I1671" s="871">
        <v>46293.93683766204</v>
      </c>
      <c r="J1671" t="s">
        <v>9528</v>
      </c>
      <c r="K1671" s="975" t="str">
        <f>IF(COUNTIFS(tblControles[Clave],tblControles[[#This Row],[Clave]])&gt;1,"Duplicado","")</f>
        <v/>
      </c>
    </row>
    <row r="1672" spans="2:11">
      <c r="B1672" s="975" t="str">
        <f>tblControles[[#This Row],[Fecha]]&amp;"|"&amp;tblControles[[#This Row],[Módulo]]&amp;"|"&amp;tblControles[[#This Row],[Ítem]]&amp;"|"&amp;tblControles[[#This Row],[Turno]]</f>
        <v>46284|TONELADAS X TURNO|Molino barras 5|3° turno</v>
      </c>
      <c r="C1672" s="871">
        <v>46284</v>
      </c>
      <c r="D1672" t="s">
        <v>9449</v>
      </c>
      <c r="E1672" t="s">
        <v>391</v>
      </c>
      <c r="F1672" t="s">
        <v>398</v>
      </c>
      <c r="G1672">
        <v>1437</v>
      </c>
      <c r="H1672" t="s">
        <v>9333</v>
      </c>
      <c r="I1672" s="871">
        <v>46293.93683766204</v>
      </c>
      <c r="J1672" t="s">
        <v>9528</v>
      </c>
      <c r="K1672" s="975" t="str">
        <f>IF(COUNTIFS(tblControles[Clave],tblControles[[#This Row],[Clave]])&gt;1,"Duplicado","")</f>
        <v/>
      </c>
    </row>
    <row r="1673" spans="2:11">
      <c r="B1673" s="975" t="str">
        <f>tblControles[[#This Row],[Fecha]]&amp;"|"&amp;tblControles[[#This Row],[Módulo]]&amp;"|"&amp;tblControles[[#This Row],[Ítem]]&amp;"|"&amp;tblControles[[#This Row],[Turno]]</f>
        <v>46284|TONELADAS X TURNO|Molino barras 6|1° turno</v>
      </c>
      <c r="C1673" s="871">
        <v>46284</v>
      </c>
      <c r="D1673" t="s">
        <v>9449</v>
      </c>
      <c r="E1673" t="s">
        <v>392</v>
      </c>
      <c r="F1673" t="s">
        <v>396</v>
      </c>
      <c r="G1673">
        <v>1525</v>
      </c>
      <c r="H1673" t="s">
        <v>9333</v>
      </c>
      <c r="I1673" s="871">
        <v>46293.93683766204</v>
      </c>
      <c r="J1673" t="s">
        <v>9528</v>
      </c>
      <c r="K1673" s="975" t="str">
        <f>IF(COUNTIFS(tblControles[Clave],tblControles[[#This Row],[Clave]])&gt;1,"Duplicado","")</f>
        <v/>
      </c>
    </row>
    <row r="1674" spans="2:11">
      <c r="B1674" s="975" t="str">
        <f>tblControles[[#This Row],[Fecha]]&amp;"|"&amp;tblControles[[#This Row],[Módulo]]&amp;"|"&amp;tblControles[[#This Row],[Ítem]]&amp;"|"&amp;tblControles[[#This Row],[Turno]]</f>
        <v>46284|TONELADAS X TURNO|Molino barras 6|2° turno</v>
      </c>
      <c r="C1674" s="871">
        <v>46284</v>
      </c>
      <c r="D1674" t="s">
        <v>9449</v>
      </c>
      <c r="E1674" t="s">
        <v>392</v>
      </c>
      <c r="F1674" t="s">
        <v>397</v>
      </c>
      <c r="G1674">
        <v>1764</v>
      </c>
      <c r="H1674" t="s">
        <v>9333</v>
      </c>
      <c r="I1674" s="871">
        <v>46293.93683766204</v>
      </c>
      <c r="J1674" t="s">
        <v>9528</v>
      </c>
      <c r="K1674" s="975" t="str">
        <f>IF(COUNTIFS(tblControles[Clave],tblControles[[#This Row],[Clave]])&gt;1,"Duplicado","")</f>
        <v/>
      </c>
    </row>
    <row r="1675" spans="2:11">
      <c r="B1675" s="975" t="str">
        <f>tblControles[[#This Row],[Fecha]]&amp;"|"&amp;tblControles[[#This Row],[Módulo]]&amp;"|"&amp;tblControles[[#This Row],[Ítem]]&amp;"|"&amp;tblControles[[#This Row],[Turno]]</f>
        <v>46284|TONELADAS X TURNO|Molino barras 6|3° turno</v>
      </c>
      <c r="C1675" s="871">
        <v>46284</v>
      </c>
      <c r="D1675" t="s">
        <v>9449</v>
      </c>
      <c r="E1675" t="s">
        <v>392</v>
      </c>
      <c r="F1675" t="s">
        <v>398</v>
      </c>
      <c r="G1675">
        <v>1426</v>
      </c>
      <c r="H1675" t="s">
        <v>9333</v>
      </c>
      <c r="I1675" s="871">
        <v>46293.93683766204</v>
      </c>
      <c r="J1675" t="s">
        <v>9528</v>
      </c>
      <c r="K1675" s="975" t="str">
        <f>IF(COUNTIFS(tblControles[Clave],tblControles[[#This Row],[Clave]])&gt;1,"Duplicado","")</f>
        <v/>
      </c>
    </row>
    <row r="1676" spans="2:11">
      <c r="B1676" s="975" t="str">
        <f>tblControles[[#This Row],[Fecha]]&amp;"|"&amp;tblControles[[#This Row],[Módulo]]&amp;"|"&amp;tblControles[[#This Row],[Ítem]]&amp;"|"&amp;tblControles[[#This Row],[Turno]]</f>
        <v>46284|TONELADAS X TURNO|Molino barras 7|1° turno</v>
      </c>
      <c r="C1676" s="871">
        <v>46284</v>
      </c>
      <c r="D1676" t="s">
        <v>9449</v>
      </c>
      <c r="E1676" t="s">
        <v>393</v>
      </c>
      <c r="F1676" t="s">
        <v>396</v>
      </c>
      <c r="G1676">
        <v>0</v>
      </c>
      <c r="H1676" t="s">
        <v>9333</v>
      </c>
      <c r="I1676" s="871">
        <v>46293.93683766204</v>
      </c>
      <c r="J1676" t="s">
        <v>9528</v>
      </c>
      <c r="K1676" s="975" t="str">
        <f>IF(COUNTIFS(tblControles[Clave],tblControles[[#This Row],[Clave]])&gt;1,"Duplicado","")</f>
        <v/>
      </c>
    </row>
    <row r="1677" spans="2:11">
      <c r="B1677" s="975" t="str">
        <f>tblControles[[#This Row],[Fecha]]&amp;"|"&amp;tblControles[[#This Row],[Módulo]]&amp;"|"&amp;tblControles[[#This Row],[Ítem]]&amp;"|"&amp;tblControles[[#This Row],[Turno]]</f>
        <v>46284|TONELADAS X TURNO|Molino barras 7|2° turno</v>
      </c>
      <c r="C1677" s="871">
        <v>46284</v>
      </c>
      <c r="D1677" t="s">
        <v>9449</v>
      </c>
      <c r="E1677" t="s">
        <v>393</v>
      </c>
      <c r="F1677" t="s">
        <v>397</v>
      </c>
      <c r="G1677">
        <v>0</v>
      </c>
      <c r="H1677" t="s">
        <v>9333</v>
      </c>
      <c r="I1677" s="871">
        <v>46293.93683766204</v>
      </c>
      <c r="J1677" t="s">
        <v>9528</v>
      </c>
      <c r="K1677" s="975" t="str">
        <f>IF(COUNTIFS(tblControles[Clave],tblControles[[#This Row],[Clave]])&gt;1,"Duplicado","")</f>
        <v/>
      </c>
    </row>
    <row r="1678" spans="2:11">
      <c r="B1678" s="975" t="str">
        <f>tblControles[[#This Row],[Fecha]]&amp;"|"&amp;tblControles[[#This Row],[Módulo]]&amp;"|"&amp;tblControles[[#This Row],[Ítem]]&amp;"|"&amp;tblControles[[#This Row],[Turno]]</f>
        <v>46284|TONELADAS X TURNO|Molino barras 7|3° turno</v>
      </c>
      <c r="C1678" s="871">
        <v>46284</v>
      </c>
      <c r="D1678" t="s">
        <v>9449</v>
      </c>
      <c r="E1678" t="s">
        <v>393</v>
      </c>
      <c r="F1678" t="s">
        <v>398</v>
      </c>
      <c r="G1678">
        <v>0</v>
      </c>
      <c r="H1678" t="s">
        <v>9333</v>
      </c>
      <c r="I1678" s="871">
        <v>46293.93683766204</v>
      </c>
      <c r="J1678" t="s">
        <v>9528</v>
      </c>
      <c r="K1678" s="975" t="str">
        <f>IF(COUNTIFS(tblControles[Clave],tblControles[[#This Row],[Clave]])&gt;1,"Duplicado","")</f>
        <v/>
      </c>
    </row>
    <row r="1679" spans="2:11">
      <c r="B1679" s="975" t="str">
        <f>tblControles[[#This Row],[Fecha]]&amp;"|"&amp;tblControles[[#This Row],[Módulo]]&amp;"|"&amp;tblControles[[#This Row],[Ítem]]&amp;"|"&amp;tblControles[[#This Row],[Turno]]</f>
        <v>46284|TONELADAS X TURNO|Molino barras 8|1° turno</v>
      </c>
      <c r="C1679" s="871">
        <v>46284</v>
      </c>
      <c r="D1679" t="s">
        <v>9449</v>
      </c>
      <c r="E1679" t="s">
        <v>394</v>
      </c>
      <c r="F1679" t="s">
        <v>396</v>
      </c>
      <c r="G1679">
        <v>1616</v>
      </c>
      <c r="H1679" t="s">
        <v>9333</v>
      </c>
      <c r="I1679" s="871">
        <v>46293.93683766204</v>
      </c>
      <c r="J1679" t="s">
        <v>9528</v>
      </c>
      <c r="K1679" s="975" t="str">
        <f>IF(COUNTIFS(tblControles[Clave],tblControles[[#This Row],[Clave]])&gt;1,"Duplicado","")</f>
        <v/>
      </c>
    </row>
    <row r="1680" spans="2:11">
      <c r="B1680" s="975" t="str">
        <f>tblControles[[#This Row],[Fecha]]&amp;"|"&amp;tblControles[[#This Row],[Módulo]]&amp;"|"&amp;tblControles[[#This Row],[Ítem]]&amp;"|"&amp;tblControles[[#This Row],[Turno]]</f>
        <v>46284|TONELADAS X TURNO|Molino barras 8|2° turno</v>
      </c>
      <c r="C1680" s="871">
        <v>46284</v>
      </c>
      <c r="D1680" t="s">
        <v>9449</v>
      </c>
      <c r="E1680" t="s">
        <v>394</v>
      </c>
      <c r="F1680" t="s">
        <v>397</v>
      </c>
      <c r="G1680">
        <v>1804</v>
      </c>
      <c r="H1680" t="s">
        <v>9333</v>
      </c>
      <c r="I1680" s="871">
        <v>46293.93683766204</v>
      </c>
      <c r="J1680" t="s">
        <v>9528</v>
      </c>
      <c r="K1680" s="975" t="str">
        <f>IF(COUNTIFS(tblControles[Clave],tblControles[[#This Row],[Clave]])&gt;1,"Duplicado","")</f>
        <v/>
      </c>
    </row>
    <row r="1681" spans="2:11">
      <c r="B1681" s="975" t="str">
        <f>tblControles[[#This Row],[Fecha]]&amp;"|"&amp;tblControles[[#This Row],[Módulo]]&amp;"|"&amp;tblControles[[#This Row],[Ítem]]&amp;"|"&amp;tblControles[[#This Row],[Turno]]</f>
        <v>46284|TONELADAS X TURNO|Molino barras 8|3° turno</v>
      </c>
      <c r="C1681" s="871">
        <v>46284</v>
      </c>
      <c r="D1681" t="s">
        <v>9449</v>
      </c>
      <c r="E1681" t="s">
        <v>394</v>
      </c>
      <c r="F1681" t="s">
        <v>398</v>
      </c>
      <c r="G1681">
        <v>1441</v>
      </c>
      <c r="H1681" t="s">
        <v>9333</v>
      </c>
      <c r="I1681" s="871">
        <v>46293.93683766204</v>
      </c>
      <c r="J1681" t="s">
        <v>9528</v>
      </c>
      <c r="K1681" s="975" t="str">
        <f>IF(COUNTIFS(tblControles[Clave],tblControles[[#This Row],[Clave]])&gt;1,"Duplicado","")</f>
        <v/>
      </c>
    </row>
    <row r="1682" spans="2:11">
      <c r="B1682" s="975" t="str">
        <f>tblControles[[#This Row],[Fecha]]&amp;"|"&amp;tblControles[[#This Row],[Módulo]]&amp;"|"&amp;tblControles[[#This Row],[Ítem]]&amp;"|"&amp;tblControles[[#This Row],[Turno]]</f>
        <v>46284|TONELADAS X TURNO|Molino barras 9|1° turno</v>
      </c>
      <c r="C1682" s="871">
        <v>46284</v>
      </c>
      <c r="D1682" t="s">
        <v>9449</v>
      </c>
      <c r="E1682" t="s">
        <v>395</v>
      </c>
      <c r="F1682" t="s">
        <v>396</v>
      </c>
      <c r="G1682">
        <v>1574</v>
      </c>
      <c r="H1682" t="s">
        <v>9333</v>
      </c>
      <c r="I1682" s="871">
        <v>46293.93683766204</v>
      </c>
      <c r="J1682" t="s">
        <v>9528</v>
      </c>
      <c r="K1682" s="975" t="str">
        <f>IF(COUNTIFS(tblControles[Clave],tblControles[[#This Row],[Clave]])&gt;1,"Duplicado","")</f>
        <v/>
      </c>
    </row>
    <row r="1683" spans="2:11">
      <c r="B1683" s="975" t="str">
        <f>tblControles[[#This Row],[Fecha]]&amp;"|"&amp;tblControles[[#This Row],[Módulo]]&amp;"|"&amp;tblControles[[#This Row],[Ítem]]&amp;"|"&amp;tblControles[[#This Row],[Turno]]</f>
        <v>46284|TONELADAS X TURNO|Molino barras 9|2° turno</v>
      </c>
      <c r="C1683" s="871">
        <v>46284</v>
      </c>
      <c r="D1683" t="s">
        <v>9449</v>
      </c>
      <c r="E1683" t="s">
        <v>395</v>
      </c>
      <c r="F1683" t="s">
        <v>397</v>
      </c>
      <c r="G1683">
        <v>1831</v>
      </c>
      <c r="H1683" t="s">
        <v>9333</v>
      </c>
      <c r="I1683" s="871">
        <v>46293.93683766204</v>
      </c>
      <c r="J1683" t="s">
        <v>9528</v>
      </c>
      <c r="K1683" s="975" t="str">
        <f>IF(COUNTIFS(tblControles[Clave],tblControles[[#This Row],[Clave]])&gt;1,"Duplicado","")</f>
        <v/>
      </c>
    </row>
    <row r="1684" spans="2:11">
      <c r="B1684" s="975" t="str">
        <f>tblControles[[#This Row],[Fecha]]&amp;"|"&amp;tblControles[[#This Row],[Módulo]]&amp;"|"&amp;tblControles[[#This Row],[Ítem]]&amp;"|"&amp;tblControles[[#This Row],[Turno]]</f>
        <v>46284|TONELADAS X TURNO|Molino barras 9|3° turno</v>
      </c>
      <c r="C1684" s="871">
        <v>46284</v>
      </c>
      <c r="D1684" t="s">
        <v>9449</v>
      </c>
      <c r="E1684" t="s">
        <v>395</v>
      </c>
      <c r="F1684" t="s">
        <v>398</v>
      </c>
      <c r="G1684">
        <v>1657</v>
      </c>
      <c r="H1684" t="s">
        <v>9333</v>
      </c>
      <c r="I1684" s="871">
        <v>46293.93683766204</v>
      </c>
      <c r="J1684" t="s">
        <v>9528</v>
      </c>
      <c r="K1684" s="975" t="str">
        <f>IF(COUNTIFS(tblControles[Clave],tblControles[[#This Row],[Clave]])&gt;1,"Duplicado","")</f>
        <v/>
      </c>
    </row>
    <row r="1685" spans="2:11">
      <c r="B1685" s="975" t="str">
        <f>tblControles[[#This Row],[Fecha]]&amp;"|"&amp;tblControles[[#This Row],[Módulo]]&amp;"|"&amp;tblControles[[#This Row],[Ítem]]&amp;"|"&amp;tblControles[[#This Row],[Turno]]</f>
        <v>46285|AGREGADO MEDIOS|BARRAS RM1|Cantidad</v>
      </c>
      <c r="C1685" s="871">
        <v>46285</v>
      </c>
      <c r="D1685" t="s">
        <v>9451</v>
      </c>
      <c r="E1685" t="s">
        <v>410</v>
      </c>
      <c r="F1685" t="s">
        <v>9453</v>
      </c>
      <c r="G1685">
        <v>0</v>
      </c>
      <c r="H1685" t="s">
        <v>9333</v>
      </c>
      <c r="I1685" s="871">
        <v>46293.93683766204</v>
      </c>
      <c r="J1685" t="s">
        <v>9524</v>
      </c>
      <c r="K1685" s="975" t="str">
        <f>IF(COUNTIFS(tblControles[Clave],tblControles[[#This Row],[Clave]])&gt;1,"Duplicado","")</f>
        <v/>
      </c>
    </row>
    <row r="1686" spans="2:11">
      <c r="B1686" s="975" t="str">
        <f>tblControles[[#This Row],[Fecha]]&amp;"|"&amp;tblControles[[#This Row],[Módulo]]&amp;"|"&amp;tblControles[[#This Row],[Ítem]]&amp;"|"&amp;tblControles[[#This Row],[Turno]]</f>
        <v>46285|AGREGADO MEDIOS|BARRAS RM2|Cantidad</v>
      </c>
      <c r="C1686" s="871">
        <v>46285</v>
      </c>
      <c r="D1686" t="s">
        <v>9451</v>
      </c>
      <c r="E1686" t="s">
        <v>411</v>
      </c>
      <c r="F1686" t="s">
        <v>9453</v>
      </c>
      <c r="G1686">
        <v>0</v>
      </c>
      <c r="H1686" t="s">
        <v>9333</v>
      </c>
      <c r="I1686" s="871">
        <v>46293.93683766204</v>
      </c>
      <c r="J1686" t="s">
        <v>9524</v>
      </c>
      <c r="K1686" s="975" t="str">
        <f>IF(COUNTIFS(tblControles[Clave],tblControles[[#This Row],[Clave]])&gt;1,"Duplicado","")</f>
        <v/>
      </c>
    </row>
    <row r="1687" spans="2:11">
      <c r="B1687" s="975" t="str">
        <f>tblControles[[#This Row],[Fecha]]&amp;"|"&amp;tblControles[[#This Row],[Módulo]]&amp;"|"&amp;tblControles[[#This Row],[Ítem]]&amp;"|"&amp;tblControles[[#This Row],[Turno]]</f>
        <v>46285|AGREGADO MEDIOS|BARRAS RM3|Cantidad</v>
      </c>
      <c r="C1687" s="871">
        <v>46285</v>
      </c>
      <c r="D1687" t="s">
        <v>9451</v>
      </c>
      <c r="E1687" t="s">
        <v>412</v>
      </c>
      <c r="F1687" t="s">
        <v>9453</v>
      </c>
      <c r="G1687">
        <v>0</v>
      </c>
      <c r="H1687" t="s">
        <v>9333</v>
      </c>
      <c r="I1687" s="871">
        <v>46293.93683766204</v>
      </c>
      <c r="J1687" t="s">
        <v>9524</v>
      </c>
      <c r="K1687" s="975" t="str">
        <f>IF(COUNTIFS(tblControles[Clave],tblControles[[#This Row],[Clave]])&gt;1,"Duplicado","")</f>
        <v/>
      </c>
    </row>
    <row r="1688" spans="2:11">
      <c r="B1688" s="975" t="str">
        <f>tblControles[[#This Row],[Fecha]]&amp;"|"&amp;tblControles[[#This Row],[Módulo]]&amp;"|"&amp;tblControles[[#This Row],[Ítem]]&amp;"|"&amp;tblControles[[#This Row],[Turno]]</f>
        <v>46285|AGREGADO MEDIOS|BARRAS RM4|Cantidad</v>
      </c>
      <c r="C1688" s="871">
        <v>46285</v>
      </c>
      <c r="D1688" t="s">
        <v>9451</v>
      </c>
      <c r="E1688" t="s">
        <v>413</v>
      </c>
      <c r="F1688" t="s">
        <v>9453</v>
      </c>
      <c r="G1688">
        <v>0</v>
      </c>
      <c r="H1688" t="s">
        <v>9333</v>
      </c>
      <c r="I1688" s="871">
        <v>46293.93683766204</v>
      </c>
      <c r="J1688" t="s">
        <v>9524</v>
      </c>
      <c r="K1688" s="975" t="str">
        <f>IF(COUNTIFS(tblControles[Clave],tblControles[[#This Row],[Clave]])&gt;1,"Duplicado","")</f>
        <v/>
      </c>
    </row>
    <row r="1689" spans="2:11">
      <c r="B1689" s="975" t="str">
        <f>tblControles[[#This Row],[Fecha]]&amp;"|"&amp;tblControles[[#This Row],[Módulo]]&amp;"|"&amp;tblControles[[#This Row],[Ítem]]&amp;"|"&amp;tblControles[[#This Row],[Turno]]</f>
        <v>46285|AGREGADO MEDIOS|BARRAS RM5|Cantidad</v>
      </c>
      <c r="C1689" s="871">
        <v>46285</v>
      </c>
      <c r="D1689" t="s">
        <v>9451</v>
      </c>
      <c r="E1689" t="s">
        <v>414</v>
      </c>
      <c r="F1689" t="s">
        <v>9453</v>
      </c>
      <c r="G1689">
        <v>0</v>
      </c>
      <c r="H1689" t="s">
        <v>9333</v>
      </c>
      <c r="I1689" s="871">
        <v>46293.93683766204</v>
      </c>
      <c r="J1689" t="s">
        <v>9524</v>
      </c>
      <c r="K1689" s="975" t="str">
        <f>IF(COUNTIFS(tblControles[Clave],tblControles[[#This Row],[Clave]])&gt;1,"Duplicado","")</f>
        <v/>
      </c>
    </row>
    <row r="1690" spans="2:11">
      <c r="B1690" s="975" t="str">
        <f>tblControles[[#This Row],[Fecha]]&amp;"|"&amp;tblControles[[#This Row],[Módulo]]&amp;"|"&amp;tblControles[[#This Row],[Ítem]]&amp;"|"&amp;tblControles[[#This Row],[Turno]]</f>
        <v>46285|AGREGADO MEDIOS|BARRAS RM6|Cantidad</v>
      </c>
      <c r="C1690" s="871">
        <v>46285</v>
      </c>
      <c r="D1690" t="s">
        <v>9451</v>
      </c>
      <c r="E1690" t="s">
        <v>415</v>
      </c>
      <c r="F1690" t="s">
        <v>9453</v>
      </c>
      <c r="G1690">
        <v>0</v>
      </c>
      <c r="H1690" t="s">
        <v>9333</v>
      </c>
      <c r="I1690" s="871">
        <v>46293.93683766204</v>
      </c>
      <c r="J1690" t="s">
        <v>9524</v>
      </c>
      <c r="K1690" s="975" t="str">
        <f>IF(COUNTIFS(tblControles[Clave],tblControles[[#This Row],[Clave]])&gt;1,"Duplicado","")</f>
        <v/>
      </c>
    </row>
    <row r="1691" spans="2:11">
      <c r="B1691" s="975" t="str">
        <f>tblControles[[#This Row],[Fecha]]&amp;"|"&amp;tblControles[[#This Row],[Módulo]]&amp;"|"&amp;tblControles[[#This Row],[Ítem]]&amp;"|"&amp;tblControles[[#This Row],[Turno]]</f>
        <v>46285|AGREGADO MEDIOS|BARRAS RM7|Cantidad</v>
      </c>
      <c r="C1691" s="871">
        <v>46285</v>
      </c>
      <c r="D1691" t="s">
        <v>9451</v>
      </c>
      <c r="E1691" t="s">
        <v>416</v>
      </c>
      <c r="F1691" t="s">
        <v>9453</v>
      </c>
      <c r="G1691">
        <v>0</v>
      </c>
      <c r="H1691" t="s">
        <v>9333</v>
      </c>
      <c r="I1691" s="871">
        <v>46293.93683766204</v>
      </c>
      <c r="J1691" t="s">
        <v>9524</v>
      </c>
      <c r="K1691" s="975" t="str">
        <f>IF(COUNTIFS(tblControles[Clave],tblControles[[#This Row],[Clave]])&gt;1,"Duplicado","")</f>
        <v/>
      </c>
    </row>
    <row r="1692" spans="2:11">
      <c r="B1692" s="975" t="str">
        <f>tblControles[[#This Row],[Fecha]]&amp;"|"&amp;tblControles[[#This Row],[Módulo]]&amp;"|"&amp;tblControles[[#This Row],[Ítem]]&amp;"|"&amp;tblControles[[#This Row],[Turno]]</f>
        <v>46285|AGREGADO MEDIOS|BARRAS RM8|Cantidad</v>
      </c>
      <c r="C1692" s="871">
        <v>46285</v>
      </c>
      <c r="D1692" t="s">
        <v>9451</v>
      </c>
      <c r="E1692" t="s">
        <v>417</v>
      </c>
      <c r="F1692" t="s">
        <v>9453</v>
      </c>
      <c r="G1692">
        <v>0</v>
      </c>
      <c r="H1692" t="s">
        <v>9333</v>
      </c>
      <c r="I1692" s="871">
        <v>46293.93683766204</v>
      </c>
      <c r="J1692" t="s">
        <v>9524</v>
      </c>
      <c r="K1692" s="975" t="str">
        <f>IF(COUNTIFS(tblControles[Clave],tblControles[[#This Row],[Clave]])&gt;1,"Duplicado","")</f>
        <v/>
      </c>
    </row>
    <row r="1693" spans="2:11">
      <c r="B1693" s="975" t="str">
        <f>tblControles[[#This Row],[Fecha]]&amp;"|"&amp;tblControles[[#This Row],[Módulo]]&amp;"|"&amp;tblControles[[#This Row],[Ítem]]&amp;"|"&amp;tblControles[[#This Row],[Turno]]</f>
        <v>46285|AGREGADO MEDIOS|BARRAS 9 RM9|Cantidad</v>
      </c>
      <c r="C1693" s="871">
        <v>46285</v>
      </c>
      <c r="D1693" t="s">
        <v>9451</v>
      </c>
      <c r="E1693" t="s">
        <v>418</v>
      </c>
      <c r="F1693" t="s">
        <v>9453</v>
      </c>
      <c r="G1693">
        <v>0</v>
      </c>
      <c r="H1693" t="s">
        <v>9333</v>
      </c>
      <c r="I1693" s="871">
        <v>46293.93683766204</v>
      </c>
      <c r="J1693" t="s">
        <v>9524</v>
      </c>
      <c r="K1693" s="975" t="str">
        <f>IF(COUNTIFS(tblControles[Clave],tblControles[[#This Row],[Clave]])&gt;1,"Duplicado","")</f>
        <v/>
      </c>
    </row>
    <row r="1694" spans="2:11">
      <c r="B1694" s="975" t="str">
        <f>tblControles[[#This Row],[Fecha]]&amp;"|"&amp;tblControles[[#This Row],[Módulo]]&amp;"|"&amp;tblControles[[#This Row],[Ítem]]&amp;"|"&amp;tblControles[[#This Row],[Turno]]</f>
        <v>46285|AGREGADO MEDIOS|CONOS 40X50 BM1|Cantidad</v>
      </c>
      <c r="C1694" s="871">
        <v>46285</v>
      </c>
      <c r="D1694" t="s">
        <v>9451</v>
      </c>
      <c r="E1694" t="s">
        <v>420</v>
      </c>
      <c r="F1694" t="s">
        <v>9453</v>
      </c>
      <c r="G1694">
        <v>0</v>
      </c>
      <c r="H1694" t="s">
        <v>9333</v>
      </c>
      <c r="I1694" s="871">
        <v>46293.93683766204</v>
      </c>
      <c r="J1694" t="s">
        <v>9524</v>
      </c>
      <c r="K1694" s="975" t="str">
        <f>IF(COUNTIFS(tblControles[Clave],tblControles[[#This Row],[Clave]])&gt;1,"Duplicado","")</f>
        <v/>
      </c>
    </row>
    <row r="1695" spans="2:11">
      <c r="B1695" s="975" t="str">
        <f>tblControles[[#This Row],[Fecha]]&amp;"|"&amp;tblControles[[#This Row],[Módulo]]&amp;"|"&amp;tblControles[[#This Row],[Ítem]]&amp;"|"&amp;tblControles[[#This Row],[Turno]]</f>
        <v>46285|AGREGADO MEDIOS|CONOS 40X50 BM2|Cantidad</v>
      </c>
      <c r="C1695" s="871">
        <v>46285</v>
      </c>
      <c r="D1695" t="s">
        <v>9451</v>
      </c>
      <c r="E1695" t="s">
        <v>421</v>
      </c>
      <c r="F1695" t="s">
        <v>9453</v>
      </c>
      <c r="G1695">
        <v>0</v>
      </c>
      <c r="H1695" t="s">
        <v>9333</v>
      </c>
      <c r="I1695" s="871">
        <v>46293.93683766204</v>
      </c>
      <c r="J1695" t="s">
        <v>9524</v>
      </c>
      <c r="K1695" s="975" t="str">
        <f>IF(COUNTIFS(tblControles[Clave],tblControles[[#This Row],[Clave]])&gt;1,"Duplicado","")</f>
        <v/>
      </c>
    </row>
    <row r="1696" spans="2:11">
      <c r="B1696" s="975" t="str">
        <f>tblControles[[#This Row],[Fecha]]&amp;"|"&amp;tblControles[[#This Row],[Módulo]]&amp;"|"&amp;tblControles[[#This Row],[Ítem]]&amp;"|"&amp;tblControles[[#This Row],[Turno]]</f>
        <v>46285|AGREGADO MEDIOS|CONOS 40X50 BM3|Cantidad</v>
      </c>
      <c r="C1696" s="871">
        <v>46285</v>
      </c>
      <c r="D1696" t="s">
        <v>9451</v>
      </c>
      <c r="E1696" t="s">
        <v>422</v>
      </c>
      <c r="F1696" t="s">
        <v>9453</v>
      </c>
      <c r="G1696">
        <v>0</v>
      </c>
      <c r="H1696" t="s">
        <v>9333</v>
      </c>
      <c r="I1696" s="871">
        <v>46293.93683766204</v>
      </c>
      <c r="J1696" t="s">
        <v>9524</v>
      </c>
      <c r="K1696" s="975" t="str">
        <f>IF(COUNTIFS(tblControles[Clave],tblControles[[#This Row],[Clave]])&gt;1,"Duplicado","")</f>
        <v/>
      </c>
    </row>
    <row r="1697" spans="2:11">
      <c r="B1697" s="975" t="str">
        <f>tblControles[[#This Row],[Fecha]]&amp;"|"&amp;tblControles[[#This Row],[Módulo]]&amp;"|"&amp;tblControles[[#This Row],[Ítem]]&amp;"|"&amp;tblControles[[#This Row],[Turno]]</f>
        <v>46285|AGREGADO MEDIOS|CONOS 40X50 BM4|Cantidad</v>
      </c>
      <c r="C1697" s="871">
        <v>46285</v>
      </c>
      <c r="D1697" t="s">
        <v>9451</v>
      </c>
      <c r="E1697" t="s">
        <v>423</v>
      </c>
      <c r="F1697" t="s">
        <v>9453</v>
      </c>
      <c r="G1697">
        <v>0</v>
      </c>
      <c r="H1697" t="s">
        <v>9333</v>
      </c>
      <c r="I1697" s="871">
        <v>46293.93683766204</v>
      </c>
      <c r="J1697" t="s">
        <v>9524</v>
      </c>
      <c r="K1697" s="975" t="str">
        <f>IF(COUNTIFS(tblControles[Clave],tblControles[[#This Row],[Clave]])&gt;1,"Duplicado","")</f>
        <v/>
      </c>
    </row>
    <row r="1698" spans="2:11">
      <c r="B1698" s="975" t="str">
        <f>tblControles[[#This Row],[Fecha]]&amp;"|"&amp;tblControles[[#This Row],[Módulo]]&amp;"|"&amp;tblControles[[#This Row],[Ítem]]&amp;"|"&amp;tblControles[[#This Row],[Turno]]</f>
        <v>46285|AGREGADO MEDIOS|CONOS 30X35 BM5|Cantidad</v>
      </c>
      <c r="C1698" s="871">
        <v>46285</v>
      </c>
      <c r="D1698" t="s">
        <v>9451</v>
      </c>
      <c r="E1698" t="s">
        <v>424</v>
      </c>
      <c r="F1698" t="s">
        <v>9453</v>
      </c>
      <c r="G1698">
        <v>0</v>
      </c>
      <c r="H1698" t="s">
        <v>9333</v>
      </c>
      <c r="I1698" s="871">
        <v>46293.93683766204</v>
      </c>
      <c r="J1698" t="s">
        <v>9524</v>
      </c>
      <c r="K1698" s="975" t="str">
        <f>IF(COUNTIFS(tblControles[Clave],tblControles[[#This Row],[Clave]])&gt;1,"Duplicado","")</f>
        <v/>
      </c>
    </row>
    <row r="1699" spans="2:11">
      <c r="B1699" s="975" t="str">
        <f>tblControles[[#This Row],[Fecha]]&amp;"|"&amp;tblControles[[#This Row],[Módulo]]&amp;"|"&amp;tblControles[[#This Row],[Ítem]]&amp;"|"&amp;tblControles[[#This Row],[Turno]]</f>
        <v>46285|AGREGADO MEDIOS|CONOS 40X50 BM6|Cantidad</v>
      </c>
      <c r="C1699" s="871">
        <v>46285</v>
      </c>
      <c r="D1699" t="s">
        <v>9451</v>
      </c>
      <c r="E1699" t="s">
        <v>425</v>
      </c>
      <c r="F1699" t="s">
        <v>9453</v>
      </c>
      <c r="G1699">
        <v>0</v>
      </c>
      <c r="H1699" t="s">
        <v>9333</v>
      </c>
      <c r="I1699" s="871">
        <v>46293.93683766204</v>
      </c>
      <c r="J1699" t="s">
        <v>9524</v>
      </c>
      <c r="K1699" s="975" t="str">
        <f>IF(COUNTIFS(tblControles[Clave],tblControles[[#This Row],[Clave]])&gt;1,"Duplicado","")</f>
        <v/>
      </c>
    </row>
    <row r="1700" spans="2:11">
      <c r="B1700" s="975" t="str">
        <f>tblControles[[#This Row],[Fecha]]&amp;"|"&amp;tblControles[[#This Row],[Módulo]]&amp;"|"&amp;tblControles[[#This Row],[Ítem]]&amp;"|"&amp;tblControles[[#This Row],[Turno]]</f>
        <v>46285|AGREGADO MEDIOS|CONOS 40X50 BM7|Cantidad</v>
      </c>
      <c r="C1700" s="871">
        <v>46285</v>
      </c>
      <c r="D1700" t="s">
        <v>9451</v>
      </c>
      <c r="E1700" t="s">
        <v>426</v>
      </c>
      <c r="F1700" t="s">
        <v>9453</v>
      </c>
      <c r="G1700">
        <v>0</v>
      </c>
      <c r="H1700" t="s">
        <v>9333</v>
      </c>
      <c r="I1700" s="871">
        <v>46293.93683766204</v>
      </c>
      <c r="J1700" t="s">
        <v>9524</v>
      </c>
      <c r="K1700" s="975" t="str">
        <f>IF(COUNTIFS(tblControles[Clave],tblControles[[#This Row],[Clave]])&gt;1,"Duplicado","")</f>
        <v/>
      </c>
    </row>
    <row r="1701" spans="2:11">
      <c r="B1701" s="975" t="str">
        <f>tblControles[[#This Row],[Fecha]]&amp;"|"&amp;tblControles[[#This Row],[Módulo]]&amp;"|"&amp;tblControles[[#This Row],[Ítem]]&amp;"|"&amp;tblControles[[#This Row],[Turno]]</f>
        <v>46285|AGREGADO MEDIOS|CONOS 40X50|Cantidad</v>
      </c>
      <c r="C1701" s="871">
        <v>46285</v>
      </c>
      <c r="D1701" t="s">
        <v>9451</v>
      </c>
      <c r="E1701" t="s">
        <v>427</v>
      </c>
      <c r="F1701" t="s">
        <v>9453</v>
      </c>
      <c r="G1701">
        <v>0</v>
      </c>
      <c r="H1701" t="s">
        <v>9333</v>
      </c>
      <c r="I1701" s="871">
        <v>46293.93683766204</v>
      </c>
      <c r="J1701" t="s">
        <v>9524</v>
      </c>
      <c r="K1701" s="975" t="str">
        <f>IF(COUNTIFS(tblControles[Clave],tblControles[[#This Row],[Clave]])&gt;1,"Duplicado","")</f>
        <v/>
      </c>
    </row>
    <row r="1702" spans="2:11">
      <c r="B1702" s="975" t="str">
        <f>tblControles[[#This Row],[Fecha]]&amp;"|"&amp;tblControles[[#This Row],[Módulo]]&amp;"|"&amp;tblControles[[#This Row],[Ítem]]&amp;"|"&amp;tblControles[[#This Row],[Turno]]</f>
        <v>46285|AGREGADO MEDIOS|CONOS 30X35|Cantidad</v>
      </c>
      <c r="C1702" s="871">
        <v>46285</v>
      </c>
      <c r="D1702" t="s">
        <v>9451</v>
      </c>
      <c r="E1702" t="s">
        <v>428</v>
      </c>
      <c r="F1702" t="s">
        <v>9453</v>
      </c>
      <c r="G1702">
        <v>0</v>
      </c>
      <c r="H1702" t="s">
        <v>9333</v>
      </c>
      <c r="I1702" s="871">
        <v>46293.93683766204</v>
      </c>
      <c r="J1702" t="s">
        <v>9524</v>
      </c>
      <c r="K1702" s="975" t="str">
        <f>IF(COUNTIFS(tblControles[Clave],tblControles[[#This Row],[Clave]])&gt;1,"Duplicado","")</f>
        <v/>
      </c>
    </row>
    <row r="1703" spans="2:11">
      <c r="B1703" s="975" t="str">
        <f>tblControles[[#This Row],[Fecha]]&amp;"|"&amp;tblControles[[#This Row],[Módulo]]&amp;"|"&amp;tblControles[[#This Row],[Ítem]]&amp;"|"&amp;tblControles[[#This Row],[Turno]]</f>
        <v>46285|AGREGADO MEDIOS|BOLAS BM8|Cantidad</v>
      </c>
      <c r="C1703" s="871">
        <v>46285</v>
      </c>
      <c r="D1703" t="s">
        <v>9451</v>
      </c>
      <c r="E1703" t="s">
        <v>429</v>
      </c>
      <c r="F1703" t="s">
        <v>9453</v>
      </c>
      <c r="G1703">
        <v>0</v>
      </c>
      <c r="H1703" t="s">
        <v>9333</v>
      </c>
      <c r="I1703" s="871">
        <v>46293.93683766204</v>
      </c>
      <c r="J1703" t="s">
        <v>9524</v>
      </c>
      <c r="K1703" s="975" t="str">
        <f>IF(COUNTIFS(tblControles[Clave],tblControles[[#This Row],[Clave]])&gt;1,"Duplicado","")</f>
        <v/>
      </c>
    </row>
    <row r="1704" spans="2:11">
      <c r="B1704" s="975" t="str">
        <f>tblControles[[#This Row],[Fecha]]&amp;"|"&amp;tblControles[[#This Row],[Módulo]]&amp;"|"&amp;tblControles[[#This Row],[Ítem]]&amp;"|"&amp;tblControles[[#This Row],[Turno]]</f>
        <v>46285|AGREGADO MEDIOS|BOLAS BM9|Cantidad</v>
      </c>
      <c r="C1704" s="871">
        <v>46285</v>
      </c>
      <c r="D1704" t="s">
        <v>9451</v>
      </c>
      <c r="E1704" t="s">
        <v>430</v>
      </c>
      <c r="F1704" t="s">
        <v>9453</v>
      </c>
      <c r="G1704">
        <v>0</v>
      </c>
      <c r="H1704" t="s">
        <v>9333</v>
      </c>
      <c r="I1704" s="871">
        <v>46293.93683766204</v>
      </c>
      <c r="J1704" t="s">
        <v>9524</v>
      </c>
      <c r="K1704" s="975" t="str">
        <f>IF(COUNTIFS(tblControles[Clave],tblControles[[#This Row],[Clave]])&gt;1,"Duplicado","")</f>
        <v/>
      </c>
    </row>
    <row r="1705" spans="2:11">
      <c r="B1705" s="975" t="str">
        <f>tblControles[[#This Row],[Fecha]]&amp;"|"&amp;tblControles[[#This Row],[Módulo]]&amp;"|"&amp;tblControles[[#This Row],[Ítem]]&amp;"|"&amp;tblControles[[#This Row],[Turno]]</f>
        <v>46285|AGREGADO MEDIOS|BOLAS BM10|Cantidad</v>
      </c>
      <c r="C1705" s="871">
        <v>46285</v>
      </c>
      <c r="D1705" t="s">
        <v>9451</v>
      </c>
      <c r="E1705" t="s">
        <v>431</v>
      </c>
      <c r="F1705" t="s">
        <v>9453</v>
      </c>
      <c r="G1705">
        <v>0</v>
      </c>
      <c r="H1705" t="s">
        <v>9333</v>
      </c>
      <c r="I1705" s="871">
        <v>46293.93683766204</v>
      </c>
      <c r="J1705" t="s">
        <v>9524</v>
      </c>
      <c r="K1705" s="975" t="str">
        <f>IF(COUNTIFS(tblControles[Clave],tblControles[[#This Row],[Clave]])&gt;1,"Duplicado","")</f>
        <v/>
      </c>
    </row>
    <row r="1706" spans="2:11">
      <c r="B1706" s="975" t="str">
        <f>tblControles[[#This Row],[Fecha]]&amp;"|"&amp;tblControles[[#This Row],[Módulo]]&amp;"|"&amp;tblControles[[#This Row],[Ítem]]&amp;"|"&amp;tblControles[[#This Row],[Turno]]</f>
        <v>46285|AGREGADO MEDIOS|BOLAS ALTO CROM|Cantidad</v>
      </c>
      <c r="C1706" s="871">
        <v>46285</v>
      </c>
      <c r="D1706" t="s">
        <v>9451</v>
      </c>
      <c r="E1706" t="s">
        <v>432</v>
      </c>
      <c r="F1706" t="s">
        <v>9453</v>
      </c>
      <c r="G1706">
        <v>0</v>
      </c>
      <c r="H1706" t="s">
        <v>9333</v>
      </c>
      <c r="I1706" s="871">
        <v>46293.93683766204</v>
      </c>
      <c r="J1706" t="s">
        <v>9524</v>
      </c>
      <c r="K1706" s="975" t="str">
        <f>IF(COUNTIFS(tblControles[Clave],tblControles[[#This Row],[Clave]])&gt;1,"Duplicado","")</f>
        <v/>
      </c>
    </row>
    <row r="1707" spans="2:11">
      <c r="B1707" s="975" t="str">
        <f>tblControles[[#This Row],[Fecha]]&amp;"|"&amp;tblControles[[#This Row],[Módulo]]&amp;"|"&amp;tblControles[[#This Row],[Ítem]]&amp;"|"&amp;tblControles[[#This Row],[Turno]]</f>
        <v>46285|PURGA TKS AIRE|TK-MG-S. ROTULO|1er Turno</v>
      </c>
      <c r="C1707" s="871">
        <v>46285</v>
      </c>
      <c r="D1707" t="s">
        <v>9433</v>
      </c>
      <c r="E1707" t="s">
        <v>9471</v>
      </c>
      <c r="F1707" t="s">
        <v>9435</v>
      </c>
      <c r="G1707" t="s">
        <v>3227</v>
      </c>
      <c r="H1707" t="s">
        <v>9333</v>
      </c>
      <c r="I1707" s="871">
        <v>46293.93683766204</v>
      </c>
      <c r="J1707" t="s">
        <v>9530</v>
      </c>
      <c r="K1707" s="975" t="str">
        <f>IF(COUNTIFS(tblControles[Clave],tblControles[[#This Row],[Clave]])&gt;1,"Duplicado","")</f>
        <v/>
      </c>
    </row>
    <row r="1708" spans="2:11">
      <c r="B1708" s="975" t="str">
        <f>tblControles[[#This Row],[Fecha]]&amp;"|"&amp;tblControles[[#This Row],[Módulo]]&amp;"|"&amp;tblControles[[#This Row],[Ítem]]&amp;"|"&amp;tblControles[[#This Row],[Turno]]</f>
        <v>46285|PURGA TKS AIRE|TK-MG-001|1er Turno</v>
      </c>
      <c r="C1708" s="871">
        <v>46285</v>
      </c>
      <c r="D1708" t="s">
        <v>9433</v>
      </c>
      <c r="E1708" t="s">
        <v>337</v>
      </c>
      <c r="F1708" t="s">
        <v>9435</v>
      </c>
      <c r="G1708" t="s">
        <v>3227</v>
      </c>
      <c r="H1708" t="s">
        <v>9333</v>
      </c>
      <c r="I1708" s="871">
        <v>46293.93683766204</v>
      </c>
      <c r="J1708" t="s">
        <v>9530</v>
      </c>
      <c r="K1708" s="975" t="str">
        <f>IF(COUNTIFS(tblControles[Clave],tblControles[[#This Row],[Clave]])&gt;1,"Duplicado","")</f>
        <v/>
      </c>
    </row>
    <row r="1709" spans="2:11">
      <c r="B1709" s="975" t="str">
        <f>tblControles[[#This Row],[Fecha]]&amp;"|"&amp;tblControles[[#This Row],[Módulo]]&amp;"|"&amp;tblControles[[#This Row],[Ítem]]&amp;"|"&amp;tblControles[[#This Row],[Turno]]</f>
        <v>46285|PURGA TKS AIRE|TK-MG-002|1er Turno</v>
      </c>
      <c r="C1709" s="871">
        <v>46285</v>
      </c>
      <c r="D1709" t="s">
        <v>9433</v>
      </c>
      <c r="E1709" t="s">
        <v>339</v>
      </c>
      <c r="F1709" t="s">
        <v>9435</v>
      </c>
      <c r="G1709" t="s">
        <v>3227</v>
      </c>
      <c r="H1709" t="s">
        <v>9333</v>
      </c>
      <c r="I1709" s="871">
        <v>46293.93683766204</v>
      </c>
      <c r="J1709" t="s">
        <v>9530</v>
      </c>
      <c r="K1709" s="975" t="str">
        <f>IF(COUNTIFS(tblControles[Clave],tblControles[[#This Row],[Clave]])&gt;1,"Duplicado","")</f>
        <v/>
      </c>
    </row>
    <row r="1710" spans="2:11">
      <c r="B1710" s="975" t="str">
        <f>tblControles[[#This Row],[Fecha]]&amp;"|"&amp;tblControles[[#This Row],[Módulo]]&amp;"|"&amp;tblControles[[#This Row],[Ítem]]&amp;"|"&amp;tblControles[[#This Row],[Turno]]</f>
        <v>46285|PURGA TKS AIRE|TK-MG-003|1er Turno</v>
      </c>
      <c r="C1710" s="871">
        <v>46285</v>
      </c>
      <c r="D1710" t="s">
        <v>9433</v>
      </c>
      <c r="E1710" t="s">
        <v>341</v>
      </c>
      <c r="F1710" t="s">
        <v>9435</v>
      </c>
      <c r="G1710" t="s">
        <v>3227</v>
      </c>
      <c r="H1710" t="s">
        <v>9333</v>
      </c>
      <c r="I1710" s="871">
        <v>46293.93683766204</v>
      </c>
      <c r="J1710" t="s">
        <v>9530</v>
      </c>
      <c r="K1710" s="975" t="str">
        <f>IF(COUNTIFS(tblControles[Clave],tblControles[[#This Row],[Clave]])&gt;1,"Duplicado","")</f>
        <v/>
      </c>
    </row>
    <row r="1711" spans="2:11">
      <c r="B1711" s="975" t="str">
        <f>tblControles[[#This Row],[Fecha]]&amp;"|"&amp;tblControles[[#This Row],[Módulo]]&amp;"|"&amp;tblControles[[#This Row],[Ítem]]&amp;"|"&amp;tblControles[[#This Row],[Turno]]</f>
        <v>46285|PURGA TKS AIRE|TK-MG-005|1er Turno</v>
      </c>
      <c r="C1711" s="871">
        <v>46285</v>
      </c>
      <c r="D1711" t="s">
        <v>9433</v>
      </c>
      <c r="E1711" t="s">
        <v>343</v>
      </c>
      <c r="F1711" t="s">
        <v>9435</v>
      </c>
      <c r="G1711" t="s">
        <v>345</v>
      </c>
      <c r="H1711" t="s">
        <v>9333</v>
      </c>
      <c r="I1711" s="871">
        <v>46293.93683766204</v>
      </c>
      <c r="J1711" t="s">
        <v>9530</v>
      </c>
      <c r="K1711" s="975" t="str">
        <f>IF(COUNTIFS(tblControles[Clave],tblControles[[#This Row],[Clave]])&gt;1,"Duplicado","")</f>
        <v/>
      </c>
    </row>
    <row r="1712" spans="2:11">
      <c r="B1712" s="975" t="str">
        <f>tblControles[[#This Row],[Fecha]]&amp;"|"&amp;tblControles[[#This Row],[Módulo]]&amp;"|"&amp;tblControles[[#This Row],[Ítem]]&amp;"|"&amp;tblControles[[#This Row],[Turno]]</f>
        <v>46285|PURGA TKS AIRE|TK-MG-006|1er Turno</v>
      </c>
      <c r="C1712" s="871">
        <v>46285</v>
      </c>
      <c r="D1712" t="s">
        <v>9433</v>
      </c>
      <c r="E1712" t="s">
        <v>346</v>
      </c>
      <c r="F1712" t="s">
        <v>9435</v>
      </c>
      <c r="G1712" t="s">
        <v>3227</v>
      </c>
      <c r="H1712" t="s">
        <v>9333</v>
      </c>
      <c r="I1712" s="871">
        <v>46293.93683766204</v>
      </c>
      <c r="J1712" t="s">
        <v>9530</v>
      </c>
      <c r="K1712" s="975" t="str">
        <f>IF(COUNTIFS(tblControles[Clave],tblControles[[#This Row],[Clave]])&gt;1,"Duplicado","")</f>
        <v/>
      </c>
    </row>
    <row r="1713" spans="2:11">
      <c r="B1713" s="975" t="str">
        <f>tblControles[[#This Row],[Fecha]]&amp;"|"&amp;tblControles[[#This Row],[Módulo]]&amp;"|"&amp;tblControles[[#This Row],[Ítem]]&amp;"|"&amp;tblControles[[#This Row],[Turno]]</f>
        <v>46285|PURGA TKS AIRE|TK-MG-007|1er Turno</v>
      </c>
      <c r="C1713" s="871">
        <v>46285</v>
      </c>
      <c r="D1713" t="s">
        <v>9433</v>
      </c>
      <c r="E1713" t="s">
        <v>347</v>
      </c>
      <c r="F1713" t="s">
        <v>9435</v>
      </c>
      <c r="G1713" t="s">
        <v>3227</v>
      </c>
      <c r="H1713" t="s">
        <v>9333</v>
      </c>
      <c r="I1713" s="871">
        <v>46293.93683766204</v>
      </c>
      <c r="J1713" t="s">
        <v>9530</v>
      </c>
      <c r="K1713" s="975" t="str">
        <f>IF(COUNTIFS(tblControles[Clave],tblControles[[#This Row],[Clave]])&gt;1,"Duplicado","")</f>
        <v/>
      </c>
    </row>
    <row r="1714" spans="2:11">
      <c r="B1714" s="975" t="str">
        <f>tblControles[[#This Row],[Fecha]]&amp;"|"&amp;tblControles[[#This Row],[Módulo]]&amp;"|"&amp;tblControles[[#This Row],[Ítem]]&amp;"|"&amp;tblControles[[#This Row],[Turno]]</f>
        <v>46285|PURGA TKS AIRE|TK-MG-004|1er Turno</v>
      </c>
      <c r="C1714" s="871">
        <v>46285</v>
      </c>
      <c r="D1714" t="s">
        <v>9433</v>
      </c>
      <c r="E1714" t="s">
        <v>349</v>
      </c>
      <c r="F1714" t="s">
        <v>9435</v>
      </c>
      <c r="G1714" t="s">
        <v>3227</v>
      </c>
      <c r="H1714" t="s">
        <v>9333</v>
      </c>
      <c r="I1714" s="871">
        <v>46293.93683766204</v>
      </c>
      <c r="J1714" t="s">
        <v>9530</v>
      </c>
      <c r="K1714" s="975" t="str">
        <f>IF(COUNTIFS(tblControles[Clave],tblControles[[#This Row],[Clave]])&gt;1,"Duplicado","")</f>
        <v/>
      </c>
    </row>
    <row r="1715" spans="2:11">
      <c r="B1715" s="975" t="str">
        <f>tblControles[[#This Row],[Fecha]]&amp;"|"&amp;tblControles[[#This Row],[Módulo]]&amp;"|"&amp;tblControles[[#This Row],[Ítem]]&amp;"|"&amp;tblControles[[#This Row],[Turno]]</f>
        <v>46285|PURGA TKS AIRE|TK-MG-008|1er Turno</v>
      </c>
      <c r="C1715" s="871">
        <v>46285</v>
      </c>
      <c r="D1715" t="s">
        <v>9433</v>
      </c>
      <c r="E1715" t="s">
        <v>351</v>
      </c>
      <c r="F1715" t="s">
        <v>9435</v>
      </c>
      <c r="G1715" t="s">
        <v>3227</v>
      </c>
      <c r="H1715" t="s">
        <v>9333</v>
      </c>
      <c r="I1715" s="871">
        <v>46293.93683766204</v>
      </c>
      <c r="J1715" t="s">
        <v>9530</v>
      </c>
      <c r="K1715" s="975" t="str">
        <f>IF(COUNTIFS(tblControles[Clave],tblControles[[#This Row],[Clave]])&gt;1,"Duplicado","")</f>
        <v/>
      </c>
    </row>
    <row r="1716" spans="2:11">
      <c r="B1716" s="975" t="str">
        <f>tblControles[[#This Row],[Fecha]]&amp;"|"&amp;tblControles[[#This Row],[Módulo]]&amp;"|"&amp;tblControles[[#This Row],[Ítem]]&amp;"|"&amp;tblControles[[#This Row],[Turno]]</f>
        <v>46285|PURGA TKS AIRE|TK-MG-009|1er Turno</v>
      </c>
      <c r="C1716" s="871">
        <v>46285</v>
      </c>
      <c r="D1716" t="s">
        <v>9433</v>
      </c>
      <c r="E1716" t="s">
        <v>353</v>
      </c>
      <c r="F1716" t="s">
        <v>9435</v>
      </c>
      <c r="G1716" t="s">
        <v>3227</v>
      </c>
      <c r="H1716" t="s">
        <v>9333</v>
      </c>
      <c r="I1716" s="871">
        <v>46293.93683766204</v>
      </c>
      <c r="J1716" t="s">
        <v>9530</v>
      </c>
      <c r="K1716" s="975" t="str">
        <f>IF(COUNTIFS(tblControles[Clave],tblControles[[#This Row],[Clave]])&gt;1,"Duplicado","")</f>
        <v/>
      </c>
    </row>
    <row r="1717" spans="2:11">
      <c r="B1717" s="975" t="str">
        <f>tblControles[[#This Row],[Fecha]]&amp;"|"&amp;tblControles[[#This Row],[Módulo]]&amp;"|"&amp;tblControles[[#This Row],[Ítem]]&amp;"|"&amp;tblControles[[#This Row],[Turno]]</f>
        <v>46285|PURGA TKS AIRE|TK-MG-010|1er Turno</v>
      </c>
      <c r="C1717" s="871">
        <v>46285</v>
      </c>
      <c r="D1717" t="s">
        <v>9433</v>
      </c>
      <c r="E1717" t="s">
        <v>355</v>
      </c>
      <c r="F1717" t="s">
        <v>9435</v>
      </c>
      <c r="G1717" t="s">
        <v>3227</v>
      </c>
      <c r="H1717" t="s">
        <v>9333</v>
      </c>
      <c r="I1717" s="871">
        <v>46293.93683766204</v>
      </c>
      <c r="J1717" t="s">
        <v>9530</v>
      </c>
      <c r="K1717" s="975" t="str">
        <f>IF(COUNTIFS(tblControles[Clave],tblControles[[#This Row],[Clave]])&gt;1,"Duplicado","")</f>
        <v/>
      </c>
    </row>
    <row r="1718" spans="2:11">
      <c r="B1718" s="975" t="str">
        <f>tblControles[[#This Row],[Fecha]]&amp;"|"&amp;tblControles[[#This Row],[Módulo]]&amp;"|"&amp;tblControles[[#This Row],[Ítem]]&amp;"|"&amp;tblControles[[#This Row],[Turno]]</f>
        <v>46285|PURGA TKS AIRE|TK-MG-011|1er Turno</v>
      </c>
      <c r="C1718" s="871">
        <v>46285</v>
      </c>
      <c r="D1718" t="s">
        <v>9433</v>
      </c>
      <c r="E1718" t="s">
        <v>357</v>
      </c>
      <c r="F1718" t="s">
        <v>9435</v>
      </c>
      <c r="G1718" t="s">
        <v>3227</v>
      </c>
      <c r="H1718" t="s">
        <v>9333</v>
      </c>
      <c r="I1718" s="871">
        <v>46293.93683766204</v>
      </c>
      <c r="J1718" t="s">
        <v>9530</v>
      </c>
      <c r="K1718" s="975" t="str">
        <f>IF(COUNTIFS(tblControles[Clave],tblControles[[#This Row],[Clave]])&gt;1,"Duplicado","")</f>
        <v/>
      </c>
    </row>
    <row r="1719" spans="2:11">
      <c r="B1719" s="975" t="str">
        <f>tblControles[[#This Row],[Fecha]]&amp;"|"&amp;tblControles[[#This Row],[Módulo]]&amp;"|"&amp;tblControles[[#This Row],[Ítem]]&amp;"|"&amp;tblControles[[#This Row],[Turno]]</f>
        <v>46285|PURGA TKS AIRE|TK-MG-012|1er Turno</v>
      </c>
      <c r="C1719" s="871">
        <v>46285</v>
      </c>
      <c r="D1719" t="s">
        <v>9433</v>
      </c>
      <c r="E1719" t="s">
        <v>359</v>
      </c>
      <c r="F1719" t="s">
        <v>9435</v>
      </c>
      <c r="G1719" t="s">
        <v>3227</v>
      </c>
      <c r="H1719" t="s">
        <v>9333</v>
      </c>
      <c r="I1719" s="871">
        <v>46293.93683766204</v>
      </c>
      <c r="J1719" t="s">
        <v>9530</v>
      </c>
      <c r="K1719" s="975" t="str">
        <f>IF(COUNTIFS(tblControles[Clave],tblControles[[#This Row],[Clave]])&gt;1,"Duplicado","")</f>
        <v/>
      </c>
    </row>
    <row r="1720" spans="2:11">
      <c r="B1720" s="975" t="str">
        <f>tblControles[[#This Row],[Fecha]]&amp;"|"&amp;tblControles[[#This Row],[Módulo]]&amp;"|"&amp;tblControles[[#This Row],[Ítem]]&amp;"|"&amp;tblControles[[#This Row],[Turno]]</f>
        <v>46285|PURGA TKS AIRE|TK-MG-013|1er Turno</v>
      </c>
      <c r="C1720" s="871">
        <v>46285</v>
      </c>
      <c r="D1720" t="s">
        <v>9433</v>
      </c>
      <c r="E1720" t="s">
        <v>361</v>
      </c>
      <c r="F1720" t="s">
        <v>9435</v>
      </c>
      <c r="G1720" t="s">
        <v>3227</v>
      </c>
      <c r="H1720" t="s">
        <v>9333</v>
      </c>
      <c r="I1720" s="871">
        <v>46293.93683766204</v>
      </c>
      <c r="J1720" t="s">
        <v>9530</v>
      </c>
      <c r="K1720" s="975" t="str">
        <f>IF(COUNTIFS(tblControles[Clave],tblControles[[#This Row],[Clave]])&gt;1,"Duplicado","")</f>
        <v/>
      </c>
    </row>
    <row r="1721" spans="2:11">
      <c r="B1721" s="975" t="str">
        <f>tblControles[[#This Row],[Fecha]]&amp;"|"&amp;tblControles[[#This Row],[Módulo]]&amp;"|"&amp;tblControles[[#This Row],[Ítem]]&amp;"|"&amp;tblControles[[#This Row],[Turno]]</f>
        <v>46285|PURGA TKS AIRE|TK-MG-014|1er Turno</v>
      </c>
      <c r="C1721" s="871">
        <v>46285</v>
      </c>
      <c r="D1721" t="s">
        <v>9433</v>
      </c>
      <c r="E1721" t="s">
        <v>363</v>
      </c>
      <c r="F1721" t="s">
        <v>9435</v>
      </c>
      <c r="G1721" t="s">
        <v>3227</v>
      </c>
      <c r="H1721" t="s">
        <v>9333</v>
      </c>
      <c r="I1721" s="871">
        <v>46293.93683766204</v>
      </c>
      <c r="J1721" t="s">
        <v>9530</v>
      </c>
      <c r="K1721" s="975" t="str">
        <f>IF(COUNTIFS(tblControles[Clave],tblControles[[#This Row],[Clave]])&gt;1,"Duplicado","")</f>
        <v/>
      </c>
    </row>
    <row r="1722" spans="2:11">
      <c r="B1722" s="975" t="str">
        <f>tblControles[[#This Row],[Fecha]]&amp;"|"&amp;tblControles[[#This Row],[Módulo]]&amp;"|"&amp;tblControles[[#This Row],[Ítem]]&amp;"|"&amp;tblControles[[#This Row],[Turno]]</f>
        <v>46285|REACTIVOS|Ácido oxálico|Turno día (12 h)</v>
      </c>
      <c r="C1722" s="871">
        <v>46285</v>
      </c>
      <c r="D1722" t="s">
        <v>9444</v>
      </c>
      <c r="E1722" t="s">
        <v>9508</v>
      </c>
      <c r="F1722" t="s">
        <v>9446</v>
      </c>
      <c r="G1722">
        <v>16000</v>
      </c>
      <c r="H1722" t="s">
        <v>9333</v>
      </c>
      <c r="I1722" s="871">
        <v>46293.93683766204</v>
      </c>
      <c r="J1722" t="s">
        <v>9527</v>
      </c>
      <c r="K1722" s="975" t="str">
        <f>IF(COUNTIFS(tblControles[Clave],tblControles[[#This Row],[Clave]])&gt;1,"Duplicado","")</f>
        <v/>
      </c>
    </row>
    <row r="1723" spans="2:11">
      <c r="B1723" s="975" t="str">
        <f>tblControles[[#This Row],[Fecha]]&amp;"|"&amp;tblControles[[#This Row],[Módulo]]&amp;"|"&amp;tblControles[[#This Row],[Ítem]]&amp;"|"&amp;tblControles[[#This Row],[Turno]]</f>
        <v>46285|REACTIVOS|Ácido oxálico|Turno noche (12 h)</v>
      </c>
      <c r="C1723" s="871">
        <v>46285</v>
      </c>
      <c r="D1723" t="s">
        <v>9444</v>
      </c>
      <c r="E1723" t="s">
        <v>9508</v>
      </c>
      <c r="F1723" t="s">
        <v>9447</v>
      </c>
      <c r="G1723">
        <v>18000</v>
      </c>
      <c r="H1723" t="s">
        <v>9333</v>
      </c>
      <c r="I1723" s="871">
        <v>46293.93683766204</v>
      </c>
      <c r="J1723" t="s">
        <v>9527</v>
      </c>
      <c r="K1723" s="975" t="str">
        <f>IF(COUNTIFS(tblControles[Clave],tblControles[[#This Row],[Clave]])&gt;1,"Duplicado","")</f>
        <v/>
      </c>
    </row>
    <row r="1724" spans="2:11">
      <c r="B1724" s="975" t="str">
        <f>tblControles[[#This Row],[Fecha]]&amp;"|"&amp;tblControles[[#This Row],[Módulo]]&amp;"|"&amp;tblControles[[#This Row],[Ítem]]&amp;"|"&amp;tblControles[[#This Row],[Turno]]</f>
        <v>46285|REACTIVOS|Xantato|Turno día (12 h)</v>
      </c>
      <c r="C1724" s="871">
        <v>46285</v>
      </c>
      <c r="D1724" t="s">
        <v>9444</v>
      </c>
      <c r="E1724" t="s">
        <v>9511</v>
      </c>
      <c r="F1724" t="s">
        <v>9446</v>
      </c>
      <c r="G1724">
        <v>3950</v>
      </c>
      <c r="H1724" t="s">
        <v>9333</v>
      </c>
      <c r="I1724" s="871">
        <v>46293.93683766204</v>
      </c>
      <c r="J1724" t="s">
        <v>9527</v>
      </c>
      <c r="K1724" s="975" t="str">
        <f>IF(COUNTIFS(tblControles[Clave],tblControles[[#This Row],[Clave]])&gt;1,"Duplicado","")</f>
        <v/>
      </c>
    </row>
    <row r="1725" spans="2:11">
      <c r="B1725" s="975" t="str">
        <f>tblControles[[#This Row],[Fecha]]&amp;"|"&amp;tblControles[[#This Row],[Módulo]]&amp;"|"&amp;tblControles[[#This Row],[Ítem]]&amp;"|"&amp;tblControles[[#This Row],[Turno]]</f>
        <v>46285|REACTIVOS|Xantato|Turno noche (12 h)</v>
      </c>
      <c r="C1725" s="871">
        <v>46285</v>
      </c>
      <c r="D1725" t="s">
        <v>9444</v>
      </c>
      <c r="E1725" t="s">
        <v>9511</v>
      </c>
      <c r="F1725" t="s">
        <v>9447</v>
      </c>
      <c r="G1725">
        <v>4350</v>
      </c>
      <c r="H1725" t="s">
        <v>9333</v>
      </c>
      <c r="I1725" s="871">
        <v>46293.93683766204</v>
      </c>
      <c r="J1725" t="s">
        <v>9527</v>
      </c>
      <c r="K1725" s="975" t="str">
        <f>IF(COUNTIFS(tblControles[Clave],tblControles[[#This Row],[Clave]])&gt;1,"Duplicado","")</f>
        <v/>
      </c>
    </row>
    <row r="1726" spans="2:11">
      <c r="B1726" s="975" t="str">
        <f>tblControles[[#This Row],[Fecha]]&amp;"|"&amp;tblControles[[#This Row],[Módulo]]&amp;"|"&amp;tblControles[[#This Row],[Ítem]]&amp;"|"&amp;tblControles[[#This Row],[Turno]]</f>
        <v>46285|REACTIVOS|Espumante|Consumo día</v>
      </c>
      <c r="C1726" s="871">
        <v>46285</v>
      </c>
      <c r="D1726" t="s">
        <v>9444</v>
      </c>
      <c r="E1726" t="s">
        <v>9513</v>
      </c>
      <c r="F1726" t="s">
        <v>9870</v>
      </c>
      <c r="G1726">
        <v>3000</v>
      </c>
      <c r="H1726" t="s">
        <v>9333</v>
      </c>
      <c r="I1726" s="871">
        <v>46293.93683766204</v>
      </c>
      <c r="J1726" t="s">
        <v>9527</v>
      </c>
      <c r="K1726" s="975" t="str">
        <f>IF(COUNTIFS(tblControles[Clave],tblControles[[#This Row],[Clave]])&gt;1,"Duplicado","")</f>
        <v/>
      </c>
    </row>
    <row r="1727" spans="2:11">
      <c r="B1727" s="975" t="str">
        <f>tblControles[[#This Row],[Fecha]]&amp;"|"&amp;tblControles[[#This Row],[Módulo]]&amp;"|"&amp;tblControles[[#This Row],[Ítem]]&amp;"|"&amp;tblControles[[#This Row],[Turno]]</f>
        <v>46285|TONELADAS X TURNO|Molino barras 1|1° turno</v>
      </c>
      <c r="C1727" s="871">
        <v>46285</v>
      </c>
      <c r="D1727" t="s">
        <v>9449</v>
      </c>
      <c r="E1727" t="s">
        <v>387</v>
      </c>
      <c r="F1727" t="s">
        <v>396</v>
      </c>
      <c r="G1727">
        <v>1573</v>
      </c>
      <c r="H1727" t="s">
        <v>9333</v>
      </c>
      <c r="I1727" s="871">
        <v>46293.93683766204</v>
      </c>
      <c r="J1727" t="s">
        <v>9528</v>
      </c>
      <c r="K1727" s="975" t="str">
        <f>IF(COUNTIFS(tblControles[Clave],tblControles[[#This Row],[Clave]])&gt;1,"Duplicado","")</f>
        <v/>
      </c>
    </row>
    <row r="1728" spans="2:11">
      <c r="B1728" s="975" t="str">
        <f>tblControles[[#This Row],[Fecha]]&amp;"|"&amp;tblControles[[#This Row],[Módulo]]&amp;"|"&amp;tblControles[[#This Row],[Ítem]]&amp;"|"&amp;tblControles[[#This Row],[Turno]]</f>
        <v>46285|TONELADAS X TURNO|Molino barras 1|2° turno</v>
      </c>
      <c r="C1728" s="871">
        <v>46285</v>
      </c>
      <c r="D1728" t="s">
        <v>9449</v>
      </c>
      <c r="E1728" t="s">
        <v>387</v>
      </c>
      <c r="F1728" t="s">
        <v>397</v>
      </c>
      <c r="G1728">
        <v>1635</v>
      </c>
      <c r="H1728" t="s">
        <v>9333</v>
      </c>
      <c r="I1728" s="871">
        <v>46293.93683766204</v>
      </c>
      <c r="J1728" t="s">
        <v>9528</v>
      </c>
      <c r="K1728" s="975" t="str">
        <f>IF(COUNTIFS(tblControles[Clave],tblControles[[#This Row],[Clave]])&gt;1,"Duplicado","")</f>
        <v/>
      </c>
    </row>
    <row r="1729" spans="2:11">
      <c r="B1729" s="975" t="str">
        <f>tblControles[[#This Row],[Fecha]]&amp;"|"&amp;tblControles[[#This Row],[Módulo]]&amp;"|"&amp;tblControles[[#This Row],[Ítem]]&amp;"|"&amp;tblControles[[#This Row],[Turno]]</f>
        <v>46285|TONELADAS X TURNO|Molino barras 1|3° turno</v>
      </c>
      <c r="C1729" s="871">
        <v>46285</v>
      </c>
      <c r="D1729" t="s">
        <v>9449</v>
      </c>
      <c r="E1729" t="s">
        <v>387</v>
      </c>
      <c r="F1729" t="s">
        <v>398</v>
      </c>
      <c r="G1729">
        <v>1577</v>
      </c>
      <c r="H1729" t="s">
        <v>9333</v>
      </c>
      <c r="I1729" s="871">
        <v>46293.93683766204</v>
      </c>
      <c r="J1729" t="s">
        <v>9528</v>
      </c>
      <c r="K1729" s="975" t="str">
        <f>IF(COUNTIFS(tblControles[Clave],tblControles[[#This Row],[Clave]])&gt;1,"Duplicado","")</f>
        <v/>
      </c>
    </row>
    <row r="1730" spans="2:11">
      <c r="B1730" s="975" t="str">
        <f>tblControles[[#This Row],[Fecha]]&amp;"|"&amp;tblControles[[#This Row],[Módulo]]&amp;"|"&amp;tblControles[[#This Row],[Ítem]]&amp;"|"&amp;tblControles[[#This Row],[Turno]]</f>
        <v>46285|TONELADAS X TURNO|Molino barras 2|1° turno</v>
      </c>
      <c r="C1730" s="871">
        <v>46285</v>
      </c>
      <c r="D1730" t="s">
        <v>9449</v>
      </c>
      <c r="E1730" t="s">
        <v>388</v>
      </c>
      <c r="F1730" t="s">
        <v>396</v>
      </c>
      <c r="G1730">
        <v>840</v>
      </c>
      <c r="H1730" t="s">
        <v>9333</v>
      </c>
      <c r="I1730" s="871">
        <v>46293.93683766204</v>
      </c>
      <c r="J1730" t="s">
        <v>9528</v>
      </c>
      <c r="K1730" s="975" t="str">
        <f>IF(COUNTIFS(tblControles[Clave],tblControles[[#This Row],[Clave]])&gt;1,"Duplicado","")</f>
        <v/>
      </c>
    </row>
    <row r="1731" spans="2:11">
      <c r="B1731" s="975" t="str">
        <f>tblControles[[#This Row],[Fecha]]&amp;"|"&amp;tblControles[[#This Row],[Módulo]]&amp;"|"&amp;tblControles[[#This Row],[Ítem]]&amp;"|"&amp;tblControles[[#This Row],[Turno]]</f>
        <v>46285|TONELADAS X TURNO|Molino barras 2|2° turno</v>
      </c>
      <c r="C1731" s="871">
        <v>46285</v>
      </c>
      <c r="D1731" t="s">
        <v>9449</v>
      </c>
      <c r="E1731" t="s">
        <v>388</v>
      </c>
      <c r="F1731" t="s">
        <v>397</v>
      </c>
      <c r="G1731">
        <v>0</v>
      </c>
      <c r="H1731" t="s">
        <v>9333</v>
      </c>
      <c r="I1731" s="871">
        <v>46293.93683766204</v>
      </c>
      <c r="J1731" t="s">
        <v>9528</v>
      </c>
      <c r="K1731" s="975" t="str">
        <f>IF(COUNTIFS(tblControles[Clave],tblControles[[#This Row],[Clave]])&gt;1,"Duplicado","")</f>
        <v/>
      </c>
    </row>
    <row r="1732" spans="2:11">
      <c r="B1732" s="975" t="str">
        <f>tblControles[[#This Row],[Fecha]]&amp;"|"&amp;tblControles[[#This Row],[Módulo]]&amp;"|"&amp;tblControles[[#This Row],[Ítem]]&amp;"|"&amp;tblControles[[#This Row],[Turno]]</f>
        <v>46285|TONELADAS X TURNO|Molino barras 2|3° turno</v>
      </c>
      <c r="C1732" s="871">
        <v>46285</v>
      </c>
      <c r="D1732" t="s">
        <v>9449</v>
      </c>
      <c r="E1732" t="s">
        <v>388</v>
      </c>
      <c r="F1732" t="s">
        <v>398</v>
      </c>
      <c r="G1732">
        <v>0</v>
      </c>
      <c r="H1732" t="s">
        <v>9333</v>
      </c>
      <c r="I1732" s="871">
        <v>46293.93683766204</v>
      </c>
      <c r="J1732" t="s">
        <v>9528</v>
      </c>
      <c r="K1732" s="975" t="str">
        <f>IF(COUNTIFS(tblControles[Clave],tblControles[[#This Row],[Clave]])&gt;1,"Duplicado","")</f>
        <v/>
      </c>
    </row>
    <row r="1733" spans="2:11">
      <c r="B1733" s="975" t="str">
        <f>tblControles[[#This Row],[Fecha]]&amp;"|"&amp;tblControles[[#This Row],[Módulo]]&amp;"|"&amp;tblControles[[#This Row],[Ítem]]&amp;"|"&amp;tblControles[[#This Row],[Turno]]</f>
        <v>46285|TONELADAS X TURNO|Molino barras 3|1° turno</v>
      </c>
      <c r="C1733" s="871">
        <v>46285</v>
      </c>
      <c r="D1733" t="s">
        <v>9449</v>
      </c>
      <c r="E1733" t="s">
        <v>389</v>
      </c>
      <c r="F1733" t="s">
        <v>396</v>
      </c>
      <c r="G1733">
        <v>305</v>
      </c>
      <c r="H1733" t="s">
        <v>9333</v>
      </c>
      <c r="I1733" s="871">
        <v>46293.93683766204</v>
      </c>
      <c r="J1733" t="s">
        <v>9528</v>
      </c>
      <c r="K1733" s="975" t="str">
        <f>IF(COUNTIFS(tblControles[Clave],tblControles[[#This Row],[Clave]])&gt;1,"Duplicado","")</f>
        <v/>
      </c>
    </row>
    <row r="1734" spans="2:11">
      <c r="B1734" s="975" t="str">
        <f>tblControles[[#This Row],[Fecha]]&amp;"|"&amp;tblControles[[#This Row],[Módulo]]&amp;"|"&amp;tblControles[[#This Row],[Ítem]]&amp;"|"&amp;tblControles[[#This Row],[Turno]]</f>
        <v>46285|TONELADAS X TURNO|Molino barras 3|2° turno</v>
      </c>
      <c r="C1734" s="871">
        <v>46285</v>
      </c>
      <c r="D1734" t="s">
        <v>9449</v>
      </c>
      <c r="E1734" t="s">
        <v>389</v>
      </c>
      <c r="F1734" t="s">
        <v>397</v>
      </c>
      <c r="G1734">
        <v>1204</v>
      </c>
      <c r="H1734" t="s">
        <v>9333</v>
      </c>
      <c r="I1734" s="871">
        <v>46293.93683766204</v>
      </c>
      <c r="J1734" t="s">
        <v>9528</v>
      </c>
      <c r="K1734" s="975" t="str">
        <f>IF(COUNTIFS(tblControles[Clave],tblControles[[#This Row],[Clave]])&gt;1,"Duplicado","")</f>
        <v/>
      </c>
    </row>
    <row r="1735" spans="2:11">
      <c r="B1735" s="975" t="str">
        <f>tblControles[[#This Row],[Fecha]]&amp;"|"&amp;tblControles[[#This Row],[Módulo]]&amp;"|"&amp;tblControles[[#This Row],[Ítem]]&amp;"|"&amp;tblControles[[#This Row],[Turno]]</f>
        <v>46285|TONELADAS X TURNO|Molino barras 3|3° turno</v>
      </c>
      <c r="C1735" s="871">
        <v>46285</v>
      </c>
      <c r="D1735" t="s">
        <v>9449</v>
      </c>
      <c r="E1735" t="s">
        <v>389</v>
      </c>
      <c r="F1735" t="s">
        <v>398</v>
      </c>
      <c r="G1735">
        <v>1235</v>
      </c>
      <c r="H1735" t="s">
        <v>9333</v>
      </c>
      <c r="I1735" s="871">
        <v>46293.93683766204</v>
      </c>
      <c r="J1735" t="s">
        <v>9528</v>
      </c>
      <c r="K1735" s="975" t="str">
        <f>IF(COUNTIFS(tblControles[Clave],tblControles[[#This Row],[Clave]])&gt;1,"Duplicado","")</f>
        <v/>
      </c>
    </row>
    <row r="1736" spans="2:11">
      <c r="B1736" s="975" t="str">
        <f>tblControles[[#This Row],[Fecha]]&amp;"|"&amp;tblControles[[#This Row],[Módulo]]&amp;"|"&amp;tblControles[[#This Row],[Ítem]]&amp;"|"&amp;tblControles[[#This Row],[Turno]]</f>
        <v>46285|TONELADAS X TURNO|Molino barras 4|1° turno</v>
      </c>
      <c r="C1736" s="871">
        <v>46285</v>
      </c>
      <c r="D1736" t="s">
        <v>9449</v>
      </c>
      <c r="E1736" t="s">
        <v>390</v>
      </c>
      <c r="F1736" t="s">
        <v>396</v>
      </c>
      <c r="G1736">
        <v>1215</v>
      </c>
      <c r="H1736" t="s">
        <v>9333</v>
      </c>
      <c r="I1736" s="871">
        <v>46293.93683766204</v>
      </c>
      <c r="J1736" t="s">
        <v>9528</v>
      </c>
      <c r="K1736" s="975" t="str">
        <f>IF(COUNTIFS(tblControles[Clave],tblControles[[#This Row],[Clave]])&gt;1,"Duplicado","")</f>
        <v/>
      </c>
    </row>
    <row r="1737" spans="2:11">
      <c r="B1737" s="975" t="str">
        <f>tblControles[[#This Row],[Fecha]]&amp;"|"&amp;tblControles[[#This Row],[Módulo]]&amp;"|"&amp;tblControles[[#This Row],[Ítem]]&amp;"|"&amp;tblControles[[#This Row],[Turno]]</f>
        <v>46285|TONELADAS X TURNO|Molino barras 4|2° turno</v>
      </c>
      <c r="C1737" s="871">
        <v>46285</v>
      </c>
      <c r="D1737" t="s">
        <v>9449</v>
      </c>
      <c r="E1737" t="s">
        <v>390</v>
      </c>
      <c r="F1737" t="s">
        <v>397</v>
      </c>
      <c r="G1737">
        <v>998</v>
      </c>
      <c r="H1737" t="s">
        <v>9333</v>
      </c>
      <c r="I1737" s="871">
        <v>46293.93683766204</v>
      </c>
      <c r="J1737" t="s">
        <v>9528</v>
      </c>
      <c r="K1737" s="975" t="str">
        <f>IF(COUNTIFS(tblControles[Clave],tblControles[[#This Row],[Clave]])&gt;1,"Duplicado","")</f>
        <v/>
      </c>
    </row>
    <row r="1738" spans="2:11">
      <c r="B1738" s="975" t="str">
        <f>tblControles[[#This Row],[Fecha]]&amp;"|"&amp;tblControles[[#This Row],[Módulo]]&amp;"|"&amp;tblControles[[#This Row],[Ítem]]&amp;"|"&amp;tblControles[[#This Row],[Turno]]</f>
        <v>46285|TONELADAS X TURNO|Molino barras 4|3° turno</v>
      </c>
      <c r="C1738" s="871">
        <v>46285</v>
      </c>
      <c r="D1738" t="s">
        <v>9449</v>
      </c>
      <c r="E1738" t="s">
        <v>390</v>
      </c>
      <c r="F1738" t="s">
        <v>398</v>
      </c>
      <c r="G1738">
        <v>1185</v>
      </c>
      <c r="H1738" t="s">
        <v>9333</v>
      </c>
      <c r="I1738" s="871">
        <v>46293.93683766204</v>
      </c>
      <c r="J1738" t="s">
        <v>9528</v>
      </c>
      <c r="K1738" s="975" t="str">
        <f>IF(COUNTIFS(tblControles[Clave],tblControles[[#This Row],[Clave]])&gt;1,"Duplicado","")</f>
        <v/>
      </c>
    </row>
    <row r="1739" spans="2:11">
      <c r="B1739" s="975" t="str">
        <f>tblControles[[#This Row],[Fecha]]&amp;"|"&amp;tblControles[[#This Row],[Módulo]]&amp;"|"&amp;tblControles[[#This Row],[Ítem]]&amp;"|"&amp;tblControles[[#This Row],[Turno]]</f>
        <v>46285|TONELADAS X TURNO|Molino barras 5|1° turno</v>
      </c>
      <c r="C1739" s="871">
        <v>46285</v>
      </c>
      <c r="D1739" t="s">
        <v>9449</v>
      </c>
      <c r="E1739" t="s">
        <v>391</v>
      </c>
      <c r="F1739" t="s">
        <v>396</v>
      </c>
      <c r="G1739">
        <v>1636</v>
      </c>
      <c r="H1739" t="s">
        <v>9333</v>
      </c>
      <c r="I1739" s="871">
        <v>46293.93683766204</v>
      </c>
      <c r="J1739" t="s">
        <v>9528</v>
      </c>
      <c r="K1739" s="975" t="str">
        <f>IF(COUNTIFS(tblControles[Clave],tblControles[[#This Row],[Clave]])&gt;1,"Duplicado","")</f>
        <v/>
      </c>
    </row>
    <row r="1740" spans="2:11">
      <c r="B1740" s="975" t="str">
        <f>tblControles[[#This Row],[Fecha]]&amp;"|"&amp;tblControles[[#This Row],[Módulo]]&amp;"|"&amp;tblControles[[#This Row],[Ítem]]&amp;"|"&amp;tblControles[[#This Row],[Turno]]</f>
        <v>46285|TONELADAS X TURNO|Molino barras 5|2° turno</v>
      </c>
      <c r="C1740" s="871">
        <v>46285</v>
      </c>
      <c r="D1740" t="s">
        <v>9449</v>
      </c>
      <c r="E1740" t="s">
        <v>391</v>
      </c>
      <c r="F1740" t="s">
        <v>397</v>
      </c>
      <c r="G1740">
        <v>1525</v>
      </c>
      <c r="H1740" t="s">
        <v>9333</v>
      </c>
      <c r="I1740" s="871">
        <v>46293.93683766204</v>
      </c>
      <c r="J1740" t="s">
        <v>9528</v>
      </c>
      <c r="K1740" s="975" t="str">
        <f>IF(COUNTIFS(tblControles[Clave],tblControles[[#This Row],[Clave]])&gt;1,"Duplicado","")</f>
        <v/>
      </c>
    </row>
    <row r="1741" spans="2:11">
      <c r="B1741" s="975" t="str">
        <f>tblControles[[#This Row],[Fecha]]&amp;"|"&amp;tblControles[[#This Row],[Módulo]]&amp;"|"&amp;tblControles[[#This Row],[Ítem]]&amp;"|"&amp;tblControles[[#This Row],[Turno]]</f>
        <v>46285|TONELADAS X TURNO|Molino barras 5|3° turno</v>
      </c>
      <c r="C1741" s="871">
        <v>46285</v>
      </c>
      <c r="D1741" t="s">
        <v>9449</v>
      </c>
      <c r="E1741" t="s">
        <v>391</v>
      </c>
      <c r="F1741" t="s">
        <v>398</v>
      </c>
      <c r="G1741">
        <v>1523</v>
      </c>
      <c r="H1741" t="s">
        <v>9333</v>
      </c>
      <c r="I1741" s="871">
        <v>46293.93683766204</v>
      </c>
      <c r="J1741" t="s">
        <v>9528</v>
      </c>
      <c r="K1741" s="975" t="str">
        <f>IF(COUNTIFS(tblControles[Clave],tblControles[[#This Row],[Clave]])&gt;1,"Duplicado","")</f>
        <v/>
      </c>
    </row>
    <row r="1742" spans="2:11">
      <c r="B1742" s="975" t="str">
        <f>tblControles[[#This Row],[Fecha]]&amp;"|"&amp;tblControles[[#This Row],[Módulo]]&amp;"|"&amp;tblControles[[#This Row],[Ítem]]&amp;"|"&amp;tblControles[[#This Row],[Turno]]</f>
        <v>46285|TONELADAS X TURNO|Molino barras 6|1° turno</v>
      </c>
      <c r="C1742" s="871">
        <v>46285</v>
      </c>
      <c r="D1742" t="s">
        <v>9449</v>
      </c>
      <c r="E1742" t="s">
        <v>392</v>
      </c>
      <c r="F1742" t="s">
        <v>396</v>
      </c>
      <c r="G1742">
        <v>1593</v>
      </c>
      <c r="H1742" t="s">
        <v>9333</v>
      </c>
      <c r="I1742" s="871">
        <v>46293.93683766204</v>
      </c>
      <c r="J1742" t="s">
        <v>9528</v>
      </c>
      <c r="K1742" s="975" t="str">
        <f>IF(COUNTIFS(tblControles[Clave],tblControles[[#This Row],[Clave]])&gt;1,"Duplicado","")</f>
        <v/>
      </c>
    </row>
    <row r="1743" spans="2:11">
      <c r="B1743" s="975" t="str">
        <f>tblControles[[#This Row],[Fecha]]&amp;"|"&amp;tblControles[[#This Row],[Módulo]]&amp;"|"&amp;tblControles[[#This Row],[Ítem]]&amp;"|"&amp;tblControles[[#This Row],[Turno]]</f>
        <v>46285|TONELADAS X TURNO|Molino barras 6|2° turno</v>
      </c>
      <c r="C1743" s="871">
        <v>46285</v>
      </c>
      <c r="D1743" t="s">
        <v>9449</v>
      </c>
      <c r="E1743" t="s">
        <v>392</v>
      </c>
      <c r="F1743" t="s">
        <v>397</v>
      </c>
      <c r="G1743">
        <v>1509</v>
      </c>
      <c r="H1743" t="s">
        <v>9333</v>
      </c>
      <c r="I1743" s="871">
        <v>46293.93683766204</v>
      </c>
      <c r="J1743" t="s">
        <v>9528</v>
      </c>
      <c r="K1743" s="975" t="str">
        <f>IF(COUNTIFS(tblControles[Clave],tblControles[[#This Row],[Clave]])&gt;1,"Duplicado","")</f>
        <v/>
      </c>
    </row>
    <row r="1744" spans="2:11">
      <c r="B1744" s="975" t="str">
        <f>tblControles[[#This Row],[Fecha]]&amp;"|"&amp;tblControles[[#This Row],[Módulo]]&amp;"|"&amp;tblControles[[#This Row],[Ítem]]&amp;"|"&amp;tblControles[[#This Row],[Turno]]</f>
        <v>46285|TONELADAS X TURNO|Molino barras 6|3° turno</v>
      </c>
      <c r="C1744" s="871">
        <v>46285</v>
      </c>
      <c r="D1744" t="s">
        <v>9449</v>
      </c>
      <c r="E1744" t="s">
        <v>392</v>
      </c>
      <c r="F1744" t="s">
        <v>398</v>
      </c>
      <c r="G1744">
        <v>1462</v>
      </c>
      <c r="H1744" t="s">
        <v>9333</v>
      </c>
      <c r="I1744" s="871">
        <v>46293.93683766204</v>
      </c>
      <c r="J1744" t="s">
        <v>9528</v>
      </c>
      <c r="K1744" s="975" t="str">
        <f>IF(COUNTIFS(tblControles[Clave],tblControles[[#This Row],[Clave]])&gt;1,"Duplicado","")</f>
        <v/>
      </c>
    </row>
    <row r="1745" spans="2:11">
      <c r="B1745" s="975" t="str">
        <f>tblControles[[#This Row],[Fecha]]&amp;"|"&amp;tblControles[[#This Row],[Módulo]]&amp;"|"&amp;tblControles[[#This Row],[Ítem]]&amp;"|"&amp;tblControles[[#This Row],[Turno]]</f>
        <v>46285|TONELADAS X TURNO|Molino barras 7|1° turno</v>
      </c>
      <c r="C1745" s="871">
        <v>46285</v>
      </c>
      <c r="D1745" t="s">
        <v>9449</v>
      </c>
      <c r="E1745" t="s">
        <v>393</v>
      </c>
      <c r="F1745" t="s">
        <v>396</v>
      </c>
      <c r="G1745">
        <v>793</v>
      </c>
      <c r="H1745" t="s">
        <v>9333</v>
      </c>
      <c r="I1745" s="871">
        <v>46293.93683766204</v>
      </c>
      <c r="J1745" t="s">
        <v>9528</v>
      </c>
      <c r="K1745" s="975" t="str">
        <f>IF(COUNTIFS(tblControles[Clave],tblControles[[#This Row],[Clave]])&gt;1,"Duplicado","")</f>
        <v/>
      </c>
    </row>
    <row r="1746" spans="2:11">
      <c r="B1746" s="975" t="str">
        <f>tblControles[[#This Row],[Fecha]]&amp;"|"&amp;tblControles[[#This Row],[Módulo]]&amp;"|"&amp;tblControles[[#This Row],[Ítem]]&amp;"|"&amp;tblControles[[#This Row],[Turno]]</f>
        <v>46285|TONELADAS X TURNO|Molino barras 7|2° turno</v>
      </c>
      <c r="C1746" s="871">
        <v>46285</v>
      </c>
      <c r="D1746" t="s">
        <v>9449</v>
      </c>
      <c r="E1746" t="s">
        <v>393</v>
      </c>
      <c r="F1746" t="s">
        <v>397</v>
      </c>
      <c r="G1746">
        <v>1497</v>
      </c>
      <c r="H1746" t="s">
        <v>9333</v>
      </c>
      <c r="I1746" s="871">
        <v>46293.93683766204</v>
      </c>
      <c r="J1746" t="s">
        <v>9528</v>
      </c>
      <c r="K1746" s="975" t="str">
        <f>IF(COUNTIFS(tblControles[Clave],tblControles[[#This Row],[Clave]])&gt;1,"Duplicado","")</f>
        <v/>
      </c>
    </row>
    <row r="1747" spans="2:11">
      <c r="B1747" s="975" t="str">
        <f>tblControles[[#This Row],[Fecha]]&amp;"|"&amp;tblControles[[#This Row],[Módulo]]&amp;"|"&amp;tblControles[[#This Row],[Ítem]]&amp;"|"&amp;tblControles[[#This Row],[Turno]]</f>
        <v>46285|TONELADAS X TURNO|Molino barras 7|3° turno</v>
      </c>
      <c r="C1747" s="871">
        <v>46285</v>
      </c>
      <c r="D1747" t="s">
        <v>9449</v>
      </c>
      <c r="E1747" t="s">
        <v>393</v>
      </c>
      <c r="F1747" t="s">
        <v>398</v>
      </c>
      <c r="G1747">
        <v>924</v>
      </c>
      <c r="H1747" t="s">
        <v>9333</v>
      </c>
      <c r="I1747" s="871">
        <v>46293.93683766204</v>
      </c>
      <c r="J1747" t="s">
        <v>9528</v>
      </c>
      <c r="K1747" s="975" t="str">
        <f>IF(COUNTIFS(tblControles[Clave],tblControles[[#This Row],[Clave]])&gt;1,"Duplicado","")</f>
        <v/>
      </c>
    </row>
    <row r="1748" spans="2:11">
      <c r="B1748" s="975" t="str">
        <f>tblControles[[#This Row],[Fecha]]&amp;"|"&amp;tblControles[[#This Row],[Módulo]]&amp;"|"&amp;tblControles[[#This Row],[Ítem]]&amp;"|"&amp;tblControles[[#This Row],[Turno]]</f>
        <v>46285|TONELADAS X TURNO|Molino barras 8|1° turno</v>
      </c>
      <c r="C1748" s="871">
        <v>46285</v>
      </c>
      <c r="D1748" t="s">
        <v>9449</v>
      </c>
      <c r="E1748" t="s">
        <v>394</v>
      </c>
      <c r="F1748" t="s">
        <v>396</v>
      </c>
      <c r="G1748">
        <v>1758</v>
      </c>
      <c r="H1748" t="s">
        <v>9333</v>
      </c>
      <c r="I1748" s="871">
        <v>46293.93683766204</v>
      </c>
      <c r="J1748" t="s">
        <v>9528</v>
      </c>
      <c r="K1748" s="975" t="str">
        <f>IF(COUNTIFS(tblControles[Clave],tblControles[[#This Row],[Clave]])&gt;1,"Duplicado","")</f>
        <v/>
      </c>
    </row>
    <row r="1749" spans="2:11">
      <c r="B1749" s="975" t="str">
        <f>tblControles[[#This Row],[Fecha]]&amp;"|"&amp;tblControles[[#This Row],[Módulo]]&amp;"|"&amp;tblControles[[#This Row],[Ítem]]&amp;"|"&amp;tblControles[[#This Row],[Turno]]</f>
        <v>46285|TONELADAS X TURNO|Molino barras 8|2° turno</v>
      </c>
      <c r="C1749" s="871">
        <v>46285</v>
      </c>
      <c r="D1749" t="s">
        <v>9449</v>
      </c>
      <c r="E1749" t="s">
        <v>394</v>
      </c>
      <c r="F1749" t="s">
        <v>397</v>
      </c>
      <c r="G1749">
        <v>1746</v>
      </c>
      <c r="H1749" t="s">
        <v>9333</v>
      </c>
      <c r="I1749" s="871">
        <v>46293.93683766204</v>
      </c>
      <c r="J1749" t="s">
        <v>9528</v>
      </c>
      <c r="K1749" s="975" t="str">
        <f>IF(COUNTIFS(tblControles[Clave],tblControles[[#This Row],[Clave]])&gt;1,"Duplicado","")</f>
        <v/>
      </c>
    </row>
    <row r="1750" spans="2:11">
      <c r="B1750" s="975" t="str">
        <f>tblControles[[#This Row],[Fecha]]&amp;"|"&amp;tblControles[[#This Row],[Módulo]]&amp;"|"&amp;tblControles[[#This Row],[Ítem]]&amp;"|"&amp;tblControles[[#This Row],[Turno]]</f>
        <v>46285|TONELADAS X TURNO|Molino barras 8|3° turno</v>
      </c>
      <c r="C1750" s="871">
        <v>46285</v>
      </c>
      <c r="D1750" t="s">
        <v>9449</v>
      </c>
      <c r="E1750" t="s">
        <v>394</v>
      </c>
      <c r="F1750" t="s">
        <v>398</v>
      </c>
      <c r="G1750">
        <v>1586</v>
      </c>
      <c r="H1750" t="s">
        <v>9333</v>
      </c>
      <c r="I1750" s="871">
        <v>46293.93683766204</v>
      </c>
      <c r="J1750" t="s">
        <v>9528</v>
      </c>
      <c r="K1750" s="975" t="str">
        <f>IF(COUNTIFS(tblControles[Clave],tblControles[[#This Row],[Clave]])&gt;1,"Duplicado","")</f>
        <v/>
      </c>
    </row>
    <row r="1751" spans="2:11">
      <c r="B1751" s="975" t="str">
        <f>tblControles[[#This Row],[Fecha]]&amp;"|"&amp;tblControles[[#This Row],[Módulo]]&amp;"|"&amp;tblControles[[#This Row],[Ítem]]&amp;"|"&amp;tblControles[[#This Row],[Turno]]</f>
        <v>46285|TONELADAS X TURNO|Molino barras 9|1° turno</v>
      </c>
      <c r="C1751" s="871">
        <v>46285</v>
      </c>
      <c r="D1751" t="s">
        <v>9449</v>
      </c>
      <c r="E1751" t="s">
        <v>395</v>
      </c>
      <c r="F1751" t="s">
        <v>396</v>
      </c>
      <c r="G1751">
        <v>769</v>
      </c>
      <c r="H1751" t="s">
        <v>9333</v>
      </c>
      <c r="I1751" s="871">
        <v>46293.93683766204</v>
      </c>
      <c r="J1751" t="s">
        <v>9528</v>
      </c>
      <c r="K1751" s="975" t="str">
        <f>IF(COUNTIFS(tblControles[Clave],tblControles[[#This Row],[Clave]])&gt;1,"Duplicado","")</f>
        <v/>
      </c>
    </row>
    <row r="1752" spans="2:11">
      <c r="B1752" s="975" t="str">
        <f>tblControles[[#This Row],[Fecha]]&amp;"|"&amp;tblControles[[#This Row],[Módulo]]&amp;"|"&amp;tblControles[[#This Row],[Ítem]]&amp;"|"&amp;tblControles[[#This Row],[Turno]]</f>
        <v>46285|TONELADAS X TURNO|Molino barras 9|2° turno</v>
      </c>
      <c r="C1752" s="871">
        <v>46285</v>
      </c>
      <c r="D1752" t="s">
        <v>9449</v>
      </c>
      <c r="E1752" t="s">
        <v>395</v>
      </c>
      <c r="F1752" t="s">
        <v>397</v>
      </c>
      <c r="G1752">
        <v>0</v>
      </c>
      <c r="H1752" t="s">
        <v>9333</v>
      </c>
      <c r="I1752" s="871">
        <v>46293.93683766204</v>
      </c>
      <c r="J1752" t="s">
        <v>9528</v>
      </c>
      <c r="K1752" s="975" t="str">
        <f>IF(COUNTIFS(tblControles[Clave],tblControles[[#This Row],[Clave]])&gt;1,"Duplicado","")</f>
        <v/>
      </c>
    </row>
    <row r="1753" spans="2:11">
      <c r="B1753" s="975" t="str">
        <f>tblControles[[#This Row],[Fecha]]&amp;"|"&amp;tblControles[[#This Row],[Módulo]]&amp;"|"&amp;tblControles[[#This Row],[Ítem]]&amp;"|"&amp;tblControles[[#This Row],[Turno]]</f>
        <v>46285|TONELADAS X TURNO|Molino barras 9|3° turno</v>
      </c>
      <c r="C1753" s="871">
        <v>46285</v>
      </c>
      <c r="D1753" t="s">
        <v>9449</v>
      </c>
      <c r="E1753" t="s">
        <v>395</v>
      </c>
      <c r="F1753" t="s">
        <v>398</v>
      </c>
      <c r="G1753">
        <v>1269</v>
      </c>
      <c r="H1753" t="s">
        <v>9333</v>
      </c>
      <c r="I1753" s="871">
        <v>46293.93683766204</v>
      </c>
      <c r="J1753" t="s">
        <v>9528</v>
      </c>
      <c r="K1753" s="975" t="str">
        <f>IF(COUNTIFS(tblControles[Clave],tblControles[[#This Row],[Clave]])&gt;1,"Duplicado","")</f>
        <v/>
      </c>
    </row>
    <row r="1754" spans="2:11">
      <c r="B1754" s="975" t="str">
        <f>tblControles[[#This Row],[Fecha]]&amp;"|"&amp;tblControles[[#This Row],[Módulo]]&amp;"|"&amp;tblControles[[#This Row],[Ítem]]&amp;"|"&amp;tblControles[[#This Row],[Turno]]</f>
        <v>46286|AGREGADO MEDIOS|BARRAS RM1|Cantidad</v>
      </c>
      <c r="C1754" s="871">
        <v>46286</v>
      </c>
      <c r="D1754" t="s">
        <v>9451</v>
      </c>
      <c r="E1754" t="s">
        <v>410</v>
      </c>
      <c r="F1754" t="s">
        <v>9453</v>
      </c>
      <c r="G1754">
        <v>0</v>
      </c>
      <c r="H1754" t="s">
        <v>9333</v>
      </c>
      <c r="I1754" s="871">
        <v>46293.93683766204</v>
      </c>
      <c r="J1754" t="s">
        <v>9524</v>
      </c>
      <c r="K1754" s="975" t="str">
        <f>IF(COUNTIFS(tblControles[Clave],tblControles[[#This Row],[Clave]])&gt;1,"Duplicado","")</f>
        <v/>
      </c>
    </row>
    <row r="1755" spans="2:11">
      <c r="B1755" s="975" t="str">
        <f>tblControles[[#This Row],[Fecha]]&amp;"|"&amp;tblControles[[#This Row],[Módulo]]&amp;"|"&amp;tblControles[[#This Row],[Ítem]]&amp;"|"&amp;tblControles[[#This Row],[Turno]]</f>
        <v>46286|AGREGADO MEDIOS|BARRAS RM2|Cantidad</v>
      </c>
      <c r="C1755" s="871">
        <v>46286</v>
      </c>
      <c r="D1755" t="s">
        <v>9451</v>
      </c>
      <c r="E1755" t="s">
        <v>411</v>
      </c>
      <c r="F1755" t="s">
        <v>9453</v>
      </c>
      <c r="G1755">
        <v>0</v>
      </c>
      <c r="H1755" t="s">
        <v>9333</v>
      </c>
      <c r="I1755" s="871">
        <v>46293.93683766204</v>
      </c>
      <c r="J1755" t="s">
        <v>9524</v>
      </c>
      <c r="K1755" s="975" t="str">
        <f>IF(COUNTIFS(tblControles[Clave],tblControles[[#This Row],[Clave]])&gt;1,"Duplicado","")</f>
        <v/>
      </c>
    </row>
    <row r="1756" spans="2:11">
      <c r="B1756" s="975" t="str">
        <f>tblControles[[#This Row],[Fecha]]&amp;"|"&amp;tblControles[[#This Row],[Módulo]]&amp;"|"&amp;tblControles[[#This Row],[Ítem]]&amp;"|"&amp;tblControles[[#This Row],[Turno]]</f>
        <v>46286|AGREGADO MEDIOS|BARRAS RM3|Cantidad</v>
      </c>
      <c r="C1756" s="871">
        <v>46286</v>
      </c>
      <c r="D1756" t="s">
        <v>9451</v>
      </c>
      <c r="E1756" t="s">
        <v>412</v>
      </c>
      <c r="F1756" t="s">
        <v>9453</v>
      </c>
      <c r="G1756">
        <v>0</v>
      </c>
      <c r="H1756" t="s">
        <v>9333</v>
      </c>
      <c r="I1756" s="871">
        <v>46293.93683766204</v>
      </c>
      <c r="J1756" t="s">
        <v>9524</v>
      </c>
      <c r="K1756" s="975" t="str">
        <f>IF(COUNTIFS(tblControles[Clave],tblControles[[#This Row],[Clave]])&gt;1,"Duplicado","")</f>
        <v/>
      </c>
    </row>
    <row r="1757" spans="2:11">
      <c r="B1757" s="975" t="str">
        <f>tblControles[[#This Row],[Fecha]]&amp;"|"&amp;tblControles[[#This Row],[Módulo]]&amp;"|"&amp;tblControles[[#This Row],[Ítem]]&amp;"|"&amp;tblControles[[#This Row],[Turno]]</f>
        <v>46286|AGREGADO MEDIOS|BARRAS RM4|Cantidad</v>
      </c>
      <c r="C1757" s="871">
        <v>46286</v>
      </c>
      <c r="D1757" t="s">
        <v>9451</v>
      </c>
      <c r="E1757" t="s">
        <v>413</v>
      </c>
      <c r="F1757" t="s">
        <v>9453</v>
      </c>
      <c r="G1757">
        <v>0</v>
      </c>
      <c r="H1757" t="s">
        <v>9333</v>
      </c>
      <c r="I1757" s="871">
        <v>46293.93683766204</v>
      </c>
      <c r="J1757" t="s">
        <v>9524</v>
      </c>
      <c r="K1757" s="975" t="str">
        <f>IF(COUNTIFS(tblControles[Clave],tblControles[[#This Row],[Clave]])&gt;1,"Duplicado","")</f>
        <v/>
      </c>
    </row>
    <row r="1758" spans="2:11">
      <c r="B1758" s="975" t="str">
        <f>tblControles[[#This Row],[Fecha]]&amp;"|"&amp;tblControles[[#This Row],[Módulo]]&amp;"|"&amp;tblControles[[#This Row],[Ítem]]&amp;"|"&amp;tblControles[[#This Row],[Turno]]</f>
        <v>46286|AGREGADO MEDIOS|BARRAS RM5|Cantidad</v>
      </c>
      <c r="C1758" s="871">
        <v>46286</v>
      </c>
      <c r="D1758" t="s">
        <v>9451</v>
      </c>
      <c r="E1758" t="s">
        <v>414</v>
      </c>
      <c r="F1758" t="s">
        <v>9453</v>
      </c>
      <c r="G1758">
        <v>0</v>
      </c>
      <c r="H1758" t="s">
        <v>9333</v>
      </c>
      <c r="I1758" s="871">
        <v>46293.93683766204</v>
      </c>
      <c r="J1758" t="s">
        <v>9524</v>
      </c>
      <c r="K1758" s="975" t="str">
        <f>IF(COUNTIFS(tblControles[Clave],tblControles[[#This Row],[Clave]])&gt;1,"Duplicado","")</f>
        <v/>
      </c>
    </row>
    <row r="1759" spans="2:11">
      <c r="B1759" s="975" t="str">
        <f>tblControles[[#This Row],[Fecha]]&amp;"|"&amp;tblControles[[#This Row],[Módulo]]&amp;"|"&amp;tblControles[[#This Row],[Ítem]]&amp;"|"&amp;tblControles[[#This Row],[Turno]]</f>
        <v>46286|AGREGADO MEDIOS|BARRAS RM6|Cantidad</v>
      </c>
      <c r="C1759" s="871">
        <v>46286</v>
      </c>
      <c r="D1759" t="s">
        <v>9451</v>
      </c>
      <c r="E1759" t="s">
        <v>415</v>
      </c>
      <c r="F1759" t="s">
        <v>9453</v>
      </c>
      <c r="G1759">
        <v>0</v>
      </c>
      <c r="H1759" t="s">
        <v>9333</v>
      </c>
      <c r="I1759" s="871">
        <v>46293.93683766204</v>
      </c>
      <c r="J1759" t="s">
        <v>9524</v>
      </c>
      <c r="K1759" s="975" t="str">
        <f>IF(COUNTIFS(tblControles[Clave],tblControles[[#This Row],[Clave]])&gt;1,"Duplicado","")</f>
        <v/>
      </c>
    </row>
    <row r="1760" spans="2:11">
      <c r="B1760" s="975" t="str">
        <f>tblControles[[#This Row],[Fecha]]&amp;"|"&amp;tblControles[[#This Row],[Módulo]]&amp;"|"&amp;tblControles[[#This Row],[Ítem]]&amp;"|"&amp;tblControles[[#This Row],[Turno]]</f>
        <v>46286|AGREGADO MEDIOS|BARRAS RM7|Cantidad</v>
      </c>
      <c r="C1760" s="871">
        <v>46286</v>
      </c>
      <c r="D1760" t="s">
        <v>9451</v>
      </c>
      <c r="E1760" t="s">
        <v>416</v>
      </c>
      <c r="F1760" t="s">
        <v>9453</v>
      </c>
      <c r="G1760">
        <v>0</v>
      </c>
      <c r="H1760" t="s">
        <v>9333</v>
      </c>
      <c r="I1760" s="871">
        <v>46293.93683766204</v>
      </c>
      <c r="J1760" t="s">
        <v>9524</v>
      </c>
      <c r="K1760" s="975" t="str">
        <f>IF(COUNTIFS(tblControles[Clave],tblControles[[#This Row],[Clave]])&gt;1,"Duplicado","")</f>
        <v/>
      </c>
    </row>
    <row r="1761" spans="2:11">
      <c r="B1761" s="975" t="str">
        <f>tblControles[[#This Row],[Fecha]]&amp;"|"&amp;tblControles[[#This Row],[Módulo]]&amp;"|"&amp;tblControles[[#This Row],[Ítem]]&amp;"|"&amp;tblControles[[#This Row],[Turno]]</f>
        <v>46286|AGREGADO MEDIOS|BARRAS RM8|Cantidad</v>
      </c>
      <c r="C1761" s="871">
        <v>46286</v>
      </c>
      <c r="D1761" t="s">
        <v>9451</v>
      </c>
      <c r="E1761" t="s">
        <v>417</v>
      </c>
      <c r="F1761" t="s">
        <v>9453</v>
      </c>
      <c r="G1761">
        <v>0</v>
      </c>
      <c r="H1761" t="s">
        <v>9333</v>
      </c>
      <c r="I1761" s="871">
        <v>46293.93683766204</v>
      </c>
      <c r="J1761" t="s">
        <v>9524</v>
      </c>
      <c r="K1761" s="975" t="str">
        <f>IF(COUNTIFS(tblControles[Clave],tblControles[[#This Row],[Clave]])&gt;1,"Duplicado","")</f>
        <v/>
      </c>
    </row>
    <row r="1762" spans="2:11">
      <c r="B1762" s="975" t="str">
        <f>tblControles[[#This Row],[Fecha]]&amp;"|"&amp;tblControles[[#This Row],[Módulo]]&amp;"|"&amp;tblControles[[#This Row],[Ítem]]&amp;"|"&amp;tblControles[[#This Row],[Turno]]</f>
        <v>46286|AGREGADO MEDIOS|BARRAS 9 RM9|Cantidad</v>
      </c>
      <c r="C1762" s="871">
        <v>46286</v>
      </c>
      <c r="D1762" t="s">
        <v>9451</v>
      </c>
      <c r="E1762" t="s">
        <v>418</v>
      </c>
      <c r="F1762" t="s">
        <v>9453</v>
      </c>
      <c r="G1762">
        <v>0</v>
      </c>
      <c r="H1762" t="s">
        <v>9333</v>
      </c>
      <c r="I1762" s="871">
        <v>46293.93683766204</v>
      </c>
      <c r="J1762" t="s">
        <v>9524</v>
      </c>
      <c r="K1762" s="975" t="str">
        <f>IF(COUNTIFS(tblControles[Clave],tblControles[[#This Row],[Clave]])&gt;1,"Duplicado","")</f>
        <v/>
      </c>
    </row>
    <row r="1763" spans="2:11">
      <c r="B1763" s="975" t="str">
        <f>tblControles[[#This Row],[Fecha]]&amp;"|"&amp;tblControles[[#This Row],[Módulo]]&amp;"|"&amp;tblControles[[#This Row],[Ítem]]&amp;"|"&amp;tblControles[[#This Row],[Turno]]</f>
        <v>46286|AGREGADO MEDIOS|CONOS 40X50 BM1|Cantidad</v>
      </c>
      <c r="C1763" s="871">
        <v>46286</v>
      </c>
      <c r="D1763" t="s">
        <v>9451</v>
      </c>
      <c r="E1763" t="s">
        <v>420</v>
      </c>
      <c r="F1763" t="s">
        <v>9453</v>
      </c>
      <c r="G1763">
        <v>4</v>
      </c>
      <c r="H1763" t="s">
        <v>9333</v>
      </c>
      <c r="I1763" s="871">
        <v>46293.93683766204</v>
      </c>
      <c r="J1763" t="s">
        <v>9524</v>
      </c>
      <c r="K1763" s="975" t="str">
        <f>IF(COUNTIFS(tblControles[Clave],tblControles[[#This Row],[Clave]])&gt;1,"Duplicado","")</f>
        <v/>
      </c>
    </row>
    <row r="1764" spans="2:11">
      <c r="B1764" s="975" t="str">
        <f>tblControles[[#This Row],[Fecha]]&amp;"|"&amp;tblControles[[#This Row],[Módulo]]&amp;"|"&amp;tblControles[[#This Row],[Ítem]]&amp;"|"&amp;tblControles[[#This Row],[Turno]]</f>
        <v>46286|AGREGADO MEDIOS|CONOS 40X50 BM2|Cantidad</v>
      </c>
      <c r="C1764" s="871">
        <v>46286</v>
      </c>
      <c r="D1764" t="s">
        <v>9451</v>
      </c>
      <c r="E1764" t="s">
        <v>421</v>
      </c>
      <c r="F1764" t="s">
        <v>9453</v>
      </c>
      <c r="G1764">
        <v>0</v>
      </c>
      <c r="H1764" t="s">
        <v>9333</v>
      </c>
      <c r="I1764" s="871">
        <v>46293.93683766204</v>
      </c>
      <c r="J1764" t="s">
        <v>9524</v>
      </c>
      <c r="K1764" s="975" t="str">
        <f>IF(COUNTIFS(tblControles[Clave],tblControles[[#This Row],[Clave]])&gt;1,"Duplicado","")</f>
        <v/>
      </c>
    </row>
    <row r="1765" spans="2:11">
      <c r="B1765" s="975" t="str">
        <f>tblControles[[#This Row],[Fecha]]&amp;"|"&amp;tblControles[[#This Row],[Módulo]]&amp;"|"&amp;tblControles[[#This Row],[Ítem]]&amp;"|"&amp;tblControles[[#This Row],[Turno]]</f>
        <v>46286|AGREGADO MEDIOS|CONOS 40X50 BM3|Cantidad</v>
      </c>
      <c r="C1765" s="871">
        <v>46286</v>
      </c>
      <c r="D1765" t="s">
        <v>9451</v>
      </c>
      <c r="E1765" t="s">
        <v>422</v>
      </c>
      <c r="F1765" t="s">
        <v>9453</v>
      </c>
      <c r="G1765">
        <v>0</v>
      </c>
      <c r="H1765" t="s">
        <v>9333</v>
      </c>
      <c r="I1765" s="871">
        <v>46293.93683766204</v>
      </c>
      <c r="J1765" t="s">
        <v>9524</v>
      </c>
      <c r="K1765" s="975" t="str">
        <f>IF(COUNTIFS(tblControles[Clave],tblControles[[#This Row],[Clave]])&gt;1,"Duplicado","")</f>
        <v/>
      </c>
    </row>
    <row r="1766" spans="2:11">
      <c r="B1766" s="975" t="str">
        <f>tblControles[[#This Row],[Fecha]]&amp;"|"&amp;tblControles[[#This Row],[Módulo]]&amp;"|"&amp;tblControles[[#This Row],[Ítem]]&amp;"|"&amp;tblControles[[#This Row],[Turno]]</f>
        <v>46286|AGREGADO MEDIOS|CONOS 40X50 BM4|Cantidad</v>
      </c>
      <c r="C1766" s="871">
        <v>46286</v>
      </c>
      <c r="D1766" t="s">
        <v>9451</v>
      </c>
      <c r="E1766" t="s">
        <v>423</v>
      </c>
      <c r="F1766" t="s">
        <v>9453</v>
      </c>
      <c r="G1766">
        <v>6</v>
      </c>
      <c r="H1766" t="s">
        <v>9333</v>
      </c>
      <c r="I1766" s="871">
        <v>46293.93683766204</v>
      </c>
      <c r="J1766" t="s">
        <v>9524</v>
      </c>
      <c r="K1766" s="975" t="str">
        <f>IF(COUNTIFS(tblControles[Clave],tblControles[[#This Row],[Clave]])&gt;1,"Duplicado","")</f>
        <v/>
      </c>
    </row>
    <row r="1767" spans="2:11">
      <c r="B1767" s="975" t="str">
        <f>tblControles[[#This Row],[Fecha]]&amp;"|"&amp;tblControles[[#This Row],[Módulo]]&amp;"|"&amp;tblControles[[#This Row],[Ítem]]&amp;"|"&amp;tblControles[[#This Row],[Turno]]</f>
        <v>46286|AGREGADO MEDIOS|CONOS 30X35 BM5|Cantidad</v>
      </c>
      <c r="C1767" s="871">
        <v>46286</v>
      </c>
      <c r="D1767" t="s">
        <v>9451</v>
      </c>
      <c r="E1767" t="s">
        <v>424</v>
      </c>
      <c r="F1767" t="s">
        <v>9453</v>
      </c>
      <c r="G1767">
        <v>0</v>
      </c>
      <c r="H1767" t="s">
        <v>9333</v>
      </c>
      <c r="I1767" s="871">
        <v>46293.93683766204</v>
      </c>
      <c r="J1767" t="s">
        <v>9524</v>
      </c>
      <c r="K1767" s="975" t="str">
        <f>IF(COUNTIFS(tblControles[Clave],tblControles[[#This Row],[Clave]])&gt;1,"Duplicado","")</f>
        <v/>
      </c>
    </row>
    <row r="1768" spans="2:11">
      <c r="B1768" s="975" t="str">
        <f>tblControles[[#This Row],[Fecha]]&amp;"|"&amp;tblControles[[#This Row],[Módulo]]&amp;"|"&amp;tblControles[[#This Row],[Ítem]]&amp;"|"&amp;tblControles[[#This Row],[Turno]]</f>
        <v>46286|AGREGADO MEDIOS|CONOS 40X50 BM6|Cantidad</v>
      </c>
      <c r="C1768" s="871">
        <v>46286</v>
      </c>
      <c r="D1768" t="s">
        <v>9451</v>
      </c>
      <c r="E1768" t="s">
        <v>425</v>
      </c>
      <c r="F1768" t="s">
        <v>9453</v>
      </c>
      <c r="G1768">
        <v>6</v>
      </c>
      <c r="H1768" t="s">
        <v>9333</v>
      </c>
      <c r="I1768" s="871">
        <v>46293.93683766204</v>
      </c>
      <c r="J1768" t="s">
        <v>9524</v>
      </c>
      <c r="K1768" s="975" t="str">
        <f>IF(COUNTIFS(tblControles[Clave],tblControles[[#This Row],[Clave]])&gt;1,"Duplicado","")</f>
        <v/>
      </c>
    </row>
    <row r="1769" spans="2:11">
      <c r="B1769" s="975" t="str">
        <f>tblControles[[#This Row],[Fecha]]&amp;"|"&amp;tblControles[[#This Row],[Módulo]]&amp;"|"&amp;tblControles[[#This Row],[Ítem]]&amp;"|"&amp;tblControles[[#This Row],[Turno]]</f>
        <v>46286|AGREGADO MEDIOS|CONOS 40X50 BM7|Cantidad</v>
      </c>
      <c r="C1769" s="871">
        <v>46286</v>
      </c>
      <c r="D1769" t="s">
        <v>9451</v>
      </c>
      <c r="E1769" t="s">
        <v>426</v>
      </c>
      <c r="F1769" t="s">
        <v>9453</v>
      </c>
      <c r="G1769">
        <v>0</v>
      </c>
      <c r="H1769" t="s">
        <v>9333</v>
      </c>
      <c r="I1769" s="871">
        <v>46293.93683766204</v>
      </c>
      <c r="J1769" t="s">
        <v>9524</v>
      </c>
      <c r="K1769" s="975" t="str">
        <f>IF(COUNTIFS(tblControles[Clave],tblControles[[#This Row],[Clave]])&gt;1,"Duplicado","")</f>
        <v/>
      </c>
    </row>
    <row r="1770" spans="2:11">
      <c r="B1770" s="975" t="str">
        <f>tblControles[[#This Row],[Fecha]]&amp;"|"&amp;tblControles[[#This Row],[Módulo]]&amp;"|"&amp;tblControles[[#This Row],[Ítem]]&amp;"|"&amp;tblControles[[#This Row],[Turno]]</f>
        <v>46286|AGREGADO MEDIOS|CONOS 40X50|Cantidad</v>
      </c>
      <c r="C1770" s="871">
        <v>46286</v>
      </c>
      <c r="D1770" t="s">
        <v>9451</v>
      </c>
      <c r="E1770" t="s">
        <v>427</v>
      </c>
      <c r="F1770" t="s">
        <v>9453</v>
      </c>
      <c r="G1770">
        <v>4</v>
      </c>
      <c r="H1770" t="s">
        <v>9333</v>
      </c>
      <c r="I1770" s="871">
        <v>46293.93683766204</v>
      </c>
      <c r="J1770" t="s">
        <v>9524</v>
      </c>
      <c r="K1770" s="975" t="str">
        <f>IF(COUNTIFS(tblControles[Clave],tblControles[[#This Row],[Clave]])&gt;1,"Duplicado","")</f>
        <v/>
      </c>
    </row>
    <row r="1771" spans="2:11">
      <c r="B1771" s="975" t="str">
        <f>tblControles[[#This Row],[Fecha]]&amp;"|"&amp;tblControles[[#This Row],[Módulo]]&amp;"|"&amp;tblControles[[#This Row],[Ítem]]&amp;"|"&amp;tblControles[[#This Row],[Turno]]</f>
        <v>46286|AGREGADO MEDIOS|CONOS 30X35|Cantidad</v>
      </c>
      <c r="C1771" s="871">
        <v>46286</v>
      </c>
      <c r="D1771" t="s">
        <v>9451</v>
      </c>
      <c r="E1771" t="s">
        <v>428</v>
      </c>
      <c r="F1771" t="s">
        <v>9453</v>
      </c>
      <c r="G1771">
        <v>12</v>
      </c>
      <c r="H1771" t="s">
        <v>9333</v>
      </c>
      <c r="I1771" s="871">
        <v>46293.93683766204</v>
      </c>
      <c r="J1771" t="s">
        <v>9524</v>
      </c>
      <c r="K1771" s="975" t="str">
        <f>IF(COUNTIFS(tblControles[Clave],tblControles[[#This Row],[Clave]])&gt;1,"Duplicado","")</f>
        <v/>
      </c>
    </row>
    <row r="1772" spans="2:11">
      <c r="B1772" s="975" t="str">
        <f>tblControles[[#This Row],[Fecha]]&amp;"|"&amp;tblControles[[#This Row],[Módulo]]&amp;"|"&amp;tblControles[[#This Row],[Ítem]]&amp;"|"&amp;tblControles[[#This Row],[Turno]]</f>
        <v>46286|AGREGADO MEDIOS|BOLAS BM8|Cantidad</v>
      </c>
      <c r="C1772" s="871">
        <v>46286</v>
      </c>
      <c r="D1772" t="s">
        <v>9451</v>
      </c>
      <c r="E1772" t="s">
        <v>429</v>
      </c>
      <c r="F1772" t="s">
        <v>9453</v>
      </c>
      <c r="G1772">
        <v>0</v>
      </c>
      <c r="H1772" t="s">
        <v>9333</v>
      </c>
      <c r="I1772" s="871">
        <v>46293.93683766204</v>
      </c>
      <c r="J1772" t="s">
        <v>9524</v>
      </c>
      <c r="K1772" s="975" t="str">
        <f>IF(COUNTIFS(tblControles[Clave],tblControles[[#This Row],[Clave]])&gt;1,"Duplicado","")</f>
        <v/>
      </c>
    </row>
    <row r="1773" spans="2:11">
      <c r="B1773" s="975" t="str">
        <f>tblControles[[#This Row],[Fecha]]&amp;"|"&amp;tblControles[[#This Row],[Módulo]]&amp;"|"&amp;tblControles[[#This Row],[Ítem]]&amp;"|"&amp;tblControles[[#This Row],[Turno]]</f>
        <v>46286|AGREGADO MEDIOS|BOLAS BM9|Cantidad</v>
      </c>
      <c r="C1773" s="871">
        <v>46286</v>
      </c>
      <c r="D1773" t="s">
        <v>9451</v>
      </c>
      <c r="E1773" t="s">
        <v>430</v>
      </c>
      <c r="F1773" t="s">
        <v>9453</v>
      </c>
      <c r="G1773">
        <v>0</v>
      </c>
      <c r="H1773" t="s">
        <v>9333</v>
      </c>
      <c r="I1773" s="871">
        <v>46293.93683766204</v>
      </c>
      <c r="J1773" t="s">
        <v>9524</v>
      </c>
      <c r="K1773" s="975" t="str">
        <f>IF(COUNTIFS(tblControles[Clave],tblControles[[#This Row],[Clave]])&gt;1,"Duplicado","")</f>
        <v/>
      </c>
    </row>
    <row r="1774" spans="2:11">
      <c r="B1774" s="975" t="str">
        <f>tblControles[[#This Row],[Fecha]]&amp;"|"&amp;tblControles[[#This Row],[Módulo]]&amp;"|"&amp;tblControles[[#This Row],[Ítem]]&amp;"|"&amp;tblControles[[#This Row],[Turno]]</f>
        <v>46286|AGREGADO MEDIOS|BOLAS BM10|Cantidad</v>
      </c>
      <c r="C1774" s="871">
        <v>46286</v>
      </c>
      <c r="D1774" t="s">
        <v>9451</v>
      </c>
      <c r="E1774" t="s">
        <v>431</v>
      </c>
      <c r="F1774" t="s">
        <v>9453</v>
      </c>
      <c r="G1774">
        <v>0</v>
      </c>
      <c r="H1774" t="s">
        <v>9333</v>
      </c>
      <c r="I1774" s="871">
        <v>46293.93683766204</v>
      </c>
      <c r="J1774" t="s">
        <v>9524</v>
      </c>
      <c r="K1774" s="975" t="str">
        <f>IF(COUNTIFS(tblControles[Clave],tblControles[[#This Row],[Clave]])&gt;1,"Duplicado","")</f>
        <v/>
      </c>
    </row>
    <row r="1775" spans="2:11">
      <c r="B1775" s="975" t="str">
        <f>tblControles[[#This Row],[Fecha]]&amp;"|"&amp;tblControles[[#This Row],[Módulo]]&amp;"|"&amp;tblControles[[#This Row],[Ítem]]&amp;"|"&amp;tblControles[[#This Row],[Turno]]</f>
        <v>46286|AGREGADO MEDIOS|BOLAS ALTO CROM|Cantidad</v>
      </c>
      <c r="C1775" s="871">
        <v>46286</v>
      </c>
      <c r="D1775" t="s">
        <v>9451</v>
      </c>
      <c r="E1775" t="s">
        <v>432</v>
      </c>
      <c r="F1775" t="s">
        <v>9453</v>
      </c>
      <c r="G1775">
        <v>0</v>
      </c>
      <c r="H1775" t="s">
        <v>9333</v>
      </c>
      <c r="I1775" s="871">
        <v>46293.93683766204</v>
      </c>
      <c r="J1775" t="s">
        <v>9524</v>
      </c>
      <c r="K1775" s="975" t="str">
        <f>IF(COUNTIFS(tblControles[Clave],tblControles[[#This Row],[Clave]])&gt;1,"Duplicado","")</f>
        <v/>
      </c>
    </row>
    <row r="1776" spans="2:11">
      <c r="B1776" s="975" t="str">
        <f>tblControles[[#This Row],[Fecha]]&amp;"|"&amp;tblControles[[#This Row],[Módulo]]&amp;"|"&amp;tblControles[[#This Row],[Ítem]]&amp;"|"&amp;tblControles[[#This Row],[Turno]]</f>
        <v>46286|FILTROS H2O|Filtro # 1|2 TURNO</v>
      </c>
      <c r="C1776" s="871">
        <v>46286</v>
      </c>
      <c r="D1776" t="s">
        <v>9430</v>
      </c>
      <c r="E1776" t="s">
        <v>9525</v>
      </c>
      <c r="F1776" t="s">
        <v>327</v>
      </c>
      <c r="G1776" t="s">
        <v>3227</v>
      </c>
      <c r="H1776" t="s">
        <v>9333</v>
      </c>
      <c r="I1776" s="871">
        <v>46293.93683766204</v>
      </c>
      <c r="J1776" t="s">
        <v>9532</v>
      </c>
      <c r="K1776" s="975" t="str">
        <f>IF(COUNTIFS(tblControles[Clave],tblControles[[#This Row],[Clave]])&gt;1,"Duplicado","")</f>
        <v/>
      </c>
    </row>
    <row r="1777" spans="2:11">
      <c r="B1777" s="975" t="str">
        <f>tblControles[[#This Row],[Fecha]]&amp;"|"&amp;tblControles[[#This Row],[Módulo]]&amp;"|"&amp;tblControles[[#This Row],[Ítem]]&amp;"|"&amp;tblControles[[#This Row],[Turno]]</f>
        <v>46286|FILTROS H2O|Filtro # 2|2 TURNO</v>
      </c>
      <c r="C1777" s="871">
        <v>46286</v>
      </c>
      <c r="D1777" t="s">
        <v>9430</v>
      </c>
      <c r="E1777" t="s">
        <v>9463</v>
      </c>
      <c r="F1777" t="s">
        <v>327</v>
      </c>
      <c r="G1777" t="s">
        <v>3227</v>
      </c>
      <c r="H1777" t="s">
        <v>9333</v>
      </c>
      <c r="I1777" s="871">
        <v>46293.93683766204</v>
      </c>
      <c r="J1777" t="s">
        <v>9532</v>
      </c>
      <c r="K1777" s="975" t="str">
        <f>IF(COUNTIFS(tblControles[Clave],tblControles[[#This Row],[Clave]])&gt;1,"Duplicado","")</f>
        <v/>
      </c>
    </row>
    <row r="1778" spans="2:11">
      <c r="B1778" s="975" t="str">
        <f>tblControles[[#This Row],[Fecha]]&amp;"|"&amp;tblControles[[#This Row],[Módulo]]&amp;"|"&amp;tblControles[[#This Row],[Ítem]]&amp;"|"&amp;tblControles[[#This Row],[Turno]]</f>
        <v>46286|FILTROS H2O|Filtro # 3|2 TURNO</v>
      </c>
      <c r="C1778" s="871">
        <v>46286</v>
      </c>
      <c r="D1778" t="s">
        <v>9430</v>
      </c>
      <c r="E1778" t="s">
        <v>9464</v>
      </c>
      <c r="F1778" t="s">
        <v>327</v>
      </c>
      <c r="G1778" t="s">
        <v>3227</v>
      </c>
      <c r="H1778" t="s">
        <v>9333</v>
      </c>
      <c r="I1778" s="871">
        <v>46293.93683766204</v>
      </c>
      <c r="J1778" t="s">
        <v>9532</v>
      </c>
      <c r="K1778" s="975" t="str">
        <f>IF(COUNTIFS(tblControles[Clave],tblControles[[#This Row],[Clave]])&gt;1,"Duplicado","")</f>
        <v/>
      </c>
    </row>
    <row r="1779" spans="2:11">
      <c r="B1779" s="975" t="str">
        <f>tblControles[[#This Row],[Fecha]]&amp;"|"&amp;tblControles[[#This Row],[Módulo]]&amp;"|"&amp;tblControles[[#This Row],[Ítem]]&amp;"|"&amp;tblControles[[#This Row],[Turno]]</f>
        <v>46286|FILTROS H2O|Filtro # 4|2 TURNO</v>
      </c>
      <c r="C1779" s="871">
        <v>46286</v>
      </c>
      <c r="D1779" t="s">
        <v>9430</v>
      </c>
      <c r="E1779" t="s">
        <v>9465</v>
      </c>
      <c r="F1779" t="s">
        <v>327</v>
      </c>
      <c r="G1779" t="s">
        <v>345</v>
      </c>
      <c r="H1779" t="s">
        <v>9333</v>
      </c>
      <c r="I1779" s="871">
        <v>46293.93683766204</v>
      </c>
      <c r="J1779" t="s">
        <v>9532</v>
      </c>
      <c r="K1779" s="975" t="str">
        <f>IF(COUNTIFS(tblControles[Clave],tblControles[[#This Row],[Clave]])&gt;1,"Duplicado","")</f>
        <v/>
      </c>
    </row>
    <row r="1780" spans="2:11">
      <c r="B1780" s="975" t="str">
        <f>tblControles[[#This Row],[Fecha]]&amp;"|"&amp;tblControles[[#This Row],[Módulo]]&amp;"|"&amp;tblControles[[#This Row],[Ítem]]&amp;"|"&amp;tblControles[[#This Row],[Turno]]</f>
        <v>46286|FILTROS H2O|Filtro # 5|2 TURNO</v>
      </c>
      <c r="C1780" s="871">
        <v>46286</v>
      </c>
      <c r="D1780" t="s">
        <v>9430</v>
      </c>
      <c r="E1780" t="s">
        <v>9466</v>
      </c>
      <c r="F1780" t="s">
        <v>327</v>
      </c>
      <c r="G1780" t="s">
        <v>3227</v>
      </c>
      <c r="H1780" t="s">
        <v>9333</v>
      </c>
      <c r="I1780" s="871">
        <v>46293.93683766204</v>
      </c>
      <c r="J1780" t="s">
        <v>9532</v>
      </c>
      <c r="K1780" s="975" t="str">
        <f>IF(COUNTIFS(tblControles[Clave],tblControles[[#This Row],[Clave]])&gt;1,"Duplicado","")</f>
        <v/>
      </c>
    </row>
    <row r="1781" spans="2:11">
      <c r="B1781" s="975" t="str">
        <f>tblControles[[#This Row],[Fecha]]&amp;"|"&amp;tblControles[[#This Row],[Módulo]]&amp;"|"&amp;tblControles[[#This Row],[Ítem]]&amp;"|"&amp;tblControles[[#This Row],[Turno]]</f>
        <v>46286|FILTROS H2O|Filtro Linea # 5|2 TURNO</v>
      </c>
      <c r="C1781" s="871">
        <v>46286</v>
      </c>
      <c r="D1781" t="s">
        <v>9430</v>
      </c>
      <c r="E1781" t="s">
        <v>331</v>
      </c>
      <c r="F1781" t="s">
        <v>327</v>
      </c>
      <c r="G1781" t="s">
        <v>3227</v>
      </c>
      <c r="H1781" t="s">
        <v>9333</v>
      </c>
      <c r="I1781" s="871">
        <v>46293.93683766204</v>
      </c>
      <c r="J1781" t="s">
        <v>9532</v>
      </c>
      <c r="K1781" s="975" t="str">
        <f>IF(COUNTIFS(tblControles[Clave],tblControles[[#This Row],[Clave]])&gt;1,"Duplicado","")</f>
        <v/>
      </c>
    </row>
    <row r="1782" spans="2:11">
      <c r="B1782" s="975" t="str">
        <f>tblControles[[#This Row],[Fecha]]&amp;"|"&amp;tblControles[[#This Row],[Módulo]]&amp;"|"&amp;tblControles[[#This Row],[Ítem]]&amp;"|"&amp;tblControles[[#This Row],[Turno]]</f>
        <v>46286|FILTROS H2O|Filtro Linea # 6|2 TURNO</v>
      </c>
      <c r="C1782" s="871">
        <v>46286</v>
      </c>
      <c r="D1782" t="s">
        <v>9430</v>
      </c>
      <c r="E1782" t="s">
        <v>332</v>
      </c>
      <c r="F1782" t="s">
        <v>327</v>
      </c>
      <c r="G1782" t="s">
        <v>3227</v>
      </c>
      <c r="H1782" t="s">
        <v>9333</v>
      </c>
      <c r="I1782" s="871">
        <v>46293.93683766204</v>
      </c>
      <c r="J1782" t="s">
        <v>9532</v>
      </c>
      <c r="K1782" s="975" t="str">
        <f>IF(COUNTIFS(tblControles[Clave],tblControles[[#This Row],[Clave]])&gt;1,"Duplicado","")</f>
        <v/>
      </c>
    </row>
    <row r="1783" spans="2:11">
      <c r="B1783" s="975" t="str">
        <f>tblControles[[#This Row],[Fecha]]&amp;"|"&amp;tblControles[[#This Row],[Módulo]]&amp;"|"&amp;tblControles[[#This Row],[Ítem]]&amp;"|"&amp;tblControles[[#This Row],[Turno]]</f>
        <v>46286|FILTROS H2O|Filtro Linea # 7|2 TURNO</v>
      </c>
      <c r="C1783" s="871">
        <v>46286</v>
      </c>
      <c r="D1783" t="s">
        <v>9430</v>
      </c>
      <c r="E1783" t="s">
        <v>9467</v>
      </c>
      <c r="F1783" t="s">
        <v>327</v>
      </c>
      <c r="G1783" t="s">
        <v>345</v>
      </c>
      <c r="H1783" t="s">
        <v>9333</v>
      </c>
      <c r="I1783" s="871">
        <v>46293.93683766204</v>
      </c>
      <c r="J1783" t="s">
        <v>9532</v>
      </c>
      <c r="K1783" s="975" t="str">
        <f>IF(COUNTIFS(tblControles[Clave],tblControles[[#This Row],[Clave]])&gt;1,"Duplicado","")</f>
        <v/>
      </c>
    </row>
    <row r="1784" spans="2:11">
      <c r="B1784" s="975" t="str">
        <f>tblControles[[#This Row],[Fecha]]&amp;"|"&amp;tblControles[[#This Row],[Módulo]]&amp;"|"&amp;tblControles[[#This Row],[Ítem]]&amp;"|"&amp;tblControles[[#This Row],[Turno]]</f>
        <v>46286|FILTROS H2O|Filtro Linea # 8|2 TURNO</v>
      </c>
      <c r="C1784" s="871">
        <v>46286</v>
      </c>
      <c r="D1784" t="s">
        <v>9430</v>
      </c>
      <c r="E1784" t="s">
        <v>9468</v>
      </c>
      <c r="F1784" t="s">
        <v>327</v>
      </c>
      <c r="G1784" t="s">
        <v>345</v>
      </c>
      <c r="H1784" t="s">
        <v>9333</v>
      </c>
      <c r="I1784" s="871">
        <v>46293.93683766204</v>
      </c>
      <c r="J1784" t="s">
        <v>9532</v>
      </c>
      <c r="K1784" s="975" t="str">
        <f>IF(COUNTIFS(tblControles[Clave],tblControles[[#This Row],[Clave]])&gt;1,"Duplicado","")</f>
        <v/>
      </c>
    </row>
    <row r="1785" spans="2:11">
      <c r="B1785" s="975" t="str">
        <f>tblControles[[#This Row],[Fecha]]&amp;"|"&amp;tblControles[[#This Row],[Módulo]]&amp;"|"&amp;tblControles[[#This Row],[Ítem]]&amp;"|"&amp;tblControles[[#This Row],[Turno]]</f>
        <v>46286|FILTROS H2O|Filtro Linea # 9 (01)|2 TURNO</v>
      </c>
      <c r="C1785" s="871">
        <v>46286</v>
      </c>
      <c r="D1785" t="s">
        <v>9430</v>
      </c>
      <c r="E1785" t="s">
        <v>9469</v>
      </c>
      <c r="F1785" t="s">
        <v>327</v>
      </c>
      <c r="G1785" t="s">
        <v>3227</v>
      </c>
      <c r="H1785" t="s">
        <v>9333</v>
      </c>
      <c r="I1785" s="871">
        <v>46293.93683766204</v>
      </c>
      <c r="J1785" t="s">
        <v>9532</v>
      </c>
      <c r="K1785" s="975" t="str">
        <f>IF(COUNTIFS(tblControles[Clave],tblControles[[#This Row],[Clave]])&gt;1,"Duplicado","")</f>
        <v/>
      </c>
    </row>
    <row r="1786" spans="2:11">
      <c r="B1786" s="975" t="str">
        <f>tblControles[[#This Row],[Fecha]]&amp;"|"&amp;tblControles[[#This Row],[Módulo]]&amp;"|"&amp;tblControles[[#This Row],[Ítem]]&amp;"|"&amp;tblControles[[#This Row],[Turno]]</f>
        <v>46286|FILTROS H2O|Filtro Linea # 9 (02)|2 TURNO</v>
      </c>
      <c r="C1786" s="871">
        <v>46286</v>
      </c>
      <c r="D1786" t="s">
        <v>9430</v>
      </c>
      <c r="E1786" t="s">
        <v>9470</v>
      </c>
      <c r="F1786" t="s">
        <v>327</v>
      </c>
      <c r="G1786" t="s">
        <v>345</v>
      </c>
      <c r="H1786" t="s">
        <v>9333</v>
      </c>
      <c r="I1786" s="871">
        <v>46293.93683766204</v>
      </c>
      <c r="J1786" t="s">
        <v>9532</v>
      </c>
      <c r="K1786" s="975" t="str">
        <f>IF(COUNTIFS(tblControles[Clave],tblControles[[#This Row],[Clave]])&gt;1,"Duplicado","")</f>
        <v/>
      </c>
    </row>
    <row r="1787" spans="2:11">
      <c r="B1787" s="975" t="str">
        <f>tblControles[[#This Row],[Fecha]]&amp;"|"&amp;tblControles[[#This Row],[Módulo]]&amp;"|"&amp;tblControles[[#This Row],[Ítem]]&amp;"|"&amp;tblControles[[#This Row],[Turno]]</f>
        <v>46286|PURGA TKS AIRE|TK-MG-S. ROTULO|2do Turno</v>
      </c>
      <c r="C1787" s="871">
        <v>46286</v>
      </c>
      <c r="D1787" t="s">
        <v>9433</v>
      </c>
      <c r="E1787" t="s">
        <v>9471</v>
      </c>
      <c r="F1787" t="s">
        <v>9436</v>
      </c>
      <c r="G1787" t="s">
        <v>3227</v>
      </c>
      <c r="H1787" t="s">
        <v>9333</v>
      </c>
      <c r="I1787" s="871">
        <v>46293.93683766204</v>
      </c>
      <c r="J1787" t="s">
        <v>9530</v>
      </c>
      <c r="K1787" s="975" t="str">
        <f>IF(COUNTIFS(tblControles[Clave],tblControles[[#This Row],[Clave]])&gt;1,"Duplicado","")</f>
        <v/>
      </c>
    </row>
    <row r="1788" spans="2:11">
      <c r="B1788" s="975" t="str">
        <f>tblControles[[#This Row],[Fecha]]&amp;"|"&amp;tblControles[[#This Row],[Módulo]]&amp;"|"&amp;tblControles[[#This Row],[Ítem]]&amp;"|"&amp;tblControles[[#This Row],[Turno]]</f>
        <v>46286|PURGA TKS AIRE|TK-MG-001|2do Turno</v>
      </c>
      <c r="C1788" s="871">
        <v>46286</v>
      </c>
      <c r="D1788" t="s">
        <v>9433</v>
      </c>
      <c r="E1788" t="s">
        <v>337</v>
      </c>
      <c r="F1788" t="s">
        <v>9436</v>
      </c>
      <c r="G1788" t="s">
        <v>3227</v>
      </c>
      <c r="H1788" t="s">
        <v>9333</v>
      </c>
      <c r="I1788" s="871">
        <v>46293.93683766204</v>
      </c>
      <c r="J1788" t="s">
        <v>9530</v>
      </c>
      <c r="K1788" s="975" t="str">
        <f>IF(COUNTIFS(tblControles[Clave],tblControles[[#This Row],[Clave]])&gt;1,"Duplicado","")</f>
        <v/>
      </c>
    </row>
    <row r="1789" spans="2:11">
      <c r="B1789" s="975" t="str">
        <f>tblControles[[#This Row],[Fecha]]&amp;"|"&amp;tblControles[[#This Row],[Módulo]]&amp;"|"&amp;tblControles[[#This Row],[Ítem]]&amp;"|"&amp;tblControles[[#This Row],[Turno]]</f>
        <v>46286|PURGA TKS AIRE|TK-MG-002|2do Turno</v>
      </c>
      <c r="C1789" s="871">
        <v>46286</v>
      </c>
      <c r="D1789" t="s">
        <v>9433</v>
      </c>
      <c r="E1789" t="s">
        <v>339</v>
      </c>
      <c r="F1789" t="s">
        <v>9436</v>
      </c>
      <c r="G1789" t="s">
        <v>3227</v>
      </c>
      <c r="H1789" t="s">
        <v>9333</v>
      </c>
      <c r="I1789" s="871">
        <v>46293.93683766204</v>
      </c>
      <c r="J1789" t="s">
        <v>9530</v>
      </c>
      <c r="K1789" s="975" t="str">
        <f>IF(COUNTIFS(tblControles[Clave],tblControles[[#This Row],[Clave]])&gt;1,"Duplicado","")</f>
        <v/>
      </c>
    </row>
    <row r="1790" spans="2:11">
      <c r="B1790" s="975" t="str">
        <f>tblControles[[#This Row],[Fecha]]&amp;"|"&amp;tblControles[[#This Row],[Módulo]]&amp;"|"&amp;tblControles[[#This Row],[Ítem]]&amp;"|"&amp;tblControles[[#This Row],[Turno]]</f>
        <v>46286|PURGA TKS AIRE|TK-MG-003|2do Turno</v>
      </c>
      <c r="C1790" s="871">
        <v>46286</v>
      </c>
      <c r="D1790" t="s">
        <v>9433</v>
      </c>
      <c r="E1790" t="s">
        <v>341</v>
      </c>
      <c r="F1790" t="s">
        <v>9436</v>
      </c>
      <c r="G1790" t="s">
        <v>3227</v>
      </c>
      <c r="H1790" t="s">
        <v>9333</v>
      </c>
      <c r="I1790" s="871">
        <v>46293.93683766204</v>
      </c>
      <c r="J1790" t="s">
        <v>9530</v>
      </c>
      <c r="K1790" s="975" t="str">
        <f>IF(COUNTIFS(tblControles[Clave],tblControles[[#This Row],[Clave]])&gt;1,"Duplicado","")</f>
        <v/>
      </c>
    </row>
    <row r="1791" spans="2:11">
      <c r="B1791" s="975" t="str">
        <f>tblControles[[#This Row],[Fecha]]&amp;"|"&amp;tblControles[[#This Row],[Módulo]]&amp;"|"&amp;tblControles[[#This Row],[Ítem]]&amp;"|"&amp;tblControles[[#This Row],[Turno]]</f>
        <v>46286|PURGA TKS AIRE|TK-MG-005|2do Turno</v>
      </c>
      <c r="C1791" s="871">
        <v>46286</v>
      </c>
      <c r="D1791" t="s">
        <v>9433</v>
      </c>
      <c r="E1791" t="s">
        <v>343</v>
      </c>
      <c r="F1791" t="s">
        <v>9436</v>
      </c>
      <c r="G1791" t="s">
        <v>345</v>
      </c>
      <c r="H1791" t="s">
        <v>9333</v>
      </c>
      <c r="I1791" s="871">
        <v>46293.93683766204</v>
      </c>
      <c r="J1791" t="s">
        <v>9530</v>
      </c>
      <c r="K1791" s="975" t="str">
        <f>IF(COUNTIFS(tblControles[Clave],tblControles[[#This Row],[Clave]])&gt;1,"Duplicado","")</f>
        <v/>
      </c>
    </row>
    <row r="1792" spans="2:11">
      <c r="B1792" s="975" t="str">
        <f>tblControles[[#This Row],[Fecha]]&amp;"|"&amp;tblControles[[#This Row],[Módulo]]&amp;"|"&amp;tblControles[[#This Row],[Ítem]]&amp;"|"&amp;tblControles[[#This Row],[Turno]]</f>
        <v>46286|PURGA TKS AIRE|TK-MG-006|2do Turno</v>
      </c>
      <c r="C1792" s="871">
        <v>46286</v>
      </c>
      <c r="D1792" t="s">
        <v>9433</v>
      </c>
      <c r="E1792" t="s">
        <v>346</v>
      </c>
      <c r="F1792" t="s">
        <v>9436</v>
      </c>
      <c r="G1792" t="s">
        <v>3227</v>
      </c>
      <c r="H1792" t="s">
        <v>9333</v>
      </c>
      <c r="I1792" s="871">
        <v>46293.93683766204</v>
      </c>
      <c r="J1792" t="s">
        <v>9530</v>
      </c>
      <c r="K1792" s="975" t="str">
        <f>IF(COUNTIFS(tblControles[Clave],tblControles[[#This Row],[Clave]])&gt;1,"Duplicado","")</f>
        <v/>
      </c>
    </row>
    <row r="1793" spans="2:11">
      <c r="B1793" s="975" t="str">
        <f>tblControles[[#This Row],[Fecha]]&amp;"|"&amp;tblControles[[#This Row],[Módulo]]&amp;"|"&amp;tblControles[[#This Row],[Ítem]]&amp;"|"&amp;tblControles[[#This Row],[Turno]]</f>
        <v>46286|PURGA TKS AIRE|TK-MG-007|2do Turno</v>
      </c>
      <c r="C1793" s="871">
        <v>46286</v>
      </c>
      <c r="D1793" t="s">
        <v>9433</v>
      </c>
      <c r="E1793" t="s">
        <v>347</v>
      </c>
      <c r="F1793" t="s">
        <v>9436</v>
      </c>
      <c r="G1793" t="s">
        <v>3227</v>
      </c>
      <c r="H1793" t="s">
        <v>9333</v>
      </c>
      <c r="I1793" s="871">
        <v>46293.93683766204</v>
      </c>
      <c r="J1793" t="s">
        <v>9530</v>
      </c>
      <c r="K1793" s="975" t="str">
        <f>IF(COUNTIFS(tblControles[Clave],tblControles[[#This Row],[Clave]])&gt;1,"Duplicado","")</f>
        <v/>
      </c>
    </row>
    <row r="1794" spans="2:11">
      <c r="B1794" s="975" t="str">
        <f>tblControles[[#This Row],[Fecha]]&amp;"|"&amp;tblControles[[#This Row],[Módulo]]&amp;"|"&amp;tblControles[[#This Row],[Ítem]]&amp;"|"&amp;tblControles[[#This Row],[Turno]]</f>
        <v>46286|PURGA TKS AIRE|TK-MG-004|2do Turno</v>
      </c>
      <c r="C1794" s="871">
        <v>46286</v>
      </c>
      <c r="D1794" t="s">
        <v>9433</v>
      </c>
      <c r="E1794" t="s">
        <v>349</v>
      </c>
      <c r="F1794" t="s">
        <v>9436</v>
      </c>
      <c r="G1794" t="s">
        <v>3227</v>
      </c>
      <c r="H1794" t="s">
        <v>9333</v>
      </c>
      <c r="I1794" s="871">
        <v>46293.93683766204</v>
      </c>
      <c r="J1794" t="s">
        <v>9530</v>
      </c>
      <c r="K1794" s="975" t="str">
        <f>IF(COUNTIFS(tblControles[Clave],tblControles[[#This Row],[Clave]])&gt;1,"Duplicado","")</f>
        <v/>
      </c>
    </row>
    <row r="1795" spans="2:11">
      <c r="B1795" s="975" t="str">
        <f>tblControles[[#This Row],[Fecha]]&amp;"|"&amp;tblControles[[#This Row],[Módulo]]&amp;"|"&amp;tblControles[[#This Row],[Ítem]]&amp;"|"&amp;tblControles[[#This Row],[Turno]]</f>
        <v>46286|PURGA TKS AIRE|TK-MG-008|2do Turno</v>
      </c>
      <c r="C1795" s="871">
        <v>46286</v>
      </c>
      <c r="D1795" t="s">
        <v>9433</v>
      </c>
      <c r="E1795" t="s">
        <v>351</v>
      </c>
      <c r="F1795" t="s">
        <v>9436</v>
      </c>
      <c r="G1795" t="s">
        <v>3227</v>
      </c>
      <c r="H1795" t="s">
        <v>9333</v>
      </c>
      <c r="I1795" s="871">
        <v>46293.93683766204</v>
      </c>
      <c r="J1795" t="s">
        <v>9530</v>
      </c>
      <c r="K1795" s="975" t="str">
        <f>IF(COUNTIFS(tblControles[Clave],tblControles[[#This Row],[Clave]])&gt;1,"Duplicado","")</f>
        <v/>
      </c>
    </row>
    <row r="1796" spans="2:11">
      <c r="B1796" s="975" t="str">
        <f>tblControles[[#This Row],[Fecha]]&amp;"|"&amp;tblControles[[#This Row],[Módulo]]&amp;"|"&amp;tblControles[[#This Row],[Ítem]]&amp;"|"&amp;tblControles[[#This Row],[Turno]]</f>
        <v>46286|PURGA TKS AIRE|TK-MG-009|2do Turno</v>
      </c>
      <c r="C1796" s="871">
        <v>46286</v>
      </c>
      <c r="D1796" t="s">
        <v>9433</v>
      </c>
      <c r="E1796" t="s">
        <v>353</v>
      </c>
      <c r="F1796" t="s">
        <v>9436</v>
      </c>
      <c r="G1796" t="s">
        <v>3227</v>
      </c>
      <c r="H1796" t="s">
        <v>9333</v>
      </c>
      <c r="I1796" s="871">
        <v>46293.93683766204</v>
      </c>
      <c r="J1796" t="s">
        <v>9530</v>
      </c>
      <c r="K1796" s="975" t="str">
        <f>IF(COUNTIFS(tblControles[Clave],tblControles[[#This Row],[Clave]])&gt;1,"Duplicado","")</f>
        <v/>
      </c>
    </row>
    <row r="1797" spans="2:11">
      <c r="B1797" s="975" t="str">
        <f>tblControles[[#This Row],[Fecha]]&amp;"|"&amp;tblControles[[#This Row],[Módulo]]&amp;"|"&amp;tblControles[[#This Row],[Ítem]]&amp;"|"&amp;tblControles[[#This Row],[Turno]]</f>
        <v>46286|PURGA TKS AIRE|TK-MG-010|2do Turno</v>
      </c>
      <c r="C1797" s="871">
        <v>46286</v>
      </c>
      <c r="D1797" t="s">
        <v>9433</v>
      </c>
      <c r="E1797" t="s">
        <v>355</v>
      </c>
      <c r="F1797" t="s">
        <v>9436</v>
      </c>
      <c r="G1797" t="s">
        <v>3227</v>
      </c>
      <c r="H1797" t="s">
        <v>9333</v>
      </c>
      <c r="I1797" s="871">
        <v>46293.93683766204</v>
      </c>
      <c r="J1797" t="s">
        <v>9530</v>
      </c>
      <c r="K1797" s="975" t="str">
        <f>IF(COUNTIFS(tblControles[Clave],tblControles[[#This Row],[Clave]])&gt;1,"Duplicado","")</f>
        <v/>
      </c>
    </row>
    <row r="1798" spans="2:11">
      <c r="B1798" s="975" t="str">
        <f>tblControles[[#This Row],[Fecha]]&amp;"|"&amp;tblControles[[#This Row],[Módulo]]&amp;"|"&amp;tblControles[[#This Row],[Ítem]]&amp;"|"&amp;tblControles[[#This Row],[Turno]]</f>
        <v>46286|PURGA TKS AIRE|TK-MG-011|2do Turno</v>
      </c>
      <c r="C1798" s="871">
        <v>46286</v>
      </c>
      <c r="D1798" t="s">
        <v>9433</v>
      </c>
      <c r="E1798" t="s">
        <v>357</v>
      </c>
      <c r="F1798" t="s">
        <v>9436</v>
      </c>
      <c r="G1798" t="s">
        <v>3227</v>
      </c>
      <c r="H1798" t="s">
        <v>9333</v>
      </c>
      <c r="I1798" s="871">
        <v>46293.93683766204</v>
      </c>
      <c r="J1798" t="s">
        <v>9530</v>
      </c>
      <c r="K1798" s="975" t="str">
        <f>IF(COUNTIFS(tblControles[Clave],tblControles[[#This Row],[Clave]])&gt;1,"Duplicado","")</f>
        <v/>
      </c>
    </row>
    <row r="1799" spans="2:11">
      <c r="B1799" s="975" t="str">
        <f>tblControles[[#This Row],[Fecha]]&amp;"|"&amp;tblControles[[#This Row],[Módulo]]&amp;"|"&amp;tblControles[[#This Row],[Ítem]]&amp;"|"&amp;tblControles[[#This Row],[Turno]]</f>
        <v>46286|PURGA TKS AIRE|TK-MG-012|2do Turno</v>
      </c>
      <c r="C1799" s="871">
        <v>46286</v>
      </c>
      <c r="D1799" t="s">
        <v>9433</v>
      </c>
      <c r="E1799" t="s">
        <v>359</v>
      </c>
      <c r="F1799" t="s">
        <v>9436</v>
      </c>
      <c r="G1799" t="s">
        <v>3227</v>
      </c>
      <c r="H1799" t="s">
        <v>9333</v>
      </c>
      <c r="I1799" s="871">
        <v>46293.93683766204</v>
      </c>
      <c r="J1799" t="s">
        <v>9530</v>
      </c>
      <c r="K1799" s="975" t="str">
        <f>IF(COUNTIFS(tblControles[Clave],tblControles[[#This Row],[Clave]])&gt;1,"Duplicado","")</f>
        <v/>
      </c>
    </row>
    <row r="1800" spans="2:11">
      <c r="B1800" s="975" t="str">
        <f>tblControles[[#This Row],[Fecha]]&amp;"|"&amp;tblControles[[#This Row],[Módulo]]&amp;"|"&amp;tblControles[[#This Row],[Ítem]]&amp;"|"&amp;tblControles[[#This Row],[Turno]]</f>
        <v>46286|PURGA TKS AIRE|TK-MG-013|2do Turno</v>
      </c>
      <c r="C1800" s="871">
        <v>46286</v>
      </c>
      <c r="D1800" t="s">
        <v>9433</v>
      </c>
      <c r="E1800" t="s">
        <v>361</v>
      </c>
      <c r="F1800" t="s">
        <v>9436</v>
      </c>
      <c r="G1800" t="s">
        <v>3227</v>
      </c>
      <c r="H1800" t="s">
        <v>9333</v>
      </c>
      <c r="I1800" s="871">
        <v>46293.93683766204</v>
      </c>
      <c r="J1800" t="s">
        <v>9530</v>
      </c>
      <c r="K1800" s="975" t="str">
        <f>IF(COUNTIFS(tblControles[Clave],tblControles[[#This Row],[Clave]])&gt;1,"Duplicado","")</f>
        <v/>
      </c>
    </row>
    <row r="1801" spans="2:11">
      <c r="B1801" s="975" t="str">
        <f>tblControles[[#This Row],[Fecha]]&amp;"|"&amp;tblControles[[#This Row],[Módulo]]&amp;"|"&amp;tblControles[[#This Row],[Ítem]]&amp;"|"&amp;tblControles[[#This Row],[Turno]]</f>
        <v>46286|PURGA TKS AIRE|TK-MG-014|2do Turno</v>
      </c>
      <c r="C1801" s="871">
        <v>46286</v>
      </c>
      <c r="D1801" t="s">
        <v>9433</v>
      </c>
      <c r="E1801" t="s">
        <v>363</v>
      </c>
      <c r="F1801" t="s">
        <v>9436</v>
      </c>
      <c r="G1801" t="s">
        <v>3227</v>
      </c>
      <c r="H1801" t="s">
        <v>9333</v>
      </c>
      <c r="I1801" s="871">
        <v>46293.93683766204</v>
      </c>
      <c r="J1801" t="s">
        <v>9530</v>
      </c>
      <c r="K1801" s="975" t="str">
        <f>IF(COUNTIFS(tblControles[Clave],tblControles[[#This Row],[Clave]])&gt;1,"Duplicado","")</f>
        <v/>
      </c>
    </row>
    <row r="1802" spans="2:11">
      <c r="B1802" s="975" t="str">
        <f>tblControles[[#This Row],[Fecha]]&amp;"|"&amp;tblControles[[#This Row],[Módulo]]&amp;"|"&amp;tblControles[[#This Row],[Ítem]]&amp;"|"&amp;tblControles[[#This Row],[Turno]]</f>
        <v>46286|REACTIVOS|Ácido oxálico|Turno día (12 h)</v>
      </c>
      <c r="C1802" s="871">
        <v>46286</v>
      </c>
      <c r="D1802" t="s">
        <v>9444</v>
      </c>
      <c r="E1802" t="s">
        <v>9508</v>
      </c>
      <c r="F1802" t="s">
        <v>9446</v>
      </c>
      <c r="G1802">
        <v>24000</v>
      </c>
      <c r="H1802" t="s">
        <v>9333</v>
      </c>
      <c r="I1802" s="871">
        <v>46293.93683766204</v>
      </c>
      <c r="J1802" t="s">
        <v>9527</v>
      </c>
      <c r="K1802" s="975" t="str">
        <f>IF(COUNTIFS(tblControles[Clave],tblControles[[#This Row],[Clave]])&gt;1,"Duplicado","")</f>
        <v/>
      </c>
    </row>
    <row r="1803" spans="2:11">
      <c r="B1803" s="975" t="str">
        <f>tblControles[[#This Row],[Fecha]]&amp;"|"&amp;tblControles[[#This Row],[Módulo]]&amp;"|"&amp;tblControles[[#This Row],[Ítem]]&amp;"|"&amp;tblControles[[#This Row],[Turno]]</f>
        <v>46286|REACTIVOS|Ácido oxálico|Turno noche (12 h)</v>
      </c>
      <c r="C1803" s="871">
        <v>46286</v>
      </c>
      <c r="D1803" t="s">
        <v>9444</v>
      </c>
      <c r="E1803" t="s">
        <v>9508</v>
      </c>
      <c r="F1803" t="s">
        <v>9447</v>
      </c>
      <c r="G1803">
        <v>18000</v>
      </c>
      <c r="H1803" t="s">
        <v>9333</v>
      </c>
      <c r="I1803" s="871">
        <v>46293.93683766204</v>
      </c>
      <c r="J1803" t="s">
        <v>9527</v>
      </c>
      <c r="K1803" s="975" t="str">
        <f>IF(COUNTIFS(tblControles[Clave],tblControles[[#This Row],[Clave]])&gt;1,"Duplicado","")</f>
        <v/>
      </c>
    </row>
    <row r="1804" spans="2:11">
      <c r="B1804" s="975" t="str">
        <f>tblControles[[#This Row],[Fecha]]&amp;"|"&amp;tblControles[[#This Row],[Módulo]]&amp;"|"&amp;tblControles[[#This Row],[Ítem]]&amp;"|"&amp;tblControles[[#This Row],[Turno]]</f>
        <v>46286|REACTIVOS|Xantato|Turno día (12 h)</v>
      </c>
      <c r="C1804" s="871">
        <v>46286</v>
      </c>
      <c r="D1804" t="s">
        <v>9444</v>
      </c>
      <c r="E1804" t="s">
        <v>9511</v>
      </c>
      <c r="F1804" t="s">
        <v>9446</v>
      </c>
      <c r="G1804">
        <v>4400</v>
      </c>
      <c r="H1804" t="s">
        <v>9333</v>
      </c>
      <c r="I1804" s="871">
        <v>46293.93683766204</v>
      </c>
      <c r="J1804" t="s">
        <v>9527</v>
      </c>
      <c r="K1804" s="975" t="str">
        <f>IF(COUNTIFS(tblControles[Clave],tblControles[[#This Row],[Clave]])&gt;1,"Duplicado","")</f>
        <v/>
      </c>
    </row>
    <row r="1805" spans="2:11">
      <c r="B1805" s="975" t="str">
        <f>tblControles[[#This Row],[Fecha]]&amp;"|"&amp;tblControles[[#This Row],[Módulo]]&amp;"|"&amp;tblControles[[#This Row],[Ítem]]&amp;"|"&amp;tblControles[[#This Row],[Turno]]</f>
        <v>46286|REACTIVOS|Xantato|Turno noche (12 h)</v>
      </c>
      <c r="C1805" s="871">
        <v>46286</v>
      </c>
      <c r="D1805" t="s">
        <v>9444</v>
      </c>
      <c r="E1805" t="s">
        <v>9511</v>
      </c>
      <c r="F1805" t="s">
        <v>9447</v>
      </c>
      <c r="G1805">
        <v>3150</v>
      </c>
      <c r="H1805" t="s">
        <v>9333</v>
      </c>
      <c r="I1805" s="871">
        <v>46293.93683766204</v>
      </c>
      <c r="J1805" t="s">
        <v>9527</v>
      </c>
      <c r="K1805" s="975" t="str">
        <f>IF(COUNTIFS(tblControles[Clave],tblControles[[#This Row],[Clave]])&gt;1,"Duplicado","")</f>
        <v/>
      </c>
    </row>
    <row r="1806" spans="2:11">
      <c r="B1806" s="975" t="str">
        <f>tblControles[[#This Row],[Fecha]]&amp;"|"&amp;tblControles[[#This Row],[Módulo]]&amp;"|"&amp;tblControles[[#This Row],[Ítem]]&amp;"|"&amp;tblControles[[#This Row],[Turno]]</f>
        <v>46286|REACTIVOS|Espumante|Consumo día</v>
      </c>
      <c r="C1806" s="871">
        <v>46286</v>
      </c>
      <c r="D1806" t="s">
        <v>9444</v>
      </c>
      <c r="E1806" t="s">
        <v>9513</v>
      </c>
      <c r="F1806" t="s">
        <v>9870</v>
      </c>
      <c r="G1806">
        <v>2500</v>
      </c>
      <c r="H1806" t="s">
        <v>9333</v>
      </c>
      <c r="I1806" s="871">
        <v>46293.93683766204</v>
      </c>
      <c r="J1806" t="s">
        <v>9527</v>
      </c>
      <c r="K1806" s="975" t="str">
        <f>IF(COUNTIFS(tblControles[Clave],tblControles[[#This Row],[Clave]])&gt;1,"Duplicado","")</f>
        <v/>
      </c>
    </row>
    <row r="1807" spans="2:11">
      <c r="B1807" s="975" t="str">
        <f>tblControles[[#This Row],[Fecha]]&amp;"|"&amp;tblControles[[#This Row],[Módulo]]&amp;"|"&amp;tblControles[[#This Row],[Ítem]]&amp;"|"&amp;tblControles[[#This Row],[Turno]]</f>
        <v>46286|TONELADAS X TURNO|Molino barras 1|1° turno</v>
      </c>
      <c r="C1807" s="871">
        <v>46286</v>
      </c>
      <c r="D1807" t="s">
        <v>9449</v>
      </c>
      <c r="E1807" t="s">
        <v>387</v>
      </c>
      <c r="F1807" t="s">
        <v>396</v>
      </c>
      <c r="G1807">
        <v>1643</v>
      </c>
      <c r="H1807" t="s">
        <v>9333</v>
      </c>
      <c r="I1807" s="871">
        <v>46293.93683766204</v>
      </c>
      <c r="J1807" t="s">
        <v>9528</v>
      </c>
      <c r="K1807" s="975" t="str">
        <f>IF(COUNTIFS(tblControles[Clave],tblControles[[#This Row],[Clave]])&gt;1,"Duplicado","")</f>
        <v/>
      </c>
    </row>
    <row r="1808" spans="2:11">
      <c r="B1808" s="975" t="str">
        <f>tblControles[[#This Row],[Fecha]]&amp;"|"&amp;tblControles[[#This Row],[Módulo]]&amp;"|"&amp;tblControles[[#This Row],[Ítem]]&amp;"|"&amp;tblControles[[#This Row],[Turno]]</f>
        <v>46286|TONELADAS X TURNO|Molino barras 1|2° turno</v>
      </c>
      <c r="C1808" s="871">
        <v>46286</v>
      </c>
      <c r="D1808" t="s">
        <v>9449</v>
      </c>
      <c r="E1808" t="s">
        <v>387</v>
      </c>
      <c r="F1808" t="s">
        <v>397</v>
      </c>
      <c r="G1808">
        <v>1331</v>
      </c>
      <c r="H1808" t="s">
        <v>9333</v>
      </c>
      <c r="I1808" s="871">
        <v>46293.93683766204</v>
      </c>
      <c r="J1808" t="s">
        <v>9528</v>
      </c>
      <c r="K1808" s="975" t="str">
        <f>IF(COUNTIFS(tblControles[Clave],tblControles[[#This Row],[Clave]])&gt;1,"Duplicado","")</f>
        <v/>
      </c>
    </row>
    <row r="1809" spans="2:11">
      <c r="B1809" s="975" t="str">
        <f>tblControles[[#This Row],[Fecha]]&amp;"|"&amp;tblControles[[#This Row],[Módulo]]&amp;"|"&amp;tblControles[[#This Row],[Ítem]]&amp;"|"&amp;tblControles[[#This Row],[Turno]]</f>
        <v>46286|TONELADAS X TURNO|Molino barras 1|3° turno</v>
      </c>
      <c r="C1809" s="871">
        <v>46286</v>
      </c>
      <c r="D1809" t="s">
        <v>9449</v>
      </c>
      <c r="E1809" t="s">
        <v>387</v>
      </c>
      <c r="F1809" t="s">
        <v>398</v>
      </c>
      <c r="G1809">
        <v>1648</v>
      </c>
      <c r="H1809" t="s">
        <v>9333</v>
      </c>
      <c r="I1809" s="871">
        <v>46293.93683766204</v>
      </c>
      <c r="J1809" t="s">
        <v>9528</v>
      </c>
      <c r="K1809" s="975" t="str">
        <f>IF(COUNTIFS(tblControles[Clave],tblControles[[#This Row],[Clave]])&gt;1,"Duplicado","")</f>
        <v/>
      </c>
    </row>
    <row r="1810" spans="2:11">
      <c r="B1810" s="975" t="str">
        <f>tblControles[[#This Row],[Fecha]]&amp;"|"&amp;tblControles[[#This Row],[Módulo]]&amp;"|"&amp;tblControles[[#This Row],[Ítem]]&amp;"|"&amp;tblControles[[#This Row],[Turno]]</f>
        <v>46286|TONELADAS X TURNO|Molino barras 2|1° turno</v>
      </c>
      <c r="C1810" s="871">
        <v>46286</v>
      </c>
      <c r="D1810" t="s">
        <v>9449</v>
      </c>
      <c r="E1810" t="s">
        <v>388</v>
      </c>
      <c r="F1810" t="s">
        <v>396</v>
      </c>
      <c r="G1810">
        <v>0</v>
      </c>
      <c r="H1810" t="s">
        <v>9333</v>
      </c>
      <c r="I1810" s="871">
        <v>46293.93683766204</v>
      </c>
      <c r="J1810" t="s">
        <v>9528</v>
      </c>
      <c r="K1810" s="975" t="str">
        <f>IF(COUNTIFS(tblControles[Clave],tblControles[[#This Row],[Clave]])&gt;1,"Duplicado","")</f>
        <v/>
      </c>
    </row>
    <row r="1811" spans="2:11">
      <c r="B1811" s="975" t="str">
        <f>tblControles[[#This Row],[Fecha]]&amp;"|"&amp;tblControles[[#This Row],[Módulo]]&amp;"|"&amp;tblControles[[#This Row],[Ítem]]&amp;"|"&amp;tblControles[[#This Row],[Turno]]</f>
        <v>46286|TONELADAS X TURNO|Molino barras 2|2° turno</v>
      </c>
      <c r="C1811" s="871">
        <v>46286</v>
      </c>
      <c r="D1811" t="s">
        <v>9449</v>
      </c>
      <c r="E1811" t="s">
        <v>388</v>
      </c>
      <c r="F1811" t="s">
        <v>397</v>
      </c>
      <c r="G1811">
        <v>0</v>
      </c>
      <c r="H1811" t="s">
        <v>9333</v>
      </c>
      <c r="I1811" s="871">
        <v>46293.93683766204</v>
      </c>
      <c r="J1811" t="s">
        <v>9528</v>
      </c>
      <c r="K1811" s="975" t="str">
        <f>IF(COUNTIFS(tblControles[Clave],tblControles[[#This Row],[Clave]])&gt;1,"Duplicado","")</f>
        <v/>
      </c>
    </row>
    <row r="1812" spans="2:11">
      <c r="B1812" s="975" t="str">
        <f>tblControles[[#This Row],[Fecha]]&amp;"|"&amp;tblControles[[#This Row],[Módulo]]&amp;"|"&amp;tblControles[[#This Row],[Ítem]]&amp;"|"&amp;tblControles[[#This Row],[Turno]]</f>
        <v>46286|TONELADAS X TURNO|Molino barras 2|3° turno</v>
      </c>
      <c r="C1812" s="871">
        <v>46286</v>
      </c>
      <c r="D1812" t="s">
        <v>9449</v>
      </c>
      <c r="E1812" t="s">
        <v>388</v>
      </c>
      <c r="F1812" t="s">
        <v>398</v>
      </c>
      <c r="G1812">
        <v>0</v>
      </c>
      <c r="H1812" t="s">
        <v>9333</v>
      </c>
      <c r="I1812" s="871">
        <v>46293.93683766204</v>
      </c>
      <c r="J1812" t="s">
        <v>9528</v>
      </c>
      <c r="K1812" s="975" t="str">
        <f>IF(COUNTIFS(tblControles[Clave],tblControles[[#This Row],[Clave]])&gt;1,"Duplicado","")</f>
        <v/>
      </c>
    </row>
    <row r="1813" spans="2:11">
      <c r="B1813" s="975" t="str">
        <f>tblControles[[#This Row],[Fecha]]&amp;"|"&amp;tblControles[[#This Row],[Módulo]]&amp;"|"&amp;tblControles[[#This Row],[Ítem]]&amp;"|"&amp;tblControles[[#This Row],[Turno]]</f>
        <v>46286|TONELADAS X TURNO|Molino barras 3|1° turno</v>
      </c>
      <c r="C1813" s="871">
        <v>46286</v>
      </c>
      <c r="D1813" t="s">
        <v>9449</v>
      </c>
      <c r="E1813" t="s">
        <v>389</v>
      </c>
      <c r="F1813" t="s">
        <v>396</v>
      </c>
      <c r="G1813">
        <v>1279</v>
      </c>
      <c r="H1813" t="s">
        <v>9333</v>
      </c>
      <c r="I1813" s="871">
        <v>46293.93683766204</v>
      </c>
      <c r="J1813" t="s">
        <v>9528</v>
      </c>
      <c r="K1813" s="975" t="str">
        <f>IF(COUNTIFS(tblControles[Clave],tblControles[[#This Row],[Clave]])&gt;1,"Duplicado","")</f>
        <v/>
      </c>
    </row>
    <row r="1814" spans="2:11">
      <c r="B1814" s="975" t="str">
        <f>tblControles[[#This Row],[Fecha]]&amp;"|"&amp;tblControles[[#This Row],[Módulo]]&amp;"|"&amp;tblControles[[#This Row],[Ítem]]&amp;"|"&amp;tblControles[[#This Row],[Turno]]</f>
        <v>46286|TONELADAS X TURNO|Molino barras 3|2° turno</v>
      </c>
      <c r="C1814" s="871">
        <v>46286</v>
      </c>
      <c r="D1814" t="s">
        <v>9449</v>
      </c>
      <c r="E1814" t="s">
        <v>389</v>
      </c>
      <c r="F1814" t="s">
        <v>397</v>
      </c>
      <c r="G1814">
        <v>1182</v>
      </c>
      <c r="H1814" t="s">
        <v>9333</v>
      </c>
      <c r="I1814" s="871">
        <v>46293.93683766204</v>
      </c>
      <c r="J1814" t="s">
        <v>9528</v>
      </c>
      <c r="K1814" s="975" t="str">
        <f>IF(COUNTIFS(tblControles[Clave],tblControles[[#This Row],[Clave]])&gt;1,"Duplicado","")</f>
        <v/>
      </c>
    </row>
    <row r="1815" spans="2:11">
      <c r="B1815" s="975" t="str">
        <f>tblControles[[#This Row],[Fecha]]&amp;"|"&amp;tblControles[[#This Row],[Módulo]]&amp;"|"&amp;tblControles[[#This Row],[Ítem]]&amp;"|"&amp;tblControles[[#This Row],[Turno]]</f>
        <v>46286|TONELADAS X TURNO|Molino barras 3|3° turno</v>
      </c>
      <c r="C1815" s="871">
        <v>46286</v>
      </c>
      <c r="D1815" t="s">
        <v>9449</v>
      </c>
      <c r="E1815" t="s">
        <v>389</v>
      </c>
      <c r="F1815" t="s">
        <v>398</v>
      </c>
      <c r="G1815">
        <v>1280</v>
      </c>
      <c r="H1815" t="s">
        <v>9333</v>
      </c>
      <c r="I1815" s="871">
        <v>46293.93683766204</v>
      </c>
      <c r="J1815" t="s">
        <v>9528</v>
      </c>
      <c r="K1815" s="975" t="str">
        <f>IF(COUNTIFS(tblControles[Clave],tblControles[[#This Row],[Clave]])&gt;1,"Duplicado","")</f>
        <v/>
      </c>
    </row>
    <row r="1816" spans="2:11">
      <c r="B1816" s="975" t="str">
        <f>tblControles[[#This Row],[Fecha]]&amp;"|"&amp;tblControles[[#This Row],[Módulo]]&amp;"|"&amp;tblControles[[#This Row],[Ítem]]&amp;"|"&amp;tblControles[[#This Row],[Turno]]</f>
        <v>46286|TONELADAS X TURNO|Molino barras 4|1° turno</v>
      </c>
      <c r="C1816" s="871">
        <v>46286</v>
      </c>
      <c r="D1816" t="s">
        <v>9449</v>
      </c>
      <c r="E1816" t="s">
        <v>390</v>
      </c>
      <c r="F1816" t="s">
        <v>396</v>
      </c>
      <c r="G1816">
        <v>1235</v>
      </c>
      <c r="H1816" t="s">
        <v>9333</v>
      </c>
      <c r="I1816" s="871">
        <v>46293.93683766204</v>
      </c>
      <c r="J1816" t="s">
        <v>9528</v>
      </c>
      <c r="K1816" s="975" t="str">
        <f>IF(COUNTIFS(tblControles[Clave],tblControles[[#This Row],[Clave]])&gt;1,"Duplicado","")</f>
        <v/>
      </c>
    </row>
    <row r="1817" spans="2:11">
      <c r="B1817" s="975" t="str">
        <f>tblControles[[#This Row],[Fecha]]&amp;"|"&amp;tblControles[[#This Row],[Módulo]]&amp;"|"&amp;tblControles[[#This Row],[Ítem]]&amp;"|"&amp;tblControles[[#This Row],[Turno]]</f>
        <v>46286|TONELADAS X TURNO|Molino barras 4|2° turno</v>
      </c>
      <c r="C1817" s="871">
        <v>46286</v>
      </c>
      <c r="D1817" t="s">
        <v>9449</v>
      </c>
      <c r="E1817" t="s">
        <v>390</v>
      </c>
      <c r="F1817" t="s">
        <v>397</v>
      </c>
      <c r="G1817">
        <v>1193</v>
      </c>
      <c r="H1817" t="s">
        <v>9333</v>
      </c>
      <c r="I1817" s="871">
        <v>46293.93683766204</v>
      </c>
      <c r="J1817" t="s">
        <v>9528</v>
      </c>
      <c r="K1817" s="975" t="str">
        <f>IF(COUNTIFS(tblControles[Clave],tblControles[[#This Row],[Clave]])&gt;1,"Duplicado","")</f>
        <v/>
      </c>
    </row>
    <row r="1818" spans="2:11">
      <c r="B1818" s="975" t="str">
        <f>tblControles[[#This Row],[Fecha]]&amp;"|"&amp;tblControles[[#This Row],[Módulo]]&amp;"|"&amp;tblControles[[#This Row],[Ítem]]&amp;"|"&amp;tblControles[[#This Row],[Turno]]</f>
        <v>46286|TONELADAS X TURNO|Molino barras 4|3° turno</v>
      </c>
      <c r="C1818" s="871">
        <v>46286</v>
      </c>
      <c r="D1818" t="s">
        <v>9449</v>
      </c>
      <c r="E1818" t="s">
        <v>390</v>
      </c>
      <c r="F1818" t="s">
        <v>398</v>
      </c>
      <c r="G1818">
        <v>1191</v>
      </c>
      <c r="H1818" t="s">
        <v>9333</v>
      </c>
      <c r="I1818" s="871">
        <v>46293.93683766204</v>
      </c>
      <c r="J1818" t="s">
        <v>9528</v>
      </c>
      <c r="K1818" s="975" t="str">
        <f>IF(COUNTIFS(tblControles[Clave],tblControles[[#This Row],[Clave]])&gt;1,"Duplicado","")</f>
        <v/>
      </c>
    </row>
    <row r="1819" spans="2:11">
      <c r="B1819" s="975" t="str">
        <f>tblControles[[#This Row],[Fecha]]&amp;"|"&amp;tblControles[[#This Row],[Módulo]]&amp;"|"&amp;tblControles[[#This Row],[Ítem]]&amp;"|"&amp;tblControles[[#This Row],[Turno]]</f>
        <v>46286|TONELADAS X TURNO|Molino barras 5|1° turno</v>
      </c>
      <c r="C1819" s="871">
        <v>46286</v>
      </c>
      <c r="D1819" t="s">
        <v>9449</v>
      </c>
      <c r="E1819" t="s">
        <v>391</v>
      </c>
      <c r="F1819" t="s">
        <v>396</v>
      </c>
      <c r="G1819">
        <v>1602</v>
      </c>
      <c r="H1819" t="s">
        <v>9333</v>
      </c>
      <c r="I1819" s="871">
        <v>46293.93683766204</v>
      </c>
      <c r="J1819" t="s">
        <v>9528</v>
      </c>
      <c r="K1819" s="975" t="str">
        <f>IF(COUNTIFS(tblControles[Clave],tblControles[[#This Row],[Clave]])&gt;1,"Duplicado","")</f>
        <v/>
      </c>
    </row>
    <row r="1820" spans="2:11">
      <c r="B1820" s="975" t="str">
        <f>tblControles[[#This Row],[Fecha]]&amp;"|"&amp;tblControles[[#This Row],[Módulo]]&amp;"|"&amp;tblControles[[#This Row],[Ítem]]&amp;"|"&amp;tblControles[[#This Row],[Turno]]</f>
        <v>46286|TONELADAS X TURNO|Molino barras 5|2° turno</v>
      </c>
      <c r="C1820" s="871">
        <v>46286</v>
      </c>
      <c r="D1820" t="s">
        <v>9449</v>
      </c>
      <c r="E1820" t="s">
        <v>391</v>
      </c>
      <c r="F1820" t="s">
        <v>397</v>
      </c>
      <c r="G1820">
        <v>1555</v>
      </c>
      <c r="H1820" t="s">
        <v>9333</v>
      </c>
      <c r="I1820" s="871">
        <v>46293.93683766204</v>
      </c>
      <c r="J1820" t="s">
        <v>9528</v>
      </c>
      <c r="K1820" s="975" t="str">
        <f>IF(COUNTIFS(tblControles[Clave],tblControles[[#This Row],[Clave]])&gt;1,"Duplicado","")</f>
        <v/>
      </c>
    </row>
    <row r="1821" spans="2:11">
      <c r="B1821" s="975" t="str">
        <f>tblControles[[#This Row],[Fecha]]&amp;"|"&amp;tblControles[[#This Row],[Módulo]]&amp;"|"&amp;tblControles[[#This Row],[Ítem]]&amp;"|"&amp;tblControles[[#This Row],[Turno]]</f>
        <v>46286|TONELADAS X TURNO|Molino barras 5|3° turno</v>
      </c>
      <c r="C1821" s="871">
        <v>46286</v>
      </c>
      <c r="D1821" t="s">
        <v>9449</v>
      </c>
      <c r="E1821" t="s">
        <v>391</v>
      </c>
      <c r="F1821" t="s">
        <v>398</v>
      </c>
      <c r="G1821">
        <v>1545</v>
      </c>
      <c r="H1821" t="s">
        <v>9333</v>
      </c>
      <c r="I1821" s="871">
        <v>46293.93683766204</v>
      </c>
      <c r="J1821" t="s">
        <v>9528</v>
      </c>
      <c r="K1821" s="975" t="str">
        <f>IF(COUNTIFS(tblControles[Clave],tblControles[[#This Row],[Clave]])&gt;1,"Duplicado","")</f>
        <v/>
      </c>
    </row>
    <row r="1822" spans="2:11">
      <c r="B1822" s="975" t="str">
        <f>tblControles[[#This Row],[Fecha]]&amp;"|"&amp;tblControles[[#This Row],[Módulo]]&amp;"|"&amp;tblControles[[#This Row],[Ítem]]&amp;"|"&amp;tblControles[[#This Row],[Turno]]</f>
        <v>46286|TONELADAS X TURNO|Molino barras 6|1° turno</v>
      </c>
      <c r="C1822" s="871">
        <v>46286</v>
      </c>
      <c r="D1822" t="s">
        <v>9449</v>
      </c>
      <c r="E1822" t="s">
        <v>392</v>
      </c>
      <c r="F1822" t="s">
        <v>396</v>
      </c>
      <c r="G1822">
        <v>1501</v>
      </c>
      <c r="H1822" t="s">
        <v>9333</v>
      </c>
      <c r="I1822" s="871">
        <v>46293.93683766204</v>
      </c>
      <c r="J1822" t="s">
        <v>9528</v>
      </c>
      <c r="K1822" s="975" t="str">
        <f>IF(COUNTIFS(tblControles[Clave],tblControles[[#This Row],[Clave]])&gt;1,"Duplicado","")</f>
        <v/>
      </c>
    </row>
    <row r="1823" spans="2:11">
      <c r="B1823" s="975" t="str">
        <f>tblControles[[#This Row],[Fecha]]&amp;"|"&amp;tblControles[[#This Row],[Módulo]]&amp;"|"&amp;tblControles[[#This Row],[Ítem]]&amp;"|"&amp;tblControles[[#This Row],[Turno]]</f>
        <v>46286|TONELADAS X TURNO|Molino barras 6|2° turno</v>
      </c>
      <c r="C1823" s="871">
        <v>46286</v>
      </c>
      <c r="D1823" t="s">
        <v>9449</v>
      </c>
      <c r="E1823" t="s">
        <v>392</v>
      </c>
      <c r="F1823" t="s">
        <v>397</v>
      </c>
      <c r="G1823">
        <v>1482</v>
      </c>
      <c r="H1823" t="s">
        <v>9333</v>
      </c>
      <c r="I1823" s="871">
        <v>46293.93683766204</v>
      </c>
      <c r="J1823" t="s">
        <v>9528</v>
      </c>
      <c r="K1823" s="975" t="str">
        <f>IF(COUNTIFS(tblControles[Clave],tblControles[[#This Row],[Clave]])&gt;1,"Duplicado","")</f>
        <v/>
      </c>
    </row>
    <row r="1824" spans="2:11">
      <c r="B1824" s="975" t="str">
        <f>tblControles[[#This Row],[Fecha]]&amp;"|"&amp;tblControles[[#This Row],[Módulo]]&amp;"|"&amp;tblControles[[#This Row],[Ítem]]&amp;"|"&amp;tblControles[[#This Row],[Turno]]</f>
        <v>46286|TONELADAS X TURNO|Molino barras 6|3° turno</v>
      </c>
      <c r="C1824" s="871">
        <v>46286</v>
      </c>
      <c r="D1824" t="s">
        <v>9449</v>
      </c>
      <c r="E1824" t="s">
        <v>392</v>
      </c>
      <c r="F1824" t="s">
        <v>398</v>
      </c>
      <c r="G1824">
        <v>1553</v>
      </c>
      <c r="H1824" t="s">
        <v>9333</v>
      </c>
      <c r="I1824" s="871">
        <v>46293.93683766204</v>
      </c>
      <c r="J1824" t="s">
        <v>9528</v>
      </c>
      <c r="K1824" s="975" t="str">
        <f>IF(COUNTIFS(tblControles[Clave],tblControles[[#This Row],[Clave]])&gt;1,"Duplicado","")</f>
        <v/>
      </c>
    </row>
    <row r="1825" spans="2:11">
      <c r="B1825" s="975" t="str">
        <f>tblControles[[#This Row],[Fecha]]&amp;"|"&amp;tblControles[[#This Row],[Módulo]]&amp;"|"&amp;tblControles[[#This Row],[Ítem]]&amp;"|"&amp;tblControles[[#This Row],[Turno]]</f>
        <v>46286|TONELADAS X TURNO|Molino barras 7|1° turno</v>
      </c>
      <c r="C1825" s="871">
        <v>46286</v>
      </c>
      <c r="D1825" t="s">
        <v>9449</v>
      </c>
      <c r="E1825" t="s">
        <v>393</v>
      </c>
      <c r="F1825" t="s">
        <v>396</v>
      </c>
      <c r="G1825">
        <v>0</v>
      </c>
      <c r="H1825" t="s">
        <v>9333</v>
      </c>
      <c r="I1825" s="871">
        <v>46293.93683766204</v>
      </c>
      <c r="J1825" t="s">
        <v>9528</v>
      </c>
      <c r="K1825" s="975" t="str">
        <f>IF(COUNTIFS(tblControles[Clave],tblControles[[#This Row],[Clave]])&gt;1,"Duplicado","")</f>
        <v/>
      </c>
    </row>
    <row r="1826" spans="2:11">
      <c r="B1826" s="975" t="str">
        <f>tblControles[[#This Row],[Fecha]]&amp;"|"&amp;tblControles[[#This Row],[Módulo]]&amp;"|"&amp;tblControles[[#This Row],[Ítem]]&amp;"|"&amp;tblControles[[#This Row],[Turno]]</f>
        <v>46286|TONELADAS X TURNO|Molino barras 7|2° turno</v>
      </c>
      <c r="C1826" s="871">
        <v>46286</v>
      </c>
      <c r="D1826" t="s">
        <v>9449</v>
      </c>
      <c r="E1826" t="s">
        <v>393</v>
      </c>
      <c r="F1826" t="s">
        <v>397</v>
      </c>
      <c r="G1826">
        <v>0</v>
      </c>
      <c r="H1826" t="s">
        <v>9333</v>
      </c>
      <c r="I1826" s="871">
        <v>46293.93683766204</v>
      </c>
      <c r="J1826" t="s">
        <v>9528</v>
      </c>
      <c r="K1826" s="975" t="str">
        <f>IF(COUNTIFS(tblControles[Clave],tblControles[[#This Row],[Clave]])&gt;1,"Duplicado","")</f>
        <v/>
      </c>
    </row>
    <row r="1827" spans="2:11">
      <c r="B1827" s="975" t="str">
        <f>tblControles[[#This Row],[Fecha]]&amp;"|"&amp;tblControles[[#This Row],[Módulo]]&amp;"|"&amp;tblControles[[#This Row],[Ítem]]&amp;"|"&amp;tblControles[[#This Row],[Turno]]</f>
        <v>46286|TONELADAS X TURNO|Molino barras 7|3° turno</v>
      </c>
      <c r="C1827" s="871">
        <v>46286</v>
      </c>
      <c r="D1827" t="s">
        <v>9449</v>
      </c>
      <c r="E1827" t="s">
        <v>393</v>
      </c>
      <c r="F1827" t="s">
        <v>398</v>
      </c>
      <c r="G1827">
        <v>0</v>
      </c>
      <c r="H1827" t="s">
        <v>9333</v>
      </c>
      <c r="I1827" s="871">
        <v>46293.93683766204</v>
      </c>
      <c r="J1827" t="s">
        <v>9528</v>
      </c>
      <c r="K1827" s="975" t="str">
        <f>IF(COUNTIFS(tblControles[Clave],tblControles[[#This Row],[Clave]])&gt;1,"Duplicado","")</f>
        <v/>
      </c>
    </row>
    <row r="1828" spans="2:11">
      <c r="B1828" s="975" t="str">
        <f>tblControles[[#This Row],[Fecha]]&amp;"|"&amp;tblControles[[#This Row],[Módulo]]&amp;"|"&amp;tblControles[[#This Row],[Ítem]]&amp;"|"&amp;tblControles[[#This Row],[Turno]]</f>
        <v>46286|TONELADAS X TURNO|Molino barras 8|1° turno</v>
      </c>
      <c r="C1828" s="871">
        <v>46286</v>
      </c>
      <c r="D1828" t="s">
        <v>9449</v>
      </c>
      <c r="E1828" t="s">
        <v>394</v>
      </c>
      <c r="F1828" t="s">
        <v>396</v>
      </c>
      <c r="G1828">
        <v>1603</v>
      </c>
      <c r="H1828" t="s">
        <v>9333</v>
      </c>
      <c r="I1828" s="871">
        <v>46293.93683766204</v>
      </c>
      <c r="J1828" t="s">
        <v>9528</v>
      </c>
      <c r="K1828" s="975" t="str">
        <f>IF(COUNTIFS(tblControles[Clave],tblControles[[#This Row],[Clave]])&gt;1,"Duplicado","")</f>
        <v/>
      </c>
    </row>
    <row r="1829" spans="2:11">
      <c r="B1829" s="975" t="str">
        <f>tblControles[[#This Row],[Fecha]]&amp;"|"&amp;tblControles[[#This Row],[Módulo]]&amp;"|"&amp;tblControles[[#This Row],[Ítem]]&amp;"|"&amp;tblControles[[#This Row],[Turno]]</f>
        <v>46286|TONELADAS X TURNO|Molino barras 8|2° turno</v>
      </c>
      <c r="C1829" s="871">
        <v>46286</v>
      </c>
      <c r="D1829" t="s">
        <v>9449</v>
      </c>
      <c r="E1829" t="s">
        <v>394</v>
      </c>
      <c r="F1829" t="s">
        <v>397</v>
      </c>
      <c r="G1829">
        <v>1536</v>
      </c>
      <c r="H1829" t="s">
        <v>9333</v>
      </c>
      <c r="I1829" s="871">
        <v>46293.93683766204</v>
      </c>
      <c r="J1829" t="s">
        <v>9528</v>
      </c>
      <c r="K1829" s="975" t="str">
        <f>IF(COUNTIFS(tblControles[Clave],tblControles[[#This Row],[Clave]])&gt;1,"Duplicado","")</f>
        <v/>
      </c>
    </row>
    <row r="1830" spans="2:11">
      <c r="B1830" s="975" t="str">
        <f>tblControles[[#This Row],[Fecha]]&amp;"|"&amp;tblControles[[#This Row],[Módulo]]&amp;"|"&amp;tblControles[[#This Row],[Ítem]]&amp;"|"&amp;tblControles[[#This Row],[Turno]]</f>
        <v>46286|TONELADAS X TURNO|Molino barras 8|3° turno</v>
      </c>
      <c r="C1830" s="871">
        <v>46286</v>
      </c>
      <c r="D1830" t="s">
        <v>9449</v>
      </c>
      <c r="E1830" t="s">
        <v>394</v>
      </c>
      <c r="F1830" t="s">
        <v>398</v>
      </c>
      <c r="G1830">
        <v>1547</v>
      </c>
      <c r="H1830" t="s">
        <v>9333</v>
      </c>
      <c r="I1830" s="871">
        <v>46293.93683766204</v>
      </c>
      <c r="J1830" t="s">
        <v>9528</v>
      </c>
      <c r="K1830" s="975" t="str">
        <f>IF(COUNTIFS(tblControles[Clave],tblControles[[#This Row],[Clave]])&gt;1,"Duplicado","")</f>
        <v/>
      </c>
    </row>
    <row r="1831" spans="2:11">
      <c r="B1831" s="975" t="str">
        <f>tblControles[[#This Row],[Fecha]]&amp;"|"&amp;tblControles[[#This Row],[Módulo]]&amp;"|"&amp;tblControles[[#This Row],[Ítem]]&amp;"|"&amp;tblControles[[#This Row],[Turno]]</f>
        <v>46286|TONELADAS X TURNO|Molino barras 9|1° turno</v>
      </c>
      <c r="C1831" s="871">
        <v>46286</v>
      </c>
      <c r="D1831" t="s">
        <v>9449</v>
      </c>
      <c r="E1831" t="s">
        <v>395</v>
      </c>
      <c r="F1831" t="s">
        <v>396</v>
      </c>
      <c r="G1831">
        <v>1208</v>
      </c>
      <c r="H1831" t="s">
        <v>9333</v>
      </c>
      <c r="I1831" s="871">
        <v>46293.93683766204</v>
      </c>
      <c r="J1831" t="s">
        <v>9528</v>
      </c>
      <c r="K1831" s="975" t="str">
        <f>IF(COUNTIFS(tblControles[Clave],tblControles[[#This Row],[Clave]])&gt;1,"Duplicado","")</f>
        <v/>
      </c>
    </row>
    <row r="1832" spans="2:11">
      <c r="B1832" s="975" t="str">
        <f>tblControles[[#This Row],[Fecha]]&amp;"|"&amp;tblControles[[#This Row],[Módulo]]&amp;"|"&amp;tblControles[[#This Row],[Ítem]]&amp;"|"&amp;tblControles[[#This Row],[Turno]]</f>
        <v>46286|TONELADAS X TURNO|Molino barras 9|2° turno</v>
      </c>
      <c r="C1832" s="871">
        <v>46286</v>
      </c>
      <c r="D1832" t="s">
        <v>9449</v>
      </c>
      <c r="E1832" t="s">
        <v>395</v>
      </c>
      <c r="F1832" t="s">
        <v>397</v>
      </c>
      <c r="G1832">
        <v>968</v>
      </c>
      <c r="H1832" t="s">
        <v>9333</v>
      </c>
      <c r="I1832" s="871">
        <v>46293.93683766204</v>
      </c>
      <c r="J1832" t="s">
        <v>9528</v>
      </c>
      <c r="K1832" s="975" t="str">
        <f>IF(COUNTIFS(tblControles[Clave],tblControles[[#This Row],[Clave]])&gt;1,"Duplicado","")</f>
        <v/>
      </c>
    </row>
    <row r="1833" spans="2:11">
      <c r="B1833" s="975" t="str">
        <f>tblControles[[#This Row],[Fecha]]&amp;"|"&amp;tblControles[[#This Row],[Módulo]]&amp;"|"&amp;tblControles[[#This Row],[Ítem]]&amp;"|"&amp;tblControles[[#This Row],[Turno]]</f>
        <v>46286|TONELADAS X TURNO|Molino barras 9|3° turno</v>
      </c>
      <c r="C1833" s="871">
        <v>46286</v>
      </c>
      <c r="D1833" t="s">
        <v>9449</v>
      </c>
      <c r="E1833" t="s">
        <v>395</v>
      </c>
      <c r="F1833" t="s">
        <v>398</v>
      </c>
      <c r="G1833">
        <v>1530</v>
      </c>
      <c r="H1833" t="s">
        <v>9333</v>
      </c>
      <c r="I1833" s="871">
        <v>46293.93683766204</v>
      </c>
      <c r="J1833" t="s">
        <v>9528</v>
      </c>
      <c r="K1833" s="975" t="str">
        <f>IF(COUNTIFS(tblControles[Clave],tblControles[[#This Row],[Clave]])&gt;1,"Duplicado","")</f>
        <v/>
      </c>
    </row>
    <row r="1834" spans="2:11">
      <c r="B1834" s="975" t="str">
        <f>tblControles[[#This Row],[Fecha]]&amp;"|"&amp;tblControles[[#This Row],[Módulo]]&amp;"|"&amp;tblControles[[#This Row],[Ítem]]&amp;"|"&amp;tblControles[[#This Row],[Turno]]</f>
        <v>46287|FILTROS H2O|Filtro # 1|2 TURNO</v>
      </c>
      <c r="C1834" s="871">
        <v>46287</v>
      </c>
      <c r="D1834" t="s">
        <v>9430</v>
      </c>
      <c r="E1834" t="s">
        <v>9525</v>
      </c>
      <c r="F1834" t="s">
        <v>327</v>
      </c>
      <c r="G1834" t="s">
        <v>3227</v>
      </c>
      <c r="H1834" t="s">
        <v>9333</v>
      </c>
      <c r="I1834" s="871">
        <v>46293.93683766204</v>
      </c>
      <c r="J1834" t="s">
        <v>9533</v>
      </c>
      <c r="K1834" s="975" t="str">
        <f>IF(COUNTIFS(tblControles[Clave],tblControles[[#This Row],[Clave]])&gt;1,"Duplicado","")</f>
        <v/>
      </c>
    </row>
    <row r="1835" spans="2:11">
      <c r="B1835" s="975" t="str">
        <f>tblControles[[#This Row],[Fecha]]&amp;"|"&amp;tblControles[[#This Row],[Módulo]]&amp;"|"&amp;tblControles[[#This Row],[Ítem]]&amp;"|"&amp;tblControles[[#This Row],[Turno]]</f>
        <v>46287|FILTROS H2O|Filtro # 1|3 TURNO</v>
      </c>
      <c r="C1835" s="871">
        <v>46287</v>
      </c>
      <c r="D1835" t="s">
        <v>9430</v>
      </c>
      <c r="E1835" t="s">
        <v>9525</v>
      </c>
      <c r="F1835" t="s">
        <v>328</v>
      </c>
      <c r="G1835" t="s">
        <v>3227</v>
      </c>
      <c r="H1835" t="s">
        <v>9333</v>
      </c>
      <c r="I1835" s="871">
        <v>46293.93683766204</v>
      </c>
      <c r="J1835" t="s">
        <v>9533</v>
      </c>
      <c r="K1835" s="975" t="str">
        <f>IF(COUNTIFS(tblControles[Clave],tblControles[[#This Row],[Clave]])&gt;1,"Duplicado","")</f>
        <v/>
      </c>
    </row>
    <row r="1836" spans="2:11">
      <c r="B1836" s="975" t="str">
        <f>tblControles[[#This Row],[Fecha]]&amp;"|"&amp;tblControles[[#This Row],[Módulo]]&amp;"|"&amp;tblControles[[#This Row],[Ítem]]&amp;"|"&amp;tblControles[[#This Row],[Turno]]</f>
        <v>46287|FILTROS H2O|Filtro # 2|2 TURNO</v>
      </c>
      <c r="C1836" s="871">
        <v>46287</v>
      </c>
      <c r="D1836" t="s">
        <v>9430</v>
      </c>
      <c r="E1836" t="s">
        <v>9463</v>
      </c>
      <c r="F1836" t="s">
        <v>327</v>
      </c>
      <c r="G1836" t="s">
        <v>3227</v>
      </c>
      <c r="H1836" t="s">
        <v>9333</v>
      </c>
      <c r="I1836" s="871">
        <v>46293.93683766204</v>
      </c>
      <c r="J1836" t="s">
        <v>9533</v>
      </c>
      <c r="K1836" s="975" t="str">
        <f>IF(COUNTIFS(tblControles[Clave],tblControles[[#This Row],[Clave]])&gt;1,"Duplicado","")</f>
        <v/>
      </c>
    </row>
    <row r="1837" spans="2:11">
      <c r="B1837" s="975" t="str">
        <f>tblControles[[#This Row],[Fecha]]&amp;"|"&amp;tblControles[[#This Row],[Módulo]]&amp;"|"&amp;tblControles[[#This Row],[Ítem]]&amp;"|"&amp;tblControles[[#This Row],[Turno]]</f>
        <v>46287|FILTROS H2O|Filtro # 2|3 TURNO</v>
      </c>
      <c r="C1837" s="871">
        <v>46287</v>
      </c>
      <c r="D1837" t="s">
        <v>9430</v>
      </c>
      <c r="E1837" t="s">
        <v>9463</v>
      </c>
      <c r="F1837" t="s">
        <v>328</v>
      </c>
      <c r="G1837" t="s">
        <v>3227</v>
      </c>
      <c r="H1837" t="s">
        <v>9333</v>
      </c>
      <c r="I1837" s="871">
        <v>46293.93683766204</v>
      </c>
      <c r="J1837" t="s">
        <v>9533</v>
      </c>
      <c r="K1837" s="975" t="str">
        <f>IF(COUNTIFS(tblControles[Clave],tblControles[[#This Row],[Clave]])&gt;1,"Duplicado","")</f>
        <v/>
      </c>
    </row>
    <row r="1838" spans="2:11">
      <c r="B1838" s="975" t="str">
        <f>tblControles[[#This Row],[Fecha]]&amp;"|"&amp;tblControles[[#This Row],[Módulo]]&amp;"|"&amp;tblControles[[#This Row],[Ítem]]&amp;"|"&amp;tblControles[[#This Row],[Turno]]</f>
        <v>46287|FILTROS H2O|Filtro # 3|2 TURNO</v>
      </c>
      <c r="C1838" s="871">
        <v>46287</v>
      </c>
      <c r="D1838" t="s">
        <v>9430</v>
      </c>
      <c r="E1838" t="s">
        <v>9464</v>
      </c>
      <c r="F1838" t="s">
        <v>327</v>
      </c>
      <c r="G1838" t="s">
        <v>3227</v>
      </c>
      <c r="H1838" t="s">
        <v>9333</v>
      </c>
      <c r="I1838" s="871">
        <v>46293.93683766204</v>
      </c>
      <c r="J1838" t="s">
        <v>9533</v>
      </c>
      <c r="K1838" s="975" t="str">
        <f>IF(COUNTIFS(tblControles[Clave],tblControles[[#This Row],[Clave]])&gt;1,"Duplicado","")</f>
        <v/>
      </c>
    </row>
    <row r="1839" spans="2:11">
      <c r="B1839" s="975" t="str">
        <f>tblControles[[#This Row],[Fecha]]&amp;"|"&amp;tblControles[[#This Row],[Módulo]]&amp;"|"&amp;tblControles[[#This Row],[Ítem]]&amp;"|"&amp;tblControles[[#This Row],[Turno]]</f>
        <v>46287|FILTROS H2O|Filtro # 3|3 TURNO</v>
      </c>
      <c r="C1839" s="871">
        <v>46287</v>
      </c>
      <c r="D1839" t="s">
        <v>9430</v>
      </c>
      <c r="E1839" t="s">
        <v>9464</v>
      </c>
      <c r="F1839" t="s">
        <v>328</v>
      </c>
      <c r="G1839" t="s">
        <v>3227</v>
      </c>
      <c r="H1839" t="s">
        <v>9333</v>
      </c>
      <c r="I1839" s="871">
        <v>46293.93683766204</v>
      </c>
      <c r="J1839" t="s">
        <v>9533</v>
      </c>
      <c r="K1839" s="975" t="str">
        <f>IF(COUNTIFS(tblControles[Clave],tblControles[[#This Row],[Clave]])&gt;1,"Duplicado","")</f>
        <v/>
      </c>
    </row>
    <row r="1840" spans="2:11">
      <c r="B1840" s="975" t="str">
        <f>tblControles[[#This Row],[Fecha]]&amp;"|"&amp;tblControles[[#This Row],[Módulo]]&amp;"|"&amp;tblControles[[#This Row],[Ítem]]&amp;"|"&amp;tblControles[[#This Row],[Turno]]</f>
        <v>46287|FILTROS H2O|Filtro # 4|2 TURNO</v>
      </c>
      <c r="C1840" s="871">
        <v>46287</v>
      </c>
      <c r="D1840" t="s">
        <v>9430</v>
      </c>
      <c r="E1840" t="s">
        <v>9465</v>
      </c>
      <c r="F1840" t="s">
        <v>327</v>
      </c>
      <c r="G1840" t="s">
        <v>345</v>
      </c>
      <c r="H1840" t="s">
        <v>9333</v>
      </c>
      <c r="I1840" s="871">
        <v>46293.93683766204</v>
      </c>
      <c r="J1840" t="s">
        <v>9533</v>
      </c>
      <c r="K1840" s="975" t="str">
        <f>IF(COUNTIFS(tblControles[Clave],tblControles[[#This Row],[Clave]])&gt;1,"Duplicado","")</f>
        <v/>
      </c>
    </row>
    <row r="1841" spans="2:11">
      <c r="B1841" s="975" t="str">
        <f>tblControles[[#This Row],[Fecha]]&amp;"|"&amp;tblControles[[#This Row],[Módulo]]&amp;"|"&amp;tblControles[[#This Row],[Ítem]]&amp;"|"&amp;tblControles[[#This Row],[Turno]]</f>
        <v>46287|FILTROS H2O|Filtro # 4|3 TURNO</v>
      </c>
      <c r="C1841" s="871">
        <v>46287</v>
      </c>
      <c r="D1841" t="s">
        <v>9430</v>
      </c>
      <c r="E1841" t="s">
        <v>9465</v>
      </c>
      <c r="F1841" t="s">
        <v>328</v>
      </c>
      <c r="G1841" t="s">
        <v>345</v>
      </c>
      <c r="H1841" t="s">
        <v>9333</v>
      </c>
      <c r="I1841" s="871">
        <v>46293.93683766204</v>
      </c>
      <c r="J1841" t="s">
        <v>9533</v>
      </c>
      <c r="K1841" s="975" t="str">
        <f>IF(COUNTIFS(tblControles[Clave],tblControles[[#This Row],[Clave]])&gt;1,"Duplicado","")</f>
        <v/>
      </c>
    </row>
    <row r="1842" spans="2:11">
      <c r="B1842" s="975" t="str">
        <f>tblControles[[#This Row],[Fecha]]&amp;"|"&amp;tblControles[[#This Row],[Módulo]]&amp;"|"&amp;tblControles[[#This Row],[Ítem]]&amp;"|"&amp;tblControles[[#This Row],[Turno]]</f>
        <v>46287|FILTROS H2O|Filtro # 5|2 TURNO</v>
      </c>
      <c r="C1842" s="871">
        <v>46287</v>
      </c>
      <c r="D1842" t="s">
        <v>9430</v>
      </c>
      <c r="E1842" t="s">
        <v>9466</v>
      </c>
      <c r="F1842" t="s">
        <v>327</v>
      </c>
      <c r="G1842" t="s">
        <v>3227</v>
      </c>
      <c r="H1842" t="s">
        <v>9333</v>
      </c>
      <c r="I1842" s="871">
        <v>46293.93683766204</v>
      </c>
      <c r="J1842" t="s">
        <v>9533</v>
      </c>
      <c r="K1842" s="975" t="str">
        <f>IF(COUNTIFS(tblControles[Clave],tblControles[[#This Row],[Clave]])&gt;1,"Duplicado","")</f>
        <v/>
      </c>
    </row>
    <row r="1843" spans="2:11">
      <c r="B1843" s="975" t="str">
        <f>tblControles[[#This Row],[Fecha]]&amp;"|"&amp;tblControles[[#This Row],[Módulo]]&amp;"|"&amp;tblControles[[#This Row],[Ítem]]&amp;"|"&amp;tblControles[[#This Row],[Turno]]</f>
        <v>46287|FILTROS H2O|Filtro # 5|3 TURNO</v>
      </c>
      <c r="C1843" s="871">
        <v>46287</v>
      </c>
      <c r="D1843" t="s">
        <v>9430</v>
      </c>
      <c r="E1843" t="s">
        <v>9466</v>
      </c>
      <c r="F1843" t="s">
        <v>328</v>
      </c>
      <c r="G1843" t="s">
        <v>3227</v>
      </c>
      <c r="H1843" t="s">
        <v>9333</v>
      </c>
      <c r="I1843" s="871">
        <v>46293.93683766204</v>
      </c>
      <c r="J1843" t="s">
        <v>9533</v>
      </c>
      <c r="K1843" s="975" t="str">
        <f>IF(COUNTIFS(tblControles[Clave],tblControles[[#This Row],[Clave]])&gt;1,"Duplicado","")</f>
        <v/>
      </c>
    </row>
    <row r="1844" spans="2:11">
      <c r="B1844" s="975" t="str">
        <f>tblControles[[#This Row],[Fecha]]&amp;"|"&amp;tblControles[[#This Row],[Módulo]]&amp;"|"&amp;tblControles[[#This Row],[Ítem]]&amp;"|"&amp;tblControles[[#This Row],[Turno]]</f>
        <v>46287|FILTROS H2O|Filtro Linea # 5|2 TURNO</v>
      </c>
      <c r="C1844" s="871">
        <v>46287</v>
      </c>
      <c r="D1844" t="s">
        <v>9430</v>
      </c>
      <c r="E1844" t="s">
        <v>331</v>
      </c>
      <c r="F1844" t="s">
        <v>327</v>
      </c>
      <c r="G1844" t="s">
        <v>3227</v>
      </c>
      <c r="H1844" t="s">
        <v>9333</v>
      </c>
      <c r="I1844" s="871">
        <v>46293.93683766204</v>
      </c>
      <c r="J1844" t="s">
        <v>9533</v>
      </c>
      <c r="K1844" s="975" t="str">
        <f>IF(COUNTIFS(tblControles[Clave],tblControles[[#This Row],[Clave]])&gt;1,"Duplicado","")</f>
        <v/>
      </c>
    </row>
    <row r="1845" spans="2:11">
      <c r="B1845" s="975" t="str">
        <f>tblControles[[#This Row],[Fecha]]&amp;"|"&amp;tblControles[[#This Row],[Módulo]]&amp;"|"&amp;tblControles[[#This Row],[Ítem]]&amp;"|"&amp;tblControles[[#This Row],[Turno]]</f>
        <v>46287|FILTROS H2O|Filtro Linea # 5|3 TURNO</v>
      </c>
      <c r="C1845" s="871">
        <v>46287</v>
      </c>
      <c r="D1845" t="s">
        <v>9430</v>
      </c>
      <c r="E1845" t="s">
        <v>331</v>
      </c>
      <c r="F1845" t="s">
        <v>328</v>
      </c>
      <c r="G1845" t="s">
        <v>3227</v>
      </c>
      <c r="H1845" t="s">
        <v>9333</v>
      </c>
      <c r="I1845" s="871">
        <v>46293.93683766204</v>
      </c>
      <c r="J1845" t="s">
        <v>9533</v>
      </c>
      <c r="K1845" s="975" t="str">
        <f>IF(COUNTIFS(tblControles[Clave],tblControles[[#This Row],[Clave]])&gt;1,"Duplicado","")</f>
        <v/>
      </c>
    </row>
    <row r="1846" spans="2:11">
      <c r="B1846" s="975" t="str">
        <f>tblControles[[#This Row],[Fecha]]&amp;"|"&amp;tblControles[[#This Row],[Módulo]]&amp;"|"&amp;tblControles[[#This Row],[Ítem]]&amp;"|"&amp;tblControles[[#This Row],[Turno]]</f>
        <v>46287|FILTROS H2O|Filtro Linea # 6|2 TURNO</v>
      </c>
      <c r="C1846" s="871">
        <v>46287</v>
      </c>
      <c r="D1846" t="s">
        <v>9430</v>
      </c>
      <c r="E1846" t="s">
        <v>332</v>
      </c>
      <c r="F1846" t="s">
        <v>327</v>
      </c>
      <c r="G1846" t="s">
        <v>3227</v>
      </c>
      <c r="H1846" t="s">
        <v>9333</v>
      </c>
      <c r="I1846" s="871">
        <v>46293.93683766204</v>
      </c>
      <c r="J1846" t="s">
        <v>9533</v>
      </c>
      <c r="K1846" s="975" t="str">
        <f>IF(COUNTIFS(tblControles[Clave],tblControles[[#This Row],[Clave]])&gt;1,"Duplicado","")</f>
        <v/>
      </c>
    </row>
    <row r="1847" spans="2:11">
      <c r="B1847" s="975" t="str">
        <f>tblControles[[#This Row],[Fecha]]&amp;"|"&amp;tblControles[[#This Row],[Módulo]]&amp;"|"&amp;tblControles[[#This Row],[Ítem]]&amp;"|"&amp;tblControles[[#This Row],[Turno]]</f>
        <v>46287|FILTROS H2O|Filtro Linea # 6|3 TURNO</v>
      </c>
      <c r="C1847" s="871">
        <v>46287</v>
      </c>
      <c r="D1847" t="s">
        <v>9430</v>
      </c>
      <c r="E1847" t="s">
        <v>332</v>
      </c>
      <c r="F1847" t="s">
        <v>328</v>
      </c>
      <c r="G1847" t="s">
        <v>3227</v>
      </c>
      <c r="H1847" t="s">
        <v>9333</v>
      </c>
      <c r="I1847" s="871">
        <v>46293.93683766204</v>
      </c>
      <c r="J1847" t="s">
        <v>9533</v>
      </c>
      <c r="K1847" s="975" t="str">
        <f>IF(COUNTIFS(tblControles[Clave],tblControles[[#This Row],[Clave]])&gt;1,"Duplicado","")</f>
        <v/>
      </c>
    </row>
    <row r="1848" spans="2:11">
      <c r="B1848" s="975" t="str">
        <f>tblControles[[#This Row],[Fecha]]&amp;"|"&amp;tblControles[[#This Row],[Módulo]]&amp;"|"&amp;tblControles[[#This Row],[Ítem]]&amp;"|"&amp;tblControles[[#This Row],[Turno]]</f>
        <v>46287|FILTROS H2O|Filtro Linea # 7|2 TURNO</v>
      </c>
      <c r="C1848" s="871">
        <v>46287</v>
      </c>
      <c r="D1848" t="s">
        <v>9430</v>
      </c>
      <c r="E1848" t="s">
        <v>9467</v>
      </c>
      <c r="F1848" t="s">
        <v>327</v>
      </c>
      <c r="G1848" t="s">
        <v>345</v>
      </c>
      <c r="H1848" t="s">
        <v>9333</v>
      </c>
      <c r="I1848" s="871">
        <v>46293.93683766204</v>
      </c>
      <c r="J1848" t="s">
        <v>9533</v>
      </c>
      <c r="K1848" s="975" t="str">
        <f>IF(COUNTIFS(tblControles[Clave],tblControles[[#This Row],[Clave]])&gt;1,"Duplicado","")</f>
        <v/>
      </c>
    </row>
    <row r="1849" spans="2:11">
      <c r="B1849" s="975" t="str">
        <f>tblControles[[#This Row],[Fecha]]&amp;"|"&amp;tblControles[[#This Row],[Módulo]]&amp;"|"&amp;tblControles[[#This Row],[Ítem]]&amp;"|"&amp;tblControles[[#This Row],[Turno]]</f>
        <v>46287|FILTROS H2O|Filtro Linea # 7|3 TURNO</v>
      </c>
      <c r="C1849" s="871">
        <v>46287</v>
      </c>
      <c r="D1849" t="s">
        <v>9430</v>
      </c>
      <c r="E1849" t="s">
        <v>9467</v>
      </c>
      <c r="F1849" t="s">
        <v>328</v>
      </c>
      <c r="G1849" t="s">
        <v>3227</v>
      </c>
      <c r="H1849" t="s">
        <v>9333</v>
      </c>
      <c r="I1849" s="871">
        <v>46293.93683766204</v>
      </c>
      <c r="J1849" t="s">
        <v>9533</v>
      </c>
      <c r="K1849" s="975" t="str">
        <f>IF(COUNTIFS(tblControles[Clave],tblControles[[#This Row],[Clave]])&gt;1,"Duplicado","")</f>
        <v/>
      </c>
    </row>
    <row r="1850" spans="2:11">
      <c r="B1850" s="975" t="str">
        <f>tblControles[[#This Row],[Fecha]]&amp;"|"&amp;tblControles[[#This Row],[Módulo]]&amp;"|"&amp;tblControles[[#This Row],[Ítem]]&amp;"|"&amp;tblControles[[#This Row],[Turno]]</f>
        <v>46287|FILTROS H2O|Filtro Linea # 8|2 TURNO</v>
      </c>
      <c r="C1850" s="871">
        <v>46287</v>
      </c>
      <c r="D1850" t="s">
        <v>9430</v>
      </c>
      <c r="E1850" t="s">
        <v>9468</v>
      </c>
      <c r="F1850" t="s">
        <v>327</v>
      </c>
      <c r="G1850" t="s">
        <v>345</v>
      </c>
      <c r="H1850" t="s">
        <v>9333</v>
      </c>
      <c r="I1850" s="871">
        <v>46293.93683766204</v>
      </c>
      <c r="J1850" t="s">
        <v>9533</v>
      </c>
      <c r="K1850" s="975" t="str">
        <f>IF(COUNTIFS(tblControles[Clave],tblControles[[#This Row],[Clave]])&gt;1,"Duplicado","")</f>
        <v/>
      </c>
    </row>
    <row r="1851" spans="2:11">
      <c r="B1851" s="975" t="str">
        <f>tblControles[[#This Row],[Fecha]]&amp;"|"&amp;tblControles[[#This Row],[Módulo]]&amp;"|"&amp;tblControles[[#This Row],[Ítem]]&amp;"|"&amp;tblControles[[#This Row],[Turno]]</f>
        <v>46287|FILTROS H2O|Filtro Linea # 8|3 TURNO</v>
      </c>
      <c r="C1851" s="871">
        <v>46287</v>
      </c>
      <c r="D1851" t="s">
        <v>9430</v>
      </c>
      <c r="E1851" t="s">
        <v>9468</v>
      </c>
      <c r="F1851" t="s">
        <v>328</v>
      </c>
      <c r="G1851" t="s">
        <v>345</v>
      </c>
      <c r="H1851" t="s">
        <v>9333</v>
      </c>
      <c r="I1851" s="871">
        <v>46293.93683766204</v>
      </c>
      <c r="J1851" t="s">
        <v>9533</v>
      </c>
      <c r="K1851" s="975" t="str">
        <f>IF(COUNTIFS(tblControles[Clave],tblControles[[#This Row],[Clave]])&gt;1,"Duplicado","")</f>
        <v/>
      </c>
    </row>
    <row r="1852" spans="2:11">
      <c r="B1852" s="975" t="str">
        <f>tblControles[[#This Row],[Fecha]]&amp;"|"&amp;tblControles[[#This Row],[Módulo]]&amp;"|"&amp;tblControles[[#This Row],[Ítem]]&amp;"|"&amp;tblControles[[#This Row],[Turno]]</f>
        <v>46287|FILTROS H2O|Filtro Linea # 9 (01)|2 TURNO</v>
      </c>
      <c r="C1852" s="871">
        <v>46287</v>
      </c>
      <c r="D1852" t="s">
        <v>9430</v>
      </c>
      <c r="E1852" t="s">
        <v>9469</v>
      </c>
      <c r="F1852" t="s">
        <v>327</v>
      </c>
      <c r="G1852" t="s">
        <v>3227</v>
      </c>
      <c r="H1852" t="s">
        <v>9333</v>
      </c>
      <c r="I1852" s="871">
        <v>46293.93683766204</v>
      </c>
      <c r="J1852" t="s">
        <v>9533</v>
      </c>
      <c r="K1852" s="975" t="str">
        <f>IF(COUNTIFS(tblControles[Clave],tblControles[[#This Row],[Clave]])&gt;1,"Duplicado","")</f>
        <v/>
      </c>
    </row>
    <row r="1853" spans="2:11">
      <c r="B1853" s="975" t="str">
        <f>tblControles[[#This Row],[Fecha]]&amp;"|"&amp;tblControles[[#This Row],[Módulo]]&amp;"|"&amp;tblControles[[#This Row],[Ítem]]&amp;"|"&amp;tblControles[[#This Row],[Turno]]</f>
        <v>46287|FILTROS H2O|Filtro Linea # 9 (01)|3 TURNO</v>
      </c>
      <c r="C1853" s="871">
        <v>46287</v>
      </c>
      <c r="D1853" t="s">
        <v>9430</v>
      </c>
      <c r="E1853" t="s">
        <v>9469</v>
      </c>
      <c r="F1853" t="s">
        <v>328</v>
      </c>
      <c r="G1853" t="s">
        <v>3227</v>
      </c>
      <c r="H1853" t="s">
        <v>9333</v>
      </c>
      <c r="I1853" s="871">
        <v>46293.93683766204</v>
      </c>
      <c r="J1853" t="s">
        <v>9533</v>
      </c>
      <c r="K1853" s="975" t="str">
        <f>IF(COUNTIFS(tblControles[Clave],tblControles[[#This Row],[Clave]])&gt;1,"Duplicado","")</f>
        <v/>
      </c>
    </row>
    <row r="1854" spans="2:11">
      <c r="B1854" s="975" t="str">
        <f>tblControles[[#This Row],[Fecha]]&amp;"|"&amp;tblControles[[#This Row],[Módulo]]&amp;"|"&amp;tblControles[[#This Row],[Ítem]]&amp;"|"&amp;tblControles[[#This Row],[Turno]]</f>
        <v>46287|FILTROS H2O|Filtro Linea # 9 (02)|2 TURNO</v>
      </c>
      <c r="C1854" s="871">
        <v>46287</v>
      </c>
      <c r="D1854" t="s">
        <v>9430</v>
      </c>
      <c r="E1854" t="s">
        <v>9470</v>
      </c>
      <c r="F1854" t="s">
        <v>327</v>
      </c>
      <c r="G1854" t="s">
        <v>345</v>
      </c>
      <c r="H1854" t="s">
        <v>9333</v>
      </c>
      <c r="I1854" s="871">
        <v>46293.93683766204</v>
      </c>
      <c r="J1854" t="s">
        <v>9533</v>
      </c>
      <c r="K1854" s="975" t="str">
        <f>IF(COUNTIFS(tblControles[Clave],tblControles[[#This Row],[Clave]])&gt;1,"Duplicado","")</f>
        <v/>
      </c>
    </row>
    <row r="1855" spans="2:11">
      <c r="B1855" s="975" t="str">
        <f>tblControles[[#This Row],[Fecha]]&amp;"|"&amp;tblControles[[#This Row],[Módulo]]&amp;"|"&amp;tblControles[[#This Row],[Ítem]]&amp;"|"&amp;tblControles[[#This Row],[Turno]]</f>
        <v>46287|FILTROS H2O|Filtro Linea # 9 (02)|3 TURNO</v>
      </c>
      <c r="C1855" s="871">
        <v>46287</v>
      </c>
      <c r="D1855" t="s">
        <v>9430</v>
      </c>
      <c r="E1855" t="s">
        <v>9470</v>
      </c>
      <c r="F1855" t="s">
        <v>328</v>
      </c>
      <c r="G1855" t="s">
        <v>345</v>
      </c>
      <c r="H1855" t="s">
        <v>9333</v>
      </c>
      <c r="I1855" s="871">
        <v>46293.93683766204</v>
      </c>
      <c r="J1855" t="s">
        <v>9533</v>
      </c>
      <c r="K1855" s="975" t="str">
        <f>IF(COUNTIFS(tblControles[Clave],tblControles[[#This Row],[Clave]])&gt;1,"Duplicado","")</f>
        <v/>
      </c>
    </row>
    <row r="1856" spans="2:11">
      <c r="B1856" s="975" t="str">
        <f>tblControles[[#This Row],[Fecha]]&amp;"|"&amp;tblControles[[#This Row],[Módulo]]&amp;"|"&amp;tblControles[[#This Row],[Ítem]]&amp;"|"&amp;tblControles[[#This Row],[Turno]]</f>
        <v>46287|PURGA TKS AIRE|TK-MG-S. ROTULO|2do Turno</v>
      </c>
      <c r="C1856" s="871">
        <v>46287</v>
      </c>
      <c r="D1856" t="s">
        <v>9433</v>
      </c>
      <c r="E1856" t="s">
        <v>9471</v>
      </c>
      <c r="F1856" t="s">
        <v>9436</v>
      </c>
      <c r="G1856" t="s">
        <v>3227</v>
      </c>
      <c r="H1856" t="s">
        <v>9333</v>
      </c>
      <c r="I1856" s="871">
        <v>46293.93683766204</v>
      </c>
      <c r="J1856" t="s">
        <v>9530</v>
      </c>
      <c r="K1856" s="975" t="str">
        <f>IF(COUNTIFS(tblControles[Clave],tblControles[[#This Row],[Clave]])&gt;1,"Duplicado","")</f>
        <v/>
      </c>
    </row>
    <row r="1857" spans="2:11">
      <c r="B1857" s="975" t="str">
        <f>tblControles[[#This Row],[Fecha]]&amp;"|"&amp;tblControles[[#This Row],[Módulo]]&amp;"|"&amp;tblControles[[#This Row],[Ítem]]&amp;"|"&amp;tblControles[[#This Row],[Turno]]</f>
        <v>46287|PURGA TKS AIRE|TK-MG-001|2do Turno</v>
      </c>
      <c r="C1857" s="871">
        <v>46287</v>
      </c>
      <c r="D1857" t="s">
        <v>9433</v>
      </c>
      <c r="E1857" t="s">
        <v>337</v>
      </c>
      <c r="F1857" t="s">
        <v>9436</v>
      </c>
      <c r="G1857" t="s">
        <v>3227</v>
      </c>
      <c r="H1857" t="s">
        <v>9333</v>
      </c>
      <c r="I1857" s="871">
        <v>46293.93683766204</v>
      </c>
      <c r="J1857" t="s">
        <v>9530</v>
      </c>
      <c r="K1857" s="975" t="str">
        <f>IF(COUNTIFS(tblControles[Clave],tblControles[[#This Row],[Clave]])&gt;1,"Duplicado","")</f>
        <v/>
      </c>
    </row>
    <row r="1858" spans="2:11">
      <c r="B1858" s="975" t="str">
        <f>tblControles[[#This Row],[Fecha]]&amp;"|"&amp;tblControles[[#This Row],[Módulo]]&amp;"|"&amp;tblControles[[#This Row],[Ítem]]&amp;"|"&amp;tblControles[[#This Row],[Turno]]</f>
        <v>46287|PURGA TKS AIRE|TK-MG-002|2do Turno</v>
      </c>
      <c r="C1858" s="871">
        <v>46287</v>
      </c>
      <c r="D1858" t="s">
        <v>9433</v>
      </c>
      <c r="E1858" t="s">
        <v>339</v>
      </c>
      <c r="F1858" t="s">
        <v>9436</v>
      </c>
      <c r="G1858" t="s">
        <v>3227</v>
      </c>
      <c r="H1858" t="s">
        <v>9333</v>
      </c>
      <c r="I1858" s="871">
        <v>46293.93683766204</v>
      </c>
      <c r="J1858" t="s">
        <v>9530</v>
      </c>
      <c r="K1858" s="975" t="str">
        <f>IF(COUNTIFS(tblControles[Clave],tblControles[[#This Row],[Clave]])&gt;1,"Duplicado","")</f>
        <v/>
      </c>
    </row>
    <row r="1859" spans="2:11">
      <c r="B1859" s="975" t="str">
        <f>tblControles[[#This Row],[Fecha]]&amp;"|"&amp;tblControles[[#This Row],[Módulo]]&amp;"|"&amp;tblControles[[#This Row],[Ítem]]&amp;"|"&amp;tblControles[[#This Row],[Turno]]</f>
        <v>46287|PURGA TKS AIRE|TK-MG-003|2do Turno</v>
      </c>
      <c r="C1859" s="871">
        <v>46287</v>
      </c>
      <c r="D1859" t="s">
        <v>9433</v>
      </c>
      <c r="E1859" t="s">
        <v>341</v>
      </c>
      <c r="F1859" t="s">
        <v>9436</v>
      </c>
      <c r="G1859" t="s">
        <v>3227</v>
      </c>
      <c r="H1859" t="s">
        <v>9333</v>
      </c>
      <c r="I1859" s="871">
        <v>46293.93683766204</v>
      </c>
      <c r="J1859" t="s">
        <v>9530</v>
      </c>
      <c r="K1859" s="975" t="str">
        <f>IF(COUNTIFS(tblControles[Clave],tblControles[[#This Row],[Clave]])&gt;1,"Duplicado","")</f>
        <v/>
      </c>
    </row>
    <row r="1860" spans="2:11">
      <c r="B1860" s="975" t="str">
        <f>tblControles[[#This Row],[Fecha]]&amp;"|"&amp;tblControles[[#This Row],[Módulo]]&amp;"|"&amp;tblControles[[#This Row],[Ítem]]&amp;"|"&amp;tblControles[[#This Row],[Turno]]</f>
        <v>46287|PURGA TKS AIRE|TK-MG-005|2do Turno</v>
      </c>
      <c r="C1860" s="871">
        <v>46287</v>
      </c>
      <c r="D1860" t="s">
        <v>9433</v>
      </c>
      <c r="E1860" t="s">
        <v>343</v>
      </c>
      <c r="F1860" t="s">
        <v>9436</v>
      </c>
      <c r="G1860" t="s">
        <v>345</v>
      </c>
      <c r="H1860" t="s">
        <v>9333</v>
      </c>
      <c r="I1860" s="871">
        <v>46293.93683766204</v>
      </c>
      <c r="J1860" t="s">
        <v>9530</v>
      </c>
      <c r="K1860" s="975" t="str">
        <f>IF(COUNTIFS(tblControles[Clave],tblControles[[#This Row],[Clave]])&gt;1,"Duplicado","")</f>
        <v/>
      </c>
    </row>
    <row r="1861" spans="2:11">
      <c r="B1861" s="975" t="str">
        <f>tblControles[[#This Row],[Fecha]]&amp;"|"&amp;tblControles[[#This Row],[Módulo]]&amp;"|"&amp;tblControles[[#This Row],[Ítem]]&amp;"|"&amp;tblControles[[#This Row],[Turno]]</f>
        <v>46287|PURGA TKS AIRE|TK-MG-006|2do Turno</v>
      </c>
      <c r="C1861" s="871">
        <v>46287</v>
      </c>
      <c r="D1861" t="s">
        <v>9433</v>
      </c>
      <c r="E1861" t="s">
        <v>346</v>
      </c>
      <c r="F1861" t="s">
        <v>9436</v>
      </c>
      <c r="G1861" t="s">
        <v>3227</v>
      </c>
      <c r="H1861" t="s">
        <v>9333</v>
      </c>
      <c r="I1861" s="871">
        <v>46293.93683766204</v>
      </c>
      <c r="J1861" t="s">
        <v>9530</v>
      </c>
      <c r="K1861" s="975" t="str">
        <f>IF(COUNTIFS(tblControles[Clave],tblControles[[#This Row],[Clave]])&gt;1,"Duplicado","")</f>
        <v/>
      </c>
    </row>
    <row r="1862" spans="2:11">
      <c r="B1862" s="975" t="str">
        <f>tblControles[[#This Row],[Fecha]]&amp;"|"&amp;tblControles[[#This Row],[Módulo]]&amp;"|"&amp;tblControles[[#This Row],[Ítem]]&amp;"|"&amp;tblControles[[#This Row],[Turno]]</f>
        <v>46287|PURGA TKS AIRE|TK-MG-007|2do Turno</v>
      </c>
      <c r="C1862" s="871">
        <v>46287</v>
      </c>
      <c r="D1862" t="s">
        <v>9433</v>
      </c>
      <c r="E1862" t="s">
        <v>347</v>
      </c>
      <c r="F1862" t="s">
        <v>9436</v>
      </c>
      <c r="G1862" t="s">
        <v>3227</v>
      </c>
      <c r="H1862" t="s">
        <v>9333</v>
      </c>
      <c r="I1862" s="871">
        <v>46293.93683766204</v>
      </c>
      <c r="J1862" t="s">
        <v>9530</v>
      </c>
      <c r="K1862" s="975" t="str">
        <f>IF(COUNTIFS(tblControles[Clave],tblControles[[#This Row],[Clave]])&gt;1,"Duplicado","")</f>
        <v/>
      </c>
    </row>
    <row r="1863" spans="2:11">
      <c r="B1863" s="975" t="str">
        <f>tblControles[[#This Row],[Fecha]]&amp;"|"&amp;tblControles[[#This Row],[Módulo]]&amp;"|"&amp;tblControles[[#This Row],[Ítem]]&amp;"|"&amp;tblControles[[#This Row],[Turno]]</f>
        <v>46287|PURGA TKS AIRE|TK-MG-004|2do Turno</v>
      </c>
      <c r="C1863" s="871">
        <v>46287</v>
      </c>
      <c r="D1863" t="s">
        <v>9433</v>
      </c>
      <c r="E1863" t="s">
        <v>349</v>
      </c>
      <c r="F1863" t="s">
        <v>9436</v>
      </c>
      <c r="G1863" t="s">
        <v>3227</v>
      </c>
      <c r="H1863" t="s">
        <v>9333</v>
      </c>
      <c r="I1863" s="871">
        <v>46293.93683766204</v>
      </c>
      <c r="J1863" t="s">
        <v>9530</v>
      </c>
      <c r="K1863" s="975" t="str">
        <f>IF(COUNTIFS(tblControles[Clave],tblControles[[#This Row],[Clave]])&gt;1,"Duplicado","")</f>
        <v/>
      </c>
    </row>
    <row r="1864" spans="2:11">
      <c r="B1864" s="975" t="str">
        <f>tblControles[[#This Row],[Fecha]]&amp;"|"&amp;tblControles[[#This Row],[Módulo]]&amp;"|"&amp;tblControles[[#This Row],[Ítem]]&amp;"|"&amp;tblControles[[#This Row],[Turno]]</f>
        <v>46287|PURGA TKS AIRE|TK-MG-008|2do Turno</v>
      </c>
      <c r="C1864" s="871">
        <v>46287</v>
      </c>
      <c r="D1864" t="s">
        <v>9433</v>
      </c>
      <c r="E1864" t="s">
        <v>351</v>
      </c>
      <c r="F1864" t="s">
        <v>9436</v>
      </c>
      <c r="G1864" t="s">
        <v>3227</v>
      </c>
      <c r="H1864" t="s">
        <v>9333</v>
      </c>
      <c r="I1864" s="871">
        <v>46293.93683766204</v>
      </c>
      <c r="J1864" t="s">
        <v>9530</v>
      </c>
      <c r="K1864" s="975" t="str">
        <f>IF(COUNTIFS(tblControles[Clave],tblControles[[#This Row],[Clave]])&gt;1,"Duplicado","")</f>
        <v/>
      </c>
    </row>
    <row r="1865" spans="2:11">
      <c r="B1865" s="975" t="str">
        <f>tblControles[[#This Row],[Fecha]]&amp;"|"&amp;tblControles[[#This Row],[Módulo]]&amp;"|"&amp;tblControles[[#This Row],[Ítem]]&amp;"|"&amp;tblControles[[#This Row],[Turno]]</f>
        <v>46287|PURGA TKS AIRE|TK-MG-009|2do Turno</v>
      </c>
      <c r="C1865" s="871">
        <v>46287</v>
      </c>
      <c r="D1865" t="s">
        <v>9433</v>
      </c>
      <c r="E1865" t="s">
        <v>353</v>
      </c>
      <c r="F1865" t="s">
        <v>9436</v>
      </c>
      <c r="G1865" t="s">
        <v>3227</v>
      </c>
      <c r="H1865" t="s">
        <v>9333</v>
      </c>
      <c r="I1865" s="871">
        <v>46293.93683766204</v>
      </c>
      <c r="J1865" t="s">
        <v>9530</v>
      </c>
      <c r="K1865" s="975" t="str">
        <f>IF(COUNTIFS(tblControles[Clave],tblControles[[#This Row],[Clave]])&gt;1,"Duplicado","")</f>
        <v/>
      </c>
    </row>
    <row r="1866" spans="2:11">
      <c r="B1866" s="975" t="str">
        <f>tblControles[[#This Row],[Fecha]]&amp;"|"&amp;tblControles[[#This Row],[Módulo]]&amp;"|"&amp;tblControles[[#This Row],[Ítem]]&amp;"|"&amp;tblControles[[#This Row],[Turno]]</f>
        <v>46287|PURGA TKS AIRE|TK-MG-010|2do Turno</v>
      </c>
      <c r="C1866" s="871">
        <v>46287</v>
      </c>
      <c r="D1866" t="s">
        <v>9433</v>
      </c>
      <c r="E1866" t="s">
        <v>355</v>
      </c>
      <c r="F1866" t="s">
        <v>9436</v>
      </c>
      <c r="G1866" t="s">
        <v>3227</v>
      </c>
      <c r="H1866" t="s">
        <v>9333</v>
      </c>
      <c r="I1866" s="871">
        <v>46293.93683766204</v>
      </c>
      <c r="J1866" t="s">
        <v>9530</v>
      </c>
      <c r="K1866" s="975" t="str">
        <f>IF(COUNTIFS(tblControles[Clave],tblControles[[#This Row],[Clave]])&gt;1,"Duplicado","")</f>
        <v/>
      </c>
    </row>
    <row r="1867" spans="2:11">
      <c r="B1867" s="975" t="str">
        <f>tblControles[[#This Row],[Fecha]]&amp;"|"&amp;tblControles[[#This Row],[Módulo]]&amp;"|"&amp;tblControles[[#This Row],[Ítem]]&amp;"|"&amp;tblControles[[#This Row],[Turno]]</f>
        <v>46287|PURGA TKS AIRE|TK-MG-011|2do Turno</v>
      </c>
      <c r="C1867" s="871">
        <v>46287</v>
      </c>
      <c r="D1867" t="s">
        <v>9433</v>
      </c>
      <c r="E1867" t="s">
        <v>357</v>
      </c>
      <c r="F1867" t="s">
        <v>9436</v>
      </c>
      <c r="G1867" t="s">
        <v>3227</v>
      </c>
      <c r="H1867" t="s">
        <v>9333</v>
      </c>
      <c r="I1867" s="871">
        <v>46293.93683766204</v>
      </c>
      <c r="J1867" t="s">
        <v>9530</v>
      </c>
      <c r="K1867" s="975" t="str">
        <f>IF(COUNTIFS(tblControles[Clave],tblControles[[#This Row],[Clave]])&gt;1,"Duplicado","")</f>
        <v/>
      </c>
    </row>
    <row r="1868" spans="2:11">
      <c r="B1868" s="975" t="str">
        <f>tblControles[[#This Row],[Fecha]]&amp;"|"&amp;tblControles[[#This Row],[Módulo]]&amp;"|"&amp;tblControles[[#This Row],[Ítem]]&amp;"|"&amp;tblControles[[#This Row],[Turno]]</f>
        <v>46287|PURGA TKS AIRE|TK-MG-012|2do Turno</v>
      </c>
      <c r="C1868" s="871">
        <v>46287</v>
      </c>
      <c r="D1868" t="s">
        <v>9433</v>
      </c>
      <c r="E1868" t="s">
        <v>359</v>
      </c>
      <c r="F1868" t="s">
        <v>9436</v>
      </c>
      <c r="G1868" t="s">
        <v>3227</v>
      </c>
      <c r="H1868" t="s">
        <v>9333</v>
      </c>
      <c r="I1868" s="871">
        <v>46293.93683766204</v>
      </c>
      <c r="J1868" t="s">
        <v>9530</v>
      </c>
      <c r="K1868" s="975" t="str">
        <f>IF(COUNTIFS(tblControles[Clave],tblControles[[#This Row],[Clave]])&gt;1,"Duplicado","")</f>
        <v/>
      </c>
    </row>
    <row r="1869" spans="2:11">
      <c r="B1869" s="975" t="str">
        <f>tblControles[[#This Row],[Fecha]]&amp;"|"&amp;tblControles[[#This Row],[Módulo]]&amp;"|"&amp;tblControles[[#This Row],[Ítem]]&amp;"|"&amp;tblControles[[#This Row],[Turno]]</f>
        <v>46287|PURGA TKS AIRE|TK-MG-013|2do Turno</v>
      </c>
      <c r="C1869" s="871">
        <v>46287</v>
      </c>
      <c r="D1869" t="s">
        <v>9433</v>
      </c>
      <c r="E1869" t="s">
        <v>361</v>
      </c>
      <c r="F1869" t="s">
        <v>9436</v>
      </c>
      <c r="G1869" t="s">
        <v>3227</v>
      </c>
      <c r="H1869" t="s">
        <v>9333</v>
      </c>
      <c r="I1869" s="871">
        <v>46293.93683766204</v>
      </c>
      <c r="J1869" t="s">
        <v>9530</v>
      </c>
      <c r="K1869" s="975" t="str">
        <f>IF(COUNTIFS(tblControles[Clave],tblControles[[#This Row],[Clave]])&gt;1,"Duplicado","")</f>
        <v/>
      </c>
    </row>
    <row r="1870" spans="2:11">
      <c r="B1870" s="975" t="str">
        <f>tblControles[[#This Row],[Fecha]]&amp;"|"&amp;tblControles[[#This Row],[Módulo]]&amp;"|"&amp;tblControles[[#This Row],[Ítem]]&amp;"|"&amp;tblControles[[#This Row],[Turno]]</f>
        <v>46287|PURGA TKS AIRE|TK-MG-014|2do Turno</v>
      </c>
      <c r="C1870" s="871">
        <v>46287</v>
      </c>
      <c r="D1870" t="s">
        <v>9433</v>
      </c>
      <c r="E1870" t="s">
        <v>363</v>
      </c>
      <c r="F1870" t="s">
        <v>9436</v>
      </c>
      <c r="G1870" t="s">
        <v>3227</v>
      </c>
      <c r="H1870" t="s">
        <v>9333</v>
      </c>
      <c r="I1870" s="871">
        <v>46293.93683766204</v>
      </c>
      <c r="J1870" t="s">
        <v>9530</v>
      </c>
      <c r="K1870" s="975" t="str">
        <f>IF(COUNTIFS(tblControles[Clave],tblControles[[#This Row],[Clave]])&gt;1,"Duplicado","")</f>
        <v/>
      </c>
    </row>
    <row r="1871" spans="2:11">
      <c r="B1871" s="975" t="str">
        <f>tblControles[[#This Row],[Fecha]]&amp;"|"&amp;tblControles[[#This Row],[Módulo]]&amp;"|"&amp;tblControles[[#This Row],[Ítem]]&amp;"|"&amp;tblControles[[#This Row],[Turno]]</f>
        <v>46287|REACTIVOS|Ácido oxálico|Turno día (12 h)</v>
      </c>
      <c r="C1871" s="871">
        <v>46287</v>
      </c>
      <c r="D1871" t="s">
        <v>9444</v>
      </c>
      <c r="E1871" t="s">
        <v>9508</v>
      </c>
      <c r="F1871" t="s">
        <v>9446</v>
      </c>
      <c r="G1871">
        <v>22000</v>
      </c>
      <c r="H1871" t="s">
        <v>9333</v>
      </c>
      <c r="I1871" s="871">
        <v>46293.93683766204</v>
      </c>
      <c r="J1871" t="s">
        <v>9527</v>
      </c>
      <c r="K1871" s="975" t="str">
        <f>IF(COUNTIFS(tblControles[Clave],tblControles[[#This Row],[Clave]])&gt;1,"Duplicado","")</f>
        <v/>
      </c>
    </row>
    <row r="1872" spans="2:11">
      <c r="B1872" s="975" t="str">
        <f>tblControles[[#This Row],[Fecha]]&amp;"|"&amp;tblControles[[#This Row],[Módulo]]&amp;"|"&amp;tblControles[[#This Row],[Ítem]]&amp;"|"&amp;tblControles[[#This Row],[Turno]]</f>
        <v>46287|REACTIVOS|Ácido oxálico|Turno noche (12 h)</v>
      </c>
      <c r="C1872" s="871">
        <v>46287</v>
      </c>
      <c r="D1872" t="s">
        <v>9444</v>
      </c>
      <c r="E1872" t="s">
        <v>9508</v>
      </c>
      <c r="F1872" t="s">
        <v>9447</v>
      </c>
      <c r="G1872">
        <v>18000</v>
      </c>
      <c r="H1872" t="s">
        <v>9333</v>
      </c>
      <c r="I1872" s="871">
        <v>46293.93683766204</v>
      </c>
      <c r="J1872" t="s">
        <v>9527</v>
      </c>
      <c r="K1872" s="975" t="str">
        <f>IF(COUNTIFS(tblControles[Clave],tblControles[[#This Row],[Clave]])&gt;1,"Duplicado","")</f>
        <v/>
      </c>
    </row>
    <row r="1873" spans="2:11">
      <c r="B1873" s="975" t="str">
        <f>tblControles[[#This Row],[Fecha]]&amp;"|"&amp;tblControles[[#This Row],[Módulo]]&amp;"|"&amp;tblControles[[#This Row],[Ítem]]&amp;"|"&amp;tblControles[[#This Row],[Turno]]</f>
        <v>46287|REACTIVOS|Xantato|Turno día (12 h)</v>
      </c>
      <c r="C1873" s="871">
        <v>46287</v>
      </c>
      <c r="D1873" t="s">
        <v>9444</v>
      </c>
      <c r="E1873" t="s">
        <v>9511</v>
      </c>
      <c r="F1873" t="s">
        <v>9446</v>
      </c>
      <c r="G1873">
        <v>3150</v>
      </c>
      <c r="H1873" t="s">
        <v>9333</v>
      </c>
      <c r="I1873" s="871">
        <v>46293.93683766204</v>
      </c>
      <c r="J1873" t="s">
        <v>9527</v>
      </c>
      <c r="K1873" s="975" t="str">
        <f>IF(COUNTIFS(tblControles[Clave],tblControles[[#This Row],[Clave]])&gt;1,"Duplicado","")</f>
        <v/>
      </c>
    </row>
    <row r="1874" spans="2:11">
      <c r="B1874" s="975" t="str">
        <f>tblControles[[#This Row],[Fecha]]&amp;"|"&amp;tblControles[[#This Row],[Módulo]]&amp;"|"&amp;tblControles[[#This Row],[Ítem]]&amp;"|"&amp;tblControles[[#This Row],[Turno]]</f>
        <v>46287|REACTIVOS|Xantato|Turno noche (12 h)</v>
      </c>
      <c r="C1874" s="871">
        <v>46287</v>
      </c>
      <c r="D1874" t="s">
        <v>9444</v>
      </c>
      <c r="E1874" t="s">
        <v>9511</v>
      </c>
      <c r="F1874" t="s">
        <v>9447</v>
      </c>
      <c r="G1874">
        <v>3150</v>
      </c>
      <c r="H1874" t="s">
        <v>9333</v>
      </c>
      <c r="I1874" s="871">
        <v>46293.93683766204</v>
      </c>
      <c r="J1874" t="s">
        <v>9527</v>
      </c>
      <c r="K1874" s="975" t="str">
        <f>IF(COUNTIFS(tblControles[Clave],tblControles[[#This Row],[Clave]])&gt;1,"Duplicado","")</f>
        <v/>
      </c>
    </row>
    <row r="1875" spans="2:11">
      <c r="B1875" s="975" t="str">
        <f>tblControles[[#This Row],[Fecha]]&amp;"|"&amp;tblControles[[#This Row],[Módulo]]&amp;"|"&amp;tblControles[[#This Row],[Ítem]]&amp;"|"&amp;tblControles[[#This Row],[Turno]]</f>
        <v>46287|REACTIVOS|Espumante|Consumo día</v>
      </c>
      <c r="C1875" s="871">
        <v>46287</v>
      </c>
      <c r="D1875" t="s">
        <v>9444</v>
      </c>
      <c r="E1875" t="s">
        <v>9513</v>
      </c>
      <c r="F1875" t="s">
        <v>9870</v>
      </c>
      <c r="G1875">
        <v>2000</v>
      </c>
      <c r="H1875" t="s">
        <v>9333</v>
      </c>
      <c r="I1875" s="871">
        <v>46293.93683766204</v>
      </c>
      <c r="J1875" t="s">
        <v>9527</v>
      </c>
      <c r="K1875" s="975" t="str">
        <f>IF(COUNTIFS(tblControles[Clave],tblControles[[#This Row],[Clave]])&gt;1,"Duplicado","")</f>
        <v/>
      </c>
    </row>
    <row r="1876" spans="2:11">
      <c r="B1876" s="975" t="str">
        <f>tblControles[[#This Row],[Fecha]]&amp;"|"&amp;tblControles[[#This Row],[Módulo]]&amp;"|"&amp;tblControles[[#This Row],[Ítem]]&amp;"|"&amp;tblControles[[#This Row],[Turno]]</f>
        <v>46291|FILTROS H2O|Filtro # 1|3 TURNO</v>
      </c>
      <c r="C1876" s="871">
        <v>46291</v>
      </c>
      <c r="D1876" t="s">
        <v>9430</v>
      </c>
      <c r="E1876" t="s">
        <v>9525</v>
      </c>
      <c r="F1876" t="s">
        <v>328</v>
      </c>
      <c r="G1876" t="s">
        <v>3227</v>
      </c>
      <c r="H1876" t="s">
        <v>9333</v>
      </c>
      <c r="I1876" s="871">
        <v>46293.93683766204</v>
      </c>
      <c r="J1876" t="s">
        <v>9533</v>
      </c>
      <c r="K1876" s="975" t="str">
        <f>IF(COUNTIFS(tblControles[Clave],tblControles[[#This Row],[Clave]])&gt;1,"Duplicado","")</f>
        <v/>
      </c>
    </row>
    <row r="1877" spans="2:11">
      <c r="B1877" s="975" t="str">
        <f>tblControles[[#This Row],[Fecha]]&amp;"|"&amp;tblControles[[#This Row],[Módulo]]&amp;"|"&amp;tblControles[[#This Row],[Ítem]]&amp;"|"&amp;tblControles[[#This Row],[Turno]]</f>
        <v>46291|FILTROS H2O|Filtro # 2|3 TURNO</v>
      </c>
      <c r="C1877" s="871">
        <v>46291</v>
      </c>
      <c r="D1877" t="s">
        <v>9430</v>
      </c>
      <c r="E1877" t="s">
        <v>9463</v>
      </c>
      <c r="F1877" t="s">
        <v>328</v>
      </c>
      <c r="G1877" t="s">
        <v>3227</v>
      </c>
      <c r="H1877" t="s">
        <v>9333</v>
      </c>
      <c r="I1877" s="871">
        <v>46293.93683766204</v>
      </c>
      <c r="J1877" t="s">
        <v>9533</v>
      </c>
      <c r="K1877" s="975" t="str">
        <f>IF(COUNTIFS(tblControles[Clave],tblControles[[#This Row],[Clave]])&gt;1,"Duplicado","")</f>
        <v/>
      </c>
    </row>
    <row r="1878" spans="2:11">
      <c r="B1878" s="975" t="str">
        <f>tblControles[[#This Row],[Fecha]]&amp;"|"&amp;tblControles[[#This Row],[Módulo]]&amp;"|"&amp;tblControles[[#This Row],[Ítem]]&amp;"|"&amp;tblControles[[#This Row],[Turno]]</f>
        <v>46291|FILTROS H2O|Filtro # 3|3 TURNO</v>
      </c>
      <c r="C1878" s="871">
        <v>46291</v>
      </c>
      <c r="D1878" t="s">
        <v>9430</v>
      </c>
      <c r="E1878" t="s">
        <v>9464</v>
      </c>
      <c r="F1878" t="s">
        <v>328</v>
      </c>
      <c r="G1878" t="s">
        <v>3227</v>
      </c>
      <c r="H1878" t="s">
        <v>9333</v>
      </c>
      <c r="I1878" s="871">
        <v>46293.93683766204</v>
      </c>
      <c r="J1878" t="s">
        <v>9533</v>
      </c>
      <c r="K1878" s="975" t="str">
        <f>IF(COUNTIFS(tblControles[Clave],tblControles[[#This Row],[Clave]])&gt;1,"Duplicado","")</f>
        <v/>
      </c>
    </row>
    <row r="1879" spans="2:11">
      <c r="B1879" s="975" t="str">
        <f>tblControles[[#This Row],[Fecha]]&amp;"|"&amp;tblControles[[#This Row],[Módulo]]&amp;"|"&amp;tblControles[[#This Row],[Ítem]]&amp;"|"&amp;tblControles[[#This Row],[Turno]]</f>
        <v>46291|FILTROS H2O|Filtro # 4|3 TURNO</v>
      </c>
      <c r="C1879" s="871">
        <v>46291</v>
      </c>
      <c r="D1879" t="s">
        <v>9430</v>
      </c>
      <c r="E1879" t="s">
        <v>9465</v>
      </c>
      <c r="F1879" t="s">
        <v>328</v>
      </c>
      <c r="G1879" t="s">
        <v>345</v>
      </c>
      <c r="H1879" t="s">
        <v>9333</v>
      </c>
      <c r="I1879" s="871">
        <v>46293.93683766204</v>
      </c>
      <c r="J1879" t="s">
        <v>9533</v>
      </c>
      <c r="K1879" s="975" t="str">
        <f>IF(COUNTIFS(tblControles[Clave],tblControles[[#This Row],[Clave]])&gt;1,"Duplicado","")</f>
        <v/>
      </c>
    </row>
    <row r="1880" spans="2:11">
      <c r="B1880" s="975" t="str">
        <f>tblControles[[#This Row],[Fecha]]&amp;"|"&amp;tblControles[[#This Row],[Módulo]]&amp;"|"&amp;tblControles[[#This Row],[Ítem]]&amp;"|"&amp;tblControles[[#This Row],[Turno]]</f>
        <v>46291|FILTROS H2O|Filtro # 5|3 TURNO</v>
      </c>
      <c r="C1880" s="871">
        <v>46291</v>
      </c>
      <c r="D1880" t="s">
        <v>9430</v>
      </c>
      <c r="E1880" t="s">
        <v>9466</v>
      </c>
      <c r="F1880" t="s">
        <v>328</v>
      </c>
      <c r="G1880" t="s">
        <v>3227</v>
      </c>
      <c r="H1880" t="s">
        <v>9333</v>
      </c>
      <c r="I1880" s="871">
        <v>46293.93683766204</v>
      </c>
      <c r="J1880" t="s">
        <v>9533</v>
      </c>
      <c r="K1880" s="975" t="str">
        <f>IF(COUNTIFS(tblControles[Clave],tblControles[[#This Row],[Clave]])&gt;1,"Duplicado","")</f>
        <v/>
      </c>
    </row>
    <row r="1881" spans="2:11">
      <c r="B1881" s="975" t="str">
        <f>tblControles[[#This Row],[Fecha]]&amp;"|"&amp;tblControles[[#This Row],[Módulo]]&amp;"|"&amp;tblControles[[#This Row],[Ítem]]&amp;"|"&amp;tblControles[[#This Row],[Turno]]</f>
        <v>46291|FILTROS H2O|Filtro Linea # 5|3 TURNO</v>
      </c>
      <c r="C1881" s="871">
        <v>46291</v>
      </c>
      <c r="D1881" t="s">
        <v>9430</v>
      </c>
      <c r="E1881" t="s">
        <v>331</v>
      </c>
      <c r="F1881" t="s">
        <v>328</v>
      </c>
      <c r="G1881" t="s">
        <v>3227</v>
      </c>
      <c r="H1881" t="s">
        <v>9333</v>
      </c>
      <c r="I1881" s="871">
        <v>46293.93683766204</v>
      </c>
      <c r="J1881" t="s">
        <v>9533</v>
      </c>
      <c r="K1881" s="975" t="str">
        <f>IF(COUNTIFS(tblControles[Clave],tblControles[[#This Row],[Clave]])&gt;1,"Duplicado","")</f>
        <v/>
      </c>
    </row>
    <row r="1882" spans="2:11">
      <c r="B1882" s="975" t="str">
        <f>tblControles[[#This Row],[Fecha]]&amp;"|"&amp;tblControles[[#This Row],[Módulo]]&amp;"|"&amp;tblControles[[#This Row],[Ítem]]&amp;"|"&amp;tblControles[[#This Row],[Turno]]</f>
        <v>46291|FILTROS H2O|Filtro Linea # 6|3 TURNO</v>
      </c>
      <c r="C1882" s="871">
        <v>46291</v>
      </c>
      <c r="D1882" t="s">
        <v>9430</v>
      </c>
      <c r="E1882" t="s">
        <v>332</v>
      </c>
      <c r="F1882" t="s">
        <v>328</v>
      </c>
      <c r="G1882" t="s">
        <v>3227</v>
      </c>
      <c r="H1882" t="s">
        <v>9333</v>
      </c>
      <c r="I1882" s="871">
        <v>46293.93683766204</v>
      </c>
      <c r="J1882" t="s">
        <v>9533</v>
      </c>
      <c r="K1882" s="975" t="str">
        <f>IF(COUNTIFS(tblControles[Clave],tblControles[[#This Row],[Clave]])&gt;1,"Duplicado","")</f>
        <v/>
      </c>
    </row>
    <row r="1883" spans="2:11">
      <c r="B1883" s="975" t="str">
        <f>tblControles[[#This Row],[Fecha]]&amp;"|"&amp;tblControles[[#This Row],[Módulo]]&amp;"|"&amp;tblControles[[#This Row],[Ítem]]&amp;"|"&amp;tblControles[[#This Row],[Turno]]</f>
        <v>46291|FILTROS H2O|Filtro Linea # 7|3 TURNO</v>
      </c>
      <c r="C1883" s="871">
        <v>46291</v>
      </c>
      <c r="D1883" t="s">
        <v>9430</v>
      </c>
      <c r="E1883" t="s">
        <v>9467</v>
      </c>
      <c r="F1883" t="s">
        <v>328</v>
      </c>
      <c r="G1883" t="s">
        <v>3227</v>
      </c>
      <c r="H1883" t="s">
        <v>9333</v>
      </c>
      <c r="I1883" s="871">
        <v>46293.93683766204</v>
      </c>
      <c r="J1883" t="s">
        <v>9533</v>
      </c>
      <c r="K1883" s="975" t="str">
        <f>IF(COUNTIFS(tblControles[Clave],tblControles[[#This Row],[Clave]])&gt;1,"Duplicado","")</f>
        <v/>
      </c>
    </row>
    <row r="1884" spans="2:11">
      <c r="B1884" s="975" t="str">
        <f>tblControles[[#This Row],[Fecha]]&amp;"|"&amp;tblControles[[#This Row],[Módulo]]&amp;"|"&amp;tblControles[[#This Row],[Ítem]]&amp;"|"&amp;tblControles[[#This Row],[Turno]]</f>
        <v>46291|FILTROS H2O|Filtro Linea # 8|3 TURNO</v>
      </c>
      <c r="C1884" s="871">
        <v>46291</v>
      </c>
      <c r="D1884" t="s">
        <v>9430</v>
      </c>
      <c r="E1884" t="s">
        <v>9468</v>
      </c>
      <c r="F1884" t="s">
        <v>328</v>
      </c>
      <c r="G1884" t="s">
        <v>345</v>
      </c>
      <c r="H1884" t="s">
        <v>9333</v>
      </c>
      <c r="I1884" s="871">
        <v>46293.93683766204</v>
      </c>
      <c r="J1884" t="s">
        <v>9533</v>
      </c>
      <c r="K1884" s="975" t="str">
        <f>IF(COUNTIFS(tblControles[Clave],tblControles[[#This Row],[Clave]])&gt;1,"Duplicado","")</f>
        <v/>
      </c>
    </row>
    <row r="1885" spans="2:11">
      <c r="B1885" s="975" t="str">
        <f>tblControles[[#This Row],[Fecha]]&amp;"|"&amp;tblControles[[#This Row],[Módulo]]&amp;"|"&amp;tblControles[[#This Row],[Ítem]]&amp;"|"&amp;tblControles[[#This Row],[Turno]]</f>
        <v>46291|FILTROS H2O|Filtro Linea # 9 (01)|3 TURNO</v>
      </c>
      <c r="C1885" s="871">
        <v>46291</v>
      </c>
      <c r="D1885" t="s">
        <v>9430</v>
      </c>
      <c r="E1885" t="s">
        <v>9469</v>
      </c>
      <c r="F1885" t="s">
        <v>328</v>
      </c>
      <c r="G1885" t="s">
        <v>3227</v>
      </c>
      <c r="H1885" t="s">
        <v>9333</v>
      </c>
      <c r="I1885" s="871">
        <v>46293.93683766204</v>
      </c>
      <c r="J1885" t="s">
        <v>9533</v>
      </c>
      <c r="K1885" s="975" t="str">
        <f>IF(COUNTIFS(tblControles[Clave],tblControles[[#This Row],[Clave]])&gt;1,"Duplicado","")</f>
        <v/>
      </c>
    </row>
    <row r="1886" spans="2:11">
      <c r="B1886" s="975" t="str">
        <f>tblControles[[#This Row],[Fecha]]&amp;"|"&amp;tblControles[[#This Row],[Módulo]]&amp;"|"&amp;tblControles[[#This Row],[Ítem]]&amp;"|"&amp;tblControles[[#This Row],[Turno]]</f>
        <v>46291|FILTROS H2O|Filtro Linea # 9 (02)|3 TURNO</v>
      </c>
      <c r="C1886" s="871">
        <v>46291</v>
      </c>
      <c r="D1886" t="s">
        <v>9430</v>
      </c>
      <c r="E1886" t="s">
        <v>9470</v>
      </c>
      <c r="F1886" t="s">
        <v>328</v>
      </c>
      <c r="G1886" t="s">
        <v>345</v>
      </c>
      <c r="H1886" t="s">
        <v>9333</v>
      </c>
      <c r="I1886" s="871">
        <v>46293.93683766204</v>
      </c>
      <c r="J1886" t="s">
        <v>9533</v>
      </c>
      <c r="K1886" s="975" t="str">
        <f>IF(COUNTIFS(tblControles[Clave],tblControles[[#This Row],[Clave]])&gt;1,"Duplicado","")</f>
        <v/>
      </c>
    </row>
    <row r="1887" spans="2:11">
      <c r="B1887" s="975" t="str">
        <f>tblControles[[#This Row],[Fecha]]&amp;"|"&amp;tblControles[[#This Row],[Módulo]]&amp;"|"&amp;tblControles[[#This Row],[Ítem]]&amp;"|"&amp;tblControles[[#This Row],[Turno]]</f>
        <v>46293|FILTROS H2O|Filtro # 1|3 TURNO</v>
      </c>
      <c r="C1887" s="871">
        <v>46293</v>
      </c>
      <c r="D1887" t="s">
        <v>9430</v>
      </c>
      <c r="E1887" t="s">
        <v>9525</v>
      </c>
      <c r="F1887" t="s">
        <v>328</v>
      </c>
      <c r="G1887" t="s">
        <v>3227</v>
      </c>
      <c r="H1887" t="s">
        <v>9333</v>
      </c>
      <c r="I1887" s="871">
        <v>46293.93683766204</v>
      </c>
      <c r="J1887" t="s">
        <v>9533</v>
      </c>
      <c r="K1887" s="975" t="str">
        <f>IF(COUNTIFS(tblControles[Clave],tblControles[[#This Row],[Clave]])&gt;1,"Duplicado","")</f>
        <v/>
      </c>
    </row>
    <row r="1888" spans="2:11">
      <c r="B1888" s="975" t="str">
        <f>tblControles[[#This Row],[Fecha]]&amp;"|"&amp;tblControles[[#This Row],[Módulo]]&amp;"|"&amp;tblControles[[#This Row],[Ítem]]&amp;"|"&amp;tblControles[[#This Row],[Turno]]</f>
        <v>46293|FILTROS H2O|Filtro # 2|3 TURNO</v>
      </c>
      <c r="C1888" s="871">
        <v>46293</v>
      </c>
      <c r="D1888" t="s">
        <v>9430</v>
      </c>
      <c r="E1888" t="s">
        <v>9463</v>
      </c>
      <c r="F1888" t="s">
        <v>328</v>
      </c>
      <c r="G1888" t="s">
        <v>3227</v>
      </c>
      <c r="H1888" t="s">
        <v>9333</v>
      </c>
      <c r="I1888" s="871">
        <v>46293.93683766204</v>
      </c>
      <c r="J1888" t="s">
        <v>9533</v>
      </c>
      <c r="K1888" s="975" t="str">
        <f>IF(COUNTIFS(tblControles[Clave],tblControles[[#This Row],[Clave]])&gt;1,"Duplicado","")</f>
        <v/>
      </c>
    </row>
    <row r="1889" spans="2:11">
      <c r="B1889" s="975" t="str">
        <f>tblControles[[#This Row],[Fecha]]&amp;"|"&amp;tblControles[[#This Row],[Módulo]]&amp;"|"&amp;tblControles[[#This Row],[Ítem]]&amp;"|"&amp;tblControles[[#This Row],[Turno]]</f>
        <v>46293|FILTROS H2O|Filtro # 3|3 TURNO</v>
      </c>
      <c r="C1889" s="871">
        <v>46293</v>
      </c>
      <c r="D1889" t="s">
        <v>9430</v>
      </c>
      <c r="E1889" t="s">
        <v>9464</v>
      </c>
      <c r="F1889" t="s">
        <v>328</v>
      </c>
      <c r="G1889" t="s">
        <v>3227</v>
      </c>
      <c r="H1889" t="s">
        <v>9333</v>
      </c>
      <c r="I1889" s="871">
        <v>46293.93683766204</v>
      </c>
      <c r="J1889" t="s">
        <v>9533</v>
      </c>
      <c r="K1889" s="975" t="str">
        <f>IF(COUNTIFS(tblControles[Clave],tblControles[[#This Row],[Clave]])&gt;1,"Duplicado","")</f>
        <v/>
      </c>
    </row>
    <row r="1890" spans="2:11">
      <c r="B1890" s="975" t="str">
        <f>tblControles[[#This Row],[Fecha]]&amp;"|"&amp;tblControles[[#This Row],[Módulo]]&amp;"|"&amp;tblControles[[#This Row],[Ítem]]&amp;"|"&amp;tblControles[[#This Row],[Turno]]</f>
        <v>46293|FILTROS H2O|Filtro # 4|3 TURNO</v>
      </c>
      <c r="C1890" s="871">
        <v>46293</v>
      </c>
      <c r="D1890" t="s">
        <v>9430</v>
      </c>
      <c r="E1890" t="s">
        <v>9465</v>
      </c>
      <c r="F1890" t="s">
        <v>328</v>
      </c>
      <c r="G1890" t="s">
        <v>345</v>
      </c>
      <c r="H1890" t="s">
        <v>9333</v>
      </c>
      <c r="I1890" s="871">
        <v>46293.93683766204</v>
      </c>
      <c r="J1890" t="s">
        <v>9533</v>
      </c>
      <c r="K1890" s="975" t="str">
        <f>IF(COUNTIFS(tblControles[Clave],tblControles[[#This Row],[Clave]])&gt;1,"Duplicado","")</f>
        <v/>
      </c>
    </row>
    <row r="1891" spans="2:11">
      <c r="B1891" s="975" t="str">
        <f>tblControles[[#This Row],[Fecha]]&amp;"|"&amp;tblControles[[#This Row],[Módulo]]&amp;"|"&amp;tblControles[[#This Row],[Ítem]]&amp;"|"&amp;tblControles[[#This Row],[Turno]]</f>
        <v>46293|FILTROS H2O|Filtro # 5|3 TURNO</v>
      </c>
      <c r="C1891" s="871">
        <v>46293</v>
      </c>
      <c r="D1891" t="s">
        <v>9430</v>
      </c>
      <c r="E1891" t="s">
        <v>9466</v>
      </c>
      <c r="F1891" t="s">
        <v>328</v>
      </c>
      <c r="G1891" t="s">
        <v>3227</v>
      </c>
      <c r="H1891" t="s">
        <v>9333</v>
      </c>
      <c r="I1891" s="871">
        <v>46293.93683766204</v>
      </c>
      <c r="J1891" t="s">
        <v>9533</v>
      </c>
      <c r="K1891" s="975" t="str">
        <f>IF(COUNTIFS(tblControles[Clave],tblControles[[#This Row],[Clave]])&gt;1,"Duplicado","")</f>
        <v/>
      </c>
    </row>
    <row r="1892" spans="2:11">
      <c r="B1892" s="975" t="str">
        <f>tblControles[[#This Row],[Fecha]]&amp;"|"&amp;tblControles[[#This Row],[Módulo]]&amp;"|"&amp;tblControles[[#This Row],[Ítem]]&amp;"|"&amp;tblControles[[#This Row],[Turno]]</f>
        <v>46293|FILTROS H2O|Filtro Linea # 5|3 TURNO</v>
      </c>
      <c r="C1892" s="871">
        <v>46293</v>
      </c>
      <c r="D1892" t="s">
        <v>9430</v>
      </c>
      <c r="E1892" t="s">
        <v>331</v>
      </c>
      <c r="F1892" t="s">
        <v>328</v>
      </c>
      <c r="G1892" t="s">
        <v>3227</v>
      </c>
      <c r="H1892" t="s">
        <v>9333</v>
      </c>
      <c r="I1892" s="871">
        <v>46293.93683766204</v>
      </c>
      <c r="J1892" t="s">
        <v>9533</v>
      </c>
      <c r="K1892" s="975" t="str">
        <f>IF(COUNTIFS(tblControles[Clave],tblControles[[#This Row],[Clave]])&gt;1,"Duplicado","")</f>
        <v/>
      </c>
    </row>
    <row r="1893" spans="2:11">
      <c r="B1893" s="975" t="str">
        <f>tblControles[[#This Row],[Fecha]]&amp;"|"&amp;tblControles[[#This Row],[Módulo]]&amp;"|"&amp;tblControles[[#This Row],[Ítem]]&amp;"|"&amp;tblControles[[#This Row],[Turno]]</f>
        <v>46293|FILTROS H2O|Filtro Linea # 6|3 TURNO</v>
      </c>
      <c r="C1893" s="871">
        <v>46293</v>
      </c>
      <c r="D1893" t="s">
        <v>9430</v>
      </c>
      <c r="E1893" t="s">
        <v>332</v>
      </c>
      <c r="F1893" t="s">
        <v>328</v>
      </c>
      <c r="G1893" t="s">
        <v>3227</v>
      </c>
      <c r="H1893" t="s">
        <v>9333</v>
      </c>
      <c r="I1893" s="871">
        <v>46293.93683766204</v>
      </c>
      <c r="J1893" t="s">
        <v>9533</v>
      </c>
      <c r="K1893" s="975" t="str">
        <f>IF(COUNTIFS(tblControles[Clave],tblControles[[#This Row],[Clave]])&gt;1,"Duplicado","")</f>
        <v/>
      </c>
    </row>
    <row r="1894" spans="2:11">
      <c r="B1894" s="975" t="str">
        <f>tblControles[[#This Row],[Fecha]]&amp;"|"&amp;tblControles[[#This Row],[Módulo]]&amp;"|"&amp;tblControles[[#This Row],[Ítem]]&amp;"|"&amp;tblControles[[#This Row],[Turno]]</f>
        <v>46293|FILTROS H2O|Filtro Linea # 7|3 TURNO</v>
      </c>
      <c r="C1894" s="871">
        <v>46293</v>
      </c>
      <c r="D1894" t="s">
        <v>9430</v>
      </c>
      <c r="E1894" t="s">
        <v>9467</v>
      </c>
      <c r="F1894" t="s">
        <v>328</v>
      </c>
      <c r="G1894" t="s">
        <v>3227</v>
      </c>
      <c r="H1894" t="s">
        <v>9333</v>
      </c>
      <c r="I1894" s="871">
        <v>46293.93683766204</v>
      </c>
      <c r="J1894" t="s">
        <v>9533</v>
      </c>
      <c r="K1894" s="975" t="str">
        <f>IF(COUNTIFS(tblControles[Clave],tblControles[[#This Row],[Clave]])&gt;1,"Duplicado","")</f>
        <v/>
      </c>
    </row>
    <row r="1895" spans="2:11">
      <c r="B1895" s="975" t="str">
        <f>tblControles[[#This Row],[Fecha]]&amp;"|"&amp;tblControles[[#This Row],[Módulo]]&amp;"|"&amp;tblControles[[#This Row],[Ítem]]&amp;"|"&amp;tblControles[[#This Row],[Turno]]</f>
        <v>46293|FILTROS H2O|Filtro Linea # 8|3 TURNO</v>
      </c>
      <c r="C1895" s="871">
        <v>46293</v>
      </c>
      <c r="D1895" t="s">
        <v>9430</v>
      </c>
      <c r="E1895" t="s">
        <v>9468</v>
      </c>
      <c r="F1895" t="s">
        <v>328</v>
      </c>
      <c r="G1895" t="s">
        <v>345</v>
      </c>
      <c r="H1895" t="s">
        <v>9333</v>
      </c>
      <c r="I1895" s="871">
        <v>46293.93683766204</v>
      </c>
      <c r="J1895" t="s">
        <v>9533</v>
      </c>
      <c r="K1895" s="975" t="str">
        <f>IF(COUNTIFS(tblControles[Clave],tblControles[[#This Row],[Clave]])&gt;1,"Duplicado","")</f>
        <v/>
      </c>
    </row>
    <row r="1896" spans="2:11">
      <c r="B1896" s="975" t="str">
        <f>tblControles[[#This Row],[Fecha]]&amp;"|"&amp;tblControles[[#This Row],[Módulo]]&amp;"|"&amp;tblControles[[#This Row],[Ítem]]&amp;"|"&amp;tblControles[[#This Row],[Turno]]</f>
        <v>46293|FILTROS H2O|Filtro Linea # 9 (01)|3 TURNO</v>
      </c>
      <c r="C1896" s="871">
        <v>46293</v>
      </c>
      <c r="D1896" t="s">
        <v>9430</v>
      </c>
      <c r="E1896" t="s">
        <v>9469</v>
      </c>
      <c r="F1896" t="s">
        <v>328</v>
      </c>
      <c r="G1896" t="s">
        <v>3227</v>
      </c>
      <c r="H1896" t="s">
        <v>9333</v>
      </c>
      <c r="I1896" s="871">
        <v>46293.93683766204</v>
      </c>
      <c r="J1896" t="s">
        <v>9533</v>
      </c>
      <c r="K1896" s="975" t="str">
        <f>IF(COUNTIFS(tblControles[Clave],tblControles[[#This Row],[Clave]])&gt;1,"Duplicado","")</f>
        <v/>
      </c>
    </row>
    <row r="1897" spans="2:11">
      <c r="B1897" s="975" t="str">
        <f>tblControles[[#This Row],[Fecha]]&amp;"|"&amp;tblControles[[#This Row],[Módulo]]&amp;"|"&amp;tblControles[[#This Row],[Ítem]]&amp;"|"&amp;tblControles[[#This Row],[Turno]]</f>
        <v>46293|FILTROS H2O|Filtro Linea # 9 (02)|3 TURNO</v>
      </c>
      <c r="C1897" s="871">
        <v>46293</v>
      </c>
      <c r="D1897" t="s">
        <v>9430</v>
      </c>
      <c r="E1897" t="s">
        <v>9470</v>
      </c>
      <c r="F1897" t="s">
        <v>328</v>
      </c>
      <c r="G1897" t="s">
        <v>345</v>
      </c>
      <c r="H1897" t="s">
        <v>9333</v>
      </c>
      <c r="I1897" s="871">
        <v>46293.93683766204</v>
      </c>
      <c r="J1897" t="s">
        <v>9533</v>
      </c>
      <c r="K1897" s="975" t="str">
        <f>IF(COUNTIFS(tblControles[Clave],tblControles[[#This Row],[Clave]])&gt;1,"Duplicado","")</f>
        <v/>
      </c>
    </row>
    <row r="1898" spans="2:11">
      <c r="B1898" s="975" t="str">
        <f>tblControles[[#This Row],[Fecha]]&amp;"|"&amp;tblControles[[#This Row],[Módulo]]&amp;"|"&amp;tblControles[[#This Row],[Ítem]]&amp;"|"&amp;tblControles[[#This Row],[Turno]]</f>
        <v>46266|CARGA MOLINOS|RM - 2|% carga</v>
      </c>
      <c r="C1898" s="871">
        <v>46266</v>
      </c>
      <c r="D1898" s="1096" t="s">
        <v>9455</v>
      </c>
      <c r="E1898" s="1096" t="s">
        <v>436</v>
      </c>
      <c r="F1898" s="1096" t="s">
        <v>9457</v>
      </c>
      <c r="G1898" s="1096">
        <v>88.3</v>
      </c>
      <c r="H1898" s="1096" t="s">
        <v>9333</v>
      </c>
      <c r="I1898" s="871">
        <v>46295.865464537041</v>
      </c>
      <c r="J1898" s="1096" t="s">
        <v>9969</v>
      </c>
      <c r="K1898" s="975" t="str">
        <f>IF(COUNTIFS(tblControles[Clave],tblControles[[#This Row],[Clave]])&gt;1,"Duplicado","")</f>
        <v/>
      </c>
    </row>
    <row r="1899" spans="2:11">
      <c r="B1899" s="975" t="str">
        <f>tblControles[[#This Row],[Fecha]]&amp;"|"&amp;tblControles[[#This Row],[Módulo]]&amp;"|"&amp;tblControles[[#This Row],[Ítem]]&amp;"|"&amp;tblControles[[#This Row],[Turno]]</f>
        <v>46266|CARGA MOLINOS|RM - 3|% carga</v>
      </c>
      <c r="C1899" s="871">
        <v>46266</v>
      </c>
      <c r="D1899" s="1096" t="s">
        <v>9455</v>
      </c>
      <c r="E1899" s="1096" t="s">
        <v>437</v>
      </c>
      <c r="F1899" s="1096" t="s">
        <v>9457</v>
      </c>
      <c r="G1899" s="1096">
        <v>87.5</v>
      </c>
      <c r="H1899" s="1096" t="s">
        <v>9333</v>
      </c>
      <c r="I1899" s="871">
        <v>46295.865464537041</v>
      </c>
      <c r="J1899" s="1096" t="s">
        <v>9969</v>
      </c>
      <c r="K1899" s="975" t="str">
        <f>IF(COUNTIFS(tblControles[Clave],tblControles[[#This Row],[Clave]])&gt;1,"Duplicado","")</f>
        <v/>
      </c>
    </row>
    <row r="1900" spans="2:11">
      <c r="B1900" s="975" t="str">
        <f>tblControles[[#This Row],[Fecha]]&amp;"|"&amp;tblControles[[#This Row],[Módulo]]&amp;"|"&amp;tblControles[[#This Row],[Ítem]]&amp;"|"&amp;tblControles[[#This Row],[Turno]]</f>
        <v>46266|CARGA MOLINOS|RM - 4|% carga</v>
      </c>
      <c r="C1900" s="871">
        <v>46266</v>
      </c>
      <c r="D1900" s="1096" t="s">
        <v>9455</v>
      </c>
      <c r="E1900" s="1096" t="s">
        <v>438</v>
      </c>
      <c r="F1900" s="1096" t="s">
        <v>9457</v>
      </c>
      <c r="G1900" s="1096">
        <v>88.2</v>
      </c>
      <c r="H1900" s="1096" t="s">
        <v>9333</v>
      </c>
      <c r="I1900" s="871">
        <v>46295.865464537041</v>
      </c>
      <c r="J1900" s="1096" t="s">
        <v>9969</v>
      </c>
      <c r="K1900" s="975" t="str">
        <f>IF(COUNTIFS(tblControles[Clave],tblControles[[#This Row],[Clave]])&gt;1,"Duplicado","")</f>
        <v/>
      </c>
    </row>
    <row r="1901" spans="2:11">
      <c r="B1901" s="975" t="str">
        <f>tblControles[[#This Row],[Fecha]]&amp;"|"&amp;tblControles[[#This Row],[Módulo]]&amp;"|"&amp;tblControles[[#This Row],[Ítem]]&amp;"|"&amp;tblControles[[#This Row],[Turno]]</f>
        <v>46266|CARGA MOLINOS|RM - 5|% carga</v>
      </c>
      <c r="C1901" s="871">
        <v>46266</v>
      </c>
      <c r="D1901" s="1096" t="s">
        <v>9455</v>
      </c>
      <c r="E1901" s="1096" t="s">
        <v>439</v>
      </c>
      <c r="F1901" s="1096" t="s">
        <v>9457</v>
      </c>
      <c r="G1901" s="1096">
        <v>87.4</v>
      </c>
      <c r="H1901" s="1096" t="s">
        <v>9333</v>
      </c>
      <c r="I1901" s="871">
        <v>46295.865464537041</v>
      </c>
      <c r="J1901" s="1096" t="s">
        <v>9969</v>
      </c>
      <c r="K1901" s="975" t="str">
        <f>IF(COUNTIFS(tblControles[Clave],tblControles[[#This Row],[Clave]])&gt;1,"Duplicado","")</f>
        <v/>
      </c>
    </row>
    <row r="1902" spans="2:11">
      <c r="B1902" s="975" t="str">
        <f>tblControles[[#This Row],[Fecha]]&amp;"|"&amp;tblControles[[#This Row],[Módulo]]&amp;"|"&amp;tblControles[[#This Row],[Ítem]]&amp;"|"&amp;tblControles[[#This Row],[Turno]]</f>
        <v>46266|CARGA MOLINOS|RM - 6|% carga</v>
      </c>
      <c r="C1902" s="871">
        <v>46266</v>
      </c>
      <c r="D1902" s="1096" t="s">
        <v>9455</v>
      </c>
      <c r="E1902" s="1096" t="s">
        <v>440</v>
      </c>
      <c r="F1902" s="1096" t="s">
        <v>9457</v>
      </c>
      <c r="G1902" s="1096">
        <v>88.5</v>
      </c>
      <c r="H1902" s="1096" t="s">
        <v>9333</v>
      </c>
      <c r="I1902" s="871">
        <v>46295.865464537041</v>
      </c>
      <c r="J1902" s="1096" t="s">
        <v>9969</v>
      </c>
      <c r="K1902" s="975" t="str">
        <f>IF(COUNTIFS(tblControles[Clave],tblControles[[#This Row],[Clave]])&gt;1,"Duplicado","")</f>
        <v/>
      </c>
    </row>
    <row r="1903" spans="2:11">
      <c r="B1903" s="975" t="str">
        <f>tblControles[[#This Row],[Fecha]]&amp;"|"&amp;tblControles[[#This Row],[Módulo]]&amp;"|"&amp;tblControles[[#This Row],[Ítem]]&amp;"|"&amp;tblControles[[#This Row],[Turno]]</f>
        <v>46266|CARGA MOLINOS|RM - 7|% carga</v>
      </c>
      <c r="C1903" s="871">
        <v>46266</v>
      </c>
      <c r="D1903" s="1096" t="s">
        <v>9455</v>
      </c>
      <c r="E1903" s="1096" t="s">
        <v>441</v>
      </c>
      <c r="F1903" s="1096" t="s">
        <v>9457</v>
      </c>
      <c r="G1903" s="1096">
        <v>92.1</v>
      </c>
      <c r="H1903" s="1096" t="s">
        <v>9333</v>
      </c>
      <c r="I1903" s="871">
        <v>46295.865464537041</v>
      </c>
      <c r="J1903" s="1096" t="s">
        <v>9969</v>
      </c>
      <c r="K1903" s="975" t="str">
        <f>IF(COUNTIFS(tblControles[Clave],tblControles[[#This Row],[Clave]])&gt;1,"Duplicado","")</f>
        <v/>
      </c>
    </row>
    <row r="1904" spans="2:11">
      <c r="B1904" s="975" t="str">
        <f>tblControles[[#This Row],[Fecha]]&amp;"|"&amp;tblControles[[#This Row],[Módulo]]&amp;"|"&amp;tblControles[[#This Row],[Ítem]]&amp;"|"&amp;tblControles[[#This Row],[Turno]]</f>
        <v>46266|CARGA MOLINOS|RM - 8|% carga</v>
      </c>
      <c r="C1904" s="871">
        <v>46266</v>
      </c>
      <c r="D1904" s="1096" t="s">
        <v>9455</v>
      </c>
      <c r="E1904" s="1096" t="s">
        <v>442</v>
      </c>
      <c r="F1904" s="1096" t="s">
        <v>9457</v>
      </c>
      <c r="G1904" s="1096">
        <v>85.6</v>
      </c>
      <c r="H1904" s="1096" t="s">
        <v>9333</v>
      </c>
      <c r="I1904" s="871">
        <v>46295.865464537041</v>
      </c>
      <c r="J1904" s="1096" t="s">
        <v>9969</v>
      </c>
      <c r="K1904" s="975" t="str">
        <f>IF(COUNTIFS(tblControles[Clave],tblControles[[#This Row],[Clave]])&gt;1,"Duplicado","")</f>
        <v/>
      </c>
    </row>
    <row r="1905" spans="2:11">
      <c r="B1905" s="975" t="str">
        <f>tblControles[[#This Row],[Fecha]]&amp;"|"&amp;tblControles[[#This Row],[Módulo]]&amp;"|"&amp;tblControles[[#This Row],[Ítem]]&amp;"|"&amp;tblControles[[#This Row],[Turno]]</f>
        <v>46266|CARGA MOLINOS|RM - 9|% carga</v>
      </c>
      <c r="C1905" s="871">
        <v>46266</v>
      </c>
      <c r="D1905" s="1096" t="s">
        <v>9455</v>
      </c>
      <c r="E1905" s="1096" t="s">
        <v>443</v>
      </c>
      <c r="F1905" s="1096" t="s">
        <v>9457</v>
      </c>
      <c r="G1905" s="1096">
        <v>63.7</v>
      </c>
      <c r="H1905" s="1096" t="s">
        <v>9333</v>
      </c>
      <c r="I1905" s="871">
        <v>46295.865464537041</v>
      </c>
      <c r="J1905" s="1096" t="s">
        <v>9969</v>
      </c>
      <c r="K1905" s="975" t="str">
        <f>IF(COUNTIFS(tblControles[Clave],tblControles[[#This Row],[Clave]])&gt;1,"Duplicado","")</f>
        <v/>
      </c>
    </row>
    <row r="1906" spans="2:11">
      <c r="B1906" s="975" t="str">
        <f>tblControles[[#This Row],[Fecha]]&amp;"|"&amp;tblControles[[#This Row],[Módulo]]&amp;"|"&amp;tblControles[[#This Row],[Ítem]]&amp;"|"&amp;tblControles[[#This Row],[Turno]]</f>
        <v>46266|CARGA MOLINOS|BM - 1|% carga</v>
      </c>
      <c r="C1906" s="871">
        <v>46266</v>
      </c>
      <c r="D1906" s="1096" t="s">
        <v>9455</v>
      </c>
      <c r="E1906" s="1096" t="s">
        <v>444</v>
      </c>
      <c r="F1906" s="1096" t="s">
        <v>9457</v>
      </c>
      <c r="G1906" s="1096">
        <v>89.7</v>
      </c>
      <c r="H1906" s="1096" t="s">
        <v>9333</v>
      </c>
      <c r="I1906" s="871">
        <v>46295.865464537041</v>
      </c>
      <c r="J1906" s="1096" t="s">
        <v>9969</v>
      </c>
      <c r="K1906" s="975" t="str">
        <f>IF(COUNTIFS(tblControles[Clave],tblControles[[#This Row],[Clave]])&gt;1,"Duplicado","")</f>
        <v/>
      </c>
    </row>
    <row r="1907" spans="2:11">
      <c r="B1907" s="975" t="str">
        <f>tblControles[[#This Row],[Fecha]]&amp;"|"&amp;tblControles[[#This Row],[Módulo]]&amp;"|"&amp;tblControles[[#This Row],[Ítem]]&amp;"|"&amp;tblControles[[#This Row],[Turno]]</f>
        <v>46266|CARGA MOLINOS|BM - 2|% carga</v>
      </c>
      <c r="C1907" s="871">
        <v>46266</v>
      </c>
      <c r="D1907" s="1096" t="s">
        <v>9455</v>
      </c>
      <c r="E1907" s="1096" t="s">
        <v>9519</v>
      </c>
      <c r="F1907" s="1096" t="s">
        <v>9457</v>
      </c>
      <c r="G1907" s="1096">
        <v>85.7</v>
      </c>
      <c r="H1907" s="1096" t="s">
        <v>9333</v>
      </c>
      <c r="I1907" s="871">
        <v>46295.865464537041</v>
      </c>
      <c r="J1907" s="1096" t="s">
        <v>9969</v>
      </c>
      <c r="K1907" s="975" t="str">
        <f>IF(COUNTIFS(tblControles[Clave],tblControles[[#This Row],[Clave]])&gt;1,"Duplicado","")</f>
        <v/>
      </c>
    </row>
    <row r="1908" spans="2:11">
      <c r="B1908" s="975" t="str">
        <f>tblControles[[#This Row],[Fecha]]&amp;"|"&amp;tblControles[[#This Row],[Módulo]]&amp;"|"&amp;tblControles[[#This Row],[Ítem]]&amp;"|"&amp;tblControles[[#This Row],[Turno]]</f>
        <v>46266|CARGA MOLINOS|BM - 3|% carga</v>
      </c>
      <c r="C1908" s="871">
        <v>46266</v>
      </c>
      <c r="D1908" s="1096" t="s">
        <v>9455</v>
      </c>
      <c r="E1908" s="1096" t="s">
        <v>445</v>
      </c>
      <c r="F1908" s="1096" t="s">
        <v>9457</v>
      </c>
      <c r="G1908" s="1096">
        <v>84.8</v>
      </c>
      <c r="H1908" s="1096" t="s">
        <v>9333</v>
      </c>
      <c r="I1908" s="871">
        <v>46295.865464537041</v>
      </c>
      <c r="J1908" s="1096" t="s">
        <v>9969</v>
      </c>
      <c r="K1908" s="975" t="str">
        <f>IF(COUNTIFS(tblControles[Clave],tblControles[[#This Row],[Clave]])&gt;1,"Duplicado","")</f>
        <v/>
      </c>
    </row>
    <row r="1909" spans="2:11">
      <c r="B1909" s="975" t="str">
        <f>tblControles[[#This Row],[Fecha]]&amp;"|"&amp;tblControles[[#This Row],[Módulo]]&amp;"|"&amp;tblControles[[#This Row],[Ítem]]&amp;"|"&amp;tblControles[[#This Row],[Turno]]</f>
        <v>46266|CARGA MOLINOS|BM - 4|% carga</v>
      </c>
      <c r="C1909" s="871">
        <v>46266</v>
      </c>
      <c r="D1909" s="1096" t="s">
        <v>9455</v>
      </c>
      <c r="E1909" s="1096" t="s">
        <v>446</v>
      </c>
      <c r="F1909" s="1096" t="s">
        <v>9457</v>
      </c>
      <c r="G1909" s="1096">
        <v>91.7</v>
      </c>
      <c r="H1909" s="1096" t="s">
        <v>9333</v>
      </c>
      <c r="I1909" s="871">
        <v>46295.865464537041</v>
      </c>
      <c r="J1909" s="1096" t="s">
        <v>9969</v>
      </c>
      <c r="K1909" s="975" t="str">
        <f>IF(COUNTIFS(tblControles[Clave],tblControles[[#This Row],[Clave]])&gt;1,"Duplicado","")</f>
        <v/>
      </c>
    </row>
    <row r="1910" spans="2:11">
      <c r="B1910" s="975" t="str">
        <f>tblControles[[#This Row],[Fecha]]&amp;"|"&amp;tblControles[[#This Row],[Módulo]]&amp;"|"&amp;tblControles[[#This Row],[Ítem]]&amp;"|"&amp;tblControles[[#This Row],[Turno]]</f>
        <v>46266|CARGA MOLINOS|BM - 5|% carga</v>
      </c>
      <c r="C1910" s="871">
        <v>46266</v>
      </c>
      <c r="D1910" s="1096" t="s">
        <v>9455</v>
      </c>
      <c r="E1910" s="1096" t="s">
        <v>447</v>
      </c>
      <c r="F1910" s="1096" t="s">
        <v>9457</v>
      </c>
      <c r="G1910" s="1096">
        <v>90.6</v>
      </c>
      <c r="H1910" s="1096" t="s">
        <v>9333</v>
      </c>
      <c r="I1910" s="871">
        <v>46295.865464537041</v>
      </c>
      <c r="J1910" s="1096" t="s">
        <v>9969</v>
      </c>
      <c r="K1910" s="975" t="str">
        <f>IF(COUNTIFS(tblControles[Clave],tblControles[[#This Row],[Clave]])&gt;1,"Duplicado","")</f>
        <v/>
      </c>
    </row>
    <row r="1911" spans="2:11">
      <c r="B1911" s="975" t="str">
        <f>tblControles[[#This Row],[Fecha]]&amp;"|"&amp;tblControles[[#This Row],[Módulo]]&amp;"|"&amp;tblControles[[#This Row],[Ítem]]&amp;"|"&amp;tblControles[[#This Row],[Turno]]</f>
        <v>46266|CARGA MOLINOS|BM - 6|% carga</v>
      </c>
      <c r="C1911" s="871">
        <v>46266</v>
      </c>
      <c r="D1911" s="1096" t="s">
        <v>9455</v>
      </c>
      <c r="E1911" s="1096" t="s">
        <v>448</v>
      </c>
      <c r="F1911" s="1096" t="s">
        <v>9457</v>
      </c>
      <c r="G1911" s="1096">
        <v>91.2</v>
      </c>
      <c r="H1911" s="1096" t="s">
        <v>9333</v>
      </c>
      <c r="I1911" s="871">
        <v>46295.865464537041</v>
      </c>
      <c r="J1911" s="1096" t="s">
        <v>9969</v>
      </c>
      <c r="K1911" s="975" t="str">
        <f>IF(COUNTIFS(tblControles[Clave],tblControles[[#This Row],[Clave]])&gt;1,"Duplicado","")</f>
        <v/>
      </c>
    </row>
    <row r="1912" spans="2:11">
      <c r="B1912" s="975" t="str">
        <f>tblControles[[#This Row],[Fecha]]&amp;"|"&amp;tblControles[[#This Row],[Módulo]]&amp;"|"&amp;tblControles[[#This Row],[Ítem]]&amp;"|"&amp;tblControles[[#This Row],[Turno]]</f>
        <v>46266|CARGA MOLINOS|BM - 7|% carga</v>
      </c>
      <c r="C1912" s="871">
        <v>46266</v>
      </c>
      <c r="D1912" s="1096" t="s">
        <v>9455</v>
      </c>
      <c r="E1912" s="1096" t="s">
        <v>449</v>
      </c>
      <c r="F1912" s="1096" t="s">
        <v>9457</v>
      </c>
      <c r="G1912" s="1096">
        <v>96.2</v>
      </c>
      <c r="H1912" s="1096" t="s">
        <v>9333</v>
      </c>
      <c r="I1912" s="871">
        <v>46295.865464537041</v>
      </c>
      <c r="J1912" s="1096" t="s">
        <v>9969</v>
      </c>
      <c r="K1912" s="975" t="str">
        <f>IF(COUNTIFS(tblControles[Clave],tblControles[[#This Row],[Clave]])&gt;1,"Duplicado","")</f>
        <v/>
      </c>
    </row>
    <row r="1913" spans="2:11">
      <c r="B1913" s="975" t="str">
        <f>tblControles[[#This Row],[Fecha]]&amp;"|"&amp;tblControles[[#This Row],[Módulo]]&amp;"|"&amp;tblControles[[#This Row],[Ítem]]&amp;"|"&amp;tblControles[[#This Row],[Turno]]</f>
        <v>46266|CARGA MOLINOS|BM - 8|% carga</v>
      </c>
      <c r="C1913" s="871">
        <v>46266</v>
      </c>
      <c r="D1913" s="1096" t="s">
        <v>9455</v>
      </c>
      <c r="E1913" s="1096" t="s">
        <v>450</v>
      </c>
      <c r="F1913" s="1096" t="s">
        <v>9457</v>
      </c>
      <c r="G1913" s="1096">
        <v>89.3</v>
      </c>
      <c r="H1913" s="1096" t="s">
        <v>9333</v>
      </c>
      <c r="I1913" s="871">
        <v>46295.865464537041</v>
      </c>
      <c r="J1913" s="1096" t="s">
        <v>9969</v>
      </c>
      <c r="K1913" s="975" t="str">
        <f>IF(COUNTIFS(tblControles[Clave],tblControles[[#This Row],[Clave]])&gt;1,"Duplicado","")</f>
        <v/>
      </c>
    </row>
    <row r="1914" spans="2:11">
      <c r="B1914" s="975" t="str">
        <f>tblControles[[#This Row],[Fecha]]&amp;"|"&amp;tblControles[[#This Row],[Módulo]]&amp;"|"&amp;tblControles[[#This Row],[Ítem]]&amp;"|"&amp;tblControles[[#This Row],[Turno]]</f>
        <v>46266|CARGA MOLINOS|BM - 9|% carga</v>
      </c>
      <c r="C1914" s="871">
        <v>46266</v>
      </c>
      <c r="D1914" s="1096" t="s">
        <v>9455</v>
      </c>
      <c r="E1914" s="1096" t="s">
        <v>451</v>
      </c>
      <c r="F1914" s="1096" t="s">
        <v>9457</v>
      </c>
      <c r="G1914" s="1096">
        <v>74.900000000000006</v>
      </c>
      <c r="H1914" s="1096" t="s">
        <v>9333</v>
      </c>
      <c r="I1914" s="871">
        <v>46295.865464537041</v>
      </c>
      <c r="J1914" s="1096" t="s">
        <v>9969</v>
      </c>
      <c r="K1914" s="975" t="str">
        <f>IF(COUNTIFS(tblControles[Clave],tblControles[[#This Row],[Clave]])&gt;1,"Duplicado","")</f>
        <v/>
      </c>
    </row>
    <row r="1915" spans="2:11">
      <c r="B1915" s="975" t="str">
        <f>tblControles[[#This Row],[Fecha]]&amp;"|"&amp;tblControles[[#This Row],[Módulo]]&amp;"|"&amp;tblControles[[#This Row],[Ítem]]&amp;"|"&amp;tblControles[[#This Row],[Turno]]</f>
        <v>46266|CARGA MOLINOS|BM - 10|% carga</v>
      </c>
      <c r="C1915" s="871">
        <v>46266</v>
      </c>
      <c r="D1915" s="1096" t="s">
        <v>9455</v>
      </c>
      <c r="E1915" s="1096" t="s">
        <v>452</v>
      </c>
      <c r="F1915" s="1096" t="s">
        <v>9457</v>
      </c>
      <c r="G1915" s="1096">
        <v>82.1</v>
      </c>
      <c r="H1915" s="1096" t="s">
        <v>9333</v>
      </c>
      <c r="I1915" s="871">
        <v>46295.865464537041</v>
      </c>
      <c r="J1915" s="1096" t="s">
        <v>9969</v>
      </c>
      <c r="K1915" s="975" t="str">
        <f>IF(COUNTIFS(tblControles[Clave],tblControles[[#This Row],[Clave]])&gt;1,"Duplicado","")</f>
        <v/>
      </c>
    </row>
    <row r="1916" spans="2:11">
      <c r="B1916" s="975" t="str">
        <f>tblControles[[#This Row],[Fecha]]&amp;"|"&amp;tblControles[[#This Row],[Módulo]]&amp;"|"&amp;tblControles[[#This Row],[Ítem]]&amp;"|"&amp;tblControles[[#This Row],[Turno]]</f>
        <v>46267|CARGA MOLINOS|RM - 1|% carga</v>
      </c>
      <c r="C1916" s="871">
        <v>46267</v>
      </c>
      <c r="D1916" s="1096" t="s">
        <v>9455</v>
      </c>
      <c r="E1916" s="1096" t="s">
        <v>435</v>
      </c>
      <c r="F1916" s="1096" t="s">
        <v>9457</v>
      </c>
      <c r="G1916" s="1096">
        <v>94.6</v>
      </c>
      <c r="H1916" s="1096" t="s">
        <v>9333</v>
      </c>
      <c r="I1916" s="871">
        <v>46295.865464537041</v>
      </c>
      <c r="J1916" s="1096" t="s">
        <v>9969</v>
      </c>
      <c r="K1916" s="975" t="str">
        <f>IF(COUNTIFS(tblControles[Clave],tblControles[[#This Row],[Clave]])&gt;1,"Duplicado","")</f>
        <v/>
      </c>
    </row>
    <row r="1917" spans="2:11">
      <c r="B1917" s="975" t="str">
        <f>tblControles[[#This Row],[Fecha]]&amp;"|"&amp;tblControles[[#This Row],[Módulo]]&amp;"|"&amp;tblControles[[#This Row],[Ítem]]&amp;"|"&amp;tblControles[[#This Row],[Turno]]</f>
        <v>46267|CARGA MOLINOS|RM - 3|% carga</v>
      </c>
      <c r="C1917" s="871">
        <v>46267</v>
      </c>
      <c r="D1917" s="1096" t="s">
        <v>9455</v>
      </c>
      <c r="E1917" s="1096" t="s">
        <v>437</v>
      </c>
      <c r="F1917" s="1096" t="s">
        <v>9457</v>
      </c>
      <c r="G1917" s="1096">
        <v>93.1</v>
      </c>
      <c r="H1917" s="1096" t="s">
        <v>9333</v>
      </c>
      <c r="I1917" s="871">
        <v>46295.865464537041</v>
      </c>
      <c r="J1917" s="1096" t="s">
        <v>9969</v>
      </c>
      <c r="K1917" s="975" t="str">
        <f>IF(COUNTIFS(tblControles[Clave],tblControles[[#This Row],[Clave]])&gt;1,"Duplicado","")</f>
        <v/>
      </c>
    </row>
    <row r="1918" spans="2:11">
      <c r="B1918" s="975" t="str">
        <f>tblControles[[#This Row],[Fecha]]&amp;"|"&amp;tblControles[[#This Row],[Módulo]]&amp;"|"&amp;tblControles[[#This Row],[Ítem]]&amp;"|"&amp;tblControles[[#This Row],[Turno]]</f>
        <v>46267|CARGA MOLINOS|RM - 4|% carga</v>
      </c>
      <c r="C1918" s="871">
        <v>46267</v>
      </c>
      <c r="D1918" s="1096" t="s">
        <v>9455</v>
      </c>
      <c r="E1918" s="1096" t="s">
        <v>438</v>
      </c>
      <c r="F1918" s="1096" t="s">
        <v>9457</v>
      </c>
      <c r="G1918" s="1096">
        <v>92.7</v>
      </c>
      <c r="H1918" s="1096" t="s">
        <v>9333</v>
      </c>
      <c r="I1918" s="871">
        <v>46295.865464537041</v>
      </c>
      <c r="J1918" s="1096" t="s">
        <v>9969</v>
      </c>
      <c r="K1918" s="975" t="str">
        <f>IF(COUNTIFS(tblControles[Clave],tblControles[[#This Row],[Clave]])&gt;1,"Duplicado","")</f>
        <v/>
      </c>
    </row>
    <row r="1919" spans="2:11">
      <c r="B1919" s="975" t="str">
        <f>tblControles[[#This Row],[Fecha]]&amp;"|"&amp;tblControles[[#This Row],[Módulo]]&amp;"|"&amp;tblControles[[#This Row],[Ítem]]&amp;"|"&amp;tblControles[[#This Row],[Turno]]</f>
        <v>46267|CARGA MOLINOS|RM - 5|% carga</v>
      </c>
      <c r="C1919" s="871">
        <v>46267</v>
      </c>
      <c r="D1919" s="1096" t="s">
        <v>9455</v>
      </c>
      <c r="E1919" s="1096" t="s">
        <v>439</v>
      </c>
      <c r="F1919" s="1096" t="s">
        <v>9457</v>
      </c>
      <c r="G1919" s="1096">
        <v>92.3</v>
      </c>
      <c r="H1919" s="1096" t="s">
        <v>9333</v>
      </c>
      <c r="I1919" s="871">
        <v>46295.865464537041</v>
      </c>
      <c r="J1919" s="1096" t="s">
        <v>9969</v>
      </c>
      <c r="K1919" s="975" t="str">
        <f>IF(COUNTIFS(tblControles[Clave],tblControles[[#This Row],[Clave]])&gt;1,"Duplicado","")</f>
        <v/>
      </c>
    </row>
    <row r="1920" spans="2:11">
      <c r="B1920" s="975" t="str">
        <f>tblControles[[#This Row],[Fecha]]&amp;"|"&amp;tblControles[[#This Row],[Módulo]]&amp;"|"&amp;tblControles[[#This Row],[Ítem]]&amp;"|"&amp;tblControles[[#This Row],[Turno]]</f>
        <v>46267|CARGA MOLINOS|RM - 6|% carga</v>
      </c>
      <c r="C1920" s="871">
        <v>46267</v>
      </c>
      <c r="D1920" s="1096" t="s">
        <v>9455</v>
      </c>
      <c r="E1920" s="1096" t="s">
        <v>440</v>
      </c>
      <c r="F1920" s="1096" t="s">
        <v>9457</v>
      </c>
      <c r="G1920" s="1096">
        <v>96.4</v>
      </c>
      <c r="H1920" s="1096" t="s">
        <v>9333</v>
      </c>
      <c r="I1920" s="871">
        <v>46295.865464537041</v>
      </c>
      <c r="J1920" s="1096" t="s">
        <v>9969</v>
      </c>
      <c r="K1920" s="975" t="str">
        <f>IF(COUNTIFS(tblControles[Clave],tblControles[[#This Row],[Clave]])&gt;1,"Duplicado","")</f>
        <v/>
      </c>
    </row>
    <row r="1921" spans="2:11">
      <c r="B1921" s="975" t="str">
        <f>tblControles[[#This Row],[Fecha]]&amp;"|"&amp;tblControles[[#This Row],[Módulo]]&amp;"|"&amp;tblControles[[#This Row],[Ítem]]&amp;"|"&amp;tblControles[[#This Row],[Turno]]</f>
        <v>46267|CARGA MOLINOS|RM - 7|% carga</v>
      </c>
      <c r="C1921" s="871">
        <v>46267</v>
      </c>
      <c r="D1921" s="1096" t="s">
        <v>9455</v>
      </c>
      <c r="E1921" s="1096" t="s">
        <v>441</v>
      </c>
      <c r="F1921" s="1096" t="s">
        <v>9457</v>
      </c>
      <c r="G1921" s="1096">
        <v>89.3</v>
      </c>
      <c r="H1921" s="1096" t="s">
        <v>9333</v>
      </c>
      <c r="I1921" s="871">
        <v>46295.865464537041</v>
      </c>
      <c r="J1921" s="1096" t="s">
        <v>9969</v>
      </c>
      <c r="K1921" s="975" t="str">
        <f>IF(COUNTIFS(tblControles[Clave],tblControles[[#This Row],[Clave]])&gt;1,"Duplicado","")</f>
        <v/>
      </c>
    </row>
    <row r="1922" spans="2:11">
      <c r="B1922" s="975" t="str">
        <f>tblControles[[#This Row],[Fecha]]&amp;"|"&amp;tblControles[[#This Row],[Módulo]]&amp;"|"&amp;tblControles[[#This Row],[Ítem]]&amp;"|"&amp;tblControles[[#This Row],[Turno]]</f>
        <v>46267|CARGA MOLINOS|RM - 8|% carga</v>
      </c>
      <c r="C1922" s="871">
        <v>46267</v>
      </c>
      <c r="D1922" s="1096" t="s">
        <v>9455</v>
      </c>
      <c r="E1922" s="1096" t="s">
        <v>442</v>
      </c>
      <c r="F1922" s="1096" t="s">
        <v>9457</v>
      </c>
      <c r="G1922" s="1096">
        <v>93.5</v>
      </c>
      <c r="H1922" s="1096" t="s">
        <v>9333</v>
      </c>
      <c r="I1922" s="871">
        <v>46295.865464537041</v>
      </c>
      <c r="J1922" s="1096" t="s">
        <v>9969</v>
      </c>
      <c r="K1922" s="975" t="str">
        <f>IF(COUNTIFS(tblControles[Clave],tblControles[[#This Row],[Clave]])&gt;1,"Duplicado","")</f>
        <v/>
      </c>
    </row>
    <row r="1923" spans="2:11">
      <c r="B1923" s="975" t="str">
        <f>tblControles[[#This Row],[Fecha]]&amp;"|"&amp;tblControles[[#This Row],[Módulo]]&amp;"|"&amp;tblControles[[#This Row],[Ítem]]&amp;"|"&amp;tblControles[[#This Row],[Turno]]</f>
        <v>46267|CARGA MOLINOS|RM - 9|% carga</v>
      </c>
      <c r="C1923" s="871">
        <v>46267</v>
      </c>
      <c r="D1923" s="1096" t="s">
        <v>9455</v>
      </c>
      <c r="E1923" s="1096" t="s">
        <v>443</v>
      </c>
      <c r="F1923" s="1096" t="s">
        <v>9457</v>
      </c>
      <c r="G1923" s="1096">
        <v>65.099999999999994</v>
      </c>
      <c r="H1923" s="1096" t="s">
        <v>9333</v>
      </c>
      <c r="I1923" s="871">
        <v>46295.865464537041</v>
      </c>
      <c r="J1923" s="1096" t="s">
        <v>9969</v>
      </c>
      <c r="K1923" s="975" t="str">
        <f>IF(COUNTIFS(tblControles[Clave],tblControles[[#This Row],[Clave]])&gt;1,"Duplicado","")</f>
        <v/>
      </c>
    </row>
    <row r="1924" spans="2:11">
      <c r="B1924" s="975" t="str">
        <f>tblControles[[#This Row],[Fecha]]&amp;"|"&amp;tblControles[[#This Row],[Módulo]]&amp;"|"&amp;tblControles[[#This Row],[Ítem]]&amp;"|"&amp;tblControles[[#This Row],[Turno]]</f>
        <v>46267|CARGA MOLINOS|BM - 1|% carga</v>
      </c>
      <c r="C1924" s="871">
        <v>46267</v>
      </c>
      <c r="D1924" s="1096" t="s">
        <v>9455</v>
      </c>
      <c r="E1924" s="1096" t="s">
        <v>444</v>
      </c>
      <c r="F1924" s="1096" t="s">
        <v>9457</v>
      </c>
      <c r="G1924" s="1096">
        <v>90.9</v>
      </c>
      <c r="H1924" s="1096" t="s">
        <v>9333</v>
      </c>
      <c r="I1924" s="871">
        <v>46295.865464537041</v>
      </c>
      <c r="J1924" s="1096" t="s">
        <v>9969</v>
      </c>
      <c r="K1924" s="975" t="str">
        <f>IF(COUNTIFS(tblControles[Clave],tblControles[[#This Row],[Clave]])&gt;1,"Duplicado","")</f>
        <v/>
      </c>
    </row>
    <row r="1925" spans="2:11">
      <c r="B1925" s="975" t="str">
        <f>tblControles[[#This Row],[Fecha]]&amp;"|"&amp;tblControles[[#This Row],[Módulo]]&amp;"|"&amp;tblControles[[#This Row],[Ítem]]&amp;"|"&amp;tblControles[[#This Row],[Turno]]</f>
        <v>46267|CARGA MOLINOS|BM - 2|% carga</v>
      </c>
      <c r="C1925" s="871">
        <v>46267</v>
      </c>
      <c r="D1925" s="1096" t="s">
        <v>9455</v>
      </c>
      <c r="E1925" s="1096" t="s">
        <v>9519</v>
      </c>
      <c r="F1925" s="1096" t="s">
        <v>9457</v>
      </c>
      <c r="G1925" s="1096">
        <v>87.4</v>
      </c>
      <c r="H1925" s="1096" t="s">
        <v>9333</v>
      </c>
      <c r="I1925" s="871">
        <v>46295.865464537041</v>
      </c>
      <c r="J1925" s="1096" t="s">
        <v>9969</v>
      </c>
      <c r="K1925" s="975" t="str">
        <f>IF(COUNTIFS(tblControles[Clave],tblControles[[#This Row],[Clave]])&gt;1,"Duplicado","")</f>
        <v/>
      </c>
    </row>
    <row r="1926" spans="2:11">
      <c r="B1926" s="975" t="str">
        <f>tblControles[[#This Row],[Fecha]]&amp;"|"&amp;tblControles[[#This Row],[Módulo]]&amp;"|"&amp;tblControles[[#This Row],[Ítem]]&amp;"|"&amp;tblControles[[#This Row],[Turno]]</f>
        <v>46267|CARGA MOLINOS|BM - 3|% carga</v>
      </c>
      <c r="C1926" s="871">
        <v>46267</v>
      </c>
      <c r="D1926" s="1096" t="s">
        <v>9455</v>
      </c>
      <c r="E1926" s="1096" t="s">
        <v>445</v>
      </c>
      <c r="F1926" s="1096" t="s">
        <v>9457</v>
      </c>
      <c r="G1926" s="1096">
        <v>91</v>
      </c>
      <c r="H1926" s="1096" t="s">
        <v>9333</v>
      </c>
      <c r="I1926" s="871">
        <v>46295.865464537041</v>
      </c>
      <c r="J1926" s="1096" t="s">
        <v>9969</v>
      </c>
      <c r="K1926" s="975" t="str">
        <f>IF(COUNTIFS(tblControles[Clave],tblControles[[#This Row],[Clave]])&gt;1,"Duplicado","")</f>
        <v/>
      </c>
    </row>
    <row r="1927" spans="2:11">
      <c r="B1927" s="975" t="str">
        <f>tblControles[[#This Row],[Fecha]]&amp;"|"&amp;tblControles[[#This Row],[Módulo]]&amp;"|"&amp;tblControles[[#This Row],[Ítem]]&amp;"|"&amp;tblControles[[#This Row],[Turno]]</f>
        <v>46267|CARGA MOLINOS|BM - 4|% carga</v>
      </c>
      <c r="C1927" s="871">
        <v>46267</v>
      </c>
      <c r="D1927" s="1096" t="s">
        <v>9455</v>
      </c>
      <c r="E1927" s="1096" t="s">
        <v>446</v>
      </c>
      <c r="F1927" s="1096" t="s">
        <v>9457</v>
      </c>
      <c r="G1927" s="1096">
        <v>87.2</v>
      </c>
      <c r="H1927" s="1096" t="s">
        <v>9333</v>
      </c>
      <c r="I1927" s="871">
        <v>46295.865464537041</v>
      </c>
      <c r="J1927" s="1096" t="s">
        <v>9969</v>
      </c>
      <c r="K1927" s="975" t="str">
        <f>IF(COUNTIFS(tblControles[Clave],tblControles[[#This Row],[Clave]])&gt;1,"Duplicado","")</f>
        <v/>
      </c>
    </row>
    <row r="1928" spans="2:11">
      <c r="B1928" s="975" t="str">
        <f>tblControles[[#This Row],[Fecha]]&amp;"|"&amp;tblControles[[#This Row],[Módulo]]&amp;"|"&amp;tblControles[[#This Row],[Ítem]]&amp;"|"&amp;tblControles[[#This Row],[Turno]]</f>
        <v>46267|CARGA MOLINOS|BM - 5|% carga</v>
      </c>
      <c r="C1928" s="871">
        <v>46267</v>
      </c>
      <c r="D1928" s="1096" t="s">
        <v>9455</v>
      </c>
      <c r="E1928" s="1096" t="s">
        <v>447</v>
      </c>
      <c r="F1928" s="1096" t="s">
        <v>9457</v>
      </c>
      <c r="G1928" s="1096">
        <v>90.9</v>
      </c>
      <c r="H1928" s="1096" t="s">
        <v>9333</v>
      </c>
      <c r="I1928" s="871">
        <v>46295.865464537041</v>
      </c>
      <c r="J1928" s="1096" t="s">
        <v>9969</v>
      </c>
      <c r="K1928" s="975" t="str">
        <f>IF(COUNTIFS(tblControles[Clave],tblControles[[#This Row],[Clave]])&gt;1,"Duplicado","")</f>
        <v/>
      </c>
    </row>
    <row r="1929" spans="2:11">
      <c r="B1929" s="975" t="str">
        <f>tblControles[[#This Row],[Fecha]]&amp;"|"&amp;tblControles[[#This Row],[Módulo]]&amp;"|"&amp;tblControles[[#This Row],[Ítem]]&amp;"|"&amp;tblControles[[#This Row],[Turno]]</f>
        <v>46267|CARGA MOLINOS|BM - 6|% carga</v>
      </c>
      <c r="C1929" s="871">
        <v>46267</v>
      </c>
      <c r="D1929" s="1096" t="s">
        <v>9455</v>
      </c>
      <c r="E1929" s="1096" t="s">
        <v>448</v>
      </c>
      <c r="F1929" s="1096" t="s">
        <v>9457</v>
      </c>
      <c r="G1929" s="1096">
        <v>91.9</v>
      </c>
      <c r="H1929" s="1096" t="s">
        <v>9333</v>
      </c>
      <c r="I1929" s="871">
        <v>46295.865464537041</v>
      </c>
      <c r="J1929" s="1096" t="s">
        <v>9969</v>
      </c>
      <c r="K1929" s="975" t="str">
        <f>IF(COUNTIFS(tblControles[Clave],tblControles[[#This Row],[Clave]])&gt;1,"Duplicado","")</f>
        <v/>
      </c>
    </row>
    <row r="1930" spans="2:11">
      <c r="B1930" s="975" t="str">
        <f>tblControles[[#This Row],[Fecha]]&amp;"|"&amp;tblControles[[#This Row],[Módulo]]&amp;"|"&amp;tblControles[[#This Row],[Ítem]]&amp;"|"&amp;tblControles[[#This Row],[Turno]]</f>
        <v>46267|CARGA MOLINOS|BM - 7|% carga</v>
      </c>
      <c r="C1930" s="871">
        <v>46267</v>
      </c>
      <c r="D1930" s="1096" t="s">
        <v>9455</v>
      </c>
      <c r="E1930" s="1096" t="s">
        <v>449</v>
      </c>
      <c r="F1930" s="1096" t="s">
        <v>9457</v>
      </c>
      <c r="G1930" s="1096">
        <v>87.7</v>
      </c>
      <c r="H1930" s="1096" t="s">
        <v>9333</v>
      </c>
      <c r="I1930" s="871">
        <v>46295.865464537041</v>
      </c>
      <c r="J1930" s="1096" t="s">
        <v>9969</v>
      </c>
      <c r="K1930" s="975" t="str">
        <f>IF(COUNTIFS(tblControles[Clave],tblControles[[#This Row],[Clave]])&gt;1,"Duplicado","")</f>
        <v/>
      </c>
    </row>
    <row r="1931" spans="2:11">
      <c r="B1931" s="975" t="str">
        <f>tblControles[[#This Row],[Fecha]]&amp;"|"&amp;tblControles[[#This Row],[Módulo]]&amp;"|"&amp;tblControles[[#This Row],[Ítem]]&amp;"|"&amp;tblControles[[#This Row],[Turno]]</f>
        <v>46267|CARGA MOLINOS|BM - 8|% carga</v>
      </c>
      <c r="C1931" s="871">
        <v>46267</v>
      </c>
      <c r="D1931" s="1096" t="s">
        <v>9455</v>
      </c>
      <c r="E1931" s="1096" t="s">
        <v>450</v>
      </c>
      <c r="F1931" s="1096" t="s">
        <v>9457</v>
      </c>
      <c r="G1931" s="1096">
        <v>88.8</v>
      </c>
      <c r="H1931" s="1096" t="s">
        <v>9333</v>
      </c>
      <c r="I1931" s="871">
        <v>46295.865464537041</v>
      </c>
      <c r="J1931" s="1096" t="s">
        <v>9969</v>
      </c>
      <c r="K1931" s="975" t="str">
        <f>IF(COUNTIFS(tblControles[Clave],tblControles[[#This Row],[Clave]])&gt;1,"Duplicado","")</f>
        <v/>
      </c>
    </row>
    <row r="1932" spans="2:11">
      <c r="B1932" s="975" t="str">
        <f>tblControles[[#This Row],[Fecha]]&amp;"|"&amp;tblControles[[#This Row],[Módulo]]&amp;"|"&amp;tblControles[[#This Row],[Ítem]]&amp;"|"&amp;tblControles[[#This Row],[Turno]]</f>
        <v>46267|CARGA MOLINOS|BM - 9|% carga</v>
      </c>
      <c r="C1932" s="871">
        <v>46267</v>
      </c>
      <c r="D1932" s="1096" t="s">
        <v>9455</v>
      </c>
      <c r="E1932" s="1096" t="s">
        <v>451</v>
      </c>
      <c r="F1932" s="1096" t="s">
        <v>9457</v>
      </c>
      <c r="G1932" s="1096">
        <v>73.5</v>
      </c>
      <c r="H1932" s="1096" t="s">
        <v>9333</v>
      </c>
      <c r="I1932" s="871">
        <v>46295.865464537041</v>
      </c>
      <c r="J1932" s="1096" t="s">
        <v>9969</v>
      </c>
      <c r="K1932" s="975" t="str">
        <f>IF(COUNTIFS(tblControles[Clave],tblControles[[#This Row],[Clave]])&gt;1,"Duplicado","")</f>
        <v/>
      </c>
    </row>
    <row r="1933" spans="2:11">
      <c r="B1933" s="975" t="str">
        <f>tblControles[[#This Row],[Fecha]]&amp;"|"&amp;tblControles[[#This Row],[Módulo]]&amp;"|"&amp;tblControles[[#This Row],[Ítem]]&amp;"|"&amp;tblControles[[#This Row],[Turno]]</f>
        <v>46267|CARGA MOLINOS|BM - 10|% carga</v>
      </c>
      <c r="C1933" s="871">
        <v>46267</v>
      </c>
      <c r="D1933" s="1096" t="s">
        <v>9455</v>
      </c>
      <c r="E1933" s="1096" t="s">
        <v>452</v>
      </c>
      <c r="F1933" s="1096" t="s">
        <v>9457</v>
      </c>
      <c r="G1933" s="1096">
        <v>81.2</v>
      </c>
      <c r="H1933" s="1096" t="s">
        <v>9333</v>
      </c>
      <c r="I1933" s="871">
        <v>46295.865464537041</v>
      </c>
      <c r="J1933" s="1096" t="s">
        <v>9969</v>
      </c>
      <c r="K1933" s="975" t="str">
        <f>IF(COUNTIFS(tblControles[Clave],tblControles[[#This Row],[Clave]])&gt;1,"Duplicado","")</f>
        <v/>
      </c>
    </row>
    <row r="1934" spans="2:11">
      <c r="B1934" s="975" t="str">
        <f>tblControles[[#This Row],[Fecha]]&amp;"|"&amp;tblControles[[#This Row],[Módulo]]&amp;"|"&amp;tblControles[[#This Row],[Ítem]]&amp;"|"&amp;tblControles[[#This Row],[Turno]]</f>
        <v>46268|CARGA MOLINOS|RM - 1|% carga</v>
      </c>
      <c r="C1934" s="871">
        <v>46268</v>
      </c>
      <c r="D1934" s="1096" t="s">
        <v>9455</v>
      </c>
      <c r="E1934" s="1096" t="s">
        <v>435</v>
      </c>
      <c r="F1934" s="1096" t="s">
        <v>9457</v>
      </c>
      <c r="G1934" s="1096">
        <v>91.5</v>
      </c>
      <c r="H1934" s="1096" t="s">
        <v>9333</v>
      </c>
      <c r="I1934" s="871">
        <v>46295.865464537041</v>
      </c>
      <c r="J1934" s="1096" t="s">
        <v>9969</v>
      </c>
      <c r="K1934" s="975" t="str">
        <f>IF(COUNTIFS(tblControles[Clave],tblControles[[#This Row],[Clave]])&gt;1,"Duplicado","")</f>
        <v/>
      </c>
    </row>
    <row r="1935" spans="2:11">
      <c r="B1935" s="975" t="str">
        <f>tblControles[[#This Row],[Fecha]]&amp;"|"&amp;tblControles[[#This Row],[Módulo]]&amp;"|"&amp;tblControles[[#This Row],[Ítem]]&amp;"|"&amp;tblControles[[#This Row],[Turno]]</f>
        <v>46268|CARGA MOLINOS|RM - 3|% carga</v>
      </c>
      <c r="C1935" s="871">
        <v>46268</v>
      </c>
      <c r="D1935" s="1096" t="s">
        <v>9455</v>
      </c>
      <c r="E1935" s="1096" t="s">
        <v>437</v>
      </c>
      <c r="F1935" s="1096" t="s">
        <v>9457</v>
      </c>
      <c r="G1935" s="1096">
        <v>90</v>
      </c>
      <c r="H1935" s="1096" t="s">
        <v>9333</v>
      </c>
      <c r="I1935" s="871">
        <v>46295.865464537041</v>
      </c>
      <c r="J1935" s="1096" t="s">
        <v>9969</v>
      </c>
      <c r="K1935" s="975" t="str">
        <f>IF(COUNTIFS(tblControles[Clave],tblControles[[#This Row],[Clave]])&gt;1,"Duplicado","")</f>
        <v/>
      </c>
    </row>
    <row r="1936" spans="2:11">
      <c r="B1936" s="975" t="str">
        <f>tblControles[[#This Row],[Fecha]]&amp;"|"&amp;tblControles[[#This Row],[Módulo]]&amp;"|"&amp;tblControles[[#This Row],[Ítem]]&amp;"|"&amp;tblControles[[#This Row],[Turno]]</f>
        <v>46268|CARGA MOLINOS|RM - 4|% carga</v>
      </c>
      <c r="C1936" s="871">
        <v>46268</v>
      </c>
      <c r="D1936" s="1096" t="s">
        <v>9455</v>
      </c>
      <c r="E1936" s="1096" t="s">
        <v>438</v>
      </c>
      <c r="F1936" s="1096" t="s">
        <v>9457</v>
      </c>
      <c r="G1936" s="1096">
        <v>91.5</v>
      </c>
      <c r="H1936" s="1096" t="s">
        <v>9333</v>
      </c>
      <c r="I1936" s="871">
        <v>46295.865464537041</v>
      </c>
      <c r="J1936" s="1096" t="s">
        <v>9969</v>
      </c>
      <c r="K1936" s="975" t="str">
        <f>IF(COUNTIFS(tblControles[Clave],tblControles[[#This Row],[Clave]])&gt;1,"Duplicado","")</f>
        <v/>
      </c>
    </row>
    <row r="1937" spans="2:11">
      <c r="B1937" s="975" t="str">
        <f>tblControles[[#This Row],[Fecha]]&amp;"|"&amp;tblControles[[#This Row],[Módulo]]&amp;"|"&amp;tblControles[[#This Row],[Ítem]]&amp;"|"&amp;tblControles[[#This Row],[Turno]]</f>
        <v>46268|CARGA MOLINOS|RM - 5|% carga</v>
      </c>
      <c r="C1937" s="871">
        <v>46268</v>
      </c>
      <c r="D1937" s="1096" t="s">
        <v>9455</v>
      </c>
      <c r="E1937" s="1096" t="s">
        <v>439</v>
      </c>
      <c r="F1937" s="1096" t="s">
        <v>9457</v>
      </c>
      <c r="G1937" s="1096">
        <v>91.8</v>
      </c>
      <c r="H1937" s="1096" t="s">
        <v>9333</v>
      </c>
      <c r="I1937" s="871">
        <v>46295.865464537041</v>
      </c>
      <c r="J1937" s="1096" t="s">
        <v>9969</v>
      </c>
      <c r="K1937" s="975" t="str">
        <f>IF(COUNTIFS(tblControles[Clave],tblControles[[#This Row],[Clave]])&gt;1,"Duplicado","")</f>
        <v/>
      </c>
    </row>
    <row r="1938" spans="2:11">
      <c r="B1938" s="975" t="str">
        <f>tblControles[[#This Row],[Fecha]]&amp;"|"&amp;tblControles[[#This Row],[Módulo]]&amp;"|"&amp;tblControles[[#This Row],[Ítem]]&amp;"|"&amp;tblControles[[#This Row],[Turno]]</f>
        <v>46268|CARGA MOLINOS|RM - 6|% carga</v>
      </c>
      <c r="C1938" s="871">
        <v>46268</v>
      </c>
      <c r="D1938" s="1096" t="s">
        <v>9455</v>
      </c>
      <c r="E1938" s="1096" t="s">
        <v>440</v>
      </c>
      <c r="F1938" s="1096" t="s">
        <v>9457</v>
      </c>
      <c r="G1938" s="1096">
        <v>93.7</v>
      </c>
      <c r="H1938" s="1096" t="s">
        <v>9333</v>
      </c>
      <c r="I1938" s="871">
        <v>46295.865464537041</v>
      </c>
      <c r="J1938" s="1096" t="s">
        <v>9969</v>
      </c>
      <c r="K1938" s="975" t="str">
        <f>IF(COUNTIFS(tblControles[Clave],tblControles[[#This Row],[Clave]])&gt;1,"Duplicado","")</f>
        <v/>
      </c>
    </row>
    <row r="1939" spans="2:11">
      <c r="B1939" s="975" t="str">
        <f>tblControles[[#This Row],[Fecha]]&amp;"|"&amp;tblControles[[#This Row],[Módulo]]&amp;"|"&amp;tblControles[[#This Row],[Ítem]]&amp;"|"&amp;tblControles[[#This Row],[Turno]]</f>
        <v>46268|CARGA MOLINOS|RM - 8|% carga</v>
      </c>
      <c r="C1939" s="871">
        <v>46268</v>
      </c>
      <c r="D1939" s="1096" t="s">
        <v>9455</v>
      </c>
      <c r="E1939" s="1096" t="s">
        <v>442</v>
      </c>
      <c r="F1939" s="1096" t="s">
        <v>9457</v>
      </c>
      <c r="G1939" s="1096">
        <v>90.6</v>
      </c>
      <c r="H1939" s="1096" t="s">
        <v>9333</v>
      </c>
      <c r="I1939" s="871">
        <v>46295.865464537041</v>
      </c>
      <c r="J1939" s="1096" t="s">
        <v>9969</v>
      </c>
      <c r="K1939" s="975" t="str">
        <f>IF(COUNTIFS(tblControles[Clave],tblControles[[#This Row],[Clave]])&gt;1,"Duplicado","")</f>
        <v/>
      </c>
    </row>
    <row r="1940" spans="2:11">
      <c r="B1940" s="975" t="str">
        <f>tblControles[[#This Row],[Fecha]]&amp;"|"&amp;tblControles[[#This Row],[Módulo]]&amp;"|"&amp;tblControles[[#This Row],[Ítem]]&amp;"|"&amp;tblControles[[#This Row],[Turno]]</f>
        <v>46268|CARGA MOLINOS|RM - 9|% carga</v>
      </c>
      <c r="C1940" s="871">
        <v>46268</v>
      </c>
      <c r="D1940" s="1096" t="s">
        <v>9455</v>
      </c>
      <c r="E1940" s="1096" t="s">
        <v>443</v>
      </c>
      <c r="F1940" s="1096" t="s">
        <v>9457</v>
      </c>
      <c r="G1940" s="1096">
        <v>63.1</v>
      </c>
      <c r="H1940" s="1096" t="s">
        <v>9333</v>
      </c>
      <c r="I1940" s="871">
        <v>46295.865464537041</v>
      </c>
      <c r="J1940" s="1096" t="s">
        <v>9969</v>
      </c>
      <c r="K1940" s="975" t="str">
        <f>IF(COUNTIFS(tblControles[Clave],tblControles[[#This Row],[Clave]])&gt;1,"Duplicado","")</f>
        <v/>
      </c>
    </row>
    <row r="1941" spans="2:11">
      <c r="B1941" s="975" t="str">
        <f>tblControles[[#This Row],[Fecha]]&amp;"|"&amp;tblControles[[#This Row],[Módulo]]&amp;"|"&amp;tblControles[[#This Row],[Ítem]]&amp;"|"&amp;tblControles[[#This Row],[Turno]]</f>
        <v>46268|CARGA MOLINOS|BM - 1|% carga</v>
      </c>
      <c r="C1941" s="871">
        <v>46268</v>
      </c>
      <c r="D1941" s="1096" t="s">
        <v>9455</v>
      </c>
      <c r="E1941" s="1096" t="s">
        <v>444</v>
      </c>
      <c r="F1941" s="1096" t="s">
        <v>9457</v>
      </c>
      <c r="G1941" s="1096">
        <v>90</v>
      </c>
      <c r="H1941" s="1096" t="s">
        <v>9333</v>
      </c>
      <c r="I1941" s="871">
        <v>46295.865464537041</v>
      </c>
      <c r="J1941" s="1096" t="s">
        <v>9969</v>
      </c>
      <c r="K1941" s="975" t="str">
        <f>IF(COUNTIFS(tblControles[Clave],tblControles[[#This Row],[Clave]])&gt;1,"Duplicado","")</f>
        <v/>
      </c>
    </row>
    <row r="1942" spans="2:11">
      <c r="B1942" s="975" t="str">
        <f>tblControles[[#This Row],[Fecha]]&amp;"|"&amp;tblControles[[#This Row],[Módulo]]&amp;"|"&amp;tblControles[[#This Row],[Ítem]]&amp;"|"&amp;tblControles[[#This Row],[Turno]]</f>
        <v>46268|CARGA MOLINOS|BM - 2|% carga</v>
      </c>
      <c r="C1942" s="871">
        <v>46268</v>
      </c>
      <c r="D1942" s="1096" t="s">
        <v>9455</v>
      </c>
      <c r="E1942" s="1096" t="s">
        <v>9519</v>
      </c>
      <c r="F1942" s="1096" t="s">
        <v>9457</v>
      </c>
      <c r="G1942" s="1096">
        <v>93.5</v>
      </c>
      <c r="H1942" s="1096" t="s">
        <v>9333</v>
      </c>
      <c r="I1942" s="871">
        <v>46295.865464537041</v>
      </c>
      <c r="J1942" s="1096" t="s">
        <v>9969</v>
      </c>
      <c r="K1942" s="975" t="str">
        <f>IF(COUNTIFS(tblControles[Clave],tblControles[[#This Row],[Clave]])&gt;1,"Duplicado","")</f>
        <v/>
      </c>
    </row>
    <row r="1943" spans="2:11">
      <c r="B1943" s="975" t="str">
        <f>tblControles[[#This Row],[Fecha]]&amp;"|"&amp;tblControles[[#This Row],[Módulo]]&amp;"|"&amp;tblControles[[#This Row],[Ítem]]&amp;"|"&amp;tblControles[[#This Row],[Turno]]</f>
        <v>46268|CARGA MOLINOS|BM - 3|% carga</v>
      </c>
      <c r="C1943" s="871">
        <v>46268</v>
      </c>
      <c r="D1943" s="1096" t="s">
        <v>9455</v>
      </c>
      <c r="E1943" s="1096" t="s">
        <v>445</v>
      </c>
      <c r="F1943" s="1096" t="s">
        <v>9457</v>
      </c>
      <c r="G1943" s="1096">
        <v>91.4</v>
      </c>
      <c r="H1943" s="1096" t="s">
        <v>9333</v>
      </c>
      <c r="I1943" s="871">
        <v>46295.865464537041</v>
      </c>
      <c r="J1943" s="1096" t="s">
        <v>9969</v>
      </c>
      <c r="K1943" s="975" t="str">
        <f>IF(COUNTIFS(tblControles[Clave],tblControles[[#This Row],[Clave]])&gt;1,"Duplicado","")</f>
        <v/>
      </c>
    </row>
    <row r="1944" spans="2:11">
      <c r="B1944" s="975" t="str">
        <f>tblControles[[#This Row],[Fecha]]&amp;"|"&amp;tblControles[[#This Row],[Módulo]]&amp;"|"&amp;tblControles[[#This Row],[Ítem]]&amp;"|"&amp;tblControles[[#This Row],[Turno]]</f>
        <v>46268|CARGA MOLINOS|BM - 4|% carga</v>
      </c>
      <c r="C1944" s="871">
        <v>46268</v>
      </c>
      <c r="D1944" s="1096" t="s">
        <v>9455</v>
      </c>
      <c r="E1944" s="1096" t="s">
        <v>446</v>
      </c>
      <c r="F1944" s="1096" t="s">
        <v>9457</v>
      </c>
      <c r="G1944" s="1096">
        <v>82.8</v>
      </c>
      <c r="H1944" s="1096" t="s">
        <v>9333</v>
      </c>
      <c r="I1944" s="871">
        <v>46295.865464537041</v>
      </c>
      <c r="J1944" s="1096" t="s">
        <v>9969</v>
      </c>
      <c r="K1944" s="975" t="str">
        <f>IF(COUNTIFS(tblControles[Clave],tblControles[[#This Row],[Clave]])&gt;1,"Duplicado","")</f>
        <v/>
      </c>
    </row>
    <row r="1945" spans="2:11">
      <c r="B1945" s="975" t="str">
        <f>tblControles[[#This Row],[Fecha]]&amp;"|"&amp;tblControles[[#This Row],[Módulo]]&amp;"|"&amp;tblControles[[#This Row],[Ítem]]&amp;"|"&amp;tblControles[[#This Row],[Turno]]</f>
        <v>46268|CARGA MOLINOS|BM - 5|% carga</v>
      </c>
      <c r="C1945" s="871">
        <v>46268</v>
      </c>
      <c r="D1945" s="1096" t="s">
        <v>9455</v>
      </c>
      <c r="E1945" s="1096" t="s">
        <v>447</v>
      </c>
      <c r="F1945" s="1096" t="s">
        <v>9457</v>
      </c>
      <c r="G1945" s="1096">
        <v>93.6</v>
      </c>
      <c r="H1945" s="1096" t="s">
        <v>9333</v>
      </c>
      <c r="I1945" s="871">
        <v>46295.865464537041</v>
      </c>
      <c r="J1945" s="1096" t="s">
        <v>9969</v>
      </c>
      <c r="K1945" s="975" t="str">
        <f>IF(COUNTIFS(tblControles[Clave],tblControles[[#This Row],[Clave]])&gt;1,"Duplicado","")</f>
        <v/>
      </c>
    </row>
    <row r="1946" spans="2:11">
      <c r="B1946" s="975" t="str">
        <f>tblControles[[#This Row],[Fecha]]&amp;"|"&amp;tblControles[[#This Row],[Módulo]]&amp;"|"&amp;tblControles[[#This Row],[Ítem]]&amp;"|"&amp;tblControles[[#This Row],[Turno]]</f>
        <v>46268|CARGA MOLINOS|BM - 6|% carga</v>
      </c>
      <c r="C1946" s="871">
        <v>46268</v>
      </c>
      <c r="D1946" s="1096" t="s">
        <v>9455</v>
      </c>
      <c r="E1946" s="1096" t="s">
        <v>448</v>
      </c>
      <c r="F1946" s="1096" t="s">
        <v>9457</v>
      </c>
      <c r="G1946" s="1096">
        <v>89.8</v>
      </c>
      <c r="H1946" s="1096" t="s">
        <v>9333</v>
      </c>
      <c r="I1946" s="871">
        <v>46295.865464537041</v>
      </c>
      <c r="J1946" s="1096" t="s">
        <v>9969</v>
      </c>
      <c r="K1946" s="975" t="str">
        <f>IF(COUNTIFS(tblControles[Clave],tblControles[[#This Row],[Clave]])&gt;1,"Duplicado","")</f>
        <v/>
      </c>
    </row>
    <row r="1947" spans="2:11">
      <c r="B1947" s="975" t="str">
        <f>tblControles[[#This Row],[Fecha]]&amp;"|"&amp;tblControles[[#This Row],[Módulo]]&amp;"|"&amp;tblControles[[#This Row],[Ítem]]&amp;"|"&amp;tblControles[[#This Row],[Turno]]</f>
        <v>46268|CARGA MOLINOS|BM - 7|% carga</v>
      </c>
      <c r="C1947" s="871">
        <v>46268</v>
      </c>
      <c r="D1947" s="1096" t="s">
        <v>9455</v>
      </c>
      <c r="E1947" s="1096" t="s">
        <v>449</v>
      </c>
      <c r="F1947" s="1096" t="s">
        <v>9457</v>
      </c>
      <c r="G1947" s="1096">
        <v>90.2</v>
      </c>
      <c r="H1947" s="1096" t="s">
        <v>9333</v>
      </c>
      <c r="I1947" s="871">
        <v>46295.865464537041</v>
      </c>
      <c r="J1947" s="1096" t="s">
        <v>9969</v>
      </c>
      <c r="K1947" s="975" t="str">
        <f>IF(COUNTIFS(tblControles[Clave],tblControles[[#This Row],[Clave]])&gt;1,"Duplicado","")</f>
        <v/>
      </c>
    </row>
    <row r="1948" spans="2:11">
      <c r="B1948" s="975" t="str">
        <f>tblControles[[#This Row],[Fecha]]&amp;"|"&amp;tblControles[[#This Row],[Módulo]]&amp;"|"&amp;tblControles[[#This Row],[Ítem]]&amp;"|"&amp;tblControles[[#This Row],[Turno]]</f>
        <v>46268|CARGA MOLINOS|BM - 8|% carga</v>
      </c>
      <c r="C1948" s="871">
        <v>46268</v>
      </c>
      <c r="D1948" s="1096" t="s">
        <v>9455</v>
      </c>
      <c r="E1948" s="1096" t="s">
        <v>450</v>
      </c>
      <c r="F1948" s="1096" t="s">
        <v>9457</v>
      </c>
      <c r="G1948" s="1096">
        <v>87.7</v>
      </c>
      <c r="H1948" s="1096" t="s">
        <v>9333</v>
      </c>
      <c r="I1948" s="871">
        <v>46295.865464537041</v>
      </c>
      <c r="J1948" s="1096" t="s">
        <v>9969</v>
      </c>
      <c r="K1948" s="975" t="str">
        <f>IF(COUNTIFS(tblControles[Clave],tblControles[[#This Row],[Clave]])&gt;1,"Duplicado","")</f>
        <v/>
      </c>
    </row>
    <row r="1949" spans="2:11">
      <c r="B1949" s="975" t="str">
        <f>tblControles[[#This Row],[Fecha]]&amp;"|"&amp;tblControles[[#This Row],[Módulo]]&amp;"|"&amp;tblControles[[#This Row],[Ítem]]&amp;"|"&amp;tblControles[[#This Row],[Turno]]</f>
        <v>46268|CARGA MOLINOS|BM - 9|% carga</v>
      </c>
      <c r="C1949" s="871">
        <v>46268</v>
      </c>
      <c r="D1949" s="1096" t="s">
        <v>9455</v>
      </c>
      <c r="E1949" s="1096" t="s">
        <v>451</v>
      </c>
      <c r="F1949" s="1096" t="s">
        <v>9457</v>
      </c>
      <c r="G1949" s="1096">
        <v>73.2</v>
      </c>
      <c r="H1949" s="1096" t="s">
        <v>9333</v>
      </c>
      <c r="I1949" s="871">
        <v>46295.865464537041</v>
      </c>
      <c r="J1949" s="1096" t="s">
        <v>9969</v>
      </c>
      <c r="K1949" s="975" t="str">
        <f>IF(COUNTIFS(tblControles[Clave],tblControles[[#This Row],[Clave]])&gt;1,"Duplicado","")</f>
        <v/>
      </c>
    </row>
    <row r="1950" spans="2:11">
      <c r="B1950" s="975" t="str">
        <f>tblControles[[#This Row],[Fecha]]&amp;"|"&amp;tblControles[[#This Row],[Módulo]]&amp;"|"&amp;tblControles[[#This Row],[Ítem]]&amp;"|"&amp;tblControles[[#This Row],[Turno]]</f>
        <v>46268|CARGA MOLINOS|BM - 10|% carga</v>
      </c>
      <c r="C1950" s="871">
        <v>46268</v>
      </c>
      <c r="D1950" s="1096" t="s">
        <v>9455</v>
      </c>
      <c r="E1950" s="1096" t="s">
        <v>452</v>
      </c>
      <c r="F1950" s="1096" t="s">
        <v>9457</v>
      </c>
      <c r="G1950" s="1096">
        <v>85.6</v>
      </c>
      <c r="H1950" s="1096" t="s">
        <v>9333</v>
      </c>
      <c r="I1950" s="871">
        <v>46295.865464537041</v>
      </c>
      <c r="J1950" s="1096" t="s">
        <v>9969</v>
      </c>
      <c r="K1950" s="975" t="str">
        <f>IF(COUNTIFS(tblControles[Clave],tblControles[[#This Row],[Clave]])&gt;1,"Duplicado","")</f>
        <v/>
      </c>
    </row>
    <row r="1951" spans="2:11">
      <c r="B1951" s="975" t="str">
        <f>tblControles[[#This Row],[Fecha]]&amp;"|"&amp;tblControles[[#This Row],[Módulo]]&amp;"|"&amp;tblControles[[#This Row],[Ítem]]&amp;"|"&amp;tblControles[[#This Row],[Turno]]</f>
        <v>46269|CARGA MOLINOS|RM - 1|% carga</v>
      </c>
      <c r="C1951" s="871">
        <v>46269</v>
      </c>
      <c r="D1951" s="1096" t="s">
        <v>9455</v>
      </c>
      <c r="E1951" s="1096" t="s">
        <v>435</v>
      </c>
      <c r="F1951" s="1096" t="s">
        <v>9457</v>
      </c>
      <c r="G1951" s="1096">
        <v>94.9</v>
      </c>
      <c r="H1951" s="1096" t="s">
        <v>9333</v>
      </c>
      <c r="I1951" s="871">
        <v>46295.865464537041</v>
      </c>
      <c r="J1951" s="1096" t="s">
        <v>9969</v>
      </c>
      <c r="K1951" s="975" t="str">
        <f>IF(COUNTIFS(tblControles[Clave],tblControles[[#This Row],[Clave]])&gt;1,"Duplicado","")</f>
        <v/>
      </c>
    </row>
    <row r="1952" spans="2:11">
      <c r="B1952" s="975" t="str">
        <f>tblControles[[#This Row],[Fecha]]&amp;"|"&amp;tblControles[[#This Row],[Módulo]]&amp;"|"&amp;tblControles[[#This Row],[Ítem]]&amp;"|"&amp;tblControles[[#This Row],[Turno]]</f>
        <v>46269|CARGA MOLINOS|RM - 3|% carga</v>
      </c>
      <c r="C1952" s="871">
        <v>46269</v>
      </c>
      <c r="D1952" s="1096" t="s">
        <v>9455</v>
      </c>
      <c r="E1952" s="1096" t="s">
        <v>437</v>
      </c>
      <c r="F1952" s="1096" t="s">
        <v>9457</v>
      </c>
      <c r="G1952" s="1096">
        <v>89.8</v>
      </c>
      <c r="H1952" s="1096" t="s">
        <v>9333</v>
      </c>
      <c r="I1952" s="871">
        <v>46295.865464537041</v>
      </c>
      <c r="J1952" s="1096" t="s">
        <v>9969</v>
      </c>
      <c r="K1952" s="975" t="str">
        <f>IF(COUNTIFS(tblControles[Clave],tblControles[[#This Row],[Clave]])&gt;1,"Duplicado","")</f>
        <v/>
      </c>
    </row>
    <row r="1953" spans="2:11">
      <c r="B1953" s="975" t="str">
        <f>tblControles[[#This Row],[Fecha]]&amp;"|"&amp;tblControles[[#This Row],[Módulo]]&amp;"|"&amp;tblControles[[#This Row],[Ítem]]&amp;"|"&amp;tblControles[[#This Row],[Turno]]</f>
        <v>46269|CARGA MOLINOS|RM - 4|% carga</v>
      </c>
      <c r="C1953" s="871">
        <v>46269</v>
      </c>
      <c r="D1953" s="1096" t="s">
        <v>9455</v>
      </c>
      <c r="E1953" s="1096" t="s">
        <v>438</v>
      </c>
      <c r="F1953" s="1096" t="s">
        <v>9457</v>
      </c>
      <c r="G1953" s="1096">
        <v>90</v>
      </c>
      <c r="H1953" s="1096" t="s">
        <v>9333</v>
      </c>
      <c r="I1953" s="871">
        <v>46295.865464537041</v>
      </c>
      <c r="J1953" s="1096" t="s">
        <v>9969</v>
      </c>
      <c r="K1953" s="975" t="str">
        <f>IF(COUNTIFS(tblControles[Clave],tblControles[[#This Row],[Clave]])&gt;1,"Duplicado","")</f>
        <v/>
      </c>
    </row>
    <row r="1954" spans="2:11">
      <c r="B1954" s="975" t="str">
        <f>tblControles[[#This Row],[Fecha]]&amp;"|"&amp;tblControles[[#This Row],[Módulo]]&amp;"|"&amp;tblControles[[#This Row],[Ítem]]&amp;"|"&amp;tblControles[[#This Row],[Turno]]</f>
        <v>46269|CARGA MOLINOS|RM - 6|% carga</v>
      </c>
      <c r="C1954" s="871">
        <v>46269</v>
      </c>
      <c r="D1954" s="1096" t="s">
        <v>9455</v>
      </c>
      <c r="E1954" s="1096" t="s">
        <v>440</v>
      </c>
      <c r="F1954" s="1096" t="s">
        <v>9457</v>
      </c>
      <c r="G1954" s="1096">
        <v>90.8</v>
      </c>
      <c r="H1954" s="1096" t="s">
        <v>9333</v>
      </c>
      <c r="I1954" s="871">
        <v>46295.865464537041</v>
      </c>
      <c r="J1954" s="1096" t="s">
        <v>9969</v>
      </c>
      <c r="K1954" s="975" t="str">
        <f>IF(COUNTIFS(tblControles[Clave],tblControles[[#This Row],[Clave]])&gt;1,"Duplicado","")</f>
        <v/>
      </c>
    </row>
    <row r="1955" spans="2:11">
      <c r="B1955" s="975" t="str">
        <f>tblControles[[#This Row],[Fecha]]&amp;"|"&amp;tblControles[[#This Row],[Módulo]]&amp;"|"&amp;tblControles[[#This Row],[Ítem]]&amp;"|"&amp;tblControles[[#This Row],[Turno]]</f>
        <v>46269|CARGA MOLINOS|RM - 7|% carga</v>
      </c>
      <c r="C1955" s="871">
        <v>46269</v>
      </c>
      <c r="D1955" s="1096" t="s">
        <v>9455</v>
      </c>
      <c r="E1955" s="1096" t="s">
        <v>441</v>
      </c>
      <c r="F1955" s="1096" t="s">
        <v>9457</v>
      </c>
      <c r="G1955" s="1096">
        <v>92.1</v>
      </c>
      <c r="H1955" s="1096" t="s">
        <v>9333</v>
      </c>
      <c r="I1955" s="871">
        <v>46295.865464537041</v>
      </c>
      <c r="J1955" s="1096" t="s">
        <v>9969</v>
      </c>
      <c r="K1955" s="975" t="str">
        <f>IF(COUNTIFS(tblControles[Clave],tblControles[[#This Row],[Clave]])&gt;1,"Duplicado","")</f>
        <v/>
      </c>
    </row>
    <row r="1956" spans="2:11">
      <c r="B1956" s="975" t="str">
        <f>tblControles[[#This Row],[Fecha]]&amp;"|"&amp;tblControles[[#This Row],[Módulo]]&amp;"|"&amp;tblControles[[#This Row],[Ítem]]&amp;"|"&amp;tblControles[[#This Row],[Turno]]</f>
        <v>46269|CARGA MOLINOS|RM - 8|% carga</v>
      </c>
      <c r="C1956" s="871">
        <v>46269</v>
      </c>
      <c r="D1956" s="1096" t="s">
        <v>9455</v>
      </c>
      <c r="E1956" s="1096" t="s">
        <v>442</v>
      </c>
      <c r="F1956" s="1096" t="s">
        <v>9457</v>
      </c>
      <c r="G1956" s="1096">
        <v>95</v>
      </c>
      <c r="H1956" s="1096" t="s">
        <v>9333</v>
      </c>
      <c r="I1956" s="871">
        <v>46295.865464537041</v>
      </c>
      <c r="J1956" s="1096" t="s">
        <v>9969</v>
      </c>
      <c r="K1956" s="975" t="str">
        <f>IF(COUNTIFS(tblControles[Clave],tblControles[[#This Row],[Clave]])&gt;1,"Duplicado","")</f>
        <v/>
      </c>
    </row>
    <row r="1957" spans="2:11">
      <c r="B1957" s="975" t="str">
        <f>tblControles[[#This Row],[Fecha]]&amp;"|"&amp;tblControles[[#This Row],[Módulo]]&amp;"|"&amp;tblControles[[#This Row],[Ítem]]&amp;"|"&amp;tblControles[[#This Row],[Turno]]</f>
        <v>46269|CARGA MOLINOS|BM - 1|% carga</v>
      </c>
      <c r="C1957" s="871">
        <v>46269</v>
      </c>
      <c r="D1957" s="1096" t="s">
        <v>9455</v>
      </c>
      <c r="E1957" s="1096" t="s">
        <v>444</v>
      </c>
      <c r="F1957" s="1096" t="s">
        <v>9457</v>
      </c>
      <c r="G1957" s="1096">
        <v>90.8</v>
      </c>
      <c r="H1957" s="1096" t="s">
        <v>9333</v>
      </c>
      <c r="I1957" s="871">
        <v>46295.865464537041</v>
      </c>
      <c r="J1957" s="1096" t="s">
        <v>9969</v>
      </c>
      <c r="K1957" s="975" t="str">
        <f>IF(COUNTIFS(tblControles[Clave],tblControles[[#This Row],[Clave]])&gt;1,"Duplicado","")</f>
        <v/>
      </c>
    </row>
    <row r="1958" spans="2:11">
      <c r="B1958" s="975" t="str">
        <f>tblControles[[#This Row],[Fecha]]&amp;"|"&amp;tblControles[[#This Row],[Módulo]]&amp;"|"&amp;tblControles[[#This Row],[Ítem]]&amp;"|"&amp;tblControles[[#This Row],[Turno]]</f>
        <v>46269|CARGA MOLINOS|BM - 2|% carga</v>
      </c>
      <c r="C1958" s="871">
        <v>46269</v>
      </c>
      <c r="D1958" s="1096" t="s">
        <v>9455</v>
      </c>
      <c r="E1958" s="1096" t="s">
        <v>9519</v>
      </c>
      <c r="F1958" s="1096" t="s">
        <v>9457</v>
      </c>
      <c r="G1958" s="1096">
        <v>95.9</v>
      </c>
      <c r="H1958" s="1096" t="s">
        <v>9333</v>
      </c>
      <c r="I1958" s="871">
        <v>46295.865464537041</v>
      </c>
      <c r="J1958" s="1096" t="s">
        <v>9969</v>
      </c>
      <c r="K1958" s="975" t="str">
        <f>IF(COUNTIFS(tblControles[Clave],tblControles[[#This Row],[Clave]])&gt;1,"Duplicado","")</f>
        <v/>
      </c>
    </row>
    <row r="1959" spans="2:11">
      <c r="B1959" s="975" t="str">
        <f>tblControles[[#This Row],[Fecha]]&amp;"|"&amp;tblControles[[#This Row],[Módulo]]&amp;"|"&amp;tblControles[[#This Row],[Ítem]]&amp;"|"&amp;tblControles[[#This Row],[Turno]]</f>
        <v>46269|CARGA MOLINOS|BM - 3|% carga</v>
      </c>
      <c r="C1959" s="871">
        <v>46269</v>
      </c>
      <c r="D1959" s="1096" t="s">
        <v>9455</v>
      </c>
      <c r="E1959" s="1096" t="s">
        <v>445</v>
      </c>
      <c r="F1959" s="1096" t="s">
        <v>9457</v>
      </c>
      <c r="G1959" s="1096">
        <v>93</v>
      </c>
      <c r="H1959" s="1096" t="s">
        <v>9333</v>
      </c>
      <c r="I1959" s="871">
        <v>46295.865464537041</v>
      </c>
      <c r="J1959" s="1096" t="s">
        <v>9969</v>
      </c>
      <c r="K1959" s="975" t="str">
        <f>IF(COUNTIFS(tblControles[Clave],tblControles[[#This Row],[Clave]])&gt;1,"Duplicado","")</f>
        <v/>
      </c>
    </row>
    <row r="1960" spans="2:11">
      <c r="B1960" s="975" t="str">
        <f>tblControles[[#This Row],[Fecha]]&amp;"|"&amp;tblControles[[#This Row],[Módulo]]&amp;"|"&amp;tblControles[[#This Row],[Ítem]]&amp;"|"&amp;tblControles[[#This Row],[Turno]]</f>
        <v>46269|CARGA MOLINOS|BM - 4|% carga</v>
      </c>
      <c r="C1960" s="871">
        <v>46269</v>
      </c>
      <c r="D1960" s="1096" t="s">
        <v>9455</v>
      </c>
      <c r="E1960" s="1096" t="s">
        <v>446</v>
      </c>
      <c r="F1960" s="1096" t="s">
        <v>9457</v>
      </c>
      <c r="G1960" s="1096">
        <v>86.9</v>
      </c>
      <c r="H1960" s="1096" t="s">
        <v>9333</v>
      </c>
      <c r="I1960" s="871">
        <v>46295.865464537041</v>
      </c>
      <c r="J1960" s="1096" t="s">
        <v>9969</v>
      </c>
      <c r="K1960" s="975" t="str">
        <f>IF(COUNTIFS(tblControles[Clave],tblControles[[#This Row],[Clave]])&gt;1,"Duplicado","")</f>
        <v/>
      </c>
    </row>
    <row r="1961" spans="2:11">
      <c r="B1961" s="975" t="str">
        <f>tblControles[[#This Row],[Fecha]]&amp;"|"&amp;tblControles[[#This Row],[Módulo]]&amp;"|"&amp;tblControles[[#This Row],[Ítem]]&amp;"|"&amp;tblControles[[#This Row],[Turno]]</f>
        <v>46269|CARGA MOLINOS|BM - 6|% carga</v>
      </c>
      <c r="C1961" s="871">
        <v>46269</v>
      </c>
      <c r="D1961" s="1096" t="s">
        <v>9455</v>
      </c>
      <c r="E1961" s="1096" t="s">
        <v>448</v>
      </c>
      <c r="F1961" s="1096" t="s">
        <v>9457</v>
      </c>
      <c r="G1961" s="1096">
        <v>90.3</v>
      </c>
      <c r="H1961" s="1096" t="s">
        <v>9333</v>
      </c>
      <c r="I1961" s="871">
        <v>46295.865464537041</v>
      </c>
      <c r="J1961" s="1096" t="s">
        <v>9969</v>
      </c>
      <c r="K1961" s="975" t="str">
        <f>IF(COUNTIFS(tblControles[Clave],tblControles[[#This Row],[Clave]])&gt;1,"Duplicado","")</f>
        <v/>
      </c>
    </row>
    <row r="1962" spans="2:11">
      <c r="B1962" s="975" t="str">
        <f>tblControles[[#This Row],[Fecha]]&amp;"|"&amp;tblControles[[#This Row],[Módulo]]&amp;"|"&amp;tblControles[[#This Row],[Ítem]]&amp;"|"&amp;tblControles[[#This Row],[Turno]]</f>
        <v>46269|CARGA MOLINOS|BM - 7|% carga</v>
      </c>
      <c r="C1962" s="871">
        <v>46269</v>
      </c>
      <c r="D1962" s="1096" t="s">
        <v>9455</v>
      </c>
      <c r="E1962" s="1096" t="s">
        <v>449</v>
      </c>
      <c r="F1962" s="1096" t="s">
        <v>9457</v>
      </c>
      <c r="G1962" s="1096">
        <v>92.7</v>
      </c>
      <c r="H1962" s="1096" t="s">
        <v>9333</v>
      </c>
      <c r="I1962" s="871">
        <v>46295.865464537041</v>
      </c>
      <c r="J1962" s="1096" t="s">
        <v>9969</v>
      </c>
      <c r="K1962" s="975" t="str">
        <f>IF(COUNTIFS(tblControles[Clave],tblControles[[#This Row],[Clave]])&gt;1,"Duplicado","")</f>
        <v/>
      </c>
    </row>
    <row r="1963" spans="2:11">
      <c r="B1963" s="975" t="str">
        <f>tblControles[[#This Row],[Fecha]]&amp;"|"&amp;tblControles[[#This Row],[Módulo]]&amp;"|"&amp;tblControles[[#This Row],[Ítem]]&amp;"|"&amp;tblControles[[#This Row],[Turno]]</f>
        <v>46269|CARGA MOLINOS|BM - 8|% carga</v>
      </c>
      <c r="C1963" s="871">
        <v>46269</v>
      </c>
      <c r="D1963" s="1096" t="s">
        <v>9455</v>
      </c>
      <c r="E1963" s="1096" t="s">
        <v>450</v>
      </c>
      <c r="F1963" s="1096" t="s">
        <v>9457</v>
      </c>
      <c r="G1963" s="1096">
        <v>86.3</v>
      </c>
      <c r="H1963" s="1096" t="s">
        <v>9333</v>
      </c>
      <c r="I1963" s="871">
        <v>46295.865464537041</v>
      </c>
      <c r="J1963" s="1096" t="s">
        <v>9969</v>
      </c>
      <c r="K1963" s="975" t="str">
        <f>IF(COUNTIFS(tblControles[Clave],tblControles[[#This Row],[Clave]])&gt;1,"Duplicado","")</f>
        <v/>
      </c>
    </row>
    <row r="1964" spans="2:11">
      <c r="B1964" s="975" t="str">
        <f>tblControles[[#This Row],[Fecha]]&amp;"|"&amp;tblControles[[#This Row],[Módulo]]&amp;"|"&amp;tblControles[[#This Row],[Ítem]]&amp;"|"&amp;tblControles[[#This Row],[Turno]]</f>
        <v>46269|CARGA MOLINOS|BM - 9|% carga</v>
      </c>
      <c r="C1964" s="871">
        <v>46269</v>
      </c>
      <c r="D1964" s="1096" t="s">
        <v>9455</v>
      </c>
      <c r="E1964" s="1096" t="s">
        <v>451</v>
      </c>
      <c r="F1964" s="1096" t="s">
        <v>9457</v>
      </c>
      <c r="G1964" s="1096">
        <v>77.400000000000006</v>
      </c>
      <c r="H1964" s="1096" t="s">
        <v>9333</v>
      </c>
      <c r="I1964" s="871">
        <v>46295.865464537041</v>
      </c>
      <c r="J1964" s="1096" t="s">
        <v>9969</v>
      </c>
      <c r="K1964" s="975" t="str">
        <f>IF(COUNTIFS(tblControles[Clave],tblControles[[#This Row],[Clave]])&gt;1,"Duplicado","")</f>
        <v/>
      </c>
    </row>
    <row r="1965" spans="2:11">
      <c r="B1965" s="975" t="str">
        <f>tblControles[[#This Row],[Fecha]]&amp;"|"&amp;tblControles[[#This Row],[Módulo]]&amp;"|"&amp;tblControles[[#This Row],[Ítem]]&amp;"|"&amp;tblControles[[#This Row],[Turno]]</f>
        <v>46269|CARGA MOLINOS|BM - 10|% carga</v>
      </c>
      <c r="C1965" s="871">
        <v>46269</v>
      </c>
      <c r="D1965" s="1096" t="s">
        <v>9455</v>
      </c>
      <c r="E1965" s="1096" t="s">
        <v>452</v>
      </c>
      <c r="F1965" s="1096" t="s">
        <v>9457</v>
      </c>
      <c r="G1965" s="1096">
        <v>85.4</v>
      </c>
      <c r="H1965" s="1096" t="s">
        <v>9333</v>
      </c>
      <c r="I1965" s="871">
        <v>46295.865464537041</v>
      </c>
      <c r="J1965" s="1096" t="s">
        <v>9969</v>
      </c>
      <c r="K1965" s="975" t="str">
        <f>IF(COUNTIFS(tblControles[Clave],tblControles[[#This Row],[Clave]])&gt;1,"Duplicado","")</f>
        <v/>
      </c>
    </row>
    <row r="1966" spans="2:11">
      <c r="B1966" s="975" t="str">
        <f>tblControles[[#This Row],[Fecha]]&amp;"|"&amp;tblControles[[#This Row],[Módulo]]&amp;"|"&amp;tblControles[[#This Row],[Ítem]]&amp;"|"&amp;tblControles[[#This Row],[Turno]]</f>
        <v>46270|CARGA MOLINOS|RM - 1|% carga</v>
      </c>
      <c r="C1966" s="871">
        <v>46270</v>
      </c>
      <c r="D1966" s="1096" t="s">
        <v>9455</v>
      </c>
      <c r="E1966" s="1096" t="s">
        <v>435</v>
      </c>
      <c r="F1966" s="1096" t="s">
        <v>9457</v>
      </c>
      <c r="G1966" s="1096">
        <v>93.7</v>
      </c>
      <c r="H1966" s="1096" t="s">
        <v>9333</v>
      </c>
      <c r="I1966" s="871">
        <v>46295.865464537041</v>
      </c>
      <c r="J1966" s="1096" t="s">
        <v>9969</v>
      </c>
      <c r="K1966" s="975" t="str">
        <f>IF(COUNTIFS(tblControles[Clave],tblControles[[#This Row],[Clave]])&gt;1,"Duplicado","")</f>
        <v/>
      </c>
    </row>
    <row r="1967" spans="2:11">
      <c r="B1967" s="975" t="str">
        <f>tblControles[[#This Row],[Fecha]]&amp;"|"&amp;tblControles[[#This Row],[Módulo]]&amp;"|"&amp;tblControles[[#This Row],[Ítem]]&amp;"|"&amp;tblControles[[#This Row],[Turno]]</f>
        <v>46270|CARGA MOLINOS|RM - 2|% carga</v>
      </c>
      <c r="C1967" s="871">
        <v>46270</v>
      </c>
      <c r="D1967" s="1096" t="s">
        <v>9455</v>
      </c>
      <c r="E1967" s="1096" t="s">
        <v>436</v>
      </c>
      <c r="F1967" s="1096" t="s">
        <v>9457</v>
      </c>
      <c r="G1967" s="1096">
        <v>93.3</v>
      </c>
      <c r="H1967" s="1096" t="s">
        <v>9333</v>
      </c>
      <c r="I1967" s="871">
        <v>46295.865464537041</v>
      </c>
      <c r="J1967" s="1096" t="s">
        <v>9969</v>
      </c>
      <c r="K1967" s="975" t="str">
        <f>IF(COUNTIFS(tblControles[Clave],tblControles[[#This Row],[Clave]])&gt;1,"Duplicado","")</f>
        <v/>
      </c>
    </row>
    <row r="1968" spans="2:11">
      <c r="B1968" s="975" t="str">
        <f>tblControles[[#This Row],[Fecha]]&amp;"|"&amp;tblControles[[#This Row],[Módulo]]&amp;"|"&amp;tblControles[[#This Row],[Ítem]]&amp;"|"&amp;tblControles[[#This Row],[Turno]]</f>
        <v>46270|CARGA MOLINOS|RM - 3|% carga</v>
      </c>
      <c r="C1968" s="871">
        <v>46270</v>
      </c>
      <c r="D1968" s="1096" t="s">
        <v>9455</v>
      </c>
      <c r="E1968" s="1096" t="s">
        <v>437</v>
      </c>
      <c r="F1968" s="1096" t="s">
        <v>9457</v>
      </c>
      <c r="G1968" s="1096">
        <v>95.4</v>
      </c>
      <c r="H1968" s="1096" t="s">
        <v>9333</v>
      </c>
      <c r="I1968" s="871">
        <v>46295.865464537041</v>
      </c>
      <c r="J1968" s="1096" t="s">
        <v>9969</v>
      </c>
      <c r="K1968" s="975" t="str">
        <f>IF(COUNTIFS(tblControles[Clave],tblControles[[#This Row],[Clave]])&gt;1,"Duplicado","")</f>
        <v/>
      </c>
    </row>
    <row r="1969" spans="2:11">
      <c r="B1969" s="975" t="str">
        <f>tblControles[[#This Row],[Fecha]]&amp;"|"&amp;tblControles[[#This Row],[Módulo]]&amp;"|"&amp;tblControles[[#This Row],[Ítem]]&amp;"|"&amp;tblControles[[#This Row],[Turno]]</f>
        <v>46270|CARGA MOLINOS|RM - 6|% carga</v>
      </c>
      <c r="C1969" s="871">
        <v>46270</v>
      </c>
      <c r="D1969" s="1096" t="s">
        <v>9455</v>
      </c>
      <c r="E1969" s="1096" t="s">
        <v>440</v>
      </c>
      <c r="F1969" s="1096" t="s">
        <v>9457</v>
      </c>
      <c r="G1969" s="1096">
        <v>93.9</v>
      </c>
      <c r="H1969" s="1096" t="s">
        <v>9333</v>
      </c>
      <c r="I1969" s="871">
        <v>46295.865464537041</v>
      </c>
      <c r="J1969" s="1096" t="s">
        <v>9969</v>
      </c>
      <c r="K1969" s="975" t="str">
        <f>IF(COUNTIFS(tblControles[Clave],tblControles[[#This Row],[Clave]])&gt;1,"Duplicado","")</f>
        <v/>
      </c>
    </row>
    <row r="1970" spans="2:11">
      <c r="B1970" s="975" t="str">
        <f>tblControles[[#This Row],[Fecha]]&amp;"|"&amp;tblControles[[#This Row],[Módulo]]&amp;"|"&amp;tblControles[[#This Row],[Ítem]]&amp;"|"&amp;tblControles[[#This Row],[Turno]]</f>
        <v>46270|CARGA MOLINOS|RM - 7|% carga</v>
      </c>
      <c r="C1970" s="871">
        <v>46270</v>
      </c>
      <c r="D1970" s="1096" t="s">
        <v>9455</v>
      </c>
      <c r="E1970" s="1096" t="s">
        <v>441</v>
      </c>
      <c r="F1970" s="1096" t="s">
        <v>9457</v>
      </c>
      <c r="G1970" s="1096">
        <v>95.8</v>
      </c>
      <c r="H1970" s="1096" t="s">
        <v>9333</v>
      </c>
      <c r="I1970" s="871">
        <v>46295.865464537041</v>
      </c>
      <c r="J1970" s="1096" t="s">
        <v>9969</v>
      </c>
      <c r="K1970" s="975" t="str">
        <f>IF(COUNTIFS(tblControles[Clave],tblControles[[#This Row],[Clave]])&gt;1,"Duplicado","")</f>
        <v/>
      </c>
    </row>
    <row r="1971" spans="2:11">
      <c r="B1971" s="975" t="str">
        <f>tblControles[[#This Row],[Fecha]]&amp;"|"&amp;tblControles[[#This Row],[Módulo]]&amp;"|"&amp;tblControles[[#This Row],[Ítem]]&amp;"|"&amp;tblControles[[#This Row],[Turno]]</f>
        <v>46270|CARGA MOLINOS|RM - 8|% carga</v>
      </c>
      <c r="C1971" s="871">
        <v>46270</v>
      </c>
      <c r="D1971" s="1096" t="s">
        <v>9455</v>
      </c>
      <c r="E1971" s="1096" t="s">
        <v>442</v>
      </c>
      <c r="F1971" s="1096" t="s">
        <v>9457</v>
      </c>
      <c r="G1971" s="1096">
        <v>94.1</v>
      </c>
      <c r="H1971" s="1096" t="s">
        <v>9333</v>
      </c>
      <c r="I1971" s="871">
        <v>46295.865464537041</v>
      </c>
      <c r="J1971" s="1096" t="s">
        <v>9969</v>
      </c>
      <c r="K1971" s="975" t="str">
        <f>IF(COUNTIFS(tblControles[Clave],tblControles[[#This Row],[Clave]])&gt;1,"Duplicado","")</f>
        <v/>
      </c>
    </row>
    <row r="1972" spans="2:11">
      <c r="B1972" s="975" t="str">
        <f>tblControles[[#This Row],[Fecha]]&amp;"|"&amp;tblControles[[#This Row],[Módulo]]&amp;"|"&amp;tblControles[[#This Row],[Ítem]]&amp;"|"&amp;tblControles[[#This Row],[Turno]]</f>
        <v>46270|CARGA MOLINOS|RM - 9|% carga</v>
      </c>
      <c r="C1972" s="871">
        <v>46270</v>
      </c>
      <c r="D1972" s="1096" t="s">
        <v>9455</v>
      </c>
      <c r="E1972" s="1096" t="s">
        <v>443</v>
      </c>
      <c r="F1972" s="1096" t="s">
        <v>9457</v>
      </c>
      <c r="G1972" s="1096">
        <v>66.8</v>
      </c>
      <c r="H1972" s="1096" t="s">
        <v>9333</v>
      </c>
      <c r="I1972" s="871">
        <v>46295.865464537041</v>
      </c>
      <c r="J1972" s="1096" t="s">
        <v>9969</v>
      </c>
      <c r="K1972" s="975" t="str">
        <f>IF(COUNTIFS(tblControles[Clave],tblControles[[#This Row],[Clave]])&gt;1,"Duplicado","")</f>
        <v/>
      </c>
    </row>
    <row r="1973" spans="2:11">
      <c r="B1973" s="975" t="str">
        <f>tblControles[[#This Row],[Fecha]]&amp;"|"&amp;tblControles[[#This Row],[Módulo]]&amp;"|"&amp;tblControles[[#This Row],[Ítem]]&amp;"|"&amp;tblControles[[#This Row],[Turno]]</f>
        <v>46270|CARGA MOLINOS|BM - 1|% carga</v>
      </c>
      <c r="C1973" s="871">
        <v>46270</v>
      </c>
      <c r="D1973" s="1096" t="s">
        <v>9455</v>
      </c>
      <c r="E1973" s="1096" t="s">
        <v>444</v>
      </c>
      <c r="F1973" s="1096" t="s">
        <v>9457</v>
      </c>
      <c r="G1973" s="1096">
        <v>92.9</v>
      </c>
      <c r="H1973" s="1096" t="s">
        <v>9333</v>
      </c>
      <c r="I1973" s="871">
        <v>46295.865464537041</v>
      </c>
      <c r="J1973" s="1096" t="s">
        <v>9969</v>
      </c>
      <c r="K1973" s="975" t="str">
        <f>IF(COUNTIFS(tblControles[Clave],tblControles[[#This Row],[Clave]])&gt;1,"Duplicado","")</f>
        <v/>
      </c>
    </row>
    <row r="1974" spans="2:11">
      <c r="B1974" s="975" t="str">
        <f>tblControles[[#This Row],[Fecha]]&amp;"|"&amp;tblControles[[#This Row],[Módulo]]&amp;"|"&amp;tblControles[[#This Row],[Ítem]]&amp;"|"&amp;tblControles[[#This Row],[Turno]]</f>
        <v>46270|CARGA MOLINOS|BM - 2|% carga</v>
      </c>
      <c r="C1974" s="871">
        <v>46270</v>
      </c>
      <c r="D1974" s="1096" t="s">
        <v>9455</v>
      </c>
      <c r="E1974" s="1096" t="s">
        <v>9519</v>
      </c>
      <c r="F1974" s="1096" t="s">
        <v>9457</v>
      </c>
      <c r="G1974" s="1096">
        <v>93.5</v>
      </c>
      <c r="H1974" s="1096" t="s">
        <v>9333</v>
      </c>
      <c r="I1974" s="871">
        <v>46295.865464537041</v>
      </c>
      <c r="J1974" s="1096" t="s">
        <v>9969</v>
      </c>
      <c r="K1974" s="975" t="str">
        <f>IF(COUNTIFS(tblControles[Clave],tblControles[[#This Row],[Clave]])&gt;1,"Duplicado","")</f>
        <v/>
      </c>
    </row>
    <row r="1975" spans="2:11">
      <c r="B1975" s="975" t="str">
        <f>tblControles[[#This Row],[Fecha]]&amp;"|"&amp;tblControles[[#This Row],[Módulo]]&amp;"|"&amp;tblControles[[#This Row],[Ítem]]&amp;"|"&amp;tblControles[[#This Row],[Turno]]</f>
        <v>46270|CARGA MOLINOS|BM - 3|% carga</v>
      </c>
      <c r="C1975" s="871">
        <v>46270</v>
      </c>
      <c r="D1975" s="1096" t="s">
        <v>9455</v>
      </c>
      <c r="E1975" s="1096" t="s">
        <v>445</v>
      </c>
      <c r="F1975" s="1096" t="s">
        <v>9457</v>
      </c>
      <c r="G1975" s="1096">
        <v>87.1</v>
      </c>
      <c r="H1975" s="1096" t="s">
        <v>9333</v>
      </c>
      <c r="I1975" s="871">
        <v>46295.865464537041</v>
      </c>
      <c r="J1975" s="1096" t="s">
        <v>9969</v>
      </c>
      <c r="K1975" s="975" t="str">
        <f>IF(COUNTIFS(tblControles[Clave],tblControles[[#This Row],[Clave]])&gt;1,"Duplicado","")</f>
        <v/>
      </c>
    </row>
    <row r="1976" spans="2:11">
      <c r="B1976" s="975" t="str">
        <f>tblControles[[#This Row],[Fecha]]&amp;"|"&amp;tblControles[[#This Row],[Módulo]]&amp;"|"&amp;tblControles[[#This Row],[Ítem]]&amp;"|"&amp;tblControles[[#This Row],[Turno]]</f>
        <v>46270|CARGA MOLINOS|BM - 4|% carga</v>
      </c>
      <c r="C1976" s="871">
        <v>46270</v>
      </c>
      <c r="D1976" s="1096" t="s">
        <v>9455</v>
      </c>
      <c r="E1976" s="1096" t="s">
        <v>446</v>
      </c>
      <c r="F1976" s="1096" t="s">
        <v>9457</v>
      </c>
      <c r="G1976" s="1096">
        <v>94.4</v>
      </c>
      <c r="H1976" s="1096" t="s">
        <v>9333</v>
      </c>
      <c r="I1976" s="871">
        <v>46295.865464537041</v>
      </c>
      <c r="J1976" s="1096" t="s">
        <v>9969</v>
      </c>
      <c r="K1976" s="975" t="str">
        <f>IF(COUNTIFS(tblControles[Clave],tblControles[[#This Row],[Clave]])&gt;1,"Duplicado","")</f>
        <v/>
      </c>
    </row>
    <row r="1977" spans="2:11">
      <c r="B1977" s="975" t="str">
        <f>tblControles[[#This Row],[Fecha]]&amp;"|"&amp;tblControles[[#This Row],[Módulo]]&amp;"|"&amp;tblControles[[#This Row],[Ítem]]&amp;"|"&amp;tblControles[[#This Row],[Turno]]</f>
        <v>46270|CARGA MOLINOS|BM - 6|% carga</v>
      </c>
      <c r="C1977" s="871">
        <v>46270</v>
      </c>
      <c r="D1977" s="1096" t="s">
        <v>9455</v>
      </c>
      <c r="E1977" s="1096" t="s">
        <v>448</v>
      </c>
      <c r="F1977" s="1096" t="s">
        <v>9457</v>
      </c>
      <c r="G1977" s="1096">
        <v>95.2</v>
      </c>
      <c r="H1977" s="1096" t="s">
        <v>9333</v>
      </c>
      <c r="I1977" s="871">
        <v>46295.865464537041</v>
      </c>
      <c r="J1977" s="1096" t="s">
        <v>9969</v>
      </c>
      <c r="K1977" s="975" t="str">
        <f>IF(COUNTIFS(tblControles[Clave],tblControles[[#This Row],[Clave]])&gt;1,"Duplicado","")</f>
        <v/>
      </c>
    </row>
    <row r="1978" spans="2:11">
      <c r="B1978" s="975" t="str">
        <f>tblControles[[#This Row],[Fecha]]&amp;"|"&amp;tblControles[[#This Row],[Módulo]]&amp;"|"&amp;tblControles[[#This Row],[Ítem]]&amp;"|"&amp;tblControles[[#This Row],[Turno]]</f>
        <v>46270|CARGA MOLINOS|BM - 7|% carga</v>
      </c>
      <c r="C1978" s="871">
        <v>46270</v>
      </c>
      <c r="D1978" s="1096" t="s">
        <v>9455</v>
      </c>
      <c r="E1978" s="1096" t="s">
        <v>449</v>
      </c>
      <c r="F1978" s="1096" t="s">
        <v>9457</v>
      </c>
      <c r="G1978" s="1096">
        <v>95</v>
      </c>
      <c r="H1978" s="1096" t="s">
        <v>9333</v>
      </c>
      <c r="I1978" s="871">
        <v>46295.865464537041</v>
      </c>
      <c r="J1978" s="1096" t="s">
        <v>9969</v>
      </c>
      <c r="K1978" s="975" t="str">
        <f>IF(COUNTIFS(tblControles[Clave],tblControles[[#This Row],[Clave]])&gt;1,"Duplicado","")</f>
        <v/>
      </c>
    </row>
    <row r="1979" spans="2:11">
      <c r="B1979" s="975" t="str">
        <f>tblControles[[#This Row],[Fecha]]&amp;"|"&amp;tblControles[[#This Row],[Módulo]]&amp;"|"&amp;tblControles[[#This Row],[Ítem]]&amp;"|"&amp;tblControles[[#This Row],[Turno]]</f>
        <v>46270|CARGA MOLINOS|BM - 8|% carga</v>
      </c>
      <c r="C1979" s="871">
        <v>46270</v>
      </c>
      <c r="D1979" s="1096" t="s">
        <v>9455</v>
      </c>
      <c r="E1979" s="1096" t="s">
        <v>450</v>
      </c>
      <c r="F1979" s="1096" t="s">
        <v>9457</v>
      </c>
      <c r="G1979" s="1096">
        <v>87.9</v>
      </c>
      <c r="H1979" s="1096" t="s">
        <v>9333</v>
      </c>
      <c r="I1979" s="871">
        <v>46295.865464537041</v>
      </c>
      <c r="J1979" s="1096" t="s">
        <v>9969</v>
      </c>
      <c r="K1979" s="975" t="str">
        <f>IF(COUNTIFS(tblControles[Clave],tblControles[[#This Row],[Clave]])&gt;1,"Duplicado","")</f>
        <v/>
      </c>
    </row>
    <row r="1980" spans="2:11">
      <c r="B1980" s="975" t="str">
        <f>tblControles[[#This Row],[Fecha]]&amp;"|"&amp;tblControles[[#This Row],[Módulo]]&amp;"|"&amp;tblControles[[#This Row],[Ítem]]&amp;"|"&amp;tblControles[[#This Row],[Turno]]</f>
        <v>46270|CARGA MOLINOS|BM - 9|% carga</v>
      </c>
      <c r="C1980" s="871">
        <v>46270</v>
      </c>
      <c r="D1980" s="1096" t="s">
        <v>9455</v>
      </c>
      <c r="E1980" s="1096" t="s">
        <v>451</v>
      </c>
      <c r="F1980" s="1096" t="s">
        <v>9457</v>
      </c>
      <c r="G1980" s="1096">
        <v>76.599999999999994</v>
      </c>
      <c r="H1980" s="1096" t="s">
        <v>9333</v>
      </c>
      <c r="I1980" s="871">
        <v>46295.865464537041</v>
      </c>
      <c r="J1980" s="1096" t="s">
        <v>9969</v>
      </c>
      <c r="K1980" s="975" t="str">
        <f>IF(COUNTIFS(tblControles[Clave],tblControles[[#This Row],[Clave]])&gt;1,"Duplicado","")</f>
        <v/>
      </c>
    </row>
    <row r="1981" spans="2:11">
      <c r="B1981" s="975" t="str">
        <f>tblControles[[#This Row],[Fecha]]&amp;"|"&amp;tblControles[[#This Row],[Módulo]]&amp;"|"&amp;tblControles[[#This Row],[Ítem]]&amp;"|"&amp;tblControles[[#This Row],[Turno]]</f>
        <v>46270|CARGA MOLINOS|BM - 10|% carga</v>
      </c>
      <c r="C1981" s="871">
        <v>46270</v>
      </c>
      <c r="D1981" s="1096" t="s">
        <v>9455</v>
      </c>
      <c r="E1981" s="1096" t="s">
        <v>452</v>
      </c>
      <c r="F1981" s="1096" t="s">
        <v>9457</v>
      </c>
      <c r="G1981" s="1096">
        <v>84.8</v>
      </c>
      <c r="H1981" s="1096" t="s">
        <v>9333</v>
      </c>
      <c r="I1981" s="871">
        <v>46295.865464537041</v>
      </c>
      <c r="J1981" s="1096" t="s">
        <v>9969</v>
      </c>
      <c r="K1981" s="975" t="str">
        <f>IF(COUNTIFS(tblControles[Clave],tblControles[[#This Row],[Clave]])&gt;1,"Duplicado","")</f>
        <v/>
      </c>
    </row>
    <row r="1982" spans="2:11">
      <c r="B1982" s="975" t="str">
        <f>tblControles[[#This Row],[Fecha]]&amp;"|"&amp;tblControles[[#This Row],[Módulo]]&amp;"|"&amp;tblControles[[#This Row],[Ítem]]&amp;"|"&amp;tblControles[[#This Row],[Turno]]</f>
        <v>46272|CARGA MOLINOS|RM - 1|% carga</v>
      </c>
      <c r="C1982" s="871">
        <v>46272</v>
      </c>
      <c r="D1982" s="1096" t="s">
        <v>9455</v>
      </c>
      <c r="E1982" s="1096" t="s">
        <v>435</v>
      </c>
      <c r="F1982" s="1096" t="s">
        <v>9457</v>
      </c>
      <c r="G1982" s="1096">
        <v>90</v>
      </c>
      <c r="H1982" s="1096" t="s">
        <v>9333</v>
      </c>
      <c r="I1982" s="871">
        <v>46295.865464537041</v>
      </c>
      <c r="J1982" s="1096" t="s">
        <v>9969</v>
      </c>
      <c r="K1982" s="975" t="str">
        <f>IF(COUNTIFS(tblControles[Clave],tblControles[[#This Row],[Clave]])&gt;1,"Duplicado","")</f>
        <v/>
      </c>
    </row>
    <row r="1983" spans="2:11">
      <c r="B1983" s="975" t="str">
        <f>tblControles[[#This Row],[Fecha]]&amp;"|"&amp;tblControles[[#This Row],[Módulo]]&amp;"|"&amp;tblControles[[#This Row],[Ítem]]&amp;"|"&amp;tblControles[[#This Row],[Turno]]</f>
        <v>46272|CARGA MOLINOS|RM - 2|% carga</v>
      </c>
      <c r="C1983" s="871">
        <v>46272</v>
      </c>
      <c r="D1983" s="1096" t="s">
        <v>9455</v>
      </c>
      <c r="E1983" s="1096" t="s">
        <v>436</v>
      </c>
      <c r="F1983" s="1096" t="s">
        <v>9457</v>
      </c>
      <c r="G1983" s="1096">
        <v>90.2</v>
      </c>
      <c r="H1983" s="1096" t="s">
        <v>9333</v>
      </c>
      <c r="I1983" s="871">
        <v>46295.865464537041</v>
      </c>
      <c r="J1983" s="1096" t="s">
        <v>9969</v>
      </c>
      <c r="K1983" s="975" t="str">
        <f>IF(COUNTIFS(tblControles[Clave],tblControles[[#This Row],[Clave]])&gt;1,"Duplicado","")</f>
        <v/>
      </c>
    </row>
    <row r="1984" spans="2:11">
      <c r="B1984" s="975" t="str">
        <f>tblControles[[#This Row],[Fecha]]&amp;"|"&amp;tblControles[[#This Row],[Módulo]]&amp;"|"&amp;tblControles[[#This Row],[Ítem]]&amp;"|"&amp;tblControles[[#This Row],[Turno]]</f>
        <v>46272|CARGA MOLINOS|RM - 3|% carga</v>
      </c>
      <c r="C1984" s="871">
        <v>46272</v>
      </c>
      <c r="D1984" s="1096" t="s">
        <v>9455</v>
      </c>
      <c r="E1984" s="1096" t="s">
        <v>437</v>
      </c>
      <c r="F1984" s="1096" t="s">
        <v>9457</v>
      </c>
      <c r="G1984" s="1096">
        <v>91.6</v>
      </c>
      <c r="H1984" s="1096" t="s">
        <v>9333</v>
      </c>
      <c r="I1984" s="871">
        <v>46295.865464537041</v>
      </c>
      <c r="J1984" s="1096" t="s">
        <v>9969</v>
      </c>
      <c r="K1984" s="975" t="str">
        <f>IF(COUNTIFS(tblControles[Clave],tblControles[[#This Row],[Clave]])&gt;1,"Duplicado","")</f>
        <v/>
      </c>
    </row>
    <row r="1985" spans="2:11">
      <c r="B1985" s="975" t="str">
        <f>tblControles[[#This Row],[Fecha]]&amp;"|"&amp;tblControles[[#This Row],[Módulo]]&amp;"|"&amp;tblControles[[#This Row],[Ítem]]&amp;"|"&amp;tblControles[[#This Row],[Turno]]</f>
        <v>46272|CARGA MOLINOS|RM - 6|% carga</v>
      </c>
      <c r="C1985" s="871">
        <v>46272</v>
      </c>
      <c r="D1985" s="1096" t="s">
        <v>9455</v>
      </c>
      <c r="E1985" s="1096" t="s">
        <v>440</v>
      </c>
      <c r="F1985" s="1096" t="s">
        <v>9457</v>
      </c>
      <c r="G1985" s="1096">
        <v>91.8</v>
      </c>
      <c r="H1985" s="1096" t="s">
        <v>9333</v>
      </c>
      <c r="I1985" s="871">
        <v>46295.865464537041</v>
      </c>
      <c r="J1985" s="1096" t="s">
        <v>9969</v>
      </c>
      <c r="K1985" s="975" t="str">
        <f>IF(COUNTIFS(tblControles[Clave],tblControles[[#This Row],[Clave]])&gt;1,"Duplicado","")</f>
        <v/>
      </c>
    </row>
    <row r="1986" spans="2:11">
      <c r="B1986" s="975" t="str">
        <f>tblControles[[#This Row],[Fecha]]&amp;"|"&amp;tblControles[[#This Row],[Módulo]]&amp;"|"&amp;tblControles[[#This Row],[Ítem]]&amp;"|"&amp;tblControles[[#This Row],[Turno]]</f>
        <v>46272|CARGA MOLINOS|RM - 7|% carga</v>
      </c>
      <c r="C1986" s="871">
        <v>46272</v>
      </c>
      <c r="D1986" s="1096" t="s">
        <v>9455</v>
      </c>
      <c r="E1986" s="1096" t="s">
        <v>441</v>
      </c>
      <c r="F1986" s="1096" t="s">
        <v>9457</v>
      </c>
      <c r="G1986" s="1096">
        <v>90.4</v>
      </c>
      <c r="H1986" s="1096" t="s">
        <v>9333</v>
      </c>
      <c r="I1986" s="871">
        <v>46295.865464537041</v>
      </c>
      <c r="J1986" s="1096" t="s">
        <v>9969</v>
      </c>
      <c r="K1986" s="975" t="str">
        <f>IF(COUNTIFS(tblControles[Clave],tblControles[[#This Row],[Clave]])&gt;1,"Duplicado","")</f>
        <v/>
      </c>
    </row>
    <row r="1987" spans="2:11">
      <c r="B1987" s="975" t="str">
        <f>tblControles[[#This Row],[Fecha]]&amp;"|"&amp;tblControles[[#This Row],[Módulo]]&amp;"|"&amp;tblControles[[#This Row],[Ítem]]&amp;"|"&amp;tblControles[[#This Row],[Turno]]</f>
        <v>46272|CARGA MOLINOS|RM - 8|% carga</v>
      </c>
      <c r="C1987" s="871">
        <v>46272</v>
      </c>
      <c r="D1987" s="1096" t="s">
        <v>9455</v>
      </c>
      <c r="E1987" s="1096" t="s">
        <v>442</v>
      </c>
      <c r="F1987" s="1096" t="s">
        <v>9457</v>
      </c>
      <c r="G1987" s="1096">
        <v>91.4</v>
      </c>
      <c r="H1987" s="1096" t="s">
        <v>9333</v>
      </c>
      <c r="I1987" s="871">
        <v>46295.865464537041</v>
      </c>
      <c r="J1987" s="1096" t="s">
        <v>9969</v>
      </c>
      <c r="K1987" s="975" t="str">
        <f>IF(COUNTIFS(tblControles[Clave],tblControles[[#This Row],[Clave]])&gt;1,"Duplicado","")</f>
        <v/>
      </c>
    </row>
    <row r="1988" spans="2:11">
      <c r="B1988" s="975" t="str">
        <f>tblControles[[#This Row],[Fecha]]&amp;"|"&amp;tblControles[[#This Row],[Módulo]]&amp;"|"&amp;tblControles[[#This Row],[Ítem]]&amp;"|"&amp;tblControles[[#This Row],[Turno]]</f>
        <v>46272|CARGA MOLINOS|RM - 9|% carga</v>
      </c>
      <c r="C1988" s="871">
        <v>46272</v>
      </c>
      <c r="D1988" s="1096" t="s">
        <v>9455</v>
      </c>
      <c r="E1988" s="1096" t="s">
        <v>443</v>
      </c>
      <c r="F1988" s="1096" t="s">
        <v>9457</v>
      </c>
      <c r="G1988" s="1096">
        <v>64.7</v>
      </c>
      <c r="H1988" s="1096" t="s">
        <v>9333</v>
      </c>
      <c r="I1988" s="871">
        <v>46295.865464537041</v>
      </c>
      <c r="J1988" s="1096" t="s">
        <v>9969</v>
      </c>
      <c r="K1988" s="975" t="str">
        <f>IF(COUNTIFS(tblControles[Clave],tblControles[[#This Row],[Clave]])&gt;1,"Duplicado","")</f>
        <v/>
      </c>
    </row>
    <row r="1989" spans="2:11">
      <c r="B1989" s="975" t="str">
        <f>tblControles[[#This Row],[Fecha]]&amp;"|"&amp;tblControles[[#This Row],[Módulo]]&amp;"|"&amp;tblControles[[#This Row],[Ítem]]&amp;"|"&amp;tblControles[[#This Row],[Turno]]</f>
        <v>46272|CARGA MOLINOS|BM - 1|% carga</v>
      </c>
      <c r="C1989" s="871">
        <v>46272</v>
      </c>
      <c r="D1989" s="1096" t="s">
        <v>9455</v>
      </c>
      <c r="E1989" s="1096" t="s">
        <v>444</v>
      </c>
      <c r="F1989" s="1096" t="s">
        <v>9457</v>
      </c>
      <c r="G1989" s="1096">
        <v>91.6</v>
      </c>
      <c r="H1989" s="1096" t="s">
        <v>9333</v>
      </c>
      <c r="I1989" s="871">
        <v>46295.865464537041</v>
      </c>
      <c r="J1989" s="1096" t="s">
        <v>9969</v>
      </c>
      <c r="K1989" s="975" t="str">
        <f>IF(COUNTIFS(tblControles[Clave],tblControles[[#This Row],[Clave]])&gt;1,"Duplicado","")</f>
        <v/>
      </c>
    </row>
    <row r="1990" spans="2:11">
      <c r="B1990" s="975" t="str">
        <f>tblControles[[#This Row],[Fecha]]&amp;"|"&amp;tblControles[[#This Row],[Módulo]]&amp;"|"&amp;tblControles[[#This Row],[Ítem]]&amp;"|"&amp;tblControles[[#This Row],[Turno]]</f>
        <v>46272|CARGA MOLINOS|BM - 2|% carga</v>
      </c>
      <c r="C1990" s="871">
        <v>46272</v>
      </c>
      <c r="D1990" s="1096" t="s">
        <v>9455</v>
      </c>
      <c r="E1990" s="1096" t="s">
        <v>9519</v>
      </c>
      <c r="F1990" s="1096" t="s">
        <v>9457</v>
      </c>
      <c r="G1990" s="1096">
        <v>88</v>
      </c>
      <c r="H1990" s="1096" t="s">
        <v>9333</v>
      </c>
      <c r="I1990" s="871">
        <v>46295.865464537041</v>
      </c>
      <c r="J1990" s="1096" t="s">
        <v>9969</v>
      </c>
      <c r="K1990" s="975" t="str">
        <f>IF(COUNTIFS(tblControles[Clave],tblControles[[#This Row],[Clave]])&gt;1,"Duplicado","")</f>
        <v/>
      </c>
    </row>
    <row r="1991" spans="2:11">
      <c r="B1991" s="975" t="str">
        <f>tblControles[[#This Row],[Fecha]]&amp;"|"&amp;tblControles[[#This Row],[Módulo]]&amp;"|"&amp;tblControles[[#This Row],[Ítem]]&amp;"|"&amp;tblControles[[#This Row],[Turno]]</f>
        <v>46272|CARGA MOLINOS|BM - 3|% carga</v>
      </c>
      <c r="C1991" s="871">
        <v>46272</v>
      </c>
      <c r="D1991" s="1096" t="s">
        <v>9455</v>
      </c>
      <c r="E1991" s="1096" t="s">
        <v>445</v>
      </c>
      <c r="F1991" s="1096" t="s">
        <v>9457</v>
      </c>
      <c r="G1991" s="1096">
        <v>91</v>
      </c>
      <c r="H1991" s="1096" t="s">
        <v>9333</v>
      </c>
      <c r="I1991" s="871">
        <v>46295.865464537041</v>
      </c>
      <c r="J1991" s="1096" t="s">
        <v>9969</v>
      </c>
      <c r="K1991" s="975" t="str">
        <f>IF(COUNTIFS(tblControles[Clave],tblControles[[#This Row],[Clave]])&gt;1,"Duplicado","")</f>
        <v/>
      </c>
    </row>
    <row r="1992" spans="2:11">
      <c r="B1992" s="975" t="str">
        <f>tblControles[[#This Row],[Fecha]]&amp;"|"&amp;tblControles[[#This Row],[Módulo]]&amp;"|"&amp;tblControles[[#This Row],[Ítem]]&amp;"|"&amp;tblControles[[#This Row],[Turno]]</f>
        <v>46272|CARGA MOLINOS|BM - 4|% carga</v>
      </c>
      <c r="C1992" s="871">
        <v>46272</v>
      </c>
      <c r="D1992" s="1096" t="s">
        <v>9455</v>
      </c>
      <c r="E1992" s="1096" t="s">
        <v>446</v>
      </c>
      <c r="F1992" s="1096" t="s">
        <v>9457</v>
      </c>
      <c r="G1992" s="1096">
        <v>95.5</v>
      </c>
      <c r="H1992" s="1096" t="s">
        <v>9333</v>
      </c>
      <c r="I1992" s="871">
        <v>46295.865464537041</v>
      </c>
      <c r="J1992" s="1096" t="s">
        <v>9969</v>
      </c>
      <c r="K1992" s="975" t="str">
        <f>IF(COUNTIFS(tblControles[Clave],tblControles[[#This Row],[Clave]])&gt;1,"Duplicado","")</f>
        <v/>
      </c>
    </row>
    <row r="1993" spans="2:11">
      <c r="B1993" s="975" t="str">
        <f>tblControles[[#This Row],[Fecha]]&amp;"|"&amp;tblControles[[#This Row],[Módulo]]&amp;"|"&amp;tblControles[[#This Row],[Ítem]]&amp;"|"&amp;tblControles[[#This Row],[Turno]]</f>
        <v>46272|CARGA MOLINOS|BM - 6|% carga</v>
      </c>
      <c r="C1993" s="871">
        <v>46272</v>
      </c>
      <c r="D1993" s="1096" t="s">
        <v>9455</v>
      </c>
      <c r="E1993" s="1096" t="s">
        <v>448</v>
      </c>
      <c r="F1993" s="1096" t="s">
        <v>9457</v>
      </c>
      <c r="G1993" s="1096">
        <v>90.3</v>
      </c>
      <c r="H1993" s="1096" t="s">
        <v>9333</v>
      </c>
      <c r="I1993" s="871">
        <v>46295.865464537041</v>
      </c>
      <c r="J1993" s="1096" t="s">
        <v>9969</v>
      </c>
      <c r="K1993" s="975" t="str">
        <f>IF(COUNTIFS(tblControles[Clave],tblControles[[#This Row],[Clave]])&gt;1,"Duplicado","")</f>
        <v/>
      </c>
    </row>
    <row r="1994" spans="2:11">
      <c r="B1994" s="975" t="str">
        <f>tblControles[[#This Row],[Fecha]]&amp;"|"&amp;tblControles[[#This Row],[Módulo]]&amp;"|"&amp;tblControles[[#This Row],[Ítem]]&amp;"|"&amp;tblControles[[#This Row],[Turno]]</f>
        <v>46272|CARGA MOLINOS|BM - 7|% carga</v>
      </c>
      <c r="C1994" s="871">
        <v>46272</v>
      </c>
      <c r="D1994" s="1096" t="s">
        <v>9455</v>
      </c>
      <c r="E1994" s="1096" t="s">
        <v>449</v>
      </c>
      <c r="F1994" s="1096" t="s">
        <v>9457</v>
      </c>
      <c r="G1994" s="1096">
        <v>90.3</v>
      </c>
      <c r="H1994" s="1096" t="s">
        <v>9333</v>
      </c>
      <c r="I1994" s="871">
        <v>46295.865464537041</v>
      </c>
      <c r="J1994" s="1096" t="s">
        <v>9969</v>
      </c>
      <c r="K1994" s="975" t="str">
        <f>IF(COUNTIFS(tblControles[Clave],tblControles[[#This Row],[Clave]])&gt;1,"Duplicado","")</f>
        <v/>
      </c>
    </row>
    <row r="1995" spans="2:11">
      <c r="B1995" s="975" t="str">
        <f>tblControles[[#This Row],[Fecha]]&amp;"|"&amp;tblControles[[#This Row],[Módulo]]&amp;"|"&amp;tblControles[[#This Row],[Ítem]]&amp;"|"&amp;tblControles[[#This Row],[Turno]]</f>
        <v>46272|CARGA MOLINOS|BM - 8|% carga</v>
      </c>
      <c r="C1995" s="871">
        <v>46272</v>
      </c>
      <c r="D1995" s="1096" t="s">
        <v>9455</v>
      </c>
      <c r="E1995" s="1096" t="s">
        <v>450</v>
      </c>
      <c r="F1995" s="1096" t="s">
        <v>9457</v>
      </c>
      <c r="G1995" s="1096">
        <v>89.5</v>
      </c>
      <c r="H1995" s="1096" t="s">
        <v>9333</v>
      </c>
      <c r="I1995" s="871">
        <v>46295.865464537041</v>
      </c>
      <c r="J1995" s="1096" t="s">
        <v>9969</v>
      </c>
      <c r="K1995" s="975" t="str">
        <f>IF(COUNTIFS(tblControles[Clave],tblControles[[#This Row],[Clave]])&gt;1,"Duplicado","")</f>
        <v/>
      </c>
    </row>
    <row r="1996" spans="2:11">
      <c r="B1996" s="975" t="str">
        <f>tblControles[[#This Row],[Fecha]]&amp;"|"&amp;tblControles[[#This Row],[Módulo]]&amp;"|"&amp;tblControles[[#This Row],[Ítem]]&amp;"|"&amp;tblControles[[#This Row],[Turno]]</f>
        <v>46272|CARGA MOLINOS|BM - 9|% carga</v>
      </c>
      <c r="C1996" s="871">
        <v>46272</v>
      </c>
      <c r="D1996" s="1096" t="s">
        <v>9455</v>
      </c>
      <c r="E1996" s="1096" t="s">
        <v>451</v>
      </c>
      <c r="F1996" s="1096" t="s">
        <v>9457</v>
      </c>
      <c r="G1996" s="1096">
        <v>78.900000000000006</v>
      </c>
      <c r="H1996" s="1096" t="s">
        <v>9333</v>
      </c>
      <c r="I1996" s="871">
        <v>46295.865464537041</v>
      </c>
      <c r="J1996" s="1096" t="s">
        <v>9969</v>
      </c>
      <c r="K1996" s="975" t="str">
        <f>IF(COUNTIFS(tblControles[Clave],tblControles[[#This Row],[Clave]])&gt;1,"Duplicado","")</f>
        <v/>
      </c>
    </row>
    <row r="1997" spans="2:11">
      <c r="B1997" s="975" t="str">
        <f>tblControles[[#This Row],[Fecha]]&amp;"|"&amp;tblControles[[#This Row],[Módulo]]&amp;"|"&amp;tblControles[[#This Row],[Ítem]]&amp;"|"&amp;tblControles[[#This Row],[Turno]]</f>
        <v>46272|CARGA MOLINOS|BM - 10|% carga</v>
      </c>
      <c r="C1997" s="871">
        <v>46272</v>
      </c>
      <c r="D1997" s="1096" t="s">
        <v>9455</v>
      </c>
      <c r="E1997" s="1096" t="s">
        <v>452</v>
      </c>
      <c r="F1997" s="1096" t="s">
        <v>9457</v>
      </c>
      <c r="G1997" s="1096">
        <v>90.4</v>
      </c>
      <c r="H1997" s="1096" t="s">
        <v>9333</v>
      </c>
      <c r="I1997" s="871">
        <v>46295.865464537041</v>
      </c>
      <c r="J1997" s="1096" t="s">
        <v>9969</v>
      </c>
      <c r="K1997" s="975" t="str">
        <f>IF(COUNTIFS(tblControles[Clave],tblControles[[#This Row],[Clave]])&gt;1,"Duplicado","")</f>
        <v/>
      </c>
    </row>
    <row r="1998" spans="2:11">
      <c r="B1998" s="975" t="str">
        <f>tblControles[[#This Row],[Fecha]]&amp;"|"&amp;tblControles[[#This Row],[Módulo]]&amp;"|"&amp;tblControles[[#This Row],[Ítem]]&amp;"|"&amp;tblControles[[#This Row],[Turno]]</f>
        <v>46273|CARGA MOLINOS|RM - 1|% carga</v>
      </c>
      <c r="C1998" s="871">
        <v>46273</v>
      </c>
      <c r="D1998" s="1096" t="s">
        <v>9455</v>
      </c>
      <c r="E1998" s="1096" t="s">
        <v>435</v>
      </c>
      <c r="F1998" s="1096" t="s">
        <v>9457</v>
      </c>
      <c r="G1998" s="1096">
        <v>93.2</v>
      </c>
      <c r="H1998" s="1096" t="s">
        <v>9333</v>
      </c>
      <c r="I1998" s="871">
        <v>46295.865464537041</v>
      </c>
      <c r="J1998" s="1096" t="s">
        <v>9969</v>
      </c>
      <c r="K1998" s="975" t="str">
        <f>IF(COUNTIFS(tblControles[Clave],tblControles[[#This Row],[Clave]])&gt;1,"Duplicado","")</f>
        <v/>
      </c>
    </row>
    <row r="1999" spans="2:11">
      <c r="B1999" s="975" t="str">
        <f>tblControles[[#This Row],[Fecha]]&amp;"|"&amp;tblControles[[#This Row],[Módulo]]&amp;"|"&amp;tblControles[[#This Row],[Ítem]]&amp;"|"&amp;tblControles[[#This Row],[Turno]]</f>
        <v>46273|CARGA MOLINOS|RM - 2|% carga</v>
      </c>
      <c r="C1999" s="871">
        <v>46273</v>
      </c>
      <c r="D1999" s="1096" t="s">
        <v>9455</v>
      </c>
      <c r="E1999" s="1096" t="s">
        <v>436</v>
      </c>
      <c r="F1999" s="1096" t="s">
        <v>9457</v>
      </c>
      <c r="G1999" s="1096">
        <v>88.7</v>
      </c>
      <c r="H1999" s="1096" t="s">
        <v>9333</v>
      </c>
      <c r="I1999" s="871">
        <v>46295.865464537041</v>
      </c>
      <c r="J1999" s="1096" t="s">
        <v>9969</v>
      </c>
      <c r="K1999" s="975" t="str">
        <f>IF(COUNTIFS(tblControles[Clave],tblControles[[#This Row],[Clave]])&gt;1,"Duplicado","")</f>
        <v/>
      </c>
    </row>
    <row r="2000" spans="2:11">
      <c r="B2000" s="975" t="str">
        <f>tblControles[[#This Row],[Fecha]]&amp;"|"&amp;tblControles[[#This Row],[Módulo]]&amp;"|"&amp;tblControles[[#This Row],[Ítem]]&amp;"|"&amp;tblControles[[#This Row],[Turno]]</f>
        <v>46273|CARGA MOLINOS|RM - 3|% carga</v>
      </c>
      <c r="C2000" s="871">
        <v>46273</v>
      </c>
      <c r="D2000" s="1096" t="s">
        <v>9455</v>
      </c>
      <c r="E2000" s="1096" t="s">
        <v>437</v>
      </c>
      <c r="F2000" s="1096" t="s">
        <v>9457</v>
      </c>
      <c r="G2000" s="1096">
        <v>88.7</v>
      </c>
      <c r="H2000" s="1096" t="s">
        <v>9333</v>
      </c>
      <c r="I2000" s="871">
        <v>46295.865464537041</v>
      </c>
      <c r="J2000" s="1096" t="s">
        <v>9969</v>
      </c>
      <c r="K2000" s="975" t="str">
        <f>IF(COUNTIFS(tblControles[Clave],tblControles[[#This Row],[Clave]])&gt;1,"Duplicado","")</f>
        <v/>
      </c>
    </row>
    <row r="2001" spans="2:11">
      <c r="B2001" s="975" t="str">
        <f>tblControles[[#This Row],[Fecha]]&amp;"|"&amp;tblControles[[#This Row],[Módulo]]&amp;"|"&amp;tblControles[[#This Row],[Ítem]]&amp;"|"&amp;tblControles[[#This Row],[Turno]]</f>
        <v>46273|CARGA MOLINOS|RM - 6|% carga</v>
      </c>
      <c r="C2001" s="871">
        <v>46273</v>
      </c>
      <c r="D2001" s="1096" t="s">
        <v>9455</v>
      </c>
      <c r="E2001" s="1096" t="s">
        <v>440</v>
      </c>
      <c r="F2001" s="1096" t="s">
        <v>9457</v>
      </c>
      <c r="G2001" s="1096">
        <v>93.1</v>
      </c>
      <c r="H2001" s="1096" t="s">
        <v>9333</v>
      </c>
      <c r="I2001" s="871">
        <v>46295.865464537041</v>
      </c>
      <c r="J2001" s="1096" t="s">
        <v>9969</v>
      </c>
      <c r="K2001" s="975" t="str">
        <f>IF(COUNTIFS(tblControles[Clave],tblControles[[#This Row],[Clave]])&gt;1,"Duplicado","")</f>
        <v/>
      </c>
    </row>
    <row r="2002" spans="2:11">
      <c r="B2002" s="975" t="str">
        <f>tblControles[[#This Row],[Fecha]]&amp;"|"&amp;tblControles[[#This Row],[Módulo]]&amp;"|"&amp;tblControles[[#This Row],[Ítem]]&amp;"|"&amp;tblControles[[#This Row],[Turno]]</f>
        <v>46273|CARGA MOLINOS|RM - 7|% carga</v>
      </c>
      <c r="C2002" s="871">
        <v>46273</v>
      </c>
      <c r="D2002" s="1096" t="s">
        <v>9455</v>
      </c>
      <c r="E2002" s="1096" t="s">
        <v>441</v>
      </c>
      <c r="F2002" s="1096" t="s">
        <v>9457</v>
      </c>
      <c r="G2002" s="1096">
        <v>94.1</v>
      </c>
      <c r="H2002" s="1096" t="s">
        <v>9333</v>
      </c>
      <c r="I2002" s="871">
        <v>46295.865464537041</v>
      </c>
      <c r="J2002" s="1096" t="s">
        <v>9969</v>
      </c>
      <c r="K2002" s="975" t="str">
        <f>IF(COUNTIFS(tblControles[Clave],tblControles[[#This Row],[Clave]])&gt;1,"Duplicado","")</f>
        <v/>
      </c>
    </row>
    <row r="2003" spans="2:11">
      <c r="B2003" s="975" t="str">
        <f>tblControles[[#This Row],[Fecha]]&amp;"|"&amp;tblControles[[#This Row],[Módulo]]&amp;"|"&amp;tblControles[[#This Row],[Ítem]]&amp;"|"&amp;tblControles[[#This Row],[Turno]]</f>
        <v>46273|CARGA MOLINOS|RM - 8|% carga</v>
      </c>
      <c r="C2003" s="871">
        <v>46273</v>
      </c>
      <c r="D2003" s="1096" t="s">
        <v>9455</v>
      </c>
      <c r="E2003" s="1096" t="s">
        <v>442</v>
      </c>
      <c r="F2003" s="1096" t="s">
        <v>9457</v>
      </c>
      <c r="G2003" s="1096">
        <v>92.1</v>
      </c>
      <c r="H2003" s="1096" t="s">
        <v>9333</v>
      </c>
      <c r="I2003" s="871">
        <v>46295.865464537041</v>
      </c>
      <c r="J2003" s="1096" t="s">
        <v>9969</v>
      </c>
      <c r="K2003" s="975" t="str">
        <f>IF(COUNTIFS(tblControles[Clave],tblControles[[#This Row],[Clave]])&gt;1,"Duplicado","")</f>
        <v/>
      </c>
    </row>
    <row r="2004" spans="2:11">
      <c r="B2004" s="975" t="str">
        <f>tblControles[[#This Row],[Fecha]]&amp;"|"&amp;tblControles[[#This Row],[Módulo]]&amp;"|"&amp;tblControles[[#This Row],[Ítem]]&amp;"|"&amp;tblControles[[#This Row],[Turno]]</f>
        <v>46273|CARGA MOLINOS|RM - 9|% carga</v>
      </c>
      <c r="C2004" s="871">
        <v>46273</v>
      </c>
      <c r="D2004" s="1096" t="s">
        <v>9455</v>
      </c>
      <c r="E2004" s="1096" t="s">
        <v>443</v>
      </c>
      <c r="F2004" s="1096" t="s">
        <v>9457</v>
      </c>
      <c r="G2004" s="1096">
        <v>63.6</v>
      </c>
      <c r="H2004" s="1096" t="s">
        <v>9333</v>
      </c>
      <c r="I2004" s="871">
        <v>46295.865464537041</v>
      </c>
      <c r="J2004" s="1096" t="s">
        <v>9969</v>
      </c>
      <c r="K2004" s="975" t="str">
        <f>IF(COUNTIFS(tblControles[Clave],tblControles[[#This Row],[Clave]])&gt;1,"Duplicado","")</f>
        <v/>
      </c>
    </row>
    <row r="2005" spans="2:11">
      <c r="B2005" s="975" t="str">
        <f>tblControles[[#This Row],[Fecha]]&amp;"|"&amp;tblControles[[#This Row],[Módulo]]&amp;"|"&amp;tblControles[[#This Row],[Ítem]]&amp;"|"&amp;tblControles[[#This Row],[Turno]]</f>
        <v>46273|CARGA MOLINOS|BM - 1|% carga</v>
      </c>
      <c r="C2005" s="871">
        <v>46273</v>
      </c>
      <c r="D2005" s="1096" t="s">
        <v>9455</v>
      </c>
      <c r="E2005" s="1096" t="s">
        <v>444</v>
      </c>
      <c r="F2005" s="1096" t="s">
        <v>9457</v>
      </c>
      <c r="G2005" s="1096">
        <v>91</v>
      </c>
      <c r="H2005" s="1096" t="s">
        <v>9333</v>
      </c>
      <c r="I2005" s="871">
        <v>46295.865464537041</v>
      </c>
      <c r="J2005" s="1096" t="s">
        <v>9969</v>
      </c>
      <c r="K2005" s="975" t="str">
        <f>IF(COUNTIFS(tblControles[Clave],tblControles[[#This Row],[Clave]])&gt;1,"Duplicado","")</f>
        <v/>
      </c>
    </row>
    <row r="2006" spans="2:11">
      <c r="B2006" s="975" t="str">
        <f>tblControles[[#This Row],[Fecha]]&amp;"|"&amp;tblControles[[#This Row],[Módulo]]&amp;"|"&amp;tblControles[[#This Row],[Ítem]]&amp;"|"&amp;tblControles[[#This Row],[Turno]]</f>
        <v>46273|CARGA MOLINOS|BM - 2|% carga</v>
      </c>
      <c r="C2006" s="871">
        <v>46273</v>
      </c>
      <c r="D2006" s="1096" t="s">
        <v>9455</v>
      </c>
      <c r="E2006" s="1096" t="s">
        <v>9519</v>
      </c>
      <c r="F2006" s="1096" t="s">
        <v>9457</v>
      </c>
      <c r="G2006" s="1096">
        <v>91.1</v>
      </c>
      <c r="H2006" s="1096" t="s">
        <v>9333</v>
      </c>
      <c r="I2006" s="871">
        <v>46295.865464537041</v>
      </c>
      <c r="J2006" s="1096" t="s">
        <v>9969</v>
      </c>
      <c r="K2006" s="975" t="str">
        <f>IF(COUNTIFS(tblControles[Clave],tblControles[[#This Row],[Clave]])&gt;1,"Duplicado","")</f>
        <v/>
      </c>
    </row>
    <row r="2007" spans="2:11">
      <c r="B2007" s="975" t="str">
        <f>tblControles[[#This Row],[Fecha]]&amp;"|"&amp;tblControles[[#This Row],[Módulo]]&amp;"|"&amp;tblControles[[#This Row],[Ítem]]&amp;"|"&amp;tblControles[[#This Row],[Turno]]</f>
        <v>46273|CARGA MOLINOS|BM - 3|% carga</v>
      </c>
      <c r="C2007" s="871">
        <v>46273</v>
      </c>
      <c r="D2007" s="1096" t="s">
        <v>9455</v>
      </c>
      <c r="E2007" s="1096" t="s">
        <v>445</v>
      </c>
      <c r="F2007" s="1096" t="s">
        <v>9457</v>
      </c>
      <c r="G2007" s="1096">
        <v>88</v>
      </c>
      <c r="H2007" s="1096" t="s">
        <v>9333</v>
      </c>
      <c r="I2007" s="871">
        <v>46295.865464537041</v>
      </c>
      <c r="J2007" s="1096" t="s">
        <v>9969</v>
      </c>
      <c r="K2007" s="975" t="str">
        <f>IF(COUNTIFS(tblControles[Clave],tblControles[[#This Row],[Clave]])&gt;1,"Duplicado","")</f>
        <v/>
      </c>
    </row>
    <row r="2008" spans="2:11">
      <c r="B2008" s="975" t="str">
        <f>tblControles[[#This Row],[Fecha]]&amp;"|"&amp;tblControles[[#This Row],[Módulo]]&amp;"|"&amp;tblControles[[#This Row],[Ítem]]&amp;"|"&amp;tblControles[[#This Row],[Turno]]</f>
        <v>46273|CARGA MOLINOS|BM - 4|% carga</v>
      </c>
      <c r="C2008" s="871">
        <v>46273</v>
      </c>
      <c r="D2008" s="1096" t="s">
        <v>9455</v>
      </c>
      <c r="E2008" s="1096" t="s">
        <v>446</v>
      </c>
      <c r="F2008" s="1096" t="s">
        <v>9457</v>
      </c>
      <c r="G2008" s="1096">
        <v>95.9</v>
      </c>
      <c r="H2008" s="1096" t="s">
        <v>9333</v>
      </c>
      <c r="I2008" s="871">
        <v>46295.865464537041</v>
      </c>
      <c r="J2008" s="1096" t="s">
        <v>9969</v>
      </c>
      <c r="K2008" s="975" t="str">
        <f>IF(COUNTIFS(tblControles[Clave],tblControles[[#This Row],[Clave]])&gt;1,"Duplicado","")</f>
        <v/>
      </c>
    </row>
    <row r="2009" spans="2:11">
      <c r="B2009" s="975" t="str">
        <f>tblControles[[#This Row],[Fecha]]&amp;"|"&amp;tblControles[[#This Row],[Módulo]]&amp;"|"&amp;tblControles[[#This Row],[Ítem]]&amp;"|"&amp;tblControles[[#This Row],[Turno]]</f>
        <v>46273|CARGA MOLINOS|BM - 6|% carga</v>
      </c>
      <c r="C2009" s="871">
        <v>46273</v>
      </c>
      <c r="D2009" s="1096" t="s">
        <v>9455</v>
      </c>
      <c r="E2009" s="1096" t="s">
        <v>448</v>
      </c>
      <c r="F2009" s="1096" t="s">
        <v>9457</v>
      </c>
      <c r="G2009" s="1096">
        <v>94.4</v>
      </c>
      <c r="H2009" s="1096" t="s">
        <v>9333</v>
      </c>
      <c r="I2009" s="871">
        <v>46295.865464537041</v>
      </c>
      <c r="J2009" s="1096" t="s">
        <v>9969</v>
      </c>
      <c r="K2009" s="975" t="str">
        <f>IF(COUNTIFS(tblControles[Clave],tblControles[[#This Row],[Clave]])&gt;1,"Duplicado","")</f>
        <v/>
      </c>
    </row>
    <row r="2010" spans="2:11">
      <c r="B2010" s="975" t="str">
        <f>tblControles[[#This Row],[Fecha]]&amp;"|"&amp;tblControles[[#This Row],[Módulo]]&amp;"|"&amp;tblControles[[#This Row],[Ítem]]&amp;"|"&amp;tblControles[[#This Row],[Turno]]</f>
        <v>46273|CARGA MOLINOS|BM - 7|% carga</v>
      </c>
      <c r="C2010" s="871">
        <v>46273</v>
      </c>
      <c r="D2010" s="1096" t="s">
        <v>9455</v>
      </c>
      <c r="E2010" s="1096" t="s">
        <v>449</v>
      </c>
      <c r="F2010" s="1096" t="s">
        <v>9457</v>
      </c>
      <c r="G2010" s="1096">
        <v>87.8</v>
      </c>
      <c r="H2010" s="1096" t="s">
        <v>9333</v>
      </c>
      <c r="I2010" s="871">
        <v>46295.865464537041</v>
      </c>
      <c r="J2010" s="1096" t="s">
        <v>9969</v>
      </c>
      <c r="K2010" s="975" t="str">
        <f>IF(COUNTIFS(tblControles[Clave],tblControles[[#This Row],[Clave]])&gt;1,"Duplicado","")</f>
        <v/>
      </c>
    </row>
    <row r="2011" spans="2:11">
      <c r="B2011" s="975" t="str">
        <f>tblControles[[#This Row],[Fecha]]&amp;"|"&amp;tblControles[[#This Row],[Módulo]]&amp;"|"&amp;tblControles[[#This Row],[Ítem]]&amp;"|"&amp;tblControles[[#This Row],[Turno]]</f>
        <v>46273|CARGA MOLINOS|BM - 8|% carga</v>
      </c>
      <c r="C2011" s="871">
        <v>46273</v>
      </c>
      <c r="D2011" s="1096" t="s">
        <v>9455</v>
      </c>
      <c r="E2011" s="1096" t="s">
        <v>450</v>
      </c>
      <c r="F2011" s="1096" t="s">
        <v>9457</v>
      </c>
      <c r="G2011" s="1096">
        <v>90.8</v>
      </c>
      <c r="H2011" s="1096" t="s">
        <v>9333</v>
      </c>
      <c r="I2011" s="871">
        <v>46295.865464537041</v>
      </c>
      <c r="J2011" s="1096" t="s">
        <v>9969</v>
      </c>
      <c r="K2011" s="975" t="str">
        <f>IF(COUNTIFS(tblControles[Clave],tblControles[[#This Row],[Clave]])&gt;1,"Duplicado","")</f>
        <v/>
      </c>
    </row>
    <row r="2012" spans="2:11">
      <c r="B2012" s="975" t="str">
        <f>tblControles[[#This Row],[Fecha]]&amp;"|"&amp;tblControles[[#This Row],[Módulo]]&amp;"|"&amp;tblControles[[#This Row],[Ítem]]&amp;"|"&amp;tblControles[[#This Row],[Turno]]</f>
        <v>46273|CARGA MOLINOS|BM - 9|% carga</v>
      </c>
      <c r="C2012" s="871">
        <v>46273</v>
      </c>
      <c r="D2012" s="1096" t="s">
        <v>9455</v>
      </c>
      <c r="E2012" s="1096" t="s">
        <v>451</v>
      </c>
      <c r="F2012" s="1096" t="s">
        <v>9457</v>
      </c>
      <c r="G2012" s="1096">
        <v>77.7</v>
      </c>
      <c r="H2012" s="1096" t="s">
        <v>9333</v>
      </c>
      <c r="I2012" s="871">
        <v>46295.865464537041</v>
      </c>
      <c r="J2012" s="1096" t="s">
        <v>9969</v>
      </c>
      <c r="K2012" s="975" t="str">
        <f>IF(COUNTIFS(tblControles[Clave],tblControles[[#This Row],[Clave]])&gt;1,"Duplicado","")</f>
        <v/>
      </c>
    </row>
    <row r="2013" spans="2:11">
      <c r="B2013" s="975" t="str">
        <f>tblControles[[#This Row],[Fecha]]&amp;"|"&amp;tblControles[[#This Row],[Módulo]]&amp;"|"&amp;tblControles[[#This Row],[Ítem]]&amp;"|"&amp;tblControles[[#This Row],[Turno]]</f>
        <v>46273|CARGA MOLINOS|BM - 10|% carga</v>
      </c>
      <c r="C2013" s="871">
        <v>46273</v>
      </c>
      <c r="D2013" s="1096" t="s">
        <v>9455</v>
      </c>
      <c r="E2013" s="1096" t="s">
        <v>452</v>
      </c>
      <c r="F2013" s="1096" t="s">
        <v>9457</v>
      </c>
      <c r="G2013" s="1096">
        <v>89.2</v>
      </c>
      <c r="H2013" s="1096" t="s">
        <v>9333</v>
      </c>
      <c r="I2013" s="871">
        <v>46295.865464537041</v>
      </c>
      <c r="J2013" s="1096" t="s">
        <v>9969</v>
      </c>
      <c r="K2013" s="975" t="str">
        <f>IF(COUNTIFS(tblControles[Clave],tblControles[[#This Row],[Clave]])&gt;1,"Duplicado","")</f>
        <v/>
      </c>
    </row>
    <row r="2014" spans="2:11">
      <c r="B2014" s="975" t="str">
        <f>tblControles[[#This Row],[Fecha]]&amp;"|"&amp;tblControles[[#This Row],[Módulo]]&amp;"|"&amp;tblControles[[#This Row],[Ítem]]&amp;"|"&amp;tblControles[[#This Row],[Turno]]</f>
        <v>46274|CARGA MOLINOS|RM - 1|% carga</v>
      </c>
      <c r="C2014" s="871">
        <v>46274</v>
      </c>
      <c r="D2014" s="1096" t="s">
        <v>9455</v>
      </c>
      <c r="E2014" s="1096" t="s">
        <v>435</v>
      </c>
      <c r="F2014" s="1096" t="s">
        <v>9457</v>
      </c>
      <c r="G2014" s="1096">
        <v>91.4</v>
      </c>
      <c r="H2014" s="1096" t="s">
        <v>9333</v>
      </c>
      <c r="I2014" s="871">
        <v>46295.865464537041</v>
      </c>
      <c r="J2014" s="1096" t="s">
        <v>9969</v>
      </c>
      <c r="K2014" s="975" t="str">
        <f>IF(COUNTIFS(tblControles[Clave],tblControles[[#This Row],[Clave]])&gt;1,"Duplicado","")</f>
        <v/>
      </c>
    </row>
    <row r="2015" spans="2:11">
      <c r="B2015" s="975" t="str">
        <f>tblControles[[#This Row],[Fecha]]&amp;"|"&amp;tblControles[[#This Row],[Módulo]]&amp;"|"&amp;tblControles[[#This Row],[Ítem]]&amp;"|"&amp;tblControles[[#This Row],[Turno]]</f>
        <v>46274|CARGA MOLINOS|RM - 2|% carga</v>
      </c>
      <c r="C2015" s="871">
        <v>46274</v>
      </c>
      <c r="D2015" s="1096" t="s">
        <v>9455</v>
      </c>
      <c r="E2015" s="1096" t="s">
        <v>436</v>
      </c>
      <c r="F2015" s="1096" t="s">
        <v>9457</v>
      </c>
      <c r="G2015" s="1096">
        <v>92.5</v>
      </c>
      <c r="H2015" s="1096" t="s">
        <v>9333</v>
      </c>
      <c r="I2015" s="871">
        <v>46295.865464537041</v>
      </c>
      <c r="J2015" s="1096" t="s">
        <v>9969</v>
      </c>
      <c r="K2015" s="975" t="str">
        <f>IF(COUNTIFS(tblControles[Clave],tblControles[[#This Row],[Clave]])&gt;1,"Duplicado","")</f>
        <v/>
      </c>
    </row>
    <row r="2016" spans="2:11">
      <c r="B2016" s="975" t="str">
        <f>tblControles[[#This Row],[Fecha]]&amp;"|"&amp;tblControles[[#This Row],[Módulo]]&amp;"|"&amp;tblControles[[#This Row],[Ítem]]&amp;"|"&amp;tblControles[[#This Row],[Turno]]</f>
        <v>46274|CARGA MOLINOS|RM - 3|% carga</v>
      </c>
      <c r="C2016" s="871">
        <v>46274</v>
      </c>
      <c r="D2016" s="1096" t="s">
        <v>9455</v>
      </c>
      <c r="E2016" s="1096" t="s">
        <v>437</v>
      </c>
      <c r="F2016" s="1096" t="s">
        <v>9457</v>
      </c>
      <c r="G2016" s="1096">
        <v>93.9</v>
      </c>
      <c r="H2016" s="1096" t="s">
        <v>9333</v>
      </c>
      <c r="I2016" s="871">
        <v>46295.865464537041</v>
      </c>
      <c r="J2016" s="1096" t="s">
        <v>9969</v>
      </c>
      <c r="K2016" s="975" t="str">
        <f>IF(COUNTIFS(tblControles[Clave],tblControles[[#This Row],[Clave]])&gt;1,"Duplicado","")</f>
        <v/>
      </c>
    </row>
    <row r="2017" spans="2:11">
      <c r="B2017" s="975" t="str">
        <f>tblControles[[#This Row],[Fecha]]&amp;"|"&amp;tblControles[[#This Row],[Módulo]]&amp;"|"&amp;tblControles[[#This Row],[Ítem]]&amp;"|"&amp;tblControles[[#This Row],[Turno]]</f>
        <v>46274|CARGA MOLINOS|RM - 5|% carga</v>
      </c>
      <c r="C2017" s="871">
        <v>46274</v>
      </c>
      <c r="D2017" s="1096" t="s">
        <v>9455</v>
      </c>
      <c r="E2017" s="1096" t="s">
        <v>439</v>
      </c>
      <c r="F2017" s="1096" t="s">
        <v>9457</v>
      </c>
      <c r="G2017" s="1096">
        <v>88.9</v>
      </c>
      <c r="H2017" s="1096" t="s">
        <v>9333</v>
      </c>
      <c r="I2017" s="871">
        <v>46295.865464537041</v>
      </c>
      <c r="J2017" s="1096" t="s">
        <v>9969</v>
      </c>
      <c r="K2017" s="975" t="str">
        <f>IF(COUNTIFS(tblControles[Clave],tblControles[[#This Row],[Clave]])&gt;1,"Duplicado","")</f>
        <v/>
      </c>
    </row>
    <row r="2018" spans="2:11">
      <c r="B2018" s="975" t="str">
        <f>tblControles[[#This Row],[Fecha]]&amp;"|"&amp;tblControles[[#This Row],[Módulo]]&amp;"|"&amp;tblControles[[#This Row],[Ítem]]&amp;"|"&amp;tblControles[[#This Row],[Turno]]</f>
        <v>46274|CARGA MOLINOS|RM - 6|% carga</v>
      </c>
      <c r="C2018" s="871">
        <v>46274</v>
      </c>
      <c r="D2018" s="1096" t="s">
        <v>9455</v>
      </c>
      <c r="E2018" s="1096" t="s">
        <v>440</v>
      </c>
      <c r="F2018" s="1096" t="s">
        <v>9457</v>
      </c>
      <c r="G2018" s="1096">
        <v>90.6</v>
      </c>
      <c r="H2018" s="1096" t="s">
        <v>9333</v>
      </c>
      <c r="I2018" s="871">
        <v>46295.865464537041</v>
      </c>
      <c r="J2018" s="1096" t="s">
        <v>9969</v>
      </c>
      <c r="K2018" s="975" t="str">
        <f>IF(COUNTIFS(tblControles[Clave],tblControles[[#This Row],[Clave]])&gt;1,"Duplicado","")</f>
        <v/>
      </c>
    </row>
    <row r="2019" spans="2:11">
      <c r="B2019" s="975" t="str">
        <f>tblControles[[#This Row],[Fecha]]&amp;"|"&amp;tblControles[[#This Row],[Módulo]]&amp;"|"&amp;tblControles[[#This Row],[Ítem]]&amp;"|"&amp;tblControles[[#This Row],[Turno]]</f>
        <v>46274|CARGA MOLINOS|RM - 7|% carga</v>
      </c>
      <c r="C2019" s="871">
        <v>46274</v>
      </c>
      <c r="D2019" s="1096" t="s">
        <v>9455</v>
      </c>
      <c r="E2019" s="1096" t="s">
        <v>441</v>
      </c>
      <c r="F2019" s="1096" t="s">
        <v>9457</v>
      </c>
      <c r="G2019" s="1096">
        <v>90</v>
      </c>
      <c r="H2019" s="1096" t="s">
        <v>9333</v>
      </c>
      <c r="I2019" s="871">
        <v>46295.865464537041</v>
      </c>
      <c r="J2019" s="1096" t="s">
        <v>9969</v>
      </c>
      <c r="K2019" s="975" t="str">
        <f>IF(COUNTIFS(tblControles[Clave],tblControles[[#This Row],[Clave]])&gt;1,"Duplicado","")</f>
        <v/>
      </c>
    </row>
    <row r="2020" spans="2:11">
      <c r="B2020" s="975" t="str">
        <f>tblControles[[#This Row],[Fecha]]&amp;"|"&amp;tblControles[[#This Row],[Módulo]]&amp;"|"&amp;tblControles[[#This Row],[Ítem]]&amp;"|"&amp;tblControles[[#This Row],[Turno]]</f>
        <v>46274|CARGA MOLINOS|RM - 8|% carga</v>
      </c>
      <c r="C2020" s="871">
        <v>46274</v>
      </c>
      <c r="D2020" s="1096" t="s">
        <v>9455</v>
      </c>
      <c r="E2020" s="1096" t="s">
        <v>442</v>
      </c>
      <c r="F2020" s="1096" t="s">
        <v>9457</v>
      </c>
      <c r="G2020" s="1096">
        <v>93.5</v>
      </c>
      <c r="H2020" s="1096" t="s">
        <v>9333</v>
      </c>
      <c r="I2020" s="871">
        <v>46295.865464537041</v>
      </c>
      <c r="J2020" s="1096" t="s">
        <v>9969</v>
      </c>
      <c r="K2020" s="975" t="str">
        <f>IF(COUNTIFS(tblControles[Clave],tblControles[[#This Row],[Clave]])&gt;1,"Duplicado","")</f>
        <v/>
      </c>
    </row>
    <row r="2021" spans="2:11">
      <c r="B2021" s="975" t="str">
        <f>tblControles[[#This Row],[Fecha]]&amp;"|"&amp;tblControles[[#This Row],[Módulo]]&amp;"|"&amp;tblControles[[#This Row],[Ítem]]&amp;"|"&amp;tblControles[[#This Row],[Turno]]</f>
        <v>46274|CARGA MOLINOS|RM - 9|% carga</v>
      </c>
      <c r="C2021" s="871">
        <v>46274</v>
      </c>
      <c r="D2021" s="1096" t="s">
        <v>9455</v>
      </c>
      <c r="E2021" s="1096" t="s">
        <v>443</v>
      </c>
      <c r="F2021" s="1096" t="s">
        <v>9457</v>
      </c>
      <c r="G2021" s="1096">
        <v>64.900000000000006</v>
      </c>
      <c r="H2021" s="1096" t="s">
        <v>9333</v>
      </c>
      <c r="I2021" s="871">
        <v>46295.865464537041</v>
      </c>
      <c r="J2021" s="1096" t="s">
        <v>9969</v>
      </c>
      <c r="K2021" s="975" t="str">
        <f>IF(COUNTIFS(tblControles[Clave],tblControles[[#This Row],[Clave]])&gt;1,"Duplicado","")</f>
        <v/>
      </c>
    </row>
    <row r="2022" spans="2:11">
      <c r="B2022" s="975" t="str">
        <f>tblControles[[#This Row],[Fecha]]&amp;"|"&amp;tblControles[[#This Row],[Módulo]]&amp;"|"&amp;tblControles[[#This Row],[Ítem]]&amp;"|"&amp;tblControles[[#This Row],[Turno]]</f>
        <v>46274|CARGA MOLINOS|BM - 1|% carga</v>
      </c>
      <c r="C2022" s="871">
        <v>46274</v>
      </c>
      <c r="D2022" s="1096" t="s">
        <v>9455</v>
      </c>
      <c r="E2022" s="1096" t="s">
        <v>444</v>
      </c>
      <c r="F2022" s="1096" t="s">
        <v>9457</v>
      </c>
      <c r="G2022" s="1096">
        <v>90.9</v>
      </c>
      <c r="H2022" s="1096" t="s">
        <v>9333</v>
      </c>
      <c r="I2022" s="871">
        <v>46295.865464537041</v>
      </c>
      <c r="J2022" s="1096" t="s">
        <v>9969</v>
      </c>
      <c r="K2022" s="975" t="str">
        <f>IF(COUNTIFS(tblControles[Clave],tblControles[[#This Row],[Clave]])&gt;1,"Duplicado","")</f>
        <v/>
      </c>
    </row>
    <row r="2023" spans="2:11">
      <c r="B2023" s="975" t="str">
        <f>tblControles[[#This Row],[Fecha]]&amp;"|"&amp;tblControles[[#This Row],[Módulo]]&amp;"|"&amp;tblControles[[#This Row],[Ítem]]&amp;"|"&amp;tblControles[[#This Row],[Turno]]</f>
        <v>46274|CARGA MOLINOS|BM - 2|% carga</v>
      </c>
      <c r="C2023" s="871">
        <v>46274</v>
      </c>
      <c r="D2023" s="1096" t="s">
        <v>9455</v>
      </c>
      <c r="E2023" s="1096" t="s">
        <v>9519</v>
      </c>
      <c r="F2023" s="1096" t="s">
        <v>9457</v>
      </c>
      <c r="G2023" s="1096">
        <v>91.8</v>
      </c>
      <c r="H2023" s="1096" t="s">
        <v>9333</v>
      </c>
      <c r="I2023" s="871">
        <v>46295.865464537041</v>
      </c>
      <c r="J2023" s="1096" t="s">
        <v>9969</v>
      </c>
      <c r="K2023" s="975" t="str">
        <f>IF(COUNTIFS(tblControles[Clave],tblControles[[#This Row],[Clave]])&gt;1,"Duplicado","")</f>
        <v/>
      </c>
    </row>
    <row r="2024" spans="2:11">
      <c r="B2024" s="975" t="str">
        <f>tblControles[[#This Row],[Fecha]]&amp;"|"&amp;tblControles[[#This Row],[Módulo]]&amp;"|"&amp;tblControles[[#This Row],[Ítem]]&amp;"|"&amp;tblControles[[#This Row],[Turno]]</f>
        <v>46274|CARGA MOLINOS|BM - 3|% carga</v>
      </c>
      <c r="C2024" s="871">
        <v>46274</v>
      </c>
      <c r="D2024" s="1096" t="s">
        <v>9455</v>
      </c>
      <c r="E2024" s="1096" t="s">
        <v>445</v>
      </c>
      <c r="F2024" s="1096" t="s">
        <v>9457</v>
      </c>
      <c r="G2024" s="1096">
        <v>89.8</v>
      </c>
      <c r="H2024" s="1096" t="s">
        <v>9333</v>
      </c>
      <c r="I2024" s="871">
        <v>46295.865464537041</v>
      </c>
      <c r="J2024" s="1096" t="s">
        <v>9969</v>
      </c>
      <c r="K2024" s="975" t="str">
        <f>IF(COUNTIFS(tblControles[Clave],tblControles[[#This Row],[Clave]])&gt;1,"Duplicado","")</f>
        <v/>
      </c>
    </row>
    <row r="2025" spans="2:11">
      <c r="B2025" s="975" t="str">
        <f>tblControles[[#This Row],[Fecha]]&amp;"|"&amp;tblControles[[#This Row],[Módulo]]&amp;"|"&amp;tblControles[[#This Row],[Ítem]]&amp;"|"&amp;tblControles[[#This Row],[Turno]]</f>
        <v>46274|CARGA MOLINOS|BM - 4|% carga</v>
      </c>
      <c r="C2025" s="871">
        <v>46274</v>
      </c>
      <c r="D2025" s="1096" t="s">
        <v>9455</v>
      </c>
      <c r="E2025" s="1096" t="s">
        <v>446</v>
      </c>
      <c r="F2025" s="1096" t="s">
        <v>9457</v>
      </c>
      <c r="G2025" s="1096">
        <v>95.4</v>
      </c>
      <c r="H2025" s="1096" t="s">
        <v>9333</v>
      </c>
      <c r="I2025" s="871">
        <v>46295.865464537041</v>
      </c>
      <c r="J2025" s="1096" t="s">
        <v>9969</v>
      </c>
      <c r="K2025" s="975" t="str">
        <f>IF(COUNTIFS(tblControles[Clave],tblControles[[#This Row],[Clave]])&gt;1,"Duplicado","")</f>
        <v/>
      </c>
    </row>
    <row r="2026" spans="2:11">
      <c r="B2026" s="975" t="str">
        <f>tblControles[[#This Row],[Fecha]]&amp;"|"&amp;tblControles[[#This Row],[Módulo]]&amp;"|"&amp;tblControles[[#This Row],[Ítem]]&amp;"|"&amp;tblControles[[#This Row],[Turno]]</f>
        <v>46274|CARGA MOLINOS|BM - 5|% carga</v>
      </c>
      <c r="C2026" s="871">
        <v>46274</v>
      </c>
      <c r="D2026" s="1096" t="s">
        <v>9455</v>
      </c>
      <c r="E2026" s="1096" t="s">
        <v>447</v>
      </c>
      <c r="F2026" s="1096" t="s">
        <v>9457</v>
      </c>
      <c r="G2026" s="1096">
        <v>88.3</v>
      </c>
      <c r="H2026" s="1096" t="s">
        <v>9333</v>
      </c>
      <c r="I2026" s="871">
        <v>46295.865464537041</v>
      </c>
      <c r="J2026" s="1096" t="s">
        <v>9969</v>
      </c>
      <c r="K2026" s="975" t="str">
        <f>IF(COUNTIFS(tblControles[Clave],tblControles[[#This Row],[Clave]])&gt;1,"Duplicado","")</f>
        <v/>
      </c>
    </row>
    <row r="2027" spans="2:11">
      <c r="B2027" s="975" t="str">
        <f>tblControles[[#This Row],[Fecha]]&amp;"|"&amp;tblControles[[#This Row],[Módulo]]&amp;"|"&amp;tblControles[[#This Row],[Ítem]]&amp;"|"&amp;tblControles[[#This Row],[Turno]]</f>
        <v>46274|CARGA MOLINOS|BM - 6|% carga</v>
      </c>
      <c r="C2027" s="871">
        <v>46274</v>
      </c>
      <c r="D2027" s="1096" t="s">
        <v>9455</v>
      </c>
      <c r="E2027" s="1096" t="s">
        <v>448</v>
      </c>
      <c r="F2027" s="1096" t="s">
        <v>9457</v>
      </c>
      <c r="G2027" s="1096">
        <v>94.2</v>
      </c>
      <c r="H2027" s="1096" t="s">
        <v>9333</v>
      </c>
      <c r="I2027" s="871">
        <v>46295.865464537041</v>
      </c>
      <c r="J2027" s="1096" t="s">
        <v>9969</v>
      </c>
      <c r="K2027" s="975" t="str">
        <f>IF(COUNTIFS(tblControles[Clave],tblControles[[#This Row],[Clave]])&gt;1,"Duplicado","")</f>
        <v/>
      </c>
    </row>
    <row r="2028" spans="2:11">
      <c r="B2028" s="975" t="str">
        <f>tblControles[[#This Row],[Fecha]]&amp;"|"&amp;tblControles[[#This Row],[Módulo]]&amp;"|"&amp;tblControles[[#This Row],[Ítem]]&amp;"|"&amp;tblControles[[#This Row],[Turno]]</f>
        <v>46274|CARGA MOLINOS|BM - 7|% carga</v>
      </c>
      <c r="C2028" s="871">
        <v>46274</v>
      </c>
      <c r="D2028" s="1096" t="s">
        <v>9455</v>
      </c>
      <c r="E2028" s="1096" t="s">
        <v>449</v>
      </c>
      <c r="F2028" s="1096" t="s">
        <v>9457</v>
      </c>
      <c r="G2028" s="1096">
        <v>91.9</v>
      </c>
      <c r="H2028" s="1096" t="s">
        <v>9333</v>
      </c>
      <c r="I2028" s="871">
        <v>46295.865464537041</v>
      </c>
      <c r="J2028" s="1096" t="s">
        <v>9969</v>
      </c>
      <c r="K2028" s="975" t="str">
        <f>IF(COUNTIFS(tblControles[Clave],tblControles[[#This Row],[Clave]])&gt;1,"Duplicado","")</f>
        <v/>
      </c>
    </row>
    <row r="2029" spans="2:11">
      <c r="B2029" s="975" t="str">
        <f>tblControles[[#This Row],[Fecha]]&amp;"|"&amp;tblControles[[#This Row],[Módulo]]&amp;"|"&amp;tblControles[[#This Row],[Ítem]]&amp;"|"&amp;tblControles[[#This Row],[Turno]]</f>
        <v>46274|CARGA MOLINOS|BM - 8|% carga</v>
      </c>
      <c r="C2029" s="871">
        <v>46274</v>
      </c>
      <c r="D2029" s="1096" t="s">
        <v>9455</v>
      </c>
      <c r="E2029" s="1096" t="s">
        <v>450</v>
      </c>
      <c r="F2029" s="1096" t="s">
        <v>9457</v>
      </c>
      <c r="G2029" s="1096">
        <v>90.2</v>
      </c>
      <c r="H2029" s="1096" t="s">
        <v>9333</v>
      </c>
      <c r="I2029" s="871">
        <v>46295.865464537041</v>
      </c>
      <c r="J2029" s="1096" t="s">
        <v>9969</v>
      </c>
      <c r="K2029" s="975" t="str">
        <f>IF(COUNTIFS(tblControles[Clave],tblControles[[#This Row],[Clave]])&gt;1,"Duplicado","")</f>
        <v/>
      </c>
    </row>
    <row r="2030" spans="2:11">
      <c r="B2030" s="975" t="str">
        <f>tblControles[[#This Row],[Fecha]]&amp;"|"&amp;tblControles[[#This Row],[Módulo]]&amp;"|"&amp;tblControles[[#This Row],[Ítem]]&amp;"|"&amp;tblControles[[#This Row],[Turno]]</f>
        <v>46274|CARGA MOLINOS|BM - 9|% carga</v>
      </c>
      <c r="C2030" s="871">
        <v>46274</v>
      </c>
      <c r="D2030" s="1096" t="s">
        <v>9455</v>
      </c>
      <c r="E2030" s="1096" t="s">
        <v>451</v>
      </c>
      <c r="F2030" s="1096" t="s">
        <v>9457</v>
      </c>
      <c r="G2030" s="1096">
        <v>79.099999999999994</v>
      </c>
      <c r="H2030" s="1096" t="s">
        <v>9333</v>
      </c>
      <c r="I2030" s="871">
        <v>46295.865464537041</v>
      </c>
      <c r="J2030" s="1096" t="s">
        <v>9969</v>
      </c>
      <c r="K2030" s="975" t="str">
        <f>IF(COUNTIFS(tblControles[Clave],tblControles[[#This Row],[Clave]])&gt;1,"Duplicado","")</f>
        <v/>
      </c>
    </row>
    <row r="2031" spans="2:11">
      <c r="B2031" s="975" t="str">
        <f>tblControles[[#This Row],[Fecha]]&amp;"|"&amp;tblControles[[#This Row],[Módulo]]&amp;"|"&amp;tblControles[[#This Row],[Ítem]]&amp;"|"&amp;tblControles[[#This Row],[Turno]]</f>
        <v>46274|CARGA MOLINOS|BM - 10|% carga</v>
      </c>
      <c r="C2031" s="871">
        <v>46274</v>
      </c>
      <c r="D2031" s="1096" t="s">
        <v>9455</v>
      </c>
      <c r="E2031" s="1096" t="s">
        <v>452</v>
      </c>
      <c r="F2031" s="1096" t="s">
        <v>9457</v>
      </c>
      <c r="G2031" s="1096">
        <v>87.4</v>
      </c>
      <c r="H2031" s="1096" t="s">
        <v>9333</v>
      </c>
      <c r="I2031" s="871">
        <v>46295.865464537041</v>
      </c>
      <c r="J2031" s="1096" t="s">
        <v>9969</v>
      </c>
      <c r="K2031" s="975" t="str">
        <f>IF(COUNTIFS(tblControles[Clave],tblControles[[#This Row],[Clave]])&gt;1,"Duplicado","")</f>
        <v/>
      </c>
    </row>
    <row r="2032" spans="2:11">
      <c r="B2032" s="975" t="str">
        <f>tblControles[[#This Row],[Fecha]]&amp;"|"&amp;tblControles[[#This Row],[Módulo]]&amp;"|"&amp;tblControles[[#This Row],[Ítem]]&amp;"|"&amp;tblControles[[#This Row],[Turno]]</f>
        <v>46275|CARGA MOLINOS|RM - 1|% carga</v>
      </c>
      <c r="C2032" s="871">
        <v>46275</v>
      </c>
      <c r="D2032" s="1096" t="s">
        <v>9455</v>
      </c>
      <c r="E2032" s="1096" t="s">
        <v>435</v>
      </c>
      <c r="F2032" s="1096" t="s">
        <v>9457</v>
      </c>
      <c r="G2032" s="1096">
        <v>95</v>
      </c>
      <c r="H2032" s="1096" t="s">
        <v>9333</v>
      </c>
      <c r="I2032" s="871">
        <v>46295.865464537041</v>
      </c>
      <c r="J2032" s="1096" t="s">
        <v>9969</v>
      </c>
      <c r="K2032" s="975" t="str">
        <f>IF(COUNTIFS(tblControles[Clave],tblControles[[#This Row],[Clave]])&gt;1,"Duplicado","")</f>
        <v/>
      </c>
    </row>
    <row r="2033" spans="2:11">
      <c r="B2033" s="975" t="str">
        <f>tblControles[[#This Row],[Fecha]]&amp;"|"&amp;tblControles[[#This Row],[Módulo]]&amp;"|"&amp;tblControles[[#This Row],[Ítem]]&amp;"|"&amp;tblControles[[#This Row],[Turno]]</f>
        <v>46275|CARGA MOLINOS|RM - 2|% carga</v>
      </c>
      <c r="C2033" s="871">
        <v>46275</v>
      </c>
      <c r="D2033" s="1096" t="s">
        <v>9455</v>
      </c>
      <c r="E2033" s="1096" t="s">
        <v>436</v>
      </c>
      <c r="F2033" s="1096" t="s">
        <v>9457</v>
      </c>
      <c r="G2033" s="1096">
        <v>89.5</v>
      </c>
      <c r="H2033" s="1096" t="s">
        <v>9333</v>
      </c>
      <c r="I2033" s="871">
        <v>46295.865464537041</v>
      </c>
      <c r="J2033" s="1096" t="s">
        <v>9969</v>
      </c>
      <c r="K2033" s="975" t="str">
        <f>IF(COUNTIFS(tblControles[Clave],tblControles[[#This Row],[Clave]])&gt;1,"Duplicado","")</f>
        <v/>
      </c>
    </row>
    <row r="2034" spans="2:11">
      <c r="B2034" s="975" t="str">
        <f>tblControles[[#This Row],[Fecha]]&amp;"|"&amp;tblControles[[#This Row],[Módulo]]&amp;"|"&amp;tblControles[[#This Row],[Ítem]]&amp;"|"&amp;tblControles[[#This Row],[Turno]]</f>
        <v>46275|CARGA MOLINOS|RM - 3|% carga</v>
      </c>
      <c r="C2034" s="871">
        <v>46275</v>
      </c>
      <c r="D2034" s="1096" t="s">
        <v>9455</v>
      </c>
      <c r="E2034" s="1096" t="s">
        <v>437</v>
      </c>
      <c r="F2034" s="1096" t="s">
        <v>9457</v>
      </c>
      <c r="G2034" s="1096">
        <v>91.8</v>
      </c>
      <c r="H2034" s="1096" t="s">
        <v>9333</v>
      </c>
      <c r="I2034" s="871">
        <v>46295.865464537041</v>
      </c>
      <c r="J2034" s="1096" t="s">
        <v>9969</v>
      </c>
      <c r="K2034" s="975" t="str">
        <f>IF(COUNTIFS(tblControles[Clave],tblControles[[#This Row],[Clave]])&gt;1,"Duplicado","")</f>
        <v/>
      </c>
    </row>
    <row r="2035" spans="2:11">
      <c r="B2035" s="975" t="str">
        <f>tblControles[[#This Row],[Fecha]]&amp;"|"&amp;tblControles[[#This Row],[Módulo]]&amp;"|"&amp;tblControles[[#This Row],[Ítem]]&amp;"|"&amp;tblControles[[#This Row],[Turno]]</f>
        <v>46275|CARGA MOLINOS|RM - 5|% carga</v>
      </c>
      <c r="C2035" s="871">
        <v>46275</v>
      </c>
      <c r="D2035" s="1096" t="s">
        <v>9455</v>
      </c>
      <c r="E2035" s="1096" t="s">
        <v>439</v>
      </c>
      <c r="F2035" s="1096" t="s">
        <v>9457</v>
      </c>
      <c r="G2035" s="1096">
        <v>93.9</v>
      </c>
      <c r="H2035" s="1096" t="s">
        <v>9333</v>
      </c>
      <c r="I2035" s="871">
        <v>46295.865464537041</v>
      </c>
      <c r="J2035" s="1096" t="s">
        <v>9969</v>
      </c>
      <c r="K2035" s="975" t="str">
        <f>IF(COUNTIFS(tblControles[Clave],tblControles[[#This Row],[Clave]])&gt;1,"Duplicado","")</f>
        <v/>
      </c>
    </row>
    <row r="2036" spans="2:11">
      <c r="B2036" s="975" t="str">
        <f>tblControles[[#This Row],[Fecha]]&amp;"|"&amp;tblControles[[#This Row],[Módulo]]&amp;"|"&amp;tblControles[[#This Row],[Ítem]]&amp;"|"&amp;tblControles[[#This Row],[Turno]]</f>
        <v>46275|CARGA MOLINOS|RM - 6|% carga</v>
      </c>
      <c r="C2036" s="871">
        <v>46275</v>
      </c>
      <c r="D2036" s="1096" t="s">
        <v>9455</v>
      </c>
      <c r="E2036" s="1096" t="s">
        <v>440</v>
      </c>
      <c r="F2036" s="1096" t="s">
        <v>9457</v>
      </c>
      <c r="G2036" s="1096">
        <v>94.8</v>
      </c>
      <c r="H2036" s="1096" t="s">
        <v>9333</v>
      </c>
      <c r="I2036" s="871">
        <v>46295.865464537041</v>
      </c>
      <c r="J2036" s="1096" t="s">
        <v>9969</v>
      </c>
      <c r="K2036" s="975" t="str">
        <f>IF(COUNTIFS(tblControles[Clave],tblControles[[#This Row],[Clave]])&gt;1,"Duplicado","")</f>
        <v/>
      </c>
    </row>
    <row r="2037" spans="2:11">
      <c r="B2037" s="975" t="str">
        <f>tblControles[[#This Row],[Fecha]]&amp;"|"&amp;tblControles[[#This Row],[Módulo]]&amp;"|"&amp;tblControles[[#This Row],[Ítem]]&amp;"|"&amp;tblControles[[#This Row],[Turno]]</f>
        <v>46275|CARGA MOLINOS|RM - 7|% carga</v>
      </c>
      <c r="C2037" s="871">
        <v>46275</v>
      </c>
      <c r="D2037" s="1096" t="s">
        <v>9455</v>
      </c>
      <c r="E2037" s="1096" t="s">
        <v>441</v>
      </c>
      <c r="F2037" s="1096" t="s">
        <v>9457</v>
      </c>
      <c r="G2037" s="1096">
        <v>92.5</v>
      </c>
      <c r="H2037" s="1096" t="s">
        <v>9333</v>
      </c>
      <c r="I2037" s="871">
        <v>46295.865464537041</v>
      </c>
      <c r="J2037" s="1096" t="s">
        <v>9969</v>
      </c>
      <c r="K2037" s="975" t="str">
        <f>IF(COUNTIFS(tblControles[Clave],tblControles[[#This Row],[Clave]])&gt;1,"Duplicado","")</f>
        <v/>
      </c>
    </row>
    <row r="2038" spans="2:11">
      <c r="B2038" s="975" t="str">
        <f>tblControles[[#This Row],[Fecha]]&amp;"|"&amp;tblControles[[#This Row],[Módulo]]&amp;"|"&amp;tblControles[[#This Row],[Ítem]]&amp;"|"&amp;tblControles[[#This Row],[Turno]]</f>
        <v>46275|CARGA MOLINOS|RM - 8|% carga</v>
      </c>
      <c r="C2038" s="871">
        <v>46275</v>
      </c>
      <c r="D2038" s="1096" t="s">
        <v>9455</v>
      </c>
      <c r="E2038" s="1096" t="s">
        <v>442</v>
      </c>
      <c r="F2038" s="1096" t="s">
        <v>9457</v>
      </c>
      <c r="G2038" s="1096">
        <v>92</v>
      </c>
      <c r="H2038" s="1096" t="s">
        <v>9333</v>
      </c>
      <c r="I2038" s="871">
        <v>46295.865464537041</v>
      </c>
      <c r="J2038" s="1096" t="s">
        <v>9969</v>
      </c>
      <c r="K2038" s="975" t="str">
        <f>IF(COUNTIFS(tblControles[Clave],tblControles[[#This Row],[Clave]])&gt;1,"Duplicado","")</f>
        <v/>
      </c>
    </row>
    <row r="2039" spans="2:11">
      <c r="B2039" s="975" t="str">
        <f>tblControles[[#This Row],[Fecha]]&amp;"|"&amp;tblControles[[#This Row],[Módulo]]&amp;"|"&amp;tblControles[[#This Row],[Ítem]]&amp;"|"&amp;tblControles[[#This Row],[Turno]]</f>
        <v>46275|CARGA MOLINOS|BM - 1|% carga</v>
      </c>
      <c r="C2039" s="871">
        <v>46275</v>
      </c>
      <c r="D2039" s="1096" t="s">
        <v>9455</v>
      </c>
      <c r="E2039" s="1096" t="s">
        <v>444</v>
      </c>
      <c r="F2039" s="1096" t="s">
        <v>9457</v>
      </c>
      <c r="G2039" s="1096">
        <v>90.9</v>
      </c>
      <c r="H2039" s="1096" t="s">
        <v>9333</v>
      </c>
      <c r="I2039" s="871">
        <v>46295.865464537041</v>
      </c>
      <c r="J2039" s="1096" t="s">
        <v>9969</v>
      </c>
      <c r="K2039" s="975" t="str">
        <f>IF(COUNTIFS(tblControles[Clave],tblControles[[#This Row],[Clave]])&gt;1,"Duplicado","")</f>
        <v/>
      </c>
    </row>
    <row r="2040" spans="2:11">
      <c r="B2040" s="975" t="str">
        <f>tblControles[[#This Row],[Fecha]]&amp;"|"&amp;tblControles[[#This Row],[Módulo]]&amp;"|"&amp;tblControles[[#This Row],[Ítem]]&amp;"|"&amp;tblControles[[#This Row],[Turno]]</f>
        <v>46275|CARGA MOLINOS|BM - 2|% carga</v>
      </c>
      <c r="C2040" s="871">
        <v>46275</v>
      </c>
      <c r="D2040" s="1096" t="s">
        <v>9455</v>
      </c>
      <c r="E2040" s="1096" t="s">
        <v>9519</v>
      </c>
      <c r="F2040" s="1096" t="s">
        <v>9457</v>
      </c>
      <c r="G2040" s="1096">
        <v>91</v>
      </c>
      <c r="H2040" s="1096" t="s">
        <v>9333</v>
      </c>
      <c r="I2040" s="871">
        <v>46295.865464537041</v>
      </c>
      <c r="J2040" s="1096" t="s">
        <v>9969</v>
      </c>
      <c r="K2040" s="975" t="str">
        <f>IF(COUNTIFS(tblControles[Clave],tblControles[[#This Row],[Clave]])&gt;1,"Duplicado","")</f>
        <v/>
      </c>
    </row>
    <row r="2041" spans="2:11">
      <c r="B2041" s="975" t="str">
        <f>tblControles[[#This Row],[Fecha]]&amp;"|"&amp;tblControles[[#This Row],[Módulo]]&amp;"|"&amp;tblControles[[#This Row],[Ítem]]&amp;"|"&amp;tblControles[[#This Row],[Turno]]</f>
        <v>46275|CARGA MOLINOS|BM - 3|% carga</v>
      </c>
      <c r="C2041" s="871">
        <v>46275</v>
      </c>
      <c r="D2041" s="1096" t="s">
        <v>9455</v>
      </c>
      <c r="E2041" s="1096" t="s">
        <v>445</v>
      </c>
      <c r="F2041" s="1096" t="s">
        <v>9457</v>
      </c>
      <c r="G2041" s="1096">
        <v>93.8</v>
      </c>
      <c r="H2041" s="1096" t="s">
        <v>9333</v>
      </c>
      <c r="I2041" s="871">
        <v>46295.865464537041</v>
      </c>
      <c r="J2041" s="1096" t="s">
        <v>9969</v>
      </c>
      <c r="K2041" s="975" t="str">
        <f>IF(COUNTIFS(tblControles[Clave],tblControles[[#This Row],[Clave]])&gt;1,"Duplicado","")</f>
        <v/>
      </c>
    </row>
    <row r="2042" spans="2:11">
      <c r="B2042" s="975" t="str">
        <f>tblControles[[#This Row],[Fecha]]&amp;"|"&amp;tblControles[[#This Row],[Módulo]]&amp;"|"&amp;tblControles[[#This Row],[Ítem]]&amp;"|"&amp;tblControles[[#This Row],[Turno]]</f>
        <v>46275|CARGA MOLINOS|BM - 4|% carga</v>
      </c>
      <c r="C2042" s="871">
        <v>46275</v>
      </c>
      <c r="D2042" s="1096" t="s">
        <v>9455</v>
      </c>
      <c r="E2042" s="1096" t="s">
        <v>446</v>
      </c>
      <c r="F2042" s="1096" t="s">
        <v>9457</v>
      </c>
      <c r="G2042" s="1096">
        <v>93.4</v>
      </c>
      <c r="H2042" s="1096" t="s">
        <v>9333</v>
      </c>
      <c r="I2042" s="871">
        <v>46295.865464537041</v>
      </c>
      <c r="J2042" s="1096" t="s">
        <v>9969</v>
      </c>
      <c r="K2042" s="975" t="str">
        <f>IF(COUNTIFS(tblControles[Clave],tblControles[[#This Row],[Clave]])&gt;1,"Duplicado","")</f>
        <v/>
      </c>
    </row>
    <row r="2043" spans="2:11">
      <c r="B2043" s="975" t="str">
        <f>tblControles[[#This Row],[Fecha]]&amp;"|"&amp;tblControles[[#This Row],[Módulo]]&amp;"|"&amp;tblControles[[#This Row],[Ítem]]&amp;"|"&amp;tblControles[[#This Row],[Turno]]</f>
        <v>46275|CARGA MOLINOS|BM - 5|% carga</v>
      </c>
      <c r="C2043" s="871">
        <v>46275</v>
      </c>
      <c r="D2043" s="1096" t="s">
        <v>9455</v>
      </c>
      <c r="E2043" s="1096" t="s">
        <v>447</v>
      </c>
      <c r="F2043" s="1096" t="s">
        <v>9457</v>
      </c>
      <c r="G2043" s="1096">
        <v>87.3</v>
      </c>
      <c r="H2043" s="1096" t="s">
        <v>9333</v>
      </c>
      <c r="I2043" s="871">
        <v>46295.865464537041</v>
      </c>
      <c r="J2043" s="1096" t="s">
        <v>9969</v>
      </c>
      <c r="K2043" s="975" t="str">
        <f>IF(COUNTIFS(tblControles[Clave],tblControles[[#This Row],[Clave]])&gt;1,"Duplicado","")</f>
        <v/>
      </c>
    </row>
    <row r="2044" spans="2:11">
      <c r="B2044" s="975" t="str">
        <f>tblControles[[#This Row],[Fecha]]&amp;"|"&amp;tblControles[[#This Row],[Módulo]]&amp;"|"&amp;tblControles[[#This Row],[Ítem]]&amp;"|"&amp;tblControles[[#This Row],[Turno]]</f>
        <v>46275|CARGA MOLINOS|BM - 6|% carga</v>
      </c>
      <c r="C2044" s="871">
        <v>46275</v>
      </c>
      <c r="D2044" s="1096" t="s">
        <v>9455</v>
      </c>
      <c r="E2044" s="1096" t="s">
        <v>448</v>
      </c>
      <c r="F2044" s="1096" t="s">
        <v>9457</v>
      </c>
      <c r="G2044" s="1096">
        <v>94.2</v>
      </c>
      <c r="H2044" s="1096" t="s">
        <v>9333</v>
      </c>
      <c r="I2044" s="871">
        <v>46295.865464537041</v>
      </c>
      <c r="J2044" s="1096" t="s">
        <v>9969</v>
      </c>
      <c r="K2044" s="975" t="str">
        <f>IF(COUNTIFS(tblControles[Clave],tblControles[[#This Row],[Clave]])&gt;1,"Duplicado","")</f>
        <v/>
      </c>
    </row>
    <row r="2045" spans="2:11">
      <c r="B2045" s="975" t="str">
        <f>tblControles[[#This Row],[Fecha]]&amp;"|"&amp;tblControles[[#This Row],[Módulo]]&amp;"|"&amp;tblControles[[#This Row],[Ítem]]&amp;"|"&amp;tblControles[[#This Row],[Turno]]</f>
        <v>46275|CARGA MOLINOS|BM - 7|% carga</v>
      </c>
      <c r="C2045" s="871">
        <v>46275</v>
      </c>
      <c r="D2045" s="1096" t="s">
        <v>9455</v>
      </c>
      <c r="E2045" s="1096" t="s">
        <v>449</v>
      </c>
      <c r="F2045" s="1096" t="s">
        <v>9457</v>
      </c>
      <c r="G2045" s="1096">
        <v>92.1</v>
      </c>
      <c r="H2045" s="1096" t="s">
        <v>9333</v>
      </c>
      <c r="I2045" s="871">
        <v>46295.865464537041</v>
      </c>
      <c r="J2045" s="1096" t="s">
        <v>9969</v>
      </c>
      <c r="K2045" s="975" t="str">
        <f>IF(COUNTIFS(tblControles[Clave],tblControles[[#This Row],[Clave]])&gt;1,"Duplicado","")</f>
        <v/>
      </c>
    </row>
    <row r="2046" spans="2:11">
      <c r="B2046" s="975" t="str">
        <f>tblControles[[#This Row],[Fecha]]&amp;"|"&amp;tblControles[[#This Row],[Módulo]]&amp;"|"&amp;tblControles[[#This Row],[Ítem]]&amp;"|"&amp;tblControles[[#This Row],[Turno]]</f>
        <v>46275|CARGA MOLINOS|BM - 8|% carga</v>
      </c>
      <c r="C2046" s="871">
        <v>46275</v>
      </c>
      <c r="D2046" s="1096" t="s">
        <v>9455</v>
      </c>
      <c r="E2046" s="1096" t="s">
        <v>450</v>
      </c>
      <c r="F2046" s="1096" t="s">
        <v>9457</v>
      </c>
      <c r="G2046" s="1096">
        <v>91.2</v>
      </c>
      <c r="H2046" s="1096" t="s">
        <v>9333</v>
      </c>
      <c r="I2046" s="871">
        <v>46295.865464537041</v>
      </c>
      <c r="J2046" s="1096" t="s">
        <v>9969</v>
      </c>
      <c r="K2046" s="975" t="str">
        <f>IF(COUNTIFS(tblControles[Clave],tblControles[[#This Row],[Clave]])&gt;1,"Duplicado","")</f>
        <v/>
      </c>
    </row>
    <row r="2047" spans="2:11">
      <c r="B2047" s="975" t="str">
        <f>tblControles[[#This Row],[Fecha]]&amp;"|"&amp;tblControles[[#This Row],[Módulo]]&amp;"|"&amp;tblControles[[#This Row],[Ítem]]&amp;"|"&amp;tblControles[[#This Row],[Turno]]</f>
        <v>46275|CARGA MOLINOS|BM - 10|% carga</v>
      </c>
      <c r="C2047" s="871">
        <v>46275</v>
      </c>
      <c r="D2047" s="1096" t="s">
        <v>9455</v>
      </c>
      <c r="E2047" s="1096" t="s">
        <v>452</v>
      </c>
      <c r="F2047" s="1096" t="s">
        <v>9457</v>
      </c>
      <c r="G2047" s="1096">
        <v>88.9</v>
      </c>
      <c r="H2047" s="1096" t="s">
        <v>9333</v>
      </c>
      <c r="I2047" s="871">
        <v>46295.865464537041</v>
      </c>
      <c r="J2047" s="1096" t="s">
        <v>9969</v>
      </c>
      <c r="K2047" s="975" t="str">
        <f>IF(COUNTIFS(tblControles[Clave],tblControles[[#This Row],[Clave]])&gt;1,"Duplicado","")</f>
        <v/>
      </c>
    </row>
    <row r="2048" spans="2:11">
      <c r="B2048" s="975" t="str">
        <f>tblControles[[#This Row],[Fecha]]&amp;"|"&amp;tblControles[[#This Row],[Módulo]]&amp;"|"&amp;tblControles[[#This Row],[Ítem]]&amp;"|"&amp;tblControles[[#This Row],[Turno]]</f>
        <v>46276|CARGA MOLINOS|RM - 1|% carga</v>
      </c>
      <c r="C2048" s="871">
        <v>46276</v>
      </c>
      <c r="D2048" s="1096" t="s">
        <v>9455</v>
      </c>
      <c r="E2048" s="1096" t="s">
        <v>435</v>
      </c>
      <c r="F2048" s="1096" t="s">
        <v>9457</v>
      </c>
      <c r="G2048" s="1096">
        <v>92.3</v>
      </c>
      <c r="H2048" s="1096" t="s">
        <v>9333</v>
      </c>
      <c r="I2048" s="871">
        <v>46295.865464537041</v>
      </c>
      <c r="J2048" s="1096" t="s">
        <v>9969</v>
      </c>
      <c r="K2048" s="975" t="str">
        <f>IF(COUNTIFS(tblControles[Clave],tblControles[[#This Row],[Clave]])&gt;1,"Duplicado","")</f>
        <v/>
      </c>
    </row>
    <row r="2049" spans="2:11">
      <c r="B2049" s="975" t="str">
        <f>tblControles[[#This Row],[Fecha]]&amp;"|"&amp;tblControles[[#This Row],[Módulo]]&amp;"|"&amp;tblControles[[#This Row],[Ítem]]&amp;"|"&amp;tblControles[[#This Row],[Turno]]</f>
        <v>46276|CARGA MOLINOS|RM - 2|% carga</v>
      </c>
      <c r="C2049" s="871">
        <v>46276</v>
      </c>
      <c r="D2049" s="1096" t="s">
        <v>9455</v>
      </c>
      <c r="E2049" s="1096" t="s">
        <v>436</v>
      </c>
      <c r="F2049" s="1096" t="s">
        <v>9457</v>
      </c>
      <c r="G2049" s="1096">
        <v>88.7</v>
      </c>
      <c r="H2049" s="1096" t="s">
        <v>9333</v>
      </c>
      <c r="I2049" s="871">
        <v>46295.865464537041</v>
      </c>
      <c r="J2049" s="1096" t="s">
        <v>9969</v>
      </c>
      <c r="K2049" s="975" t="str">
        <f>IF(COUNTIFS(tblControles[Clave],tblControles[[#This Row],[Clave]])&gt;1,"Duplicado","")</f>
        <v/>
      </c>
    </row>
    <row r="2050" spans="2:11">
      <c r="B2050" s="975" t="str">
        <f>tblControles[[#This Row],[Fecha]]&amp;"|"&amp;tblControles[[#This Row],[Módulo]]&amp;"|"&amp;tblControles[[#This Row],[Ítem]]&amp;"|"&amp;tblControles[[#This Row],[Turno]]</f>
        <v>46276|CARGA MOLINOS|RM - 3|% carga</v>
      </c>
      <c r="C2050" s="871">
        <v>46276</v>
      </c>
      <c r="D2050" s="1096" t="s">
        <v>9455</v>
      </c>
      <c r="E2050" s="1096" t="s">
        <v>437</v>
      </c>
      <c r="F2050" s="1096" t="s">
        <v>9457</v>
      </c>
      <c r="G2050" s="1096">
        <v>86.2</v>
      </c>
      <c r="H2050" s="1096" t="s">
        <v>9333</v>
      </c>
      <c r="I2050" s="871">
        <v>46295.865464537041</v>
      </c>
      <c r="J2050" s="1096" t="s">
        <v>9969</v>
      </c>
      <c r="K2050" s="975" t="str">
        <f>IF(COUNTIFS(tblControles[Clave],tblControles[[#This Row],[Clave]])&gt;1,"Duplicado","")</f>
        <v/>
      </c>
    </row>
    <row r="2051" spans="2:11">
      <c r="B2051" s="975" t="str">
        <f>tblControles[[#This Row],[Fecha]]&amp;"|"&amp;tblControles[[#This Row],[Módulo]]&amp;"|"&amp;tblControles[[#This Row],[Ítem]]&amp;"|"&amp;tblControles[[#This Row],[Turno]]</f>
        <v>46276|CARGA MOLINOS|RM - 5|% carga</v>
      </c>
      <c r="C2051" s="871">
        <v>46276</v>
      </c>
      <c r="D2051" s="1096" t="s">
        <v>9455</v>
      </c>
      <c r="E2051" s="1096" t="s">
        <v>439</v>
      </c>
      <c r="F2051" s="1096" t="s">
        <v>9457</v>
      </c>
      <c r="G2051" s="1096">
        <v>92.3</v>
      </c>
      <c r="H2051" s="1096" t="s">
        <v>9333</v>
      </c>
      <c r="I2051" s="871">
        <v>46295.865464537041</v>
      </c>
      <c r="J2051" s="1096" t="s">
        <v>9969</v>
      </c>
      <c r="K2051" s="975" t="str">
        <f>IF(COUNTIFS(tblControles[Clave],tblControles[[#This Row],[Clave]])&gt;1,"Duplicado","")</f>
        <v/>
      </c>
    </row>
    <row r="2052" spans="2:11">
      <c r="B2052" s="975" t="str">
        <f>tblControles[[#This Row],[Fecha]]&amp;"|"&amp;tblControles[[#This Row],[Módulo]]&amp;"|"&amp;tblControles[[#This Row],[Ítem]]&amp;"|"&amp;tblControles[[#This Row],[Turno]]</f>
        <v>46276|CARGA MOLINOS|RM - 6|% carga</v>
      </c>
      <c r="C2052" s="871">
        <v>46276</v>
      </c>
      <c r="D2052" s="1096" t="s">
        <v>9455</v>
      </c>
      <c r="E2052" s="1096" t="s">
        <v>440</v>
      </c>
      <c r="F2052" s="1096" t="s">
        <v>9457</v>
      </c>
      <c r="G2052" s="1096">
        <v>93.1</v>
      </c>
      <c r="H2052" s="1096" t="s">
        <v>9333</v>
      </c>
      <c r="I2052" s="871">
        <v>46295.865464537041</v>
      </c>
      <c r="J2052" s="1096" t="s">
        <v>9969</v>
      </c>
      <c r="K2052" s="975" t="str">
        <f>IF(COUNTIFS(tblControles[Clave],tblControles[[#This Row],[Clave]])&gt;1,"Duplicado","")</f>
        <v/>
      </c>
    </row>
    <row r="2053" spans="2:11">
      <c r="B2053" s="975" t="str">
        <f>tblControles[[#This Row],[Fecha]]&amp;"|"&amp;tblControles[[#This Row],[Módulo]]&amp;"|"&amp;tblControles[[#This Row],[Ítem]]&amp;"|"&amp;tblControles[[#This Row],[Turno]]</f>
        <v>46276|CARGA MOLINOS|RM - 7|% carga</v>
      </c>
      <c r="C2053" s="871">
        <v>46276</v>
      </c>
      <c r="D2053" s="1096" t="s">
        <v>9455</v>
      </c>
      <c r="E2053" s="1096" t="s">
        <v>441</v>
      </c>
      <c r="F2053" s="1096" t="s">
        <v>9457</v>
      </c>
      <c r="G2053" s="1096">
        <v>94.4</v>
      </c>
      <c r="H2053" s="1096" t="s">
        <v>9333</v>
      </c>
      <c r="I2053" s="871">
        <v>46295.865464537041</v>
      </c>
      <c r="J2053" s="1096" t="s">
        <v>9969</v>
      </c>
      <c r="K2053" s="975" t="str">
        <f>IF(COUNTIFS(tblControles[Clave],tblControles[[#This Row],[Clave]])&gt;1,"Duplicado","")</f>
        <v/>
      </c>
    </row>
    <row r="2054" spans="2:11">
      <c r="B2054" s="975" t="str">
        <f>tblControles[[#This Row],[Fecha]]&amp;"|"&amp;tblControles[[#This Row],[Módulo]]&amp;"|"&amp;tblControles[[#This Row],[Ítem]]&amp;"|"&amp;tblControles[[#This Row],[Turno]]</f>
        <v>46276|CARGA MOLINOS|RM - 8|% carga</v>
      </c>
      <c r="C2054" s="871">
        <v>46276</v>
      </c>
      <c r="D2054" s="1096" t="s">
        <v>9455</v>
      </c>
      <c r="E2054" s="1096" t="s">
        <v>442</v>
      </c>
      <c r="F2054" s="1096" t="s">
        <v>9457</v>
      </c>
      <c r="G2054" s="1096">
        <v>93.1</v>
      </c>
      <c r="H2054" s="1096" t="s">
        <v>9333</v>
      </c>
      <c r="I2054" s="871">
        <v>46295.865464537041</v>
      </c>
      <c r="J2054" s="1096" t="s">
        <v>9969</v>
      </c>
      <c r="K2054" s="975" t="str">
        <f>IF(COUNTIFS(tblControles[Clave],tblControles[[#This Row],[Clave]])&gt;1,"Duplicado","")</f>
        <v/>
      </c>
    </row>
    <row r="2055" spans="2:11">
      <c r="B2055" s="975" t="str">
        <f>tblControles[[#This Row],[Fecha]]&amp;"|"&amp;tblControles[[#This Row],[Módulo]]&amp;"|"&amp;tblControles[[#This Row],[Ítem]]&amp;"|"&amp;tblControles[[#This Row],[Turno]]</f>
        <v>46276|CARGA MOLINOS|RM - 9|% carga</v>
      </c>
      <c r="C2055" s="871">
        <v>46276</v>
      </c>
      <c r="D2055" s="1096" t="s">
        <v>9455</v>
      </c>
      <c r="E2055" s="1096" t="s">
        <v>443</v>
      </c>
      <c r="F2055" s="1096" t="s">
        <v>9457</v>
      </c>
      <c r="G2055" s="1096">
        <v>65.400000000000006</v>
      </c>
      <c r="H2055" s="1096" t="s">
        <v>9333</v>
      </c>
      <c r="I2055" s="871">
        <v>46295.865464537041</v>
      </c>
      <c r="J2055" s="1096" t="s">
        <v>9969</v>
      </c>
      <c r="K2055" s="975" t="str">
        <f>IF(COUNTIFS(tblControles[Clave],tblControles[[#This Row],[Clave]])&gt;1,"Duplicado","")</f>
        <v/>
      </c>
    </row>
    <row r="2056" spans="2:11">
      <c r="B2056" s="975" t="str">
        <f>tblControles[[#This Row],[Fecha]]&amp;"|"&amp;tblControles[[#This Row],[Módulo]]&amp;"|"&amp;tblControles[[#This Row],[Ítem]]&amp;"|"&amp;tblControles[[#This Row],[Turno]]</f>
        <v>46276|CARGA MOLINOS|BM - 1|% carga</v>
      </c>
      <c r="C2056" s="871">
        <v>46276</v>
      </c>
      <c r="D2056" s="1096" t="s">
        <v>9455</v>
      </c>
      <c r="E2056" s="1096" t="s">
        <v>444</v>
      </c>
      <c r="F2056" s="1096" t="s">
        <v>9457</v>
      </c>
      <c r="G2056" s="1096">
        <v>92.6</v>
      </c>
      <c r="H2056" s="1096" t="s">
        <v>9333</v>
      </c>
      <c r="I2056" s="871">
        <v>46295.865464537041</v>
      </c>
      <c r="J2056" s="1096" t="s">
        <v>9969</v>
      </c>
      <c r="K2056" s="975" t="str">
        <f>IF(COUNTIFS(tblControles[Clave],tblControles[[#This Row],[Clave]])&gt;1,"Duplicado","")</f>
        <v/>
      </c>
    </row>
    <row r="2057" spans="2:11">
      <c r="B2057" s="975" t="str">
        <f>tblControles[[#This Row],[Fecha]]&amp;"|"&amp;tblControles[[#This Row],[Módulo]]&amp;"|"&amp;tblControles[[#This Row],[Ítem]]&amp;"|"&amp;tblControles[[#This Row],[Turno]]</f>
        <v>46276|CARGA MOLINOS|BM - 2|% carga</v>
      </c>
      <c r="C2057" s="871">
        <v>46276</v>
      </c>
      <c r="D2057" s="1096" t="s">
        <v>9455</v>
      </c>
      <c r="E2057" s="1096" t="s">
        <v>9519</v>
      </c>
      <c r="F2057" s="1096" t="s">
        <v>9457</v>
      </c>
      <c r="G2057" s="1096">
        <v>88.9</v>
      </c>
      <c r="H2057" s="1096" t="s">
        <v>9333</v>
      </c>
      <c r="I2057" s="871">
        <v>46295.865464537041</v>
      </c>
      <c r="J2057" s="1096" t="s">
        <v>9969</v>
      </c>
      <c r="K2057" s="975" t="str">
        <f>IF(COUNTIFS(tblControles[Clave],tblControles[[#This Row],[Clave]])&gt;1,"Duplicado","")</f>
        <v/>
      </c>
    </row>
    <row r="2058" spans="2:11">
      <c r="B2058" s="975" t="str">
        <f>tblControles[[#This Row],[Fecha]]&amp;"|"&amp;tblControles[[#This Row],[Módulo]]&amp;"|"&amp;tblControles[[#This Row],[Ítem]]&amp;"|"&amp;tblControles[[#This Row],[Turno]]</f>
        <v>46276|CARGA MOLINOS|BM - 3|% carga</v>
      </c>
      <c r="C2058" s="871">
        <v>46276</v>
      </c>
      <c r="D2058" s="1096" t="s">
        <v>9455</v>
      </c>
      <c r="E2058" s="1096" t="s">
        <v>445</v>
      </c>
      <c r="F2058" s="1096" t="s">
        <v>9457</v>
      </c>
      <c r="G2058" s="1096">
        <v>91.7</v>
      </c>
      <c r="H2058" s="1096" t="s">
        <v>9333</v>
      </c>
      <c r="I2058" s="871">
        <v>46295.865464537041</v>
      </c>
      <c r="J2058" s="1096" t="s">
        <v>9969</v>
      </c>
      <c r="K2058" s="975" t="str">
        <f>IF(COUNTIFS(tblControles[Clave],tblControles[[#This Row],[Clave]])&gt;1,"Duplicado","")</f>
        <v/>
      </c>
    </row>
    <row r="2059" spans="2:11">
      <c r="B2059" s="975" t="str">
        <f>tblControles[[#This Row],[Fecha]]&amp;"|"&amp;tblControles[[#This Row],[Módulo]]&amp;"|"&amp;tblControles[[#This Row],[Ítem]]&amp;"|"&amp;tblControles[[#This Row],[Turno]]</f>
        <v>46276|CARGA MOLINOS|BM - 4|% carga</v>
      </c>
      <c r="C2059" s="871">
        <v>46276</v>
      </c>
      <c r="D2059" s="1096" t="s">
        <v>9455</v>
      </c>
      <c r="E2059" s="1096" t="s">
        <v>446</v>
      </c>
      <c r="F2059" s="1096" t="s">
        <v>9457</v>
      </c>
      <c r="G2059" s="1096">
        <v>90.5</v>
      </c>
      <c r="H2059" s="1096" t="s">
        <v>9333</v>
      </c>
      <c r="I2059" s="871">
        <v>46295.865464537041</v>
      </c>
      <c r="J2059" s="1096" t="s">
        <v>9969</v>
      </c>
      <c r="K2059" s="975" t="str">
        <f>IF(COUNTIFS(tblControles[Clave],tblControles[[#This Row],[Clave]])&gt;1,"Duplicado","")</f>
        <v/>
      </c>
    </row>
    <row r="2060" spans="2:11">
      <c r="B2060" s="975" t="str">
        <f>tblControles[[#This Row],[Fecha]]&amp;"|"&amp;tblControles[[#This Row],[Módulo]]&amp;"|"&amp;tblControles[[#This Row],[Ítem]]&amp;"|"&amp;tblControles[[#This Row],[Turno]]</f>
        <v>46276|CARGA MOLINOS|BM - 5|% carga</v>
      </c>
      <c r="C2060" s="871">
        <v>46276</v>
      </c>
      <c r="D2060" s="1096" t="s">
        <v>9455</v>
      </c>
      <c r="E2060" s="1096" t="s">
        <v>447</v>
      </c>
      <c r="F2060" s="1096" t="s">
        <v>9457</v>
      </c>
      <c r="G2060" s="1096">
        <v>90.3</v>
      </c>
      <c r="H2060" s="1096" t="s">
        <v>9333</v>
      </c>
      <c r="I2060" s="871">
        <v>46295.865464537041</v>
      </c>
      <c r="J2060" s="1096" t="s">
        <v>9969</v>
      </c>
      <c r="K2060" s="975" t="str">
        <f>IF(COUNTIFS(tblControles[Clave],tblControles[[#This Row],[Clave]])&gt;1,"Duplicado","")</f>
        <v/>
      </c>
    </row>
    <row r="2061" spans="2:11">
      <c r="B2061" s="975" t="str">
        <f>tblControles[[#This Row],[Fecha]]&amp;"|"&amp;tblControles[[#This Row],[Módulo]]&amp;"|"&amp;tblControles[[#This Row],[Ítem]]&amp;"|"&amp;tblControles[[#This Row],[Turno]]</f>
        <v>46276|CARGA MOLINOS|BM - 6|% carga</v>
      </c>
      <c r="C2061" s="871">
        <v>46276</v>
      </c>
      <c r="D2061" s="1096" t="s">
        <v>9455</v>
      </c>
      <c r="E2061" s="1096" t="s">
        <v>448</v>
      </c>
      <c r="F2061" s="1096" t="s">
        <v>9457</v>
      </c>
      <c r="G2061" s="1096">
        <v>91.9</v>
      </c>
      <c r="H2061" s="1096" t="s">
        <v>9333</v>
      </c>
      <c r="I2061" s="871">
        <v>46295.865464537041</v>
      </c>
      <c r="J2061" s="1096" t="s">
        <v>9969</v>
      </c>
      <c r="K2061" s="975" t="str">
        <f>IF(COUNTIFS(tblControles[Clave],tblControles[[#This Row],[Clave]])&gt;1,"Duplicado","")</f>
        <v/>
      </c>
    </row>
    <row r="2062" spans="2:11">
      <c r="B2062" s="975" t="str">
        <f>tblControles[[#This Row],[Fecha]]&amp;"|"&amp;tblControles[[#This Row],[Módulo]]&amp;"|"&amp;tblControles[[#This Row],[Ítem]]&amp;"|"&amp;tblControles[[#This Row],[Turno]]</f>
        <v>46276|CARGA MOLINOS|BM - 7|% carga</v>
      </c>
      <c r="C2062" s="871">
        <v>46276</v>
      </c>
      <c r="D2062" s="1096" t="s">
        <v>9455</v>
      </c>
      <c r="E2062" s="1096" t="s">
        <v>449</v>
      </c>
      <c r="F2062" s="1096" t="s">
        <v>9457</v>
      </c>
      <c r="G2062" s="1096">
        <v>91.7</v>
      </c>
      <c r="H2062" s="1096" t="s">
        <v>9333</v>
      </c>
      <c r="I2062" s="871">
        <v>46295.865464537041</v>
      </c>
      <c r="J2062" s="1096" t="s">
        <v>9969</v>
      </c>
      <c r="K2062" s="975" t="str">
        <f>IF(COUNTIFS(tblControles[Clave],tblControles[[#This Row],[Clave]])&gt;1,"Duplicado","")</f>
        <v/>
      </c>
    </row>
    <row r="2063" spans="2:11">
      <c r="B2063" s="975" t="str">
        <f>tblControles[[#This Row],[Fecha]]&amp;"|"&amp;tblControles[[#This Row],[Módulo]]&amp;"|"&amp;tblControles[[#This Row],[Ítem]]&amp;"|"&amp;tblControles[[#This Row],[Turno]]</f>
        <v>46276|CARGA MOLINOS|BM - 8|% carga</v>
      </c>
      <c r="C2063" s="871">
        <v>46276</v>
      </c>
      <c r="D2063" s="1096" t="s">
        <v>9455</v>
      </c>
      <c r="E2063" s="1096" t="s">
        <v>450</v>
      </c>
      <c r="F2063" s="1096" t="s">
        <v>9457</v>
      </c>
      <c r="G2063" s="1096">
        <v>90.9</v>
      </c>
      <c r="H2063" s="1096" t="s">
        <v>9333</v>
      </c>
      <c r="I2063" s="871">
        <v>46295.865464537041</v>
      </c>
      <c r="J2063" s="1096" t="s">
        <v>9969</v>
      </c>
      <c r="K2063" s="975" t="str">
        <f>IF(COUNTIFS(tblControles[Clave],tblControles[[#This Row],[Clave]])&gt;1,"Duplicado","")</f>
        <v/>
      </c>
    </row>
    <row r="2064" spans="2:11">
      <c r="B2064" s="975" t="str">
        <f>tblControles[[#This Row],[Fecha]]&amp;"|"&amp;tblControles[[#This Row],[Módulo]]&amp;"|"&amp;tblControles[[#This Row],[Ítem]]&amp;"|"&amp;tblControles[[#This Row],[Turno]]</f>
        <v>46276|CARGA MOLINOS|BM - 9|% carga</v>
      </c>
      <c r="C2064" s="871">
        <v>46276</v>
      </c>
      <c r="D2064" s="1096" t="s">
        <v>9455</v>
      </c>
      <c r="E2064" s="1096" t="s">
        <v>451</v>
      </c>
      <c r="F2064" s="1096" t="s">
        <v>9457</v>
      </c>
      <c r="G2064" s="1096">
        <v>78.7</v>
      </c>
      <c r="H2064" s="1096" t="s">
        <v>9333</v>
      </c>
      <c r="I2064" s="871">
        <v>46295.865464537041</v>
      </c>
      <c r="J2064" s="1096" t="s">
        <v>9969</v>
      </c>
      <c r="K2064" s="975" t="str">
        <f>IF(COUNTIFS(tblControles[Clave],tblControles[[#This Row],[Clave]])&gt;1,"Duplicado","")</f>
        <v/>
      </c>
    </row>
    <row r="2065" spans="2:11">
      <c r="B2065" s="975" t="str">
        <f>tblControles[[#This Row],[Fecha]]&amp;"|"&amp;tblControles[[#This Row],[Módulo]]&amp;"|"&amp;tblControles[[#This Row],[Ítem]]&amp;"|"&amp;tblControles[[#This Row],[Turno]]</f>
        <v>46276|CARGA MOLINOS|BM - 10|% carga</v>
      </c>
      <c r="C2065" s="871">
        <v>46276</v>
      </c>
      <c r="D2065" s="1096" t="s">
        <v>9455</v>
      </c>
      <c r="E2065" s="1096" t="s">
        <v>452</v>
      </c>
      <c r="F2065" s="1096" t="s">
        <v>9457</v>
      </c>
      <c r="G2065" s="1096">
        <v>88.9</v>
      </c>
      <c r="H2065" s="1096" t="s">
        <v>9333</v>
      </c>
      <c r="I2065" s="871">
        <v>46295.865464537041</v>
      </c>
      <c r="J2065" s="1096" t="s">
        <v>9969</v>
      </c>
      <c r="K2065" s="975" t="str">
        <f>IF(COUNTIFS(tblControles[Clave],tblControles[[#This Row],[Clave]])&gt;1,"Duplicado","")</f>
        <v/>
      </c>
    </row>
    <row r="2066" spans="2:11">
      <c r="B2066" s="975" t="str">
        <f>tblControles[[#This Row],[Fecha]]&amp;"|"&amp;tblControles[[#This Row],[Módulo]]&amp;"|"&amp;tblControles[[#This Row],[Ítem]]&amp;"|"&amp;tblControles[[#This Row],[Turno]]</f>
        <v>46279|CARGA MOLINOS|RM - 2|% carga</v>
      </c>
      <c r="C2066" s="871">
        <v>46279</v>
      </c>
      <c r="D2066" s="1096" t="s">
        <v>9455</v>
      </c>
      <c r="E2066" s="1096" t="s">
        <v>436</v>
      </c>
      <c r="F2066" s="1096" t="s">
        <v>9457</v>
      </c>
      <c r="G2066" s="1096">
        <v>91.4</v>
      </c>
      <c r="H2066" s="1096" t="s">
        <v>9333</v>
      </c>
      <c r="I2066" s="871">
        <v>46295.865464537041</v>
      </c>
      <c r="J2066" s="1096" t="s">
        <v>9969</v>
      </c>
      <c r="K2066" s="975" t="str">
        <f>IF(COUNTIFS(tblControles[Clave],tblControles[[#This Row],[Clave]])&gt;1,"Duplicado","")</f>
        <v/>
      </c>
    </row>
    <row r="2067" spans="2:11">
      <c r="B2067" s="975" t="str">
        <f>tblControles[[#This Row],[Fecha]]&amp;"|"&amp;tblControles[[#This Row],[Módulo]]&amp;"|"&amp;tblControles[[#This Row],[Ítem]]&amp;"|"&amp;tblControles[[#This Row],[Turno]]</f>
        <v>46279|CARGA MOLINOS|RM - 3|% carga</v>
      </c>
      <c r="C2067" s="871">
        <v>46279</v>
      </c>
      <c r="D2067" s="1096" t="s">
        <v>9455</v>
      </c>
      <c r="E2067" s="1096" t="s">
        <v>437</v>
      </c>
      <c r="F2067" s="1096" t="s">
        <v>9457</v>
      </c>
      <c r="G2067" s="1096">
        <v>90</v>
      </c>
      <c r="H2067" s="1096" t="s">
        <v>9333</v>
      </c>
      <c r="I2067" s="871">
        <v>46295.865464537041</v>
      </c>
      <c r="J2067" s="1096" t="s">
        <v>9969</v>
      </c>
      <c r="K2067" s="975" t="str">
        <f>IF(COUNTIFS(tblControles[Clave],tblControles[[#This Row],[Clave]])&gt;1,"Duplicado","")</f>
        <v/>
      </c>
    </row>
    <row r="2068" spans="2:11">
      <c r="B2068" s="975" t="str">
        <f>tblControles[[#This Row],[Fecha]]&amp;"|"&amp;tblControles[[#This Row],[Módulo]]&amp;"|"&amp;tblControles[[#This Row],[Ítem]]&amp;"|"&amp;tblControles[[#This Row],[Turno]]</f>
        <v>46279|CARGA MOLINOS|RM - 4|% carga</v>
      </c>
      <c r="C2068" s="871">
        <v>46279</v>
      </c>
      <c r="D2068" s="1096" t="s">
        <v>9455</v>
      </c>
      <c r="E2068" s="1096" t="s">
        <v>438</v>
      </c>
      <c r="F2068" s="1096" t="s">
        <v>9457</v>
      </c>
      <c r="G2068" s="1096">
        <v>93.7</v>
      </c>
      <c r="H2068" s="1096" t="s">
        <v>9333</v>
      </c>
      <c r="I2068" s="871">
        <v>46295.865464537041</v>
      </c>
      <c r="J2068" s="1096" t="s">
        <v>9969</v>
      </c>
      <c r="K2068" s="975" t="str">
        <f>IF(COUNTIFS(tblControles[Clave],tblControles[[#This Row],[Clave]])&gt;1,"Duplicado","")</f>
        <v/>
      </c>
    </row>
    <row r="2069" spans="2:11">
      <c r="B2069" s="975" t="str">
        <f>tblControles[[#This Row],[Fecha]]&amp;"|"&amp;tblControles[[#This Row],[Módulo]]&amp;"|"&amp;tblControles[[#This Row],[Ítem]]&amp;"|"&amp;tblControles[[#This Row],[Turno]]</f>
        <v>46279|CARGA MOLINOS|RM - 5|% carga</v>
      </c>
      <c r="C2069" s="871">
        <v>46279</v>
      </c>
      <c r="D2069" s="1096" t="s">
        <v>9455</v>
      </c>
      <c r="E2069" s="1096" t="s">
        <v>439</v>
      </c>
      <c r="F2069" s="1096" t="s">
        <v>9457</v>
      </c>
      <c r="G2069" s="1096">
        <v>91.4</v>
      </c>
      <c r="H2069" s="1096" t="s">
        <v>9333</v>
      </c>
      <c r="I2069" s="871">
        <v>46295.865464537041</v>
      </c>
      <c r="J2069" s="1096" t="s">
        <v>9969</v>
      </c>
      <c r="K2069" s="975" t="str">
        <f>IF(COUNTIFS(tblControles[Clave],tblControles[[#This Row],[Clave]])&gt;1,"Duplicado","")</f>
        <v/>
      </c>
    </row>
    <row r="2070" spans="2:11">
      <c r="B2070" s="975" t="str">
        <f>tblControles[[#This Row],[Fecha]]&amp;"|"&amp;tblControles[[#This Row],[Módulo]]&amp;"|"&amp;tblControles[[#This Row],[Ítem]]&amp;"|"&amp;tblControles[[#This Row],[Turno]]</f>
        <v>46279|CARGA MOLINOS|RM - 6|% carga</v>
      </c>
      <c r="C2070" s="871">
        <v>46279</v>
      </c>
      <c r="D2070" s="1096" t="s">
        <v>9455</v>
      </c>
      <c r="E2070" s="1096" t="s">
        <v>440</v>
      </c>
      <c r="F2070" s="1096" t="s">
        <v>9457</v>
      </c>
      <c r="G2070" s="1096">
        <v>93.1</v>
      </c>
      <c r="H2070" s="1096" t="s">
        <v>9333</v>
      </c>
      <c r="I2070" s="871">
        <v>46295.865464537041</v>
      </c>
      <c r="J2070" s="1096" t="s">
        <v>9969</v>
      </c>
      <c r="K2070" s="975" t="str">
        <f>IF(COUNTIFS(tblControles[Clave],tblControles[[#This Row],[Clave]])&gt;1,"Duplicado","")</f>
        <v/>
      </c>
    </row>
    <row r="2071" spans="2:11">
      <c r="B2071" s="975" t="str">
        <f>tblControles[[#This Row],[Fecha]]&amp;"|"&amp;tblControles[[#This Row],[Módulo]]&amp;"|"&amp;tblControles[[#This Row],[Ítem]]&amp;"|"&amp;tblControles[[#This Row],[Turno]]</f>
        <v>46279|CARGA MOLINOS|RM - 7|% carga</v>
      </c>
      <c r="C2071" s="871">
        <v>46279</v>
      </c>
      <c r="D2071" s="1096" t="s">
        <v>9455</v>
      </c>
      <c r="E2071" s="1096" t="s">
        <v>441</v>
      </c>
      <c r="F2071" s="1096" t="s">
        <v>9457</v>
      </c>
      <c r="G2071" s="1096">
        <v>94.8</v>
      </c>
      <c r="H2071" s="1096" t="s">
        <v>9333</v>
      </c>
      <c r="I2071" s="871">
        <v>46295.865464537041</v>
      </c>
      <c r="J2071" s="1096" t="s">
        <v>9969</v>
      </c>
      <c r="K2071" s="975" t="str">
        <f>IF(COUNTIFS(tblControles[Clave],tblControles[[#This Row],[Clave]])&gt;1,"Duplicado","")</f>
        <v/>
      </c>
    </row>
    <row r="2072" spans="2:11">
      <c r="B2072" s="975" t="str">
        <f>tblControles[[#This Row],[Fecha]]&amp;"|"&amp;tblControles[[#This Row],[Módulo]]&amp;"|"&amp;tblControles[[#This Row],[Ítem]]&amp;"|"&amp;tblControles[[#This Row],[Turno]]</f>
        <v>46279|CARGA MOLINOS|RM - 8|% carga</v>
      </c>
      <c r="C2072" s="871">
        <v>46279</v>
      </c>
      <c r="D2072" s="1096" t="s">
        <v>9455</v>
      </c>
      <c r="E2072" s="1096" t="s">
        <v>442</v>
      </c>
      <c r="F2072" s="1096" t="s">
        <v>9457</v>
      </c>
      <c r="G2072" s="1096">
        <v>95.4</v>
      </c>
      <c r="H2072" s="1096" t="s">
        <v>9333</v>
      </c>
      <c r="I2072" s="871">
        <v>46295.865464537041</v>
      </c>
      <c r="J2072" s="1096" t="s">
        <v>9969</v>
      </c>
      <c r="K2072" s="975" t="str">
        <f>IF(COUNTIFS(tblControles[Clave],tblControles[[#This Row],[Clave]])&gt;1,"Duplicado","")</f>
        <v/>
      </c>
    </row>
    <row r="2073" spans="2:11">
      <c r="B2073" s="975" t="str">
        <f>tblControles[[#This Row],[Fecha]]&amp;"|"&amp;tblControles[[#This Row],[Módulo]]&amp;"|"&amp;tblControles[[#This Row],[Ítem]]&amp;"|"&amp;tblControles[[#This Row],[Turno]]</f>
        <v>46279|CARGA MOLINOS|RM - 9|% carga</v>
      </c>
      <c r="C2073" s="871">
        <v>46279</v>
      </c>
      <c r="D2073" s="1096" t="s">
        <v>9455</v>
      </c>
      <c r="E2073" s="1096" t="s">
        <v>443</v>
      </c>
      <c r="F2073" s="1096" t="s">
        <v>9457</v>
      </c>
      <c r="G2073" s="1096">
        <v>62.7</v>
      </c>
      <c r="H2073" s="1096" t="s">
        <v>9333</v>
      </c>
      <c r="I2073" s="871">
        <v>46295.865464537041</v>
      </c>
      <c r="J2073" s="1096" t="s">
        <v>9969</v>
      </c>
      <c r="K2073" s="975" t="str">
        <f>IF(COUNTIFS(tblControles[Clave],tblControles[[#This Row],[Clave]])&gt;1,"Duplicado","")</f>
        <v/>
      </c>
    </row>
    <row r="2074" spans="2:11">
      <c r="B2074" s="975" t="str">
        <f>tblControles[[#This Row],[Fecha]]&amp;"|"&amp;tblControles[[#This Row],[Módulo]]&amp;"|"&amp;tblControles[[#This Row],[Ítem]]&amp;"|"&amp;tblControles[[#This Row],[Turno]]</f>
        <v>46279|CARGA MOLINOS|BM - 1|% carga</v>
      </c>
      <c r="C2074" s="871">
        <v>46279</v>
      </c>
      <c r="D2074" s="1096" t="s">
        <v>9455</v>
      </c>
      <c r="E2074" s="1096" t="s">
        <v>444</v>
      </c>
      <c r="F2074" s="1096" t="s">
        <v>9457</v>
      </c>
      <c r="G2074" s="1096">
        <v>92.9</v>
      </c>
      <c r="H2074" s="1096" t="s">
        <v>9333</v>
      </c>
      <c r="I2074" s="871">
        <v>46295.865464537041</v>
      </c>
      <c r="J2074" s="1096" t="s">
        <v>9969</v>
      </c>
      <c r="K2074" s="975" t="str">
        <f>IF(COUNTIFS(tblControles[Clave],tblControles[[#This Row],[Clave]])&gt;1,"Duplicado","")</f>
        <v/>
      </c>
    </row>
    <row r="2075" spans="2:11">
      <c r="B2075" s="975" t="str">
        <f>tblControles[[#This Row],[Fecha]]&amp;"|"&amp;tblControles[[#This Row],[Módulo]]&amp;"|"&amp;tblControles[[#This Row],[Ítem]]&amp;"|"&amp;tblControles[[#This Row],[Turno]]</f>
        <v>46279|CARGA MOLINOS|BM - 2|% carga</v>
      </c>
      <c r="C2075" s="871">
        <v>46279</v>
      </c>
      <c r="D2075" s="1096" t="s">
        <v>9455</v>
      </c>
      <c r="E2075" s="1096" t="s">
        <v>9519</v>
      </c>
      <c r="F2075" s="1096" t="s">
        <v>9457</v>
      </c>
      <c r="G2075" s="1096">
        <v>90</v>
      </c>
      <c r="H2075" s="1096" t="s">
        <v>9333</v>
      </c>
      <c r="I2075" s="871">
        <v>46295.865464537041</v>
      </c>
      <c r="J2075" s="1096" t="s">
        <v>9969</v>
      </c>
      <c r="K2075" s="975" t="str">
        <f>IF(COUNTIFS(tblControles[Clave],tblControles[[#This Row],[Clave]])&gt;1,"Duplicado","")</f>
        <v/>
      </c>
    </row>
    <row r="2076" spans="2:11">
      <c r="B2076" s="975" t="str">
        <f>tblControles[[#This Row],[Fecha]]&amp;"|"&amp;tblControles[[#This Row],[Módulo]]&amp;"|"&amp;tblControles[[#This Row],[Ítem]]&amp;"|"&amp;tblControles[[#This Row],[Turno]]</f>
        <v>46279|CARGA MOLINOS|BM - 3|% carga</v>
      </c>
      <c r="C2076" s="871">
        <v>46279</v>
      </c>
      <c r="D2076" s="1096" t="s">
        <v>9455</v>
      </c>
      <c r="E2076" s="1096" t="s">
        <v>445</v>
      </c>
      <c r="F2076" s="1096" t="s">
        <v>9457</v>
      </c>
      <c r="G2076" s="1096">
        <v>88.9</v>
      </c>
      <c r="H2076" s="1096" t="s">
        <v>9333</v>
      </c>
      <c r="I2076" s="871">
        <v>46295.865464537041</v>
      </c>
      <c r="J2076" s="1096" t="s">
        <v>9969</v>
      </c>
      <c r="K2076" s="975" t="str">
        <f>IF(COUNTIFS(tblControles[Clave],tblControles[[#This Row],[Clave]])&gt;1,"Duplicado","")</f>
        <v/>
      </c>
    </row>
    <row r="2077" spans="2:11">
      <c r="B2077" s="975" t="str">
        <f>tblControles[[#This Row],[Fecha]]&amp;"|"&amp;tblControles[[#This Row],[Módulo]]&amp;"|"&amp;tblControles[[#This Row],[Ítem]]&amp;"|"&amp;tblControles[[#This Row],[Turno]]</f>
        <v>46279|CARGA MOLINOS|BM - 5|% carga</v>
      </c>
      <c r="C2077" s="871">
        <v>46279</v>
      </c>
      <c r="D2077" s="1096" t="s">
        <v>9455</v>
      </c>
      <c r="E2077" s="1096" t="s">
        <v>447</v>
      </c>
      <c r="F2077" s="1096" t="s">
        <v>9457</v>
      </c>
      <c r="G2077" s="1096">
        <v>87.7</v>
      </c>
      <c r="H2077" s="1096" t="s">
        <v>9333</v>
      </c>
      <c r="I2077" s="871">
        <v>46295.865464537041</v>
      </c>
      <c r="J2077" s="1096" t="s">
        <v>9969</v>
      </c>
      <c r="K2077" s="975" t="str">
        <f>IF(COUNTIFS(tblControles[Clave],tblControles[[#This Row],[Clave]])&gt;1,"Duplicado","")</f>
        <v/>
      </c>
    </row>
    <row r="2078" spans="2:11">
      <c r="B2078" s="975" t="str">
        <f>tblControles[[#This Row],[Fecha]]&amp;"|"&amp;tblControles[[#This Row],[Módulo]]&amp;"|"&amp;tblControles[[#This Row],[Ítem]]&amp;"|"&amp;tblControles[[#This Row],[Turno]]</f>
        <v>46279|CARGA MOLINOS|BM - 6|% carga</v>
      </c>
      <c r="C2078" s="871">
        <v>46279</v>
      </c>
      <c r="D2078" s="1096" t="s">
        <v>9455</v>
      </c>
      <c r="E2078" s="1096" t="s">
        <v>448</v>
      </c>
      <c r="F2078" s="1096" t="s">
        <v>9457</v>
      </c>
      <c r="G2078" s="1096">
        <v>89.7</v>
      </c>
      <c r="H2078" s="1096" t="s">
        <v>9333</v>
      </c>
      <c r="I2078" s="871">
        <v>46295.865464537041</v>
      </c>
      <c r="J2078" s="1096" t="s">
        <v>9969</v>
      </c>
      <c r="K2078" s="975" t="str">
        <f>IF(COUNTIFS(tblControles[Clave],tblControles[[#This Row],[Clave]])&gt;1,"Duplicado","")</f>
        <v/>
      </c>
    </row>
    <row r="2079" spans="2:11">
      <c r="B2079" s="975" t="str">
        <f>tblControles[[#This Row],[Fecha]]&amp;"|"&amp;tblControles[[#This Row],[Módulo]]&amp;"|"&amp;tblControles[[#This Row],[Ítem]]&amp;"|"&amp;tblControles[[#This Row],[Turno]]</f>
        <v>46279|CARGA MOLINOS|BM - 7|% carga</v>
      </c>
      <c r="C2079" s="871">
        <v>46279</v>
      </c>
      <c r="D2079" s="1096" t="s">
        <v>9455</v>
      </c>
      <c r="E2079" s="1096" t="s">
        <v>449</v>
      </c>
      <c r="F2079" s="1096" t="s">
        <v>9457</v>
      </c>
      <c r="G2079" s="1096">
        <v>87.5</v>
      </c>
      <c r="H2079" s="1096" t="s">
        <v>9333</v>
      </c>
      <c r="I2079" s="871">
        <v>46295.865464537041</v>
      </c>
      <c r="J2079" s="1096" t="s">
        <v>9969</v>
      </c>
      <c r="K2079" s="975" t="str">
        <f>IF(COUNTIFS(tblControles[Clave],tblControles[[#This Row],[Clave]])&gt;1,"Duplicado","")</f>
        <v/>
      </c>
    </row>
    <row r="2080" spans="2:11">
      <c r="B2080" s="975" t="str">
        <f>tblControles[[#This Row],[Fecha]]&amp;"|"&amp;tblControles[[#This Row],[Módulo]]&amp;"|"&amp;tblControles[[#This Row],[Ítem]]&amp;"|"&amp;tblControles[[#This Row],[Turno]]</f>
        <v>46279|CARGA MOLINOS|BM - 8|% carga</v>
      </c>
      <c r="C2080" s="871">
        <v>46279</v>
      </c>
      <c r="D2080" s="1096" t="s">
        <v>9455</v>
      </c>
      <c r="E2080" s="1096" t="s">
        <v>450</v>
      </c>
      <c r="F2080" s="1096" t="s">
        <v>9457</v>
      </c>
      <c r="G2080" s="1096">
        <v>90</v>
      </c>
      <c r="H2080" s="1096" t="s">
        <v>9333</v>
      </c>
      <c r="I2080" s="871">
        <v>46295.865464537041</v>
      </c>
      <c r="J2080" s="1096" t="s">
        <v>9969</v>
      </c>
      <c r="K2080" s="975" t="str">
        <f>IF(COUNTIFS(tblControles[Clave],tblControles[[#This Row],[Clave]])&gt;1,"Duplicado","")</f>
        <v/>
      </c>
    </row>
    <row r="2081" spans="2:11">
      <c r="B2081" s="975" t="str">
        <f>tblControles[[#This Row],[Fecha]]&amp;"|"&amp;tblControles[[#This Row],[Módulo]]&amp;"|"&amp;tblControles[[#This Row],[Ítem]]&amp;"|"&amp;tblControles[[#This Row],[Turno]]</f>
        <v>46279|CARGA MOLINOS|BM - 9|% carga</v>
      </c>
      <c r="C2081" s="871">
        <v>46279</v>
      </c>
      <c r="D2081" s="1096" t="s">
        <v>9455</v>
      </c>
      <c r="E2081" s="1096" t="s">
        <v>451</v>
      </c>
      <c r="F2081" s="1096" t="s">
        <v>9457</v>
      </c>
      <c r="G2081" s="1096">
        <v>76</v>
      </c>
      <c r="H2081" s="1096" t="s">
        <v>9333</v>
      </c>
      <c r="I2081" s="871">
        <v>46295.865464537041</v>
      </c>
      <c r="J2081" s="1096" t="s">
        <v>9969</v>
      </c>
      <c r="K2081" s="975" t="str">
        <f>IF(COUNTIFS(tblControles[Clave],tblControles[[#This Row],[Clave]])&gt;1,"Duplicado","")</f>
        <v/>
      </c>
    </row>
    <row r="2082" spans="2:11">
      <c r="B2082" s="975" t="str">
        <f>tblControles[[#This Row],[Fecha]]&amp;"|"&amp;tblControles[[#This Row],[Módulo]]&amp;"|"&amp;tblControles[[#This Row],[Ítem]]&amp;"|"&amp;tblControles[[#This Row],[Turno]]</f>
        <v>46279|CARGA MOLINOS|BM - 10|% carga</v>
      </c>
      <c r="C2082" s="871">
        <v>46279</v>
      </c>
      <c r="D2082" s="1096" t="s">
        <v>9455</v>
      </c>
      <c r="E2082" s="1096" t="s">
        <v>452</v>
      </c>
      <c r="F2082" s="1096" t="s">
        <v>9457</v>
      </c>
      <c r="G2082" s="1096">
        <v>88.8</v>
      </c>
      <c r="H2082" s="1096" t="s">
        <v>9333</v>
      </c>
      <c r="I2082" s="871">
        <v>46295.865464537041</v>
      </c>
      <c r="J2082" s="1096" t="s">
        <v>9969</v>
      </c>
      <c r="K2082" s="975" t="str">
        <f>IF(COUNTIFS(tblControles[Clave],tblControles[[#This Row],[Clave]])&gt;1,"Duplicado","")</f>
        <v/>
      </c>
    </row>
    <row r="2083" spans="2:11">
      <c r="B2083" s="975" t="str">
        <f>tblControles[[#This Row],[Fecha]]&amp;"|"&amp;tblControles[[#This Row],[Módulo]]&amp;"|"&amp;tblControles[[#This Row],[Ítem]]&amp;"|"&amp;tblControles[[#This Row],[Turno]]</f>
        <v>46280|CARGA MOLINOS|RM - 1|% carga</v>
      </c>
      <c r="C2083" s="871">
        <v>46280</v>
      </c>
      <c r="D2083" s="1096" t="s">
        <v>9455</v>
      </c>
      <c r="E2083" s="1096" t="s">
        <v>435</v>
      </c>
      <c r="F2083" s="1096" t="s">
        <v>9457</v>
      </c>
      <c r="G2083" s="1096">
        <v>92.5</v>
      </c>
      <c r="H2083" s="1096" t="s">
        <v>9333</v>
      </c>
      <c r="I2083" s="871">
        <v>46295.865464537041</v>
      </c>
      <c r="J2083" s="1096" t="s">
        <v>9969</v>
      </c>
      <c r="K2083" s="975" t="str">
        <f>IF(COUNTIFS(tblControles[Clave],tblControles[[#This Row],[Clave]])&gt;1,"Duplicado","")</f>
        <v/>
      </c>
    </row>
    <row r="2084" spans="2:11">
      <c r="B2084" s="975" t="str">
        <f>tblControles[[#This Row],[Fecha]]&amp;"|"&amp;tblControles[[#This Row],[Módulo]]&amp;"|"&amp;tblControles[[#This Row],[Ítem]]&amp;"|"&amp;tblControles[[#This Row],[Turno]]</f>
        <v>46280|CARGA MOLINOS|RM - 2|% carga</v>
      </c>
      <c r="C2084" s="871">
        <v>46280</v>
      </c>
      <c r="D2084" s="1096" t="s">
        <v>9455</v>
      </c>
      <c r="E2084" s="1096" t="s">
        <v>436</v>
      </c>
      <c r="F2084" s="1096" t="s">
        <v>9457</v>
      </c>
      <c r="G2084" s="1096">
        <v>90.8</v>
      </c>
      <c r="H2084" s="1096" t="s">
        <v>9333</v>
      </c>
      <c r="I2084" s="871">
        <v>46295.865464537041</v>
      </c>
      <c r="J2084" s="1096" t="s">
        <v>9969</v>
      </c>
      <c r="K2084" s="975" t="str">
        <f>IF(COUNTIFS(tblControles[Clave],tblControles[[#This Row],[Clave]])&gt;1,"Duplicado","")</f>
        <v/>
      </c>
    </row>
    <row r="2085" spans="2:11">
      <c r="B2085" s="975" t="str">
        <f>tblControles[[#This Row],[Fecha]]&amp;"|"&amp;tblControles[[#This Row],[Módulo]]&amp;"|"&amp;tblControles[[#This Row],[Ítem]]&amp;"|"&amp;tblControles[[#This Row],[Turno]]</f>
        <v>46280|CARGA MOLINOS|RM - 5|% carga</v>
      </c>
      <c r="C2085" s="871">
        <v>46280</v>
      </c>
      <c r="D2085" s="1096" t="s">
        <v>9455</v>
      </c>
      <c r="E2085" s="1096" t="s">
        <v>439</v>
      </c>
      <c r="F2085" s="1096" t="s">
        <v>9457</v>
      </c>
      <c r="G2085" s="1096">
        <v>94.4</v>
      </c>
      <c r="H2085" s="1096" t="s">
        <v>9333</v>
      </c>
      <c r="I2085" s="871">
        <v>46295.865464537041</v>
      </c>
      <c r="J2085" s="1096" t="s">
        <v>9969</v>
      </c>
      <c r="K2085" s="975" t="str">
        <f>IF(COUNTIFS(tblControles[Clave],tblControles[[#This Row],[Clave]])&gt;1,"Duplicado","")</f>
        <v/>
      </c>
    </row>
    <row r="2086" spans="2:11">
      <c r="B2086" s="975" t="str">
        <f>tblControles[[#This Row],[Fecha]]&amp;"|"&amp;tblControles[[#This Row],[Módulo]]&amp;"|"&amp;tblControles[[#This Row],[Ítem]]&amp;"|"&amp;tblControles[[#This Row],[Turno]]</f>
        <v>46280|CARGA MOLINOS|RM - 6|% carga</v>
      </c>
      <c r="C2086" s="871">
        <v>46280</v>
      </c>
      <c r="D2086" s="1096" t="s">
        <v>9455</v>
      </c>
      <c r="E2086" s="1096" t="s">
        <v>440</v>
      </c>
      <c r="F2086" s="1096" t="s">
        <v>9457</v>
      </c>
      <c r="G2086" s="1096">
        <v>91</v>
      </c>
      <c r="H2086" s="1096" t="s">
        <v>9333</v>
      </c>
      <c r="I2086" s="871">
        <v>46295.865464537041</v>
      </c>
      <c r="J2086" s="1096" t="s">
        <v>9969</v>
      </c>
      <c r="K2086" s="975" t="str">
        <f>IF(COUNTIFS(tblControles[Clave],tblControles[[#This Row],[Clave]])&gt;1,"Duplicado","")</f>
        <v/>
      </c>
    </row>
    <row r="2087" spans="2:11">
      <c r="B2087" s="975" t="str">
        <f>tblControles[[#This Row],[Fecha]]&amp;"|"&amp;tblControles[[#This Row],[Módulo]]&amp;"|"&amp;tblControles[[#This Row],[Ítem]]&amp;"|"&amp;tblControles[[#This Row],[Turno]]</f>
        <v>46280|CARGA MOLINOS|RM - 7|% carga</v>
      </c>
      <c r="C2087" s="871">
        <v>46280</v>
      </c>
      <c r="D2087" s="1096" t="s">
        <v>9455</v>
      </c>
      <c r="E2087" s="1096" t="s">
        <v>441</v>
      </c>
      <c r="F2087" s="1096" t="s">
        <v>9457</v>
      </c>
      <c r="G2087" s="1096">
        <v>93.1</v>
      </c>
      <c r="H2087" s="1096" t="s">
        <v>9333</v>
      </c>
      <c r="I2087" s="871">
        <v>46295.865464537041</v>
      </c>
      <c r="J2087" s="1096" t="s">
        <v>9969</v>
      </c>
      <c r="K2087" s="975" t="str">
        <f>IF(COUNTIFS(tblControles[Clave],tblControles[[#This Row],[Clave]])&gt;1,"Duplicado","")</f>
        <v/>
      </c>
    </row>
    <row r="2088" spans="2:11">
      <c r="B2088" s="975" t="str">
        <f>tblControles[[#This Row],[Fecha]]&amp;"|"&amp;tblControles[[#This Row],[Módulo]]&amp;"|"&amp;tblControles[[#This Row],[Ítem]]&amp;"|"&amp;tblControles[[#This Row],[Turno]]</f>
        <v>46280|CARGA MOLINOS|RM - 8|% carga</v>
      </c>
      <c r="C2088" s="871">
        <v>46280</v>
      </c>
      <c r="D2088" s="1096" t="s">
        <v>9455</v>
      </c>
      <c r="E2088" s="1096" t="s">
        <v>442</v>
      </c>
      <c r="F2088" s="1096" t="s">
        <v>9457</v>
      </c>
      <c r="G2088" s="1096">
        <v>95.2</v>
      </c>
      <c r="H2088" s="1096" t="s">
        <v>9333</v>
      </c>
      <c r="I2088" s="871">
        <v>46295.865464537041</v>
      </c>
      <c r="J2088" s="1096" t="s">
        <v>9969</v>
      </c>
      <c r="K2088" s="975" t="str">
        <f>IF(COUNTIFS(tblControles[Clave],tblControles[[#This Row],[Clave]])&gt;1,"Duplicado","")</f>
        <v/>
      </c>
    </row>
    <row r="2089" spans="2:11">
      <c r="B2089" s="975" t="str">
        <f>tblControles[[#This Row],[Fecha]]&amp;"|"&amp;tblControles[[#This Row],[Módulo]]&amp;"|"&amp;tblControles[[#This Row],[Ítem]]&amp;"|"&amp;tblControles[[#This Row],[Turno]]</f>
        <v>46280|CARGA MOLINOS|RM - 9|% carga</v>
      </c>
      <c r="C2089" s="871">
        <v>46280</v>
      </c>
      <c r="D2089" s="1096" t="s">
        <v>9455</v>
      </c>
      <c r="E2089" s="1096" t="s">
        <v>443</v>
      </c>
      <c r="F2089" s="1096" t="s">
        <v>9457</v>
      </c>
      <c r="G2089" s="1096">
        <v>67.7</v>
      </c>
      <c r="H2089" s="1096" t="s">
        <v>9333</v>
      </c>
      <c r="I2089" s="871">
        <v>46295.865464537041</v>
      </c>
      <c r="J2089" s="1096" t="s">
        <v>9969</v>
      </c>
      <c r="K2089" s="975" t="str">
        <f>IF(COUNTIFS(tblControles[Clave],tblControles[[#This Row],[Clave]])&gt;1,"Duplicado","")</f>
        <v/>
      </c>
    </row>
    <row r="2090" spans="2:11">
      <c r="B2090" s="975" t="str">
        <f>tblControles[[#This Row],[Fecha]]&amp;"|"&amp;tblControles[[#This Row],[Módulo]]&amp;"|"&amp;tblControles[[#This Row],[Ítem]]&amp;"|"&amp;tblControles[[#This Row],[Turno]]</f>
        <v>46280|CARGA MOLINOS|BM - 1|% carga</v>
      </c>
      <c r="C2090" s="871">
        <v>46280</v>
      </c>
      <c r="D2090" s="1096" t="s">
        <v>9455</v>
      </c>
      <c r="E2090" s="1096" t="s">
        <v>444</v>
      </c>
      <c r="F2090" s="1096" t="s">
        <v>9457</v>
      </c>
      <c r="G2090" s="1096">
        <v>91.3</v>
      </c>
      <c r="H2090" s="1096" t="s">
        <v>9333</v>
      </c>
      <c r="I2090" s="871">
        <v>46295.865464537041</v>
      </c>
      <c r="J2090" s="1096" t="s">
        <v>9969</v>
      </c>
      <c r="K2090" s="975" t="str">
        <f>IF(COUNTIFS(tblControles[Clave],tblControles[[#This Row],[Clave]])&gt;1,"Duplicado","")</f>
        <v/>
      </c>
    </row>
    <row r="2091" spans="2:11">
      <c r="B2091" s="975" t="str">
        <f>tblControles[[#This Row],[Fecha]]&amp;"|"&amp;tblControles[[#This Row],[Módulo]]&amp;"|"&amp;tblControles[[#This Row],[Ítem]]&amp;"|"&amp;tblControles[[#This Row],[Turno]]</f>
        <v>46280|CARGA MOLINOS|BM - 2|% carga</v>
      </c>
      <c r="C2091" s="871">
        <v>46280</v>
      </c>
      <c r="D2091" s="1096" t="s">
        <v>9455</v>
      </c>
      <c r="E2091" s="1096" t="s">
        <v>9519</v>
      </c>
      <c r="F2091" s="1096" t="s">
        <v>9457</v>
      </c>
      <c r="G2091" s="1096">
        <v>92.2</v>
      </c>
      <c r="H2091" s="1096" t="s">
        <v>9333</v>
      </c>
      <c r="I2091" s="871">
        <v>46295.865464537041</v>
      </c>
      <c r="J2091" s="1096" t="s">
        <v>9969</v>
      </c>
      <c r="K2091" s="975" t="str">
        <f>IF(COUNTIFS(tblControles[Clave],tblControles[[#This Row],[Clave]])&gt;1,"Duplicado","")</f>
        <v/>
      </c>
    </row>
    <row r="2092" spans="2:11">
      <c r="B2092" s="975" t="str">
        <f>tblControles[[#This Row],[Fecha]]&amp;"|"&amp;tblControles[[#This Row],[Módulo]]&amp;"|"&amp;tblControles[[#This Row],[Ítem]]&amp;"|"&amp;tblControles[[#This Row],[Turno]]</f>
        <v>46280|CARGA MOLINOS|BM - 3|% carga</v>
      </c>
      <c r="C2092" s="871">
        <v>46280</v>
      </c>
      <c r="D2092" s="1096" t="s">
        <v>9455</v>
      </c>
      <c r="E2092" s="1096" t="s">
        <v>445</v>
      </c>
      <c r="F2092" s="1096" t="s">
        <v>9457</v>
      </c>
      <c r="G2092" s="1096">
        <v>94.9</v>
      </c>
      <c r="H2092" s="1096" t="s">
        <v>9333</v>
      </c>
      <c r="I2092" s="871">
        <v>46295.865464537041</v>
      </c>
      <c r="J2092" s="1096" t="s">
        <v>9969</v>
      </c>
      <c r="K2092" s="975" t="str">
        <f>IF(COUNTIFS(tblControles[Clave],tblControles[[#This Row],[Clave]])&gt;1,"Duplicado","")</f>
        <v/>
      </c>
    </row>
    <row r="2093" spans="2:11">
      <c r="B2093" s="975" t="str">
        <f>tblControles[[#This Row],[Fecha]]&amp;"|"&amp;tblControles[[#This Row],[Módulo]]&amp;"|"&amp;tblControles[[#This Row],[Ítem]]&amp;"|"&amp;tblControles[[#This Row],[Turno]]</f>
        <v>46280|CARGA MOLINOS|BM - 5|% carga</v>
      </c>
      <c r="C2093" s="871">
        <v>46280</v>
      </c>
      <c r="D2093" s="1096" t="s">
        <v>9455</v>
      </c>
      <c r="E2093" s="1096" t="s">
        <v>447</v>
      </c>
      <c r="F2093" s="1096" t="s">
        <v>9457</v>
      </c>
      <c r="G2093" s="1096">
        <v>87.9</v>
      </c>
      <c r="H2093" s="1096" t="s">
        <v>9333</v>
      </c>
      <c r="I2093" s="871">
        <v>46295.865464537041</v>
      </c>
      <c r="J2093" s="1096" t="s">
        <v>9969</v>
      </c>
      <c r="K2093" s="975" t="str">
        <f>IF(COUNTIFS(tblControles[Clave],tblControles[[#This Row],[Clave]])&gt;1,"Duplicado","")</f>
        <v/>
      </c>
    </row>
    <row r="2094" spans="2:11">
      <c r="B2094" s="975" t="str">
        <f>tblControles[[#This Row],[Fecha]]&amp;"|"&amp;tblControles[[#This Row],[Módulo]]&amp;"|"&amp;tblControles[[#This Row],[Ítem]]&amp;"|"&amp;tblControles[[#This Row],[Turno]]</f>
        <v>46280|CARGA MOLINOS|BM - 6|% carga</v>
      </c>
      <c r="C2094" s="871">
        <v>46280</v>
      </c>
      <c r="D2094" s="1096" t="s">
        <v>9455</v>
      </c>
      <c r="E2094" s="1096" t="s">
        <v>448</v>
      </c>
      <c r="F2094" s="1096" t="s">
        <v>9457</v>
      </c>
      <c r="G2094" s="1096">
        <v>90</v>
      </c>
      <c r="H2094" s="1096" t="s">
        <v>9333</v>
      </c>
      <c r="I2094" s="871">
        <v>46295.865464537041</v>
      </c>
      <c r="J2094" s="1096" t="s">
        <v>9969</v>
      </c>
      <c r="K2094" s="975" t="str">
        <f>IF(COUNTIFS(tblControles[Clave],tblControles[[#This Row],[Clave]])&gt;1,"Duplicado","")</f>
        <v/>
      </c>
    </row>
    <row r="2095" spans="2:11">
      <c r="B2095" s="975" t="str">
        <f>tblControles[[#This Row],[Fecha]]&amp;"|"&amp;tblControles[[#This Row],[Módulo]]&amp;"|"&amp;tblControles[[#This Row],[Ítem]]&amp;"|"&amp;tblControles[[#This Row],[Turno]]</f>
        <v>46280|CARGA MOLINOS|BM - 7|% carga</v>
      </c>
      <c r="C2095" s="871">
        <v>46280</v>
      </c>
      <c r="D2095" s="1096" t="s">
        <v>9455</v>
      </c>
      <c r="E2095" s="1096" t="s">
        <v>449</v>
      </c>
      <c r="F2095" s="1096" t="s">
        <v>9457</v>
      </c>
      <c r="G2095" s="1096">
        <v>88.9</v>
      </c>
      <c r="H2095" s="1096" t="s">
        <v>9333</v>
      </c>
      <c r="I2095" s="871">
        <v>46295.865464537041</v>
      </c>
      <c r="J2095" s="1096" t="s">
        <v>9969</v>
      </c>
      <c r="K2095" s="975" t="str">
        <f>IF(COUNTIFS(tblControles[Clave],tblControles[[#This Row],[Clave]])&gt;1,"Duplicado","")</f>
        <v/>
      </c>
    </row>
    <row r="2096" spans="2:11">
      <c r="B2096" s="975" t="str">
        <f>tblControles[[#This Row],[Fecha]]&amp;"|"&amp;tblControles[[#This Row],[Módulo]]&amp;"|"&amp;tblControles[[#This Row],[Ítem]]&amp;"|"&amp;tblControles[[#This Row],[Turno]]</f>
        <v>46280|CARGA MOLINOS|BM - 8|% carga</v>
      </c>
      <c r="C2096" s="871">
        <v>46280</v>
      </c>
      <c r="D2096" s="1096" t="s">
        <v>9455</v>
      </c>
      <c r="E2096" s="1096" t="s">
        <v>450</v>
      </c>
      <c r="F2096" s="1096" t="s">
        <v>9457</v>
      </c>
      <c r="G2096" s="1096">
        <v>91.7</v>
      </c>
      <c r="H2096" s="1096" t="s">
        <v>9333</v>
      </c>
      <c r="I2096" s="871">
        <v>46295.865464537041</v>
      </c>
      <c r="J2096" s="1096" t="s">
        <v>9969</v>
      </c>
      <c r="K2096" s="975" t="str">
        <f>IF(COUNTIFS(tblControles[Clave],tblControles[[#This Row],[Clave]])&gt;1,"Duplicado","")</f>
        <v/>
      </c>
    </row>
    <row r="2097" spans="2:11">
      <c r="B2097" s="975" t="str">
        <f>tblControles[[#This Row],[Fecha]]&amp;"|"&amp;tblControles[[#This Row],[Módulo]]&amp;"|"&amp;tblControles[[#This Row],[Ítem]]&amp;"|"&amp;tblControles[[#This Row],[Turno]]</f>
        <v>46280|CARGA MOLINOS|BM - 9|% carga</v>
      </c>
      <c r="C2097" s="871">
        <v>46280</v>
      </c>
      <c r="D2097" s="1096" t="s">
        <v>9455</v>
      </c>
      <c r="E2097" s="1096" t="s">
        <v>451</v>
      </c>
      <c r="F2097" s="1096" t="s">
        <v>9457</v>
      </c>
      <c r="G2097" s="1096">
        <v>76.3</v>
      </c>
      <c r="H2097" s="1096" t="s">
        <v>9333</v>
      </c>
      <c r="I2097" s="871">
        <v>46295.865464537041</v>
      </c>
      <c r="J2097" s="1096" t="s">
        <v>9969</v>
      </c>
      <c r="K2097" s="975" t="str">
        <f>IF(COUNTIFS(tblControles[Clave],tblControles[[#This Row],[Clave]])&gt;1,"Duplicado","")</f>
        <v/>
      </c>
    </row>
    <row r="2098" spans="2:11">
      <c r="B2098" s="975" t="str">
        <f>tblControles[[#This Row],[Fecha]]&amp;"|"&amp;tblControles[[#This Row],[Módulo]]&amp;"|"&amp;tblControles[[#This Row],[Ítem]]&amp;"|"&amp;tblControles[[#This Row],[Turno]]</f>
        <v>46281|CARGA MOLINOS|RM - 1|% carga</v>
      </c>
      <c r="C2098" s="871">
        <v>46281</v>
      </c>
      <c r="D2098" s="1096" t="s">
        <v>9455</v>
      </c>
      <c r="E2098" s="1096" t="s">
        <v>435</v>
      </c>
      <c r="F2098" s="1096" t="s">
        <v>9457</v>
      </c>
      <c r="G2098" s="1096">
        <v>91.8</v>
      </c>
      <c r="H2098" s="1096" t="s">
        <v>9333</v>
      </c>
      <c r="I2098" s="871">
        <v>46295.865464537041</v>
      </c>
      <c r="J2098" s="1096" t="s">
        <v>9969</v>
      </c>
      <c r="K2098" s="975" t="str">
        <f>IF(COUNTIFS(tblControles[Clave],tblControles[[#This Row],[Clave]])&gt;1,"Duplicado","")</f>
        <v/>
      </c>
    </row>
    <row r="2099" spans="2:11">
      <c r="B2099" s="975" t="str">
        <f>tblControles[[#This Row],[Fecha]]&amp;"|"&amp;tblControles[[#This Row],[Módulo]]&amp;"|"&amp;tblControles[[#This Row],[Ítem]]&amp;"|"&amp;tblControles[[#This Row],[Turno]]</f>
        <v>46281|CARGA MOLINOS|RM - 2|% carga</v>
      </c>
      <c r="C2099" s="871">
        <v>46281</v>
      </c>
      <c r="D2099" s="1096" t="s">
        <v>9455</v>
      </c>
      <c r="E2099" s="1096" t="s">
        <v>436</v>
      </c>
      <c r="F2099" s="1096" t="s">
        <v>9457</v>
      </c>
      <c r="G2099" s="1096">
        <v>89.8</v>
      </c>
      <c r="H2099" s="1096" t="s">
        <v>9333</v>
      </c>
      <c r="I2099" s="871">
        <v>46295.865464537041</v>
      </c>
      <c r="J2099" s="1096" t="s">
        <v>9969</v>
      </c>
      <c r="K2099" s="975" t="str">
        <f>IF(COUNTIFS(tblControles[Clave],tblControles[[#This Row],[Clave]])&gt;1,"Duplicado","")</f>
        <v/>
      </c>
    </row>
    <row r="2100" spans="2:11">
      <c r="B2100" s="975" t="str">
        <f>tblControles[[#This Row],[Fecha]]&amp;"|"&amp;tblControles[[#This Row],[Módulo]]&amp;"|"&amp;tblControles[[#This Row],[Ítem]]&amp;"|"&amp;tblControles[[#This Row],[Turno]]</f>
        <v>46281|CARGA MOLINOS|RM - 5|% carga</v>
      </c>
      <c r="C2100" s="871">
        <v>46281</v>
      </c>
      <c r="D2100" s="1096" t="s">
        <v>9455</v>
      </c>
      <c r="E2100" s="1096" t="s">
        <v>439</v>
      </c>
      <c r="F2100" s="1096" t="s">
        <v>9457</v>
      </c>
      <c r="G2100" s="1096">
        <v>92.5</v>
      </c>
      <c r="H2100" s="1096" t="s">
        <v>9333</v>
      </c>
      <c r="I2100" s="871">
        <v>46295.865464537041</v>
      </c>
      <c r="J2100" s="1096" t="s">
        <v>9969</v>
      </c>
      <c r="K2100" s="975" t="str">
        <f>IF(COUNTIFS(tblControles[Clave],tblControles[[#This Row],[Clave]])&gt;1,"Duplicado","")</f>
        <v/>
      </c>
    </row>
    <row r="2101" spans="2:11">
      <c r="B2101" s="975" t="str">
        <f>tblControles[[#This Row],[Fecha]]&amp;"|"&amp;tblControles[[#This Row],[Módulo]]&amp;"|"&amp;tblControles[[#This Row],[Ítem]]&amp;"|"&amp;tblControles[[#This Row],[Turno]]</f>
        <v>46281|CARGA MOLINOS|RM - 6|% carga</v>
      </c>
      <c r="C2101" s="871">
        <v>46281</v>
      </c>
      <c r="D2101" s="1096" t="s">
        <v>9455</v>
      </c>
      <c r="E2101" s="1096" t="s">
        <v>440</v>
      </c>
      <c r="F2101" s="1096" t="s">
        <v>9457</v>
      </c>
      <c r="G2101" s="1096">
        <v>92.9</v>
      </c>
      <c r="H2101" s="1096" t="s">
        <v>9333</v>
      </c>
      <c r="I2101" s="871">
        <v>46295.865464537041</v>
      </c>
      <c r="J2101" s="1096" t="s">
        <v>9969</v>
      </c>
      <c r="K2101" s="975" t="str">
        <f>IF(COUNTIFS(tblControles[Clave],tblControles[[#This Row],[Clave]])&gt;1,"Duplicado","")</f>
        <v/>
      </c>
    </row>
    <row r="2102" spans="2:11">
      <c r="B2102" s="975" t="str">
        <f>tblControles[[#This Row],[Fecha]]&amp;"|"&amp;tblControles[[#This Row],[Módulo]]&amp;"|"&amp;tblControles[[#This Row],[Ítem]]&amp;"|"&amp;tblControles[[#This Row],[Turno]]</f>
        <v>46281|CARGA MOLINOS|RM - 7|% carga</v>
      </c>
      <c r="C2102" s="871">
        <v>46281</v>
      </c>
      <c r="D2102" s="1096" t="s">
        <v>9455</v>
      </c>
      <c r="E2102" s="1096" t="s">
        <v>441</v>
      </c>
      <c r="F2102" s="1096" t="s">
        <v>9457</v>
      </c>
      <c r="G2102" s="1096">
        <v>91.8</v>
      </c>
      <c r="H2102" s="1096" t="s">
        <v>9333</v>
      </c>
      <c r="I2102" s="871">
        <v>46295.865464537041</v>
      </c>
      <c r="J2102" s="1096" t="s">
        <v>9969</v>
      </c>
      <c r="K2102" s="975" t="str">
        <f>IF(COUNTIFS(tblControles[Clave],tblControles[[#This Row],[Clave]])&gt;1,"Duplicado","")</f>
        <v/>
      </c>
    </row>
    <row r="2103" spans="2:11">
      <c r="B2103" s="975" t="str">
        <f>tblControles[[#This Row],[Fecha]]&amp;"|"&amp;tblControles[[#This Row],[Módulo]]&amp;"|"&amp;tblControles[[#This Row],[Ítem]]&amp;"|"&amp;tblControles[[#This Row],[Turno]]</f>
        <v>46281|CARGA MOLINOS|RM - 8|% carga</v>
      </c>
      <c r="C2103" s="871">
        <v>46281</v>
      </c>
      <c r="D2103" s="1096" t="s">
        <v>9455</v>
      </c>
      <c r="E2103" s="1096" t="s">
        <v>442</v>
      </c>
      <c r="F2103" s="1096" t="s">
        <v>9457</v>
      </c>
      <c r="G2103" s="1096">
        <v>92.7</v>
      </c>
      <c r="H2103" s="1096" t="s">
        <v>9333</v>
      </c>
      <c r="I2103" s="871">
        <v>46295.865464537041</v>
      </c>
      <c r="J2103" s="1096" t="s">
        <v>9969</v>
      </c>
      <c r="K2103" s="975" t="str">
        <f>IF(COUNTIFS(tblControles[Clave],tblControles[[#This Row],[Clave]])&gt;1,"Duplicado","")</f>
        <v/>
      </c>
    </row>
    <row r="2104" spans="2:11">
      <c r="B2104" s="975" t="str">
        <f>tblControles[[#This Row],[Fecha]]&amp;"|"&amp;tblControles[[#This Row],[Módulo]]&amp;"|"&amp;tblControles[[#This Row],[Ítem]]&amp;"|"&amp;tblControles[[#This Row],[Turno]]</f>
        <v>46281|CARGA MOLINOS|RM - 9|% carga</v>
      </c>
      <c r="C2104" s="871">
        <v>46281</v>
      </c>
      <c r="D2104" s="1096" t="s">
        <v>9455</v>
      </c>
      <c r="E2104" s="1096" t="s">
        <v>443</v>
      </c>
      <c r="F2104" s="1096" t="s">
        <v>9457</v>
      </c>
      <c r="G2104" s="1096">
        <v>64.400000000000006</v>
      </c>
      <c r="H2104" s="1096" t="s">
        <v>9333</v>
      </c>
      <c r="I2104" s="871">
        <v>46295.865464537041</v>
      </c>
      <c r="J2104" s="1096" t="s">
        <v>9969</v>
      </c>
      <c r="K2104" s="975" t="str">
        <f>IF(COUNTIFS(tblControles[Clave],tblControles[[#This Row],[Clave]])&gt;1,"Duplicado","")</f>
        <v/>
      </c>
    </row>
    <row r="2105" spans="2:11">
      <c r="B2105" s="975" t="str">
        <f>tblControles[[#This Row],[Fecha]]&amp;"|"&amp;tblControles[[#This Row],[Módulo]]&amp;"|"&amp;tblControles[[#This Row],[Ítem]]&amp;"|"&amp;tblControles[[#This Row],[Turno]]</f>
        <v>46281|CARGA MOLINOS|BM - 1|% carga</v>
      </c>
      <c r="C2105" s="871">
        <v>46281</v>
      </c>
      <c r="D2105" s="1096" t="s">
        <v>9455</v>
      </c>
      <c r="E2105" s="1096" t="s">
        <v>444</v>
      </c>
      <c r="F2105" s="1096" t="s">
        <v>9457</v>
      </c>
      <c r="G2105" s="1096">
        <v>92.5</v>
      </c>
      <c r="H2105" s="1096" t="s">
        <v>9333</v>
      </c>
      <c r="I2105" s="871">
        <v>46295.865464537041</v>
      </c>
      <c r="J2105" s="1096" t="s">
        <v>9969</v>
      </c>
      <c r="K2105" s="975" t="str">
        <f>IF(COUNTIFS(tblControles[Clave],tblControles[[#This Row],[Clave]])&gt;1,"Duplicado","")</f>
        <v/>
      </c>
    </row>
    <row r="2106" spans="2:11">
      <c r="B2106" s="975" t="str">
        <f>tblControles[[#This Row],[Fecha]]&amp;"|"&amp;tblControles[[#This Row],[Módulo]]&amp;"|"&amp;tblControles[[#This Row],[Ítem]]&amp;"|"&amp;tblControles[[#This Row],[Turno]]</f>
        <v>46281|CARGA MOLINOS|BM - 2|% carga</v>
      </c>
      <c r="C2106" s="871">
        <v>46281</v>
      </c>
      <c r="D2106" s="1096" t="s">
        <v>9455</v>
      </c>
      <c r="E2106" s="1096" t="s">
        <v>9519</v>
      </c>
      <c r="F2106" s="1096" t="s">
        <v>9457</v>
      </c>
      <c r="G2106" s="1096">
        <v>92.3</v>
      </c>
      <c r="H2106" s="1096" t="s">
        <v>9333</v>
      </c>
      <c r="I2106" s="871">
        <v>46295.865464537041</v>
      </c>
      <c r="J2106" s="1096" t="s">
        <v>9969</v>
      </c>
      <c r="K2106" s="975" t="str">
        <f>IF(COUNTIFS(tblControles[Clave],tblControles[[#This Row],[Clave]])&gt;1,"Duplicado","")</f>
        <v/>
      </c>
    </row>
    <row r="2107" spans="2:11">
      <c r="B2107" s="975" t="str">
        <f>tblControles[[#This Row],[Fecha]]&amp;"|"&amp;tblControles[[#This Row],[Módulo]]&amp;"|"&amp;tblControles[[#This Row],[Ítem]]&amp;"|"&amp;tblControles[[#This Row],[Turno]]</f>
        <v>46281|CARGA MOLINOS|BM - 3|% carga</v>
      </c>
      <c r="C2107" s="871">
        <v>46281</v>
      </c>
      <c r="D2107" s="1096" t="s">
        <v>9455</v>
      </c>
      <c r="E2107" s="1096" t="s">
        <v>445</v>
      </c>
      <c r="F2107" s="1096" t="s">
        <v>9457</v>
      </c>
      <c r="G2107" s="1096">
        <v>92.5</v>
      </c>
      <c r="H2107" s="1096" t="s">
        <v>9333</v>
      </c>
      <c r="I2107" s="871">
        <v>46295.865464537041</v>
      </c>
      <c r="J2107" s="1096" t="s">
        <v>9969</v>
      </c>
      <c r="K2107" s="975" t="str">
        <f>IF(COUNTIFS(tblControles[Clave],tblControles[[#This Row],[Clave]])&gt;1,"Duplicado","")</f>
        <v/>
      </c>
    </row>
    <row r="2108" spans="2:11">
      <c r="B2108" s="975" t="str">
        <f>tblControles[[#This Row],[Fecha]]&amp;"|"&amp;tblControles[[#This Row],[Módulo]]&amp;"|"&amp;tblControles[[#This Row],[Ítem]]&amp;"|"&amp;tblControles[[#This Row],[Turno]]</f>
        <v>46281|CARGA MOLINOS|BM - 4|% carga</v>
      </c>
      <c r="C2108" s="871">
        <v>46281</v>
      </c>
      <c r="D2108" s="1096" t="s">
        <v>9455</v>
      </c>
      <c r="E2108" s="1096" t="s">
        <v>446</v>
      </c>
      <c r="F2108" s="1096" t="s">
        <v>9457</v>
      </c>
      <c r="G2108" s="1096">
        <v>91.2</v>
      </c>
      <c r="H2108" s="1096" t="s">
        <v>9333</v>
      </c>
      <c r="I2108" s="871">
        <v>46295.865464537041</v>
      </c>
      <c r="J2108" s="1096" t="s">
        <v>9969</v>
      </c>
      <c r="K2108" s="975" t="str">
        <f>IF(COUNTIFS(tblControles[Clave],tblControles[[#This Row],[Clave]])&gt;1,"Duplicado","")</f>
        <v/>
      </c>
    </row>
    <row r="2109" spans="2:11">
      <c r="B2109" s="975" t="str">
        <f>tblControles[[#This Row],[Fecha]]&amp;"|"&amp;tblControles[[#This Row],[Módulo]]&amp;"|"&amp;tblControles[[#This Row],[Ítem]]&amp;"|"&amp;tblControles[[#This Row],[Turno]]</f>
        <v>46281|CARGA MOLINOS|BM - 5|% carga</v>
      </c>
      <c r="C2109" s="871">
        <v>46281</v>
      </c>
      <c r="D2109" s="1096" t="s">
        <v>9455</v>
      </c>
      <c r="E2109" s="1096" t="s">
        <v>447</v>
      </c>
      <c r="F2109" s="1096" t="s">
        <v>9457</v>
      </c>
      <c r="G2109" s="1096">
        <v>89.1</v>
      </c>
      <c r="H2109" s="1096" t="s">
        <v>9333</v>
      </c>
      <c r="I2109" s="871">
        <v>46295.865464537041</v>
      </c>
      <c r="J2109" s="1096" t="s">
        <v>9969</v>
      </c>
      <c r="K2109" s="975" t="str">
        <f>IF(COUNTIFS(tblControles[Clave],tblControles[[#This Row],[Clave]])&gt;1,"Duplicado","")</f>
        <v/>
      </c>
    </row>
    <row r="2110" spans="2:11">
      <c r="B2110" s="975" t="str">
        <f>tblControles[[#This Row],[Fecha]]&amp;"|"&amp;tblControles[[#This Row],[Módulo]]&amp;"|"&amp;tblControles[[#This Row],[Ítem]]&amp;"|"&amp;tblControles[[#This Row],[Turno]]</f>
        <v>46281|CARGA MOLINOS|BM - 6|% carga</v>
      </c>
      <c r="C2110" s="871">
        <v>46281</v>
      </c>
      <c r="D2110" s="1096" t="s">
        <v>9455</v>
      </c>
      <c r="E2110" s="1096" t="s">
        <v>448</v>
      </c>
      <c r="F2110" s="1096" t="s">
        <v>9457</v>
      </c>
      <c r="G2110" s="1096">
        <v>90.4</v>
      </c>
      <c r="H2110" s="1096" t="s">
        <v>9333</v>
      </c>
      <c r="I2110" s="871">
        <v>46295.865464537041</v>
      </c>
      <c r="J2110" s="1096" t="s">
        <v>9969</v>
      </c>
      <c r="K2110" s="975" t="str">
        <f>IF(COUNTIFS(tblControles[Clave],tblControles[[#This Row],[Clave]])&gt;1,"Duplicado","")</f>
        <v/>
      </c>
    </row>
    <row r="2111" spans="2:11">
      <c r="B2111" s="975" t="str">
        <f>tblControles[[#This Row],[Fecha]]&amp;"|"&amp;tblControles[[#This Row],[Módulo]]&amp;"|"&amp;tblControles[[#This Row],[Ítem]]&amp;"|"&amp;tblControles[[#This Row],[Turno]]</f>
        <v>46281|CARGA MOLINOS|BM - 7|% carga</v>
      </c>
      <c r="C2111" s="871">
        <v>46281</v>
      </c>
      <c r="D2111" s="1096" t="s">
        <v>9455</v>
      </c>
      <c r="E2111" s="1096" t="s">
        <v>449</v>
      </c>
      <c r="F2111" s="1096" t="s">
        <v>9457</v>
      </c>
      <c r="G2111" s="1096">
        <v>88.2</v>
      </c>
      <c r="H2111" s="1096" t="s">
        <v>9333</v>
      </c>
      <c r="I2111" s="871">
        <v>46295.865464537041</v>
      </c>
      <c r="J2111" s="1096" t="s">
        <v>9969</v>
      </c>
      <c r="K2111" s="975" t="str">
        <f>IF(COUNTIFS(tblControles[Clave],tblControles[[#This Row],[Clave]])&gt;1,"Duplicado","")</f>
        <v/>
      </c>
    </row>
    <row r="2112" spans="2:11">
      <c r="B2112" s="975" t="str">
        <f>tblControles[[#This Row],[Fecha]]&amp;"|"&amp;tblControles[[#This Row],[Módulo]]&amp;"|"&amp;tblControles[[#This Row],[Ítem]]&amp;"|"&amp;tblControles[[#This Row],[Turno]]</f>
        <v>46281|CARGA MOLINOS|BM - 8|% carga</v>
      </c>
      <c r="C2112" s="871">
        <v>46281</v>
      </c>
      <c r="D2112" s="1096" t="s">
        <v>9455</v>
      </c>
      <c r="E2112" s="1096" t="s">
        <v>450</v>
      </c>
      <c r="F2112" s="1096" t="s">
        <v>9457</v>
      </c>
      <c r="G2112" s="1096">
        <v>90.9</v>
      </c>
      <c r="H2112" s="1096" t="s">
        <v>9333</v>
      </c>
      <c r="I2112" s="871">
        <v>46295.865464537041</v>
      </c>
      <c r="J2112" s="1096" t="s">
        <v>9969</v>
      </c>
      <c r="K2112" s="975" t="str">
        <f>IF(COUNTIFS(tblControles[Clave],tblControles[[#This Row],[Clave]])&gt;1,"Duplicado","")</f>
        <v/>
      </c>
    </row>
    <row r="2113" spans="2:11">
      <c r="B2113" s="975" t="str">
        <f>tblControles[[#This Row],[Fecha]]&amp;"|"&amp;tblControles[[#This Row],[Módulo]]&amp;"|"&amp;tblControles[[#This Row],[Ítem]]&amp;"|"&amp;tblControles[[#This Row],[Turno]]</f>
        <v>46281|CARGA MOLINOS|BM - 9|% carga</v>
      </c>
      <c r="C2113" s="871">
        <v>46281</v>
      </c>
      <c r="D2113" s="1096" t="s">
        <v>9455</v>
      </c>
      <c r="E2113" s="1096" t="s">
        <v>451</v>
      </c>
      <c r="F2113" s="1096" t="s">
        <v>9457</v>
      </c>
      <c r="G2113" s="1096">
        <v>75.8</v>
      </c>
      <c r="H2113" s="1096" t="s">
        <v>9333</v>
      </c>
      <c r="I2113" s="871">
        <v>46295.865464537041</v>
      </c>
      <c r="J2113" s="1096" t="s">
        <v>9969</v>
      </c>
      <c r="K2113" s="975" t="str">
        <f>IF(COUNTIFS(tblControles[Clave],tblControles[[#This Row],[Clave]])&gt;1,"Duplicado","")</f>
        <v/>
      </c>
    </row>
    <row r="2114" spans="2:11">
      <c r="B2114" s="975" t="str">
        <f>tblControles[[#This Row],[Fecha]]&amp;"|"&amp;tblControles[[#This Row],[Módulo]]&amp;"|"&amp;tblControles[[#This Row],[Ítem]]&amp;"|"&amp;tblControles[[#This Row],[Turno]]</f>
        <v>46282|CARGA MOLINOS|RM - 1|% carga</v>
      </c>
      <c r="C2114" s="871">
        <v>46282</v>
      </c>
      <c r="D2114" s="1096" t="s">
        <v>9455</v>
      </c>
      <c r="E2114" s="1096" t="s">
        <v>435</v>
      </c>
      <c r="F2114" s="1096" t="s">
        <v>9457</v>
      </c>
      <c r="G2114" s="1096">
        <v>90.9</v>
      </c>
      <c r="H2114" s="1096" t="s">
        <v>9333</v>
      </c>
      <c r="I2114" s="871">
        <v>46295.865464537041</v>
      </c>
      <c r="J2114" s="1096" t="s">
        <v>9969</v>
      </c>
      <c r="K2114" s="975" t="str">
        <f>IF(COUNTIFS(tblControles[Clave],tblControles[[#This Row],[Clave]])&gt;1,"Duplicado","")</f>
        <v/>
      </c>
    </row>
    <row r="2115" spans="2:11">
      <c r="B2115" s="975" t="str">
        <f>tblControles[[#This Row],[Fecha]]&amp;"|"&amp;tblControles[[#This Row],[Módulo]]&amp;"|"&amp;tblControles[[#This Row],[Ítem]]&amp;"|"&amp;tblControles[[#This Row],[Turno]]</f>
        <v>46282|CARGA MOLINOS|RM - 2|% carga</v>
      </c>
      <c r="C2115" s="871">
        <v>46282</v>
      </c>
      <c r="D2115" s="1096" t="s">
        <v>9455</v>
      </c>
      <c r="E2115" s="1096" t="s">
        <v>436</v>
      </c>
      <c r="F2115" s="1096" t="s">
        <v>9457</v>
      </c>
      <c r="G2115" s="1096">
        <v>93.3</v>
      </c>
      <c r="H2115" s="1096" t="s">
        <v>9333</v>
      </c>
      <c r="I2115" s="871">
        <v>46295.865464537041</v>
      </c>
      <c r="J2115" s="1096" t="s">
        <v>9969</v>
      </c>
      <c r="K2115" s="975" t="str">
        <f>IF(COUNTIFS(tblControles[Clave],tblControles[[#This Row],[Clave]])&gt;1,"Duplicado","")</f>
        <v/>
      </c>
    </row>
    <row r="2116" spans="2:11">
      <c r="B2116" s="975" t="str">
        <f>tblControles[[#This Row],[Fecha]]&amp;"|"&amp;tblControles[[#This Row],[Módulo]]&amp;"|"&amp;tblControles[[#This Row],[Ítem]]&amp;"|"&amp;tblControles[[#This Row],[Turno]]</f>
        <v>46282|CARGA MOLINOS|RM - 5|% carga</v>
      </c>
      <c r="C2116" s="871">
        <v>46282</v>
      </c>
      <c r="D2116" s="1096" t="s">
        <v>9455</v>
      </c>
      <c r="E2116" s="1096" t="s">
        <v>439</v>
      </c>
      <c r="F2116" s="1096" t="s">
        <v>9457</v>
      </c>
      <c r="G2116" s="1096">
        <v>90.2</v>
      </c>
      <c r="H2116" s="1096" t="s">
        <v>9333</v>
      </c>
      <c r="I2116" s="871">
        <v>46295.865464537041</v>
      </c>
      <c r="J2116" s="1096" t="s">
        <v>9969</v>
      </c>
      <c r="K2116" s="975" t="str">
        <f>IF(COUNTIFS(tblControles[Clave],tblControles[[#This Row],[Clave]])&gt;1,"Duplicado","")</f>
        <v/>
      </c>
    </row>
    <row r="2117" spans="2:11">
      <c r="B2117" s="975" t="str">
        <f>tblControles[[#This Row],[Fecha]]&amp;"|"&amp;tblControles[[#This Row],[Módulo]]&amp;"|"&amp;tblControles[[#This Row],[Ítem]]&amp;"|"&amp;tblControles[[#This Row],[Turno]]</f>
        <v>46282|CARGA MOLINOS|RM - 6|% carga</v>
      </c>
      <c r="C2117" s="871">
        <v>46282</v>
      </c>
      <c r="D2117" s="1096" t="s">
        <v>9455</v>
      </c>
      <c r="E2117" s="1096" t="s">
        <v>440</v>
      </c>
      <c r="F2117" s="1096" t="s">
        <v>9457</v>
      </c>
      <c r="G2117" s="1096">
        <v>90.8</v>
      </c>
      <c r="H2117" s="1096" t="s">
        <v>9333</v>
      </c>
      <c r="I2117" s="871">
        <v>46295.865464537041</v>
      </c>
      <c r="J2117" s="1096" t="s">
        <v>9969</v>
      </c>
      <c r="K2117" s="975" t="str">
        <f>IF(COUNTIFS(tblControles[Clave],tblControles[[#This Row],[Clave]])&gt;1,"Duplicado","")</f>
        <v/>
      </c>
    </row>
    <row r="2118" spans="2:11">
      <c r="B2118" s="975" t="str">
        <f>tblControles[[#This Row],[Fecha]]&amp;"|"&amp;tblControles[[#This Row],[Módulo]]&amp;"|"&amp;tblControles[[#This Row],[Ítem]]&amp;"|"&amp;tblControles[[#This Row],[Turno]]</f>
        <v>46282|CARGA MOLINOS|RM - 8|% carga</v>
      </c>
      <c r="C2118" s="871">
        <v>46282</v>
      </c>
      <c r="D2118" s="1096" t="s">
        <v>9455</v>
      </c>
      <c r="E2118" s="1096" t="s">
        <v>442</v>
      </c>
      <c r="F2118" s="1096" t="s">
        <v>9457</v>
      </c>
      <c r="G2118" s="1096">
        <v>92.1</v>
      </c>
      <c r="H2118" s="1096" t="s">
        <v>9333</v>
      </c>
      <c r="I2118" s="871">
        <v>46295.865464537041</v>
      </c>
      <c r="J2118" s="1096" t="s">
        <v>9969</v>
      </c>
      <c r="K2118" s="975" t="str">
        <f>IF(COUNTIFS(tblControles[Clave],tblControles[[#This Row],[Clave]])&gt;1,"Duplicado","")</f>
        <v/>
      </c>
    </row>
    <row r="2119" spans="2:11">
      <c r="B2119" s="975" t="str">
        <f>tblControles[[#This Row],[Fecha]]&amp;"|"&amp;tblControles[[#This Row],[Módulo]]&amp;"|"&amp;tblControles[[#This Row],[Ítem]]&amp;"|"&amp;tblControles[[#This Row],[Turno]]</f>
        <v>46282|CARGA MOLINOS|RM - 9|% carga</v>
      </c>
      <c r="C2119" s="871">
        <v>46282</v>
      </c>
      <c r="D2119" s="1096" t="s">
        <v>9455</v>
      </c>
      <c r="E2119" s="1096" t="s">
        <v>443</v>
      </c>
      <c r="F2119" s="1096" t="s">
        <v>9457</v>
      </c>
      <c r="G2119" s="1096">
        <v>66.3</v>
      </c>
      <c r="H2119" s="1096" t="s">
        <v>9333</v>
      </c>
      <c r="I2119" s="871">
        <v>46295.865464537041</v>
      </c>
      <c r="J2119" s="1096" t="s">
        <v>9969</v>
      </c>
      <c r="K2119" s="975" t="str">
        <f>IF(COUNTIFS(tblControles[Clave],tblControles[[#This Row],[Clave]])&gt;1,"Duplicado","")</f>
        <v/>
      </c>
    </row>
    <row r="2120" spans="2:11">
      <c r="B2120" s="975" t="str">
        <f>tblControles[[#This Row],[Fecha]]&amp;"|"&amp;tblControles[[#This Row],[Módulo]]&amp;"|"&amp;tblControles[[#This Row],[Ítem]]&amp;"|"&amp;tblControles[[#This Row],[Turno]]</f>
        <v>46282|CARGA MOLINOS|BM - 1|% carga</v>
      </c>
      <c r="C2120" s="871">
        <v>46282</v>
      </c>
      <c r="D2120" s="1096" t="s">
        <v>9455</v>
      </c>
      <c r="E2120" s="1096" t="s">
        <v>444</v>
      </c>
      <c r="F2120" s="1096" t="s">
        <v>9457</v>
      </c>
      <c r="G2120" s="1096">
        <v>92.1</v>
      </c>
      <c r="H2120" s="1096" t="s">
        <v>9333</v>
      </c>
      <c r="I2120" s="871">
        <v>46295.865464537041</v>
      </c>
      <c r="J2120" s="1096" t="s">
        <v>9969</v>
      </c>
      <c r="K2120" s="975" t="str">
        <f>IF(COUNTIFS(tblControles[Clave],tblControles[[#This Row],[Clave]])&gt;1,"Duplicado","")</f>
        <v/>
      </c>
    </row>
    <row r="2121" spans="2:11">
      <c r="B2121" s="975" t="str">
        <f>tblControles[[#This Row],[Fecha]]&amp;"|"&amp;tblControles[[#This Row],[Módulo]]&amp;"|"&amp;tblControles[[#This Row],[Ítem]]&amp;"|"&amp;tblControles[[#This Row],[Turno]]</f>
        <v>46282|CARGA MOLINOS|BM - 2|% carga</v>
      </c>
      <c r="C2121" s="871">
        <v>46282</v>
      </c>
      <c r="D2121" s="1096" t="s">
        <v>9455</v>
      </c>
      <c r="E2121" s="1096" t="s">
        <v>9519</v>
      </c>
      <c r="F2121" s="1096" t="s">
        <v>9457</v>
      </c>
      <c r="G2121" s="1096">
        <v>90.7</v>
      </c>
      <c r="H2121" s="1096" t="s">
        <v>9333</v>
      </c>
      <c r="I2121" s="871">
        <v>46295.865464537041</v>
      </c>
      <c r="J2121" s="1096" t="s">
        <v>9969</v>
      </c>
      <c r="K2121" s="975" t="str">
        <f>IF(COUNTIFS(tblControles[Clave],tblControles[[#This Row],[Clave]])&gt;1,"Duplicado","")</f>
        <v/>
      </c>
    </row>
    <row r="2122" spans="2:11">
      <c r="B2122" s="975" t="str">
        <f>tblControles[[#This Row],[Fecha]]&amp;"|"&amp;tblControles[[#This Row],[Módulo]]&amp;"|"&amp;tblControles[[#This Row],[Ítem]]&amp;"|"&amp;tblControles[[#This Row],[Turno]]</f>
        <v>46282|CARGA MOLINOS|BM - 3|% carga</v>
      </c>
      <c r="C2122" s="871">
        <v>46282</v>
      </c>
      <c r="D2122" s="1096" t="s">
        <v>9455</v>
      </c>
      <c r="E2122" s="1096" t="s">
        <v>445</v>
      </c>
      <c r="F2122" s="1096" t="s">
        <v>9457</v>
      </c>
      <c r="G2122" s="1096">
        <v>92.2</v>
      </c>
      <c r="H2122" s="1096" t="s">
        <v>9333</v>
      </c>
      <c r="I2122" s="871">
        <v>46295.865464537041</v>
      </c>
      <c r="J2122" s="1096" t="s">
        <v>9969</v>
      </c>
      <c r="K2122" s="975" t="str">
        <f>IF(COUNTIFS(tblControles[Clave],tblControles[[#This Row],[Clave]])&gt;1,"Duplicado","")</f>
        <v/>
      </c>
    </row>
    <row r="2123" spans="2:11">
      <c r="B2123" s="975" t="str">
        <f>tblControles[[#This Row],[Fecha]]&amp;"|"&amp;tblControles[[#This Row],[Módulo]]&amp;"|"&amp;tblControles[[#This Row],[Ítem]]&amp;"|"&amp;tblControles[[#This Row],[Turno]]</f>
        <v>46282|CARGA MOLINOS|BM - 4|% carga</v>
      </c>
      <c r="C2123" s="871">
        <v>46282</v>
      </c>
      <c r="D2123" s="1096" t="s">
        <v>9455</v>
      </c>
      <c r="E2123" s="1096" t="s">
        <v>446</v>
      </c>
      <c r="F2123" s="1096" t="s">
        <v>9457</v>
      </c>
      <c r="G2123" s="1096">
        <v>85</v>
      </c>
      <c r="H2123" s="1096" t="s">
        <v>9333</v>
      </c>
      <c r="I2123" s="871">
        <v>46295.865464537041</v>
      </c>
      <c r="J2123" s="1096" t="s">
        <v>9969</v>
      </c>
      <c r="K2123" s="975" t="str">
        <f>IF(COUNTIFS(tblControles[Clave],tblControles[[#This Row],[Clave]])&gt;1,"Duplicado","")</f>
        <v/>
      </c>
    </row>
    <row r="2124" spans="2:11">
      <c r="B2124" s="975" t="str">
        <f>tblControles[[#This Row],[Fecha]]&amp;"|"&amp;tblControles[[#This Row],[Módulo]]&amp;"|"&amp;tblControles[[#This Row],[Ítem]]&amp;"|"&amp;tblControles[[#This Row],[Turno]]</f>
        <v>46282|CARGA MOLINOS|BM - 5|% carga</v>
      </c>
      <c r="C2124" s="871">
        <v>46282</v>
      </c>
      <c r="D2124" s="1096" t="s">
        <v>9455</v>
      </c>
      <c r="E2124" s="1096" t="s">
        <v>447</v>
      </c>
      <c r="F2124" s="1096" t="s">
        <v>9457</v>
      </c>
      <c r="G2124" s="1096">
        <v>91.2</v>
      </c>
      <c r="H2124" s="1096" t="s">
        <v>9333</v>
      </c>
      <c r="I2124" s="871">
        <v>46295.865464537041</v>
      </c>
      <c r="J2124" s="1096" t="s">
        <v>9969</v>
      </c>
      <c r="K2124" s="975" t="str">
        <f>IF(COUNTIFS(tblControles[Clave],tblControles[[#This Row],[Clave]])&gt;1,"Duplicado","")</f>
        <v/>
      </c>
    </row>
    <row r="2125" spans="2:11">
      <c r="B2125" s="975" t="str">
        <f>tblControles[[#This Row],[Fecha]]&amp;"|"&amp;tblControles[[#This Row],[Módulo]]&amp;"|"&amp;tblControles[[#This Row],[Ítem]]&amp;"|"&amp;tblControles[[#This Row],[Turno]]</f>
        <v>46282|CARGA MOLINOS|BM - 6|% carga</v>
      </c>
      <c r="C2125" s="871">
        <v>46282</v>
      </c>
      <c r="D2125" s="1096" t="s">
        <v>9455</v>
      </c>
      <c r="E2125" s="1096" t="s">
        <v>448</v>
      </c>
      <c r="F2125" s="1096" t="s">
        <v>9457</v>
      </c>
      <c r="G2125" s="1096">
        <v>87.1</v>
      </c>
      <c r="H2125" s="1096" t="s">
        <v>9333</v>
      </c>
      <c r="I2125" s="871">
        <v>46295.865464537041</v>
      </c>
      <c r="J2125" s="1096" t="s">
        <v>9969</v>
      </c>
      <c r="K2125" s="975" t="str">
        <f>IF(COUNTIFS(tblControles[Clave],tblControles[[#This Row],[Clave]])&gt;1,"Duplicado","")</f>
        <v/>
      </c>
    </row>
    <row r="2126" spans="2:11">
      <c r="B2126" s="975" t="str">
        <f>tblControles[[#This Row],[Fecha]]&amp;"|"&amp;tblControles[[#This Row],[Módulo]]&amp;"|"&amp;tblControles[[#This Row],[Ítem]]&amp;"|"&amp;tblControles[[#This Row],[Turno]]</f>
        <v>46282|CARGA MOLINOS|BM - 8|% carga</v>
      </c>
      <c r="C2126" s="871">
        <v>46282</v>
      </c>
      <c r="D2126" s="1096" t="s">
        <v>9455</v>
      </c>
      <c r="E2126" s="1096" t="s">
        <v>450</v>
      </c>
      <c r="F2126" s="1096" t="s">
        <v>9457</v>
      </c>
      <c r="G2126" s="1096">
        <v>90.1</v>
      </c>
      <c r="H2126" s="1096" t="s">
        <v>9333</v>
      </c>
      <c r="I2126" s="871">
        <v>46295.865464537041</v>
      </c>
      <c r="J2126" s="1096" t="s">
        <v>9969</v>
      </c>
      <c r="K2126" s="975" t="str">
        <f>IF(COUNTIFS(tblControles[Clave],tblControles[[#This Row],[Clave]])&gt;1,"Duplicado","")</f>
        <v/>
      </c>
    </row>
    <row r="2127" spans="2:11">
      <c r="B2127" s="975" t="str">
        <f>tblControles[[#This Row],[Fecha]]&amp;"|"&amp;tblControles[[#This Row],[Módulo]]&amp;"|"&amp;tblControles[[#This Row],[Ítem]]&amp;"|"&amp;tblControles[[#This Row],[Turno]]</f>
        <v>46282|CARGA MOLINOS|BM - 9|% carga</v>
      </c>
      <c r="C2127" s="871">
        <v>46282</v>
      </c>
      <c r="D2127" s="1096" t="s">
        <v>9455</v>
      </c>
      <c r="E2127" s="1096" t="s">
        <v>451</v>
      </c>
      <c r="F2127" s="1096" t="s">
        <v>9457</v>
      </c>
      <c r="G2127" s="1096">
        <v>76.8</v>
      </c>
      <c r="H2127" s="1096" t="s">
        <v>9333</v>
      </c>
      <c r="I2127" s="871">
        <v>46295.865464537041</v>
      </c>
      <c r="J2127" s="1096" t="s">
        <v>9969</v>
      </c>
      <c r="K2127" s="975" t="str">
        <f>IF(COUNTIFS(tblControles[Clave],tblControles[[#This Row],[Clave]])&gt;1,"Duplicado","")</f>
        <v/>
      </c>
    </row>
    <row r="2128" spans="2:11">
      <c r="B2128" s="975" t="str">
        <f>tblControles[[#This Row],[Fecha]]&amp;"|"&amp;tblControles[[#This Row],[Módulo]]&amp;"|"&amp;tblControles[[#This Row],[Ítem]]&amp;"|"&amp;tblControles[[#This Row],[Turno]]</f>
        <v>46283|CARGA MOLINOS|RM - 1|% carga</v>
      </c>
      <c r="C2128" s="871">
        <v>46283</v>
      </c>
      <c r="D2128" s="1096" t="s">
        <v>9455</v>
      </c>
      <c r="E2128" s="1096" t="s">
        <v>435</v>
      </c>
      <c r="F2128" s="1096" t="s">
        <v>9457</v>
      </c>
      <c r="G2128" s="1096">
        <v>90.5</v>
      </c>
      <c r="H2128" s="1096" t="s">
        <v>9333</v>
      </c>
      <c r="I2128" s="871">
        <v>46295.865464537041</v>
      </c>
      <c r="J2128" s="1096" t="s">
        <v>9969</v>
      </c>
      <c r="K2128" s="975" t="str">
        <f>IF(COUNTIFS(tblControles[Clave],tblControles[[#This Row],[Clave]])&gt;1,"Duplicado","")</f>
        <v/>
      </c>
    </row>
    <row r="2129" spans="2:11">
      <c r="B2129" s="975" t="str">
        <f>tblControles[[#This Row],[Fecha]]&amp;"|"&amp;tblControles[[#This Row],[Módulo]]&amp;"|"&amp;tblControles[[#This Row],[Ítem]]&amp;"|"&amp;tblControles[[#This Row],[Turno]]</f>
        <v>46283|CARGA MOLINOS|RM - 2|% carga</v>
      </c>
      <c r="C2129" s="871">
        <v>46283</v>
      </c>
      <c r="D2129" s="1096" t="s">
        <v>9455</v>
      </c>
      <c r="E2129" s="1096" t="s">
        <v>436</v>
      </c>
      <c r="F2129" s="1096" t="s">
        <v>9457</v>
      </c>
      <c r="G2129" s="1096">
        <v>90.2</v>
      </c>
      <c r="H2129" s="1096" t="s">
        <v>9333</v>
      </c>
      <c r="I2129" s="871">
        <v>46295.865464537041</v>
      </c>
      <c r="J2129" s="1096" t="s">
        <v>9969</v>
      </c>
      <c r="K2129" s="975" t="str">
        <f>IF(COUNTIFS(tblControles[Clave],tblControles[[#This Row],[Clave]])&gt;1,"Duplicado","")</f>
        <v/>
      </c>
    </row>
    <row r="2130" spans="2:11">
      <c r="B2130" s="975" t="str">
        <f>tblControles[[#This Row],[Fecha]]&amp;"|"&amp;tblControles[[#This Row],[Módulo]]&amp;"|"&amp;tblControles[[#This Row],[Ítem]]&amp;"|"&amp;tblControles[[#This Row],[Turno]]</f>
        <v>46283|CARGA MOLINOS|RM - 4|% carga</v>
      </c>
      <c r="C2130" s="871">
        <v>46283</v>
      </c>
      <c r="D2130" s="1096" t="s">
        <v>9455</v>
      </c>
      <c r="E2130" s="1096" t="s">
        <v>438</v>
      </c>
      <c r="F2130" s="1096" t="s">
        <v>9457</v>
      </c>
      <c r="G2130" s="1096">
        <v>91.4</v>
      </c>
      <c r="H2130" s="1096" t="s">
        <v>9333</v>
      </c>
      <c r="I2130" s="871">
        <v>46295.865464537041</v>
      </c>
      <c r="J2130" s="1096" t="s">
        <v>9969</v>
      </c>
      <c r="K2130" s="975" t="str">
        <f>IF(COUNTIFS(tblControles[Clave],tblControles[[#This Row],[Clave]])&gt;1,"Duplicado","")</f>
        <v/>
      </c>
    </row>
    <row r="2131" spans="2:11">
      <c r="B2131" s="975" t="str">
        <f>tblControles[[#This Row],[Fecha]]&amp;"|"&amp;tblControles[[#This Row],[Módulo]]&amp;"|"&amp;tblControles[[#This Row],[Ítem]]&amp;"|"&amp;tblControles[[#This Row],[Turno]]</f>
        <v>46283|CARGA MOLINOS|RM - 5|% carga</v>
      </c>
      <c r="C2131" s="871">
        <v>46283</v>
      </c>
      <c r="D2131" s="1096" t="s">
        <v>9455</v>
      </c>
      <c r="E2131" s="1096" t="s">
        <v>439</v>
      </c>
      <c r="F2131" s="1096" t="s">
        <v>9457</v>
      </c>
      <c r="G2131" s="1096">
        <v>87.5</v>
      </c>
      <c r="H2131" s="1096" t="s">
        <v>9333</v>
      </c>
      <c r="I2131" s="871">
        <v>46295.865464537041</v>
      </c>
      <c r="J2131" s="1096" t="s">
        <v>9969</v>
      </c>
      <c r="K2131" s="975" t="str">
        <f>IF(COUNTIFS(tblControles[Clave],tblControles[[#This Row],[Clave]])&gt;1,"Duplicado","")</f>
        <v/>
      </c>
    </row>
    <row r="2132" spans="2:11">
      <c r="B2132" s="975" t="str">
        <f>tblControles[[#This Row],[Fecha]]&amp;"|"&amp;tblControles[[#This Row],[Módulo]]&amp;"|"&amp;tblControles[[#This Row],[Ítem]]&amp;"|"&amp;tblControles[[#This Row],[Turno]]</f>
        <v>46283|CARGA MOLINOS|RM - 6|% carga</v>
      </c>
      <c r="C2132" s="871">
        <v>46283</v>
      </c>
      <c r="D2132" s="1096" t="s">
        <v>9455</v>
      </c>
      <c r="E2132" s="1096" t="s">
        <v>440</v>
      </c>
      <c r="F2132" s="1096" t="s">
        <v>9457</v>
      </c>
      <c r="G2132" s="1096">
        <v>90.2</v>
      </c>
      <c r="H2132" s="1096" t="s">
        <v>9333</v>
      </c>
      <c r="I2132" s="871">
        <v>46295.865464537041</v>
      </c>
      <c r="J2132" s="1096" t="s">
        <v>9969</v>
      </c>
      <c r="K2132" s="975" t="str">
        <f>IF(COUNTIFS(tblControles[Clave],tblControles[[#This Row],[Clave]])&gt;1,"Duplicado","")</f>
        <v/>
      </c>
    </row>
    <row r="2133" spans="2:11">
      <c r="B2133" s="975" t="str">
        <f>tblControles[[#This Row],[Fecha]]&amp;"|"&amp;tblControles[[#This Row],[Módulo]]&amp;"|"&amp;tblControles[[#This Row],[Ítem]]&amp;"|"&amp;tblControles[[#This Row],[Turno]]</f>
        <v>46283|CARGA MOLINOS|RM - 8|% carga</v>
      </c>
      <c r="C2133" s="871">
        <v>46283</v>
      </c>
      <c r="D2133" s="1096" t="s">
        <v>9455</v>
      </c>
      <c r="E2133" s="1096" t="s">
        <v>442</v>
      </c>
      <c r="F2133" s="1096" t="s">
        <v>9457</v>
      </c>
      <c r="G2133" s="1096">
        <v>89.5</v>
      </c>
      <c r="H2133" s="1096" t="s">
        <v>9333</v>
      </c>
      <c r="I2133" s="871">
        <v>46295.865464537041</v>
      </c>
      <c r="J2133" s="1096" t="s">
        <v>9969</v>
      </c>
      <c r="K2133" s="975" t="str">
        <f>IF(COUNTIFS(tblControles[Clave],tblControles[[#This Row],[Clave]])&gt;1,"Duplicado","")</f>
        <v/>
      </c>
    </row>
    <row r="2134" spans="2:11">
      <c r="B2134" s="975" t="str">
        <f>tblControles[[#This Row],[Fecha]]&amp;"|"&amp;tblControles[[#This Row],[Módulo]]&amp;"|"&amp;tblControles[[#This Row],[Ítem]]&amp;"|"&amp;tblControles[[#This Row],[Turno]]</f>
        <v>46283|CARGA MOLINOS|RM - 9|% carga</v>
      </c>
      <c r="C2134" s="871">
        <v>46283</v>
      </c>
      <c r="D2134" s="1096" t="s">
        <v>9455</v>
      </c>
      <c r="E2134" s="1096" t="s">
        <v>443</v>
      </c>
      <c r="F2134" s="1096" t="s">
        <v>9457</v>
      </c>
      <c r="G2134" s="1096">
        <v>64.8</v>
      </c>
      <c r="H2134" s="1096" t="s">
        <v>9333</v>
      </c>
      <c r="I2134" s="871">
        <v>46295.865464537041</v>
      </c>
      <c r="J2134" s="1096" t="s">
        <v>9969</v>
      </c>
      <c r="K2134" s="975" t="str">
        <f>IF(COUNTIFS(tblControles[Clave],tblControles[[#This Row],[Clave]])&gt;1,"Duplicado","")</f>
        <v/>
      </c>
    </row>
    <row r="2135" spans="2:11">
      <c r="B2135" s="975" t="str">
        <f>tblControles[[#This Row],[Fecha]]&amp;"|"&amp;tblControles[[#This Row],[Módulo]]&amp;"|"&amp;tblControles[[#This Row],[Ítem]]&amp;"|"&amp;tblControles[[#This Row],[Turno]]</f>
        <v>46283|CARGA MOLINOS|BM - 1|% carga</v>
      </c>
      <c r="C2135" s="871">
        <v>46283</v>
      </c>
      <c r="D2135" s="1096" t="s">
        <v>9455</v>
      </c>
      <c r="E2135" s="1096" t="s">
        <v>444</v>
      </c>
      <c r="F2135" s="1096" t="s">
        <v>9457</v>
      </c>
      <c r="G2135" s="1096">
        <v>90.3</v>
      </c>
      <c r="H2135" s="1096" t="s">
        <v>9333</v>
      </c>
      <c r="I2135" s="871">
        <v>46295.865464537041</v>
      </c>
      <c r="J2135" s="1096" t="s">
        <v>9969</v>
      </c>
      <c r="K2135" s="975" t="str">
        <f>IF(COUNTIFS(tblControles[Clave],tblControles[[#This Row],[Clave]])&gt;1,"Duplicado","")</f>
        <v/>
      </c>
    </row>
    <row r="2136" spans="2:11">
      <c r="B2136" s="975" t="str">
        <f>tblControles[[#This Row],[Fecha]]&amp;"|"&amp;tblControles[[#This Row],[Módulo]]&amp;"|"&amp;tblControles[[#This Row],[Ítem]]&amp;"|"&amp;tblControles[[#This Row],[Turno]]</f>
        <v>46283|CARGA MOLINOS|BM - 2|% carga</v>
      </c>
      <c r="C2136" s="871">
        <v>46283</v>
      </c>
      <c r="D2136" s="1096" t="s">
        <v>9455</v>
      </c>
      <c r="E2136" s="1096" t="s">
        <v>9519</v>
      </c>
      <c r="F2136" s="1096" t="s">
        <v>9457</v>
      </c>
      <c r="G2136" s="1096">
        <v>91.4</v>
      </c>
      <c r="H2136" s="1096" t="s">
        <v>9333</v>
      </c>
      <c r="I2136" s="871">
        <v>46295.865464537041</v>
      </c>
      <c r="J2136" s="1096" t="s">
        <v>9969</v>
      </c>
      <c r="K2136" s="975" t="str">
        <f>IF(COUNTIFS(tblControles[Clave],tblControles[[#This Row],[Clave]])&gt;1,"Duplicado","")</f>
        <v/>
      </c>
    </row>
    <row r="2137" spans="2:11">
      <c r="B2137" s="975" t="str">
        <f>tblControles[[#This Row],[Fecha]]&amp;"|"&amp;tblControles[[#This Row],[Módulo]]&amp;"|"&amp;tblControles[[#This Row],[Ítem]]&amp;"|"&amp;tblControles[[#This Row],[Turno]]</f>
        <v>46283|CARGA MOLINOS|BM - 3|% carga</v>
      </c>
      <c r="C2137" s="871">
        <v>46283</v>
      </c>
      <c r="D2137" s="1096" t="s">
        <v>9455</v>
      </c>
      <c r="E2137" s="1096" t="s">
        <v>445</v>
      </c>
      <c r="F2137" s="1096" t="s">
        <v>9457</v>
      </c>
      <c r="G2137" s="1096">
        <v>90.4</v>
      </c>
      <c r="H2137" s="1096" t="s">
        <v>9333</v>
      </c>
      <c r="I2137" s="871">
        <v>46295.865464537041</v>
      </c>
      <c r="J2137" s="1096" t="s">
        <v>9969</v>
      </c>
      <c r="K2137" s="975" t="str">
        <f>IF(COUNTIFS(tblControles[Clave],tblControles[[#This Row],[Clave]])&gt;1,"Duplicado","")</f>
        <v/>
      </c>
    </row>
    <row r="2138" spans="2:11">
      <c r="B2138" s="975" t="str">
        <f>tblControles[[#This Row],[Fecha]]&amp;"|"&amp;tblControles[[#This Row],[Módulo]]&amp;"|"&amp;tblControles[[#This Row],[Ítem]]&amp;"|"&amp;tblControles[[#This Row],[Turno]]</f>
        <v>46283|CARGA MOLINOS|BM - 4|% carga</v>
      </c>
      <c r="C2138" s="871">
        <v>46283</v>
      </c>
      <c r="D2138" s="1096" t="s">
        <v>9455</v>
      </c>
      <c r="E2138" s="1096" t="s">
        <v>446</v>
      </c>
      <c r="F2138" s="1096" t="s">
        <v>9457</v>
      </c>
      <c r="G2138" s="1096">
        <v>93.3</v>
      </c>
      <c r="H2138" s="1096" t="s">
        <v>9333</v>
      </c>
      <c r="I2138" s="871">
        <v>46295.865464537041</v>
      </c>
      <c r="J2138" s="1096" t="s">
        <v>9969</v>
      </c>
      <c r="K2138" s="975" t="str">
        <f>IF(COUNTIFS(tblControles[Clave],tblControles[[#This Row],[Clave]])&gt;1,"Duplicado","")</f>
        <v/>
      </c>
    </row>
    <row r="2139" spans="2:11">
      <c r="B2139" s="975" t="str">
        <f>tblControles[[#This Row],[Fecha]]&amp;"|"&amp;tblControles[[#This Row],[Módulo]]&amp;"|"&amp;tblControles[[#This Row],[Ítem]]&amp;"|"&amp;tblControles[[#This Row],[Turno]]</f>
        <v>46283|CARGA MOLINOS|BM - 5|% carga</v>
      </c>
      <c r="C2139" s="871">
        <v>46283</v>
      </c>
      <c r="D2139" s="1096" t="s">
        <v>9455</v>
      </c>
      <c r="E2139" s="1096" t="s">
        <v>447</v>
      </c>
      <c r="F2139" s="1096" t="s">
        <v>9457</v>
      </c>
      <c r="G2139" s="1096">
        <v>90.3</v>
      </c>
      <c r="H2139" s="1096" t="s">
        <v>9333</v>
      </c>
      <c r="I2139" s="871">
        <v>46295.865464537041</v>
      </c>
      <c r="J2139" s="1096" t="s">
        <v>9969</v>
      </c>
      <c r="K2139" s="975" t="str">
        <f>IF(COUNTIFS(tblControles[Clave],tblControles[[#This Row],[Clave]])&gt;1,"Duplicado","")</f>
        <v/>
      </c>
    </row>
    <row r="2140" spans="2:11">
      <c r="B2140" s="975" t="str">
        <f>tblControles[[#This Row],[Fecha]]&amp;"|"&amp;tblControles[[#This Row],[Módulo]]&amp;"|"&amp;tblControles[[#This Row],[Ítem]]&amp;"|"&amp;tblControles[[#This Row],[Turno]]</f>
        <v>46283|CARGA MOLINOS|BM - 6|% carga</v>
      </c>
      <c r="C2140" s="871">
        <v>46283</v>
      </c>
      <c r="D2140" s="1096" t="s">
        <v>9455</v>
      </c>
      <c r="E2140" s="1096" t="s">
        <v>448</v>
      </c>
      <c r="F2140" s="1096" t="s">
        <v>9457</v>
      </c>
      <c r="G2140" s="1096">
        <v>88.4</v>
      </c>
      <c r="H2140" s="1096" t="s">
        <v>9333</v>
      </c>
      <c r="I2140" s="871">
        <v>46295.865464537041</v>
      </c>
      <c r="J2140" s="1096" t="s">
        <v>9969</v>
      </c>
      <c r="K2140" s="975" t="str">
        <f>IF(COUNTIFS(tblControles[Clave],tblControles[[#This Row],[Clave]])&gt;1,"Duplicado","")</f>
        <v/>
      </c>
    </row>
    <row r="2141" spans="2:11">
      <c r="B2141" s="975" t="str">
        <f>tblControles[[#This Row],[Fecha]]&amp;"|"&amp;tblControles[[#This Row],[Módulo]]&amp;"|"&amp;tblControles[[#This Row],[Ítem]]&amp;"|"&amp;tblControles[[#This Row],[Turno]]</f>
        <v>46283|CARGA MOLINOS|BM - 7|% carga</v>
      </c>
      <c r="C2141" s="871">
        <v>46283</v>
      </c>
      <c r="D2141" s="1096" t="s">
        <v>9455</v>
      </c>
      <c r="E2141" s="1096" t="s">
        <v>449</v>
      </c>
      <c r="F2141" s="1096" t="s">
        <v>9457</v>
      </c>
      <c r="G2141" s="1096">
        <v>83.3</v>
      </c>
      <c r="H2141" s="1096" t="s">
        <v>9333</v>
      </c>
      <c r="I2141" s="871">
        <v>46295.865464537041</v>
      </c>
      <c r="J2141" s="1096" t="s">
        <v>9969</v>
      </c>
      <c r="K2141" s="975" t="str">
        <f>IF(COUNTIFS(tblControles[Clave],tblControles[[#This Row],[Clave]])&gt;1,"Duplicado","")</f>
        <v/>
      </c>
    </row>
    <row r="2142" spans="2:11">
      <c r="B2142" s="975" t="str">
        <f>tblControles[[#This Row],[Fecha]]&amp;"|"&amp;tblControles[[#This Row],[Módulo]]&amp;"|"&amp;tblControles[[#This Row],[Ítem]]&amp;"|"&amp;tblControles[[#This Row],[Turno]]</f>
        <v>46283|CARGA MOLINOS|BM - 8|% carga</v>
      </c>
      <c r="C2142" s="871">
        <v>46283</v>
      </c>
      <c r="D2142" s="1096" t="s">
        <v>9455</v>
      </c>
      <c r="E2142" s="1096" t="s">
        <v>450</v>
      </c>
      <c r="F2142" s="1096" t="s">
        <v>9457</v>
      </c>
      <c r="G2142" s="1096">
        <v>89.4</v>
      </c>
      <c r="H2142" s="1096" t="s">
        <v>9333</v>
      </c>
      <c r="I2142" s="871">
        <v>46295.865464537041</v>
      </c>
      <c r="J2142" s="1096" t="s">
        <v>9969</v>
      </c>
      <c r="K2142" s="975" t="str">
        <f>IF(COUNTIFS(tblControles[Clave],tblControles[[#This Row],[Clave]])&gt;1,"Duplicado","")</f>
        <v/>
      </c>
    </row>
    <row r="2143" spans="2:11">
      <c r="B2143" s="975" t="str">
        <f>tblControles[[#This Row],[Fecha]]&amp;"|"&amp;tblControles[[#This Row],[Módulo]]&amp;"|"&amp;tblControles[[#This Row],[Ítem]]&amp;"|"&amp;tblControles[[#This Row],[Turno]]</f>
        <v>46283|CARGA MOLINOS|BM - 9|% carga</v>
      </c>
      <c r="C2143" s="871">
        <v>46283</v>
      </c>
      <c r="D2143" s="1096" t="s">
        <v>9455</v>
      </c>
      <c r="E2143" s="1096" t="s">
        <v>451</v>
      </c>
      <c r="F2143" s="1096" t="s">
        <v>9457</v>
      </c>
      <c r="G2143" s="1096">
        <v>77.3</v>
      </c>
      <c r="H2143" s="1096" t="s">
        <v>9333</v>
      </c>
      <c r="I2143" s="871">
        <v>46295.865464537041</v>
      </c>
      <c r="J2143" s="1096" t="s">
        <v>9969</v>
      </c>
      <c r="K2143" s="975" t="str">
        <f>IF(COUNTIFS(tblControles[Clave],tblControles[[#This Row],[Clave]])&gt;1,"Duplicado","")</f>
        <v/>
      </c>
    </row>
    <row r="2144" spans="2:11">
      <c r="B2144" s="975" t="str">
        <f>tblControles[[#This Row],[Fecha]]&amp;"|"&amp;tblControles[[#This Row],[Módulo]]&amp;"|"&amp;tblControles[[#This Row],[Ítem]]&amp;"|"&amp;tblControles[[#This Row],[Turno]]</f>
        <v>46284|CARGA MOLINOS|RM - 1|% carga</v>
      </c>
      <c r="C2144" s="871">
        <v>46284</v>
      </c>
      <c r="D2144" s="1096" t="s">
        <v>9455</v>
      </c>
      <c r="E2144" s="1096" t="s">
        <v>435</v>
      </c>
      <c r="F2144" s="1096" t="s">
        <v>9457</v>
      </c>
      <c r="G2144" s="1096">
        <v>91.6</v>
      </c>
      <c r="H2144" s="1096" t="s">
        <v>9333</v>
      </c>
      <c r="I2144" s="871">
        <v>46295.865464537041</v>
      </c>
      <c r="J2144" s="1096" t="s">
        <v>9969</v>
      </c>
      <c r="K2144" s="975" t="str">
        <f>IF(COUNTIFS(tblControles[Clave],tblControles[[#This Row],[Clave]])&gt;1,"Duplicado","")</f>
        <v/>
      </c>
    </row>
    <row r="2145" spans="2:11">
      <c r="B2145" s="975" t="str">
        <f>tblControles[[#This Row],[Fecha]]&amp;"|"&amp;tblControles[[#This Row],[Módulo]]&amp;"|"&amp;tblControles[[#This Row],[Ítem]]&amp;"|"&amp;tblControles[[#This Row],[Turno]]</f>
        <v>46284|CARGA MOLINOS|RM - 2|% carga</v>
      </c>
      <c r="C2145" s="871">
        <v>46284</v>
      </c>
      <c r="D2145" s="1096" t="s">
        <v>9455</v>
      </c>
      <c r="E2145" s="1096" t="s">
        <v>436</v>
      </c>
      <c r="F2145" s="1096" t="s">
        <v>9457</v>
      </c>
      <c r="G2145" s="1096">
        <v>86.8</v>
      </c>
      <c r="H2145" s="1096" t="s">
        <v>9333</v>
      </c>
      <c r="I2145" s="871">
        <v>46295.865464537041</v>
      </c>
      <c r="J2145" s="1096" t="s">
        <v>9969</v>
      </c>
      <c r="K2145" s="975" t="str">
        <f>IF(COUNTIFS(tblControles[Clave],tblControles[[#This Row],[Clave]])&gt;1,"Duplicado","")</f>
        <v/>
      </c>
    </row>
    <row r="2146" spans="2:11">
      <c r="B2146" s="975" t="str">
        <f>tblControles[[#This Row],[Fecha]]&amp;"|"&amp;tblControles[[#This Row],[Módulo]]&amp;"|"&amp;tblControles[[#This Row],[Ítem]]&amp;"|"&amp;tblControles[[#This Row],[Turno]]</f>
        <v>46284|CARGA MOLINOS|RM - 5|% carga</v>
      </c>
      <c r="C2146" s="871">
        <v>46284</v>
      </c>
      <c r="D2146" s="1096" t="s">
        <v>9455</v>
      </c>
      <c r="E2146" s="1096" t="s">
        <v>439</v>
      </c>
      <c r="F2146" s="1096" t="s">
        <v>9457</v>
      </c>
      <c r="G2146" s="1096">
        <v>94.1</v>
      </c>
      <c r="H2146" s="1096" t="s">
        <v>9333</v>
      </c>
      <c r="I2146" s="871">
        <v>46295.865464537041</v>
      </c>
      <c r="J2146" s="1096" t="s">
        <v>9969</v>
      </c>
      <c r="K2146" s="975" t="str">
        <f>IF(COUNTIFS(tblControles[Clave],tblControles[[#This Row],[Clave]])&gt;1,"Duplicado","")</f>
        <v/>
      </c>
    </row>
    <row r="2147" spans="2:11">
      <c r="B2147" s="975" t="str">
        <f>tblControles[[#This Row],[Fecha]]&amp;"|"&amp;tblControles[[#This Row],[Módulo]]&amp;"|"&amp;tblControles[[#This Row],[Ítem]]&amp;"|"&amp;tblControles[[#This Row],[Turno]]</f>
        <v>46284|CARGA MOLINOS|RM - 6|% carga</v>
      </c>
      <c r="C2147" s="871">
        <v>46284</v>
      </c>
      <c r="D2147" s="1096" t="s">
        <v>9455</v>
      </c>
      <c r="E2147" s="1096" t="s">
        <v>440</v>
      </c>
      <c r="F2147" s="1096" t="s">
        <v>9457</v>
      </c>
      <c r="G2147" s="1096">
        <v>92</v>
      </c>
      <c r="H2147" s="1096" t="s">
        <v>9333</v>
      </c>
      <c r="I2147" s="871">
        <v>46295.865464537041</v>
      </c>
      <c r="J2147" s="1096" t="s">
        <v>9969</v>
      </c>
      <c r="K2147" s="975" t="str">
        <f>IF(COUNTIFS(tblControles[Clave],tblControles[[#This Row],[Clave]])&gt;1,"Duplicado","")</f>
        <v/>
      </c>
    </row>
    <row r="2148" spans="2:11">
      <c r="B2148" s="975" t="str">
        <f>tblControles[[#This Row],[Fecha]]&amp;"|"&amp;tblControles[[#This Row],[Módulo]]&amp;"|"&amp;tblControles[[#This Row],[Ítem]]&amp;"|"&amp;tblControles[[#This Row],[Turno]]</f>
        <v>46284|CARGA MOLINOS|RM - 8|% carga</v>
      </c>
      <c r="C2148" s="871">
        <v>46284</v>
      </c>
      <c r="D2148" s="1096" t="s">
        <v>9455</v>
      </c>
      <c r="E2148" s="1096" t="s">
        <v>442</v>
      </c>
      <c r="F2148" s="1096" t="s">
        <v>9457</v>
      </c>
      <c r="G2148" s="1096">
        <v>94.4</v>
      </c>
      <c r="H2148" s="1096" t="s">
        <v>9333</v>
      </c>
      <c r="I2148" s="871">
        <v>46295.865464537041</v>
      </c>
      <c r="J2148" s="1096" t="s">
        <v>9969</v>
      </c>
      <c r="K2148" s="975" t="str">
        <f>IF(COUNTIFS(tblControles[Clave],tblControles[[#This Row],[Clave]])&gt;1,"Duplicado","")</f>
        <v/>
      </c>
    </row>
    <row r="2149" spans="2:11">
      <c r="B2149" s="975" t="str">
        <f>tblControles[[#This Row],[Fecha]]&amp;"|"&amp;tblControles[[#This Row],[Módulo]]&amp;"|"&amp;tblControles[[#This Row],[Ítem]]&amp;"|"&amp;tblControles[[#This Row],[Turno]]</f>
        <v>46284|CARGA MOLINOS|RM - 9|% carga</v>
      </c>
      <c r="C2149" s="871">
        <v>46284</v>
      </c>
      <c r="D2149" s="1096" t="s">
        <v>9455</v>
      </c>
      <c r="E2149" s="1096" t="s">
        <v>443</v>
      </c>
      <c r="F2149" s="1096" t="s">
        <v>9457</v>
      </c>
      <c r="G2149" s="1096">
        <v>65.3</v>
      </c>
      <c r="H2149" s="1096" t="s">
        <v>9333</v>
      </c>
      <c r="I2149" s="871">
        <v>46295.865464537041</v>
      </c>
      <c r="J2149" s="1096" t="s">
        <v>9969</v>
      </c>
      <c r="K2149" s="975" t="str">
        <f>IF(COUNTIFS(tblControles[Clave],tblControles[[#This Row],[Clave]])&gt;1,"Duplicado","")</f>
        <v/>
      </c>
    </row>
    <row r="2150" spans="2:11">
      <c r="B2150" s="975" t="str">
        <f>tblControles[[#This Row],[Fecha]]&amp;"|"&amp;tblControles[[#This Row],[Módulo]]&amp;"|"&amp;tblControles[[#This Row],[Ítem]]&amp;"|"&amp;tblControles[[#This Row],[Turno]]</f>
        <v>46284|CARGA MOLINOS|BM - 1|% carga</v>
      </c>
      <c r="C2150" s="871">
        <v>46284</v>
      </c>
      <c r="D2150" s="1096" t="s">
        <v>9455</v>
      </c>
      <c r="E2150" s="1096" t="s">
        <v>444</v>
      </c>
      <c r="F2150" s="1096" t="s">
        <v>9457</v>
      </c>
      <c r="G2150" s="1096">
        <v>91.6</v>
      </c>
      <c r="H2150" s="1096" t="s">
        <v>9333</v>
      </c>
      <c r="I2150" s="871">
        <v>46295.865464537041</v>
      </c>
      <c r="J2150" s="1096" t="s">
        <v>9969</v>
      </c>
      <c r="K2150" s="975" t="str">
        <f>IF(COUNTIFS(tblControles[Clave],tblControles[[#This Row],[Clave]])&gt;1,"Duplicado","")</f>
        <v/>
      </c>
    </row>
    <row r="2151" spans="2:11">
      <c r="B2151" s="975" t="str">
        <f>tblControles[[#This Row],[Fecha]]&amp;"|"&amp;tblControles[[#This Row],[Módulo]]&amp;"|"&amp;tblControles[[#This Row],[Ítem]]&amp;"|"&amp;tblControles[[#This Row],[Turno]]</f>
        <v>46284|CARGA MOLINOS|BM - 2|% carga</v>
      </c>
      <c r="C2151" s="871">
        <v>46284</v>
      </c>
      <c r="D2151" s="1096" t="s">
        <v>9455</v>
      </c>
      <c r="E2151" s="1096" t="s">
        <v>9519</v>
      </c>
      <c r="F2151" s="1096" t="s">
        <v>9457</v>
      </c>
      <c r="G2151" s="1096">
        <v>92.9</v>
      </c>
      <c r="H2151" s="1096" t="s">
        <v>9333</v>
      </c>
      <c r="I2151" s="871">
        <v>46295.865464537041</v>
      </c>
      <c r="J2151" s="1096" t="s">
        <v>9969</v>
      </c>
      <c r="K2151" s="975" t="str">
        <f>IF(COUNTIFS(tblControles[Clave],tblControles[[#This Row],[Clave]])&gt;1,"Duplicado","")</f>
        <v/>
      </c>
    </row>
    <row r="2152" spans="2:11">
      <c r="B2152" s="975" t="str">
        <f>tblControles[[#This Row],[Fecha]]&amp;"|"&amp;tblControles[[#This Row],[Módulo]]&amp;"|"&amp;tblControles[[#This Row],[Ítem]]&amp;"|"&amp;tblControles[[#This Row],[Turno]]</f>
        <v>46284|CARGA MOLINOS|BM - 3|% carga</v>
      </c>
      <c r="C2152" s="871">
        <v>46284</v>
      </c>
      <c r="D2152" s="1096" t="s">
        <v>9455</v>
      </c>
      <c r="E2152" s="1096" t="s">
        <v>445</v>
      </c>
      <c r="F2152" s="1096" t="s">
        <v>9457</v>
      </c>
      <c r="G2152" s="1096">
        <v>89.1</v>
      </c>
      <c r="H2152" s="1096" t="s">
        <v>9333</v>
      </c>
      <c r="I2152" s="871">
        <v>46295.865464537041</v>
      </c>
      <c r="J2152" s="1096" t="s">
        <v>9969</v>
      </c>
      <c r="K2152" s="975" t="str">
        <f>IF(COUNTIFS(tblControles[Clave],tblControles[[#This Row],[Clave]])&gt;1,"Duplicado","")</f>
        <v/>
      </c>
    </row>
    <row r="2153" spans="2:11">
      <c r="B2153" s="975" t="str">
        <f>tblControles[[#This Row],[Fecha]]&amp;"|"&amp;tblControles[[#This Row],[Módulo]]&amp;"|"&amp;tblControles[[#This Row],[Ítem]]&amp;"|"&amp;tblControles[[#This Row],[Turno]]</f>
        <v>46284|CARGA MOLINOS|BM - 5|% carga</v>
      </c>
      <c r="C2153" s="871">
        <v>46284</v>
      </c>
      <c r="D2153" s="1096" t="s">
        <v>9455</v>
      </c>
      <c r="E2153" s="1096" t="s">
        <v>447</v>
      </c>
      <c r="F2153" s="1096" t="s">
        <v>9457</v>
      </c>
      <c r="G2153" s="1096">
        <v>92.2</v>
      </c>
      <c r="H2153" s="1096" t="s">
        <v>9333</v>
      </c>
      <c r="I2153" s="871">
        <v>46295.865464537041</v>
      </c>
      <c r="J2153" s="1096" t="s">
        <v>9969</v>
      </c>
      <c r="K2153" s="975" t="str">
        <f>IF(COUNTIFS(tblControles[Clave],tblControles[[#This Row],[Clave]])&gt;1,"Duplicado","")</f>
        <v/>
      </c>
    </row>
    <row r="2154" spans="2:11">
      <c r="B2154" s="975" t="str">
        <f>tblControles[[#This Row],[Fecha]]&amp;"|"&amp;tblControles[[#This Row],[Módulo]]&amp;"|"&amp;tblControles[[#This Row],[Ítem]]&amp;"|"&amp;tblControles[[#This Row],[Turno]]</f>
        <v>46284|CARGA MOLINOS|BM - 6|% carga</v>
      </c>
      <c r="C2154" s="871">
        <v>46284</v>
      </c>
      <c r="D2154" s="1096" t="s">
        <v>9455</v>
      </c>
      <c r="E2154" s="1096" t="s">
        <v>448</v>
      </c>
      <c r="F2154" s="1096" t="s">
        <v>9457</v>
      </c>
      <c r="G2154" s="1096">
        <v>89.2</v>
      </c>
      <c r="H2154" s="1096" t="s">
        <v>9333</v>
      </c>
      <c r="I2154" s="871">
        <v>46295.865464537041</v>
      </c>
      <c r="J2154" s="1096" t="s">
        <v>9969</v>
      </c>
      <c r="K2154" s="975" t="str">
        <f>IF(COUNTIFS(tblControles[Clave],tblControles[[#This Row],[Clave]])&gt;1,"Duplicado","")</f>
        <v/>
      </c>
    </row>
    <row r="2155" spans="2:11">
      <c r="B2155" s="975" t="str">
        <f>tblControles[[#This Row],[Fecha]]&amp;"|"&amp;tblControles[[#This Row],[Módulo]]&amp;"|"&amp;tblControles[[#This Row],[Ítem]]&amp;"|"&amp;tblControles[[#This Row],[Turno]]</f>
        <v>46284|CARGA MOLINOS|BM - 8|% carga</v>
      </c>
      <c r="C2155" s="871">
        <v>46284</v>
      </c>
      <c r="D2155" s="1096" t="s">
        <v>9455</v>
      </c>
      <c r="E2155" s="1096" t="s">
        <v>450</v>
      </c>
      <c r="F2155" s="1096" t="s">
        <v>9457</v>
      </c>
      <c r="G2155" s="1096">
        <v>90</v>
      </c>
      <c r="H2155" s="1096" t="s">
        <v>9333</v>
      </c>
      <c r="I2155" s="871">
        <v>46295.865464537041</v>
      </c>
      <c r="J2155" s="1096" t="s">
        <v>9969</v>
      </c>
      <c r="K2155" s="975" t="str">
        <f>IF(COUNTIFS(tblControles[Clave],tblControles[[#This Row],[Clave]])&gt;1,"Duplicado","")</f>
        <v/>
      </c>
    </row>
    <row r="2156" spans="2:11">
      <c r="B2156" s="975" t="str">
        <f>tblControles[[#This Row],[Fecha]]&amp;"|"&amp;tblControles[[#This Row],[Módulo]]&amp;"|"&amp;tblControles[[#This Row],[Ítem]]&amp;"|"&amp;tblControles[[#This Row],[Turno]]</f>
        <v>46284|CARGA MOLINOS|BM - 9|% carga</v>
      </c>
      <c r="C2156" s="871">
        <v>46284</v>
      </c>
      <c r="D2156" s="1096" t="s">
        <v>9455</v>
      </c>
      <c r="E2156" s="1096" t="s">
        <v>451</v>
      </c>
      <c r="F2156" s="1096" t="s">
        <v>9457</v>
      </c>
      <c r="G2156" s="1096">
        <v>79.099999999999994</v>
      </c>
      <c r="H2156" s="1096" t="s">
        <v>9333</v>
      </c>
      <c r="I2156" s="871">
        <v>46295.865464537041</v>
      </c>
      <c r="J2156" s="1096" t="s">
        <v>9969</v>
      </c>
      <c r="K2156" s="975" t="str">
        <f>IF(COUNTIFS(tblControles[Clave],tblControles[[#This Row],[Clave]])&gt;1,"Duplicado","")</f>
        <v/>
      </c>
    </row>
    <row r="2157" spans="2:11">
      <c r="B2157" s="975" t="str">
        <f>tblControles[[#This Row],[Fecha]]&amp;"|"&amp;tblControles[[#This Row],[Módulo]]&amp;"|"&amp;tblControles[[#This Row],[Ítem]]&amp;"|"&amp;tblControles[[#This Row],[Turno]]</f>
        <v>46286|CARGA MOLINOS|RM - 1|% carga</v>
      </c>
      <c r="C2157" s="871">
        <v>46286</v>
      </c>
      <c r="D2157" s="1096" t="s">
        <v>9455</v>
      </c>
      <c r="E2157" s="1096" t="s">
        <v>435</v>
      </c>
      <c r="F2157" s="1096" t="s">
        <v>9457</v>
      </c>
      <c r="G2157" s="1096">
        <v>89.1</v>
      </c>
      <c r="H2157" s="1096" t="s">
        <v>9333</v>
      </c>
      <c r="I2157" s="871">
        <v>46295.865464537041</v>
      </c>
      <c r="J2157" s="1096" t="s">
        <v>9969</v>
      </c>
      <c r="K2157" s="975" t="str">
        <f>IF(COUNTIFS(tblControles[Clave],tblControles[[#This Row],[Clave]])&gt;1,"Duplicado","")</f>
        <v/>
      </c>
    </row>
    <row r="2158" spans="2:11">
      <c r="B2158" s="975" t="str">
        <f>tblControles[[#This Row],[Fecha]]&amp;"|"&amp;tblControles[[#This Row],[Módulo]]&amp;"|"&amp;tblControles[[#This Row],[Ítem]]&amp;"|"&amp;tblControles[[#This Row],[Turno]]</f>
        <v>46286|CARGA MOLINOS|RM - 3|% carga</v>
      </c>
      <c r="C2158" s="871">
        <v>46286</v>
      </c>
      <c r="D2158" s="1096" t="s">
        <v>9455</v>
      </c>
      <c r="E2158" s="1096" t="s">
        <v>437</v>
      </c>
      <c r="F2158" s="1096" t="s">
        <v>9457</v>
      </c>
      <c r="G2158" s="1096">
        <v>89.5</v>
      </c>
      <c r="H2158" s="1096" t="s">
        <v>9333</v>
      </c>
      <c r="I2158" s="871">
        <v>46295.865464537041</v>
      </c>
      <c r="J2158" s="1096" t="s">
        <v>9969</v>
      </c>
      <c r="K2158" s="975" t="str">
        <f>IF(COUNTIFS(tblControles[Clave],tblControles[[#This Row],[Clave]])&gt;1,"Duplicado","")</f>
        <v/>
      </c>
    </row>
    <row r="2159" spans="2:11">
      <c r="B2159" s="975" t="str">
        <f>tblControles[[#This Row],[Fecha]]&amp;"|"&amp;tblControles[[#This Row],[Módulo]]&amp;"|"&amp;tblControles[[#This Row],[Ítem]]&amp;"|"&amp;tblControles[[#This Row],[Turno]]</f>
        <v>46286|CARGA MOLINOS|RM - 4|% carga</v>
      </c>
      <c r="C2159" s="871">
        <v>46286</v>
      </c>
      <c r="D2159" s="1096" t="s">
        <v>9455</v>
      </c>
      <c r="E2159" s="1096" t="s">
        <v>438</v>
      </c>
      <c r="F2159" s="1096" t="s">
        <v>9457</v>
      </c>
      <c r="G2159" s="1096">
        <v>87.2</v>
      </c>
      <c r="H2159" s="1096" t="s">
        <v>9333</v>
      </c>
      <c r="I2159" s="871">
        <v>46295.865464537041</v>
      </c>
      <c r="J2159" s="1096" t="s">
        <v>9969</v>
      </c>
      <c r="K2159" s="975" t="str">
        <f>IF(COUNTIFS(tblControles[Clave],tblControles[[#This Row],[Clave]])&gt;1,"Duplicado","")</f>
        <v/>
      </c>
    </row>
    <row r="2160" spans="2:11">
      <c r="B2160" s="975" t="str">
        <f>tblControles[[#This Row],[Fecha]]&amp;"|"&amp;tblControles[[#This Row],[Módulo]]&amp;"|"&amp;tblControles[[#This Row],[Ítem]]&amp;"|"&amp;tblControles[[#This Row],[Turno]]</f>
        <v>46286|CARGA MOLINOS|RM - 5|% carga</v>
      </c>
      <c r="C2160" s="871">
        <v>46286</v>
      </c>
      <c r="D2160" s="1096" t="s">
        <v>9455</v>
      </c>
      <c r="E2160" s="1096" t="s">
        <v>439</v>
      </c>
      <c r="F2160" s="1096" t="s">
        <v>9457</v>
      </c>
      <c r="G2160" s="1096">
        <v>90.4</v>
      </c>
      <c r="H2160" s="1096" t="s">
        <v>9333</v>
      </c>
      <c r="I2160" s="871">
        <v>46295.865464537041</v>
      </c>
      <c r="J2160" s="1096" t="s">
        <v>9969</v>
      </c>
      <c r="K2160" s="975" t="str">
        <f>IF(COUNTIFS(tblControles[Clave],tblControles[[#This Row],[Clave]])&gt;1,"Duplicado","")</f>
        <v/>
      </c>
    </row>
    <row r="2161" spans="2:11">
      <c r="B2161" s="975" t="str">
        <f>tblControles[[#This Row],[Fecha]]&amp;"|"&amp;tblControles[[#This Row],[Módulo]]&amp;"|"&amp;tblControles[[#This Row],[Ítem]]&amp;"|"&amp;tblControles[[#This Row],[Turno]]</f>
        <v>46286|CARGA MOLINOS|RM - 6|% carga</v>
      </c>
      <c r="C2161" s="871">
        <v>46286</v>
      </c>
      <c r="D2161" s="1096" t="s">
        <v>9455</v>
      </c>
      <c r="E2161" s="1096" t="s">
        <v>440</v>
      </c>
      <c r="F2161" s="1096" t="s">
        <v>9457</v>
      </c>
      <c r="G2161" s="1096">
        <v>88.1</v>
      </c>
      <c r="H2161" s="1096" t="s">
        <v>9333</v>
      </c>
      <c r="I2161" s="871">
        <v>46295.865464537041</v>
      </c>
      <c r="J2161" s="1096" t="s">
        <v>9969</v>
      </c>
      <c r="K2161" s="975" t="str">
        <f>IF(COUNTIFS(tblControles[Clave],tblControles[[#This Row],[Clave]])&gt;1,"Duplicado","")</f>
        <v/>
      </c>
    </row>
    <row r="2162" spans="2:11">
      <c r="B2162" s="975" t="str">
        <f>tblControles[[#This Row],[Fecha]]&amp;"|"&amp;tblControles[[#This Row],[Módulo]]&amp;"|"&amp;tblControles[[#This Row],[Ítem]]&amp;"|"&amp;tblControles[[#This Row],[Turno]]</f>
        <v>46286|CARGA MOLINOS|RM - 8|% carga</v>
      </c>
      <c r="C2162" s="871">
        <v>46286</v>
      </c>
      <c r="D2162" s="1096" t="s">
        <v>9455</v>
      </c>
      <c r="E2162" s="1096" t="s">
        <v>442</v>
      </c>
      <c r="F2162" s="1096" t="s">
        <v>9457</v>
      </c>
      <c r="G2162" s="1096">
        <v>90</v>
      </c>
      <c r="H2162" s="1096" t="s">
        <v>9333</v>
      </c>
      <c r="I2162" s="871">
        <v>46295.865464537041</v>
      </c>
      <c r="J2162" s="1096" t="s">
        <v>9969</v>
      </c>
      <c r="K2162" s="975" t="str">
        <f>IF(COUNTIFS(tblControles[Clave],tblControles[[#This Row],[Clave]])&gt;1,"Duplicado","")</f>
        <v/>
      </c>
    </row>
    <row r="2163" spans="2:11">
      <c r="B2163" s="975" t="str">
        <f>tblControles[[#This Row],[Fecha]]&amp;"|"&amp;tblControles[[#This Row],[Módulo]]&amp;"|"&amp;tblControles[[#This Row],[Ítem]]&amp;"|"&amp;tblControles[[#This Row],[Turno]]</f>
        <v>46286|CARGA MOLINOS|RM - 9|% carga</v>
      </c>
      <c r="C2163" s="871">
        <v>46286</v>
      </c>
      <c r="D2163" s="1096" t="s">
        <v>9455</v>
      </c>
      <c r="E2163" s="1096" t="s">
        <v>443</v>
      </c>
      <c r="F2163" s="1096" t="s">
        <v>9457</v>
      </c>
      <c r="G2163" s="1096">
        <v>63.7</v>
      </c>
      <c r="H2163" s="1096" t="s">
        <v>9333</v>
      </c>
      <c r="I2163" s="871">
        <v>46295.865464537041</v>
      </c>
      <c r="J2163" s="1096" t="s">
        <v>9969</v>
      </c>
      <c r="K2163" s="975" t="str">
        <f>IF(COUNTIFS(tblControles[Clave],tblControles[[#This Row],[Clave]])&gt;1,"Duplicado","")</f>
        <v/>
      </c>
    </row>
    <row r="2164" spans="2:11">
      <c r="B2164" s="975" t="str">
        <f>tblControles[[#This Row],[Fecha]]&amp;"|"&amp;tblControles[[#This Row],[Módulo]]&amp;"|"&amp;tblControles[[#This Row],[Ítem]]&amp;"|"&amp;tblControles[[#This Row],[Turno]]</f>
        <v>46286|CARGA MOLINOS|BM - 1|% carga</v>
      </c>
      <c r="C2164" s="871">
        <v>46286</v>
      </c>
      <c r="D2164" s="1096" t="s">
        <v>9455</v>
      </c>
      <c r="E2164" s="1096" t="s">
        <v>444</v>
      </c>
      <c r="F2164" s="1096" t="s">
        <v>9457</v>
      </c>
      <c r="G2164" s="1096">
        <v>89.6</v>
      </c>
      <c r="H2164" s="1096" t="s">
        <v>9333</v>
      </c>
      <c r="I2164" s="871">
        <v>46295.865464537041</v>
      </c>
      <c r="J2164" s="1096" t="s">
        <v>9969</v>
      </c>
      <c r="K2164" s="975" t="str">
        <f>IF(COUNTIFS(tblControles[Clave],tblControles[[#This Row],[Clave]])&gt;1,"Duplicado","")</f>
        <v/>
      </c>
    </row>
    <row r="2165" spans="2:11">
      <c r="B2165" s="975" t="str">
        <f>tblControles[[#This Row],[Fecha]]&amp;"|"&amp;tblControles[[#This Row],[Módulo]]&amp;"|"&amp;tblControles[[#This Row],[Ítem]]&amp;"|"&amp;tblControles[[#This Row],[Turno]]</f>
        <v>46286|CARGA MOLINOS|BM - 2|% carga</v>
      </c>
      <c r="C2165" s="871">
        <v>46286</v>
      </c>
      <c r="D2165" s="1096" t="s">
        <v>9455</v>
      </c>
      <c r="E2165" s="1096" t="s">
        <v>9519</v>
      </c>
      <c r="F2165" s="1096" t="s">
        <v>9457</v>
      </c>
      <c r="G2165" s="1096">
        <v>86.8</v>
      </c>
      <c r="H2165" s="1096" t="s">
        <v>9333</v>
      </c>
      <c r="I2165" s="871">
        <v>46295.865464537041</v>
      </c>
      <c r="J2165" s="1096" t="s">
        <v>9969</v>
      </c>
      <c r="K2165" s="975" t="str">
        <f>IF(COUNTIFS(tblControles[Clave],tblControles[[#This Row],[Clave]])&gt;1,"Duplicado","")</f>
        <v/>
      </c>
    </row>
    <row r="2166" spans="2:11">
      <c r="B2166" s="975" t="str">
        <f>tblControles[[#This Row],[Fecha]]&amp;"|"&amp;tblControles[[#This Row],[Módulo]]&amp;"|"&amp;tblControles[[#This Row],[Ítem]]&amp;"|"&amp;tblControles[[#This Row],[Turno]]</f>
        <v>46286|CARGA MOLINOS|BM - 3|% carga</v>
      </c>
      <c r="C2166" s="871">
        <v>46286</v>
      </c>
      <c r="D2166" s="1096" t="s">
        <v>9455</v>
      </c>
      <c r="E2166" s="1096" t="s">
        <v>445</v>
      </c>
      <c r="F2166" s="1096" t="s">
        <v>9457</v>
      </c>
      <c r="G2166" s="1096">
        <v>82.9</v>
      </c>
      <c r="H2166" s="1096" t="s">
        <v>9333</v>
      </c>
      <c r="I2166" s="871">
        <v>46295.865464537041</v>
      </c>
      <c r="J2166" s="1096" t="s">
        <v>9969</v>
      </c>
      <c r="K2166" s="975" t="str">
        <f>IF(COUNTIFS(tblControles[Clave],tblControles[[#This Row],[Clave]])&gt;1,"Duplicado","")</f>
        <v/>
      </c>
    </row>
    <row r="2167" spans="2:11">
      <c r="B2167" s="975" t="str">
        <f>tblControles[[#This Row],[Fecha]]&amp;"|"&amp;tblControles[[#This Row],[Módulo]]&amp;"|"&amp;tblControles[[#This Row],[Ítem]]&amp;"|"&amp;tblControles[[#This Row],[Turno]]</f>
        <v>46286|CARGA MOLINOS|BM - 4|% carga</v>
      </c>
      <c r="C2167" s="871">
        <v>46286</v>
      </c>
      <c r="D2167" s="1096" t="s">
        <v>9455</v>
      </c>
      <c r="E2167" s="1096" t="s">
        <v>446</v>
      </c>
      <c r="F2167" s="1096" t="s">
        <v>9457</v>
      </c>
      <c r="G2167" s="1096">
        <v>87</v>
      </c>
      <c r="H2167" s="1096" t="s">
        <v>9333</v>
      </c>
      <c r="I2167" s="871">
        <v>46295.865464537041</v>
      </c>
      <c r="J2167" s="1096" t="s">
        <v>9969</v>
      </c>
      <c r="K2167" s="975" t="str">
        <f>IF(COUNTIFS(tblControles[Clave],tblControles[[#This Row],[Clave]])&gt;1,"Duplicado","")</f>
        <v/>
      </c>
    </row>
    <row r="2168" spans="2:11">
      <c r="B2168" s="975" t="str">
        <f>tblControles[[#This Row],[Fecha]]&amp;"|"&amp;tblControles[[#This Row],[Módulo]]&amp;"|"&amp;tblControles[[#This Row],[Ítem]]&amp;"|"&amp;tblControles[[#This Row],[Turno]]</f>
        <v>46286|CARGA MOLINOS|BM - 5|% carga</v>
      </c>
      <c r="C2168" s="871">
        <v>46286</v>
      </c>
      <c r="D2168" s="1096" t="s">
        <v>9455</v>
      </c>
      <c r="E2168" s="1096" t="s">
        <v>447</v>
      </c>
      <c r="F2168" s="1096" t="s">
        <v>9457</v>
      </c>
      <c r="G2168" s="1096">
        <v>90.3</v>
      </c>
      <c r="H2168" s="1096" t="s">
        <v>9333</v>
      </c>
      <c r="I2168" s="871">
        <v>46295.865464537041</v>
      </c>
      <c r="J2168" s="1096" t="s">
        <v>9969</v>
      </c>
      <c r="K2168" s="975" t="str">
        <f>IF(COUNTIFS(tblControles[Clave],tblControles[[#This Row],[Clave]])&gt;1,"Duplicado","")</f>
        <v/>
      </c>
    </row>
    <row r="2169" spans="2:11">
      <c r="B2169" s="975" t="str">
        <f>tblControles[[#This Row],[Fecha]]&amp;"|"&amp;tblControles[[#This Row],[Módulo]]&amp;"|"&amp;tblControles[[#This Row],[Ítem]]&amp;"|"&amp;tblControles[[#This Row],[Turno]]</f>
        <v>46286|CARGA MOLINOS|BM - 6|% carga</v>
      </c>
      <c r="C2169" s="871">
        <v>46286</v>
      </c>
      <c r="D2169" s="1096" t="s">
        <v>9455</v>
      </c>
      <c r="E2169" s="1096" t="s">
        <v>448</v>
      </c>
      <c r="F2169" s="1096" t="s">
        <v>9457</v>
      </c>
      <c r="G2169" s="1096">
        <v>92.8</v>
      </c>
      <c r="H2169" s="1096" t="s">
        <v>9333</v>
      </c>
      <c r="I2169" s="871">
        <v>46295.865464537041</v>
      </c>
      <c r="J2169" s="1096" t="s">
        <v>9969</v>
      </c>
      <c r="K2169" s="975" t="str">
        <f>IF(COUNTIFS(tblControles[Clave],tblControles[[#This Row],[Clave]])&gt;1,"Duplicado","")</f>
        <v/>
      </c>
    </row>
    <row r="2170" spans="2:11">
      <c r="B2170" s="975" t="str">
        <f>tblControles[[#This Row],[Fecha]]&amp;"|"&amp;tblControles[[#This Row],[Módulo]]&amp;"|"&amp;tblControles[[#This Row],[Ítem]]&amp;"|"&amp;tblControles[[#This Row],[Turno]]</f>
        <v>46286|CARGA MOLINOS|BM - 8|% carga</v>
      </c>
      <c r="C2170" s="871">
        <v>46286</v>
      </c>
      <c r="D2170" s="1096" t="s">
        <v>9455</v>
      </c>
      <c r="E2170" s="1096" t="s">
        <v>450</v>
      </c>
      <c r="F2170" s="1096" t="s">
        <v>9457</v>
      </c>
      <c r="G2170" s="1096">
        <v>89.5</v>
      </c>
      <c r="H2170" s="1096" t="s">
        <v>9333</v>
      </c>
      <c r="I2170" s="871">
        <v>46295.865464537041</v>
      </c>
      <c r="J2170" s="1096" t="s">
        <v>9969</v>
      </c>
      <c r="K2170" s="975" t="str">
        <f>IF(COUNTIFS(tblControles[Clave],tblControles[[#This Row],[Clave]])&gt;1,"Duplicado","")</f>
        <v/>
      </c>
    </row>
    <row r="2171" spans="2:11">
      <c r="B2171" s="975" t="str">
        <f>tblControles[[#This Row],[Fecha]]&amp;"|"&amp;tblControles[[#This Row],[Módulo]]&amp;"|"&amp;tblControles[[#This Row],[Ítem]]&amp;"|"&amp;tblControles[[#This Row],[Turno]]</f>
        <v>46286|CARGA MOLINOS|BM - 9|% carga</v>
      </c>
      <c r="C2171" s="871">
        <v>46286</v>
      </c>
      <c r="D2171" s="1096" t="s">
        <v>9455</v>
      </c>
      <c r="E2171" s="1096" t="s">
        <v>451</v>
      </c>
      <c r="F2171" s="1096" t="s">
        <v>9457</v>
      </c>
      <c r="G2171" s="1096">
        <v>76.900000000000006</v>
      </c>
      <c r="H2171" s="1096" t="s">
        <v>9333</v>
      </c>
      <c r="I2171" s="871">
        <v>46295.865464537041</v>
      </c>
      <c r="J2171" s="1096" t="s">
        <v>9969</v>
      </c>
      <c r="K2171" s="975" t="str">
        <f>IF(COUNTIFS(tblControles[Clave],tblControles[[#This Row],[Clave]])&gt;1,"Duplicado","")</f>
        <v/>
      </c>
    </row>
    <row r="2172" spans="2:11">
      <c r="B2172" s="975" t="str">
        <f>tblControles[[#This Row],[Fecha]]&amp;"|"&amp;tblControles[[#This Row],[Módulo]]&amp;"|"&amp;tblControles[[#This Row],[Ítem]]&amp;"|"&amp;tblControles[[#This Row],[Turno]]</f>
        <v>46286|CARGA MOLINOS|BM - 10|% carga</v>
      </c>
      <c r="C2172" s="871">
        <v>46286</v>
      </c>
      <c r="D2172" s="1096" t="s">
        <v>9455</v>
      </c>
      <c r="E2172" s="1096" t="s">
        <v>452</v>
      </c>
      <c r="F2172" s="1096" t="s">
        <v>9457</v>
      </c>
      <c r="G2172" s="1096">
        <v>84.4</v>
      </c>
      <c r="H2172" s="1096" t="s">
        <v>9333</v>
      </c>
      <c r="I2172" s="871">
        <v>46295.865464537041</v>
      </c>
      <c r="J2172" s="1096" t="s">
        <v>9969</v>
      </c>
      <c r="K2172" s="975" t="str">
        <f>IF(COUNTIFS(tblControles[Clave],tblControles[[#This Row],[Clave]])&gt;1,"Duplicado","")</f>
        <v/>
      </c>
    </row>
    <row r="2173" spans="2:11">
      <c r="B2173" s="975" t="str">
        <f>tblControles[[#This Row],[Fecha]]&amp;"|"&amp;tblControles[[#This Row],[Módulo]]&amp;"|"&amp;tblControles[[#This Row],[Ítem]]&amp;"|"&amp;tblControles[[#This Row],[Turno]]</f>
        <v>46287|CARGA MOLINOS|RM - 1|% carga</v>
      </c>
      <c r="C2173" s="871">
        <v>46287</v>
      </c>
      <c r="D2173" s="1096" t="s">
        <v>9455</v>
      </c>
      <c r="E2173" s="1096" t="s">
        <v>435</v>
      </c>
      <c r="F2173" s="1096" t="s">
        <v>9457</v>
      </c>
      <c r="G2173" s="1096">
        <v>87.4</v>
      </c>
      <c r="H2173" s="1096" t="s">
        <v>9333</v>
      </c>
      <c r="I2173" s="871">
        <v>46295.865464537041</v>
      </c>
      <c r="J2173" s="1096" t="s">
        <v>9969</v>
      </c>
      <c r="K2173" s="975" t="str">
        <f>IF(COUNTIFS(tblControles[Clave],tblControles[[#This Row],[Clave]])&gt;1,"Duplicado","")</f>
        <v/>
      </c>
    </row>
    <row r="2174" spans="2:11">
      <c r="B2174" s="975" t="str">
        <f>tblControles[[#This Row],[Fecha]]&amp;"|"&amp;tblControles[[#This Row],[Módulo]]&amp;"|"&amp;tblControles[[#This Row],[Ítem]]&amp;"|"&amp;tblControles[[#This Row],[Turno]]</f>
        <v>46287|CARGA MOLINOS|RM - 3|% carga</v>
      </c>
      <c r="C2174" s="871">
        <v>46287</v>
      </c>
      <c r="D2174" s="1096" t="s">
        <v>9455</v>
      </c>
      <c r="E2174" s="1096" t="s">
        <v>437</v>
      </c>
      <c r="F2174" s="1096" t="s">
        <v>9457</v>
      </c>
      <c r="G2174" s="1096">
        <v>87.2</v>
      </c>
      <c r="H2174" s="1096" t="s">
        <v>9333</v>
      </c>
      <c r="I2174" s="871">
        <v>46295.865464537041</v>
      </c>
      <c r="J2174" s="1096" t="s">
        <v>9969</v>
      </c>
      <c r="K2174" s="975" t="str">
        <f>IF(COUNTIFS(tblControles[Clave],tblControles[[#This Row],[Clave]])&gt;1,"Duplicado","")</f>
        <v/>
      </c>
    </row>
    <row r="2175" spans="2:11">
      <c r="B2175" s="975" t="str">
        <f>tblControles[[#This Row],[Fecha]]&amp;"|"&amp;tblControles[[#This Row],[Módulo]]&amp;"|"&amp;tblControles[[#This Row],[Ítem]]&amp;"|"&amp;tblControles[[#This Row],[Turno]]</f>
        <v>46287|CARGA MOLINOS|RM - 4|% carga</v>
      </c>
      <c r="C2175" s="871">
        <v>46287</v>
      </c>
      <c r="D2175" s="1096" t="s">
        <v>9455</v>
      </c>
      <c r="E2175" s="1096" t="s">
        <v>438</v>
      </c>
      <c r="F2175" s="1096" t="s">
        <v>9457</v>
      </c>
      <c r="G2175" s="1096">
        <v>85.1</v>
      </c>
      <c r="H2175" s="1096" t="s">
        <v>9333</v>
      </c>
      <c r="I2175" s="871">
        <v>46295.865464537041</v>
      </c>
      <c r="J2175" s="1096" t="s">
        <v>9969</v>
      </c>
      <c r="K2175" s="975" t="str">
        <f>IF(COUNTIFS(tblControles[Clave],tblControles[[#This Row],[Clave]])&gt;1,"Duplicado","")</f>
        <v/>
      </c>
    </row>
    <row r="2176" spans="2:11">
      <c r="B2176" s="975" t="str">
        <f>tblControles[[#This Row],[Fecha]]&amp;"|"&amp;tblControles[[#This Row],[Módulo]]&amp;"|"&amp;tblControles[[#This Row],[Ítem]]&amp;"|"&amp;tblControles[[#This Row],[Turno]]</f>
        <v>46287|CARGA MOLINOS|RM - 5|% carga</v>
      </c>
      <c r="C2176" s="871">
        <v>46287</v>
      </c>
      <c r="D2176" s="1096" t="s">
        <v>9455</v>
      </c>
      <c r="E2176" s="1096" t="s">
        <v>439</v>
      </c>
      <c r="F2176" s="1096" t="s">
        <v>9457</v>
      </c>
      <c r="G2176" s="1096">
        <v>88.7</v>
      </c>
      <c r="H2176" s="1096" t="s">
        <v>9333</v>
      </c>
      <c r="I2176" s="871">
        <v>46295.865464537041</v>
      </c>
      <c r="J2176" s="1096" t="s">
        <v>9969</v>
      </c>
      <c r="K2176" s="975" t="str">
        <f>IF(COUNTIFS(tblControles[Clave],tblControles[[#This Row],[Clave]])&gt;1,"Duplicado","")</f>
        <v/>
      </c>
    </row>
    <row r="2177" spans="2:11">
      <c r="B2177" s="975" t="str">
        <f>tblControles[[#This Row],[Fecha]]&amp;"|"&amp;tblControles[[#This Row],[Módulo]]&amp;"|"&amp;tblControles[[#This Row],[Ítem]]&amp;"|"&amp;tblControles[[#This Row],[Turno]]</f>
        <v>46287|CARGA MOLINOS|RM - 6|% carga</v>
      </c>
      <c r="C2177" s="871">
        <v>46287</v>
      </c>
      <c r="D2177" s="1096" t="s">
        <v>9455</v>
      </c>
      <c r="E2177" s="1096" t="s">
        <v>440</v>
      </c>
      <c r="F2177" s="1096" t="s">
        <v>9457</v>
      </c>
      <c r="G2177" s="1096">
        <v>86.4</v>
      </c>
      <c r="H2177" s="1096" t="s">
        <v>9333</v>
      </c>
      <c r="I2177" s="871">
        <v>46295.865464537041</v>
      </c>
      <c r="J2177" s="1096" t="s">
        <v>9969</v>
      </c>
      <c r="K2177" s="975" t="str">
        <f>IF(COUNTIFS(tblControles[Clave],tblControles[[#This Row],[Clave]])&gt;1,"Duplicado","")</f>
        <v/>
      </c>
    </row>
    <row r="2178" spans="2:11">
      <c r="B2178" s="975" t="str">
        <f>tblControles[[#This Row],[Fecha]]&amp;"|"&amp;tblControles[[#This Row],[Módulo]]&amp;"|"&amp;tblControles[[#This Row],[Ítem]]&amp;"|"&amp;tblControles[[#This Row],[Turno]]</f>
        <v>46287|CARGA MOLINOS|RM - 8|% carga</v>
      </c>
      <c r="C2178" s="871">
        <v>46287</v>
      </c>
      <c r="D2178" s="1096" t="s">
        <v>9455</v>
      </c>
      <c r="E2178" s="1096" t="s">
        <v>442</v>
      </c>
      <c r="F2178" s="1096" t="s">
        <v>9457</v>
      </c>
      <c r="G2178" s="1096">
        <v>89.1</v>
      </c>
      <c r="H2178" s="1096" t="s">
        <v>9333</v>
      </c>
      <c r="I2178" s="871">
        <v>46295.865464537041</v>
      </c>
      <c r="J2178" s="1096" t="s">
        <v>9969</v>
      </c>
      <c r="K2178" s="975" t="str">
        <f>IF(COUNTIFS(tblControles[Clave],tblControles[[#This Row],[Clave]])&gt;1,"Duplicado","")</f>
        <v/>
      </c>
    </row>
    <row r="2179" spans="2:11">
      <c r="B2179" s="975" t="str">
        <f>tblControles[[#This Row],[Fecha]]&amp;"|"&amp;tblControles[[#This Row],[Módulo]]&amp;"|"&amp;tblControles[[#This Row],[Ítem]]&amp;"|"&amp;tblControles[[#This Row],[Turno]]</f>
        <v>46287|CARGA MOLINOS|RM - 9|% carga</v>
      </c>
      <c r="C2179" s="871">
        <v>46287</v>
      </c>
      <c r="D2179" s="1096" t="s">
        <v>9455</v>
      </c>
      <c r="E2179" s="1096" t="s">
        <v>443</v>
      </c>
      <c r="F2179" s="1096" t="s">
        <v>9457</v>
      </c>
      <c r="G2179" s="1096">
        <v>63.5</v>
      </c>
      <c r="H2179" s="1096" t="s">
        <v>9333</v>
      </c>
      <c r="I2179" s="871">
        <v>46295.865464537041</v>
      </c>
      <c r="J2179" s="1096" t="s">
        <v>9969</v>
      </c>
      <c r="K2179" s="975" t="str">
        <f>IF(COUNTIFS(tblControles[Clave],tblControles[[#This Row],[Clave]])&gt;1,"Duplicado","")</f>
        <v/>
      </c>
    </row>
    <row r="2180" spans="2:11">
      <c r="B2180" s="975" t="str">
        <f>tblControles[[#This Row],[Fecha]]&amp;"|"&amp;tblControles[[#This Row],[Módulo]]&amp;"|"&amp;tblControles[[#This Row],[Ítem]]&amp;"|"&amp;tblControles[[#This Row],[Turno]]</f>
        <v>46287|CARGA MOLINOS|BM - 1|% carga</v>
      </c>
      <c r="C2180" s="871">
        <v>46287</v>
      </c>
      <c r="D2180" s="1096" t="s">
        <v>9455</v>
      </c>
      <c r="E2180" s="1096" t="s">
        <v>444</v>
      </c>
      <c r="F2180" s="1096" t="s">
        <v>9457</v>
      </c>
      <c r="G2180" s="1096">
        <v>90.9</v>
      </c>
      <c r="H2180" s="1096" t="s">
        <v>9333</v>
      </c>
      <c r="I2180" s="871">
        <v>46295.865464537041</v>
      </c>
      <c r="J2180" s="1096" t="s">
        <v>9969</v>
      </c>
      <c r="K2180" s="975" t="str">
        <f>IF(COUNTIFS(tblControles[Clave],tblControles[[#This Row],[Clave]])&gt;1,"Duplicado","")</f>
        <v/>
      </c>
    </row>
    <row r="2181" spans="2:11">
      <c r="B2181" s="975" t="str">
        <f>tblControles[[#This Row],[Fecha]]&amp;"|"&amp;tblControles[[#This Row],[Módulo]]&amp;"|"&amp;tblControles[[#This Row],[Ítem]]&amp;"|"&amp;tblControles[[#This Row],[Turno]]</f>
        <v>46287|CARGA MOLINOS|BM - 2|% carga</v>
      </c>
      <c r="C2181" s="871">
        <v>46287</v>
      </c>
      <c r="D2181" s="1096" t="s">
        <v>9455</v>
      </c>
      <c r="E2181" s="1096" t="s">
        <v>9519</v>
      </c>
      <c r="F2181" s="1096" t="s">
        <v>9457</v>
      </c>
      <c r="G2181" s="1096">
        <v>81.400000000000006</v>
      </c>
      <c r="H2181" s="1096" t="s">
        <v>9333</v>
      </c>
      <c r="I2181" s="871">
        <v>46295.865464537041</v>
      </c>
      <c r="J2181" s="1096" t="s">
        <v>9969</v>
      </c>
      <c r="K2181" s="975" t="str">
        <f>IF(COUNTIFS(tblControles[Clave],tblControles[[#This Row],[Clave]])&gt;1,"Duplicado","")</f>
        <v/>
      </c>
    </row>
    <row r="2182" spans="2:11">
      <c r="B2182" s="975" t="str">
        <f>tblControles[[#This Row],[Fecha]]&amp;"|"&amp;tblControles[[#This Row],[Módulo]]&amp;"|"&amp;tblControles[[#This Row],[Ítem]]&amp;"|"&amp;tblControles[[#This Row],[Turno]]</f>
        <v>46287|CARGA MOLINOS|BM - 3|% carga</v>
      </c>
      <c r="C2182" s="871">
        <v>46287</v>
      </c>
      <c r="D2182" s="1096" t="s">
        <v>9455</v>
      </c>
      <c r="E2182" s="1096" t="s">
        <v>445</v>
      </c>
      <c r="F2182" s="1096" t="s">
        <v>9457</v>
      </c>
      <c r="G2182" s="1096">
        <v>83.9</v>
      </c>
      <c r="H2182" s="1096" t="s">
        <v>9333</v>
      </c>
      <c r="I2182" s="871">
        <v>46295.865464537041</v>
      </c>
      <c r="J2182" s="1096" t="s">
        <v>9969</v>
      </c>
      <c r="K2182" s="975" t="str">
        <f>IF(COUNTIFS(tblControles[Clave],tblControles[[#This Row],[Clave]])&gt;1,"Duplicado","")</f>
        <v/>
      </c>
    </row>
    <row r="2183" spans="2:11">
      <c r="B2183" s="975" t="str">
        <f>tblControles[[#This Row],[Fecha]]&amp;"|"&amp;tblControles[[#This Row],[Módulo]]&amp;"|"&amp;tblControles[[#This Row],[Ítem]]&amp;"|"&amp;tblControles[[#This Row],[Turno]]</f>
        <v>46287|CARGA MOLINOS|BM - 4|% carga</v>
      </c>
      <c r="C2183" s="871">
        <v>46287</v>
      </c>
      <c r="D2183" s="1096" t="s">
        <v>9455</v>
      </c>
      <c r="E2183" s="1096" t="s">
        <v>446</v>
      </c>
      <c r="F2183" s="1096" t="s">
        <v>9457</v>
      </c>
      <c r="G2183" s="1096">
        <v>85.5</v>
      </c>
      <c r="H2183" s="1096" t="s">
        <v>9333</v>
      </c>
      <c r="I2183" s="871">
        <v>46295.865464537041</v>
      </c>
      <c r="J2183" s="1096" t="s">
        <v>9969</v>
      </c>
      <c r="K2183" s="975" t="str">
        <f>IF(COUNTIFS(tblControles[Clave],tblControles[[#This Row],[Clave]])&gt;1,"Duplicado","")</f>
        <v/>
      </c>
    </row>
    <row r="2184" spans="2:11">
      <c r="B2184" s="975" t="str">
        <f>tblControles[[#This Row],[Fecha]]&amp;"|"&amp;tblControles[[#This Row],[Módulo]]&amp;"|"&amp;tblControles[[#This Row],[Ítem]]&amp;"|"&amp;tblControles[[#This Row],[Turno]]</f>
        <v>46287|CARGA MOLINOS|BM - 5|% carga</v>
      </c>
      <c r="C2184" s="871">
        <v>46287</v>
      </c>
      <c r="D2184" s="1096" t="s">
        <v>9455</v>
      </c>
      <c r="E2184" s="1096" t="s">
        <v>447</v>
      </c>
      <c r="F2184" s="1096" t="s">
        <v>9457</v>
      </c>
      <c r="G2184" s="1096">
        <v>94.6</v>
      </c>
      <c r="H2184" s="1096" t="s">
        <v>9333</v>
      </c>
      <c r="I2184" s="871">
        <v>46295.865464537041</v>
      </c>
      <c r="J2184" s="1096" t="s">
        <v>9969</v>
      </c>
      <c r="K2184" s="975" t="str">
        <f>IF(COUNTIFS(tblControles[Clave],tblControles[[#This Row],[Clave]])&gt;1,"Duplicado","")</f>
        <v/>
      </c>
    </row>
    <row r="2185" spans="2:11">
      <c r="B2185" s="975" t="str">
        <f>tblControles[[#This Row],[Fecha]]&amp;"|"&amp;tblControles[[#This Row],[Módulo]]&amp;"|"&amp;tblControles[[#This Row],[Ítem]]&amp;"|"&amp;tblControles[[#This Row],[Turno]]</f>
        <v>46287|CARGA MOLINOS|BM - 6|% carga</v>
      </c>
      <c r="C2185" s="871">
        <v>46287</v>
      </c>
      <c r="D2185" s="1096" t="s">
        <v>9455</v>
      </c>
      <c r="E2185" s="1096" t="s">
        <v>448</v>
      </c>
      <c r="F2185" s="1096" t="s">
        <v>9457</v>
      </c>
      <c r="G2185" s="1096">
        <v>88.2</v>
      </c>
      <c r="H2185" s="1096" t="s">
        <v>9333</v>
      </c>
      <c r="I2185" s="871">
        <v>46295.865464537041</v>
      </c>
      <c r="J2185" s="1096" t="s">
        <v>9969</v>
      </c>
      <c r="K2185" s="975" t="str">
        <f>IF(COUNTIFS(tblControles[Clave],tblControles[[#This Row],[Clave]])&gt;1,"Duplicado","")</f>
        <v/>
      </c>
    </row>
    <row r="2186" spans="2:11">
      <c r="B2186" s="975" t="str">
        <f>tblControles[[#This Row],[Fecha]]&amp;"|"&amp;tblControles[[#This Row],[Módulo]]&amp;"|"&amp;tblControles[[#This Row],[Ítem]]&amp;"|"&amp;tblControles[[#This Row],[Turno]]</f>
        <v>46287|CARGA MOLINOS|BM - 7|% carga</v>
      </c>
      <c r="C2186" s="871">
        <v>46287</v>
      </c>
      <c r="D2186" s="1096" t="s">
        <v>9455</v>
      </c>
      <c r="E2186" s="1096" t="s">
        <v>449</v>
      </c>
      <c r="F2186" s="1096" t="s">
        <v>9457</v>
      </c>
      <c r="G2186" s="1096">
        <v>86.6</v>
      </c>
      <c r="H2186" s="1096" t="s">
        <v>9333</v>
      </c>
      <c r="I2186" s="871">
        <v>46295.865464537041</v>
      </c>
      <c r="J2186" s="1096" t="s">
        <v>9969</v>
      </c>
      <c r="K2186" s="975" t="str">
        <f>IF(COUNTIFS(tblControles[Clave],tblControles[[#This Row],[Clave]])&gt;1,"Duplicado","")</f>
        <v/>
      </c>
    </row>
    <row r="2187" spans="2:11">
      <c r="B2187" s="975" t="str">
        <f>tblControles[[#This Row],[Fecha]]&amp;"|"&amp;tblControles[[#This Row],[Módulo]]&amp;"|"&amp;tblControles[[#This Row],[Ítem]]&amp;"|"&amp;tblControles[[#This Row],[Turno]]</f>
        <v>46287|CARGA MOLINOS|BM - 8|% carga</v>
      </c>
      <c r="C2187" s="871">
        <v>46287</v>
      </c>
      <c r="D2187" s="1096" t="s">
        <v>9455</v>
      </c>
      <c r="E2187" s="1096" t="s">
        <v>450</v>
      </c>
      <c r="F2187" s="1096" t="s">
        <v>9457</v>
      </c>
      <c r="G2187" s="1096">
        <v>89.6</v>
      </c>
      <c r="H2187" s="1096" t="s">
        <v>9333</v>
      </c>
      <c r="I2187" s="871">
        <v>46295.865464537041</v>
      </c>
      <c r="J2187" s="1096" t="s">
        <v>9969</v>
      </c>
      <c r="K2187" s="975" t="str">
        <f>IF(COUNTIFS(tblControles[Clave],tblControles[[#This Row],[Clave]])&gt;1,"Duplicado","")</f>
        <v/>
      </c>
    </row>
    <row r="2188" spans="2:11">
      <c r="B2188" s="975" t="str">
        <f>tblControles[[#This Row],[Fecha]]&amp;"|"&amp;tblControles[[#This Row],[Módulo]]&amp;"|"&amp;tblControles[[#This Row],[Ítem]]&amp;"|"&amp;tblControles[[#This Row],[Turno]]</f>
        <v>46287|CARGA MOLINOS|BM - 9|% carga</v>
      </c>
      <c r="C2188" s="871">
        <v>46287</v>
      </c>
      <c r="D2188" s="1096" t="s">
        <v>9455</v>
      </c>
      <c r="E2188" s="1096" t="s">
        <v>451</v>
      </c>
      <c r="F2188" s="1096" t="s">
        <v>9457</v>
      </c>
      <c r="G2188" s="1096">
        <v>78.400000000000006</v>
      </c>
      <c r="H2188" s="1096" t="s">
        <v>9333</v>
      </c>
      <c r="I2188" s="871">
        <v>46295.865464537041</v>
      </c>
      <c r="J2188" s="1096" t="s">
        <v>9969</v>
      </c>
      <c r="K2188" s="975" t="str">
        <f>IF(COUNTIFS(tblControles[Clave],tblControles[[#This Row],[Clave]])&gt;1,"Duplicado","")</f>
        <v/>
      </c>
    </row>
    <row r="2189" spans="2:11">
      <c r="B2189" s="975" t="str">
        <f>tblControles[[#This Row],[Fecha]]&amp;"|"&amp;tblControles[[#This Row],[Módulo]]&amp;"|"&amp;tblControles[[#This Row],[Ítem]]&amp;"|"&amp;tblControles[[#This Row],[Turno]]</f>
        <v>46287|CARGA MOLINOS|BM - 10|% carga</v>
      </c>
      <c r="C2189" s="871">
        <v>46287</v>
      </c>
      <c r="D2189" s="1096" t="s">
        <v>9455</v>
      </c>
      <c r="E2189" s="1096" t="s">
        <v>452</v>
      </c>
      <c r="F2189" s="1096" t="s">
        <v>9457</v>
      </c>
      <c r="G2189" s="1096">
        <v>79.3</v>
      </c>
      <c r="H2189" s="1096" t="s">
        <v>9333</v>
      </c>
      <c r="I2189" s="871">
        <v>46295.865464537041</v>
      </c>
      <c r="J2189" s="1096" t="s">
        <v>9969</v>
      </c>
      <c r="K2189" s="975" t="str">
        <f>IF(COUNTIFS(tblControles[Clave],tblControles[[#This Row],[Clave]])&gt;1,"Duplicado","")</f>
        <v/>
      </c>
    </row>
    <row r="2190" spans="2:11">
      <c r="B2190" s="975" t="str">
        <f>tblControles[[#This Row],[Fecha]]&amp;"|"&amp;tblControles[[#This Row],[Módulo]]&amp;"|"&amp;tblControles[[#This Row],[Ítem]]&amp;"|"&amp;tblControles[[#This Row],[Turno]]</f>
        <v>46146|LIMPIEZA CANALETAS|P2-T1|Día</v>
      </c>
      <c r="C2190" s="871">
        <v>46146</v>
      </c>
      <c r="D2190" s="1096" t="s">
        <v>9439</v>
      </c>
      <c r="E2190" s="1096" t="s">
        <v>9472</v>
      </c>
      <c r="F2190" s="1096" t="s">
        <v>31</v>
      </c>
      <c r="G2190" s="1096" t="s">
        <v>345</v>
      </c>
      <c r="H2190" s="1096" t="s">
        <v>9333</v>
      </c>
      <c r="I2190" s="871">
        <v>46295.904955891208</v>
      </c>
      <c r="J2190" s="1096" t="s">
        <v>9977</v>
      </c>
      <c r="K2190" s="975" t="str">
        <f>IF(COUNTIFS(tblControles[Clave],tblControles[[#This Row],[Clave]])&gt;1,"Duplicado","")</f>
        <v/>
      </c>
    </row>
    <row r="2191" spans="2:11">
      <c r="B2191" s="975" t="str">
        <f>tblControles[[#This Row],[Fecha]]&amp;"|"&amp;tblControles[[#This Row],[Módulo]]&amp;"|"&amp;tblControles[[#This Row],[Ítem]]&amp;"|"&amp;tblControles[[#This Row],[Turno]]</f>
        <v>46146|LIMPIEZA CANALETAS|P2-T1|Obs</v>
      </c>
      <c r="C2191" s="871">
        <v>46146</v>
      </c>
      <c r="D2191" s="1096" t="s">
        <v>9439</v>
      </c>
      <c r="E2191" s="1096" t="s">
        <v>9472</v>
      </c>
      <c r="F2191" s="1096" t="s">
        <v>9531</v>
      </c>
      <c r="G2191" s="1096" t="s">
        <v>405</v>
      </c>
      <c r="H2191" s="1096" t="s">
        <v>9333</v>
      </c>
      <c r="I2191" s="871">
        <v>46295.904955891208</v>
      </c>
      <c r="J2191" s="1096" t="s">
        <v>9977</v>
      </c>
      <c r="K2191" s="975" t="str">
        <f>IF(COUNTIFS(tblControles[Clave],tblControles[[#This Row],[Clave]])&gt;1,"Duplicado","")</f>
        <v/>
      </c>
    </row>
    <row r="2192" spans="2:11">
      <c r="B2192" s="975" t="str">
        <f>tblControles[[#This Row],[Fecha]]&amp;"|"&amp;tblControles[[#This Row],[Módulo]]&amp;"|"&amp;tblControles[[#This Row],[Ítem]]&amp;"|"&amp;tblControles[[#This Row],[Turno]]</f>
        <v>46146|LIMPIEZA CANALETAS|P2-H1|Día</v>
      </c>
      <c r="C2192" s="871">
        <v>46146</v>
      </c>
      <c r="D2192" s="1096" t="s">
        <v>9439</v>
      </c>
      <c r="E2192" s="1096" t="s">
        <v>9474</v>
      </c>
      <c r="F2192" s="1096" t="s">
        <v>31</v>
      </c>
      <c r="G2192" s="1096" t="s">
        <v>345</v>
      </c>
      <c r="H2192" s="1096" t="s">
        <v>9333</v>
      </c>
      <c r="I2192" s="871">
        <v>46295.904955891208</v>
      </c>
      <c r="J2192" s="1096" t="s">
        <v>9977</v>
      </c>
      <c r="K2192" s="975" t="str">
        <f>IF(COUNTIFS(tblControles[Clave],tblControles[[#This Row],[Clave]])&gt;1,"Duplicado","")</f>
        <v/>
      </c>
    </row>
    <row r="2193" spans="2:11">
      <c r="B2193" s="975" t="str">
        <f>tblControles[[#This Row],[Fecha]]&amp;"|"&amp;tblControles[[#This Row],[Módulo]]&amp;"|"&amp;tblControles[[#This Row],[Ítem]]&amp;"|"&amp;tblControles[[#This Row],[Turno]]</f>
        <v>46146|LIMPIEZA CANALETAS|P2-H2|Día</v>
      </c>
      <c r="C2193" s="871">
        <v>46146</v>
      </c>
      <c r="D2193" s="1096" t="s">
        <v>9439</v>
      </c>
      <c r="E2193" s="1096" t="s">
        <v>9476</v>
      </c>
      <c r="F2193" s="1096" t="s">
        <v>31</v>
      </c>
      <c r="G2193" s="1096" t="s">
        <v>345</v>
      </c>
      <c r="H2193" s="1096" t="s">
        <v>9333</v>
      </c>
      <c r="I2193" s="871">
        <v>46295.904955891208</v>
      </c>
      <c r="J2193" s="1096" t="s">
        <v>9977</v>
      </c>
      <c r="K2193" s="975" t="str">
        <f>IF(COUNTIFS(tblControles[Clave],tblControles[[#This Row],[Clave]])&gt;1,"Duplicado","")</f>
        <v/>
      </c>
    </row>
    <row r="2194" spans="2:11">
      <c r="B2194" s="975" t="str">
        <f>tblControles[[#This Row],[Fecha]]&amp;"|"&amp;tblControles[[#This Row],[Módulo]]&amp;"|"&amp;tblControles[[#This Row],[Ítem]]&amp;"|"&amp;tblControles[[#This Row],[Turno]]</f>
        <v>46149|LIMPIEZA CANALETAS|P2-H2|Día</v>
      </c>
      <c r="C2194" s="871">
        <v>46149</v>
      </c>
      <c r="D2194" s="1096" t="s">
        <v>9439</v>
      </c>
      <c r="E2194" s="1096" t="s">
        <v>9476</v>
      </c>
      <c r="F2194" s="1096" t="s">
        <v>31</v>
      </c>
      <c r="G2194" s="1096" t="s">
        <v>3227</v>
      </c>
      <c r="H2194" s="1096" t="s">
        <v>9333</v>
      </c>
      <c r="I2194" s="871">
        <v>46295.904955891208</v>
      </c>
      <c r="J2194" s="1096" t="s">
        <v>9977</v>
      </c>
      <c r="K2194" s="975" t="str">
        <f>IF(COUNTIFS(tblControles[Clave],tblControles[[#This Row],[Clave]])&gt;1,"Duplicado","")</f>
        <v/>
      </c>
    </row>
    <row r="2195" spans="2:11">
      <c r="B2195" s="975" t="str">
        <f>tblControles[[#This Row],[Fecha]]&amp;"|"&amp;tblControles[[#This Row],[Módulo]]&amp;"|"&amp;tblControles[[#This Row],[Ítem]]&amp;"|"&amp;tblControles[[#This Row],[Turno]]</f>
        <v>46147|LIMPIEZA CANALETAS|P2-H3|Día</v>
      </c>
      <c r="C2195" s="871">
        <v>46147</v>
      </c>
      <c r="D2195" s="1096" t="s">
        <v>9439</v>
      </c>
      <c r="E2195" s="1096" t="s">
        <v>9478</v>
      </c>
      <c r="F2195" s="1096" t="s">
        <v>31</v>
      </c>
      <c r="G2195" s="1096" t="s">
        <v>345</v>
      </c>
      <c r="H2195" s="1096" t="s">
        <v>9333</v>
      </c>
      <c r="I2195" s="871">
        <v>46295.904955891208</v>
      </c>
      <c r="J2195" s="1096" t="s">
        <v>9977</v>
      </c>
      <c r="K2195" s="975" t="str">
        <f>IF(COUNTIFS(tblControles[Clave],tblControles[[#This Row],[Clave]])&gt;1,"Duplicado","")</f>
        <v/>
      </c>
    </row>
    <row r="2196" spans="2:11">
      <c r="B2196" s="975" t="str">
        <f>tblControles[[#This Row],[Fecha]]&amp;"|"&amp;tblControles[[#This Row],[Módulo]]&amp;"|"&amp;tblControles[[#This Row],[Ítem]]&amp;"|"&amp;tblControles[[#This Row],[Turno]]</f>
        <v>46147|LIMPIEZA CANALETAS|P2-H3|Obs</v>
      </c>
      <c r="C2196" s="871">
        <v>46147</v>
      </c>
      <c r="D2196" s="1096" t="s">
        <v>9439</v>
      </c>
      <c r="E2196" s="1096" t="s">
        <v>9478</v>
      </c>
      <c r="F2196" s="1096" t="s">
        <v>9531</v>
      </c>
      <c r="G2196" s="1096" t="s">
        <v>9978</v>
      </c>
      <c r="H2196" s="1096" t="s">
        <v>9333</v>
      </c>
      <c r="I2196" s="871">
        <v>46295.904955891208</v>
      </c>
      <c r="J2196" s="1096" t="s">
        <v>9977</v>
      </c>
      <c r="K2196" s="975" t="str">
        <f>IF(COUNTIFS(tblControles[Clave],tblControles[[#This Row],[Clave]])&gt;1,"Duplicado","")</f>
        <v/>
      </c>
    </row>
    <row r="2197" spans="2:11">
      <c r="B2197" s="975" t="str">
        <f>tblControles[[#This Row],[Fecha]]&amp;"|"&amp;tblControles[[#This Row],[Módulo]]&amp;"|"&amp;tblControles[[#This Row],[Ítem]]&amp;"|"&amp;tblControles[[#This Row],[Turno]]</f>
        <v>46147|LIMPIEZA CANALETAS|P2-H4|Día</v>
      </c>
      <c r="C2197" s="871">
        <v>46147</v>
      </c>
      <c r="D2197" s="1096" t="s">
        <v>9439</v>
      </c>
      <c r="E2197" s="1096" t="s">
        <v>9480</v>
      </c>
      <c r="F2197" s="1096" t="s">
        <v>31</v>
      </c>
      <c r="G2197" s="1096" t="s">
        <v>345</v>
      </c>
      <c r="H2197" s="1096" t="s">
        <v>9333</v>
      </c>
      <c r="I2197" s="871">
        <v>46295.904955891208</v>
      </c>
      <c r="J2197" s="1096" t="s">
        <v>9977</v>
      </c>
      <c r="K2197" s="975" t="str">
        <f>IF(COUNTIFS(tblControles[Clave],tblControles[[#This Row],[Clave]])&gt;1,"Duplicado","")</f>
        <v/>
      </c>
    </row>
    <row r="2198" spans="2:11">
      <c r="B2198" s="975" t="str">
        <f>tblControles[[#This Row],[Fecha]]&amp;"|"&amp;tblControles[[#This Row],[Módulo]]&amp;"|"&amp;tblControles[[#This Row],[Ítem]]&amp;"|"&amp;tblControles[[#This Row],[Turno]]</f>
        <v>46146|LIMPIEZA CANALETAS|P2-T2|Día</v>
      </c>
      <c r="C2198" s="871">
        <v>46146</v>
      </c>
      <c r="D2198" s="1096" t="s">
        <v>9439</v>
      </c>
      <c r="E2198" s="1096" t="s">
        <v>9490</v>
      </c>
      <c r="F2198" s="1096" t="s">
        <v>31</v>
      </c>
      <c r="G2198" s="1096" t="s">
        <v>345</v>
      </c>
      <c r="H2198" s="1096" t="s">
        <v>9333</v>
      </c>
      <c r="I2198" s="871">
        <v>46295.904955891208</v>
      </c>
      <c r="J2198" s="1096" t="s">
        <v>9977</v>
      </c>
      <c r="K2198" s="975" t="str">
        <f>IF(COUNTIFS(tblControles[Clave],tblControles[[#This Row],[Clave]])&gt;1,"Duplicado","")</f>
        <v/>
      </c>
    </row>
    <row r="2199" spans="2:11">
      <c r="B2199" s="975" t="str">
        <f>tblControles[[#This Row],[Fecha]]&amp;"|"&amp;tblControles[[#This Row],[Módulo]]&amp;"|"&amp;tblControles[[#This Row],[Ítem]]&amp;"|"&amp;tblControles[[#This Row],[Turno]]</f>
        <v>46147|LIMPIEZA CANALETAS|P2-T3|Día</v>
      </c>
      <c r="C2199" s="871">
        <v>46147</v>
      </c>
      <c r="D2199" s="1096" t="s">
        <v>9439</v>
      </c>
      <c r="E2199" s="1096" t="s">
        <v>9492</v>
      </c>
      <c r="F2199" s="1096" t="s">
        <v>31</v>
      </c>
      <c r="G2199" s="1096" t="s">
        <v>345</v>
      </c>
      <c r="H2199" s="1096" t="s">
        <v>9333</v>
      </c>
      <c r="I2199" s="871">
        <v>46295.904955891208</v>
      </c>
      <c r="J2199" s="1096" t="s">
        <v>9977</v>
      </c>
      <c r="K2199" s="975" t="str">
        <f>IF(COUNTIFS(tblControles[Clave],tblControles[[#This Row],[Clave]])&gt;1,"Duplicado","")</f>
        <v/>
      </c>
    </row>
    <row r="2200" spans="2:11">
      <c r="B2200" s="975" t="str">
        <f>tblControles[[#This Row],[Fecha]]&amp;"|"&amp;tblControles[[#This Row],[Módulo]]&amp;"|"&amp;tblControles[[#This Row],[Ítem]]&amp;"|"&amp;tblControles[[#This Row],[Turno]]</f>
        <v>46149|LIMPIEZA CANALETAS|P3-H9|Día</v>
      </c>
      <c r="C2200" s="871">
        <v>46149</v>
      </c>
      <c r="D2200" s="1096" t="s">
        <v>9439</v>
      </c>
      <c r="E2200" s="1096" t="s">
        <v>9504</v>
      </c>
      <c r="F2200" s="1096" t="s">
        <v>31</v>
      </c>
      <c r="G2200" s="1096" t="s">
        <v>3227</v>
      </c>
      <c r="H2200" s="1096" t="s">
        <v>9333</v>
      </c>
      <c r="I2200" s="871">
        <v>46295.904955891208</v>
      </c>
      <c r="J2200" s="1096" t="s">
        <v>9977</v>
      </c>
      <c r="K2200" s="975" t="str">
        <f>IF(COUNTIFS(tblControles[Clave],tblControles[[#This Row],[Clave]])&gt;1,"Duplicado","")</f>
        <v/>
      </c>
    </row>
    <row r="2201" spans="2:11">
      <c r="B2201" s="975" t="str">
        <f>tblControles[[#This Row],[Fecha]]&amp;"|"&amp;tblControles[[#This Row],[Módulo]]&amp;"|"&amp;tblControles[[#This Row],[Ítem]]&amp;"|"&amp;tblControles[[#This Row],[Turno]]</f>
        <v>46149|LIMPIEZA CANALETAS|P3-H9|Obs</v>
      </c>
      <c r="C2201" s="871">
        <v>46149</v>
      </c>
      <c r="D2201" s="1096" t="s">
        <v>9439</v>
      </c>
      <c r="E2201" s="1096" t="s">
        <v>9504</v>
      </c>
      <c r="F2201" s="1096" t="s">
        <v>9531</v>
      </c>
      <c r="G2201" s="1096" t="s">
        <v>409</v>
      </c>
      <c r="H2201" s="1096" t="s">
        <v>9333</v>
      </c>
      <c r="I2201" s="871">
        <v>46295.904955891208</v>
      </c>
      <c r="J2201" s="1096" t="s">
        <v>9977</v>
      </c>
      <c r="K2201" s="975" t="str">
        <f>IF(COUNTIFS(tblControles[Clave],tblControles[[#This Row],[Clave]])&gt;1,"Duplicado","")</f>
        <v/>
      </c>
    </row>
    <row r="2202" spans="2:11">
      <c r="B2202" s="975" t="str">
        <f>tblControles[[#This Row],[Fecha]]&amp;"|"&amp;tblControles[[#This Row],[Módulo]]&amp;"|"&amp;tblControles[[#This Row],[Ítem]]&amp;"|"&amp;tblControles[[#This Row],[Turno]]</f>
        <v>46150|LIMPIEZA CANALETAS|P3-H9|Día</v>
      </c>
      <c r="C2202" s="871">
        <v>46150</v>
      </c>
      <c r="D2202" s="1096" t="s">
        <v>9439</v>
      </c>
      <c r="E2202" s="1096" t="s">
        <v>9504</v>
      </c>
      <c r="F2202" s="1096" t="s">
        <v>31</v>
      </c>
      <c r="G2202" s="1096" t="s">
        <v>3227</v>
      </c>
      <c r="H2202" s="1096" t="s">
        <v>9333</v>
      </c>
      <c r="I2202" s="871">
        <v>46295.904955891208</v>
      </c>
      <c r="J2202" s="1096" t="s">
        <v>9977</v>
      </c>
      <c r="K2202" s="975" t="str">
        <f>IF(COUNTIFS(tblControles[Clave],tblControles[[#This Row],[Clave]])&gt;1,"Duplicado","")</f>
        <v/>
      </c>
    </row>
    <row r="2203" spans="2:11">
      <c r="B2203" s="975" t="str">
        <f>tblControles[[#This Row],[Fecha]]&amp;"|"&amp;tblControles[[#This Row],[Módulo]]&amp;"|"&amp;tblControles[[#This Row],[Ítem]]&amp;"|"&amp;tblControles[[#This Row],[Turno]]</f>
        <v>46150|LIMPIEZA CANALETAS|P3-H9|Obs</v>
      </c>
      <c r="C2203" s="871">
        <v>46150</v>
      </c>
      <c r="D2203" s="1096" t="s">
        <v>9439</v>
      </c>
      <c r="E2203" s="1096" t="s">
        <v>9504</v>
      </c>
      <c r="F2203" s="1096" t="s">
        <v>9531</v>
      </c>
      <c r="G2203" s="1096" t="s">
        <v>409</v>
      </c>
      <c r="H2203" s="1096" t="s">
        <v>9333</v>
      </c>
      <c r="I2203" s="871">
        <v>46295.904955891208</v>
      </c>
      <c r="J2203" s="1096" t="s">
        <v>9977</v>
      </c>
      <c r="K2203" s="975" t="str">
        <f>IF(COUNTIFS(tblControles[Clave],tblControles[[#This Row],[Clave]])&gt;1,"Duplicado","")</f>
        <v/>
      </c>
    </row>
    <row r="2204" spans="2:11">
      <c r="B2204" s="975" t="str">
        <f>tblControles[[#This Row],[Fecha]]&amp;"|"&amp;tblControles[[#This Row],[Módulo]]&amp;"|"&amp;tblControles[[#This Row],[Ítem]]&amp;"|"&amp;tblControles[[#This Row],[Turno]]</f>
        <v>46146|LIMPIEZA CANALETAS|P3-CANAL C|Día</v>
      </c>
      <c r="C2204" s="871">
        <v>46146</v>
      </c>
      <c r="D2204" s="1096" t="s">
        <v>9439</v>
      </c>
      <c r="E2204" s="1096" t="s">
        <v>9506</v>
      </c>
      <c r="F2204" s="1096" t="s">
        <v>31</v>
      </c>
      <c r="G2204" s="1096" t="s">
        <v>3227</v>
      </c>
      <c r="H2204" s="1096" t="s">
        <v>9333</v>
      </c>
      <c r="I2204" s="871">
        <v>46295.904955891208</v>
      </c>
      <c r="J2204" s="1096" t="s">
        <v>9977</v>
      </c>
      <c r="K2204" s="975" t="str">
        <f>IF(COUNTIFS(tblControles[Clave],tblControles[[#This Row],[Clave]])&gt;1,"Duplicado","")</f>
        <v/>
      </c>
    </row>
    <row r="2205" spans="2:11">
      <c r="B2205" s="975" t="str">
        <f>tblControles[[#This Row],[Fecha]]&amp;"|"&amp;tblControles[[#This Row],[Módulo]]&amp;"|"&amp;tblControles[[#This Row],[Ítem]]&amp;"|"&amp;tblControles[[#This Row],[Turno]]</f>
        <v>46149|LIMPIEZA CANALETAS|P3-CANAL C|Día</v>
      </c>
      <c r="C2205" s="871">
        <v>46149</v>
      </c>
      <c r="D2205" s="1096" t="s">
        <v>9439</v>
      </c>
      <c r="E2205" s="1096" t="s">
        <v>9506</v>
      </c>
      <c r="F2205" s="1096" t="s">
        <v>31</v>
      </c>
      <c r="G2205" s="1096" t="s">
        <v>3227</v>
      </c>
      <c r="H2205" s="1096" t="s">
        <v>9333</v>
      </c>
      <c r="I2205" s="871">
        <v>46295.904955891208</v>
      </c>
      <c r="J2205" s="1096" t="s">
        <v>9977</v>
      </c>
      <c r="K2205" s="975" t="str">
        <f>IF(COUNTIFS(tblControles[Clave],tblControles[[#This Row],[Clave]])&gt;1,"Duplicado","")</f>
        <v/>
      </c>
    </row>
    <row r="2206" spans="2:11">
      <c r="B2206" s="975" t="str">
        <f>tblControles[[#This Row],[Fecha]]&amp;"|"&amp;tblControles[[#This Row],[Módulo]]&amp;"|"&amp;tblControles[[#This Row],[Ítem]]&amp;"|"&amp;tblControles[[#This Row],[Turno]]</f>
        <v>46287|AGREGADO MEDIOS|BARRAS 9 RM9|Cantidad</v>
      </c>
      <c r="C2206" s="871">
        <v>46287</v>
      </c>
      <c r="D2206" s="1100" t="s">
        <v>9451</v>
      </c>
      <c r="E2206" s="1100" t="s">
        <v>418</v>
      </c>
      <c r="F2206" s="1100" t="s">
        <v>9453</v>
      </c>
      <c r="G2206" s="1100">
        <v>0</v>
      </c>
      <c r="H2206" s="1100" t="s">
        <v>10345</v>
      </c>
      <c r="I2206" s="871">
        <v>46296.133080937499</v>
      </c>
      <c r="J2206" s="1100" t="s">
        <v>10346</v>
      </c>
      <c r="K2206" s="975" t="str">
        <f>IF(COUNTIFS(tblControles[Clave],tblControles[[#This Row],[Clave]])&gt;1,"Duplicado","")</f>
        <v/>
      </c>
    </row>
    <row r="2207" spans="2:11">
      <c r="B2207" s="975" t="str">
        <f>tblControles[[#This Row],[Fecha]]&amp;"|"&amp;tblControles[[#This Row],[Módulo]]&amp;"|"&amp;tblControles[[#This Row],[Ítem]]&amp;"|"&amp;tblControles[[#This Row],[Turno]]</f>
        <v>46287|AGREGADO MEDIOS|BARRAS RM1|Cantidad</v>
      </c>
      <c r="C2207" s="871">
        <v>46287</v>
      </c>
      <c r="D2207" s="1100" t="s">
        <v>9451</v>
      </c>
      <c r="E2207" s="1100" t="s">
        <v>410</v>
      </c>
      <c r="F2207" s="1100" t="s">
        <v>9453</v>
      </c>
      <c r="G2207" s="1100">
        <v>0</v>
      </c>
      <c r="H2207" s="1100" t="s">
        <v>10345</v>
      </c>
      <c r="I2207" s="871">
        <v>46296.133080937499</v>
      </c>
      <c r="J2207" s="1100" t="s">
        <v>10346</v>
      </c>
      <c r="K2207" s="975" t="str">
        <f>IF(COUNTIFS(tblControles[Clave],tblControles[[#This Row],[Clave]])&gt;1,"Duplicado","")</f>
        <v/>
      </c>
    </row>
    <row r="2208" spans="2:11">
      <c r="B2208" s="975" t="str">
        <f>tblControles[[#This Row],[Fecha]]&amp;"|"&amp;tblControles[[#This Row],[Módulo]]&amp;"|"&amp;tblControles[[#This Row],[Ítem]]&amp;"|"&amp;tblControles[[#This Row],[Turno]]</f>
        <v>46287|AGREGADO MEDIOS|BARRAS RM2|Cantidad</v>
      </c>
      <c r="C2208" s="871">
        <v>46287</v>
      </c>
      <c r="D2208" s="1100" t="s">
        <v>9451</v>
      </c>
      <c r="E2208" s="1100" t="s">
        <v>411</v>
      </c>
      <c r="F2208" s="1100" t="s">
        <v>9453</v>
      </c>
      <c r="G2208" s="1100">
        <v>0</v>
      </c>
      <c r="H2208" s="1100" t="s">
        <v>10345</v>
      </c>
      <c r="I2208" s="871">
        <v>46296.133080937499</v>
      </c>
      <c r="J2208" s="1100" t="s">
        <v>10346</v>
      </c>
      <c r="K2208" s="975" t="str">
        <f>IF(COUNTIFS(tblControles[Clave],tblControles[[#This Row],[Clave]])&gt;1,"Duplicado","")</f>
        <v/>
      </c>
    </row>
    <row r="2209" spans="2:11">
      <c r="B2209" s="975" t="str">
        <f>tblControles[[#This Row],[Fecha]]&amp;"|"&amp;tblControles[[#This Row],[Módulo]]&amp;"|"&amp;tblControles[[#This Row],[Ítem]]&amp;"|"&amp;tblControles[[#This Row],[Turno]]</f>
        <v>46287|AGREGADO MEDIOS|BARRAS RM3|Cantidad</v>
      </c>
      <c r="C2209" s="871">
        <v>46287</v>
      </c>
      <c r="D2209" s="1100" t="s">
        <v>9451</v>
      </c>
      <c r="E2209" s="1100" t="s">
        <v>412</v>
      </c>
      <c r="F2209" s="1100" t="s">
        <v>9453</v>
      </c>
      <c r="G2209" s="1100">
        <v>0</v>
      </c>
      <c r="H2209" s="1100" t="s">
        <v>10345</v>
      </c>
      <c r="I2209" s="871">
        <v>46296.133080937499</v>
      </c>
      <c r="J2209" s="1100" t="s">
        <v>10346</v>
      </c>
      <c r="K2209" s="975" t="str">
        <f>IF(COUNTIFS(tblControles[Clave],tblControles[[#This Row],[Clave]])&gt;1,"Duplicado","")</f>
        <v/>
      </c>
    </row>
    <row r="2210" spans="2:11">
      <c r="B2210" s="975" t="str">
        <f>tblControles[[#This Row],[Fecha]]&amp;"|"&amp;tblControles[[#This Row],[Módulo]]&amp;"|"&amp;tblControles[[#This Row],[Ítem]]&amp;"|"&amp;tblControles[[#This Row],[Turno]]</f>
        <v>46287|AGREGADO MEDIOS|BARRAS RM4|Cantidad</v>
      </c>
      <c r="C2210" s="871">
        <v>46287</v>
      </c>
      <c r="D2210" s="1100" t="s">
        <v>9451</v>
      </c>
      <c r="E2210" s="1100" t="s">
        <v>413</v>
      </c>
      <c r="F2210" s="1100" t="s">
        <v>9453</v>
      </c>
      <c r="G2210" s="1100">
        <v>0</v>
      </c>
      <c r="H2210" s="1100" t="s">
        <v>10345</v>
      </c>
      <c r="I2210" s="871">
        <v>46296.133080937499</v>
      </c>
      <c r="J2210" s="1100" t="s">
        <v>10346</v>
      </c>
      <c r="K2210" s="975" t="str">
        <f>IF(COUNTIFS(tblControles[Clave],tblControles[[#This Row],[Clave]])&gt;1,"Duplicado","")</f>
        <v/>
      </c>
    </row>
    <row r="2211" spans="2:11">
      <c r="B2211" s="975" t="str">
        <f>tblControles[[#This Row],[Fecha]]&amp;"|"&amp;tblControles[[#This Row],[Módulo]]&amp;"|"&amp;tblControles[[#This Row],[Ítem]]&amp;"|"&amp;tblControles[[#This Row],[Turno]]</f>
        <v>46287|AGREGADO MEDIOS|BARRAS RM5|Cantidad</v>
      </c>
      <c r="C2211" s="871">
        <v>46287</v>
      </c>
      <c r="D2211" s="1100" t="s">
        <v>9451</v>
      </c>
      <c r="E2211" s="1100" t="s">
        <v>414</v>
      </c>
      <c r="F2211" s="1100" t="s">
        <v>9453</v>
      </c>
      <c r="G2211" s="1100">
        <v>0</v>
      </c>
      <c r="H2211" s="1100" t="s">
        <v>10345</v>
      </c>
      <c r="I2211" s="871">
        <v>46296.133080937499</v>
      </c>
      <c r="J2211" s="1100" t="s">
        <v>10346</v>
      </c>
      <c r="K2211" s="975" t="str">
        <f>IF(COUNTIFS(tblControles[Clave],tblControles[[#This Row],[Clave]])&gt;1,"Duplicado","")</f>
        <v/>
      </c>
    </row>
    <row r="2212" spans="2:11">
      <c r="B2212" s="975" t="str">
        <f>tblControles[[#This Row],[Fecha]]&amp;"|"&amp;tblControles[[#This Row],[Módulo]]&amp;"|"&amp;tblControles[[#This Row],[Ítem]]&amp;"|"&amp;tblControles[[#This Row],[Turno]]</f>
        <v>46287|AGREGADO MEDIOS|BARRAS RM6|Cantidad</v>
      </c>
      <c r="C2212" s="871">
        <v>46287</v>
      </c>
      <c r="D2212" s="1100" t="s">
        <v>9451</v>
      </c>
      <c r="E2212" s="1100" t="s">
        <v>415</v>
      </c>
      <c r="F2212" s="1100" t="s">
        <v>9453</v>
      </c>
      <c r="G2212" s="1100">
        <v>0</v>
      </c>
      <c r="H2212" s="1100" t="s">
        <v>10345</v>
      </c>
      <c r="I2212" s="871">
        <v>46296.133080937499</v>
      </c>
      <c r="J2212" s="1100" t="s">
        <v>10346</v>
      </c>
      <c r="K2212" s="975" t="str">
        <f>IF(COUNTIFS(tblControles[Clave],tblControles[[#This Row],[Clave]])&gt;1,"Duplicado","")</f>
        <v/>
      </c>
    </row>
    <row r="2213" spans="2:11">
      <c r="B2213" s="975" t="str">
        <f>tblControles[[#This Row],[Fecha]]&amp;"|"&amp;tblControles[[#This Row],[Módulo]]&amp;"|"&amp;tblControles[[#This Row],[Ítem]]&amp;"|"&amp;tblControles[[#This Row],[Turno]]</f>
        <v>46287|AGREGADO MEDIOS|BARRAS RM7|Cantidad</v>
      </c>
      <c r="C2213" s="871">
        <v>46287</v>
      </c>
      <c r="D2213" s="1100" t="s">
        <v>9451</v>
      </c>
      <c r="E2213" s="1100" t="s">
        <v>416</v>
      </c>
      <c r="F2213" s="1100" t="s">
        <v>9453</v>
      </c>
      <c r="G2213" s="1100">
        <v>0</v>
      </c>
      <c r="H2213" s="1100" t="s">
        <v>10345</v>
      </c>
      <c r="I2213" s="871">
        <v>46296.133080937499</v>
      </c>
      <c r="J2213" s="1100" t="s">
        <v>10346</v>
      </c>
      <c r="K2213" s="975" t="str">
        <f>IF(COUNTIFS(tblControles[Clave],tblControles[[#This Row],[Clave]])&gt;1,"Duplicado","")</f>
        <v/>
      </c>
    </row>
    <row r="2214" spans="2:11">
      <c r="B2214" s="975" t="str">
        <f>tblControles[[#This Row],[Fecha]]&amp;"|"&amp;tblControles[[#This Row],[Módulo]]&amp;"|"&amp;tblControles[[#This Row],[Ítem]]&amp;"|"&amp;tblControles[[#This Row],[Turno]]</f>
        <v>46287|AGREGADO MEDIOS|BARRAS RM8|Cantidad</v>
      </c>
      <c r="C2214" s="871">
        <v>46287</v>
      </c>
      <c r="D2214" s="1100" t="s">
        <v>9451</v>
      </c>
      <c r="E2214" s="1100" t="s">
        <v>417</v>
      </c>
      <c r="F2214" s="1100" t="s">
        <v>9453</v>
      </c>
      <c r="G2214" s="1100">
        <v>0</v>
      </c>
      <c r="H2214" s="1100" t="s">
        <v>10345</v>
      </c>
      <c r="I2214" s="871">
        <v>46296.133080937499</v>
      </c>
      <c r="J2214" s="1100" t="s">
        <v>10346</v>
      </c>
      <c r="K2214" s="975" t="str">
        <f>IF(COUNTIFS(tblControles[Clave],tblControles[[#This Row],[Clave]])&gt;1,"Duplicado","")</f>
        <v/>
      </c>
    </row>
    <row r="2215" spans="2:11">
      <c r="B2215" s="975" t="str">
        <f>tblControles[[#This Row],[Fecha]]&amp;"|"&amp;tblControles[[#This Row],[Módulo]]&amp;"|"&amp;tblControles[[#This Row],[Ítem]]&amp;"|"&amp;tblControles[[#This Row],[Turno]]</f>
        <v>46287|AGREGADO MEDIOS|BOLAS ALTO CROM|Cantidad</v>
      </c>
      <c r="C2215" s="871">
        <v>46287</v>
      </c>
      <c r="D2215" s="1100" t="s">
        <v>9451</v>
      </c>
      <c r="E2215" s="1100" t="s">
        <v>432</v>
      </c>
      <c r="F2215" s="1100" t="s">
        <v>9453</v>
      </c>
      <c r="G2215" s="1100">
        <v>0</v>
      </c>
      <c r="H2215" s="1100" t="s">
        <v>10345</v>
      </c>
      <c r="I2215" s="871">
        <v>46296.133080937499</v>
      </c>
      <c r="J2215" s="1100" t="s">
        <v>10346</v>
      </c>
      <c r="K2215" s="975" t="str">
        <f>IF(COUNTIFS(tblControles[Clave],tblControles[[#This Row],[Clave]])&gt;1,"Duplicado","")</f>
        <v/>
      </c>
    </row>
    <row r="2216" spans="2:11">
      <c r="B2216" s="975" t="str">
        <f>tblControles[[#This Row],[Fecha]]&amp;"|"&amp;tblControles[[#This Row],[Módulo]]&amp;"|"&amp;tblControles[[#This Row],[Ítem]]&amp;"|"&amp;tblControles[[#This Row],[Turno]]</f>
        <v>46287|AGREGADO MEDIOS|BOLAS BM10|Cantidad</v>
      </c>
      <c r="C2216" s="871">
        <v>46287</v>
      </c>
      <c r="D2216" s="1100" t="s">
        <v>9451</v>
      </c>
      <c r="E2216" s="1100" t="s">
        <v>431</v>
      </c>
      <c r="F2216" s="1100" t="s">
        <v>9453</v>
      </c>
      <c r="G2216" s="1100">
        <v>0</v>
      </c>
      <c r="H2216" s="1100" t="s">
        <v>10345</v>
      </c>
      <c r="I2216" s="871">
        <v>46296.133080937499</v>
      </c>
      <c r="J2216" s="1100" t="s">
        <v>10346</v>
      </c>
      <c r="K2216" s="975" t="str">
        <f>IF(COUNTIFS(tblControles[Clave],tblControles[[#This Row],[Clave]])&gt;1,"Duplicado","")</f>
        <v/>
      </c>
    </row>
    <row r="2217" spans="2:11">
      <c r="B2217" s="975" t="str">
        <f>tblControles[[#This Row],[Fecha]]&amp;"|"&amp;tblControles[[#This Row],[Módulo]]&amp;"|"&amp;tblControles[[#This Row],[Ítem]]&amp;"|"&amp;tblControles[[#This Row],[Turno]]</f>
        <v>46287|AGREGADO MEDIOS|BOLAS BM8|Cantidad</v>
      </c>
      <c r="C2217" s="871">
        <v>46287</v>
      </c>
      <c r="D2217" s="1100" t="s">
        <v>9451</v>
      </c>
      <c r="E2217" s="1100" t="s">
        <v>429</v>
      </c>
      <c r="F2217" s="1100" t="s">
        <v>9453</v>
      </c>
      <c r="G2217" s="1100">
        <v>0</v>
      </c>
      <c r="H2217" s="1100" t="s">
        <v>10345</v>
      </c>
      <c r="I2217" s="871">
        <v>46296.133080937499</v>
      </c>
      <c r="J2217" s="1100" t="s">
        <v>10346</v>
      </c>
      <c r="K2217" s="975" t="str">
        <f>IF(COUNTIFS(tblControles[Clave],tblControles[[#This Row],[Clave]])&gt;1,"Duplicado","")</f>
        <v/>
      </c>
    </row>
    <row r="2218" spans="2:11">
      <c r="B2218" s="975" t="str">
        <f>tblControles[[#This Row],[Fecha]]&amp;"|"&amp;tblControles[[#This Row],[Módulo]]&amp;"|"&amp;tblControles[[#This Row],[Ítem]]&amp;"|"&amp;tblControles[[#This Row],[Turno]]</f>
        <v>46287|AGREGADO MEDIOS|BOLAS BM9|Cantidad</v>
      </c>
      <c r="C2218" s="871">
        <v>46287</v>
      </c>
      <c r="D2218" s="1100" t="s">
        <v>9451</v>
      </c>
      <c r="E2218" s="1100" t="s">
        <v>430</v>
      </c>
      <c r="F2218" s="1100" t="s">
        <v>9453</v>
      </c>
      <c r="G2218" s="1100">
        <v>0</v>
      </c>
      <c r="H2218" s="1100" t="s">
        <v>10345</v>
      </c>
      <c r="I2218" s="871">
        <v>46296.133080937499</v>
      </c>
      <c r="J2218" s="1100" t="s">
        <v>10346</v>
      </c>
      <c r="K2218" s="975" t="str">
        <f>IF(COUNTIFS(tblControles[Clave],tblControles[[#This Row],[Clave]])&gt;1,"Duplicado","")</f>
        <v/>
      </c>
    </row>
    <row r="2219" spans="2:11">
      <c r="B2219" s="975" t="str">
        <f>tblControles[[#This Row],[Fecha]]&amp;"|"&amp;tblControles[[#This Row],[Módulo]]&amp;"|"&amp;tblControles[[#This Row],[Ítem]]&amp;"|"&amp;tblControles[[#This Row],[Turno]]</f>
        <v>46287|AGREGADO MEDIOS|CONOS 30X35|Cantidad</v>
      </c>
      <c r="C2219" s="871">
        <v>46287</v>
      </c>
      <c r="D2219" s="1100" t="s">
        <v>9451</v>
      </c>
      <c r="E2219" s="1100" t="s">
        <v>428</v>
      </c>
      <c r="F2219" s="1100" t="s">
        <v>9453</v>
      </c>
      <c r="G2219" s="1100">
        <v>2</v>
      </c>
      <c r="H2219" s="1100" t="s">
        <v>10345</v>
      </c>
      <c r="I2219" s="871">
        <v>46296.133080937499</v>
      </c>
      <c r="J2219" s="1100" t="s">
        <v>10346</v>
      </c>
      <c r="K2219" s="975" t="str">
        <f>IF(COUNTIFS(tblControles[Clave],tblControles[[#This Row],[Clave]])&gt;1,"Duplicado","")</f>
        <v/>
      </c>
    </row>
    <row r="2220" spans="2:11">
      <c r="B2220" s="975" t="str">
        <f>tblControles[[#This Row],[Fecha]]&amp;"|"&amp;tblControles[[#This Row],[Módulo]]&amp;"|"&amp;tblControles[[#This Row],[Ítem]]&amp;"|"&amp;tblControles[[#This Row],[Turno]]</f>
        <v>46287|AGREGADO MEDIOS|CONOS 30X35 BM5|Cantidad</v>
      </c>
      <c r="C2220" s="871">
        <v>46287</v>
      </c>
      <c r="D2220" s="1100" t="s">
        <v>9451</v>
      </c>
      <c r="E2220" s="1100" t="s">
        <v>424</v>
      </c>
      <c r="F2220" s="1100" t="s">
        <v>9453</v>
      </c>
      <c r="G2220" s="1100">
        <v>0</v>
      </c>
      <c r="H2220" s="1100" t="s">
        <v>10345</v>
      </c>
      <c r="I2220" s="871">
        <v>46296.133080937499</v>
      </c>
      <c r="J2220" s="1100" t="s">
        <v>10346</v>
      </c>
      <c r="K2220" s="975" t="str">
        <f>IF(COUNTIFS(tblControles[Clave],tblControles[[#This Row],[Clave]])&gt;1,"Duplicado","")</f>
        <v/>
      </c>
    </row>
    <row r="2221" spans="2:11">
      <c r="B2221" s="975" t="str">
        <f>tblControles[[#This Row],[Fecha]]&amp;"|"&amp;tblControles[[#This Row],[Módulo]]&amp;"|"&amp;tblControles[[#This Row],[Ítem]]&amp;"|"&amp;tblControles[[#This Row],[Turno]]</f>
        <v>46287|AGREGADO MEDIOS|CONOS 40X50|Cantidad</v>
      </c>
      <c r="C2221" s="871">
        <v>46287</v>
      </c>
      <c r="D2221" s="1100" t="s">
        <v>9451</v>
      </c>
      <c r="E2221" s="1100" t="s">
        <v>427</v>
      </c>
      <c r="F2221" s="1100" t="s">
        <v>9453</v>
      </c>
      <c r="G2221" s="1100">
        <v>0</v>
      </c>
      <c r="H2221" s="1100" t="s">
        <v>10345</v>
      </c>
      <c r="I2221" s="871">
        <v>46296.133080937499</v>
      </c>
      <c r="J2221" s="1100" t="s">
        <v>10346</v>
      </c>
      <c r="K2221" s="975" t="str">
        <f>IF(COUNTIFS(tblControles[Clave],tblControles[[#This Row],[Clave]])&gt;1,"Duplicado","")</f>
        <v/>
      </c>
    </row>
    <row r="2222" spans="2:11">
      <c r="B2222" s="975" t="str">
        <f>tblControles[[#This Row],[Fecha]]&amp;"|"&amp;tblControles[[#This Row],[Módulo]]&amp;"|"&amp;tblControles[[#This Row],[Ítem]]&amp;"|"&amp;tblControles[[#This Row],[Turno]]</f>
        <v>46287|AGREGADO MEDIOS|CONOS 40X50 BM1|Cantidad</v>
      </c>
      <c r="C2222" s="871">
        <v>46287</v>
      </c>
      <c r="D2222" s="1100" t="s">
        <v>9451</v>
      </c>
      <c r="E2222" s="1100" t="s">
        <v>420</v>
      </c>
      <c r="F2222" s="1100" t="s">
        <v>9453</v>
      </c>
      <c r="G2222" s="1100">
        <v>0</v>
      </c>
      <c r="H2222" s="1100" t="s">
        <v>10345</v>
      </c>
      <c r="I2222" s="871">
        <v>46296.133080937499</v>
      </c>
      <c r="J2222" s="1100" t="s">
        <v>10346</v>
      </c>
      <c r="K2222" s="975" t="str">
        <f>IF(COUNTIFS(tblControles[Clave],tblControles[[#This Row],[Clave]])&gt;1,"Duplicado","")</f>
        <v/>
      </c>
    </row>
    <row r="2223" spans="2:11">
      <c r="B2223" s="975" t="str">
        <f>tblControles[[#This Row],[Fecha]]&amp;"|"&amp;tblControles[[#This Row],[Módulo]]&amp;"|"&amp;tblControles[[#This Row],[Ítem]]&amp;"|"&amp;tblControles[[#This Row],[Turno]]</f>
        <v>46287|AGREGADO MEDIOS|CONOS 40X50 BM2|Cantidad</v>
      </c>
      <c r="C2223" s="871">
        <v>46287</v>
      </c>
      <c r="D2223" s="1100" t="s">
        <v>9451</v>
      </c>
      <c r="E2223" s="1100" t="s">
        <v>421</v>
      </c>
      <c r="F2223" s="1100" t="s">
        <v>9453</v>
      </c>
      <c r="G2223" s="1100">
        <v>2</v>
      </c>
      <c r="H2223" s="1100" t="s">
        <v>10345</v>
      </c>
      <c r="I2223" s="871">
        <v>46296.133080937499</v>
      </c>
      <c r="J2223" s="1100" t="s">
        <v>10346</v>
      </c>
      <c r="K2223" s="975" t="str">
        <f>IF(COUNTIFS(tblControles[Clave],tblControles[[#This Row],[Clave]])&gt;1,"Duplicado","")</f>
        <v/>
      </c>
    </row>
    <row r="2224" spans="2:11">
      <c r="B2224" s="975" t="str">
        <f>tblControles[[#This Row],[Fecha]]&amp;"|"&amp;tblControles[[#This Row],[Módulo]]&amp;"|"&amp;tblControles[[#This Row],[Ítem]]&amp;"|"&amp;tblControles[[#This Row],[Turno]]</f>
        <v>46287|AGREGADO MEDIOS|CONOS 40X50 BM3|Cantidad</v>
      </c>
      <c r="C2224" s="871">
        <v>46287</v>
      </c>
      <c r="D2224" s="1100" t="s">
        <v>9451</v>
      </c>
      <c r="E2224" s="1100" t="s">
        <v>422</v>
      </c>
      <c r="F2224" s="1100" t="s">
        <v>9453</v>
      </c>
      <c r="G2224" s="1100">
        <v>0</v>
      </c>
      <c r="H2224" s="1100" t="s">
        <v>10345</v>
      </c>
      <c r="I2224" s="871">
        <v>46296.133080937499</v>
      </c>
      <c r="J2224" s="1100" t="s">
        <v>10346</v>
      </c>
      <c r="K2224" s="975" t="str">
        <f>IF(COUNTIFS(tblControles[Clave],tblControles[[#This Row],[Clave]])&gt;1,"Duplicado","")</f>
        <v/>
      </c>
    </row>
    <row r="2225" spans="2:11">
      <c r="B2225" s="975" t="str">
        <f>tblControles[[#This Row],[Fecha]]&amp;"|"&amp;tblControles[[#This Row],[Módulo]]&amp;"|"&amp;tblControles[[#This Row],[Ítem]]&amp;"|"&amp;tblControles[[#This Row],[Turno]]</f>
        <v>46287|AGREGADO MEDIOS|CONOS 40X50 BM4|Cantidad</v>
      </c>
      <c r="C2225" s="871">
        <v>46287</v>
      </c>
      <c r="D2225" s="1100" t="s">
        <v>9451</v>
      </c>
      <c r="E2225" s="1100" t="s">
        <v>423</v>
      </c>
      <c r="F2225" s="1100" t="s">
        <v>9453</v>
      </c>
      <c r="G2225" s="1100">
        <v>0</v>
      </c>
      <c r="H2225" s="1100" t="s">
        <v>10345</v>
      </c>
      <c r="I2225" s="871">
        <v>46296.133080937499</v>
      </c>
      <c r="J2225" s="1100" t="s">
        <v>10346</v>
      </c>
      <c r="K2225" s="975" t="str">
        <f>IF(COUNTIFS(tblControles[Clave],tblControles[[#This Row],[Clave]])&gt;1,"Duplicado","")</f>
        <v/>
      </c>
    </row>
    <row r="2226" spans="2:11">
      <c r="B2226" s="975" t="str">
        <f>tblControles[[#This Row],[Fecha]]&amp;"|"&amp;tblControles[[#This Row],[Módulo]]&amp;"|"&amp;tblControles[[#This Row],[Ítem]]&amp;"|"&amp;tblControles[[#This Row],[Turno]]</f>
        <v>46287|AGREGADO MEDIOS|CONOS 40X50 BM6|Cantidad</v>
      </c>
      <c r="C2226" s="871">
        <v>46287</v>
      </c>
      <c r="D2226" s="1100" t="s">
        <v>9451</v>
      </c>
      <c r="E2226" s="1100" t="s">
        <v>425</v>
      </c>
      <c r="F2226" s="1100" t="s">
        <v>9453</v>
      </c>
      <c r="G2226" s="1100">
        <v>0</v>
      </c>
      <c r="H2226" s="1100" t="s">
        <v>10345</v>
      </c>
      <c r="I2226" s="871">
        <v>46296.133080937499</v>
      </c>
      <c r="J2226" s="1100" t="s">
        <v>10346</v>
      </c>
      <c r="K2226" s="975" t="str">
        <f>IF(COUNTIFS(tblControles[Clave],tblControles[[#This Row],[Clave]])&gt;1,"Duplicado","")</f>
        <v/>
      </c>
    </row>
    <row r="2227" spans="2:11">
      <c r="B2227" s="975" t="str">
        <f>tblControles[[#This Row],[Fecha]]&amp;"|"&amp;tblControles[[#This Row],[Módulo]]&amp;"|"&amp;tblControles[[#This Row],[Ítem]]&amp;"|"&amp;tblControles[[#This Row],[Turno]]</f>
        <v>46287|AGREGADO MEDIOS|CONOS 40X50 BM7|Cantidad</v>
      </c>
      <c r="C2227" s="871">
        <v>46287</v>
      </c>
      <c r="D2227" s="1100" t="s">
        <v>9451</v>
      </c>
      <c r="E2227" s="1100" t="s">
        <v>426</v>
      </c>
      <c r="F2227" s="1100" t="s">
        <v>9453</v>
      </c>
      <c r="G2227" s="1100">
        <v>0</v>
      </c>
      <c r="H2227" s="1100" t="s">
        <v>10345</v>
      </c>
      <c r="I2227" s="871">
        <v>46296.133080937499</v>
      </c>
      <c r="J2227" s="1100" t="s">
        <v>10346</v>
      </c>
      <c r="K2227" s="975" t="str">
        <f>IF(COUNTIFS(tblControles[Clave],tblControles[[#This Row],[Clave]])&gt;1,"Duplicado","")</f>
        <v/>
      </c>
    </row>
    <row r="2228" spans="2:11">
      <c r="B2228" s="975" t="str">
        <f>tblControles[[#This Row],[Fecha]]&amp;"|"&amp;tblControles[[#This Row],[Módulo]]&amp;"|"&amp;tblControles[[#This Row],[Ítem]]&amp;"|"&amp;tblControles[[#This Row],[Turno]]</f>
        <v>46288|AGREGADO MEDIOS|BARRAS 9 RM9|Cantidad</v>
      </c>
      <c r="C2228" s="871">
        <v>46288</v>
      </c>
      <c r="D2228" s="1100" t="s">
        <v>9451</v>
      </c>
      <c r="E2228" s="1100" t="s">
        <v>418</v>
      </c>
      <c r="F2228" s="1100" t="s">
        <v>9453</v>
      </c>
      <c r="G2228" s="1100">
        <v>8</v>
      </c>
      <c r="H2228" s="1100" t="s">
        <v>10345</v>
      </c>
      <c r="I2228" s="871">
        <v>46296.133080937499</v>
      </c>
      <c r="J2228" s="1100" t="s">
        <v>10346</v>
      </c>
      <c r="K2228" s="975" t="str">
        <f>IF(COUNTIFS(tblControles[Clave],tblControles[[#This Row],[Clave]])&gt;1,"Duplicado","")</f>
        <v/>
      </c>
    </row>
    <row r="2229" spans="2:11">
      <c r="B2229" s="975" t="str">
        <f>tblControles[[#This Row],[Fecha]]&amp;"|"&amp;tblControles[[#This Row],[Módulo]]&amp;"|"&amp;tblControles[[#This Row],[Ítem]]&amp;"|"&amp;tblControles[[#This Row],[Turno]]</f>
        <v>46288|AGREGADO MEDIOS|BARRAS RM1|Cantidad</v>
      </c>
      <c r="C2229" s="871">
        <v>46288</v>
      </c>
      <c r="D2229" s="1100" t="s">
        <v>9451</v>
      </c>
      <c r="E2229" s="1100" t="s">
        <v>410</v>
      </c>
      <c r="F2229" s="1100" t="s">
        <v>9453</v>
      </c>
      <c r="G2229" s="1100">
        <v>9</v>
      </c>
      <c r="H2229" s="1100" t="s">
        <v>10345</v>
      </c>
      <c r="I2229" s="871">
        <v>46296.133080937499</v>
      </c>
      <c r="J2229" s="1100" t="s">
        <v>10346</v>
      </c>
      <c r="K2229" s="975" t="str">
        <f>IF(COUNTIFS(tblControles[Clave],tblControles[[#This Row],[Clave]])&gt;1,"Duplicado","")</f>
        <v/>
      </c>
    </row>
    <row r="2230" spans="2:11">
      <c r="B2230" s="975" t="str">
        <f>tblControles[[#This Row],[Fecha]]&amp;"|"&amp;tblControles[[#This Row],[Módulo]]&amp;"|"&amp;tblControles[[#This Row],[Ítem]]&amp;"|"&amp;tblControles[[#This Row],[Turno]]</f>
        <v>46288|AGREGADO MEDIOS|BARRAS RM2|Cantidad</v>
      </c>
      <c r="C2230" s="871">
        <v>46288</v>
      </c>
      <c r="D2230" s="1100" t="s">
        <v>9451</v>
      </c>
      <c r="E2230" s="1100" t="s">
        <v>411</v>
      </c>
      <c r="F2230" s="1100" t="s">
        <v>9453</v>
      </c>
      <c r="G2230" s="1100">
        <v>0</v>
      </c>
      <c r="H2230" s="1100" t="s">
        <v>10345</v>
      </c>
      <c r="I2230" s="871">
        <v>46296.133080937499</v>
      </c>
      <c r="J2230" s="1100" t="s">
        <v>10346</v>
      </c>
      <c r="K2230" s="975" t="str">
        <f>IF(COUNTIFS(tblControles[Clave],tblControles[[#This Row],[Clave]])&gt;1,"Duplicado","")</f>
        <v/>
      </c>
    </row>
    <row r="2231" spans="2:11">
      <c r="B2231" s="975" t="str">
        <f>tblControles[[#This Row],[Fecha]]&amp;"|"&amp;tblControles[[#This Row],[Módulo]]&amp;"|"&amp;tblControles[[#This Row],[Ítem]]&amp;"|"&amp;tblControles[[#This Row],[Turno]]</f>
        <v>46288|AGREGADO MEDIOS|BARRAS RM3|Cantidad</v>
      </c>
      <c r="C2231" s="871">
        <v>46288</v>
      </c>
      <c r="D2231" s="1100" t="s">
        <v>9451</v>
      </c>
      <c r="E2231" s="1100" t="s">
        <v>412</v>
      </c>
      <c r="F2231" s="1100" t="s">
        <v>9453</v>
      </c>
      <c r="G2231" s="1100">
        <v>9</v>
      </c>
      <c r="H2231" s="1100" t="s">
        <v>10345</v>
      </c>
      <c r="I2231" s="871">
        <v>46296.133080937499</v>
      </c>
      <c r="J2231" s="1100" t="s">
        <v>10346</v>
      </c>
      <c r="K2231" s="975" t="str">
        <f>IF(COUNTIFS(tblControles[Clave],tblControles[[#This Row],[Clave]])&gt;1,"Duplicado","")</f>
        <v/>
      </c>
    </row>
    <row r="2232" spans="2:11">
      <c r="B2232" s="975" t="str">
        <f>tblControles[[#This Row],[Fecha]]&amp;"|"&amp;tblControles[[#This Row],[Módulo]]&amp;"|"&amp;tblControles[[#This Row],[Ítem]]&amp;"|"&amp;tblControles[[#This Row],[Turno]]</f>
        <v>46288|AGREGADO MEDIOS|BARRAS RM4|Cantidad</v>
      </c>
      <c r="C2232" s="871">
        <v>46288</v>
      </c>
      <c r="D2232" s="1100" t="s">
        <v>9451</v>
      </c>
      <c r="E2232" s="1100" t="s">
        <v>413</v>
      </c>
      <c r="F2232" s="1100" t="s">
        <v>9453</v>
      </c>
      <c r="G2232" s="1100">
        <v>12</v>
      </c>
      <c r="H2232" s="1100" t="s">
        <v>10345</v>
      </c>
      <c r="I2232" s="871">
        <v>46296.133080937499</v>
      </c>
      <c r="J2232" s="1100" t="s">
        <v>10346</v>
      </c>
      <c r="K2232" s="975" t="str">
        <f>IF(COUNTIFS(tblControles[Clave],tblControles[[#This Row],[Clave]])&gt;1,"Duplicado","")</f>
        <v/>
      </c>
    </row>
    <row r="2233" spans="2:11">
      <c r="B2233" s="975" t="str">
        <f>tblControles[[#This Row],[Fecha]]&amp;"|"&amp;tblControles[[#This Row],[Módulo]]&amp;"|"&amp;tblControles[[#This Row],[Ítem]]&amp;"|"&amp;tblControles[[#This Row],[Turno]]</f>
        <v>46288|AGREGADO MEDIOS|BARRAS RM5|Cantidad</v>
      </c>
      <c r="C2233" s="871">
        <v>46288</v>
      </c>
      <c r="D2233" s="1100" t="s">
        <v>9451</v>
      </c>
      <c r="E2233" s="1100" t="s">
        <v>414</v>
      </c>
      <c r="F2233" s="1100" t="s">
        <v>9453</v>
      </c>
      <c r="G2233" s="1100">
        <v>6</v>
      </c>
      <c r="H2233" s="1100" t="s">
        <v>10345</v>
      </c>
      <c r="I2233" s="871">
        <v>46296.133080937499</v>
      </c>
      <c r="J2233" s="1100" t="s">
        <v>10346</v>
      </c>
      <c r="K2233" s="975" t="str">
        <f>IF(COUNTIFS(tblControles[Clave],tblControles[[#This Row],[Clave]])&gt;1,"Duplicado","")</f>
        <v/>
      </c>
    </row>
    <row r="2234" spans="2:11">
      <c r="B2234" s="975" t="str">
        <f>tblControles[[#This Row],[Fecha]]&amp;"|"&amp;tblControles[[#This Row],[Módulo]]&amp;"|"&amp;tblControles[[#This Row],[Ítem]]&amp;"|"&amp;tblControles[[#This Row],[Turno]]</f>
        <v>46288|AGREGADO MEDIOS|BARRAS RM6|Cantidad</v>
      </c>
      <c r="C2234" s="871">
        <v>46288</v>
      </c>
      <c r="D2234" s="1100" t="s">
        <v>9451</v>
      </c>
      <c r="E2234" s="1100" t="s">
        <v>415</v>
      </c>
      <c r="F2234" s="1100" t="s">
        <v>9453</v>
      </c>
      <c r="G2234" s="1100">
        <v>9</v>
      </c>
      <c r="H2234" s="1100" t="s">
        <v>10345</v>
      </c>
      <c r="I2234" s="871">
        <v>46296.133080937499</v>
      </c>
      <c r="J2234" s="1100" t="s">
        <v>10346</v>
      </c>
      <c r="K2234" s="975" t="str">
        <f>IF(COUNTIFS(tblControles[Clave],tblControles[[#This Row],[Clave]])&gt;1,"Duplicado","")</f>
        <v/>
      </c>
    </row>
    <row r="2235" spans="2:11">
      <c r="B2235" s="975" t="str">
        <f>tblControles[[#This Row],[Fecha]]&amp;"|"&amp;tblControles[[#This Row],[Módulo]]&amp;"|"&amp;tblControles[[#This Row],[Ítem]]&amp;"|"&amp;tblControles[[#This Row],[Turno]]</f>
        <v>46288|AGREGADO MEDIOS|BARRAS RM7|Cantidad</v>
      </c>
      <c r="C2235" s="871">
        <v>46288</v>
      </c>
      <c r="D2235" s="1100" t="s">
        <v>9451</v>
      </c>
      <c r="E2235" s="1100" t="s">
        <v>416</v>
      </c>
      <c r="F2235" s="1100" t="s">
        <v>9453</v>
      </c>
      <c r="G2235" s="1100">
        <v>0</v>
      </c>
      <c r="H2235" s="1100" t="s">
        <v>10345</v>
      </c>
      <c r="I2235" s="871">
        <v>46296.133080937499</v>
      </c>
      <c r="J2235" s="1100" t="s">
        <v>10346</v>
      </c>
      <c r="K2235" s="975" t="str">
        <f>IF(COUNTIFS(tblControles[Clave],tblControles[[#This Row],[Clave]])&gt;1,"Duplicado","")</f>
        <v/>
      </c>
    </row>
    <row r="2236" spans="2:11">
      <c r="B2236" s="975" t="str">
        <f>tblControles[[#This Row],[Fecha]]&amp;"|"&amp;tblControles[[#This Row],[Módulo]]&amp;"|"&amp;tblControles[[#This Row],[Ítem]]&amp;"|"&amp;tblControles[[#This Row],[Turno]]</f>
        <v>46288|AGREGADO MEDIOS|BARRAS RM8|Cantidad</v>
      </c>
      <c r="C2236" s="871">
        <v>46288</v>
      </c>
      <c r="D2236" s="1100" t="s">
        <v>9451</v>
      </c>
      <c r="E2236" s="1100" t="s">
        <v>417</v>
      </c>
      <c r="F2236" s="1100" t="s">
        <v>9453</v>
      </c>
      <c r="G2236" s="1100">
        <v>7</v>
      </c>
      <c r="H2236" s="1100" t="s">
        <v>10345</v>
      </c>
      <c r="I2236" s="871">
        <v>46296.133080937499</v>
      </c>
      <c r="J2236" s="1100" t="s">
        <v>10346</v>
      </c>
      <c r="K2236" s="975" t="str">
        <f>IF(COUNTIFS(tblControles[Clave],tblControles[[#This Row],[Clave]])&gt;1,"Duplicado","")</f>
        <v/>
      </c>
    </row>
    <row r="2237" spans="2:11">
      <c r="B2237" s="975" t="str">
        <f>tblControles[[#This Row],[Fecha]]&amp;"|"&amp;tblControles[[#This Row],[Módulo]]&amp;"|"&amp;tblControles[[#This Row],[Ítem]]&amp;"|"&amp;tblControles[[#This Row],[Turno]]</f>
        <v>46288|AGREGADO MEDIOS|BOLAS ALTO CROM|Cantidad</v>
      </c>
      <c r="C2237" s="871">
        <v>46288</v>
      </c>
      <c r="D2237" s="1100" t="s">
        <v>9451</v>
      </c>
      <c r="E2237" s="1100" t="s">
        <v>432</v>
      </c>
      <c r="F2237" s="1100" t="s">
        <v>9453</v>
      </c>
      <c r="G2237" s="1100">
        <v>8</v>
      </c>
      <c r="H2237" s="1100" t="s">
        <v>10345</v>
      </c>
      <c r="I2237" s="871">
        <v>46296.133080937499</v>
      </c>
      <c r="J2237" s="1100" t="s">
        <v>10346</v>
      </c>
      <c r="K2237" s="975" t="str">
        <f>IF(COUNTIFS(tblControles[Clave],tblControles[[#This Row],[Clave]])&gt;1,"Duplicado","")</f>
        <v/>
      </c>
    </row>
    <row r="2238" spans="2:11">
      <c r="B2238" s="975" t="str">
        <f>tblControles[[#This Row],[Fecha]]&amp;"|"&amp;tblControles[[#This Row],[Módulo]]&amp;"|"&amp;tblControles[[#This Row],[Ítem]]&amp;"|"&amp;tblControles[[#This Row],[Turno]]</f>
        <v>46288|AGREGADO MEDIOS|BOLAS BM10|Cantidad</v>
      </c>
      <c r="C2238" s="871">
        <v>46288</v>
      </c>
      <c r="D2238" s="1100" t="s">
        <v>9451</v>
      </c>
      <c r="E2238" s="1100" t="s">
        <v>431</v>
      </c>
      <c r="F2238" s="1100" t="s">
        <v>9453</v>
      </c>
      <c r="G2238" s="1100">
        <v>8</v>
      </c>
      <c r="H2238" s="1100" t="s">
        <v>10345</v>
      </c>
      <c r="I2238" s="871">
        <v>46296.133080937499</v>
      </c>
      <c r="J2238" s="1100" t="s">
        <v>10346</v>
      </c>
      <c r="K2238" s="975" t="str">
        <f>IF(COUNTIFS(tblControles[Clave],tblControles[[#This Row],[Clave]])&gt;1,"Duplicado","")</f>
        <v/>
      </c>
    </row>
    <row r="2239" spans="2:11">
      <c r="B2239" s="975" t="str">
        <f>tblControles[[#This Row],[Fecha]]&amp;"|"&amp;tblControles[[#This Row],[Módulo]]&amp;"|"&amp;tblControles[[#This Row],[Ítem]]&amp;"|"&amp;tblControles[[#This Row],[Turno]]</f>
        <v>46288|AGREGADO MEDIOS|BOLAS BM8|Cantidad</v>
      </c>
      <c r="C2239" s="871">
        <v>46288</v>
      </c>
      <c r="D2239" s="1100" t="s">
        <v>9451</v>
      </c>
      <c r="E2239" s="1100" t="s">
        <v>429</v>
      </c>
      <c r="F2239" s="1100" t="s">
        <v>9453</v>
      </c>
      <c r="G2239" s="1100">
        <v>0</v>
      </c>
      <c r="H2239" s="1100" t="s">
        <v>10345</v>
      </c>
      <c r="I2239" s="871">
        <v>46296.133080937499</v>
      </c>
      <c r="J2239" s="1100" t="s">
        <v>10346</v>
      </c>
      <c r="K2239" s="975" t="str">
        <f>IF(COUNTIFS(tblControles[Clave],tblControles[[#This Row],[Clave]])&gt;1,"Duplicado","")</f>
        <v/>
      </c>
    </row>
    <row r="2240" spans="2:11">
      <c r="B2240" s="975" t="str">
        <f>tblControles[[#This Row],[Fecha]]&amp;"|"&amp;tblControles[[#This Row],[Módulo]]&amp;"|"&amp;tblControles[[#This Row],[Ítem]]&amp;"|"&amp;tblControles[[#This Row],[Turno]]</f>
        <v>46288|AGREGADO MEDIOS|BOLAS BM9|Cantidad</v>
      </c>
      <c r="C2240" s="871">
        <v>46288</v>
      </c>
      <c r="D2240" s="1100" t="s">
        <v>9451</v>
      </c>
      <c r="E2240" s="1100" t="s">
        <v>430</v>
      </c>
      <c r="F2240" s="1100" t="s">
        <v>9453</v>
      </c>
      <c r="G2240" s="1100">
        <v>0</v>
      </c>
      <c r="H2240" s="1100" t="s">
        <v>10345</v>
      </c>
      <c r="I2240" s="871">
        <v>46296.133080937499</v>
      </c>
      <c r="J2240" s="1100" t="s">
        <v>10346</v>
      </c>
      <c r="K2240" s="975" t="str">
        <f>IF(COUNTIFS(tblControles[Clave],tblControles[[#This Row],[Clave]])&gt;1,"Duplicado","")</f>
        <v/>
      </c>
    </row>
    <row r="2241" spans="2:11">
      <c r="B2241" s="975" t="str">
        <f>tblControles[[#This Row],[Fecha]]&amp;"|"&amp;tblControles[[#This Row],[Módulo]]&amp;"|"&amp;tblControles[[#This Row],[Ítem]]&amp;"|"&amp;tblControles[[#This Row],[Turno]]</f>
        <v>46288|AGREGADO MEDIOS|CONOS 30X35|Cantidad</v>
      </c>
      <c r="C2241" s="871">
        <v>46288</v>
      </c>
      <c r="D2241" s="1100" t="s">
        <v>9451</v>
      </c>
      <c r="E2241" s="1100" t="s">
        <v>428</v>
      </c>
      <c r="F2241" s="1100" t="s">
        <v>9453</v>
      </c>
      <c r="G2241" s="1100">
        <v>18</v>
      </c>
      <c r="H2241" s="1100" t="s">
        <v>10345</v>
      </c>
      <c r="I2241" s="871">
        <v>46296.133080937499</v>
      </c>
      <c r="J2241" s="1100" t="s">
        <v>10346</v>
      </c>
      <c r="K2241" s="975" t="str">
        <f>IF(COUNTIFS(tblControles[Clave],tblControles[[#This Row],[Clave]])&gt;1,"Duplicado","")</f>
        <v/>
      </c>
    </row>
    <row r="2242" spans="2:11">
      <c r="B2242" s="975" t="str">
        <f>tblControles[[#This Row],[Fecha]]&amp;"|"&amp;tblControles[[#This Row],[Módulo]]&amp;"|"&amp;tblControles[[#This Row],[Ítem]]&amp;"|"&amp;tblControles[[#This Row],[Turno]]</f>
        <v>46288|AGREGADO MEDIOS|CONOS 30X35 BM5|Cantidad</v>
      </c>
      <c r="C2242" s="871">
        <v>46288</v>
      </c>
      <c r="D2242" s="1100" t="s">
        <v>9451</v>
      </c>
      <c r="E2242" s="1100" t="s">
        <v>424</v>
      </c>
      <c r="F2242" s="1100" t="s">
        <v>9453</v>
      </c>
      <c r="G2242" s="1100">
        <v>0</v>
      </c>
      <c r="H2242" s="1100" t="s">
        <v>10345</v>
      </c>
      <c r="I2242" s="871">
        <v>46296.133080937499</v>
      </c>
      <c r="J2242" s="1100" t="s">
        <v>10346</v>
      </c>
      <c r="K2242" s="975" t="str">
        <f>IF(COUNTIFS(tblControles[Clave],tblControles[[#This Row],[Clave]])&gt;1,"Duplicado","")</f>
        <v/>
      </c>
    </row>
    <row r="2243" spans="2:11">
      <c r="B2243" s="975" t="str">
        <f>tblControles[[#This Row],[Fecha]]&amp;"|"&amp;tblControles[[#This Row],[Módulo]]&amp;"|"&amp;tblControles[[#This Row],[Ítem]]&amp;"|"&amp;tblControles[[#This Row],[Turno]]</f>
        <v>46288|AGREGADO MEDIOS|CONOS 40X50|Cantidad</v>
      </c>
      <c r="C2243" s="871">
        <v>46288</v>
      </c>
      <c r="D2243" s="1100" t="s">
        <v>9451</v>
      </c>
      <c r="E2243" s="1100" t="s">
        <v>427</v>
      </c>
      <c r="F2243" s="1100" t="s">
        <v>9453</v>
      </c>
      <c r="G2243" s="1100">
        <v>0</v>
      </c>
      <c r="H2243" s="1100" t="s">
        <v>10345</v>
      </c>
      <c r="I2243" s="871">
        <v>46296.133080937499</v>
      </c>
      <c r="J2243" s="1100" t="s">
        <v>10346</v>
      </c>
      <c r="K2243" s="975" t="str">
        <f>IF(COUNTIFS(tblControles[Clave],tblControles[[#This Row],[Clave]])&gt;1,"Duplicado","")</f>
        <v/>
      </c>
    </row>
    <row r="2244" spans="2:11">
      <c r="B2244" s="975" t="str">
        <f>tblControles[[#This Row],[Fecha]]&amp;"|"&amp;tblControles[[#This Row],[Módulo]]&amp;"|"&amp;tblControles[[#This Row],[Ítem]]&amp;"|"&amp;tblControles[[#This Row],[Turno]]</f>
        <v>46288|AGREGADO MEDIOS|CONOS 40X50 BM1|Cantidad</v>
      </c>
      <c r="C2244" s="871">
        <v>46288</v>
      </c>
      <c r="D2244" s="1100" t="s">
        <v>9451</v>
      </c>
      <c r="E2244" s="1100" t="s">
        <v>420</v>
      </c>
      <c r="F2244" s="1100" t="s">
        <v>9453</v>
      </c>
      <c r="G2244" s="1100">
        <v>0</v>
      </c>
      <c r="H2244" s="1100" t="s">
        <v>10345</v>
      </c>
      <c r="I2244" s="871">
        <v>46296.133080937499</v>
      </c>
      <c r="J2244" s="1100" t="s">
        <v>10346</v>
      </c>
      <c r="K2244" s="975" t="str">
        <f>IF(COUNTIFS(tblControles[Clave],tblControles[[#This Row],[Clave]])&gt;1,"Duplicado","")</f>
        <v/>
      </c>
    </row>
    <row r="2245" spans="2:11">
      <c r="B2245" s="975" t="str">
        <f>tblControles[[#This Row],[Fecha]]&amp;"|"&amp;tblControles[[#This Row],[Módulo]]&amp;"|"&amp;tblControles[[#This Row],[Ítem]]&amp;"|"&amp;tblControles[[#This Row],[Turno]]</f>
        <v>46288|AGREGADO MEDIOS|CONOS 40X50 BM2|Cantidad</v>
      </c>
      <c r="C2245" s="871">
        <v>46288</v>
      </c>
      <c r="D2245" s="1100" t="s">
        <v>9451</v>
      </c>
      <c r="E2245" s="1100" t="s">
        <v>421</v>
      </c>
      <c r="F2245" s="1100" t="s">
        <v>9453</v>
      </c>
      <c r="G2245" s="1100">
        <v>8</v>
      </c>
      <c r="H2245" s="1100" t="s">
        <v>10345</v>
      </c>
      <c r="I2245" s="871">
        <v>46296.133080937499</v>
      </c>
      <c r="J2245" s="1100" t="s">
        <v>10346</v>
      </c>
      <c r="K2245" s="975" t="str">
        <f>IF(COUNTIFS(tblControles[Clave],tblControles[[#This Row],[Clave]])&gt;1,"Duplicado","")</f>
        <v/>
      </c>
    </row>
    <row r="2246" spans="2:11">
      <c r="B2246" s="975" t="str">
        <f>tblControles[[#This Row],[Fecha]]&amp;"|"&amp;tblControles[[#This Row],[Módulo]]&amp;"|"&amp;tblControles[[#This Row],[Ítem]]&amp;"|"&amp;tblControles[[#This Row],[Turno]]</f>
        <v>46288|AGREGADO MEDIOS|CONOS 40X50 BM3|Cantidad</v>
      </c>
      <c r="C2246" s="871">
        <v>46288</v>
      </c>
      <c r="D2246" s="1100" t="s">
        <v>9451</v>
      </c>
      <c r="E2246" s="1100" t="s">
        <v>422</v>
      </c>
      <c r="F2246" s="1100" t="s">
        <v>9453</v>
      </c>
      <c r="G2246" s="1100">
        <v>10</v>
      </c>
      <c r="H2246" s="1100" t="s">
        <v>10345</v>
      </c>
      <c r="I2246" s="871">
        <v>46296.133080937499</v>
      </c>
      <c r="J2246" s="1100" t="s">
        <v>10346</v>
      </c>
      <c r="K2246" s="975" t="str">
        <f>IF(COUNTIFS(tblControles[Clave],tblControles[[#This Row],[Clave]])&gt;1,"Duplicado","")</f>
        <v/>
      </c>
    </row>
    <row r="2247" spans="2:11">
      <c r="B2247" s="975" t="str">
        <f>tblControles[[#This Row],[Fecha]]&amp;"|"&amp;tblControles[[#This Row],[Módulo]]&amp;"|"&amp;tblControles[[#This Row],[Ítem]]&amp;"|"&amp;tblControles[[#This Row],[Turno]]</f>
        <v>46288|AGREGADO MEDIOS|CONOS 40X50 BM4|Cantidad</v>
      </c>
      <c r="C2247" s="871">
        <v>46288</v>
      </c>
      <c r="D2247" s="1100" t="s">
        <v>9451</v>
      </c>
      <c r="E2247" s="1100" t="s">
        <v>423</v>
      </c>
      <c r="F2247" s="1100" t="s">
        <v>9453</v>
      </c>
      <c r="G2247" s="1100">
        <v>0</v>
      </c>
      <c r="H2247" s="1100" t="s">
        <v>10345</v>
      </c>
      <c r="I2247" s="871">
        <v>46296.133080937499</v>
      </c>
      <c r="J2247" s="1100" t="s">
        <v>10346</v>
      </c>
      <c r="K2247" s="975" t="str">
        <f>IF(COUNTIFS(tblControles[Clave],tblControles[[#This Row],[Clave]])&gt;1,"Duplicado","")</f>
        <v/>
      </c>
    </row>
    <row r="2248" spans="2:11">
      <c r="B2248" s="975" t="str">
        <f>tblControles[[#This Row],[Fecha]]&amp;"|"&amp;tblControles[[#This Row],[Módulo]]&amp;"|"&amp;tblControles[[#This Row],[Ítem]]&amp;"|"&amp;tblControles[[#This Row],[Turno]]</f>
        <v>46288|AGREGADO MEDIOS|CONOS 40X50 BM6|Cantidad</v>
      </c>
      <c r="C2248" s="871">
        <v>46288</v>
      </c>
      <c r="D2248" s="1100" t="s">
        <v>9451</v>
      </c>
      <c r="E2248" s="1100" t="s">
        <v>425</v>
      </c>
      <c r="F2248" s="1100" t="s">
        <v>9453</v>
      </c>
      <c r="G2248" s="1100">
        <v>0</v>
      </c>
      <c r="H2248" s="1100" t="s">
        <v>10345</v>
      </c>
      <c r="I2248" s="871">
        <v>46296.133080937499</v>
      </c>
      <c r="J2248" s="1100" t="s">
        <v>10346</v>
      </c>
      <c r="K2248" s="975" t="str">
        <f>IF(COUNTIFS(tblControles[Clave],tblControles[[#This Row],[Clave]])&gt;1,"Duplicado","")</f>
        <v/>
      </c>
    </row>
    <row r="2249" spans="2:11">
      <c r="B2249" s="975" t="str">
        <f>tblControles[[#This Row],[Fecha]]&amp;"|"&amp;tblControles[[#This Row],[Módulo]]&amp;"|"&amp;tblControles[[#This Row],[Ítem]]&amp;"|"&amp;tblControles[[#This Row],[Turno]]</f>
        <v>46288|AGREGADO MEDIOS|CONOS 40X50 BM7|Cantidad</v>
      </c>
      <c r="C2249" s="871">
        <v>46288</v>
      </c>
      <c r="D2249" s="1100" t="s">
        <v>9451</v>
      </c>
      <c r="E2249" s="1100" t="s">
        <v>426</v>
      </c>
      <c r="F2249" s="1100" t="s">
        <v>9453</v>
      </c>
      <c r="G2249" s="1100">
        <v>0</v>
      </c>
      <c r="H2249" s="1100" t="s">
        <v>10345</v>
      </c>
      <c r="I2249" s="871">
        <v>46296.133080937499</v>
      </c>
      <c r="J2249" s="1100" t="s">
        <v>10346</v>
      </c>
      <c r="K2249" s="975" t="str">
        <f>IF(COUNTIFS(tblControles[Clave],tblControles[[#This Row],[Clave]])&gt;1,"Duplicado","")</f>
        <v/>
      </c>
    </row>
    <row r="2250" spans="2:11">
      <c r="B2250" s="975" t="str">
        <f>tblControles[[#This Row],[Fecha]]&amp;"|"&amp;tblControles[[#This Row],[Módulo]]&amp;"|"&amp;tblControles[[#This Row],[Ítem]]&amp;"|"&amp;tblControles[[#This Row],[Turno]]</f>
        <v>46289|AGREGADO MEDIOS|BARRAS 9 RM9|Cantidad</v>
      </c>
      <c r="C2250" s="871">
        <v>46289</v>
      </c>
      <c r="D2250" s="1100" t="s">
        <v>9451</v>
      </c>
      <c r="E2250" s="1100" t="s">
        <v>418</v>
      </c>
      <c r="F2250" s="1100" t="s">
        <v>9453</v>
      </c>
      <c r="G2250" s="1100">
        <v>10</v>
      </c>
      <c r="H2250" s="1100" t="s">
        <v>10345</v>
      </c>
      <c r="I2250" s="871">
        <v>46296.133080937499</v>
      </c>
      <c r="J2250" s="1100" t="s">
        <v>10346</v>
      </c>
      <c r="K2250" s="975" t="str">
        <f>IF(COUNTIFS(tblControles[Clave],tblControles[[#This Row],[Clave]])&gt;1,"Duplicado","")</f>
        <v/>
      </c>
    </row>
    <row r="2251" spans="2:11">
      <c r="B2251" s="975" t="str">
        <f>tblControles[[#This Row],[Fecha]]&amp;"|"&amp;tblControles[[#This Row],[Módulo]]&amp;"|"&amp;tblControles[[#This Row],[Ítem]]&amp;"|"&amp;tblControles[[#This Row],[Turno]]</f>
        <v>46289|AGREGADO MEDIOS|BARRAS RM1|Cantidad</v>
      </c>
      <c r="C2251" s="871">
        <v>46289</v>
      </c>
      <c r="D2251" s="1100" t="s">
        <v>9451</v>
      </c>
      <c r="E2251" s="1100" t="s">
        <v>410</v>
      </c>
      <c r="F2251" s="1100" t="s">
        <v>9453</v>
      </c>
      <c r="G2251" s="1100">
        <v>9</v>
      </c>
      <c r="H2251" s="1100" t="s">
        <v>10345</v>
      </c>
      <c r="I2251" s="871">
        <v>46296.133080937499</v>
      </c>
      <c r="J2251" s="1100" t="s">
        <v>10346</v>
      </c>
      <c r="K2251" s="975" t="str">
        <f>IF(COUNTIFS(tblControles[Clave],tblControles[[#This Row],[Clave]])&gt;1,"Duplicado","")</f>
        <v/>
      </c>
    </row>
    <row r="2252" spans="2:11">
      <c r="B2252" s="975" t="str">
        <f>tblControles[[#This Row],[Fecha]]&amp;"|"&amp;tblControles[[#This Row],[Módulo]]&amp;"|"&amp;tblControles[[#This Row],[Ítem]]&amp;"|"&amp;tblControles[[#This Row],[Turno]]</f>
        <v>46289|AGREGADO MEDIOS|BARRAS RM2|Cantidad</v>
      </c>
      <c r="C2252" s="871">
        <v>46289</v>
      </c>
      <c r="D2252" s="1100" t="s">
        <v>9451</v>
      </c>
      <c r="E2252" s="1100" t="s">
        <v>411</v>
      </c>
      <c r="F2252" s="1100" t="s">
        <v>9453</v>
      </c>
      <c r="G2252" s="1100">
        <v>12</v>
      </c>
      <c r="H2252" s="1100" t="s">
        <v>10345</v>
      </c>
      <c r="I2252" s="871">
        <v>46296.133080937499</v>
      </c>
      <c r="J2252" s="1100" t="s">
        <v>10346</v>
      </c>
      <c r="K2252" s="975" t="str">
        <f>IF(COUNTIFS(tblControles[Clave],tblControles[[#This Row],[Clave]])&gt;1,"Duplicado","")</f>
        <v/>
      </c>
    </row>
    <row r="2253" spans="2:11">
      <c r="B2253" s="975" t="str">
        <f>tblControles[[#This Row],[Fecha]]&amp;"|"&amp;tblControles[[#This Row],[Módulo]]&amp;"|"&amp;tblControles[[#This Row],[Ítem]]&amp;"|"&amp;tblControles[[#This Row],[Turno]]</f>
        <v>46289|AGREGADO MEDIOS|BARRAS RM3|Cantidad</v>
      </c>
      <c r="C2253" s="871">
        <v>46289</v>
      </c>
      <c r="D2253" s="1100" t="s">
        <v>9451</v>
      </c>
      <c r="E2253" s="1100" t="s">
        <v>412</v>
      </c>
      <c r="F2253" s="1100" t="s">
        <v>9453</v>
      </c>
      <c r="G2253" s="1100">
        <v>7</v>
      </c>
      <c r="H2253" s="1100" t="s">
        <v>10345</v>
      </c>
      <c r="I2253" s="871">
        <v>46296.133080937499</v>
      </c>
      <c r="J2253" s="1100" t="s">
        <v>10346</v>
      </c>
      <c r="K2253" s="975" t="str">
        <f>IF(COUNTIFS(tblControles[Clave],tblControles[[#This Row],[Clave]])&gt;1,"Duplicado","")</f>
        <v/>
      </c>
    </row>
    <row r="2254" spans="2:11">
      <c r="B2254" s="975" t="str">
        <f>tblControles[[#This Row],[Fecha]]&amp;"|"&amp;tblControles[[#This Row],[Módulo]]&amp;"|"&amp;tblControles[[#This Row],[Ítem]]&amp;"|"&amp;tblControles[[#This Row],[Turno]]</f>
        <v>46289|AGREGADO MEDIOS|BARRAS RM4|Cantidad</v>
      </c>
      <c r="C2254" s="871">
        <v>46289</v>
      </c>
      <c r="D2254" s="1100" t="s">
        <v>9451</v>
      </c>
      <c r="E2254" s="1100" t="s">
        <v>413</v>
      </c>
      <c r="F2254" s="1100" t="s">
        <v>9453</v>
      </c>
      <c r="G2254" s="1100">
        <v>0</v>
      </c>
      <c r="H2254" s="1100" t="s">
        <v>10345</v>
      </c>
      <c r="I2254" s="871">
        <v>46296.133080937499</v>
      </c>
      <c r="J2254" s="1100" t="s">
        <v>10346</v>
      </c>
      <c r="K2254" s="975" t="str">
        <f>IF(COUNTIFS(tblControles[Clave],tblControles[[#This Row],[Clave]])&gt;1,"Duplicado","")</f>
        <v/>
      </c>
    </row>
    <row r="2255" spans="2:11">
      <c r="B2255" s="975" t="str">
        <f>tblControles[[#This Row],[Fecha]]&amp;"|"&amp;tblControles[[#This Row],[Módulo]]&amp;"|"&amp;tblControles[[#This Row],[Ítem]]&amp;"|"&amp;tblControles[[#This Row],[Turno]]</f>
        <v>46289|AGREGADO MEDIOS|BARRAS RM5|Cantidad</v>
      </c>
      <c r="C2255" s="871">
        <v>46289</v>
      </c>
      <c r="D2255" s="1100" t="s">
        <v>9451</v>
      </c>
      <c r="E2255" s="1100" t="s">
        <v>414</v>
      </c>
      <c r="F2255" s="1100" t="s">
        <v>9453</v>
      </c>
      <c r="G2255" s="1100">
        <v>9</v>
      </c>
      <c r="H2255" s="1100" t="s">
        <v>10345</v>
      </c>
      <c r="I2255" s="871">
        <v>46296.133080937499</v>
      </c>
      <c r="J2255" s="1100" t="s">
        <v>10346</v>
      </c>
      <c r="K2255" s="975" t="str">
        <f>IF(COUNTIFS(tblControles[Clave],tblControles[[#This Row],[Clave]])&gt;1,"Duplicado","")</f>
        <v/>
      </c>
    </row>
    <row r="2256" spans="2:11">
      <c r="B2256" s="975" t="str">
        <f>tblControles[[#This Row],[Fecha]]&amp;"|"&amp;tblControles[[#This Row],[Módulo]]&amp;"|"&amp;tblControles[[#This Row],[Ítem]]&amp;"|"&amp;tblControles[[#This Row],[Turno]]</f>
        <v>46289|AGREGADO MEDIOS|BARRAS RM6|Cantidad</v>
      </c>
      <c r="C2256" s="871">
        <v>46289</v>
      </c>
      <c r="D2256" s="1100" t="s">
        <v>9451</v>
      </c>
      <c r="E2256" s="1100" t="s">
        <v>415</v>
      </c>
      <c r="F2256" s="1100" t="s">
        <v>9453</v>
      </c>
      <c r="G2256" s="1100">
        <v>11</v>
      </c>
      <c r="H2256" s="1100" t="s">
        <v>10345</v>
      </c>
      <c r="I2256" s="871">
        <v>46296.133080937499</v>
      </c>
      <c r="J2256" s="1100" t="s">
        <v>10346</v>
      </c>
      <c r="K2256" s="975" t="str">
        <f>IF(COUNTIFS(tblControles[Clave],tblControles[[#This Row],[Clave]])&gt;1,"Duplicado","")</f>
        <v/>
      </c>
    </row>
    <row r="2257" spans="2:11">
      <c r="B2257" s="975" t="str">
        <f>tblControles[[#This Row],[Fecha]]&amp;"|"&amp;tblControles[[#This Row],[Módulo]]&amp;"|"&amp;tblControles[[#This Row],[Ítem]]&amp;"|"&amp;tblControles[[#This Row],[Turno]]</f>
        <v>46289|AGREGADO MEDIOS|BARRAS RM7|Cantidad</v>
      </c>
      <c r="C2257" s="871">
        <v>46289</v>
      </c>
      <c r="D2257" s="1100" t="s">
        <v>9451</v>
      </c>
      <c r="E2257" s="1100" t="s">
        <v>416</v>
      </c>
      <c r="F2257" s="1100" t="s">
        <v>9453</v>
      </c>
      <c r="G2257" s="1100">
        <v>9</v>
      </c>
      <c r="H2257" s="1100" t="s">
        <v>10345</v>
      </c>
      <c r="I2257" s="871">
        <v>46296.133080937499</v>
      </c>
      <c r="J2257" s="1100" t="s">
        <v>10346</v>
      </c>
      <c r="K2257" s="975" t="str">
        <f>IF(COUNTIFS(tblControles[Clave],tblControles[[#This Row],[Clave]])&gt;1,"Duplicado","")</f>
        <v/>
      </c>
    </row>
    <row r="2258" spans="2:11">
      <c r="B2258" s="975" t="str">
        <f>tblControles[[#This Row],[Fecha]]&amp;"|"&amp;tblControles[[#This Row],[Módulo]]&amp;"|"&amp;tblControles[[#This Row],[Ítem]]&amp;"|"&amp;tblControles[[#This Row],[Turno]]</f>
        <v>46289|AGREGADO MEDIOS|BARRAS RM8|Cantidad</v>
      </c>
      <c r="C2258" s="871">
        <v>46289</v>
      </c>
      <c r="D2258" s="1100" t="s">
        <v>9451</v>
      </c>
      <c r="E2258" s="1100" t="s">
        <v>417</v>
      </c>
      <c r="F2258" s="1100" t="s">
        <v>9453</v>
      </c>
      <c r="G2258" s="1100">
        <v>11</v>
      </c>
      <c r="H2258" s="1100" t="s">
        <v>10345</v>
      </c>
      <c r="I2258" s="871">
        <v>46296.133080937499</v>
      </c>
      <c r="J2258" s="1100" t="s">
        <v>10346</v>
      </c>
      <c r="K2258" s="975" t="str">
        <f>IF(COUNTIFS(tblControles[Clave],tblControles[[#This Row],[Clave]])&gt;1,"Duplicado","")</f>
        <v/>
      </c>
    </row>
    <row r="2259" spans="2:11">
      <c r="B2259" s="975" t="str">
        <f>tblControles[[#This Row],[Fecha]]&amp;"|"&amp;tblControles[[#This Row],[Módulo]]&amp;"|"&amp;tblControles[[#This Row],[Ítem]]&amp;"|"&amp;tblControles[[#This Row],[Turno]]</f>
        <v>46289|AGREGADO MEDIOS|BOLAS ALTO CROM|Cantidad</v>
      </c>
      <c r="C2259" s="871">
        <v>46289</v>
      </c>
      <c r="D2259" s="1100" t="s">
        <v>9451</v>
      </c>
      <c r="E2259" s="1100" t="s">
        <v>432</v>
      </c>
      <c r="F2259" s="1100" t="s">
        <v>9453</v>
      </c>
      <c r="G2259" s="1100">
        <v>0</v>
      </c>
      <c r="H2259" s="1100" t="s">
        <v>10345</v>
      </c>
      <c r="I2259" s="871">
        <v>46296.133080937499</v>
      </c>
      <c r="J2259" s="1100" t="s">
        <v>10346</v>
      </c>
      <c r="K2259" s="975" t="str">
        <f>IF(COUNTIFS(tblControles[Clave],tblControles[[#This Row],[Clave]])&gt;1,"Duplicado","")</f>
        <v/>
      </c>
    </row>
    <row r="2260" spans="2:11">
      <c r="B2260" s="975" t="str">
        <f>tblControles[[#This Row],[Fecha]]&amp;"|"&amp;tblControles[[#This Row],[Módulo]]&amp;"|"&amp;tblControles[[#This Row],[Ítem]]&amp;"|"&amp;tblControles[[#This Row],[Turno]]</f>
        <v>46289|AGREGADO MEDIOS|BOLAS BM10|Cantidad</v>
      </c>
      <c r="C2260" s="871">
        <v>46289</v>
      </c>
      <c r="D2260" s="1100" t="s">
        <v>9451</v>
      </c>
      <c r="E2260" s="1100" t="s">
        <v>431</v>
      </c>
      <c r="F2260" s="1100" t="s">
        <v>9453</v>
      </c>
      <c r="G2260" s="1100">
        <v>0</v>
      </c>
      <c r="H2260" s="1100" t="s">
        <v>10345</v>
      </c>
      <c r="I2260" s="871">
        <v>46296.133080937499</v>
      </c>
      <c r="J2260" s="1100" t="s">
        <v>10346</v>
      </c>
      <c r="K2260" s="975" t="str">
        <f>IF(COUNTIFS(tblControles[Clave],tblControles[[#This Row],[Clave]])&gt;1,"Duplicado","")</f>
        <v/>
      </c>
    </row>
    <row r="2261" spans="2:11">
      <c r="B2261" s="975" t="str">
        <f>tblControles[[#This Row],[Fecha]]&amp;"|"&amp;tblControles[[#This Row],[Módulo]]&amp;"|"&amp;tblControles[[#This Row],[Ítem]]&amp;"|"&amp;tblControles[[#This Row],[Turno]]</f>
        <v>46289|AGREGADO MEDIOS|BOLAS BM8|Cantidad</v>
      </c>
      <c r="C2261" s="871">
        <v>46289</v>
      </c>
      <c r="D2261" s="1100" t="s">
        <v>9451</v>
      </c>
      <c r="E2261" s="1100" t="s">
        <v>429</v>
      </c>
      <c r="F2261" s="1100" t="s">
        <v>9453</v>
      </c>
      <c r="G2261" s="1100">
        <v>0</v>
      </c>
      <c r="H2261" s="1100" t="s">
        <v>10345</v>
      </c>
      <c r="I2261" s="871">
        <v>46296.133080937499</v>
      </c>
      <c r="J2261" s="1100" t="s">
        <v>10346</v>
      </c>
      <c r="K2261" s="975" t="str">
        <f>IF(COUNTIFS(tblControles[Clave],tblControles[[#This Row],[Clave]])&gt;1,"Duplicado","")</f>
        <v/>
      </c>
    </row>
    <row r="2262" spans="2:11">
      <c r="B2262" s="975" t="str">
        <f>tblControles[[#This Row],[Fecha]]&amp;"|"&amp;tblControles[[#This Row],[Módulo]]&amp;"|"&amp;tblControles[[#This Row],[Ítem]]&amp;"|"&amp;tblControles[[#This Row],[Turno]]</f>
        <v>46289|AGREGADO MEDIOS|BOLAS BM9|Cantidad</v>
      </c>
      <c r="C2262" s="871">
        <v>46289</v>
      </c>
      <c r="D2262" s="1100" t="s">
        <v>9451</v>
      </c>
      <c r="E2262" s="1100" t="s">
        <v>430</v>
      </c>
      <c r="F2262" s="1100" t="s">
        <v>9453</v>
      </c>
      <c r="G2262" s="1100">
        <v>0</v>
      </c>
      <c r="H2262" s="1100" t="s">
        <v>10345</v>
      </c>
      <c r="I2262" s="871">
        <v>46296.133080937499</v>
      </c>
      <c r="J2262" s="1100" t="s">
        <v>10346</v>
      </c>
      <c r="K2262" s="975" t="str">
        <f>IF(COUNTIFS(tblControles[Clave],tblControles[[#This Row],[Clave]])&gt;1,"Duplicado","")</f>
        <v/>
      </c>
    </row>
    <row r="2263" spans="2:11">
      <c r="B2263" s="975" t="str">
        <f>tblControles[[#This Row],[Fecha]]&amp;"|"&amp;tblControles[[#This Row],[Módulo]]&amp;"|"&amp;tblControles[[#This Row],[Ítem]]&amp;"|"&amp;tblControles[[#This Row],[Turno]]</f>
        <v>46289|AGREGADO MEDIOS|CONOS 30X35|Cantidad</v>
      </c>
      <c r="C2263" s="871">
        <v>46289</v>
      </c>
      <c r="D2263" s="1100" t="s">
        <v>9451</v>
      </c>
      <c r="E2263" s="1100" t="s">
        <v>428</v>
      </c>
      <c r="F2263" s="1100" t="s">
        <v>9453</v>
      </c>
      <c r="G2263" s="1100">
        <v>0</v>
      </c>
      <c r="H2263" s="1100" t="s">
        <v>10345</v>
      </c>
      <c r="I2263" s="871">
        <v>46296.133080937499</v>
      </c>
      <c r="J2263" s="1100" t="s">
        <v>10346</v>
      </c>
      <c r="K2263" s="975" t="str">
        <f>IF(COUNTIFS(tblControles[Clave],tblControles[[#This Row],[Clave]])&gt;1,"Duplicado","")</f>
        <v/>
      </c>
    </row>
    <row r="2264" spans="2:11">
      <c r="B2264" s="975" t="str">
        <f>tblControles[[#This Row],[Fecha]]&amp;"|"&amp;tblControles[[#This Row],[Módulo]]&amp;"|"&amp;tblControles[[#This Row],[Ítem]]&amp;"|"&amp;tblControles[[#This Row],[Turno]]</f>
        <v>46289|AGREGADO MEDIOS|CONOS 30X35 BM5|Cantidad</v>
      </c>
      <c r="C2264" s="871">
        <v>46289</v>
      </c>
      <c r="D2264" s="1100" t="s">
        <v>9451</v>
      </c>
      <c r="E2264" s="1100" t="s">
        <v>424</v>
      </c>
      <c r="F2264" s="1100" t="s">
        <v>9453</v>
      </c>
      <c r="G2264" s="1100">
        <v>0</v>
      </c>
      <c r="H2264" s="1100" t="s">
        <v>10345</v>
      </c>
      <c r="I2264" s="871">
        <v>46296.133080937499</v>
      </c>
      <c r="J2264" s="1100" t="s">
        <v>10346</v>
      </c>
      <c r="K2264" s="975" t="str">
        <f>IF(COUNTIFS(tblControles[Clave],tblControles[[#This Row],[Clave]])&gt;1,"Duplicado","")</f>
        <v/>
      </c>
    </row>
    <row r="2265" spans="2:11">
      <c r="B2265" s="975" t="str">
        <f>tblControles[[#This Row],[Fecha]]&amp;"|"&amp;tblControles[[#This Row],[Módulo]]&amp;"|"&amp;tblControles[[#This Row],[Ítem]]&amp;"|"&amp;tblControles[[#This Row],[Turno]]</f>
        <v>46289|AGREGADO MEDIOS|CONOS 40X50|Cantidad</v>
      </c>
      <c r="C2265" s="871">
        <v>46289</v>
      </c>
      <c r="D2265" s="1100" t="s">
        <v>9451</v>
      </c>
      <c r="E2265" s="1100" t="s">
        <v>427</v>
      </c>
      <c r="F2265" s="1100" t="s">
        <v>9453</v>
      </c>
      <c r="G2265" s="1100">
        <v>0</v>
      </c>
      <c r="H2265" s="1100" t="s">
        <v>10345</v>
      </c>
      <c r="I2265" s="871">
        <v>46296.133080937499</v>
      </c>
      <c r="J2265" s="1100" t="s">
        <v>10346</v>
      </c>
      <c r="K2265" s="975" t="str">
        <f>IF(COUNTIFS(tblControles[Clave],tblControles[[#This Row],[Clave]])&gt;1,"Duplicado","")</f>
        <v/>
      </c>
    </row>
    <row r="2266" spans="2:11">
      <c r="B2266" s="975" t="str">
        <f>tblControles[[#This Row],[Fecha]]&amp;"|"&amp;tblControles[[#This Row],[Módulo]]&amp;"|"&amp;tblControles[[#This Row],[Ítem]]&amp;"|"&amp;tblControles[[#This Row],[Turno]]</f>
        <v>46289|AGREGADO MEDIOS|CONOS 40X50 BM1|Cantidad</v>
      </c>
      <c r="C2266" s="871">
        <v>46289</v>
      </c>
      <c r="D2266" s="1100" t="s">
        <v>9451</v>
      </c>
      <c r="E2266" s="1100" t="s">
        <v>420</v>
      </c>
      <c r="F2266" s="1100" t="s">
        <v>9453</v>
      </c>
      <c r="G2266" s="1100">
        <v>0</v>
      </c>
      <c r="H2266" s="1100" t="s">
        <v>10345</v>
      </c>
      <c r="I2266" s="871">
        <v>46296.133080937499</v>
      </c>
      <c r="J2266" s="1100" t="s">
        <v>10346</v>
      </c>
      <c r="K2266" s="975" t="str">
        <f>IF(COUNTIFS(tblControles[Clave],tblControles[[#This Row],[Clave]])&gt;1,"Duplicado","")</f>
        <v/>
      </c>
    </row>
    <row r="2267" spans="2:11">
      <c r="B2267" s="975" t="str">
        <f>tblControles[[#This Row],[Fecha]]&amp;"|"&amp;tblControles[[#This Row],[Módulo]]&amp;"|"&amp;tblControles[[#This Row],[Ítem]]&amp;"|"&amp;tblControles[[#This Row],[Turno]]</f>
        <v>46289|AGREGADO MEDIOS|CONOS 40X50 BM2|Cantidad</v>
      </c>
      <c r="C2267" s="871">
        <v>46289</v>
      </c>
      <c r="D2267" s="1100" t="s">
        <v>9451</v>
      </c>
      <c r="E2267" s="1100" t="s">
        <v>421</v>
      </c>
      <c r="F2267" s="1100" t="s">
        <v>9453</v>
      </c>
      <c r="G2267" s="1100">
        <v>0</v>
      </c>
      <c r="H2267" s="1100" t="s">
        <v>10345</v>
      </c>
      <c r="I2267" s="871">
        <v>46296.133080937499</v>
      </c>
      <c r="J2267" s="1100" t="s">
        <v>10346</v>
      </c>
      <c r="K2267" s="975" t="str">
        <f>IF(COUNTIFS(tblControles[Clave],tblControles[[#This Row],[Clave]])&gt;1,"Duplicado","")</f>
        <v/>
      </c>
    </row>
    <row r="2268" spans="2:11">
      <c r="B2268" s="975" t="str">
        <f>tblControles[[#This Row],[Fecha]]&amp;"|"&amp;tblControles[[#This Row],[Módulo]]&amp;"|"&amp;tblControles[[#This Row],[Ítem]]&amp;"|"&amp;tblControles[[#This Row],[Turno]]</f>
        <v>46289|AGREGADO MEDIOS|CONOS 40X50 BM3|Cantidad</v>
      </c>
      <c r="C2268" s="871">
        <v>46289</v>
      </c>
      <c r="D2268" s="1100" t="s">
        <v>9451</v>
      </c>
      <c r="E2268" s="1100" t="s">
        <v>422</v>
      </c>
      <c r="F2268" s="1100" t="s">
        <v>9453</v>
      </c>
      <c r="G2268" s="1100">
        <v>0</v>
      </c>
      <c r="H2268" s="1100" t="s">
        <v>10345</v>
      </c>
      <c r="I2268" s="871">
        <v>46296.133080937499</v>
      </c>
      <c r="J2268" s="1100" t="s">
        <v>10346</v>
      </c>
      <c r="K2268" s="975" t="str">
        <f>IF(COUNTIFS(tblControles[Clave],tblControles[[#This Row],[Clave]])&gt;1,"Duplicado","")</f>
        <v/>
      </c>
    </row>
    <row r="2269" spans="2:11">
      <c r="B2269" s="975" t="str">
        <f>tblControles[[#This Row],[Fecha]]&amp;"|"&amp;tblControles[[#This Row],[Módulo]]&amp;"|"&amp;tblControles[[#This Row],[Ítem]]&amp;"|"&amp;tblControles[[#This Row],[Turno]]</f>
        <v>46289|AGREGADO MEDIOS|CONOS 40X50 BM4|Cantidad</v>
      </c>
      <c r="C2269" s="871">
        <v>46289</v>
      </c>
      <c r="D2269" s="1100" t="s">
        <v>9451</v>
      </c>
      <c r="E2269" s="1100" t="s">
        <v>423</v>
      </c>
      <c r="F2269" s="1100" t="s">
        <v>9453</v>
      </c>
      <c r="G2269" s="1100">
        <v>0</v>
      </c>
      <c r="H2269" s="1100" t="s">
        <v>10345</v>
      </c>
      <c r="I2269" s="871">
        <v>46296.133080937499</v>
      </c>
      <c r="J2269" s="1100" t="s">
        <v>10346</v>
      </c>
      <c r="K2269" s="975" t="str">
        <f>IF(COUNTIFS(tblControles[Clave],tblControles[[#This Row],[Clave]])&gt;1,"Duplicado","")</f>
        <v/>
      </c>
    </row>
    <row r="2270" spans="2:11">
      <c r="B2270" s="975" t="str">
        <f>tblControles[[#This Row],[Fecha]]&amp;"|"&amp;tblControles[[#This Row],[Módulo]]&amp;"|"&amp;tblControles[[#This Row],[Ítem]]&amp;"|"&amp;tblControles[[#This Row],[Turno]]</f>
        <v>46289|AGREGADO MEDIOS|CONOS 40X50 BM6|Cantidad</v>
      </c>
      <c r="C2270" s="871">
        <v>46289</v>
      </c>
      <c r="D2270" s="1100" t="s">
        <v>9451</v>
      </c>
      <c r="E2270" s="1100" t="s">
        <v>425</v>
      </c>
      <c r="F2270" s="1100" t="s">
        <v>9453</v>
      </c>
      <c r="G2270" s="1100">
        <v>0</v>
      </c>
      <c r="H2270" s="1100" t="s">
        <v>10345</v>
      </c>
      <c r="I2270" s="871">
        <v>46296.133080937499</v>
      </c>
      <c r="J2270" s="1100" t="s">
        <v>10346</v>
      </c>
      <c r="K2270" s="975" t="str">
        <f>IF(COUNTIFS(tblControles[Clave],tblControles[[#This Row],[Clave]])&gt;1,"Duplicado","")</f>
        <v/>
      </c>
    </row>
    <row r="2271" spans="2:11">
      <c r="B2271" s="975" t="str">
        <f>tblControles[[#This Row],[Fecha]]&amp;"|"&amp;tblControles[[#This Row],[Módulo]]&amp;"|"&amp;tblControles[[#This Row],[Ítem]]&amp;"|"&amp;tblControles[[#This Row],[Turno]]</f>
        <v>46289|AGREGADO MEDIOS|CONOS 40X50 BM7|Cantidad</v>
      </c>
      <c r="C2271" s="871">
        <v>46289</v>
      </c>
      <c r="D2271" s="1100" t="s">
        <v>9451</v>
      </c>
      <c r="E2271" s="1100" t="s">
        <v>426</v>
      </c>
      <c r="F2271" s="1100" t="s">
        <v>9453</v>
      </c>
      <c r="G2271" s="1100">
        <v>0</v>
      </c>
      <c r="H2271" s="1100" t="s">
        <v>10345</v>
      </c>
      <c r="I2271" s="871">
        <v>46296.133080937499</v>
      </c>
      <c r="J2271" s="1100" t="s">
        <v>10346</v>
      </c>
      <c r="K2271" s="975" t="str">
        <f>IF(COUNTIFS(tblControles[Clave],tblControles[[#This Row],[Clave]])&gt;1,"Duplicado","")</f>
        <v/>
      </c>
    </row>
    <row r="2272" spans="2:11">
      <c r="B2272" s="975" t="str">
        <f>tblControles[[#This Row],[Fecha]]&amp;"|"&amp;tblControles[[#This Row],[Módulo]]&amp;"|"&amp;tblControles[[#This Row],[Ítem]]&amp;"|"&amp;tblControles[[#This Row],[Turno]]</f>
        <v>46290|AGREGADO MEDIOS|BARRAS 9 RM9|Cantidad</v>
      </c>
      <c r="C2272" s="871">
        <v>46290</v>
      </c>
      <c r="D2272" s="1100" t="s">
        <v>9451</v>
      </c>
      <c r="E2272" s="1100" t="s">
        <v>418</v>
      </c>
      <c r="F2272" s="1100" t="s">
        <v>9453</v>
      </c>
      <c r="G2272" s="1100">
        <v>0</v>
      </c>
      <c r="H2272" s="1100" t="s">
        <v>10345</v>
      </c>
      <c r="I2272" s="871">
        <v>46296.133080937499</v>
      </c>
      <c r="J2272" s="1100" t="s">
        <v>10346</v>
      </c>
      <c r="K2272" s="975" t="str">
        <f>IF(COUNTIFS(tblControles[Clave],tblControles[[#This Row],[Clave]])&gt;1,"Duplicado","")</f>
        <v/>
      </c>
    </row>
    <row r="2273" spans="2:11">
      <c r="B2273" s="975" t="str">
        <f>tblControles[[#This Row],[Fecha]]&amp;"|"&amp;tblControles[[#This Row],[Módulo]]&amp;"|"&amp;tblControles[[#This Row],[Ítem]]&amp;"|"&amp;tblControles[[#This Row],[Turno]]</f>
        <v>46290|AGREGADO MEDIOS|BARRAS RM1|Cantidad</v>
      </c>
      <c r="C2273" s="871">
        <v>46290</v>
      </c>
      <c r="D2273" s="1100" t="s">
        <v>9451</v>
      </c>
      <c r="E2273" s="1100" t="s">
        <v>410</v>
      </c>
      <c r="F2273" s="1100" t="s">
        <v>9453</v>
      </c>
      <c r="G2273" s="1100">
        <v>18</v>
      </c>
      <c r="H2273" s="1100" t="s">
        <v>10345</v>
      </c>
      <c r="I2273" s="871">
        <v>46296.133080937499</v>
      </c>
      <c r="J2273" s="1100" t="s">
        <v>10346</v>
      </c>
      <c r="K2273" s="975" t="str">
        <f>IF(COUNTIFS(tblControles[Clave],tblControles[[#This Row],[Clave]])&gt;1,"Duplicado","")</f>
        <v/>
      </c>
    </row>
    <row r="2274" spans="2:11">
      <c r="B2274" s="975" t="str">
        <f>tblControles[[#This Row],[Fecha]]&amp;"|"&amp;tblControles[[#This Row],[Módulo]]&amp;"|"&amp;tblControles[[#This Row],[Ítem]]&amp;"|"&amp;tblControles[[#This Row],[Turno]]</f>
        <v>46290|AGREGADO MEDIOS|BARRAS RM2|Cantidad</v>
      </c>
      <c r="C2274" s="871">
        <v>46290</v>
      </c>
      <c r="D2274" s="1100" t="s">
        <v>9451</v>
      </c>
      <c r="E2274" s="1100" t="s">
        <v>411</v>
      </c>
      <c r="F2274" s="1100" t="s">
        <v>9453</v>
      </c>
      <c r="G2274" s="1100">
        <v>18</v>
      </c>
      <c r="H2274" s="1100" t="s">
        <v>10345</v>
      </c>
      <c r="I2274" s="871">
        <v>46296.133080937499</v>
      </c>
      <c r="J2274" s="1100" t="s">
        <v>10346</v>
      </c>
      <c r="K2274" s="975" t="str">
        <f>IF(COUNTIFS(tblControles[Clave],tblControles[[#This Row],[Clave]])&gt;1,"Duplicado","")</f>
        <v/>
      </c>
    </row>
    <row r="2275" spans="2:11">
      <c r="B2275" s="975" t="str">
        <f>tblControles[[#This Row],[Fecha]]&amp;"|"&amp;tblControles[[#This Row],[Módulo]]&amp;"|"&amp;tblControles[[#This Row],[Ítem]]&amp;"|"&amp;tblControles[[#This Row],[Turno]]</f>
        <v>46290|AGREGADO MEDIOS|BARRAS RM3|Cantidad</v>
      </c>
      <c r="C2275" s="871">
        <v>46290</v>
      </c>
      <c r="D2275" s="1100" t="s">
        <v>9451</v>
      </c>
      <c r="E2275" s="1100" t="s">
        <v>412</v>
      </c>
      <c r="F2275" s="1100" t="s">
        <v>9453</v>
      </c>
      <c r="G2275" s="1100">
        <v>14</v>
      </c>
      <c r="H2275" s="1100" t="s">
        <v>10345</v>
      </c>
      <c r="I2275" s="871">
        <v>46296.133080937499</v>
      </c>
      <c r="J2275" s="1100" t="s">
        <v>10346</v>
      </c>
      <c r="K2275" s="975" t="str">
        <f>IF(COUNTIFS(tblControles[Clave],tblControles[[#This Row],[Clave]])&gt;1,"Duplicado","")</f>
        <v/>
      </c>
    </row>
    <row r="2276" spans="2:11">
      <c r="B2276" s="975" t="str">
        <f>tblControles[[#This Row],[Fecha]]&amp;"|"&amp;tblControles[[#This Row],[Módulo]]&amp;"|"&amp;tblControles[[#This Row],[Ítem]]&amp;"|"&amp;tblControles[[#This Row],[Turno]]</f>
        <v>46290|AGREGADO MEDIOS|BARRAS RM4|Cantidad</v>
      </c>
      <c r="C2276" s="871">
        <v>46290</v>
      </c>
      <c r="D2276" s="1100" t="s">
        <v>9451</v>
      </c>
      <c r="E2276" s="1100" t="s">
        <v>413</v>
      </c>
      <c r="F2276" s="1100" t="s">
        <v>9453</v>
      </c>
      <c r="G2276" s="1100">
        <v>10</v>
      </c>
      <c r="H2276" s="1100" t="s">
        <v>10345</v>
      </c>
      <c r="I2276" s="871">
        <v>46296.133080937499</v>
      </c>
      <c r="J2276" s="1100" t="s">
        <v>10346</v>
      </c>
      <c r="K2276" s="975" t="str">
        <f>IF(COUNTIFS(tblControles[Clave],tblControles[[#This Row],[Clave]])&gt;1,"Duplicado","")</f>
        <v/>
      </c>
    </row>
    <row r="2277" spans="2:11">
      <c r="B2277" s="975" t="str">
        <f>tblControles[[#This Row],[Fecha]]&amp;"|"&amp;tblControles[[#This Row],[Módulo]]&amp;"|"&amp;tblControles[[#This Row],[Ítem]]&amp;"|"&amp;tblControles[[#This Row],[Turno]]</f>
        <v>46290|AGREGADO MEDIOS|BARRAS RM5|Cantidad</v>
      </c>
      <c r="C2277" s="871">
        <v>46290</v>
      </c>
      <c r="D2277" s="1100" t="s">
        <v>9451</v>
      </c>
      <c r="E2277" s="1100" t="s">
        <v>414</v>
      </c>
      <c r="F2277" s="1100" t="s">
        <v>9453</v>
      </c>
      <c r="G2277" s="1100">
        <v>14</v>
      </c>
      <c r="H2277" s="1100" t="s">
        <v>10345</v>
      </c>
      <c r="I2277" s="871">
        <v>46296.133080937499</v>
      </c>
      <c r="J2277" s="1100" t="s">
        <v>10346</v>
      </c>
      <c r="K2277" s="975" t="str">
        <f>IF(COUNTIFS(tblControles[Clave],tblControles[[#This Row],[Clave]])&gt;1,"Duplicado","")</f>
        <v/>
      </c>
    </row>
    <row r="2278" spans="2:11">
      <c r="B2278" s="975" t="str">
        <f>tblControles[[#This Row],[Fecha]]&amp;"|"&amp;tblControles[[#This Row],[Módulo]]&amp;"|"&amp;tblControles[[#This Row],[Ítem]]&amp;"|"&amp;tblControles[[#This Row],[Turno]]</f>
        <v>46290|AGREGADO MEDIOS|BARRAS RM6|Cantidad</v>
      </c>
      <c r="C2278" s="871">
        <v>46290</v>
      </c>
      <c r="D2278" s="1100" t="s">
        <v>9451</v>
      </c>
      <c r="E2278" s="1100" t="s">
        <v>415</v>
      </c>
      <c r="F2278" s="1100" t="s">
        <v>9453</v>
      </c>
      <c r="G2278" s="1100">
        <v>18</v>
      </c>
      <c r="H2278" s="1100" t="s">
        <v>10345</v>
      </c>
      <c r="I2278" s="871">
        <v>46296.133080937499</v>
      </c>
      <c r="J2278" s="1100" t="s">
        <v>10346</v>
      </c>
      <c r="K2278" s="975" t="str">
        <f>IF(COUNTIFS(tblControles[Clave],tblControles[[#This Row],[Clave]])&gt;1,"Duplicado","")</f>
        <v/>
      </c>
    </row>
    <row r="2279" spans="2:11">
      <c r="B2279" s="975" t="str">
        <f>tblControles[[#This Row],[Fecha]]&amp;"|"&amp;tblControles[[#This Row],[Módulo]]&amp;"|"&amp;tblControles[[#This Row],[Ítem]]&amp;"|"&amp;tblControles[[#This Row],[Turno]]</f>
        <v>46290|AGREGADO MEDIOS|BARRAS RM7|Cantidad</v>
      </c>
      <c r="C2279" s="871">
        <v>46290</v>
      </c>
      <c r="D2279" s="1100" t="s">
        <v>9451</v>
      </c>
      <c r="E2279" s="1100" t="s">
        <v>416</v>
      </c>
      <c r="F2279" s="1100" t="s">
        <v>9453</v>
      </c>
      <c r="G2279" s="1100">
        <v>0</v>
      </c>
      <c r="H2279" s="1100" t="s">
        <v>10345</v>
      </c>
      <c r="I2279" s="871">
        <v>46296.133080937499</v>
      </c>
      <c r="J2279" s="1100" t="s">
        <v>10346</v>
      </c>
      <c r="K2279" s="975" t="str">
        <f>IF(COUNTIFS(tblControles[Clave],tblControles[[#This Row],[Clave]])&gt;1,"Duplicado","")</f>
        <v/>
      </c>
    </row>
    <row r="2280" spans="2:11">
      <c r="B2280" s="975" t="str">
        <f>tblControles[[#This Row],[Fecha]]&amp;"|"&amp;tblControles[[#This Row],[Módulo]]&amp;"|"&amp;tblControles[[#This Row],[Ítem]]&amp;"|"&amp;tblControles[[#This Row],[Turno]]</f>
        <v>46290|AGREGADO MEDIOS|BARRAS RM8|Cantidad</v>
      </c>
      <c r="C2280" s="871">
        <v>46290</v>
      </c>
      <c r="D2280" s="1100" t="s">
        <v>9451</v>
      </c>
      <c r="E2280" s="1100" t="s">
        <v>417</v>
      </c>
      <c r="F2280" s="1100" t="s">
        <v>9453</v>
      </c>
      <c r="G2280" s="1100">
        <v>9</v>
      </c>
      <c r="H2280" s="1100" t="s">
        <v>10345</v>
      </c>
      <c r="I2280" s="871">
        <v>46296.133080937499</v>
      </c>
      <c r="J2280" s="1100" t="s">
        <v>10346</v>
      </c>
      <c r="K2280" s="975" t="str">
        <f>IF(COUNTIFS(tblControles[Clave],tblControles[[#This Row],[Clave]])&gt;1,"Duplicado","")</f>
        <v/>
      </c>
    </row>
    <row r="2281" spans="2:11">
      <c r="B2281" s="975" t="str">
        <f>tblControles[[#This Row],[Fecha]]&amp;"|"&amp;tblControles[[#This Row],[Módulo]]&amp;"|"&amp;tblControles[[#This Row],[Ítem]]&amp;"|"&amp;tblControles[[#This Row],[Turno]]</f>
        <v>46290|AGREGADO MEDIOS|BOLAS ALTO CROM|Cantidad</v>
      </c>
      <c r="C2281" s="871">
        <v>46290</v>
      </c>
      <c r="D2281" s="1100" t="s">
        <v>9451</v>
      </c>
      <c r="E2281" s="1100" t="s">
        <v>432</v>
      </c>
      <c r="F2281" s="1100" t="s">
        <v>9453</v>
      </c>
      <c r="G2281" s="1100">
        <v>4</v>
      </c>
      <c r="H2281" s="1100" t="s">
        <v>10345</v>
      </c>
      <c r="I2281" s="871">
        <v>46296.133080937499</v>
      </c>
      <c r="J2281" s="1100" t="s">
        <v>10346</v>
      </c>
      <c r="K2281" s="975" t="str">
        <f>IF(COUNTIFS(tblControles[Clave],tblControles[[#This Row],[Clave]])&gt;1,"Duplicado","")</f>
        <v/>
      </c>
    </row>
    <row r="2282" spans="2:11">
      <c r="B2282" s="975" t="str">
        <f>tblControles[[#This Row],[Fecha]]&amp;"|"&amp;tblControles[[#This Row],[Módulo]]&amp;"|"&amp;tblControles[[#This Row],[Ítem]]&amp;"|"&amp;tblControles[[#This Row],[Turno]]</f>
        <v>46290|AGREGADO MEDIOS|BOLAS BM10|Cantidad</v>
      </c>
      <c r="C2282" s="871">
        <v>46290</v>
      </c>
      <c r="D2282" s="1100" t="s">
        <v>9451</v>
      </c>
      <c r="E2282" s="1100" t="s">
        <v>431</v>
      </c>
      <c r="F2282" s="1100" t="s">
        <v>9453</v>
      </c>
      <c r="G2282" s="1100">
        <v>0</v>
      </c>
      <c r="H2282" s="1100" t="s">
        <v>10345</v>
      </c>
      <c r="I2282" s="871">
        <v>46296.133080937499</v>
      </c>
      <c r="J2282" s="1100" t="s">
        <v>10346</v>
      </c>
      <c r="K2282" s="975" t="str">
        <f>IF(COUNTIFS(tblControles[Clave],tblControles[[#This Row],[Clave]])&gt;1,"Duplicado","")</f>
        <v/>
      </c>
    </row>
    <row r="2283" spans="2:11">
      <c r="B2283" s="975" t="str">
        <f>tblControles[[#This Row],[Fecha]]&amp;"|"&amp;tblControles[[#This Row],[Módulo]]&amp;"|"&amp;tblControles[[#This Row],[Ítem]]&amp;"|"&amp;tblControles[[#This Row],[Turno]]</f>
        <v>46290|AGREGADO MEDIOS|BOLAS BM8|Cantidad</v>
      </c>
      <c r="C2283" s="871">
        <v>46290</v>
      </c>
      <c r="D2283" s="1100" t="s">
        <v>9451</v>
      </c>
      <c r="E2283" s="1100" t="s">
        <v>429</v>
      </c>
      <c r="F2283" s="1100" t="s">
        <v>9453</v>
      </c>
      <c r="G2283" s="1100">
        <v>0</v>
      </c>
      <c r="H2283" s="1100" t="s">
        <v>10345</v>
      </c>
      <c r="I2283" s="871">
        <v>46296.133080937499</v>
      </c>
      <c r="J2283" s="1100" t="s">
        <v>10346</v>
      </c>
      <c r="K2283" s="975" t="str">
        <f>IF(COUNTIFS(tblControles[Clave],tblControles[[#This Row],[Clave]])&gt;1,"Duplicado","")</f>
        <v/>
      </c>
    </row>
    <row r="2284" spans="2:11">
      <c r="B2284" s="975" t="str">
        <f>tblControles[[#This Row],[Fecha]]&amp;"|"&amp;tblControles[[#This Row],[Módulo]]&amp;"|"&amp;tblControles[[#This Row],[Ítem]]&amp;"|"&amp;tblControles[[#This Row],[Turno]]</f>
        <v>46290|AGREGADO MEDIOS|BOLAS BM9|Cantidad</v>
      </c>
      <c r="C2284" s="871">
        <v>46290</v>
      </c>
      <c r="D2284" s="1100" t="s">
        <v>9451</v>
      </c>
      <c r="E2284" s="1100" t="s">
        <v>430</v>
      </c>
      <c r="F2284" s="1100" t="s">
        <v>9453</v>
      </c>
      <c r="G2284" s="1100">
        <v>4</v>
      </c>
      <c r="H2284" s="1100" t="s">
        <v>10345</v>
      </c>
      <c r="I2284" s="871">
        <v>46296.133080937499</v>
      </c>
      <c r="J2284" s="1100" t="s">
        <v>10346</v>
      </c>
      <c r="K2284" s="975" t="str">
        <f>IF(COUNTIFS(tblControles[Clave],tblControles[[#This Row],[Clave]])&gt;1,"Duplicado","")</f>
        <v/>
      </c>
    </row>
    <row r="2285" spans="2:11">
      <c r="B2285" s="975" t="str">
        <f>tblControles[[#This Row],[Fecha]]&amp;"|"&amp;tblControles[[#This Row],[Módulo]]&amp;"|"&amp;tblControles[[#This Row],[Ítem]]&amp;"|"&amp;tblControles[[#This Row],[Turno]]</f>
        <v>46290|AGREGADO MEDIOS|CONOS 30X35|Cantidad</v>
      </c>
      <c r="C2285" s="871">
        <v>46290</v>
      </c>
      <c r="D2285" s="1100" t="s">
        <v>9451</v>
      </c>
      <c r="E2285" s="1100" t="s">
        <v>428</v>
      </c>
      <c r="F2285" s="1100" t="s">
        <v>9453</v>
      </c>
      <c r="G2285" s="1100">
        <v>8</v>
      </c>
      <c r="H2285" s="1100" t="s">
        <v>10345</v>
      </c>
      <c r="I2285" s="871">
        <v>46296.133080937499</v>
      </c>
      <c r="J2285" s="1100" t="s">
        <v>10346</v>
      </c>
      <c r="K2285" s="975" t="str">
        <f>IF(COUNTIFS(tblControles[Clave],tblControles[[#This Row],[Clave]])&gt;1,"Duplicado","")</f>
        <v/>
      </c>
    </row>
    <row r="2286" spans="2:11">
      <c r="B2286" s="975" t="str">
        <f>tblControles[[#This Row],[Fecha]]&amp;"|"&amp;tblControles[[#This Row],[Módulo]]&amp;"|"&amp;tblControles[[#This Row],[Ítem]]&amp;"|"&amp;tblControles[[#This Row],[Turno]]</f>
        <v>46290|AGREGADO MEDIOS|CONOS 30X35 BM5|Cantidad</v>
      </c>
      <c r="C2286" s="871">
        <v>46290</v>
      </c>
      <c r="D2286" s="1100" t="s">
        <v>9451</v>
      </c>
      <c r="E2286" s="1100" t="s">
        <v>424</v>
      </c>
      <c r="F2286" s="1100" t="s">
        <v>9453</v>
      </c>
      <c r="G2286" s="1100">
        <v>0</v>
      </c>
      <c r="H2286" s="1100" t="s">
        <v>10345</v>
      </c>
      <c r="I2286" s="871">
        <v>46296.133080937499</v>
      </c>
      <c r="J2286" s="1100" t="s">
        <v>10346</v>
      </c>
      <c r="K2286" s="975" t="str">
        <f>IF(COUNTIFS(tblControles[Clave],tblControles[[#This Row],[Clave]])&gt;1,"Duplicado","")</f>
        <v/>
      </c>
    </row>
    <row r="2287" spans="2:11">
      <c r="B2287" s="975" t="str">
        <f>tblControles[[#This Row],[Fecha]]&amp;"|"&amp;tblControles[[#This Row],[Módulo]]&amp;"|"&amp;tblControles[[#This Row],[Ítem]]&amp;"|"&amp;tblControles[[#This Row],[Turno]]</f>
        <v>46290|AGREGADO MEDIOS|CONOS 40X50|Cantidad</v>
      </c>
      <c r="C2287" s="871">
        <v>46290</v>
      </c>
      <c r="D2287" s="1100" t="s">
        <v>9451</v>
      </c>
      <c r="E2287" s="1100" t="s">
        <v>427</v>
      </c>
      <c r="F2287" s="1100" t="s">
        <v>9453</v>
      </c>
      <c r="G2287" s="1100">
        <v>4</v>
      </c>
      <c r="H2287" s="1100" t="s">
        <v>10345</v>
      </c>
      <c r="I2287" s="871">
        <v>46296.133080937499</v>
      </c>
      <c r="J2287" s="1100" t="s">
        <v>10346</v>
      </c>
      <c r="K2287" s="975" t="str">
        <f>IF(COUNTIFS(tblControles[Clave],tblControles[[#This Row],[Clave]])&gt;1,"Duplicado","")</f>
        <v/>
      </c>
    </row>
    <row r="2288" spans="2:11">
      <c r="B2288" s="975" t="str">
        <f>tblControles[[#This Row],[Fecha]]&amp;"|"&amp;tblControles[[#This Row],[Módulo]]&amp;"|"&amp;tblControles[[#This Row],[Ítem]]&amp;"|"&amp;tblControles[[#This Row],[Turno]]</f>
        <v>46290|AGREGADO MEDIOS|CONOS 40X50 BM1|Cantidad</v>
      </c>
      <c r="C2288" s="871">
        <v>46290</v>
      </c>
      <c r="D2288" s="1100" t="s">
        <v>9451</v>
      </c>
      <c r="E2288" s="1100" t="s">
        <v>420</v>
      </c>
      <c r="F2288" s="1100" t="s">
        <v>9453</v>
      </c>
      <c r="G2288" s="1100">
        <v>4</v>
      </c>
      <c r="H2288" s="1100" t="s">
        <v>10345</v>
      </c>
      <c r="I2288" s="871">
        <v>46296.133080937499</v>
      </c>
      <c r="J2288" s="1100" t="s">
        <v>10346</v>
      </c>
      <c r="K2288" s="975" t="str">
        <f>IF(COUNTIFS(tblControles[Clave],tblControles[[#This Row],[Clave]])&gt;1,"Duplicado","")</f>
        <v/>
      </c>
    </row>
    <row r="2289" spans="2:11">
      <c r="B2289" s="975" t="str">
        <f>tblControles[[#This Row],[Fecha]]&amp;"|"&amp;tblControles[[#This Row],[Módulo]]&amp;"|"&amp;tblControles[[#This Row],[Ítem]]&amp;"|"&amp;tblControles[[#This Row],[Turno]]</f>
        <v>46290|AGREGADO MEDIOS|CONOS 40X50 BM2|Cantidad</v>
      </c>
      <c r="C2289" s="871">
        <v>46290</v>
      </c>
      <c r="D2289" s="1100" t="s">
        <v>9451</v>
      </c>
      <c r="E2289" s="1100" t="s">
        <v>421</v>
      </c>
      <c r="F2289" s="1100" t="s">
        <v>9453</v>
      </c>
      <c r="G2289" s="1100">
        <v>0</v>
      </c>
      <c r="H2289" s="1100" t="s">
        <v>10345</v>
      </c>
      <c r="I2289" s="871">
        <v>46296.133080937499</v>
      </c>
      <c r="J2289" s="1100" t="s">
        <v>10346</v>
      </c>
      <c r="K2289" s="975" t="str">
        <f>IF(COUNTIFS(tblControles[Clave],tblControles[[#This Row],[Clave]])&gt;1,"Duplicado","")</f>
        <v/>
      </c>
    </row>
    <row r="2290" spans="2:11">
      <c r="B2290" s="975" t="str">
        <f>tblControles[[#This Row],[Fecha]]&amp;"|"&amp;tblControles[[#This Row],[Módulo]]&amp;"|"&amp;tblControles[[#This Row],[Ítem]]&amp;"|"&amp;tblControles[[#This Row],[Turno]]</f>
        <v>46290|AGREGADO MEDIOS|CONOS 40X50 BM3|Cantidad</v>
      </c>
      <c r="C2290" s="871">
        <v>46290</v>
      </c>
      <c r="D2290" s="1100" t="s">
        <v>9451</v>
      </c>
      <c r="E2290" s="1100" t="s">
        <v>422</v>
      </c>
      <c r="F2290" s="1100" t="s">
        <v>9453</v>
      </c>
      <c r="G2290" s="1100">
        <v>0</v>
      </c>
      <c r="H2290" s="1100" t="s">
        <v>10345</v>
      </c>
      <c r="I2290" s="871">
        <v>46296.133080937499</v>
      </c>
      <c r="J2290" s="1100" t="s">
        <v>10346</v>
      </c>
      <c r="K2290" s="975" t="str">
        <f>IF(COUNTIFS(tblControles[Clave],tblControles[[#This Row],[Clave]])&gt;1,"Duplicado","")</f>
        <v/>
      </c>
    </row>
    <row r="2291" spans="2:11">
      <c r="B2291" s="975" t="str">
        <f>tblControles[[#This Row],[Fecha]]&amp;"|"&amp;tblControles[[#This Row],[Módulo]]&amp;"|"&amp;tblControles[[#This Row],[Ítem]]&amp;"|"&amp;tblControles[[#This Row],[Turno]]</f>
        <v>46290|AGREGADO MEDIOS|CONOS 40X50 BM4|Cantidad</v>
      </c>
      <c r="C2291" s="871">
        <v>46290</v>
      </c>
      <c r="D2291" s="1100" t="s">
        <v>9451</v>
      </c>
      <c r="E2291" s="1100" t="s">
        <v>423</v>
      </c>
      <c r="F2291" s="1100" t="s">
        <v>9453</v>
      </c>
      <c r="G2291" s="1100">
        <v>0</v>
      </c>
      <c r="H2291" s="1100" t="s">
        <v>10345</v>
      </c>
      <c r="I2291" s="871">
        <v>46296.133080937499</v>
      </c>
      <c r="J2291" s="1100" t="s">
        <v>10346</v>
      </c>
      <c r="K2291" s="975" t="str">
        <f>IF(COUNTIFS(tblControles[Clave],tblControles[[#This Row],[Clave]])&gt;1,"Duplicado","")</f>
        <v/>
      </c>
    </row>
    <row r="2292" spans="2:11">
      <c r="B2292" s="975" t="str">
        <f>tblControles[[#This Row],[Fecha]]&amp;"|"&amp;tblControles[[#This Row],[Módulo]]&amp;"|"&amp;tblControles[[#This Row],[Ítem]]&amp;"|"&amp;tblControles[[#This Row],[Turno]]</f>
        <v>46290|AGREGADO MEDIOS|CONOS 40X50 BM6|Cantidad</v>
      </c>
      <c r="C2292" s="871">
        <v>46290</v>
      </c>
      <c r="D2292" s="1100" t="s">
        <v>9451</v>
      </c>
      <c r="E2292" s="1100" t="s">
        <v>425</v>
      </c>
      <c r="F2292" s="1100" t="s">
        <v>9453</v>
      </c>
      <c r="G2292" s="1100">
        <v>4</v>
      </c>
      <c r="H2292" s="1100" t="s">
        <v>10345</v>
      </c>
      <c r="I2292" s="871">
        <v>46296.133080937499</v>
      </c>
      <c r="J2292" s="1100" t="s">
        <v>10346</v>
      </c>
      <c r="K2292" s="975" t="str">
        <f>IF(COUNTIFS(tblControles[Clave],tblControles[[#This Row],[Clave]])&gt;1,"Duplicado","")</f>
        <v/>
      </c>
    </row>
    <row r="2293" spans="2:11">
      <c r="B2293" s="975" t="str">
        <f>tblControles[[#This Row],[Fecha]]&amp;"|"&amp;tblControles[[#This Row],[Módulo]]&amp;"|"&amp;tblControles[[#This Row],[Ítem]]&amp;"|"&amp;tblControles[[#This Row],[Turno]]</f>
        <v>46290|AGREGADO MEDIOS|CONOS 40X50 BM7|Cantidad</v>
      </c>
      <c r="C2293" s="871">
        <v>46290</v>
      </c>
      <c r="D2293" s="1100" t="s">
        <v>9451</v>
      </c>
      <c r="E2293" s="1100" t="s">
        <v>426</v>
      </c>
      <c r="F2293" s="1100" t="s">
        <v>9453</v>
      </c>
      <c r="G2293" s="1100">
        <v>4</v>
      </c>
      <c r="H2293" s="1100" t="s">
        <v>10345</v>
      </c>
      <c r="I2293" s="871">
        <v>46296.133080937499</v>
      </c>
      <c r="J2293" s="1100" t="s">
        <v>10346</v>
      </c>
      <c r="K2293" s="975" t="str">
        <f>IF(COUNTIFS(tblControles[Clave],tblControles[[#This Row],[Clave]])&gt;1,"Duplicado","")</f>
        <v/>
      </c>
    </row>
    <row r="2294" spans="2:11">
      <c r="B2294" s="975" t="str">
        <f>tblControles[[#This Row],[Fecha]]&amp;"|"&amp;tblControles[[#This Row],[Módulo]]&amp;"|"&amp;tblControles[[#This Row],[Ítem]]&amp;"|"&amp;tblControles[[#This Row],[Turno]]</f>
        <v>46291|AGREGADO MEDIOS|BARRAS 9 RM9|Cantidad</v>
      </c>
      <c r="C2294" s="871">
        <v>46291</v>
      </c>
      <c r="D2294" s="1100" t="s">
        <v>9451</v>
      </c>
      <c r="E2294" s="1100" t="s">
        <v>418</v>
      </c>
      <c r="F2294" s="1100" t="s">
        <v>9453</v>
      </c>
      <c r="G2294" s="1100">
        <v>0</v>
      </c>
      <c r="H2294" s="1100" t="s">
        <v>10345</v>
      </c>
      <c r="I2294" s="871">
        <v>46296.133080937499</v>
      </c>
      <c r="J2294" s="1100" t="s">
        <v>10346</v>
      </c>
      <c r="K2294" s="975" t="str">
        <f>IF(COUNTIFS(tblControles[Clave],tblControles[[#This Row],[Clave]])&gt;1,"Duplicado","")</f>
        <v/>
      </c>
    </row>
    <row r="2295" spans="2:11">
      <c r="B2295" s="975" t="str">
        <f>tblControles[[#This Row],[Fecha]]&amp;"|"&amp;tblControles[[#This Row],[Módulo]]&amp;"|"&amp;tblControles[[#This Row],[Ítem]]&amp;"|"&amp;tblControles[[#This Row],[Turno]]</f>
        <v>46291|AGREGADO MEDIOS|BARRAS RM1|Cantidad</v>
      </c>
      <c r="C2295" s="871">
        <v>46291</v>
      </c>
      <c r="D2295" s="1100" t="s">
        <v>9451</v>
      </c>
      <c r="E2295" s="1100" t="s">
        <v>410</v>
      </c>
      <c r="F2295" s="1100" t="s">
        <v>9453</v>
      </c>
      <c r="G2295" s="1100">
        <v>18</v>
      </c>
      <c r="H2295" s="1100" t="s">
        <v>10345</v>
      </c>
      <c r="I2295" s="871">
        <v>46296.133080937499</v>
      </c>
      <c r="J2295" s="1100" t="s">
        <v>10346</v>
      </c>
      <c r="K2295" s="975" t="str">
        <f>IF(COUNTIFS(tblControles[Clave],tblControles[[#This Row],[Clave]])&gt;1,"Duplicado","")</f>
        <v/>
      </c>
    </row>
    <row r="2296" spans="2:11">
      <c r="B2296" s="975" t="str">
        <f>tblControles[[#This Row],[Fecha]]&amp;"|"&amp;tblControles[[#This Row],[Módulo]]&amp;"|"&amp;tblControles[[#This Row],[Ítem]]&amp;"|"&amp;tblControles[[#This Row],[Turno]]</f>
        <v>46291|AGREGADO MEDIOS|BARRAS RM2|Cantidad</v>
      </c>
      <c r="C2296" s="871">
        <v>46291</v>
      </c>
      <c r="D2296" s="1100" t="s">
        <v>9451</v>
      </c>
      <c r="E2296" s="1100" t="s">
        <v>411</v>
      </c>
      <c r="F2296" s="1100" t="s">
        <v>9453</v>
      </c>
      <c r="G2296" s="1100">
        <v>15</v>
      </c>
      <c r="H2296" s="1100" t="s">
        <v>10345</v>
      </c>
      <c r="I2296" s="871">
        <v>46296.133080937499</v>
      </c>
      <c r="J2296" s="1100" t="s">
        <v>10346</v>
      </c>
      <c r="K2296" s="975" t="str">
        <f>IF(COUNTIFS(tblControles[Clave],tblControles[[#This Row],[Clave]])&gt;1,"Duplicado","")</f>
        <v/>
      </c>
    </row>
    <row r="2297" spans="2:11">
      <c r="B2297" s="975" t="str">
        <f>tblControles[[#This Row],[Fecha]]&amp;"|"&amp;tblControles[[#This Row],[Módulo]]&amp;"|"&amp;tblControles[[#This Row],[Ítem]]&amp;"|"&amp;tblControles[[#This Row],[Turno]]</f>
        <v>46291|AGREGADO MEDIOS|BARRAS RM3|Cantidad</v>
      </c>
      <c r="C2297" s="871">
        <v>46291</v>
      </c>
      <c r="D2297" s="1100" t="s">
        <v>9451</v>
      </c>
      <c r="E2297" s="1100" t="s">
        <v>412</v>
      </c>
      <c r="F2297" s="1100" t="s">
        <v>9453</v>
      </c>
      <c r="G2297" s="1100">
        <v>0</v>
      </c>
      <c r="H2297" s="1100" t="s">
        <v>10345</v>
      </c>
      <c r="I2297" s="871">
        <v>46296.133080937499</v>
      </c>
      <c r="J2297" s="1100" t="s">
        <v>10346</v>
      </c>
      <c r="K2297" s="975" t="str">
        <f>IF(COUNTIFS(tblControles[Clave],tblControles[[#This Row],[Clave]])&gt;1,"Duplicado","")</f>
        <v/>
      </c>
    </row>
    <row r="2298" spans="2:11">
      <c r="B2298" s="975" t="str">
        <f>tblControles[[#This Row],[Fecha]]&amp;"|"&amp;tblControles[[#This Row],[Módulo]]&amp;"|"&amp;tblControles[[#This Row],[Ítem]]&amp;"|"&amp;tblControles[[#This Row],[Turno]]</f>
        <v>46291|AGREGADO MEDIOS|BARRAS RM4|Cantidad</v>
      </c>
      <c r="C2298" s="871">
        <v>46291</v>
      </c>
      <c r="D2298" s="1100" t="s">
        <v>9451</v>
      </c>
      <c r="E2298" s="1100" t="s">
        <v>413</v>
      </c>
      <c r="F2298" s="1100" t="s">
        <v>9453</v>
      </c>
      <c r="G2298" s="1100">
        <v>0</v>
      </c>
      <c r="H2298" s="1100" t="s">
        <v>10345</v>
      </c>
      <c r="I2298" s="871">
        <v>46296.133080937499</v>
      </c>
      <c r="J2298" s="1100" t="s">
        <v>10346</v>
      </c>
      <c r="K2298" s="975" t="str">
        <f>IF(COUNTIFS(tblControles[Clave],tblControles[[#This Row],[Clave]])&gt;1,"Duplicado","")</f>
        <v/>
      </c>
    </row>
    <row r="2299" spans="2:11">
      <c r="B2299" s="975" t="str">
        <f>tblControles[[#This Row],[Fecha]]&amp;"|"&amp;tblControles[[#This Row],[Módulo]]&amp;"|"&amp;tblControles[[#This Row],[Ítem]]&amp;"|"&amp;tblControles[[#This Row],[Turno]]</f>
        <v>46291|AGREGADO MEDIOS|BARRAS RM5|Cantidad</v>
      </c>
      <c r="C2299" s="871">
        <v>46291</v>
      </c>
      <c r="D2299" s="1100" t="s">
        <v>9451</v>
      </c>
      <c r="E2299" s="1100" t="s">
        <v>414</v>
      </c>
      <c r="F2299" s="1100" t="s">
        <v>9453</v>
      </c>
      <c r="G2299" s="1100">
        <v>0</v>
      </c>
      <c r="H2299" s="1100" t="s">
        <v>10345</v>
      </c>
      <c r="I2299" s="871">
        <v>46296.133080937499</v>
      </c>
      <c r="J2299" s="1100" t="s">
        <v>10346</v>
      </c>
      <c r="K2299" s="975" t="str">
        <f>IF(COUNTIFS(tblControles[Clave],tblControles[[#This Row],[Clave]])&gt;1,"Duplicado","")</f>
        <v/>
      </c>
    </row>
    <row r="2300" spans="2:11">
      <c r="B2300" s="975" t="str">
        <f>tblControles[[#This Row],[Fecha]]&amp;"|"&amp;tblControles[[#This Row],[Módulo]]&amp;"|"&amp;tblControles[[#This Row],[Ítem]]&amp;"|"&amp;tblControles[[#This Row],[Turno]]</f>
        <v>46291|AGREGADO MEDIOS|BARRAS RM6|Cantidad</v>
      </c>
      <c r="C2300" s="871">
        <v>46291</v>
      </c>
      <c r="D2300" s="1100" t="s">
        <v>9451</v>
      </c>
      <c r="E2300" s="1100" t="s">
        <v>415</v>
      </c>
      <c r="F2300" s="1100" t="s">
        <v>9453</v>
      </c>
      <c r="G2300" s="1100">
        <v>0</v>
      </c>
      <c r="H2300" s="1100" t="s">
        <v>10345</v>
      </c>
      <c r="I2300" s="871">
        <v>46296.133080937499</v>
      </c>
      <c r="J2300" s="1100" t="s">
        <v>10346</v>
      </c>
      <c r="K2300" s="975" t="str">
        <f>IF(COUNTIFS(tblControles[Clave],tblControles[[#This Row],[Clave]])&gt;1,"Duplicado","")</f>
        <v/>
      </c>
    </row>
    <row r="2301" spans="2:11">
      <c r="B2301" s="975" t="str">
        <f>tblControles[[#This Row],[Fecha]]&amp;"|"&amp;tblControles[[#This Row],[Módulo]]&amp;"|"&amp;tblControles[[#This Row],[Ítem]]&amp;"|"&amp;tblControles[[#This Row],[Turno]]</f>
        <v>46291|AGREGADO MEDIOS|BARRAS RM7|Cantidad</v>
      </c>
      <c r="C2301" s="871">
        <v>46291</v>
      </c>
      <c r="D2301" s="1100" t="s">
        <v>9451</v>
      </c>
      <c r="E2301" s="1100" t="s">
        <v>416</v>
      </c>
      <c r="F2301" s="1100" t="s">
        <v>9453</v>
      </c>
      <c r="G2301" s="1100">
        <v>0</v>
      </c>
      <c r="H2301" s="1100" t="s">
        <v>10345</v>
      </c>
      <c r="I2301" s="871">
        <v>46296.133080937499</v>
      </c>
      <c r="J2301" s="1100" t="s">
        <v>10346</v>
      </c>
      <c r="K2301" s="975" t="str">
        <f>IF(COUNTIFS(tblControles[Clave],tblControles[[#This Row],[Clave]])&gt;1,"Duplicado","")</f>
        <v/>
      </c>
    </row>
    <row r="2302" spans="2:11">
      <c r="B2302" s="975" t="str">
        <f>tblControles[[#This Row],[Fecha]]&amp;"|"&amp;tblControles[[#This Row],[Módulo]]&amp;"|"&amp;tblControles[[#This Row],[Ítem]]&amp;"|"&amp;tblControles[[#This Row],[Turno]]</f>
        <v>46291|AGREGADO MEDIOS|BARRAS RM8|Cantidad</v>
      </c>
      <c r="C2302" s="871">
        <v>46291</v>
      </c>
      <c r="D2302" s="1100" t="s">
        <v>9451</v>
      </c>
      <c r="E2302" s="1100" t="s">
        <v>417</v>
      </c>
      <c r="F2302" s="1100" t="s">
        <v>9453</v>
      </c>
      <c r="G2302" s="1100">
        <v>0</v>
      </c>
      <c r="H2302" s="1100" t="s">
        <v>10345</v>
      </c>
      <c r="I2302" s="871">
        <v>46296.133080937499</v>
      </c>
      <c r="J2302" s="1100" t="s">
        <v>10346</v>
      </c>
      <c r="K2302" s="975" t="str">
        <f>IF(COUNTIFS(tblControles[Clave],tblControles[[#This Row],[Clave]])&gt;1,"Duplicado","")</f>
        <v/>
      </c>
    </row>
    <row r="2303" spans="2:11">
      <c r="B2303" s="975" t="str">
        <f>tblControles[[#This Row],[Fecha]]&amp;"|"&amp;tblControles[[#This Row],[Módulo]]&amp;"|"&amp;tblControles[[#This Row],[Ítem]]&amp;"|"&amp;tblControles[[#This Row],[Turno]]</f>
        <v>46291|AGREGADO MEDIOS|BOLAS ALTO CROM|Cantidad</v>
      </c>
      <c r="C2303" s="871">
        <v>46291</v>
      </c>
      <c r="D2303" s="1100" t="s">
        <v>9451</v>
      </c>
      <c r="E2303" s="1100" t="s">
        <v>432</v>
      </c>
      <c r="F2303" s="1100" t="s">
        <v>9453</v>
      </c>
      <c r="G2303" s="1100">
        <v>12</v>
      </c>
      <c r="H2303" s="1100" t="s">
        <v>10345</v>
      </c>
      <c r="I2303" s="871">
        <v>46296.133080937499</v>
      </c>
      <c r="J2303" s="1100" t="s">
        <v>10346</v>
      </c>
      <c r="K2303" s="975" t="str">
        <f>IF(COUNTIFS(tblControles[Clave],tblControles[[#This Row],[Clave]])&gt;1,"Duplicado","")</f>
        <v/>
      </c>
    </row>
    <row r="2304" spans="2:11">
      <c r="B2304" s="975" t="str">
        <f>tblControles[[#This Row],[Fecha]]&amp;"|"&amp;tblControles[[#This Row],[Módulo]]&amp;"|"&amp;tblControles[[#This Row],[Ítem]]&amp;"|"&amp;tblControles[[#This Row],[Turno]]</f>
        <v>46291|AGREGADO MEDIOS|BOLAS BM10|Cantidad</v>
      </c>
      <c r="C2304" s="871">
        <v>46291</v>
      </c>
      <c r="D2304" s="1100" t="s">
        <v>9451</v>
      </c>
      <c r="E2304" s="1100" t="s">
        <v>431</v>
      </c>
      <c r="F2304" s="1100" t="s">
        <v>9453</v>
      </c>
      <c r="G2304" s="1100">
        <v>6</v>
      </c>
      <c r="H2304" s="1100" t="s">
        <v>10345</v>
      </c>
      <c r="I2304" s="871">
        <v>46296.133080937499</v>
      </c>
      <c r="J2304" s="1100" t="s">
        <v>10346</v>
      </c>
      <c r="K2304" s="975" t="str">
        <f>IF(COUNTIFS(tblControles[Clave],tblControles[[#This Row],[Clave]])&gt;1,"Duplicado","")</f>
        <v/>
      </c>
    </row>
    <row r="2305" spans="2:11">
      <c r="B2305" s="975" t="str">
        <f>tblControles[[#This Row],[Fecha]]&amp;"|"&amp;tblControles[[#This Row],[Módulo]]&amp;"|"&amp;tblControles[[#This Row],[Ítem]]&amp;"|"&amp;tblControles[[#This Row],[Turno]]</f>
        <v>46291|AGREGADO MEDIOS|BOLAS BM8|Cantidad</v>
      </c>
      <c r="C2305" s="871">
        <v>46291</v>
      </c>
      <c r="D2305" s="1100" t="s">
        <v>9451</v>
      </c>
      <c r="E2305" s="1100" t="s">
        <v>429</v>
      </c>
      <c r="F2305" s="1100" t="s">
        <v>9453</v>
      </c>
      <c r="G2305" s="1100">
        <v>2</v>
      </c>
      <c r="H2305" s="1100" t="s">
        <v>10345</v>
      </c>
      <c r="I2305" s="871">
        <v>46296.133080937499</v>
      </c>
      <c r="J2305" s="1100" t="s">
        <v>10346</v>
      </c>
      <c r="K2305" s="975" t="str">
        <f>IF(COUNTIFS(tblControles[Clave],tblControles[[#This Row],[Clave]])&gt;1,"Duplicado","")</f>
        <v/>
      </c>
    </row>
    <row r="2306" spans="2:11">
      <c r="B2306" s="975" t="str">
        <f>tblControles[[#This Row],[Fecha]]&amp;"|"&amp;tblControles[[#This Row],[Módulo]]&amp;"|"&amp;tblControles[[#This Row],[Ítem]]&amp;"|"&amp;tblControles[[#This Row],[Turno]]</f>
        <v>46291|AGREGADO MEDIOS|BOLAS BM9|Cantidad</v>
      </c>
      <c r="C2306" s="871">
        <v>46291</v>
      </c>
      <c r="D2306" s="1100" t="s">
        <v>9451</v>
      </c>
      <c r="E2306" s="1100" t="s">
        <v>430</v>
      </c>
      <c r="F2306" s="1100" t="s">
        <v>9453</v>
      </c>
      <c r="G2306" s="1100">
        <v>4</v>
      </c>
      <c r="H2306" s="1100" t="s">
        <v>10345</v>
      </c>
      <c r="I2306" s="871">
        <v>46296.133080937499</v>
      </c>
      <c r="J2306" s="1100" t="s">
        <v>10346</v>
      </c>
      <c r="K2306" s="975" t="str">
        <f>IF(COUNTIFS(tblControles[Clave],tblControles[[#This Row],[Clave]])&gt;1,"Duplicado","")</f>
        <v/>
      </c>
    </row>
    <row r="2307" spans="2:11">
      <c r="B2307" s="975" t="str">
        <f>tblControles[[#This Row],[Fecha]]&amp;"|"&amp;tblControles[[#This Row],[Módulo]]&amp;"|"&amp;tblControles[[#This Row],[Ítem]]&amp;"|"&amp;tblControles[[#This Row],[Turno]]</f>
        <v>46291|AGREGADO MEDIOS|CONOS 30X35|Cantidad</v>
      </c>
      <c r="C2307" s="871">
        <v>46291</v>
      </c>
      <c r="D2307" s="1100" t="s">
        <v>9451</v>
      </c>
      <c r="E2307" s="1100" t="s">
        <v>428</v>
      </c>
      <c r="F2307" s="1100" t="s">
        <v>9453</v>
      </c>
      <c r="G2307" s="1100">
        <v>16</v>
      </c>
      <c r="H2307" s="1100" t="s">
        <v>10345</v>
      </c>
      <c r="I2307" s="871">
        <v>46296.133080937499</v>
      </c>
      <c r="J2307" s="1100" t="s">
        <v>10346</v>
      </c>
      <c r="K2307" s="975" t="str">
        <f>IF(COUNTIFS(tblControles[Clave],tblControles[[#This Row],[Clave]])&gt;1,"Duplicado","")</f>
        <v/>
      </c>
    </row>
    <row r="2308" spans="2:11">
      <c r="B2308" s="975" t="str">
        <f>tblControles[[#This Row],[Fecha]]&amp;"|"&amp;tblControles[[#This Row],[Módulo]]&amp;"|"&amp;tblControles[[#This Row],[Ítem]]&amp;"|"&amp;tblControles[[#This Row],[Turno]]</f>
        <v>46291|AGREGADO MEDIOS|CONOS 30X35 BM5|Cantidad</v>
      </c>
      <c r="C2308" s="871">
        <v>46291</v>
      </c>
      <c r="D2308" s="1100" t="s">
        <v>9451</v>
      </c>
      <c r="E2308" s="1100" t="s">
        <v>424</v>
      </c>
      <c r="F2308" s="1100" t="s">
        <v>9453</v>
      </c>
      <c r="G2308" s="1100">
        <v>0</v>
      </c>
      <c r="H2308" s="1100" t="s">
        <v>10345</v>
      </c>
      <c r="I2308" s="871">
        <v>46296.133080937499</v>
      </c>
      <c r="J2308" s="1100" t="s">
        <v>10346</v>
      </c>
      <c r="K2308" s="975" t="str">
        <f>IF(COUNTIFS(tblControles[Clave],tblControles[[#This Row],[Clave]])&gt;1,"Duplicado","")</f>
        <v/>
      </c>
    </row>
    <row r="2309" spans="2:11">
      <c r="B2309" s="975" t="str">
        <f>tblControles[[#This Row],[Fecha]]&amp;"|"&amp;tblControles[[#This Row],[Módulo]]&amp;"|"&amp;tblControles[[#This Row],[Ítem]]&amp;"|"&amp;tblControles[[#This Row],[Turno]]</f>
        <v>46291|AGREGADO MEDIOS|CONOS 40X50|Cantidad</v>
      </c>
      <c r="C2309" s="871">
        <v>46291</v>
      </c>
      <c r="D2309" s="1100" t="s">
        <v>9451</v>
      </c>
      <c r="E2309" s="1100" t="s">
        <v>427</v>
      </c>
      <c r="F2309" s="1100" t="s">
        <v>9453</v>
      </c>
      <c r="G2309" s="1100">
        <v>2</v>
      </c>
      <c r="H2309" s="1100" t="s">
        <v>10345</v>
      </c>
      <c r="I2309" s="871">
        <v>46296.133080937499</v>
      </c>
      <c r="J2309" s="1100" t="s">
        <v>10346</v>
      </c>
      <c r="K2309" s="975" t="str">
        <f>IF(COUNTIFS(tblControles[Clave],tblControles[[#This Row],[Clave]])&gt;1,"Duplicado","")</f>
        <v/>
      </c>
    </row>
    <row r="2310" spans="2:11">
      <c r="B2310" s="975" t="str">
        <f>tblControles[[#This Row],[Fecha]]&amp;"|"&amp;tblControles[[#This Row],[Módulo]]&amp;"|"&amp;tblControles[[#This Row],[Ítem]]&amp;"|"&amp;tblControles[[#This Row],[Turno]]</f>
        <v>46291|AGREGADO MEDIOS|CONOS 40X50 BM1|Cantidad</v>
      </c>
      <c r="C2310" s="871">
        <v>46291</v>
      </c>
      <c r="D2310" s="1100" t="s">
        <v>9451</v>
      </c>
      <c r="E2310" s="1100" t="s">
        <v>420</v>
      </c>
      <c r="F2310" s="1100" t="s">
        <v>9453</v>
      </c>
      <c r="G2310" s="1100">
        <v>2</v>
      </c>
      <c r="H2310" s="1100" t="s">
        <v>10345</v>
      </c>
      <c r="I2310" s="871">
        <v>46296.133080937499</v>
      </c>
      <c r="J2310" s="1100" t="s">
        <v>10346</v>
      </c>
      <c r="K2310" s="975" t="str">
        <f>IF(COUNTIFS(tblControles[Clave],tblControles[[#This Row],[Clave]])&gt;1,"Duplicado","")</f>
        <v/>
      </c>
    </row>
    <row r="2311" spans="2:11">
      <c r="B2311" s="975" t="str">
        <f>tblControles[[#This Row],[Fecha]]&amp;"|"&amp;tblControles[[#This Row],[Módulo]]&amp;"|"&amp;tblControles[[#This Row],[Ítem]]&amp;"|"&amp;tblControles[[#This Row],[Turno]]</f>
        <v>46291|AGREGADO MEDIOS|CONOS 40X50 BM2|Cantidad</v>
      </c>
      <c r="C2311" s="871">
        <v>46291</v>
      </c>
      <c r="D2311" s="1100" t="s">
        <v>9451</v>
      </c>
      <c r="E2311" s="1100" t="s">
        <v>421</v>
      </c>
      <c r="F2311" s="1100" t="s">
        <v>9453</v>
      </c>
      <c r="G2311" s="1100">
        <v>0</v>
      </c>
      <c r="H2311" s="1100" t="s">
        <v>10345</v>
      </c>
      <c r="I2311" s="871">
        <v>46296.133080937499</v>
      </c>
      <c r="J2311" s="1100" t="s">
        <v>10346</v>
      </c>
      <c r="K2311" s="975" t="str">
        <f>IF(COUNTIFS(tblControles[Clave],tblControles[[#This Row],[Clave]])&gt;1,"Duplicado","")</f>
        <v/>
      </c>
    </row>
    <row r="2312" spans="2:11">
      <c r="B2312" s="975" t="str">
        <f>tblControles[[#This Row],[Fecha]]&amp;"|"&amp;tblControles[[#This Row],[Módulo]]&amp;"|"&amp;tblControles[[#This Row],[Ítem]]&amp;"|"&amp;tblControles[[#This Row],[Turno]]</f>
        <v>46291|AGREGADO MEDIOS|CONOS 40X50 BM3|Cantidad</v>
      </c>
      <c r="C2312" s="871">
        <v>46291</v>
      </c>
      <c r="D2312" s="1100" t="s">
        <v>9451</v>
      </c>
      <c r="E2312" s="1100" t="s">
        <v>422</v>
      </c>
      <c r="F2312" s="1100" t="s">
        <v>9453</v>
      </c>
      <c r="G2312" s="1100">
        <v>0</v>
      </c>
      <c r="H2312" s="1100" t="s">
        <v>10345</v>
      </c>
      <c r="I2312" s="871">
        <v>46296.133080937499</v>
      </c>
      <c r="J2312" s="1100" t="s">
        <v>10346</v>
      </c>
      <c r="K2312" s="975" t="str">
        <f>IF(COUNTIFS(tblControles[Clave],tblControles[[#This Row],[Clave]])&gt;1,"Duplicado","")</f>
        <v/>
      </c>
    </row>
    <row r="2313" spans="2:11">
      <c r="B2313" s="975" t="str">
        <f>tblControles[[#This Row],[Fecha]]&amp;"|"&amp;tblControles[[#This Row],[Módulo]]&amp;"|"&amp;tblControles[[#This Row],[Ítem]]&amp;"|"&amp;tblControles[[#This Row],[Turno]]</f>
        <v>46291|AGREGADO MEDIOS|CONOS 40X50 BM4|Cantidad</v>
      </c>
      <c r="C2313" s="871">
        <v>46291</v>
      </c>
      <c r="D2313" s="1100" t="s">
        <v>9451</v>
      </c>
      <c r="E2313" s="1100" t="s">
        <v>423</v>
      </c>
      <c r="F2313" s="1100" t="s">
        <v>9453</v>
      </c>
      <c r="G2313" s="1100">
        <v>4</v>
      </c>
      <c r="H2313" s="1100" t="s">
        <v>10345</v>
      </c>
      <c r="I2313" s="871">
        <v>46296.133080937499</v>
      </c>
      <c r="J2313" s="1100" t="s">
        <v>10346</v>
      </c>
      <c r="K2313" s="975" t="str">
        <f>IF(COUNTIFS(tblControles[Clave],tblControles[[#This Row],[Clave]])&gt;1,"Duplicado","")</f>
        <v/>
      </c>
    </row>
    <row r="2314" spans="2:11">
      <c r="B2314" s="975" t="str">
        <f>tblControles[[#This Row],[Fecha]]&amp;"|"&amp;tblControles[[#This Row],[Módulo]]&amp;"|"&amp;tblControles[[#This Row],[Ítem]]&amp;"|"&amp;tblControles[[#This Row],[Turno]]</f>
        <v>46291|AGREGADO MEDIOS|CONOS 40X50 BM6|Cantidad</v>
      </c>
      <c r="C2314" s="871">
        <v>46291</v>
      </c>
      <c r="D2314" s="1100" t="s">
        <v>9451</v>
      </c>
      <c r="E2314" s="1100" t="s">
        <v>425</v>
      </c>
      <c r="F2314" s="1100" t="s">
        <v>9453</v>
      </c>
      <c r="G2314" s="1100">
        <v>6</v>
      </c>
      <c r="H2314" s="1100" t="s">
        <v>10345</v>
      </c>
      <c r="I2314" s="871">
        <v>46296.133080937499</v>
      </c>
      <c r="J2314" s="1100" t="s">
        <v>10346</v>
      </c>
      <c r="K2314" s="975" t="str">
        <f>IF(COUNTIFS(tblControles[Clave],tblControles[[#This Row],[Clave]])&gt;1,"Duplicado","")</f>
        <v/>
      </c>
    </row>
    <row r="2315" spans="2:11">
      <c r="B2315" s="975" t="str">
        <f>tblControles[[#This Row],[Fecha]]&amp;"|"&amp;tblControles[[#This Row],[Módulo]]&amp;"|"&amp;tblControles[[#This Row],[Ítem]]&amp;"|"&amp;tblControles[[#This Row],[Turno]]</f>
        <v>46291|AGREGADO MEDIOS|CONOS 40X50 BM7|Cantidad</v>
      </c>
      <c r="C2315" s="871">
        <v>46291</v>
      </c>
      <c r="D2315" s="1100" t="s">
        <v>9451</v>
      </c>
      <c r="E2315" s="1100" t="s">
        <v>426</v>
      </c>
      <c r="F2315" s="1100" t="s">
        <v>9453</v>
      </c>
      <c r="G2315" s="1100">
        <v>6</v>
      </c>
      <c r="H2315" s="1100" t="s">
        <v>10345</v>
      </c>
      <c r="I2315" s="871">
        <v>46296.133080937499</v>
      </c>
      <c r="J2315" s="1100" t="s">
        <v>10346</v>
      </c>
      <c r="K2315" s="975" t="str">
        <f>IF(COUNTIFS(tblControles[Clave],tblControles[[#This Row],[Clave]])&gt;1,"Duplicado","")</f>
        <v/>
      </c>
    </row>
    <row r="2316" spans="2:11">
      <c r="B2316" s="975" t="str">
        <f>tblControles[[#This Row],[Fecha]]&amp;"|"&amp;tblControles[[#This Row],[Módulo]]&amp;"|"&amp;tblControles[[#This Row],[Ítem]]&amp;"|"&amp;tblControles[[#This Row],[Turno]]</f>
        <v>46292|AGREGADO MEDIOS|BARRAS 9 RM9|Cantidad</v>
      </c>
      <c r="C2316" s="871">
        <v>46292</v>
      </c>
      <c r="D2316" s="1100" t="s">
        <v>9451</v>
      </c>
      <c r="E2316" s="1100" t="s">
        <v>418</v>
      </c>
      <c r="F2316" s="1100" t="s">
        <v>9453</v>
      </c>
      <c r="G2316" s="1100">
        <v>0</v>
      </c>
      <c r="H2316" s="1100" t="s">
        <v>10345</v>
      </c>
      <c r="I2316" s="871">
        <v>46296.133080937499</v>
      </c>
      <c r="J2316" s="1100" t="s">
        <v>10346</v>
      </c>
      <c r="K2316" s="975" t="str">
        <f>IF(COUNTIFS(tblControles[Clave],tblControles[[#This Row],[Clave]])&gt;1,"Duplicado","")</f>
        <v/>
      </c>
    </row>
    <row r="2317" spans="2:11">
      <c r="B2317" s="975" t="str">
        <f>tblControles[[#This Row],[Fecha]]&amp;"|"&amp;tblControles[[#This Row],[Módulo]]&amp;"|"&amp;tblControles[[#This Row],[Ítem]]&amp;"|"&amp;tblControles[[#This Row],[Turno]]</f>
        <v>46292|AGREGADO MEDIOS|BARRAS RM1|Cantidad</v>
      </c>
      <c r="C2317" s="871">
        <v>46292</v>
      </c>
      <c r="D2317" s="1100" t="s">
        <v>9451</v>
      </c>
      <c r="E2317" s="1100" t="s">
        <v>410</v>
      </c>
      <c r="F2317" s="1100" t="s">
        <v>9453</v>
      </c>
      <c r="G2317" s="1100">
        <v>0</v>
      </c>
      <c r="H2317" s="1100" t="s">
        <v>10345</v>
      </c>
      <c r="I2317" s="871">
        <v>46296.133080937499</v>
      </c>
      <c r="J2317" s="1100" t="s">
        <v>10346</v>
      </c>
      <c r="K2317" s="975" t="str">
        <f>IF(COUNTIFS(tblControles[Clave],tblControles[[#This Row],[Clave]])&gt;1,"Duplicado","")</f>
        <v/>
      </c>
    </row>
    <row r="2318" spans="2:11">
      <c r="B2318" s="975" t="str">
        <f>tblControles[[#This Row],[Fecha]]&amp;"|"&amp;tblControles[[#This Row],[Módulo]]&amp;"|"&amp;tblControles[[#This Row],[Ítem]]&amp;"|"&amp;tblControles[[#This Row],[Turno]]</f>
        <v>46292|AGREGADO MEDIOS|BARRAS RM2|Cantidad</v>
      </c>
      <c r="C2318" s="871">
        <v>46292</v>
      </c>
      <c r="D2318" s="1100" t="s">
        <v>9451</v>
      </c>
      <c r="E2318" s="1100" t="s">
        <v>411</v>
      </c>
      <c r="F2318" s="1100" t="s">
        <v>9453</v>
      </c>
      <c r="G2318" s="1100">
        <v>0</v>
      </c>
      <c r="H2318" s="1100" t="s">
        <v>10345</v>
      </c>
      <c r="I2318" s="871">
        <v>46296.133080937499</v>
      </c>
      <c r="J2318" s="1100" t="s">
        <v>10346</v>
      </c>
      <c r="K2318" s="975" t="str">
        <f>IF(COUNTIFS(tblControles[Clave],tblControles[[#This Row],[Clave]])&gt;1,"Duplicado","")</f>
        <v/>
      </c>
    </row>
    <row r="2319" spans="2:11">
      <c r="B2319" s="975" t="str">
        <f>tblControles[[#This Row],[Fecha]]&amp;"|"&amp;tblControles[[#This Row],[Módulo]]&amp;"|"&amp;tblControles[[#This Row],[Ítem]]&amp;"|"&amp;tblControles[[#This Row],[Turno]]</f>
        <v>46292|AGREGADO MEDIOS|BARRAS RM3|Cantidad</v>
      </c>
      <c r="C2319" s="871">
        <v>46292</v>
      </c>
      <c r="D2319" s="1100" t="s">
        <v>9451</v>
      </c>
      <c r="E2319" s="1100" t="s">
        <v>412</v>
      </c>
      <c r="F2319" s="1100" t="s">
        <v>9453</v>
      </c>
      <c r="G2319" s="1100">
        <v>0</v>
      </c>
      <c r="H2319" s="1100" t="s">
        <v>10345</v>
      </c>
      <c r="I2319" s="871">
        <v>46296.133080937499</v>
      </c>
      <c r="J2319" s="1100" t="s">
        <v>10346</v>
      </c>
      <c r="K2319" s="975" t="str">
        <f>IF(COUNTIFS(tblControles[Clave],tblControles[[#This Row],[Clave]])&gt;1,"Duplicado","")</f>
        <v/>
      </c>
    </row>
    <row r="2320" spans="2:11">
      <c r="B2320" s="975" t="str">
        <f>tblControles[[#This Row],[Fecha]]&amp;"|"&amp;tblControles[[#This Row],[Módulo]]&amp;"|"&amp;tblControles[[#This Row],[Ítem]]&amp;"|"&amp;tblControles[[#This Row],[Turno]]</f>
        <v>46292|AGREGADO MEDIOS|BARRAS RM4|Cantidad</v>
      </c>
      <c r="C2320" s="871">
        <v>46292</v>
      </c>
      <c r="D2320" s="1100" t="s">
        <v>9451</v>
      </c>
      <c r="E2320" s="1100" t="s">
        <v>413</v>
      </c>
      <c r="F2320" s="1100" t="s">
        <v>9453</v>
      </c>
      <c r="G2320" s="1100">
        <v>0</v>
      </c>
      <c r="H2320" s="1100" t="s">
        <v>10345</v>
      </c>
      <c r="I2320" s="871">
        <v>46296.133080937499</v>
      </c>
      <c r="J2320" s="1100" t="s">
        <v>10346</v>
      </c>
      <c r="K2320" s="975" t="str">
        <f>IF(COUNTIFS(tblControles[Clave],tblControles[[#This Row],[Clave]])&gt;1,"Duplicado","")</f>
        <v/>
      </c>
    </row>
    <row r="2321" spans="2:11">
      <c r="B2321" s="975" t="str">
        <f>tblControles[[#This Row],[Fecha]]&amp;"|"&amp;tblControles[[#This Row],[Módulo]]&amp;"|"&amp;tblControles[[#This Row],[Ítem]]&amp;"|"&amp;tblControles[[#This Row],[Turno]]</f>
        <v>46292|AGREGADO MEDIOS|BARRAS RM5|Cantidad</v>
      </c>
      <c r="C2321" s="871">
        <v>46292</v>
      </c>
      <c r="D2321" s="1100" t="s">
        <v>9451</v>
      </c>
      <c r="E2321" s="1100" t="s">
        <v>414</v>
      </c>
      <c r="F2321" s="1100" t="s">
        <v>9453</v>
      </c>
      <c r="G2321" s="1100">
        <v>0</v>
      </c>
      <c r="H2321" s="1100" t="s">
        <v>10345</v>
      </c>
      <c r="I2321" s="871">
        <v>46296.133080937499</v>
      </c>
      <c r="J2321" s="1100" t="s">
        <v>10346</v>
      </c>
      <c r="K2321" s="975" t="str">
        <f>IF(COUNTIFS(tblControles[Clave],tblControles[[#This Row],[Clave]])&gt;1,"Duplicado","")</f>
        <v/>
      </c>
    </row>
    <row r="2322" spans="2:11">
      <c r="B2322" s="975" t="str">
        <f>tblControles[[#This Row],[Fecha]]&amp;"|"&amp;tblControles[[#This Row],[Módulo]]&amp;"|"&amp;tblControles[[#This Row],[Ítem]]&amp;"|"&amp;tblControles[[#This Row],[Turno]]</f>
        <v>46292|AGREGADO MEDIOS|BARRAS RM6|Cantidad</v>
      </c>
      <c r="C2322" s="871">
        <v>46292</v>
      </c>
      <c r="D2322" s="1100" t="s">
        <v>9451</v>
      </c>
      <c r="E2322" s="1100" t="s">
        <v>415</v>
      </c>
      <c r="F2322" s="1100" t="s">
        <v>9453</v>
      </c>
      <c r="G2322" s="1100">
        <v>0</v>
      </c>
      <c r="H2322" s="1100" t="s">
        <v>10345</v>
      </c>
      <c r="I2322" s="871">
        <v>46296.133080937499</v>
      </c>
      <c r="J2322" s="1100" t="s">
        <v>10346</v>
      </c>
      <c r="K2322" s="975" t="str">
        <f>IF(COUNTIFS(tblControles[Clave],tblControles[[#This Row],[Clave]])&gt;1,"Duplicado","")</f>
        <v/>
      </c>
    </row>
    <row r="2323" spans="2:11">
      <c r="B2323" s="975" t="str">
        <f>tblControles[[#This Row],[Fecha]]&amp;"|"&amp;tblControles[[#This Row],[Módulo]]&amp;"|"&amp;tblControles[[#This Row],[Ítem]]&amp;"|"&amp;tblControles[[#This Row],[Turno]]</f>
        <v>46292|AGREGADO MEDIOS|BARRAS RM7|Cantidad</v>
      </c>
      <c r="C2323" s="871">
        <v>46292</v>
      </c>
      <c r="D2323" s="1100" t="s">
        <v>9451</v>
      </c>
      <c r="E2323" s="1100" t="s">
        <v>416</v>
      </c>
      <c r="F2323" s="1100" t="s">
        <v>9453</v>
      </c>
      <c r="G2323" s="1100">
        <v>0</v>
      </c>
      <c r="H2323" s="1100" t="s">
        <v>10345</v>
      </c>
      <c r="I2323" s="871">
        <v>46296.133080937499</v>
      </c>
      <c r="J2323" s="1100" t="s">
        <v>10346</v>
      </c>
      <c r="K2323" s="975" t="str">
        <f>IF(COUNTIFS(tblControles[Clave],tblControles[[#This Row],[Clave]])&gt;1,"Duplicado","")</f>
        <v/>
      </c>
    </row>
    <row r="2324" spans="2:11">
      <c r="B2324" s="975" t="str">
        <f>tblControles[[#This Row],[Fecha]]&amp;"|"&amp;tblControles[[#This Row],[Módulo]]&amp;"|"&amp;tblControles[[#This Row],[Ítem]]&amp;"|"&amp;tblControles[[#This Row],[Turno]]</f>
        <v>46292|AGREGADO MEDIOS|BARRAS RM8|Cantidad</v>
      </c>
      <c r="C2324" s="871">
        <v>46292</v>
      </c>
      <c r="D2324" s="1100" t="s">
        <v>9451</v>
      </c>
      <c r="E2324" s="1100" t="s">
        <v>417</v>
      </c>
      <c r="F2324" s="1100" t="s">
        <v>9453</v>
      </c>
      <c r="G2324" s="1100">
        <v>0</v>
      </c>
      <c r="H2324" s="1100" t="s">
        <v>10345</v>
      </c>
      <c r="I2324" s="871">
        <v>46296.133080937499</v>
      </c>
      <c r="J2324" s="1100" t="s">
        <v>10346</v>
      </c>
      <c r="K2324" s="975" t="str">
        <f>IF(COUNTIFS(tblControles[Clave],tblControles[[#This Row],[Clave]])&gt;1,"Duplicado","")</f>
        <v/>
      </c>
    </row>
    <row r="2325" spans="2:11">
      <c r="B2325" s="975" t="str">
        <f>tblControles[[#This Row],[Fecha]]&amp;"|"&amp;tblControles[[#This Row],[Módulo]]&amp;"|"&amp;tblControles[[#This Row],[Ítem]]&amp;"|"&amp;tblControles[[#This Row],[Turno]]</f>
        <v>46292|AGREGADO MEDIOS|BOLAS ALTO CROM|Cantidad</v>
      </c>
      <c r="C2325" s="871">
        <v>46292</v>
      </c>
      <c r="D2325" s="1100" t="s">
        <v>9451</v>
      </c>
      <c r="E2325" s="1100" t="s">
        <v>432</v>
      </c>
      <c r="F2325" s="1100" t="s">
        <v>9453</v>
      </c>
      <c r="G2325" s="1100">
        <v>0</v>
      </c>
      <c r="H2325" s="1100" t="s">
        <v>10345</v>
      </c>
      <c r="I2325" s="871">
        <v>46296.133080937499</v>
      </c>
      <c r="J2325" s="1100" t="s">
        <v>10346</v>
      </c>
      <c r="K2325" s="975" t="str">
        <f>IF(COUNTIFS(tblControles[Clave],tblControles[[#This Row],[Clave]])&gt;1,"Duplicado","")</f>
        <v/>
      </c>
    </row>
    <row r="2326" spans="2:11">
      <c r="B2326" s="975" t="str">
        <f>tblControles[[#This Row],[Fecha]]&amp;"|"&amp;tblControles[[#This Row],[Módulo]]&amp;"|"&amp;tblControles[[#This Row],[Ítem]]&amp;"|"&amp;tblControles[[#This Row],[Turno]]</f>
        <v>46292|AGREGADO MEDIOS|BOLAS BM10|Cantidad</v>
      </c>
      <c r="C2326" s="871">
        <v>46292</v>
      </c>
      <c r="D2326" s="1100" t="s">
        <v>9451</v>
      </c>
      <c r="E2326" s="1100" t="s">
        <v>431</v>
      </c>
      <c r="F2326" s="1100" t="s">
        <v>9453</v>
      </c>
      <c r="G2326" s="1100">
        <v>0</v>
      </c>
      <c r="H2326" s="1100" t="s">
        <v>10345</v>
      </c>
      <c r="I2326" s="871">
        <v>46296.133080937499</v>
      </c>
      <c r="J2326" s="1100" t="s">
        <v>10346</v>
      </c>
      <c r="K2326" s="975" t="str">
        <f>IF(COUNTIFS(tblControles[Clave],tblControles[[#This Row],[Clave]])&gt;1,"Duplicado","")</f>
        <v/>
      </c>
    </row>
    <row r="2327" spans="2:11">
      <c r="B2327" s="975" t="str">
        <f>tblControles[[#This Row],[Fecha]]&amp;"|"&amp;tblControles[[#This Row],[Módulo]]&amp;"|"&amp;tblControles[[#This Row],[Ítem]]&amp;"|"&amp;tblControles[[#This Row],[Turno]]</f>
        <v>46292|AGREGADO MEDIOS|BOLAS BM8|Cantidad</v>
      </c>
      <c r="C2327" s="871">
        <v>46292</v>
      </c>
      <c r="D2327" s="1100" t="s">
        <v>9451</v>
      </c>
      <c r="E2327" s="1100" t="s">
        <v>429</v>
      </c>
      <c r="F2327" s="1100" t="s">
        <v>9453</v>
      </c>
      <c r="G2327" s="1100">
        <v>0</v>
      </c>
      <c r="H2327" s="1100" t="s">
        <v>10345</v>
      </c>
      <c r="I2327" s="871">
        <v>46296.133080937499</v>
      </c>
      <c r="J2327" s="1100" t="s">
        <v>10346</v>
      </c>
      <c r="K2327" s="975" t="str">
        <f>IF(COUNTIFS(tblControles[Clave],tblControles[[#This Row],[Clave]])&gt;1,"Duplicado","")</f>
        <v/>
      </c>
    </row>
    <row r="2328" spans="2:11">
      <c r="B2328" s="975" t="str">
        <f>tblControles[[#This Row],[Fecha]]&amp;"|"&amp;tblControles[[#This Row],[Módulo]]&amp;"|"&amp;tblControles[[#This Row],[Ítem]]&amp;"|"&amp;tblControles[[#This Row],[Turno]]</f>
        <v>46292|AGREGADO MEDIOS|BOLAS BM9|Cantidad</v>
      </c>
      <c r="C2328" s="871">
        <v>46292</v>
      </c>
      <c r="D2328" s="1100" t="s">
        <v>9451</v>
      </c>
      <c r="E2328" s="1100" t="s">
        <v>430</v>
      </c>
      <c r="F2328" s="1100" t="s">
        <v>9453</v>
      </c>
      <c r="G2328" s="1100">
        <v>0</v>
      </c>
      <c r="H2328" s="1100" t="s">
        <v>10345</v>
      </c>
      <c r="I2328" s="871">
        <v>46296.133080937499</v>
      </c>
      <c r="J2328" s="1100" t="s">
        <v>10346</v>
      </c>
      <c r="K2328" s="975" t="str">
        <f>IF(COUNTIFS(tblControles[Clave],tblControles[[#This Row],[Clave]])&gt;1,"Duplicado","")</f>
        <v/>
      </c>
    </row>
    <row r="2329" spans="2:11">
      <c r="B2329" s="975" t="str">
        <f>tblControles[[#This Row],[Fecha]]&amp;"|"&amp;tblControles[[#This Row],[Módulo]]&amp;"|"&amp;tblControles[[#This Row],[Ítem]]&amp;"|"&amp;tblControles[[#This Row],[Turno]]</f>
        <v>46292|AGREGADO MEDIOS|CONOS 30X35|Cantidad</v>
      </c>
      <c r="C2329" s="871">
        <v>46292</v>
      </c>
      <c r="D2329" s="1100" t="s">
        <v>9451</v>
      </c>
      <c r="E2329" s="1100" t="s">
        <v>428</v>
      </c>
      <c r="F2329" s="1100" t="s">
        <v>9453</v>
      </c>
      <c r="G2329" s="1100">
        <v>0</v>
      </c>
      <c r="H2329" s="1100" t="s">
        <v>10345</v>
      </c>
      <c r="I2329" s="871">
        <v>46296.133080937499</v>
      </c>
      <c r="J2329" s="1100" t="s">
        <v>10346</v>
      </c>
      <c r="K2329" s="975" t="str">
        <f>IF(COUNTIFS(tblControles[Clave],tblControles[[#This Row],[Clave]])&gt;1,"Duplicado","")</f>
        <v/>
      </c>
    </row>
    <row r="2330" spans="2:11">
      <c r="B2330" s="975" t="str">
        <f>tblControles[[#This Row],[Fecha]]&amp;"|"&amp;tblControles[[#This Row],[Módulo]]&amp;"|"&amp;tblControles[[#This Row],[Ítem]]&amp;"|"&amp;tblControles[[#This Row],[Turno]]</f>
        <v>46292|AGREGADO MEDIOS|CONOS 30X35 BM5|Cantidad</v>
      </c>
      <c r="C2330" s="871">
        <v>46292</v>
      </c>
      <c r="D2330" s="1100" t="s">
        <v>9451</v>
      </c>
      <c r="E2330" s="1100" t="s">
        <v>424</v>
      </c>
      <c r="F2330" s="1100" t="s">
        <v>9453</v>
      </c>
      <c r="G2330" s="1100">
        <v>0</v>
      </c>
      <c r="H2330" s="1100" t="s">
        <v>10345</v>
      </c>
      <c r="I2330" s="871">
        <v>46296.133080937499</v>
      </c>
      <c r="J2330" s="1100" t="s">
        <v>10346</v>
      </c>
      <c r="K2330" s="975" t="str">
        <f>IF(COUNTIFS(tblControles[Clave],tblControles[[#This Row],[Clave]])&gt;1,"Duplicado","")</f>
        <v/>
      </c>
    </row>
    <row r="2331" spans="2:11">
      <c r="B2331" s="975" t="str">
        <f>tblControles[[#This Row],[Fecha]]&amp;"|"&amp;tblControles[[#This Row],[Módulo]]&amp;"|"&amp;tblControles[[#This Row],[Ítem]]&amp;"|"&amp;tblControles[[#This Row],[Turno]]</f>
        <v>46292|AGREGADO MEDIOS|CONOS 40X50|Cantidad</v>
      </c>
      <c r="C2331" s="871">
        <v>46292</v>
      </c>
      <c r="D2331" s="1100" t="s">
        <v>9451</v>
      </c>
      <c r="E2331" s="1100" t="s">
        <v>427</v>
      </c>
      <c r="F2331" s="1100" t="s">
        <v>9453</v>
      </c>
      <c r="G2331" s="1100">
        <v>0</v>
      </c>
      <c r="H2331" s="1100" t="s">
        <v>10345</v>
      </c>
      <c r="I2331" s="871">
        <v>46296.133080937499</v>
      </c>
      <c r="J2331" s="1100" t="s">
        <v>10346</v>
      </c>
      <c r="K2331" s="975" t="str">
        <f>IF(COUNTIFS(tblControles[Clave],tblControles[[#This Row],[Clave]])&gt;1,"Duplicado","")</f>
        <v/>
      </c>
    </row>
    <row r="2332" spans="2:11">
      <c r="B2332" s="975" t="str">
        <f>tblControles[[#This Row],[Fecha]]&amp;"|"&amp;tblControles[[#This Row],[Módulo]]&amp;"|"&amp;tblControles[[#This Row],[Ítem]]&amp;"|"&amp;tblControles[[#This Row],[Turno]]</f>
        <v>46292|AGREGADO MEDIOS|CONOS 40X50 BM1|Cantidad</v>
      </c>
      <c r="C2332" s="871">
        <v>46292</v>
      </c>
      <c r="D2332" s="1100" t="s">
        <v>9451</v>
      </c>
      <c r="E2332" s="1100" t="s">
        <v>420</v>
      </c>
      <c r="F2332" s="1100" t="s">
        <v>9453</v>
      </c>
      <c r="G2332" s="1100">
        <v>0</v>
      </c>
      <c r="H2332" s="1100" t="s">
        <v>10345</v>
      </c>
      <c r="I2332" s="871">
        <v>46296.133080937499</v>
      </c>
      <c r="J2332" s="1100" t="s">
        <v>10346</v>
      </c>
      <c r="K2332" s="975" t="str">
        <f>IF(COUNTIFS(tblControles[Clave],tblControles[[#This Row],[Clave]])&gt;1,"Duplicado","")</f>
        <v/>
      </c>
    </row>
    <row r="2333" spans="2:11">
      <c r="B2333" s="975" t="str">
        <f>tblControles[[#This Row],[Fecha]]&amp;"|"&amp;tblControles[[#This Row],[Módulo]]&amp;"|"&amp;tblControles[[#This Row],[Ítem]]&amp;"|"&amp;tblControles[[#This Row],[Turno]]</f>
        <v>46292|AGREGADO MEDIOS|CONOS 40X50 BM2|Cantidad</v>
      </c>
      <c r="C2333" s="871">
        <v>46292</v>
      </c>
      <c r="D2333" s="1100" t="s">
        <v>9451</v>
      </c>
      <c r="E2333" s="1100" t="s">
        <v>421</v>
      </c>
      <c r="F2333" s="1100" t="s">
        <v>9453</v>
      </c>
      <c r="G2333" s="1100">
        <v>0</v>
      </c>
      <c r="H2333" s="1100" t="s">
        <v>10345</v>
      </c>
      <c r="I2333" s="871">
        <v>46296.133080937499</v>
      </c>
      <c r="J2333" s="1100" t="s">
        <v>10346</v>
      </c>
      <c r="K2333" s="975" t="str">
        <f>IF(COUNTIFS(tblControles[Clave],tblControles[[#This Row],[Clave]])&gt;1,"Duplicado","")</f>
        <v/>
      </c>
    </row>
    <row r="2334" spans="2:11">
      <c r="B2334" s="975" t="str">
        <f>tblControles[[#This Row],[Fecha]]&amp;"|"&amp;tblControles[[#This Row],[Módulo]]&amp;"|"&amp;tblControles[[#This Row],[Ítem]]&amp;"|"&amp;tblControles[[#This Row],[Turno]]</f>
        <v>46292|AGREGADO MEDIOS|CONOS 40X50 BM3|Cantidad</v>
      </c>
      <c r="C2334" s="871">
        <v>46292</v>
      </c>
      <c r="D2334" s="1100" t="s">
        <v>9451</v>
      </c>
      <c r="E2334" s="1100" t="s">
        <v>422</v>
      </c>
      <c r="F2334" s="1100" t="s">
        <v>9453</v>
      </c>
      <c r="G2334" s="1100">
        <v>0</v>
      </c>
      <c r="H2334" s="1100" t="s">
        <v>10345</v>
      </c>
      <c r="I2334" s="871">
        <v>46296.133080937499</v>
      </c>
      <c r="J2334" s="1100" t="s">
        <v>10346</v>
      </c>
      <c r="K2334" s="975" t="str">
        <f>IF(COUNTIFS(tblControles[Clave],tblControles[[#This Row],[Clave]])&gt;1,"Duplicado","")</f>
        <v/>
      </c>
    </row>
    <row r="2335" spans="2:11">
      <c r="B2335" s="975" t="str">
        <f>tblControles[[#This Row],[Fecha]]&amp;"|"&amp;tblControles[[#This Row],[Módulo]]&amp;"|"&amp;tblControles[[#This Row],[Ítem]]&amp;"|"&amp;tblControles[[#This Row],[Turno]]</f>
        <v>46292|AGREGADO MEDIOS|CONOS 40X50 BM4|Cantidad</v>
      </c>
      <c r="C2335" s="871">
        <v>46292</v>
      </c>
      <c r="D2335" s="1100" t="s">
        <v>9451</v>
      </c>
      <c r="E2335" s="1100" t="s">
        <v>423</v>
      </c>
      <c r="F2335" s="1100" t="s">
        <v>9453</v>
      </c>
      <c r="G2335" s="1100">
        <v>0</v>
      </c>
      <c r="H2335" s="1100" t="s">
        <v>10345</v>
      </c>
      <c r="I2335" s="871">
        <v>46296.133080937499</v>
      </c>
      <c r="J2335" s="1100" t="s">
        <v>10346</v>
      </c>
      <c r="K2335" s="975" t="str">
        <f>IF(COUNTIFS(tblControles[Clave],tblControles[[#This Row],[Clave]])&gt;1,"Duplicado","")</f>
        <v/>
      </c>
    </row>
    <row r="2336" spans="2:11">
      <c r="B2336" s="975" t="str">
        <f>tblControles[[#This Row],[Fecha]]&amp;"|"&amp;tblControles[[#This Row],[Módulo]]&amp;"|"&amp;tblControles[[#This Row],[Ítem]]&amp;"|"&amp;tblControles[[#This Row],[Turno]]</f>
        <v>46292|AGREGADO MEDIOS|CONOS 40X50 BM6|Cantidad</v>
      </c>
      <c r="C2336" s="871">
        <v>46292</v>
      </c>
      <c r="D2336" s="1100" t="s">
        <v>9451</v>
      </c>
      <c r="E2336" s="1100" t="s">
        <v>425</v>
      </c>
      <c r="F2336" s="1100" t="s">
        <v>9453</v>
      </c>
      <c r="G2336" s="1100">
        <v>0</v>
      </c>
      <c r="H2336" s="1100" t="s">
        <v>10345</v>
      </c>
      <c r="I2336" s="871">
        <v>46296.133080937499</v>
      </c>
      <c r="J2336" s="1100" t="s">
        <v>10346</v>
      </c>
      <c r="K2336" s="975" t="str">
        <f>IF(COUNTIFS(tblControles[Clave],tblControles[[#This Row],[Clave]])&gt;1,"Duplicado","")</f>
        <v/>
      </c>
    </row>
    <row r="2337" spans="2:11">
      <c r="B2337" s="975" t="str">
        <f>tblControles[[#This Row],[Fecha]]&amp;"|"&amp;tblControles[[#This Row],[Módulo]]&amp;"|"&amp;tblControles[[#This Row],[Ítem]]&amp;"|"&amp;tblControles[[#This Row],[Turno]]</f>
        <v>46292|AGREGADO MEDIOS|CONOS 40X50 BM7|Cantidad</v>
      </c>
      <c r="C2337" s="871">
        <v>46292</v>
      </c>
      <c r="D2337" s="1100" t="s">
        <v>9451</v>
      </c>
      <c r="E2337" s="1100" t="s">
        <v>426</v>
      </c>
      <c r="F2337" s="1100" t="s">
        <v>9453</v>
      </c>
      <c r="G2337" s="1100">
        <v>0</v>
      </c>
      <c r="H2337" s="1100" t="s">
        <v>10345</v>
      </c>
      <c r="I2337" s="871">
        <v>46296.133080937499</v>
      </c>
      <c r="J2337" s="1100" t="s">
        <v>10346</v>
      </c>
      <c r="K2337" s="975" t="str">
        <f>IF(COUNTIFS(tblControles[Clave],tblControles[[#This Row],[Clave]])&gt;1,"Duplicado","")</f>
        <v/>
      </c>
    </row>
    <row r="2338" spans="2:11">
      <c r="B2338" s="975" t="str">
        <f>tblControles[[#This Row],[Fecha]]&amp;"|"&amp;tblControles[[#This Row],[Módulo]]&amp;"|"&amp;tblControles[[#This Row],[Ítem]]&amp;"|"&amp;tblControles[[#This Row],[Turno]]</f>
        <v>46293|AGREGADO MEDIOS|BARRAS 9 RM9|Cantidad</v>
      </c>
      <c r="C2338" s="871">
        <v>46293</v>
      </c>
      <c r="D2338" s="1100" t="s">
        <v>9451</v>
      </c>
      <c r="E2338" s="1100" t="s">
        <v>418</v>
      </c>
      <c r="F2338" s="1100" t="s">
        <v>9453</v>
      </c>
      <c r="G2338" s="1100">
        <v>0</v>
      </c>
      <c r="H2338" s="1100" t="s">
        <v>10345</v>
      </c>
      <c r="I2338" s="871">
        <v>46296.133080937499</v>
      </c>
      <c r="J2338" s="1100" t="s">
        <v>10346</v>
      </c>
      <c r="K2338" s="975" t="str">
        <f>IF(COUNTIFS(tblControles[Clave],tblControles[[#This Row],[Clave]])&gt;1,"Duplicado","")</f>
        <v/>
      </c>
    </row>
    <row r="2339" spans="2:11">
      <c r="B2339" s="975" t="str">
        <f>tblControles[[#This Row],[Fecha]]&amp;"|"&amp;tblControles[[#This Row],[Módulo]]&amp;"|"&amp;tblControles[[#This Row],[Ítem]]&amp;"|"&amp;tblControles[[#This Row],[Turno]]</f>
        <v>46293|AGREGADO MEDIOS|BARRAS RM1|Cantidad</v>
      </c>
      <c r="C2339" s="871">
        <v>46293</v>
      </c>
      <c r="D2339" s="1100" t="s">
        <v>9451</v>
      </c>
      <c r="E2339" s="1100" t="s">
        <v>410</v>
      </c>
      <c r="F2339" s="1100" t="s">
        <v>9453</v>
      </c>
      <c r="G2339" s="1100">
        <v>0</v>
      </c>
      <c r="H2339" s="1100" t="s">
        <v>10345</v>
      </c>
      <c r="I2339" s="871">
        <v>46296.133080937499</v>
      </c>
      <c r="J2339" s="1100" t="s">
        <v>10346</v>
      </c>
      <c r="K2339" s="975" t="str">
        <f>IF(COUNTIFS(tblControles[Clave],tblControles[[#This Row],[Clave]])&gt;1,"Duplicado","")</f>
        <v/>
      </c>
    </row>
    <row r="2340" spans="2:11">
      <c r="B2340" s="975" t="str">
        <f>tblControles[[#This Row],[Fecha]]&amp;"|"&amp;tblControles[[#This Row],[Módulo]]&amp;"|"&amp;tblControles[[#This Row],[Ítem]]&amp;"|"&amp;tblControles[[#This Row],[Turno]]</f>
        <v>46293|AGREGADO MEDIOS|BARRAS RM2|Cantidad</v>
      </c>
      <c r="C2340" s="871">
        <v>46293</v>
      </c>
      <c r="D2340" s="1100" t="s">
        <v>9451</v>
      </c>
      <c r="E2340" s="1100" t="s">
        <v>411</v>
      </c>
      <c r="F2340" s="1100" t="s">
        <v>9453</v>
      </c>
      <c r="G2340" s="1100">
        <v>0</v>
      </c>
      <c r="H2340" s="1100" t="s">
        <v>10345</v>
      </c>
      <c r="I2340" s="871">
        <v>46296.133080937499</v>
      </c>
      <c r="J2340" s="1100" t="s">
        <v>10346</v>
      </c>
      <c r="K2340" s="975" t="str">
        <f>IF(COUNTIFS(tblControles[Clave],tblControles[[#This Row],[Clave]])&gt;1,"Duplicado","")</f>
        <v/>
      </c>
    </row>
    <row r="2341" spans="2:11">
      <c r="B2341" s="975" t="str">
        <f>tblControles[[#This Row],[Fecha]]&amp;"|"&amp;tblControles[[#This Row],[Módulo]]&amp;"|"&amp;tblControles[[#This Row],[Ítem]]&amp;"|"&amp;tblControles[[#This Row],[Turno]]</f>
        <v>46293|AGREGADO MEDIOS|BARRAS RM3|Cantidad</v>
      </c>
      <c r="C2341" s="871">
        <v>46293</v>
      </c>
      <c r="D2341" s="1100" t="s">
        <v>9451</v>
      </c>
      <c r="E2341" s="1100" t="s">
        <v>412</v>
      </c>
      <c r="F2341" s="1100" t="s">
        <v>9453</v>
      </c>
      <c r="G2341" s="1100">
        <v>0</v>
      </c>
      <c r="H2341" s="1100" t="s">
        <v>10345</v>
      </c>
      <c r="I2341" s="871">
        <v>46296.133080937499</v>
      </c>
      <c r="J2341" s="1100" t="s">
        <v>10346</v>
      </c>
      <c r="K2341" s="975" t="str">
        <f>IF(COUNTIFS(tblControles[Clave],tblControles[[#This Row],[Clave]])&gt;1,"Duplicado","")</f>
        <v/>
      </c>
    </row>
    <row r="2342" spans="2:11">
      <c r="B2342" s="975" t="str">
        <f>tblControles[[#This Row],[Fecha]]&amp;"|"&amp;tblControles[[#This Row],[Módulo]]&amp;"|"&amp;tblControles[[#This Row],[Ítem]]&amp;"|"&amp;tblControles[[#This Row],[Turno]]</f>
        <v>46293|AGREGADO MEDIOS|BARRAS RM4|Cantidad</v>
      </c>
      <c r="C2342" s="871">
        <v>46293</v>
      </c>
      <c r="D2342" s="1100" t="s">
        <v>9451</v>
      </c>
      <c r="E2342" s="1100" t="s">
        <v>413</v>
      </c>
      <c r="F2342" s="1100" t="s">
        <v>9453</v>
      </c>
      <c r="G2342" s="1100">
        <v>0</v>
      </c>
      <c r="H2342" s="1100" t="s">
        <v>10345</v>
      </c>
      <c r="I2342" s="871">
        <v>46296.133080937499</v>
      </c>
      <c r="J2342" s="1100" t="s">
        <v>10346</v>
      </c>
      <c r="K2342" s="975" t="str">
        <f>IF(COUNTIFS(tblControles[Clave],tblControles[[#This Row],[Clave]])&gt;1,"Duplicado","")</f>
        <v/>
      </c>
    </row>
    <row r="2343" spans="2:11">
      <c r="B2343" s="975" t="str">
        <f>tblControles[[#This Row],[Fecha]]&amp;"|"&amp;tblControles[[#This Row],[Módulo]]&amp;"|"&amp;tblControles[[#This Row],[Ítem]]&amp;"|"&amp;tblControles[[#This Row],[Turno]]</f>
        <v>46293|AGREGADO MEDIOS|BARRAS RM5|Cantidad</v>
      </c>
      <c r="C2343" s="871">
        <v>46293</v>
      </c>
      <c r="D2343" s="1100" t="s">
        <v>9451</v>
      </c>
      <c r="E2343" s="1100" t="s">
        <v>414</v>
      </c>
      <c r="F2343" s="1100" t="s">
        <v>9453</v>
      </c>
      <c r="G2343" s="1100">
        <v>0</v>
      </c>
      <c r="H2343" s="1100" t="s">
        <v>10345</v>
      </c>
      <c r="I2343" s="871">
        <v>46296.133080937499</v>
      </c>
      <c r="J2343" s="1100" t="s">
        <v>10346</v>
      </c>
      <c r="K2343" s="975" t="str">
        <f>IF(COUNTIFS(tblControles[Clave],tblControles[[#This Row],[Clave]])&gt;1,"Duplicado","")</f>
        <v/>
      </c>
    </row>
    <row r="2344" spans="2:11">
      <c r="B2344" s="975" t="str">
        <f>tblControles[[#This Row],[Fecha]]&amp;"|"&amp;tblControles[[#This Row],[Módulo]]&amp;"|"&amp;tblControles[[#This Row],[Ítem]]&amp;"|"&amp;tblControles[[#This Row],[Turno]]</f>
        <v>46293|AGREGADO MEDIOS|BARRAS RM6|Cantidad</v>
      </c>
      <c r="C2344" s="871">
        <v>46293</v>
      </c>
      <c r="D2344" s="1100" t="s">
        <v>9451</v>
      </c>
      <c r="E2344" s="1100" t="s">
        <v>415</v>
      </c>
      <c r="F2344" s="1100" t="s">
        <v>9453</v>
      </c>
      <c r="G2344" s="1100">
        <v>0</v>
      </c>
      <c r="H2344" s="1100" t="s">
        <v>10345</v>
      </c>
      <c r="I2344" s="871">
        <v>46296.133080937499</v>
      </c>
      <c r="J2344" s="1100" t="s">
        <v>10346</v>
      </c>
      <c r="K2344" s="975" t="str">
        <f>IF(COUNTIFS(tblControles[Clave],tblControles[[#This Row],[Clave]])&gt;1,"Duplicado","")</f>
        <v/>
      </c>
    </row>
    <row r="2345" spans="2:11">
      <c r="B2345" s="975" t="str">
        <f>tblControles[[#This Row],[Fecha]]&amp;"|"&amp;tblControles[[#This Row],[Módulo]]&amp;"|"&amp;tblControles[[#This Row],[Ítem]]&amp;"|"&amp;tblControles[[#This Row],[Turno]]</f>
        <v>46293|AGREGADO MEDIOS|BARRAS RM7|Cantidad</v>
      </c>
      <c r="C2345" s="871">
        <v>46293</v>
      </c>
      <c r="D2345" s="1100" t="s">
        <v>9451</v>
      </c>
      <c r="E2345" s="1100" t="s">
        <v>416</v>
      </c>
      <c r="F2345" s="1100" t="s">
        <v>9453</v>
      </c>
      <c r="G2345" s="1100">
        <v>0</v>
      </c>
      <c r="H2345" s="1100" t="s">
        <v>10345</v>
      </c>
      <c r="I2345" s="871">
        <v>46296.133080937499</v>
      </c>
      <c r="J2345" s="1100" t="s">
        <v>10346</v>
      </c>
      <c r="K2345" s="975" t="str">
        <f>IF(COUNTIFS(tblControles[Clave],tblControles[[#This Row],[Clave]])&gt;1,"Duplicado","")</f>
        <v/>
      </c>
    </row>
    <row r="2346" spans="2:11">
      <c r="B2346" s="975" t="str">
        <f>tblControles[[#This Row],[Fecha]]&amp;"|"&amp;tblControles[[#This Row],[Módulo]]&amp;"|"&amp;tblControles[[#This Row],[Ítem]]&amp;"|"&amp;tblControles[[#This Row],[Turno]]</f>
        <v>46293|AGREGADO MEDIOS|BARRAS RM8|Cantidad</v>
      </c>
      <c r="C2346" s="871">
        <v>46293</v>
      </c>
      <c r="D2346" s="1100" t="s">
        <v>9451</v>
      </c>
      <c r="E2346" s="1100" t="s">
        <v>417</v>
      </c>
      <c r="F2346" s="1100" t="s">
        <v>9453</v>
      </c>
      <c r="G2346" s="1100">
        <v>0</v>
      </c>
      <c r="H2346" s="1100" t="s">
        <v>10345</v>
      </c>
      <c r="I2346" s="871">
        <v>46296.133080937499</v>
      </c>
      <c r="J2346" s="1100" t="s">
        <v>10346</v>
      </c>
      <c r="K2346" s="975" t="str">
        <f>IF(COUNTIFS(tblControles[Clave],tblControles[[#This Row],[Clave]])&gt;1,"Duplicado","")</f>
        <v/>
      </c>
    </row>
    <row r="2347" spans="2:11">
      <c r="B2347" s="975" t="str">
        <f>tblControles[[#This Row],[Fecha]]&amp;"|"&amp;tblControles[[#This Row],[Módulo]]&amp;"|"&amp;tblControles[[#This Row],[Ítem]]&amp;"|"&amp;tblControles[[#This Row],[Turno]]</f>
        <v>46293|AGREGADO MEDIOS|BOLAS ALTO CROM|Cantidad</v>
      </c>
      <c r="C2347" s="871">
        <v>46293</v>
      </c>
      <c r="D2347" s="1100" t="s">
        <v>9451</v>
      </c>
      <c r="E2347" s="1100" t="s">
        <v>432</v>
      </c>
      <c r="F2347" s="1100" t="s">
        <v>9453</v>
      </c>
      <c r="G2347" s="1100">
        <v>0</v>
      </c>
      <c r="H2347" s="1100" t="s">
        <v>10345</v>
      </c>
      <c r="I2347" s="871">
        <v>46296.133080937499</v>
      </c>
      <c r="J2347" s="1100" t="s">
        <v>10346</v>
      </c>
      <c r="K2347" s="975" t="str">
        <f>IF(COUNTIFS(tblControles[Clave],tblControles[[#This Row],[Clave]])&gt;1,"Duplicado","")</f>
        <v/>
      </c>
    </row>
    <row r="2348" spans="2:11">
      <c r="B2348" s="975" t="str">
        <f>tblControles[[#This Row],[Fecha]]&amp;"|"&amp;tblControles[[#This Row],[Módulo]]&amp;"|"&amp;tblControles[[#This Row],[Ítem]]&amp;"|"&amp;tblControles[[#This Row],[Turno]]</f>
        <v>46293|AGREGADO MEDIOS|BOLAS BM10|Cantidad</v>
      </c>
      <c r="C2348" s="871">
        <v>46293</v>
      </c>
      <c r="D2348" s="1100" t="s">
        <v>9451</v>
      </c>
      <c r="E2348" s="1100" t="s">
        <v>431</v>
      </c>
      <c r="F2348" s="1100" t="s">
        <v>9453</v>
      </c>
      <c r="G2348" s="1100">
        <v>0</v>
      </c>
      <c r="H2348" s="1100" t="s">
        <v>10345</v>
      </c>
      <c r="I2348" s="871">
        <v>46296.133080937499</v>
      </c>
      <c r="J2348" s="1100" t="s">
        <v>10346</v>
      </c>
      <c r="K2348" s="975" t="str">
        <f>IF(COUNTIFS(tblControles[Clave],tblControles[[#This Row],[Clave]])&gt;1,"Duplicado","")</f>
        <v/>
      </c>
    </row>
    <row r="2349" spans="2:11">
      <c r="B2349" s="975" t="str">
        <f>tblControles[[#This Row],[Fecha]]&amp;"|"&amp;tblControles[[#This Row],[Módulo]]&amp;"|"&amp;tblControles[[#This Row],[Ítem]]&amp;"|"&amp;tblControles[[#This Row],[Turno]]</f>
        <v>46293|AGREGADO MEDIOS|BOLAS BM8|Cantidad</v>
      </c>
      <c r="C2349" s="871">
        <v>46293</v>
      </c>
      <c r="D2349" s="1100" t="s">
        <v>9451</v>
      </c>
      <c r="E2349" s="1100" t="s">
        <v>429</v>
      </c>
      <c r="F2349" s="1100" t="s">
        <v>9453</v>
      </c>
      <c r="G2349" s="1100">
        <v>0</v>
      </c>
      <c r="H2349" s="1100" t="s">
        <v>10345</v>
      </c>
      <c r="I2349" s="871">
        <v>46296.133080937499</v>
      </c>
      <c r="J2349" s="1100" t="s">
        <v>10346</v>
      </c>
      <c r="K2349" s="975" t="str">
        <f>IF(COUNTIFS(tblControles[Clave],tblControles[[#This Row],[Clave]])&gt;1,"Duplicado","")</f>
        <v/>
      </c>
    </row>
    <row r="2350" spans="2:11">
      <c r="B2350" s="975" t="str">
        <f>tblControles[[#This Row],[Fecha]]&amp;"|"&amp;tblControles[[#This Row],[Módulo]]&amp;"|"&amp;tblControles[[#This Row],[Ítem]]&amp;"|"&amp;tblControles[[#This Row],[Turno]]</f>
        <v>46293|AGREGADO MEDIOS|BOLAS BM9|Cantidad</v>
      </c>
      <c r="C2350" s="871">
        <v>46293</v>
      </c>
      <c r="D2350" s="1100" t="s">
        <v>9451</v>
      </c>
      <c r="E2350" s="1100" t="s">
        <v>430</v>
      </c>
      <c r="F2350" s="1100" t="s">
        <v>9453</v>
      </c>
      <c r="G2350" s="1100">
        <v>0</v>
      </c>
      <c r="H2350" s="1100" t="s">
        <v>10345</v>
      </c>
      <c r="I2350" s="871">
        <v>46296.133080937499</v>
      </c>
      <c r="J2350" s="1100" t="s">
        <v>10346</v>
      </c>
      <c r="K2350" s="975" t="str">
        <f>IF(COUNTIFS(tblControles[Clave],tblControles[[#This Row],[Clave]])&gt;1,"Duplicado","")</f>
        <v/>
      </c>
    </row>
    <row r="2351" spans="2:11">
      <c r="B2351" s="975" t="str">
        <f>tblControles[[#This Row],[Fecha]]&amp;"|"&amp;tblControles[[#This Row],[Módulo]]&amp;"|"&amp;tblControles[[#This Row],[Ítem]]&amp;"|"&amp;tblControles[[#This Row],[Turno]]</f>
        <v>46293|AGREGADO MEDIOS|CONOS 30X35|Cantidad</v>
      </c>
      <c r="C2351" s="871">
        <v>46293</v>
      </c>
      <c r="D2351" s="1100" t="s">
        <v>9451</v>
      </c>
      <c r="E2351" s="1100" t="s">
        <v>428</v>
      </c>
      <c r="F2351" s="1100" t="s">
        <v>9453</v>
      </c>
      <c r="G2351" s="1100">
        <v>12</v>
      </c>
      <c r="H2351" s="1100" t="s">
        <v>10345</v>
      </c>
      <c r="I2351" s="871">
        <v>46296.133080937499</v>
      </c>
      <c r="J2351" s="1100" t="s">
        <v>10346</v>
      </c>
      <c r="K2351" s="975" t="str">
        <f>IF(COUNTIFS(tblControles[Clave],tblControles[[#This Row],[Clave]])&gt;1,"Duplicado","")</f>
        <v/>
      </c>
    </row>
    <row r="2352" spans="2:11">
      <c r="B2352" s="975" t="str">
        <f>tblControles[[#This Row],[Fecha]]&amp;"|"&amp;tblControles[[#This Row],[Módulo]]&amp;"|"&amp;tblControles[[#This Row],[Ítem]]&amp;"|"&amp;tblControles[[#This Row],[Turno]]</f>
        <v>46293|AGREGADO MEDIOS|CONOS 30X35 BM5|Cantidad</v>
      </c>
      <c r="C2352" s="871">
        <v>46293</v>
      </c>
      <c r="D2352" s="1100" t="s">
        <v>9451</v>
      </c>
      <c r="E2352" s="1100" t="s">
        <v>424</v>
      </c>
      <c r="F2352" s="1100" t="s">
        <v>9453</v>
      </c>
      <c r="G2352" s="1100">
        <v>0</v>
      </c>
      <c r="H2352" s="1100" t="s">
        <v>10345</v>
      </c>
      <c r="I2352" s="871">
        <v>46296.133080937499</v>
      </c>
      <c r="J2352" s="1100" t="s">
        <v>10346</v>
      </c>
      <c r="K2352" s="975" t="str">
        <f>IF(COUNTIFS(tblControles[Clave],tblControles[[#This Row],[Clave]])&gt;1,"Duplicado","")</f>
        <v/>
      </c>
    </row>
    <row r="2353" spans="2:11">
      <c r="B2353" s="975" t="str">
        <f>tblControles[[#This Row],[Fecha]]&amp;"|"&amp;tblControles[[#This Row],[Módulo]]&amp;"|"&amp;tblControles[[#This Row],[Ítem]]&amp;"|"&amp;tblControles[[#This Row],[Turno]]</f>
        <v>46293|AGREGADO MEDIOS|CONOS 40X50|Cantidad</v>
      </c>
      <c r="C2353" s="871">
        <v>46293</v>
      </c>
      <c r="D2353" s="1100" t="s">
        <v>9451</v>
      </c>
      <c r="E2353" s="1100" t="s">
        <v>427</v>
      </c>
      <c r="F2353" s="1100" t="s">
        <v>9453</v>
      </c>
      <c r="G2353" s="1100">
        <v>0</v>
      </c>
      <c r="H2353" s="1100" t="s">
        <v>10345</v>
      </c>
      <c r="I2353" s="871">
        <v>46296.133080937499</v>
      </c>
      <c r="J2353" s="1100" t="s">
        <v>10346</v>
      </c>
      <c r="K2353" s="975" t="str">
        <f>IF(COUNTIFS(tblControles[Clave],tblControles[[#This Row],[Clave]])&gt;1,"Duplicado","")</f>
        <v/>
      </c>
    </row>
    <row r="2354" spans="2:11">
      <c r="B2354" s="975" t="str">
        <f>tblControles[[#This Row],[Fecha]]&amp;"|"&amp;tblControles[[#This Row],[Módulo]]&amp;"|"&amp;tblControles[[#This Row],[Ítem]]&amp;"|"&amp;tblControles[[#This Row],[Turno]]</f>
        <v>46293|AGREGADO MEDIOS|CONOS 40X50 BM1|Cantidad</v>
      </c>
      <c r="C2354" s="871">
        <v>46293</v>
      </c>
      <c r="D2354" s="1100" t="s">
        <v>9451</v>
      </c>
      <c r="E2354" s="1100" t="s">
        <v>420</v>
      </c>
      <c r="F2354" s="1100" t="s">
        <v>9453</v>
      </c>
      <c r="G2354" s="1100">
        <v>0</v>
      </c>
      <c r="H2354" s="1100" t="s">
        <v>10345</v>
      </c>
      <c r="I2354" s="871">
        <v>46296.133080937499</v>
      </c>
      <c r="J2354" s="1100" t="s">
        <v>10346</v>
      </c>
      <c r="K2354" s="975" t="str">
        <f>IF(COUNTIFS(tblControles[Clave],tblControles[[#This Row],[Clave]])&gt;1,"Duplicado","")</f>
        <v/>
      </c>
    </row>
    <row r="2355" spans="2:11">
      <c r="B2355" s="975" t="str">
        <f>tblControles[[#This Row],[Fecha]]&amp;"|"&amp;tblControles[[#This Row],[Módulo]]&amp;"|"&amp;tblControles[[#This Row],[Ítem]]&amp;"|"&amp;tblControles[[#This Row],[Turno]]</f>
        <v>46293|AGREGADO MEDIOS|CONOS 40X50 BM2|Cantidad</v>
      </c>
      <c r="C2355" s="871">
        <v>46293</v>
      </c>
      <c r="D2355" s="1100" t="s">
        <v>9451</v>
      </c>
      <c r="E2355" s="1100" t="s">
        <v>421</v>
      </c>
      <c r="F2355" s="1100" t="s">
        <v>9453</v>
      </c>
      <c r="G2355" s="1100">
        <v>0</v>
      </c>
      <c r="H2355" s="1100" t="s">
        <v>10345</v>
      </c>
      <c r="I2355" s="871">
        <v>46296.133080937499</v>
      </c>
      <c r="J2355" s="1100" t="s">
        <v>10346</v>
      </c>
      <c r="K2355" s="975" t="str">
        <f>IF(COUNTIFS(tblControles[Clave],tblControles[[#This Row],[Clave]])&gt;1,"Duplicado","")</f>
        <v/>
      </c>
    </row>
    <row r="2356" spans="2:11">
      <c r="B2356" s="975" t="str">
        <f>tblControles[[#This Row],[Fecha]]&amp;"|"&amp;tblControles[[#This Row],[Módulo]]&amp;"|"&amp;tblControles[[#This Row],[Ítem]]&amp;"|"&amp;tblControles[[#This Row],[Turno]]</f>
        <v>46293|AGREGADO MEDIOS|CONOS 40X50 BM3|Cantidad</v>
      </c>
      <c r="C2356" s="871">
        <v>46293</v>
      </c>
      <c r="D2356" s="1100" t="s">
        <v>9451</v>
      </c>
      <c r="E2356" s="1100" t="s">
        <v>422</v>
      </c>
      <c r="F2356" s="1100" t="s">
        <v>9453</v>
      </c>
      <c r="G2356" s="1100">
        <v>0</v>
      </c>
      <c r="H2356" s="1100" t="s">
        <v>10345</v>
      </c>
      <c r="I2356" s="871">
        <v>46296.133080937499</v>
      </c>
      <c r="J2356" s="1100" t="s">
        <v>10346</v>
      </c>
      <c r="K2356" s="975" t="str">
        <f>IF(COUNTIFS(tblControles[Clave],tblControles[[#This Row],[Clave]])&gt;1,"Duplicado","")</f>
        <v/>
      </c>
    </row>
    <row r="2357" spans="2:11">
      <c r="B2357" s="975" t="str">
        <f>tblControles[[#This Row],[Fecha]]&amp;"|"&amp;tblControles[[#This Row],[Módulo]]&amp;"|"&amp;tblControles[[#This Row],[Ítem]]&amp;"|"&amp;tblControles[[#This Row],[Turno]]</f>
        <v>46293|AGREGADO MEDIOS|CONOS 40X50 BM4|Cantidad</v>
      </c>
      <c r="C2357" s="871">
        <v>46293</v>
      </c>
      <c r="D2357" s="1100" t="s">
        <v>9451</v>
      </c>
      <c r="E2357" s="1100" t="s">
        <v>423</v>
      </c>
      <c r="F2357" s="1100" t="s">
        <v>9453</v>
      </c>
      <c r="G2357" s="1100">
        <v>0</v>
      </c>
      <c r="H2357" s="1100" t="s">
        <v>10345</v>
      </c>
      <c r="I2357" s="871">
        <v>46296.133080937499</v>
      </c>
      <c r="J2357" s="1100" t="s">
        <v>10346</v>
      </c>
      <c r="K2357" s="975" t="str">
        <f>IF(COUNTIFS(tblControles[Clave],tblControles[[#This Row],[Clave]])&gt;1,"Duplicado","")</f>
        <v/>
      </c>
    </row>
    <row r="2358" spans="2:11">
      <c r="B2358" s="975" t="str">
        <f>tblControles[[#This Row],[Fecha]]&amp;"|"&amp;tblControles[[#This Row],[Módulo]]&amp;"|"&amp;tblControles[[#This Row],[Ítem]]&amp;"|"&amp;tblControles[[#This Row],[Turno]]</f>
        <v>46293|AGREGADO MEDIOS|CONOS 40X50 BM6|Cantidad</v>
      </c>
      <c r="C2358" s="871">
        <v>46293</v>
      </c>
      <c r="D2358" s="1100" t="s">
        <v>9451</v>
      </c>
      <c r="E2358" s="1100" t="s">
        <v>425</v>
      </c>
      <c r="F2358" s="1100" t="s">
        <v>9453</v>
      </c>
      <c r="G2358" s="1100">
        <v>6</v>
      </c>
      <c r="H2358" s="1100" t="s">
        <v>10345</v>
      </c>
      <c r="I2358" s="871">
        <v>46296.133080937499</v>
      </c>
      <c r="J2358" s="1100" t="s">
        <v>10346</v>
      </c>
      <c r="K2358" s="975" t="str">
        <f>IF(COUNTIFS(tblControles[Clave],tblControles[[#This Row],[Clave]])&gt;1,"Duplicado","")</f>
        <v/>
      </c>
    </row>
    <row r="2359" spans="2:11">
      <c r="B2359" s="975" t="str">
        <f>tblControles[[#This Row],[Fecha]]&amp;"|"&amp;tblControles[[#This Row],[Módulo]]&amp;"|"&amp;tblControles[[#This Row],[Ítem]]&amp;"|"&amp;tblControles[[#This Row],[Turno]]</f>
        <v>46293|AGREGADO MEDIOS|CONOS 40X50 BM7|Cantidad</v>
      </c>
      <c r="C2359" s="871">
        <v>46293</v>
      </c>
      <c r="D2359" s="1100" t="s">
        <v>9451</v>
      </c>
      <c r="E2359" s="1100" t="s">
        <v>426</v>
      </c>
      <c r="F2359" s="1100" t="s">
        <v>9453</v>
      </c>
      <c r="G2359" s="1100">
        <v>6</v>
      </c>
      <c r="H2359" s="1100" t="s">
        <v>10345</v>
      </c>
      <c r="I2359" s="871">
        <v>46296.133080937499</v>
      </c>
      <c r="J2359" s="1100" t="s">
        <v>10346</v>
      </c>
      <c r="K2359" s="975" t="str">
        <f>IF(COUNTIFS(tblControles[Clave],tblControles[[#This Row],[Clave]])&gt;1,"Duplicado","")</f>
        <v/>
      </c>
    </row>
    <row r="2360" spans="2:11">
      <c r="B2360" s="975" t="str">
        <f>tblControles[[#This Row],[Fecha]]&amp;"|"&amp;tblControles[[#This Row],[Módulo]]&amp;"|"&amp;tblControles[[#This Row],[Ítem]]&amp;"|"&amp;tblControles[[#This Row],[Turno]]</f>
        <v>46294|AGREGADO MEDIOS|BARRAS 9 RM9|Cantidad</v>
      </c>
      <c r="C2360" s="871">
        <v>46294</v>
      </c>
      <c r="D2360" s="1100" t="s">
        <v>9451</v>
      </c>
      <c r="E2360" s="1100" t="s">
        <v>418</v>
      </c>
      <c r="F2360" s="1100" t="s">
        <v>9453</v>
      </c>
      <c r="G2360" s="1100">
        <v>9</v>
      </c>
      <c r="H2360" s="1100" t="s">
        <v>10345</v>
      </c>
      <c r="I2360" s="871">
        <v>46296.133080937499</v>
      </c>
      <c r="J2360" s="1100" t="s">
        <v>10346</v>
      </c>
      <c r="K2360" s="975" t="str">
        <f>IF(COUNTIFS(tblControles[Clave],tblControles[[#This Row],[Clave]])&gt;1,"Duplicado","")</f>
        <v/>
      </c>
    </row>
    <row r="2361" spans="2:11">
      <c r="B2361" s="975" t="str">
        <f>tblControles[[#This Row],[Fecha]]&amp;"|"&amp;tblControles[[#This Row],[Módulo]]&amp;"|"&amp;tblControles[[#This Row],[Ítem]]&amp;"|"&amp;tblControles[[#This Row],[Turno]]</f>
        <v>46294|AGREGADO MEDIOS|BARRAS RM1|Cantidad</v>
      </c>
      <c r="C2361" s="871">
        <v>46294</v>
      </c>
      <c r="D2361" s="1100" t="s">
        <v>9451</v>
      </c>
      <c r="E2361" s="1100" t="s">
        <v>410</v>
      </c>
      <c r="F2361" s="1100" t="s">
        <v>9453</v>
      </c>
      <c r="G2361" s="1100">
        <v>9</v>
      </c>
      <c r="H2361" s="1100" t="s">
        <v>10345</v>
      </c>
      <c r="I2361" s="871">
        <v>46296.133080937499</v>
      </c>
      <c r="J2361" s="1100" t="s">
        <v>10346</v>
      </c>
      <c r="K2361" s="975" t="str">
        <f>IF(COUNTIFS(tblControles[Clave],tblControles[[#This Row],[Clave]])&gt;1,"Duplicado","")</f>
        <v/>
      </c>
    </row>
    <row r="2362" spans="2:11">
      <c r="B2362" s="975" t="str">
        <f>tblControles[[#This Row],[Fecha]]&amp;"|"&amp;tblControles[[#This Row],[Módulo]]&amp;"|"&amp;tblControles[[#This Row],[Ítem]]&amp;"|"&amp;tblControles[[#This Row],[Turno]]</f>
        <v>46294|AGREGADO MEDIOS|BARRAS RM2|Cantidad</v>
      </c>
      <c r="C2362" s="871">
        <v>46294</v>
      </c>
      <c r="D2362" s="1100" t="s">
        <v>9451</v>
      </c>
      <c r="E2362" s="1100" t="s">
        <v>411</v>
      </c>
      <c r="F2362" s="1100" t="s">
        <v>9453</v>
      </c>
      <c r="G2362" s="1100">
        <v>0</v>
      </c>
      <c r="H2362" s="1100" t="s">
        <v>10345</v>
      </c>
      <c r="I2362" s="871">
        <v>46296.133080937499</v>
      </c>
      <c r="J2362" s="1100" t="s">
        <v>10346</v>
      </c>
      <c r="K2362" s="975" t="str">
        <f>IF(COUNTIFS(tblControles[Clave],tblControles[[#This Row],[Clave]])&gt;1,"Duplicado","")</f>
        <v/>
      </c>
    </row>
    <row r="2363" spans="2:11">
      <c r="B2363" s="975" t="str">
        <f>tblControles[[#This Row],[Fecha]]&amp;"|"&amp;tblControles[[#This Row],[Módulo]]&amp;"|"&amp;tblControles[[#This Row],[Ítem]]&amp;"|"&amp;tblControles[[#This Row],[Turno]]</f>
        <v>46294|AGREGADO MEDIOS|BARRAS RM3|Cantidad</v>
      </c>
      <c r="C2363" s="871">
        <v>46294</v>
      </c>
      <c r="D2363" s="1100" t="s">
        <v>9451</v>
      </c>
      <c r="E2363" s="1100" t="s">
        <v>412</v>
      </c>
      <c r="F2363" s="1100" t="s">
        <v>9453</v>
      </c>
      <c r="G2363" s="1100">
        <v>0</v>
      </c>
      <c r="H2363" s="1100" t="s">
        <v>10345</v>
      </c>
      <c r="I2363" s="871">
        <v>46296.133080937499</v>
      </c>
      <c r="J2363" s="1100" t="s">
        <v>10346</v>
      </c>
      <c r="K2363" s="975" t="str">
        <f>IF(COUNTIFS(tblControles[Clave],tblControles[[#This Row],[Clave]])&gt;1,"Duplicado","")</f>
        <v/>
      </c>
    </row>
    <row r="2364" spans="2:11">
      <c r="B2364" s="975" t="str">
        <f>tblControles[[#This Row],[Fecha]]&amp;"|"&amp;tblControles[[#This Row],[Módulo]]&amp;"|"&amp;tblControles[[#This Row],[Ítem]]&amp;"|"&amp;tblControles[[#This Row],[Turno]]</f>
        <v>46294|AGREGADO MEDIOS|BARRAS RM4|Cantidad</v>
      </c>
      <c r="C2364" s="871">
        <v>46294</v>
      </c>
      <c r="D2364" s="1100" t="s">
        <v>9451</v>
      </c>
      <c r="E2364" s="1100" t="s">
        <v>413</v>
      </c>
      <c r="F2364" s="1100" t="s">
        <v>9453</v>
      </c>
      <c r="G2364" s="1100">
        <v>0</v>
      </c>
      <c r="H2364" s="1100" t="s">
        <v>10345</v>
      </c>
      <c r="I2364" s="871">
        <v>46296.133080937499</v>
      </c>
      <c r="J2364" s="1100" t="s">
        <v>10346</v>
      </c>
      <c r="K2364" s="975" t="str">
        <f>IF(COUNTIFS(tblControles[Clave],tblControles[[#This Row],[Clave]])&gt;1,"Duplicado","")</f>
        <v/>
      </c>
    </row>
    <row r="2365" spans="2:11">
      <c r="B2365" s="975" t="str">
        <f>tblControles[[#This Row],[Fecha]]&amp;"|"&amp;tblControles[[#This Row],[Módulo]]&amp;"|"&amp;tblControles[[#This Row],[Ítem]]&amp;"|"&amp;tblControles[[#This Row],[Turno]]</f>
        <v>46294|AGREGADO MEDIOS|BARRAS RM5|Cantidad</v>
      </c>
      <c r="C2365" s="871">
        <v>46294</v>
      </c>
      <c r="D2365" s="1100" t="s">
        <v>9451</v>
      </c>
      <c r="E2365" s="1100" t="s">
        <v>414</v>
      </c>
      <c r="F2365" s="1100" t="s">
        <v>9453</v>
      </c>
      <c r="G2365" s="1100">
        <v>7</v>
      </c>
      <c r="H2365" s="1100" t="s">
        <v>10345</v>
      </c>
      <c r="I2365" s="871">
        <v>46296.133080937499</v>
      </c>
      <c r="J2365" s="1100" t="s">
        <v>10346</v>
      </c>
      <c r="K2365" s="975" t="str">
        <f>IF(COUNTIFS(tblControles[Clave],tblControles[[#This Row],[Clave]])&gt;1,"Duplicado","")</f>
        <v/>
      </c>
    </row>
    <row r="2366" spans="2:11">
      <c r="B2366" s="975" t="str">
        <f>tblControles[[#This Row],[Fecha]]&amp;"|"&amp;tblControles[[#This Row],[Módulo]]&amp;"|"&amp;tblControles[[#This Row],[Ítem]]&amp;"|"&amp;tblControles[[#This Row],[Turno]]</f>
        <v>46294|AGREGADO MEDIOS|BARRAS RM6|Cantidad</v>
      </c>
      <c r="C2366" s="871">
        <v>46294</v>
      </c>
      <c r="D2366" s="1100" t="s">
        <v>9451</v>
      </c>
      <c r="E2366" s="1100" t="s">
        <v>415</v>
      </c>
      <c r="F2366" s="1100" t="s">
        <v>9453</v>
      </c>
      <c r="G2366" s="1100">
        <v>0</v>
      </c>
      <c r="H2366" s="1100" t="s">
        <v>10345</v>
      </c>
      <c r="I2366" s="871">
        <v>46296.133080937499</v>
      </c>
      <c r="J2366" s="1100" t="s">
        <v>10346</v>
      </c>
      <c r="K2366" s="975" t="str">
        <f>IF(COUNTIFS(tblControles[Clave],tblControles[[#This Row],[Clave]])&gt;1,"Duplicado","")</f>
        <v/>
      </c>
    </row>
    <row r="2367" spans="2:11">
      <c r="B2367" s="975" t="str">
        <f>tblControles[[#This Row],[Fecha]]&amp;"|"&amp;tblControles[[#This Row],[Módulo]]&amp;"|"&amp;tblControles[[#This Row],[Ítem]]&amp;"|"&amp;tblControles[[#This Row],[Turno]]</f>
        <v>46294|AGREGADO MEDIOS|BARRAS RM7|Cantidad</v>
      </c>
      <c r="C2367" s="871">
        <v>46294</v>
      </c>
      <c r="D2367" s="1100" t="s">
        <v>9451</v>
      </c>
      <c r="E2367" s="1100" t="s">
        <v>416</v>
      </c>
      <c r="F2367" s="1100" t="s">
        <v>9453</v>
      </c>
      <c r="G2367" s="1100">
        <v>7</v>
      </c>
      <c r="H2367" s="1100" t="s">
        <v>10345</v>
      </c>
      <c r="I2367" s="871">
        <v>46296.133080937499</v>
      </c>
      <c r="J2367" s="1100" t="s">
        <v>10346</v>
      </c>
      <c r="K2367" s="975" t="str">
        <f>IF(COUNTIFS(tblControles[Clave],tblControles[[#This Row],[Clave]])&gt;1,"Duplicado","")</f>
        <v/>
      </c>
    </row>
    <row r="2368" spans="2:11">
      <c r="B2368" s="975" t="str">
        <f>tblControles[[#This Row],[Fecha]]&amp;"|"&amp;tblControles[[#This Row],[Módulo]]&amp;"|"&amp;tblControles[[#This Row],[Ítem]]&amp;"|"&amp;tblControles[[#This Row],[Turno]]</f>
        <v>46294|AGREGADO MEDIOS|BARRAS RM8|Cantidad</v>
      </c>
      <c r="C2368" s="871">
        <v>46294</v>
      </c>
      <c r="D2368" s="1100" t="s">
        <v>9451</v>
      </c>
      <c r="E2368" s="1100" t="s">
        <v>417</v>
      </c>
      <c r="F2368" s="1100" t="s">
        <v>9453</v>
      </c>
      <c r="G2368" s="1100">
        <v>0</v>
      </c>
      <c r="H2368" s="1100" t="s">
        <v>10345</v>
      </c>
      <c r="I2368" s="871">
        <v>46296.133080937499</v>
      </c>
      <c r="J2368" s="1100" t="s">
        <v>10346</v>
      </c>
      <c r="K2368" s="975" t="str">
        <f>IF(COUNTIFS(tblControles[Clave],tblControles[[#This Row],[Clave]])&gt;1,"Duplicado","")</f>
        <v/>
      </c>
    </row>
    <row r="2369" spans="2:11">
      <c r="B2369" s="975" t="str">
        <f>tblControles[[#This Row],[Fecha]]&amp;"|"&amp;tblControles[[#This Row],[Módulo]]&amp;"|"&amp;tblControles[[#This Row],[Ítem]]&amp;"|"&amp;tblControles[[#This Row],[Turno]]</f>
        <v>46294|AGREGADO MEDIOS|BOLAS ALTO CROM|Cantidad</v>
      </c>
      <c r="C2369" s="871">
        <v>46294</v>
      </c>
      <c r="D2369" s="1100" t="s">
        <v>9451</v>
      </c>
      <c r="E2369" s="1100" t="s">
        <v>432</v>
      </c>
      <c r="F2369" s="1100" t="s">
        <v>9453</v>
      </c>
      <c r="G2369" s="1100">
        <v>0</v>
      </c>
      <c r="H2369" s="1100" t="s">
        <v>10345</v>
      </c>
      <c r="I2369" s="871">
        <v>46296.133080937499</v>
      </c>
      <c r="J2369" s="1100" t="s">
        <v>10346</v>
      </c>
      <c r="K2369" s="975" t="str">
        <f>IF(COUNTIFS(tblControles[Clave],tblControles[[#This Row],[Clave]])&gt;1,"Duplicado","")</f>
        <v/>
      </c>
    </row>
    <row r="2370" spans="2:11">
      <c r="B2370" s="975" t="str">
        <f>tblControles[[#This Row],[Fecha]]&amp;"|"&amp;tblControles[[#This Row],[Módulo]]&amp;"|"&amp;tblControles[[#This Row],[Ítem]]&amp;"|"&amp;tblControles[[#This Row],[Turno]]</f>
        <v>46294|AGREGADO MEDIOS|BOLAS BM10|Cantidad</v>
      </c>
      <c r="C2370" s="871">
        <v>46294</v>
      </c>
      <c r="D2370" s="1100" t="s">
        <v>9451</v>
      </c>
      <c r="E2370" s="1100" t="s">
        <v>431</v>
      </c>
      <c r="F2370" s="1100" t="s">
        <v>9453</v>
      </c>
      <c r="G2370" s="1100">
        <v>0</v>
      </c>
      <c r="H2370" s="1100" t="s">
        <v>10345</v>
      </c>
      <c r="I2370" s="871">
        <v>46296.133080937499</v>
      </c>
      <c r="J2370" s="1100" t="s">
        <v>10346</v>
      </c>
      <c r="K2370" s="975" t="str">
        <f>IF(COUNTIFS(tblControles[Clave],tblControles[[#This Row],[Clave]])&gt;1,"Duplicado","")</f>
        <v/>
      </c>
    </row>
    <row r="2371" spans="2:11">
      <c r="B2371" s="975" t="str">
        <f>tblControles[[#This Row],[Fecha]]&amp;"|"&amp;tblControles[[#This Row],[Módulo]]&amp;"|"&amp;tblControles[[#This Row],[Ítem]]&amp;"|"&amp;tblControles[[#This Row],[Turno]]</f>
        <v>46294|AGREGADO MEDIOS|BOLAS BM8|Cantidad</v>
      </c>
      <c r="C2371" s="871">
        <v>46294</v>
      </c>
      <c r="D2371" s="1100" t="s">
        <v>9451</v>
      </c>
      <c r="E2371" s="1100" t="s">
        <v>429</v>
      </c>
      <c r="F2371" s="1100" t="s">
        <v>9453</v>
      </c>
      <c r="G2371" s="1100">
        <v>0</v>
      </c>
      <c r="H2371" s="1100" t="s">
        <v>10345</v>
      </c>
      <c r="I2371" s="871">
        <v>46296.133080937499</v>
      </c>
      <c r="J2371" s="1100" t="s">
        <v>10346</v>
      </c>
      <c r="K2371" s="975" t="str">
        <f>IF(COUNTIFS(tblControles[Clave],tblControles[[#This Row],[Clave]])&gt;1,"Duplicado","")</f>
        <v/>
      </c>
    </row>
    <row r="2372" spans="2:11">
      <c r="B2372" s="975" t="str">
        <f>tblControles[[#This Row],[Fecha]]&amp;"|"&amp;tblControles[[#This Row],[Módulo]]&amp;"|"&amp;tblControles[[#This Row],[Ítem]]&amp;"|"&amp;tblControles[[#This Row],[Turno]]</f>
        <v>46294|AGREGADO MEDIOS|BOLAS BM9|Cantidad</v>
      </c>
      <c r="C2372" s="871">
        <v>46294</v>
      </c>
      <c r="D2372" s="1100" t="s">
        <v>9451</v>
      </c>
      <c r="E2372" s="1100" t="s">
        <v>430</v>
      </c>
      <c r="F2372" s="1100" t="s">
        <v>9453</v>
      </c>
      <c r="G2372" s="1100">
        <v>0</v>
      </c>
      <c r="H2372" s="1100" t="s">
        <v>10345</v>
      </c>
      <c r="I2372" s="871">
        <v>46296.133080937499</v>
      </c>
      <c r="J2372" s="1100" t="s">
        <v>10346</v>
      </c>
      <c r="K2372" s="975" t="str">
        <f>IF(COUNTIFS(tblControles[Clave],tblControles[[#This Row],[Clave]])&gt;1,"Duplicado","")</f>
        <v/>
      </c>
    </row>
    <row r="2373" spans="2:11">
      <c r="B2373" s="975" t="str">
        <f>tblControles[[#This Row],[Fecha]]&amp;"|"&amp;tblControles[[#This Row],[Módulo]]&amp;"|"&amp;tblControles[[#This Row],[Ítem]]&amp;"|"&amp;tblControles[[#This Row],[Turno]]</f>
        <v>46294|AGREGADO MEDIOS|CONOS 30X35|Cantidad</v>
      </c>
      <c r="C2373" s="871">
        <v>46294</v>
      </c>
      <c r="D2373" s="1100" t="s">
        <v>9451</v>
      </c>
      <c r="E2373" s="1100" t="s">
        <v>428</v>
      </c>
      <c r="F2373" s="1100" t="s">
        <v>9453</v>
      </c>
      <c r="G2373" s="1100">
        <v>0</v>
      </c>
      <c r="H2373" s="1100" t="s">
        <v>10345</v>
      </c>
      <c r="I2373" s="871">
        <v>46296.133080937499</v>
      </c>
      <c r="J2373" s="1100" t="s">
        <v>10346</v>
      </c>
      <c r="K2373" s="975" t="str">
        <f>IF(COUNTIFS(tblControles[Clave],tblControles[[#This Row],[Clave]])&gt;1,"Duplicado","")</f>
        <v/>
      </c>
    </row>
    <row r="2374" spans="2:11">
      <c r="B2374" s="975" t="str">
        <f>tblControles[[#This Row],[Fecha]]&amp;"|"&amp;tblControles[[#This Row],[Módulo]]&amp;"|"&amp;tblControles[[#This Row],[Ítem]]&amp;"|"&amp;tblControles[[#This Row],[Turno]]</f>
        <v>46294|AGREGADO MEDIOS|CONOS 30X35 BM5|Cantidad</v>
      </c>
      <c r="C2374" s="871">
        <v>46294</v>
      </c>
      <c r="D2374" s="1100" t="s">
        <v>9451</v>
      </c>
      <c r="E2374" s="1100" t="s">
        <v>424</v>
      </c>
      <c r="F2374" s="1100" t="s">
        <v>9453</v>
      </c>
      <c r="G2374" s="1100">
        <v>0</v>
      </c>
      <c r="H2374" s="1100" t="s">
        <v>10345</v>
      </c>
      <c r="I2374" s="871">
        <v>46296.133080937499</v>
      </c>
      <c r="J2374" s="1100" t="s">
        <v>10346</v>
      </c>
      <c r="K2374" s="975" t="str">
        <f>IF(COUNTIFS(tblControles[Clave],tblControles[[#This Row],[Clave]])&gt;1,"Duplicado","")</f>
        <v/>
      </c>
    </row>
    <row r="2375" spans="2:11">
      <c r="B2375" s="975" t="str">
        <f>tblControles[[#This Row],[Fecha]]&amp;"|"&amp;tblControles[[#This Row],[Módulo]]&amp;"|"&amp;tblControles[[#This Row],[Ítem]]&amp;"|"&amp;tblControles[[#This Row],[Turno]]</f>
        <v>46294|AGREGADO MEDIOS|CONOS 40X50|Cantidad</v>
      </c>
      <c r="C2375" s="871">
        <v>46294</v>
      </c>
      <c r="D2375" s="1100" t="s">
        <v>9451</v>
      </c>
      <c r="E2375" s="1100" t="s">
        <v>427</v>
      </c>
      <c r="F2375" s="1100" t="s">
        <v>9453</v>
      </c>
      <c r="G2375" s="1100">
        <v>0</v>
      </c>
      <c r="H2375" s="1100" t="s">
        <v>10345</v>
      </c>
      <c r="I2375" s="871">
        <v>46296.133080937499</v>
      </c>
      <c r="J2375" s="1100" t="s">
        <v>10346</v>
      </c>
      <c r="K2375" s="975" t="str">
        <f>IF(COUNTIFS(tblControles[Clave],tblControles[[#This Row],[Clave]])&gt;1,"Duplicado","")</f>
        <v/>
      </c>
    </row>
    <row r="2376" spans="2:11">
      <c r="B2376" s="975" t="str">
        <f>tblControles[[#This Row],[Fecha]]&amp;"|"&amp;tblControles[[#This Row],[Módulo]]&amp;"|"&amp;tblControles[[#This Row],[Ítem]]&amp;"|"&amp;tblControles[[#This Row],[Turno]]</f>
        <v>46294|AGREGADO MEDIOS|CONOS 40X50 BM1|Cantidad</v>
      </c>
      <c r="C2376" s="871">
        <v>46294</v>
      </c>
      <c r="D2376" s="1100" t="s">
        <v>9451</v>
      </c>
      <c r="E2376" s="1100" t="s">
        <v>420</v>
      </c>
      <c r="F2376" s="1100" t="s">
        <v>9453</v>
      </c>
      <c r="G2376" s="1100">
        <v>0</v>
      </c>
      <c r="H2376" s="1100" t="s">
        <v>10345</v>
      </c>
      <c r="I2376" s="871">
        <v>46296.133080937499</v>
      </c>
      <c r="J2376" s="1100" t="s">
        <v>10346</v>
      </c>
      <c r="K2376" s="975" t="str">
        <f>IF(COUNTIFS(tblControles[Clave],tblControles[[#This Row],[Clave]])&gt;1,"Duplicado","")</f>
        <v/>
      </c>
    </row>
    <row r="2377" spans="2:11">
      <c r="B2377" s="975" t="str">
        <f>tblControles[[#This Row],[Fecha]]&amp;"|"&amp;tblControles[[#This Row],[Módulo]]&amp;"|"&amp;tblControles[[#This Row],[Ítem]]&amp;"|"&amp;tblControles[[#This Row],[Turno]]</f>
        <v>46294|AGREGADO MEDIOS|CONOS 40X50 BM2|Cantidad</v>
      </c>
      <c r="C2377" s="871">
        <v>46294</v>
      </c>
      <c r="D2377" s="1100" t="s">
        <v>9451</v>
      </c>
      <c r="E2377" s="1100" t="s">
        <v>421</v>
      </c>
      <c r="F2377" s="1100" t="s">
        <v>9453</v>
      </c>
      <c r="G2377" s="1100">
        <v>0</v>
      </c>
      <c r="H2377" s="1100" t="s">
        <v>10345</v>
      </c>
      <c r="I2377" s="871">
        <v>46296.133080937499</v>
      </c>
      <c r="J2377" s="1100" t="s">
        <v>10346</v>
      </c>
      <c r="K2377" s="975" t="str">
        <f>IF(COUNTIFS(tblControles[Clave],tblControles[[#This Row],[Clave]])&gt;1,"Duplicado","")</f>
        <v/>
      </c>
    </row>
    <row r="2378" spans="2:11">
      <c r="B2378" s="975" t="str">
        <f>tblControles[[#This Row],[Fecha]]&amp;"|"&amp;tblControles[[#This Row],[Módulo]]&amp;"|"&amp;tblControles[[#This Row],[Ítem]]&amp;"|"&amp;tblControles[[#This Row],[Turno]]</f>
        <v>46294|AGREGADO MEDIOS|CONOS 40X50 BM3|Cantidad</v>
      </c>
      <c r="C2378" s="871">
        <v>46294</v>
      </c>
      <c r="D2378" s="1100" t="s">
        <v>9451</v>
      </c>
      <c r="E2378" s="1100" t="s">
        <v>422</v>
      </c>
      <c r="F2378" s="1100" t="s">
        <v>9453</v>
      </c>
      <c r="G2378" s="1100">
        <v>0</v>
      </c>
      <c r="H2378" s="1100" t="s">
        <v>10345</v>
      </c>
      <c r="I2378" s="871">
        <v>46296.133080937499</v>
      </c>
      <c r="J2378" s="1100" t="s">
        <v>10346</v>
      </c>
      <c r="K2378" s="975" t="str">
        <f>IF(COUNTIFS(tblControles[Clave],tblControles[[#This Row],[Clave]])&gt;1,"Duplicado","")</f>
        <v/>
      </c>
    </row>
    <row r="2379" spans="2:11">
      <c r="B2379" s="975" t="str">
        <f>tblControles[[#This Row],[Fecha]]&amp;"|"&amp;tblControles[[#This Row],[Módulo]]&amp;"|"&amp;tblControles[[#This Row],[Ítem]]&amp;"|"&amp;tblControles[[#This Row],[Turno]]</f>
        <v>46294|AGREGADO MEDIOS|CONOS 40X50 BM4|Cantidad</v>
      </c>
      <c r="C2379" s="871">
        <v>46294</v>
      </c>
      <c r="D2379" s="1100" t="s">
        <v>9451</v>
      </c>
      <c r="E2379" s="1100" t="s">
        <v>423</v>
      </c>
      <c r="F2379" s="1100" t="s">
        <v>9453</v>
      </c>
      <c r="G2379" s="1100">
        <v>0</v>
      </c>
      <c r="H2379" s="1100" t="s">
        <v>10345</v>
      </c>
      <c r="I2379" s="871">
        <v>46296.133080937499</v>
      </c>
      <c r="J2379" s="1100" t="s">
        <v>10346</v>
      </c>
      <c r="K2379" s="975" t="str">
        <f>IF(COUNTIFS(tblControles[Clave],tblControles[[#This Row],[Clave]])&gt;1,"Duplicado","")</f>
        <v/>
      </c>
    </row>
    <row r="2380" spans="2:11">
      <c r="B2380" s="975" t="str">
        <f>tblControles[[#This Row],[Fecha]]&amp;"|"&amp;tblControles[[#This Row],[Módulo]]&amp;"|"&amp;tblControles[[#This Row],[Ítem]]&amp;"|"&amp;tblControles[[#This Row],[Turno]]</f>
        <v>46294|AGREGADO MEDIOS|CONOS 40X50 BM6|Cantidad</v>
      </c>
      <c r="C2380" s="871">
        <v>46294</v>
      </c>
      <c r="D2380" s="1100" t="s">
        <v>9451</v>
      </c>
      <c r="E2380" s="1100" t="s">
        <v>425</v>
      </c>
      <c r="F2380" s="1100" t="s">
        <v>9453</v>
      </c>
      <c r="G2380" s="1100">
        <v>0</v>
      </c>
      <c r="H2380" s="1100" t="s">
        <v>10345</v>
      </c>
      <c r="I2380" s="871">
        <v>46296.133080937499</v>
      </c>
      <c r="J2380" s="1100" t="s">
        <v>10346</v>
      </c>
      <c r="K2380" s="975" t="str">
        <f>IF(COUNTIFS(tblControles[Clave],tblControles[[#This Row],[Clave]])&gt;1,"Duplicado","")</f>
        <v/>
      </c>
    </row>
    <row r="2381" spans="2:11">
      <c r="B2381" s="975" t="str">
        <f>tblControles[[#This Row],[Fecha]]&amp;"|"&amp;tblControles[[#This Row],[Módulo]]&amp;"|"&amp;tblControles[[#This Row],[Ítem]]&amp;"|"&amp;tblControles[[#This Row],[Turno]]</f>
        <v>46294|AGREGADO MEDIOS|CONOS 40X50 BM7|Cantidad</v>
      </c>
      <c r="C2381" s="871">
        <v>46294</v>
      </c>
      <c r="D2381" s="1100" t="s">
        <v>9451</v>
      </c>
      <c r="E2381" s="1100" t="s">
        <v>426</v>
      </c>
      <c r="F2381" s="1100" t="s">
        <v>9453</v>
      </c>
      <c r="G2381" s="1100">
        <v>0</v>
      </c>
      <c r="H2381" s="1100" t="s">
        <v>10345</v>
      </c>
      <c r="I2381" s="871">
        <v>46296.133080937499</v>
      </c>
      <c r="J2381" s="1100" t="s">
        <v>10346</v>
      </c>
      <c r="K2381" s="975" t="str">
        <f>IF(COUNTIFS(tblControles[Clave],tblControles[[#This Row],[Clave]])&gt;1,"Duplicado","")</f>
        <v/>
      </c>
    </row>
    <row r="2382" spans="2:11">
      <c r="B2382" s="975" t="str">
        <f>tblControles[[#This Row],[Fecha]]&amp;"|"&amp;tblControles[[#This Row],[Módulo]]&amp;"|"&amp;tblControles[[#This Row],[Ítem]]&amp;"|"&amp;tblControles[[#This Row],[Turno]]</f>
        <v>46288|CARGA MOLINOS|BM - 1|% carga</v>
      </c>
      <c r="C2382" s="871">
        <v>46288</v>
      </c>
      <c r="D2382" s="1100" t="s">
        <v>9455</v>
      </c>
      <c r="E2382" s="1100" t="s">
        <v>444</v>
      </c>
      <c r="F2382" s="1100" t="s">
        <v>9457</v>
      </c>
      <c r="G2382" s="1100">
        <v>90.8</v>
      </c>
      <c r="H2382" s="1100" t="s">
        <v>10345</v>
      </c>
      <c r="I2382" s="871">
        <v>46296.133080937499</v>
      </c>
      <c r="J2382" s="1100" t="s">
        <v>10347</v>
      </c>
      <c r="K2382" s="975" t="str">
        <f>IF(COUNTIFS(tblControles[Clave],tblControles[[#This Row],[Clave]])&gt;1,"Duplicado","")</f>
        <v/>
      </c>
    </row>
    <row r="2383" spans="2:11">
      <c r="B2383" s="975" t="str">
        <f>tblControles[[#This Row],[Fecha]]&amp;"|"&amp;tblControles[[#This Row],[Módulo]]&amp;"|"&amp;tblControles[[#This Row],[Ítem]]&amp;"|"&amp;tblControles[[#This Row],[Turno]]</f>
        <v>46288|CARGA MOLINOS|BM - 10|% carga</v>
      </c>
      <c r="C2383" s="871">
        <v>46288</v>
      </c>
      <c r="D2383" s="1100" t="s">
        <v>9455</v>
      </c>
      <c r="E2383" s="1100" t="s">
        <v>452</v>
      </c>
      <c r="F2383" s="1100" t="s">
        <v>9457</v>
      </c>
      <c r="G2383" s="1100">
        <v>78.900000000000006</v>
      </c>
      <c r="H2383" s="1100" t="s">
        <v>10345</v>
      </c>
      <c r="I2383" s="871">
        <v>46296.133080937499</v>
      </c>
      <c r="J2383" s="1100" t="s">
        <v>10347</v>
      </c>
      <c r="K2383" s="975" t="str">
        <f>IF(COUNTIFS(tblControles[Clave],tblControles[[#This Row],[Clave]])&gt;1,"Duplicado","")</f>
        <v/>
      </c>
    </row>
    <row r="2384" spans="2:11">
      <c r="B2384" s="975" t="str">
        <f>tblControles[[#This Row],[Fecha]]&amp;"|"&amp;tblControles[[#This Row],[Módulo]]&amp;"|"&amp;tblControles[[#This Row],[Ítem]]&amp;"|"&amp;tblControles[[#This Row],[Turno]]</f>
        <v>46288|CARGA MOLINOS|BM - 2|% carga</v>
      </c>
      <c r="C2384" s="871">
        <v>46288</v>
      </c>
      <c r="D2384" s="1100" t="s">
        <v>9455</v>
      </c>
      <c r="E2384" s="1100" t="s">
        <v>9519</v>
      </c>
      <c r="F2384" s="1100" t="s">
        <v>9457</v>
      </c>
      <c r="G2384" s="1100">
        <v>80.5</v>
      </c>
      <c r="H2384" s="1100" t="s">
        <v>10345</v>
      </c>
      <c r="I2384" s="871">
        <v>46296.133080937499</v>
      </c>
      <c r="J2384" s="1100" t="s">
        <v>10347</v>
      </c>
      <c r="K2384" s="975" t="str">
        <f>IF(COUNTIFS(tblControles[Clave],tblControles[[#This Row],[Clave]])&gt;1,"Duplicado","")</f>
        <v/>
      </c>
    </row>
    <row r="2385" spans="2:11">
      <c r="B2385" s="975" t="str">
        <f>tblControles[[#This Row],[Fecha]]&amp;"|"&amp;tblControles[[#This Row],[Módulo]]&amp;"|"&amp;tblControles[[#This Row],[Ítem]]&amp;"|"&amp;tblControles[[#This Row],[Turno]]</f>
        <v>46288|CARGA MOLINOS|BM - 3|% carga</v>
      </c>
      <c r="C2385" s="871">
        <v>46288</v>
      </c>
      <c r="D2385" s="1100" t="s">
        <v>9455</v>
      </c>
      <c r="E2385" s="1100" t="s">
        <v>445</v>
      </c>
      <c r="F2385" s="1100" t="s">
        <v>9457</v>
      </c>
      <c r="G2385" s="1100">
        <v>81.5</v>
      </c>
      <c r="H2385" s="1100" t="s">
        <v>10345</v>
      </c>
      <c r="I2385" s="871">
        <v>46296.133080937499</v>
      </c>
      <c r="J2385" s="1100" t="s">
        <v>10347</v>
      </c>
      <c r="K2385" s="975" t="str">
        <f>IF(COUNTIFS(tblControles[Clave],tblControles[[#This Row],[Clave]])&gt;1,"Duplicado","")</f>
        <v/>
      </c>
    </row>
    <row r="2386" spans="2:11">
      <c r="B2386" s="975" t="str">
        <f>tblControles[[#This Row],[Fecha]]&amp;"|"&amp;tblControles[[#This Row],[Módulo]]&amp;"|"&amp;tblControles[[#This Row],[Ítem]]&amp;"|"&amp;tblControles[[#This Row],[Turno]]</f>
        <v>46288|CARGA MOLINOS|BM - 4|% carga</v>
      </c>
      <c r="C2386" s="871">
        <v>46288</v>
      </c>
      <c r="D2386" s="1100" t="s">
        <v>9455</v>
      </c>
      <c r="E2386" s="1100" t="s">
        <v>446</v>
      </c>
      <c r="F2386" s="1100" t="s">
        <v>9457</v>
      </c>
      <c r="G2386" s="1100">
        <v>83.8</v>
      </c>
      <c r="H2386" s="1100" t="s">
        <v>10345</v>
      </c>
      <c r="I2386" s="871">
        <v>46296.133080937499</v>
      </c>
      <c r="J2386" s="1100" t="s">
        <v>10347</v>
      </c>
      <c r="K2386" s="975" t="str">
        <f>IF(COUNTIFS(tblControles[Clave],tblControles[[#This Row],[Clave]])&gt;1,"Duplicado","")</f>
        <v/>
      </c>
    </row>
    <row r="2387" spans="2:11">
      <c r="B2387" s="975" t="str">
        <f>tblControles[[#This Row],[Fecha]]&amp;"|"&amp;tblControles[[#This Row],[Módulo]]&amp;"|"&amp;tblControles[[#This Row],[Ítem]]&amp;"|"&amp;tblControles[[#This Row],[Turno]]</f>
        <v>46288|CARGA MOLINOS|BM - 5|% carga</v>
      </c>
      <c r="C2387" s="871">
        <v>46288</v>
      </c>
      <c r="D2387" s="1100" t="s">
        <v>9455</v>
      </c>
      <c r="E2387" s="1100" t="s">
        <v>447</v>
      </c>
      <c r="F2387" s="1100" t="s">
        <v>9457</v>
      </c>
      <c r="G2387" s="1100">
        <v>94.4</v>
      </c>
      <c r="H2387" s="1100" t="s">
        <v>10345</v>
      </c>
      <c r="I2387" s="871">
        <v>46296.133080937499</v>
      </c>
      <c r="J2387" s="1100" t="s">
        <v>10347</v>
      </c>
      <c r="K2387" s="975" t="str">
        <f>IF(COUNTIFS(tblControles[Clave],tblControles[[#This Row],[Clave]])&gt;1,"Duplicado","")</f>
        <v/>
      </c>
    </row>
    <row r="2388" spans="2:11">
      <c r="B2388" s="975" t="str">
        <f>tblControles[[#This Row],[Fecha]]&amp;"|"&amp;tblControles[[#This Row],[Módulo]]&amp;"|"&amp;tblControles[[#This Row],[Ítem]]&amp;"|"&amp;tblControles[[#This Row],[Turno]]</f>
        <v>46288|CARGA MOLINOS|BM - 6|% carga</v>
      </c>
      <c r="C2388" s="871">
        <v>46288</v>
      </c>
      <c r="D2388" s="1100" t="s">
        <v>9455</v>
      </c>
      <c r="E2388" s="1100" t="s">
        <v>448</v>
      </c>
      <c r="F2388" s="1100" t="s">
        <v>9457</v>
      </c>
      <c r="G2388" s="1100">
        <v>88</v>
      </c>
      <c r="H2388" s="1100" t="s">
        <v>10345</v>
      </c>
      <c r="I2388" s="871">
        <v>46296.133080937499</v>
      </c>
      <c r="J2388" s="1100" t="s">
        <v>10347</v>
      </c>
      <c r="K2388" s="975" t="str">
        <f>IF(COUNTIFS(tblControles[Clave],tblControles[[#This Row],[Clave]])&gt;1,"Duplicado","")</f>
        <v/>
      </c>
    </row>
    <row r="2389" spans="2:11">
      <c r="B2389" s="975" t="str">
        <f>tblControles[[#This Row],[Fecha]]&amp;"|"&amp;tblControles[[#This Row],[Módulo]]&amp;"|"&amp;tblControles[[#This Row],[Ítem]]&amp;"|"&amp;tblControles[[#This Row],[Turno]]</f>
        <v>46288|CARGA MOLINOS|BM - 7|% carga</v>
      </c>
      <c r="C2389" s="871">
        <v>46288</v>
      </c>
      <c r="D2389" s="1100" t="s">
        <v>9455</v>
      </c>
      <c r="E2389" s="1100" t="s">
        <v>449</v>
      </c>
      <c r="F2389" s="1100" t="s">
        <v>9457</v>
      </c>
      <c r="G2389" s="1100">
        <v>86</v>
      </c>
      <c r="H2389" s="1100" t="s">
        <v>10345</v>
      </c>
      <c r="I2389" s="871">
        <v>46296.133080937499</v>
      </c>
      <c r="J2389" s="1100" t="s">
        <v>10347</v>
      </c>
      <c r="K2389" s="975" t="str">
        <f>IF(COUNTIFS(tblControles[Clave],tblControles[[#This Row],[Clave]])&gt;1,"Duplicado","")</f>
        <v/>
      </c>
    </row>
    <row r="2390" spans="2:11">
      <c r="B2390" s="975" t="str">
        <f>tblControles[[#This Row],[Fecha]]&amp;"|"&amp;tblControles[[#This Row],[Módulo]]&amp;"|"&amp;tblControles[[#This Row],[Ítem]]&amp;"|"&amp;tblControles[[#This Row],[Turno]]</f>
        <v>46288|CARGA MOLINOS|BM - 8|% carga</v>
      </c>
      <c r="C2390" s="871">
        <v>46288</v>
      </c>
      <c r="D2390" s="1100" t="s">
        <v>9455</v>
      </c>
      <c r="E2390" s="1100" t="s">
        <v>450</v>
      </c>
      <c r="F2390" s="1100" t="s">
        <v>9457</v>
      </c>
      <c r="G2390" s="1100">
        <v>88</v>
      </c>
      <c r="H2390" s="1100" t="s">
        <v>10345</v>
      </c>
      <c r="I2390" s="871">
        <v>46296.133080937499</v>
      </c>
      <c r="J2390" s="1100" t="s">
        <v>10347</v>
      </c>
      <c r="K2390" s="975" t="str">
        <f>IF(COUNTIFS(tblControles[Clave],tblControles[[#This Row],[Clave]])&gt;1,"Duplicado","")</f>
        <v/>
      </c>
    </row>
    <row r="2391" spans="2:11">
      <c r="B2391" s="975" t="str">
        <f>tblControles[[#This Row],[Fecha]]&amp;"|"&amp;tblControles[[#This Row],[Módulo]]&amp;"|"&amp;tblControles[[#This Row],[Ítem]]&amp;"|"&amp;tblControles[[#This Row],[Turno]]</f>
        <v>46288|CARGA MOLINOS|BM - 9|% carga</v>
      </c>
      <c r="C2391" s="871">
        <v>46288</v>
      </c>
      <c r="D2391" s="1100" t="s">
        <v>9455</v>
      </c>
      <c r="E2391" s="1100" t="s">
        <v>451</v>
      </c>
      <c r="F2391" s="1100" t="s">
        <v>9457</v>
      </c>
      <c r="G2391" s="1100">
        <v>76.7</v>
      </c>
      <c r="H2391" s="1100" t="s">
        <v>10345</v>
      </c>
      <c r="I2391" s="871">
        <v>46296.133080937499</v>
      </c>
      <c r="J2391" s="1100" t="s">
        <v>10347</v>
      </c>
      <c r="K2391" s="975" t="str">
        <f>IF(COUNTIFS(tblControles[Clave],tblControles[[#This Row],[Clave]])&gt;1,"Duplicado","")</f>
        <v/>
      </c>
    </row>
    <row r="2392" spans="2:11">
      <c r="B2392" s="975" t="str">
        <f>tblControles[[#This Row],[Fecha]]&amp;"|"&amp;tblControles[[#This Row],[Módulo]]&amp;"|"&amp;tblControles[[#This Row],[Ítem]]&amp;"|"&amp;tblControles[[#This Row],[Turno]]</f>
        <v>46288|CARGA MOLINOS|RM - 1|% carga</v>
      </c>
      <c r="C2392" s="871">
        <v>46288</v>
      </c>
      <c r="D2392" s="1100" t="s">
        <v>9455</v>
      </c>
      <c r="E2392" s="1100" t="s">
        <v>435</v>
      </c>
      <c r="F2392" s="1100" t="s">
        <v>9457</v>
      </c>
      <c r="G2392" s="1100">
        <v>85.4</v>
      </c>
      <c r="H2392" s="1100" t="s">
        <v>10345</v>
      </c>
      <c r="I2392" s="871">
        <v>46296.133080937499</v>
      </c>
      <c r="J2392" s="1100" t="s">
        <v>10347</v>
      </c>
      <c r="K2392" s="975" t="str">
        <f>IF(COUNTIFS(tblControles[Clave],tblControles[[#This Row],[Clave]])&gt;1,"Duplicado","")</f>
        <v/>
      </c>
    </row>
    <row r="2393" spans="2:11">
      <c r="B2393" s="975" t="str">
        <f>tblControles[[#This Row],[Fecha]]&amp;"|"&amp;tblControles[[#This Row],[Módulo]]&amp;"|"&amp;tblControles[[#This Row],[Ítem]]&amp;"|"&amp;tblControles[[#This Row],[Turno]]</f>
        <v>46288|CARGA MOLINOS|RM - 3|% carga</v>
      </c>
      <c r="C2393" s="871">
        <v>46288</v>
      </c>
      <c r="D2393" s="1100" t="s">
        <v>9455</v>
      </c>
      <c r="E2393" s="1100" t="s">
        <v>437</v>
      </c>
      <c r="F2393" s="1100" t="s">
        <v>9457</v>
      </c>
      <c r="G2393" s="1100">
        <v>86.6</v>
      </c>
      <c r="H2393" s="1100" t="s">
        <v>10345</v>
      </c>
      <c r="I2393" s="871">
        <v>46296.133080937499</v>
      </c>
      <c r="J2393" s="1100" t="s">
        <v>10347</v>
      </c>
      <c r="K2393" s="975" t="str">
        <f>IF(COUNTIFS(tblControles[Clave],tblControles[[#This Row],[Clave]])&gt;1,"Duplicado","")</f>
        <v/>
      </c>
    </row>
    <row r="2394" spans="2:11">
      <c r="B2394" s="975" t="str">
        <f>tblControles[[#This Row],[Fecha]]&amp;"|"&amp;tblControles[[#This Row],[Módulo]]&amp;"|"&amp;tblControles[[#This Row],[Ítem]]&amp;"|"&amp;tblControles[[#This Row],[Turno]]</f>
        <v>46288|CARGA MOLINOS|RM - 4|% carga</v>
      </c>
      <c r="C2394" s="871">
        <v>46288</v>
      </c>
      <c r="D2394" s="1100" t="s">
        <v>9455</v>
      </c>
      <c r="E2394" s="1100" t="s">
        <v>438</v>
      </c>
      <c r="F2394" s="1100" t="s">
        <v>9457</v>
      </c>
      <c r="G2394" s="1100">
        <v>80.7</v>
      </c>
      <c r="H2394" s="1100" t="s">
        <v>10345</v>
      </c>
      <c r="I2394" s="871">
        <v>46296.133080937499</v>
      </c>
      <c r="J2394" s="1100" t="s">
        <v>10347</v>
      </c>
      <c r="K2394" s="975" t="str">
        <f>IF(COUNTIFS(tblControles[Clave],tblControles[[#This Row],[Clave]])&gt;1,"Duplicado","")</f>
        <v/>
      </c>
    </row>
    <row r="2395" spans="2:11">
      <c r="B2395" s="975" t="str">
        <f>tblControles[[#This Row],[Fecha]]&amp;"|"&amp;tblControles[[#This Row],[Módulo]]&amp;"|"&amp;tblControles[[#This Row],[Ítem]]&amp;"|"&amp;tblControles[[#This Row],[Turno]]</f>
        <v>46288|CARGA MOLINOS|RM - 5|% carga</v>
      </c>
      <c r="C2395" s="871">
        <v>46288</v>
      </c>
      <c r="D2395" s="1100" t="s">
        <v>9455</v>
      </c>
      <c r="E2395" s="1100" t="s">
        <v>439</v>
      </c>
      <c r="F2395" s="1100" t="s">
        <v>9457</v>
      </c>
      <c r="G2395" s="1100">
        <v>86.6</v>
      </c>
      <c r="H2395" s="1100" t="s">
        <v>10345</v>
      </c>
      <c r="I2395" s="871">
        <v>46296.133080937499</v>
      </c>
      <c r="J2395" s="1100" t="s">
        <v>10347</v>
      </c>
      <c r="K2395" s="975" t="str">
        <f>IF(COUNTIFS(tblControles[Clave],tblControles[[#This Row],[Clave]])&gt;1,"Duplicado","")</f>
        <v/>
      </c>
    </row>
    <row r="2396" spans="2:11">
      <c r="B2396" s="975" t="str">
        <f>tblControles[[#This Row],[Fecha]]&amp;"|"&amp;tblControles[[#This Row],[Módulo]]&amp;"|"&amp;tblControles[[#This Row],[Ítem]]&amp;"|"&amp;tblControles[[#This Row],[Turno]]</f>
        <v>46288|CARGA MOLINOS|RM - 6|% carga</v>
      </c>
      <c r="C2396" s="871">
        <v>46288</v>
      </c>
      <c r="D2396" s="1100" t="s">
        <v>9455</v>
      </c>
      <c r="E2396" s="1100" t="s">
        <v>440</v>
      </c>
      <c r="F2396" s="1100" t="s">
        <v>9457</v>
      </c>
      <c r="G2396" s="1100">
        <v>84.1</v>
      </c>
      <c r="H2396" s="1100" t="s">
        <v>10345</v>
      </c>
      <c r="I2396" s="871">
        <v>46296.133080937499</v>
      </c>
      <c r="J2396" s="1100" t="s">
        <v>10347</v>
      </c>
      <c r="K2396" s="975" t="str">
        <f>IF(COUNTIFS(tblControles[Clave],tblControles[[#This Row],[Clave]])&gt;1,"Duplicado","")</f>
        <v/>
      </c>
    </row>
    <row r="2397" spans="2:11">
      <c r="B2397" s="975" t="str">
        <f>tblControles[[#This Row],[Fecha]]&amp;"|"&amp;tblControles[[#This Row],[Módulo]]&amp;"|"&amp;tblControles[[#This Row],[Ítem]]&amp;"|"&amp;tblControles[[#This Row],[Turno]]</f>
        <v>46288|CARGA MOLINOS|RM - 7|% carga</v>
      </c>
      <c r="C2397" s="871">
        <v>46288</v>
      </c>
      <c r="D2397" s="1100" t="s">
        <v>9455</v>
      </c>
      <c r="E2397" s="1100" t="s">
        <v>441</v>
      </c>
      <c r="F2397" s="1100" t="s">
        <v>9457</v>
      </c>
      <c r="G2397" s="1100">
        <v>91.8</v>
      </c>
      <c r="H2397" s="1100" t="s">
        <v>10345</v>
      </c>
      <c r="I2397" s="871">
        <v>46296.133080937499</v>
      </c>
      <c r="J2397" s="1100" t="s">
        <v>10347</v>
      </c>
      <c r="K2397" s="975" t="str">
        <f>IF(COUNTIFS(tblControles[Clave],tblControles[[#This Row],[Clave]])&gt;1,"Duplicado","")</f>
        <v/>
      </c>
    </row>
    <row r="2398" spans="2:11">
      <c r="B2398" s="975" t="str">
        <f>tblControles[[#This Row],[Fecha]]&amp;"|"&amp;tblControles[[#This Row],[Módulo]]&amp;"|"&amp;tblControles[[#This Row],[Ítem]]&amp;"|"&amp;tblControles[[#This Row],[Turno]]</f>
        <v>46288|CARGA MOLINOS|RM - 8|% carga</v>
      </c>
      <c r="C2398" s="871">
        <v>46288</v>
      </c>
      <c r="D2398" s="1100" t="s">
        <v>9455</v>
      </c>
      <c r="E2398" s="1100" t="s">
        <v>442</v>
      </c>
      <c r="F2398" s="1100" t="s">
        <v>9457</v>
      </c>
      <c r="G2398" s="1100">
        <v>86.6</v>
      </c>
      <c r="H2398" s="1100" t="s">
        <v>10345</v>
      </c>
      <c r="I2398" s="871">
        <v>46296.133080937499</v>
      </c>
      <c r="J2398" s="1100" t="s">
        <v>10347</v>
      </c>
      <c r="K2398" s="975" t="str">
        <f>IF(COUNTIFS(tblControles[Clave],tblControles[[#This Row],[Clave]])&gt;1,"Duplicado","")</f>
        <v/>
      </c>
    </row>
    <row r="2399" spans="2:11">
      <c r="B2399" s="975" t="str">
        <f>tblControles[[#This Row],[Fecha]]&amp;"|"&amp;tblControles[[#This Row],[Módulo]]&amp;"|"&amp;tblControles[[#This Row],[Ítem]]&amp;"|"&amp;tblControles[[#This Row],[Turno]]</f>
        <v>46288|CARGA MOLINOS|RM - 9|% carga</v>
      </c>
      <c r="C2399" s="871">
        <v>46288</v>
      </c>
      <c r="D2399" s="1100" t="s">
        <v>9455</v>
      </c>
      <c r="E2399" s="1100" t="s">
        <v>443</v>
      </c>
      <c r="F2399" s="1100" t="s">
        <v>9457</v>
      </c>
      <c r="G2399" s="1100">
        <v>62</v>
      </c>
      <c r="H2399" s="1100" t="s">
        <v>10345</v>
      </c>
      <c r="I2399" s="871">
        <v>46296.133080937499</v>
      </c>
      <c r="J2399" s="1100" t="s">
        <v>10347</v>
      </c>
      <c r="K2399" s="975" t="str">
        <f>IF(COUNTIFS(tblControles[Clave],tblControles[[#This Row],[Clave]])&gt;1,"Duplicado","")</f>
        <v/>
      </c>
    </row>
    <row r="2400" spans="2:11">
      <c r="B2400" s="975" t="str">
        <f>tblControles[[#This Row],[Fecha]]&amp;"|"&amp;tblControles[[#This Row],[Módulo]]&amp;"|"&amp;tblControles[[#This Row],[Ítem]]&amp;"|"&amp;tblControles[[#This Row],[Turno]]</f>
        <v>46289|CARGA MOLINOS|BM - 1|% carga</v>
      </c>
      <c r="C2400" s="871">
        <v>46289</v>
      </c>
      <c r="D2400" s="1100" t="s">
        <v>9455</v>
      </c>
      <c r="E2400" s="1100" t="s">
        <v>444</v>
      </c>
      <c r="F2400" s="1100" t="s">
        <v>9457</v>
      </c>
      <c r="G2400" s="1100">
        <v>90.1</v>
      </c>
      <c r="H2400" s="1100" t="s">
        <v>10345</v>
      </c>
      <c r="I2400" s="871">
        <v>46296.133080937499</v>
      </c>
      <c r="J2400" s="1100" t="s">
        <v>10347</v>
      </c>
      <c r="K2400" s="975" t="str">
        <f>IF(COUNTIFS(tblControles[Clave],tblControles[[#This Row],[Clave]])&gt;1,"Duplicado","")</f>
        <v/>
      </c>
    </row>
    <row r="2401" spans="2:11">
      <c r="B2401" s="975" t="str">
        <f>tblControles[[#This Row],[Fecha]]&amp;"|"&amp;tblControles[[#This Row],[Módulo]]&amp;"|"&amp;tblControles[[#This Row],[Ítem]]&amp;"|"&amp;tblControles[[#This Row],[Turno]]</f>
        <v>46289|CARGA MOLINOS|BM - 10|% carga</v>
      </c>
      <c r="C2401" s="871">
        <v>46289</v>
      </c>
      <c r="D2401" s="1100" t="s">
        <v>9455</v>
      </c>
      <c r="E2401" s="1100" t="s">
        <v>452</v>
      </c>
      <c r="F2401" s="1100" t="s">
        <v>9457</v>
      </c>
      <c r="G2401" s="1100">
        <v>82.1</v>
      </c>
      <c r="H2401" s="1100" t="s">
        <v>10345</v>
      </c>
      <c r="I2401" s="871">
        <v>46296.133080937499</v>
      </c>
      <c r="J2401" s="1100" t="s">
        <v>10347</v>
      </c>
      <c r="K2401" s="975" t="str">
        <f>IF(COUNTIFS(tblControles[Clave],tblControles[[#This Row],[Clave]])&gt;1,"Duplicado","")</f>
        <v/>
      </c>
    </row>
    <row r="2402" spans="2:11">
      <c r="B2402" s="975" t="str">
        <f>tblControles[[#This Row],[Fecha]]&amp;"|"&amp;tblControles[[#This Row],[Módulo]]&amp;"|"&amp;tblControles[[#This Row],[Ítem]]&amp;"|"&amp;tblControles[[#This Row],[Turno]]</f>
        <v>46289|CARGA MOLINOS|BM - 2|% carga</v>
      </c>
      <c r="C2402" s="871">
        <v>46289</v>
      </c>
      <c r="D2402" s="1100" t="s">
        <v>9455</v>
      </c>
      <c r="E2402" s="1100" t="s">
        <v>9519</v>
      </c>
      <c r="F2402" s="1100" t="s">
        <v>9457</v>
      </c>
      <c r="G2402" s="1100">
        <v>88.5</v>
      </c>
      <c r="H2402" s="1100" t="s">
        <v>10345</v>
      </c>
      <c r="I2402" s="871">
        <v>46296.133080937499</v>
      </c>
      <c r="J2402" s="1100" t="s">
        <v>10347</v>
      </c>
      <c r="K2402" s="975" t="str">
        <f>IF(COUNTIFS(tblControles[Clave],tblControles[[#This Row],[Clave]])&gt;1,"Duplicado","")</f>
        <v/>
      </c>
    </row>
    <row r="2403" spans="2:11">
      <c r="B2403" s="975" t="str">
        <f>tblControles[[#This Row],[Fecha]]&amp;"|"&amp;tblControles[[#This Row],[Módulo]]&amp;"|"&amp;tblControles[[#This Row],[Ítem]]&amp;"|"&amp;tblControles[[#This Row],[Turno]]</f>
        <v>46289|CARGA MOLINOS|BM - 5|% carga</v>
      </c>
      <c r="C2403" s="871">
        <v>46289</v>
      </c>
      <c r="D2403" s="1100" t="s">
        <v>9455</v>
      </c>
      <c r="E2403" s="1100" t="s">
        <v>447</v>
      </c>
      <c r="F2403" s="1100" t="s">
        <v>9457</v>
      </c>
      <c r="G2403" s="1100">
        <v>97.6</v>
      </c>
      <c r="H2403" s="1100" t="s">
        <v>10345</v>
      </c>
      <c r="I2403" s="871">
        <v>46296.133080937499</v>
      </c>
      <c r="J2403" s="1100" t="s">
        <v>10347</v>
      </c>
      <c r="K2403" s="975" t="str">
        <f>IF(COUNTIFS(tblControles[Clave],tblControles[[#This Row],[Clave]])&gt;1,"Duplicado","")</f>
        <v/>
      </c>
    </row>
    <row r="2404" spans="2:11">
      <c r="B2404" s="975" t="str">
        <f>tblControles[[#This Row],[Fecha]]&amp;"|"&amp;tblControles[[#This Row],[Módulo]]&amp;"|"&amp;tblControles[[#This Row],[Ítem]]&amp;"|"&amp;tblControles[[#This Row],[Turno]]</f>
        <v>46289|CARGA MOLINOS|BM - 6|% carga</v>
      </c>
      <c r="C2404" s="871">
        <v>46289</v>
      </c>
      <c r="D2404" s="1100" t="s">
        <v>9455</v>
      </c>
      <c r="E2404" s="1100" t="s">
        <v>448</v>
      </c>
      <c r="F2404" s="1100" t="s">
        <v>9457</v>
      </c>
      <c r="G2404" s="1100">
        <v>87.9</v>
      </c>
      <c r="H2404" s="1100" t="s">
        <v>10345</v>
      </c>
      <c r="I2404" s="871">
        <v>46296.133080937499</v>
      </c>
      <c r="J2404" s="1100" t="s">
        <v>10347</v>
      </c>
      <c r="K2404" s="975" t="str">
        <f>IF(COUNTIFS(tblControles[Clave],tblControles[[#This Row],[Clave]])&gt;1,"Duplicado","")</f>
        <v/>
      </c>
    </row>
    <row r="2405" spans="2:11">
      <c r="B2405" s="975" t="str">
        <f>tblControles[[#This Row],[Fecha]]&amp;"|"&amp;tblControles[[#This Row],[Módulo]]&amp;"|"&amp;tblControles[[#This Row],[Ítem]]&amp;"|"&amp;tblControles[[#This Row],[Turno]]</f>
        <v>46289|CARGA MOLINOS|BM - 7|% carga</v>
      </c>
      <c r="C2405" s="871">
        <v>46289</v>
      </c>
      <c r="D2405" s="1100" t="s">
        <v>9455</v>
      </c>
      <c r="E2405" s="1100" t="s">
        <v>449</v>
      </c>
      <c r="F2405" s="1100" t="s">
        <v>9457</v>
      </c>
      <c r="G2405" s="1100">
        <v>84.9</v>
      </c>
      <c r="H2405" s="1100" t="s">
        <v>10345</v>
      </c>
      <c r="I2405" s="871">
        <v>46296.133080937499</v>
      </c>
      <c r="J2405" s="1100" t="s">
        <v>10347</v>
      </c>
      <c r="K2405" s="975" t="str">
        <f>IF(COUNTIFS(tblControles[Clave],tblControles[[#This Row],[Clave]])&gt;1,"Duplicado","")</f>
        <v/>
      </c>
    </row>
    <row r="2406" spans="2:11">
      <c r="B2406" s="975" t="str">
        <f>tblControles[[#This Row],[Fecha]]&amp;"|"&amp;tblControles[[#This Row],[Módulo]]&amp;"|"&amp;tblControles[[#This Row],[Ítem]]&amp;"|"&amp;tblControles[[#This Row],[Turno]]</f>
        <v>46289|CARGA MOLINOS|BM - 8|% carga</v>
      </c>
      <c r="C2406" s="871">
        <v>46289</v>
      </c>
      <c r="D2406" s="1100" t="s">
        <v>9455</v>
      </c>
      <c r="E2406" s="1100" t="s">
        <v>450</v>
      </c>
      <c r="F2406" s="1100" t="s">
        <v>9457</v>
      </c>
      <c r="G2406" s="1100">
        <v>87.7</v>
      </c>
      <c r="H2406" s="1100" t="s">
        <v>10345</v>
      </c>
      <c r="I2406" s="871">
        <v>46296.133080937499</v>
      </c>
      <c r="J2406" s="1100" t="s">
        <v>10347</v>
      </c>
      <c r="K2406" s="975" t="str">
        <f>IF(COUNTIFS(tblControles[Clave],tblControles[[#This Row],[Clave]])&gt;1,"Duplicado","")</f>
        <v/>
      </c>
    </row>
    <row r="2407" spans="2:11">
      <c r="B2407" s="975" t="str">
        <f>tblControles[[#This Row],[Fecha]]&amp;"|"&amp;tblControles[[#This Row],[Módulo]]&amp;"|"&amp;tblControles[[#This Row],[Ítem]]&amp;"|"&amp;tblControles[[#This Row],[Turno]]</f>
        <v>46289|CARGA MOLINOS|BM - 9|% carga</v>
      </c>
      <c r="C2407" s="871">
        <v>46289</v>
      </c>
      <c r="D2407" s="1100" t="s">
        <v>9455</v>
      </c>
      <c r="E2407" s="1100" t="s">
        <v>451</v>
      </c>
      <c r="F2407" s="1100" t="s">
        <v>9457</v>
      </c>
      <c r="G2407" s="1100">
        <v>75.599999999999994</v>
      </c>
      <c r="H2407" s="1100" t="s">
        <v>10345</v>
      </c>
      <c r="I2407" s="871">
        <v>46296.133080937499</v>
      </c>
      <c r="J2407" s="1100" t="s">
        <v>10347</v>
      </c>
      <c r="K2407" s="975" t="str">
        <f>IF(COUNTIFS(tblControles[Clave],tblControles[[#This Row],[Clave]])&gt;1,"Duplicado","")</f>
        <v/>
      </c>
    </row>
    <row r="2408" spans="2:11">
      <c r="B2408" s="975" t="str">
        <f>tblControles[[#This Row],[Fecha]]&amp;"|"&amp;tblControles[[#This Row],[Módulo]]&amp;"|"&amp;tblControles[[#This Row],[Ítem]]&amp;"|"&amp;tblControles[[#This Row],[Turno]]</f>
        <v>46289|CARGA MOLINOS|RM - 1|% carga</v>
      </c>
      <c r="C2408" s="871">
        <v>46289</v>
      </c>
      <c r="D2408" s="1100" t="s">
        <v>9455</v>
      </c>
      <c r="E2408" s="1100" t="s">
        <v>435</v>
      </c>
      <c r="F2408" s="1100" t="s">
        <v>9457</v>
      </c>
      <c r="G2408" s="1100">
        <v>88.5</v>
      </c>
      <c r="H2408" s="1100" t="s">
        <v>10345</v>
      </c>
      <c r="I2408" s="871">
        <v>46296.133080937499</v>
      </c>
      <c r="J2408" s="1100" t="s">
        <v>10347</v>
      </c>
      <c r="K2408" s="975" t="str">
        <f>IF(COUNTIFS(tblControles[Clave],tblControles[[#This Row],[Clave]])&gt;1,"Duplicado","")</f>
        <v/>
      </c>
    </row>
    <row r="2409" spans="2:11">
      <c r="B2409" s="975" t="str">
        <f>tblControles[[#This Row],[Fecha]]&amp;"|"&amp;tblControles[[#This Row],[Módulo]]&amp;"|"&amp;tblControles[[#This Row],[Ítem]]&amp;"|"&amp;tblControles[[#This Row],[Turno]]</f>
        <v>46289|CARGA MOLINOS|RM - 2|% carga</v>
      </c>
      <c r="C2409" s="871">
        <v>46289</v>
      </c>
      <c r="D2409" s="1100" t="s">
        <v>9455</v>
      </c>
      <c r="E2409" s="1100" t="s">
        <v>436</v>
      </c>
      <c r="F2409" s="1100" t="s">
        <v>9457</v>
      </c>
      <c r="G2409" s="1100">
        <v>83</v>
      </c>
      <c r="H2409" s="1100" t="s">
        <v>10345</v>
      </c>
      <c r="I2409" s="871">
        <v>46296.133080937499</v>
      </c>
      <c r="J2409" s="1100" t="s">
        <v>10347</v>
      </c>
      <c r="K2409" s="975" t="str">
        <f>IF(COUNTIFS(tblControles[Clave],tblControles[[#This Row],[Clave]])&gt;1,"Duplicado","")</f>
        <v/>
      </c>
    </row>
    <row r="2410" spans="2:11">
      <c r="B2410" s="975" t="str">
        <f>tblControles[[#This Row],[Fecha]]&amp;"|"&amp;tblControles[[#This Row],[Módulo]]&amp;"|"&amp;tblControles[[#This Row],[Ítem]]&amp;"|"&amp;tblControles[[#This Row],[Turno]]</f>
        <v>46289|CARGA MOLINOS|RM - 3|% carga</v>
      </c>
      <c r="C2410" s="871">
        <v>46289</v>
      </c>
      <c r="D2410" s="1100" t="s">
        <v>9455</v>
      </c>
      <c r="E2410" s="1100" t="s">
        <v>437</v>
      </c>
      <c r="F2410" s="1100" t="s">
        <v>9457</v>
      </c>
      <c r="G2410" s="1100">
        <v>89.5</v>
      </c>
      <c r="H2410" s="1100" t="s">
        <v>10345</v>
      </c>
      <c r="I2410" s="871">
        <v>46296.133080937499</v>
      </c>
      <c r="J2410" s="1100" t="s">
        <v>10347</v>
      </c>
      <c r="K2410" s="975" t="str">
        <f>IF(COUNTIFS(tblControles[Clave],tblControles[[#This Row],[Clave]])&gt;1,"Duplicado","")</f>
        <v/>
      </c>
    </row>
    <row r="2411" spans="2:11">
      <c r="B2411" s="975" t="str">
        <f>tblControles[[#This Row],[Fecha]]&amp;"|"&amp;tblControles[[#This Row],[Módulo]]&amp;"|"&amp;tblControles[[#This Row],[Ítem]]&amp;"|"&amp;tblControles[[#This Row],[Turno]]</f>
        <v>46289|CARGA MOLINOS|RM - 5|% carga</v>
      </c>
      <c r="C2411" s="871">
        <v>46289</v>
      </c>
      <c r="D2411" s="1100" t="s">
        <v>9455</v>
      </c>
      <c r="E2411" s="1100" t="s">
        <v>439</v>
      </c>
      <c r="F2411" s="1100" t="s">
        <v>9457</v>
      </c>
      <c r="G2411" s="1100">
        <v>88.1</v>
      </c>
      <c r="H2411" s="1100" t="s">
        <v>10345</v>
      </c>
      <c r="I2411" s="871">
        <v>46296.133080937499</v>
      </c>
      <c r="J2411" s="1100" t="s">
        <v>10347</v>
      </c>
      <c r="K2411" s="975" t="str">
        <f>IF(COUNTIFS(tblControles[Clave],tblControles[[#This Row],[Clave]])&gt;1,"Duplicado","")</f>
        <v/>
      </c>
    </row>
    <row r="2412" spans="2:11">
      <c r="B2412" s="975" t="str">
        <f>tblControles[[#This Row],[Fecha]]&amp;"|"&amp;tblControles[[#This Row],[Módulo]]&amp;"|"&amp;tblControles[[#This Row],[Ítem]]&amp;"|"&amp;tblControles[[#This Row],[Turno]]</f>
        <v>46289|CARGA MOLINOS|RM - 6|% carga</v>
      </c>
      <c r="C2412" s="871">
        <v>46289</v>
      </c>
      <c r="D2412" s="1100" t="s">
        <v>9455</v>
      </c>
      <c r="E2412" s="1100" t="s">
        <v>440</v>
      </c>
      <c r="F2412" s="1100" t="s">
        <v>9457</v>
      </c>
      <c r="G2412" s="1100">
        <v>87.4</v>
      </c>
      <c r="H2412" s="1100" t="s">
        <v>10345</v>
      </c>
      <c r="I2412" s="871">
        <v>46296.133080937499</v>
      </c>
      <c r="J2412" s="1100" t="s">
        <v>10347</v>
      </c>
      <c r="K2412" s="975" t="str">
        <f>IF(COUNTIFS(tblControles[Clave],tblControles[[#This Row],[Clave]])&gt;1,"Duplicado","")</f>
        <v/>
      </c>
    </row>
    <row r="2413" spans="2:11">
      <c r="B2413" s="975" t="str">
        <f>tblControles[[#This Row],[Fecha]]&amp;"|"&amp;tblControles[[#This Row],[Módulo]]&amp;"|"&amp;tblControles[[#This Row],[Ítem]]&amp;"|"&amp;tblControles[[#This Row],[Turno]]</f>
        <v>46289|CARGA MOLINOS|RM - 7|% carga</v>
      </c>
      <c r="C2413" s="871">
        <v>46289</v>
      </c>
      <c r="D2413" s="1100" t="s">
        <v>9455</v>
      </c>
      <c r="E2413" s="1100" t="s">
        <v>441</v>
      </c>
      <c r="F2413" s="1100" t="s">
        <v>9457</v>
      </c>
      <c r="G2413" s="1100">
        <v>89.7</v>
      </c>
      <c r="H2413" s="1100" t="s">
        <v>10345</v>
      </c>
      <c r="I2413" s="871">
        <v>46296.133080937499</v>
      </c>
      <c r="J2413" s="1100" t="s">
        <v>10347</v>
      </c>
      <c r="K2413" s="975" t="str">
        <f>IF(COUNTIFS(tblControles[Clave],tblControles[[#This Row],[Clave]])&gt;1,"Duplicado","")</f>
        <v/>
      </c>
    </row>
    <row r="2414" spans="2:11">
      <c r="B2414" s="975" t="str">
        <f>tblControles[[#This Row],[Fecha]]&amp;"|"&amp;tblControles[[#This Row],[Módulo]]&amp;"|"&amp;tblControles[[#This Row],[Ítem]]&amp;"|"&amp;tblControles[[#This Row],[Turno]]</f>
        <v>46289|CARGA MOLINOS|RM - 8|% carga</v>
      </c>
      <c r="C2414" s="871">
        <v>46289</v>
      </c>
      <c r="D2414" s="1100" t="s">
        <v>9455</v>
      </c>
      <c r="E2414" s="1100" t="s">
        <v>442</v>
      </c>
      <c r="F2414" s="1100" t="s">
        <v>9457</v>
      </c>
      <c r="G2414" s="1100">
        <v>88.1</v>
      </c>
      <c r="H2414" s="1100" t="s">
        <v>10345</v>
      </c>
      <c r="I2414" s="871">
        <v>46296.133080937499</v>
      </c>
      <c r="J2414" s="1100" t="s">
        <v>10347</v>
      </c>
      <c r="K2414" s="975" t="str">
        <f>IF(COUNTIFS(tblControles[Clave],tblControles[[#This Row],[Clave]])&gt;1,"Duplicado","")</f>
        <v/>
      </c>
    </row>
    <row r="2415" spans="2:11">
      <c r="B2415" s="975" t="str">
        <f>tblControles[[#This Row],[Fecha]]&amp;"|"&amp;tblControles[[#This Row],[Módulo]]&amp;"|"&amp;tblControles[[#This Row],[Ítem]]&amp;"|"&amp;tblControles[[#This Row],[Turno]]</f>
        <v>46289|CARGA MOLINOS|RM - 9|% carga</v>
      </c>
      <c r="C2415" s="871">
        <v>46289</v>
      </c>
      <c r="D2415" s="1100" t="s">
        <v>9455</v>
      </c>
      <c r="E2415" s="1100" t="s">
        <v>443</v>
      </c>
      <c r="F2415" s="1100" t="s">
        <v>9457</v>
      </c>
      <c r="G2415" s="1100">
        <v>63</v>
      </c>
      <c r="H2415" s="1100" t="s">
        <v>10345</v>
      </c>
      <c r="I2415" s="871">
        <v>46296.133080937499</v>
      </c>
      <c r="J2415" s="1100" t="s">
        <v>10347</v>
      </c>
      <c r="K2415" s="975" t="str">
        <f>IF(COUNTIFS(tblControles[Clave],tblControles[[#This Row],[Clave]])&gt;1,"Duplicado","")</f>
        <v/>
      </c>
    </row>
    <row r="2416" spans="2:11">
      <c r="B2416" s="975" t="str">
        <f>tblControles[[#This Row],[Fecha]]&amp;"|"&amp;tblControles[[#This Row],[Módulo]]&amp;"|"&amp;tblControles[[#This Row],[Ítem]]&amp;"|"&amp;tblControles[[#This Row],[Turno]]</f>
        <v>46290|CARGA MOLINOS|BM - 1|% carga</v>
      </c>
      <c r="C2416" s="871">
        <v>46290</v>
      </c>
      <c r="D2416" s="1100" t="s">
        <v>9455</v>
      </c>
      <c r="E2416" s="1100" t="s">
        <v>444</v>
      </c>
      <c r="F2416" s="1100" t="s">
        <v>9457</v>
      </c>
      <c r="G2416" s="1100">
        <v>85.2</v>
      </c>
      <c r="H2416" s="1100" t="s">
        <v>10345</v>
      </c>
      <c r="I2416" s="871">
        <v>46296.133080937499</v>
      </c>
      <c r="J2416" s="1100" t="s">
        <v>10347</v>
      </c>
      <c r="K2416" s="975" t="str">
        <f>IF(COUNTIFS(tblControles[Clave],tblControles[[#This Row],[Clave]])&gt;1,"Duplicado","")</f>
        <v/>
      </c>
    </row>
    <row r="2417" spans="2:11">
      <c r="B2417" s="975" t="str">
        <f>tblControles[[#This Row],[Fecha]]&amp;"|"&amp;tblControles[[#This Row],[Módulo]]&amp;"|"&amp;tblControles[[#This Row],[Ítem]]&amp;"|"&amp;tblControles[[#This Row],[Turno]]</f>
        <v>46290|CARGA MOLINOS|BM - 10|% carga</v>
      </c>
      <c r="C2417" s="871">
        <v>46290</v>
      </c>
      <c r="D2417" s="1100" t="s">
        <v>9455</v>
      </c>
      <c r="E2417" s="1100" t="s">
        <v>452</v>
      </c>
      <c r="F2417" s="1100" t="s">
        <v>9457</v>
      </c>
      <c r="G2417" s="1100">
        <v>78.400000000000006</v>
      </c>
      <c r="H2417" s="1100" t="s">
        <v>10345</v>
      </c>
      <c r="I2417" s="871">
        <v>46296.133080937499</v>
      </c>
      <c r="J2417" s="1100" t="s">
        <v>10347</v>
      </c>
      <c r="K2417" s="975" t="str">
        <f>IF(COUNTIFS(tblControles[Clave],tblControles[[#This Row],[Clave]])&gt;1,"Duplicado","")</f>
        <v/>
      </c>
    </row>
    <row r="2418" spans="2:11">
      <c r="B2418" s="975" t="str">
        <f>tblControles[[#This Row],[Fecha]]&amp;"|"&amp;tblControles[[#This Row],[Módulo]]&amp;"|"&amp;tblControles[[#This Row],[Ítem]]&amp;"|"&amp;tblControles[[#This Row],[Turno]]</f>
        <v>46290|CARGA MOLINOS|BM - 2|% carga</v>
      </c>
      <c r="C2418" s="871">
        <v>46290</v>
      </c>
      <c r="D2418" s="1100" t="s">
        <v>9455</v>
      </c>
      <c r="E2418" s="1100" t="s">
        <v>9519</v>
      </c>
      <c r="F2418" s="1100" t="s">
        <v>9457</v>
      </c>
      <c r="G2418" s="1100">
        <v>92.5</v>
      </c>
      <c r="H2418" s="1100" t="s">
        <v>10345</v>
      </c>
      <c r="I2418" s="871">
        <v>46296.133080937499</v>
      </c>
      <c r="J2418" s="1100" t="s">
        <v>10347</v>
      </c>
      <c r="K2418" s="975" t="str">
        <f>IF(COUNTIFS(tblControles[Clave],tblControles[[#This Row],[Clave]])&gt;1,"Duplicado","")</f>
        <v/>
      </c>
    </row>
    <row r="2419" spans="2:11">
      <c r="B2419" s="975" t="str">
        <f>tblControles[[#This Row],[Fecha]]&amp;"|"&amp;tblControles[[#This Row],[Módulo]]&amp;"|"&amp;tblControles[[#This Row],[Ítem]]&amp;"|"&amp;tblControles[[#This Row],[Turno]]</f>
        <v>46290|CARGA MOLINOS|BM - 4|% carga</v>
      </c>
      <c r="C2419" s="871">
        <v>46290</v>
      </c>
      <c r="D2419" s="1100" t="s">
        <v>9455</v>
      </c>
      <c r="E2419" s="1100" t="s">
        <v>446</v>
      </c>
      <c r="F2419" s="1100" t="s">
        <v>9457</v>
      </c>
      <c r="G2419" s="1100">
        <v>83.5</v>
      </c>
      <c r="H2419" s="1100" t="s">
        <v>10345</v>
      </c>
      <c r="I2419" s="871">
        <v>46296.133080937499</v>
      </c>
      <c r="J2419" s="1100" t="s">
        <v>10347</v>
      </c>
      <c r="K2419" s="975" t="str">
        <f>IF(COUNTIFS(tblControles[Clave],tblControles[[#This Row],[Clave]])&gt;1,"Duplicado","")</f>
        <v/>
      </c>
    </row>
    <row r="2420" spans="2:11">
      <c r="B2420" s="975" t="str">
        <f>tblControles[[#This Row],[Fecha]]&amp;"|"&amp;tblControles[[#This Row],[Módulo]]&amp;"|"&amp;tblControles[[#This Row],[Ítem]]&amp;"|"&amp;tblControles[[#This Row],[Turno]]</f>
        <v>46290|CARGA MOLINOS|BM - 5|% carga</v>
      </c>
      <c r="C2420" s="871">
        <v>46290</v>
      </c>
      <c r="D2420" s="1100" t="s">
        <v>9455</v>
      </c>
      <c r="E2420" s="1100" t="s">
        <v>447</v>
      </c>
      <c r="F2420" s="1100" t="s">
        <v>9457</v>
      </c>
      <c r="G2420" s="1100">
        <v>97.3</v>
      </c>
      <c r="H2420" s="1100" t="s">
        <v>10345</v>
      </c>
      <c r="I2420" s="871">
        <v>46296.133080937499</v>
      </c>
      <c r="J2420" s="1100" t="s">
        <v>10347</v>
      </c>
      <c r="K2420" s="975" t="str">
        <f>IF(COUNTIFS(tblControles[Clave],tblControles[[#This Row],[Clave]])&gt;1,"Duplicado","")</f>
        <v/>
      </c>
    </row>
    <row r="2421" spans="2:11">
      <c r="B2421" s="975" t="str">
        <f>tblControles[[#This Row],[Fecha]]&amp;"|"&amp;tblControles[[#This Row],[Módulo]]&amp;"|"&amp;tblControles[[#This Row],[Ítem]]&amp;"|"&amp;tblControles[[#This Row],[Turno]]</f>
        <v>46290|CARGA MOLINOS|BM - 6|% carga</v>
      </c>
      <c r="C2421" s="871">
        <v>46290</v>
      </c>
      <c r="D2421" s="1100" t="s">
        <v>9455</v>
      </c>
      <c r="E2421" s="1100" t="s">
        <v>448</v>
      </c>
      <c r="F2421" s="1100" t="s">
        <v>9457</v>
      </c>
      <c r="G2421" s="1100">
        <v>85.4</v>
      </c>
      <c r="H2421" s="1100" t="s">
        <v>10345</v>
      </c>
      <c r="I2421" s="871">
        <v>46296.133080937499</v>
      </c>
      <c r="J2421" s="1100" t="s">
        <v>10347</v>
      </c>
      <c r="K2421" s="975" t="str">
        <f>IF(COUNTIFS(tblControles[Clave],tblControles[[#This Row],[Clave]])&gt;1,"Duplicado","")</f>
        <v/>
      </c>
    </row>
    <row r="2422" spans="2:11">
      <c r="B2422" s="975" t="str">
        <f>tblControles[[#This Row],[Fecha]]&amp;"|"&amp;tblControles[[#This Row],[Módulo]]&amp;"|"&amp;tblControles[[#This Row],[Ítem]]&amp;"|"&amp;tblControles[[#This Row],[Turno]]</f>
        <v>46290|CARGA MOLINOS|BM - 7|% carga</v>
      </c>
      <c r="C2422" s="871">
        <v>46290</v>
      </c>
      <c r="D2422" s="1100" t="s">
        <v>9455</v>
      </c>
      <c r="E2422" s="1100" t="s">
        <v>449</v>
      </c>
      <c r="F2422" s="1100" t="s">
        <v>9457</v>
      </c>
      <c r="G2422" s="1100">
        <v>83.6</v>
      </c>
      <c r="H2422" s="1100" t="s">
        <v>10345</v>
      </c>
      <c r="I2422" s="871">
        <v>46296.133080937499</v>
      </c>
      <c r="J2422" s="1100" t="s">
        <v>10347</v>
      </c>
      <c r="K2422" s="975" t="str">
        <f>IF(COUNTIFS(tblControles[Clave],tblControles[[#This Row],[Clave]])&gt;1,"Duplicado","")</f>
        <v/>
      </c>
    </row>
    <row r="2423" spans="2:11">
      <c r="B2423" s="975" t="str">
        <f>tblControles[[#This Row],[Fecha]]&amp;"|"&amp;tblControles[[#This Row],[Módulo]]&amp;"|"&amp;tblControles[[#This Row],[Ítem]]&amp;"|"&amp;tblControles[[#This Row],[Turno]]</f>
        <v>46290|CARGA MOLINOS|BM - 8|% carga</v>
      </c>
      <c r="C2423" s="871">
        <v>46290</v>
      </c>
      <c r="D2423" s="1100" t="s">
        <v>9455</v>
      </c>
      <c r="E2423" s="1100" t="s">
        <v>450</v>
      </c>
      <c r="F2423" s="1100" t="s">
        <v>9457</v>
      </c>
      <c r="G2423" s="1100">
        <v>86.9</v>
      </c>
      <c r="H2423" s="1100" t="s">
        <v>10345</v>
      </c>
      <c r="I2423" s="871">
        <v>46296.133080937499</v>
      </c>
      <c r="J2423" s="1100" t="s">
        <v>10347</v>
      </c>
      <c r="K2423" s="975" t="str">
        <f>IF(COUNTIFS(tblControles[Clave],tblControles[[#This Row],[Clave]])&gt;1,"Duplicado","")</f>
        <v/>
      </c>
    </row>
    <row r="2424" spans="2:11">
      <c r="B2424" s="975" t="str">
        <f>tblControles[[#This Row],[Fecha]]&amp;"|"&amp;tblControles[[#This Row],[Módulo]]&amp;"|"&amp;tblControles[[#This Row],[Ítem]]&amp;"|"&amp;tblControles[[#This Row],[Turno]]</f>
        <v>46290|CARGA MOLINOS|BM - 9|% carga</v>
      </c>
      <c r="C2424" s="871">
        <v>46290</v>
      </c>
      <c r="D2424" s="1100" t="s">
        <v>9455</v>
      </c>
      <c r="E2424" s="1100" t="s">
        <v>451</v>
      </c>
      <c r="F2424" s="1100" t="s">
        <v>9457</v>
      </c>
      <c r="G2424" s="1100">
        <v>74.7</v>
      </c>
      <c r="H2424" s="1100" t="s">
        <v>10345</v>
      </c>
      <c r="I2424" s="871">
        <v>46296.133080937499</v>
      </c>
      <c r="J2424" s="1100" t="s">
        <v>10347</v>
      </c>
      <c r="K2424" s="975" t="str">
        <f>IF(COUNTIFS(tblControles[Clave],tblControles[[#This Row],[Clave]])&gt;1,"Duplicado","")</f>
        <v/>
      </c>
    </row>
    <row r="2425" spans="2:11">
      <c r="B2425" s="975" t="str">
        <f>tblControles[[#This Row],[Fecha]]&amp;"|"&amp;tblControles[[#This Row],[Módulo]]&amp;"|"&amp;tblControles[[#This Row],[Ítem]]&amp;"|"&amp;tblControles[[#This Row],[Turno]]</f>
        <v>46290|CARGA MOLINOS|RM - 1|% carga</v>
      </c>
      <c r="C2425" s="871">
        <v>46290</v>
      </c>
      <c r="D2425" s="1100" t="s">
        <v>9455</v>
      </c>
      <c r="E2425" s="1100" t="s">
        <v>435</v>
      </c>
      <c r="F2425" s="1100" t="s">
        <v>9457</v>
      </c>
      <c r="G2425" s="1100">
        <v>87.9</v>
      </c>
      <c r="H2425" s="1100" t="s">
        <v>10345</v>
      </c>
      <c r="I2425" s="871">
        <v>46296.133080937499</v>
      </c>
      <c r="J2425" s="1100" t="s">
        <v>10347</v>
      </c>
      <c r="K2425" s="975" t="str">
        <f>IF(COUNTIFS(tblControles[Clave],tblControles[[#This Row],[Clave]])&gt;1,"Duplicado","")</f>
        <v/>
      </c>
    </row>
    <row r="2426" spans="2:11">
      <c r="B2426" s="975" t="str">
        <f>tblControles[[#This Row],[Fecha]]&amp;"|"&amp;tblControles[[#This Row],[Módulo]]&amp;"|"&amp;tblControles[[#This Row],[Ítem]]&amp;"|"&amp;tblControles[[#This Row],[Turno]]</f>
        <v>46290|CARGA MOLINOS|RM - 2|% carga</v>
      </c>
      <c r="C2426" s="871">
        <v>46290</v>
      </c>
      <c r="D2426" s="1100" t="s">
        <v>9455</v>
      </c>
      <c r="E2426" s="1100" t="s">
        <v>436</v>
      </c>
      <c r="F2426" s="1100" t="s">
        <v>9457</v>
      </c>
      <c r="G2426" s="1100">
        <v>84.5</v>
      </c>
      <c r="H2426" s="1100" t="s">
        <v>10345</v>
      </c>
      <c r="I2426" s="871">
        <v>46296.133080937499</v>
      </c>
      <c r="J2426" s="1100" t="s">
        <v>10347</v>
      </c>
      <c r="K2426" s="975" t="str">
        <f>IF(COUNTIFS(tblControles[Clave],tblControles[[#This Row],[Clave]])&gt;1,"Duplicado","")</f>
        <v/>
      </c>
    </row>
    <row r="2427" spans="2:11">
      <c r="B2427" s="975" t="str">
        <f>tblControles[[#This Row],[Fecha]]&amp;"|"&amp;tblControles[[#This Row],[Módulo]]&amp;"|"&amp;tblControles[[#This Row],[Ítem]]&amp;"|"&amp;tblControles[[#This Row],[Turno]]</f>
        <v>46290|CARGA MOLINOS|RM - 3|% carga</v>
      </c>
      <c r="C2427" s="871">
        <v>46290</v>
      </c>
      <c r="D2427" s="1100" t="s">
        <v>9455</v>
      </c>
      <c r="E2427" s="1100" t="s">
        <v>437</v>
      </c>
      <c r="F2427" s="1100" t="s">
        <v>9457</v>
      </c>
      <c r="G2427" s="1100">
        <v>88.5</v>
      </c>
      <c r="H2427" s="1100" t="s">
        <v>10345</v>
      </c>
      <c r="I2427" s="871">
        <v>46296.133080937499</v>
      </c>
      <c r="J2427" s="1100" t="s">
        <v>10347</v>
      </c>
      <c r="K2427" s="975" t="str">
        <f>IF(COUNTIFS(tblControles[Clave],tblControles[[#This Row],[Clave]])&gt;1,"Duplicado","")</f>
        <v/>
      </c>
    </row>
    <row r="2428" spans="2:11">
      <c r="B2428" s="975" t="str">
        <f>tblControles[[#This Row],[Fecha]]&amp;"|"&amp;tblControles[[#This Row],[Módulo]]&amp;"|"&amp;tblControles[[#This Row],[Ítem]]&amp;"|"&amp;tblControles[[#This Row],[Turno]]</f>
        <v>46290|CARGA MOLINOS|RM - 5|% carga</v>
      </c>
      <c r="C2428" s="871">
        <v>46290</v>
      </c>
      <c r="D2428" s="1100" t="s">
        <v>9455</v>
      </c>
      <c r="E2428" s="1100" t="s">
        <v>439</v>
      </c>
      <c r="F2428" s="1100" t="s">
        <v>9457</v>
      </c>
      <c r="G2428" s="1100">
        <v>90.4</v>
      </c>
      <c r="H2428" s="1100" t="s">
        <v>10345</v>
      </c>
      <c r="I2428" s="871">
        <v>46296.133080937499</v>
      </c>
      <c r="J2428" s="1100" t="s">
        <v>10347</v>
      </c>
      <c r="K2428" s="975" t="str">
        <f>IF(COUNTIFS(tblControles[Clave],tblControles[[#This Row],[Clave]])&gt;1,"Duplicado","")</f>
        <v/>
      </c>
    </row>
    <row r="2429" spans="2:11">
      <c r="B2429" s="975" t="str">
        <f>tblControles[[#This Row],[Fecha]]&amp;"|"&amp;tblControles[[#This Row],[Módulo]]&amp;"|"&amp;tblControles[[#This Row],[Ítem]]&amp;"|"&amp;tblControles[[#This Row],[Turno]]</f>
        <v>46290|CARGA MOLINOS|RM - 6|% carga</v>
      </c>
      <c r="C2429" s="871">
        <v>46290</v>
      </c>
      <c r="D2429" s="1100" t="s">
        <v>9455</v>
      </c>
      <c r="E2429" s="1100" t="s">
        <v>440</v>
      </c>
      <c r="F2429" s="1100" t="s">
        <v>9457</v>
      </c>
      <c r="G2429" s="1100">
        <v>89.8</v>
      </c>
      <c r="H2429" s="1100" t="s">
        <v>10345</v>
      </c>
      <c r="I2429" s="871">
        <v>46296.133080937499</v>
      </c>
      <c r="J2429" s="1100" t="s">
        <v>10347</v>
      </c>
      <c r="K2429" s="975" t="str">
        <f>IF(COUNTIFS(tblControles[Clave],tblControles[[#This Row],[Clave]])&gt;1,"Duplicado","")</f>
        <v/>
      </c>
    </row>
    <row r="2430" spans="2:11">
      <c r="B2430" s="975" t="str">
        <f>tblControles[[#This Row],[Fecha]]&amp;"|"&amp;tblControles[[#This Row],[Módulo]]&amp;"|"&amp;tblControles[[#This Row],[Ítem]]&amp;"|"&amp;tblControles[[#This Row],[Turno]]</f>
        <v>46290|CARGA MOLINOS|RM - 7|% carga</v>
      </c>
      <c r="C2430" s="871">
        <v>46290</v>
      </c>
      <c r="D2430" s="1100" t="s">
        <v>9455</v>
      </c>
      <c r="E2430" s="1100" t="s">
        <v>441</v>
      </c>
      <c r="F2430" s="1100" t="s">
        <v>9457</v>
      </c>
      <c r="G2430" s="1100">
        <v>92.1</v>
      </c>
      <c r="H2430" s="1100" t="s">
        <v>10345</v>
      </c>
      <c r="I2430" s="871">
        <v>46296.133080937499</v>
      </c>
      <c r="J2430" s="1100" t="s">
        <v>10347</v>
      </c>
      <c r="K2430" s="975" t="str">
        <f>IF(COUNTIFS(tblControles[Clave],tblControles[[#This Row],[Clave]])&gt;1,"Duplicado","")</f>
        <v/>
      </c>
    </row>
    <row r="2431" spans="2:11">
      <c r="B2431" s="975" t="str">
        <f>tblControles[[#This Row],[Fecha]]&amp;"|"&amp;tblControles[[#This Row],[Módulo]]&amp;"|"&amp;tblControles[[#This Row],[Ítem]]&amp;"|"&amp;tblControles[[#This Row],[Turno]]</f>
        <v>46290|CARGA MOLINOS|RM - 8|% carga</v>
      </c>
      <c r="C2431" s="871">
        <v>46290</v>
      </c>
      <c r="D2431" s="1100" t="s">
        <v>9455</v>
      </c>
      <c r="E2431" s="1100" t="s">
        <v>442</v>
      </c>
      <c r="F2431" s="1100" t="s">
        <v>9457</v>
      </c>
      <c r="G2431" s="1100">
        <v>91.4</v>
      </c>
      <c r="H2431" s="1100" t="s">
        <v>10345</v>
      </c>
      <c r="I2431" s="871">
        <v>46296.133080937499</v>
      </c>
      <c r="J2431" s="1100" t="s">
        <v>10347</v>
      </c>
      <c r="K2431" s="975" t="str">
        <f>IF(COUNTIFS(tblControles[Clave],tblControles[[#This Row],[Clave]])&gt;1,"Duplicado","")</f>
        <v/>
      </c>
    </row>
    <row r="2432" spans="2:11">
      <c r="B2432" s="975" t="str">
        <f>tblControles[[#This Row],[Fecha]]&amp;"|"&amp;tblControles[[#This Row],[Módulo]]&amp;"|"&amp;tblControles[[#This Row],[Ítem]]&amp;"|"&amp;tblControles[[#This Row],[Turno]]</f>
        <v>46290|CARGA MOLINOS|RM - 9|% carga</v>
      </c>
      <c r="C2432" s="871">
        <v>46290</v>
      </c>
      <c r="D2432" s="1100" t="s">
        <v>9455</v>
      </c>
      <c r="E2432" s="1100" t="s">
        <v>443</v>
      </c>
      <c r="F2432" s="1100" t="s">
        <v>9457</v>
      </c>
      <c r="G2432" s="1100">
        <v>62.8</v>
      </c>
      <c r="H2432" s="1100" t="s">
        <v>10345</v>
      </c>
      <c r="I2432" s="871">
        <v>46296.133080937499</v>
      </c>
      <c r="J2432" s="1100" t="s">
        <v>10347</v>
      </c>
      <c r="K2432" s="975" t="str">
        <f>IF(COUNTIFS(tblControles[Clave],tblControles[[#This Row],[Clave]])&gt;1,"Duplicado","")</f>
        <v/>
      </c>
    </row>
    <row r="2433" spans="2:11">
      <c r="B2433" s="975" t="str">
        <f>tblControles[[#This Row],[Fecha]]&amp;"|"&amp;tblControles[[#This Row],[Módulo]]&amp;"|"&amp;tblControles[[#This Row],[Ítem]]&amp;"|"&amp;tblControles[[#This Row],[Turno]]</f>
        <v>46291|CARGA MOLINOS|BM - 1|% carga</v>
      </c>
      <c r="C2433" s="871">
        <v>46291</v>
      </c>
      <c r="D2433" s="1100" t="s">
        <v>9455</v>
      </c>
      <c r="E2433" s="1100" t="s">
        <v>444</v>
      </c>
      <c r="F2433" s="1100" t="s">
        <v>9457</v>
      </c>
      <c r="G2433" s="1100">
        <v>90.3</v>
      </c>
      <c r="H2433" s="1100" t="s">
        <v>10345</v>
      </c>
      <c r="I2433" s="871">
        <v>46296.133080937499</v>
      </c>
      <c r="J2433" s="1100" t="s">
        <v>10347</v>
      </c>
      <c r="K2433" s="975" t="str">
        <f>IF(COUNTIFS(tblControles[Clave],tblControles[[#This Row],[Clave]])&gt;1,"Duplicado","")</f>
        <v/>
      </c>
    </row>
    <row r="2434" spans="2:11">
      <c r="B2434" s="975" t="str">
        <f>tblControles[[#This Row],[Fecha]]&amp;"|"&amp;tblControles[[#This Row],[Módulo]]&amp;"|"&amp;tblControles[[#This Row],[Ítem]]&amp;"|"&amp;tblControles[[#This Row],[Turno]]</f>
        <v>46291|CARGA MOLINOS|BM - 10|% carga</v>
      </c>
      <c r="C2434" s="871">
        <v>46291</v>
      </c>
      <c r="D2434" s="1100" t="s">
        <v>9455</v>
      </c>
      <c r="E2434" s="1100" t="s">
        <v>452</v>
      </c>
      <c r="F2434" s="1100" t="s">
        <v>9457</v>
      </c>
      <c r="G2434" s="1100">
        <v>77.5</v>
      </c>
      <c r="H2434" s="1100" t="s">
        <v>10345</v>
      </c>
      <c r="I2434" s="871">
        <v>46296.133080937499</v>
      </c>
      <c r="J2434" s="1100" t="s">
        <v>10347</v>
      </c>
      <c r="K2434" s="975" t="str">
        <f>IF(COUNTIFS(tblControles[Clave],tblControles[[#This Row],[Clave]])&gt;1,"Duplicado","")</f>
        <v/>
      </c>
    </row>
    <row r="2435" spans="2:11">
      <c r="B2435" s="975" t="str">
        <f>tblControles[[#This Row],[Fecha]]&amp;"|"&amp;tblControles[[#This Row],[Módulo]]&amp;"|"&amp;tblControles[[#This Row],[Ítem]]&amp;"|"&amp;tblControles[[#This Row],[Turno]]</f>
        <v>46291|CARGA MOLINOS|BM - 2|% carga</v>
      </c>
      <c r="C2435" s="871">
        <v>46291</v>
      </c>
      <c r="D2435" s="1100" t="s">
        <v>9455</v>
      </c>
      <c r="E2435" s="1100" t="s">
        <v>9519</v>
      </c>
      <c r="F2435" s="1100" t="s">
        <v>9457</v>
      </c>
      <c r="G2435" s="1100">
        <v>92.2</v>
      </c>
      <c r="H2435" s="1100" t="s">
        <v>10345</v>
      </c>
      <c r="I2435" s="871">
        <v>46296.133080937499</v>
      </c>
      <c r="J2435" s="1100" t="s">
        <v>10347</v>
      </c>
      <c r="K2435" s="975" t="str">
        <f>IF(COUNTIFS(tblControles[Clave],tblControles[[#This Row],[Clave]])&gt;1,"Duplicado","")</f>
        <v/>
      </c>
    </row>
    <row r="2436" spans="2:11">
      <c r="B2436" s="975" t="str">
        <f>tblControles[[#This Row],[Fecha]]&amp;"|"&amp;tblControles[[#This Row],[Módulo]]&amp;"|"&amp;tblControles[[#This Row],[Ítem]]&amp;"|"&amp;tblControles[[#This Row],[Turno]]</f>
        <v>46291|CARGA MOLINOS|BM - 3|% carga</v>
      </c>
      <c r="C2436" s="871">
        <v>46291</v>
      </c>
      <c r="D2436" s="1100" t="s">
        <v>9455</v>
      </c>
      <c r="E2436" s="1100" t="s">
        <v>445</v>
      </c>
      <c r="F2436" s="1100" t="s">
        <v>9457</v>
      </c>
      <c r="G2436" s="1100">
        <v>90.7</v>
      </c>
      <c r="H2436" s="1100" t="s">
        <v>10345</v>
      </c>
      <c r="I2436" s="871">
        <v>46296.133080937499</v>
      </c>
      <c r="J2436" s="1100" t="s">
        <v>10347</v>
      </c>
      <c r="K2436" s="975" t="str">
        <f>IF(COUNTIFS(tblControles[Clave],tblControles[[#This Row],[Clave]])&gt;1,"Duplicado","")</f>
        <v/>
      </c>
    </row>
    <row r="2437" spans="2:11">
      <c r="B2437" s="975" t="str">
        <f>tblControles[[#This Row],[Fecha]]&amp;"|"&amp;tblControles[[#This Row],[Módulo]]&amp;"|"&amp;tblControles[[#This Row],[Ítem]]&amp;"|"&amp;tblControles[[#This Row],[Turno]]</f>
        <v>46291|CARGA MOLINOS|BM - 4|% carga</v>
      </c>
      <c r="C2437" s="871">
        <v>46291</v>
      </c>
      <c r="D2437" s="1100" t="s">
        <v>9455</v>
      </c>
      <c r="E2437" s="1100" t="s">
        <v>446</v>
      </c>
      <c r="F2437" s="1100" t="s">
        <v>9457</v>
      </c>
      <c r="G2437" s="1100">
        <v>82.6</v>
      </c>
      <c r="H2437" s="1100" t="s">
        <v>10345</v>
      </c>
      <c r="I2437" s="871">
        <v>46296.133080937499</v>
      </c>
      <c r="J2437" s="1100" t="s">
        <v>10347</v>
      </c>
      <c r="K2437" s="975" t="str">
        <f>IF(COUNTIFS(tblControles[Clave],tblControles[[#This Row],[Clave]])&gt;1,"Duplicado","")</f>
        <v/>
      </c>
    </row>
    <row r="2438" spans="2:11">
      <c r="B2438" s="975" t="str">
        <f>tblControles[[#This Row],[Fecha]]&amp;"|"&amp;tblControles[[#This Row],[Módulo]]&amp;"|"&amp;tblControles[[#This Row],[Ítem]]&amp;"|"&amp;tblControles[[#This Row],[Turno]]</f>
        <v>46291|CARGA MOLINOS|BM - 5|% carga</v>
      </c>
      <c r="C2438" s="871">
        <v>46291</v>
      </c>
      <c r="D2438" s="1100" t="s">
        <v>9455</v>
      </c>
      <c r="E2438" s="1100" t="s">
        <v>447</v>
      </c>
      <c r="F2438" s="1100" t="s">
        <v>9457</v>
      </c>
      <c r="G2438" s="1100">
        <v>96.7</v>
      </c>
      <c r="H2438" s="1100" t="s">
        <v>10345</v>
      </c>
      <c r="I2438" s="871">
        <v>46296.133080937499</v>
      </c>
      <c r="J2438" s="1100" t="s">
        <v>10347</v>
      </c>
      <c r="K2438" s="975" t="str">
        <f>IF(COUNTIFS(tblControles[Clave],tblControles[[#This Row],[Clave]])&gt;1,"Duplicado","")</f>
        <v/>
      </c>
    </row>
    <row r="2439" spans="2:11">
      <c r="B2439" s="975" t="str">
        <f>tblControles[[#This Row],[Fecha]]&amp;"|"&amp;tblControles[[#This Row],[Módulo]]&amp;"|"&amp;tblControles[[#This Row],[Ítem]]&amp;"|"&amp;tblControles[[#This Row],[Turno]]</f>
        <v>46291|CARGA MOLINOS|BM - 6|% carga</v>
      </c>
      <c r="C2439" s="871">
        <v>46291</v>
      </c>
      <c r="D2439" s="1100" t="s">
        <v>9455</v>
      </c>
      <c r="E2439" s="1100" t="s">
        <v>448</v>
      </c>
      <c r="F2439" s="1100" t="s">
        <v>9457</v>
      </c>
      <c r="G2439" s="1100">
        <v>86</v>
      </c>
      <c r="H2439" s="1100" t="s">
        <v>10345</v>
      </c>
      <c r="I2439" s="871">
        <v>46296.133080937499</v>
      </c>
      <c r="J2439" s="1100" t="s">
        <v>10347</v>
      </c>
      <c r="K2439" s="975" t="str">
        <f>IF(COUNTIFS(tblControles[Clave],tblControles[[#This Row],[Clave]])&gt;1,"Duplicado","")</f>
        <v/>
      </c>
    </row>
    <row r="2440" spans="2:11">
      <c r="B2440" s="975" t="str">
        <f>tblControles[[#This Row],[Fecha]]&amp;"|"&amp;tblControles[[#This Row],[Módulo]]&amp;"|"&amp;tblControles[[#This Row],[Ítem]]&amp;"|"&amp;tblControles[[#This Row],[Turno]]</f>
        <v>46291|CARGA MOLINOS|BM - 7|% carga</v>
      </c>
      <c r="C2440" s="871">
        <v>46291</v>
      </c>
      <c r="D2440" s="1100" t="s">
        <v>9455</v>
      </c>
      <c r="E2440" s="1100" t="s">
        <v>449</v>
      </c>
      <c r="F2440" s="1100" t="s">
        <v>9457</v>
      </c>
      <c r="G2440" s="1100">
        <v>83.9</v>
      </c>
      <c r="H2440" s="1100" t="s">
        <v>10345</v>
      </c>
      <c r="I2440" s="871">
        <v>46296.133080937499</v>
      </c>
      <c r="J2440" s="1100" t="s">
        <v>10347</v>
      </c>
      <c r="K2440" s="975" t="str">
        <f>IF(COUNTIFS(tblControles[Clave],tblControles[[#This Row],[Clave]])&gt;1,"Duplicado","")</f>
        <v/>
      </c>
    </row>
    <row r="2441" spans="2:11">
      <c r="B2441" s="975" t="str">
        <f>tblControles[[#This Row],[Fecha]]&amp;"|"&amp;tblControles[[#This Row],[Módulo]]&amp;"|"&amp;tblControles[[#This Row],[Ítem]]&amp;"|"&amp;tblControles[[#This Row],[Turno]]</f>
        <v>46291|CARGA MOLINOS|BM - 8|% carga</v>
      </c>
      <c r="C2441" s="871">
        <v>46291</v>
      </c>
      <c r="D2441" s="1100" t="s">
        <v>9455</v>
      </c>
      <c r="E2441" s="1100" t="s">
        <v>450</v>
      </c>
      <c r="F2441" s="1100" t="s">
        <v>9457</v>
      </c>
      <c r="G2441" s="1100">
        <v>86.1</v>
      </c>
      <c r="H2441" s="1100" t="s">
        <v>10345</v>
      </c>
      <c r="I2441" s="871">
        <v>46296.133080937499</v>
      </c>
      <c r="J2441" s="1100" t="s">
        <v>10347</v>
      </c>
      <c r="K2441" s="975" t="str">
        <f>IF(COUNTIFS(tblControles[Clave],tblControles[[#This Row],[Clave]])&gt;1,"Duplicado","")</f>
        <v/>
      </c>
    </row>
    <row r="2442" spans="2:11">
      <c r="B2442" s="975" t="str">
        <f>tblControles[[#This Row],[Fecha]]&amp;"|"&amp;tblControles[[#This Row],[Módulo]]&amp;"|"&amp;tblControles[[#This Row],[Ítem]]&amp;"|"&amp;tblControles[[#This Row],[Turno]]</f>
        <v>46291|CARGA MOLINOS|RM - 1|% carga</v>
      </c>
      <c r="C2442" s="871">
        <v>46291</v>
      </c>
      <c r="D2442" s="1100" t="s">
        <v>9455</v>
      </c>
      <c r="E2442" s="1100" t="s">
        <v>435</v>
      </c>
      <c r="F2442" s="1100" t="s">
        <v>9457</v>
      </c>
      <c r="G2442" s="1100">
        <v>87.9</v>
      </c>
      <c r="H2442" s="1100" t="s">
        <v>10345</v>
      </c>
      <c r="I2442" s="871">
        <v>46296.133080937499</v>
      </c>
      <c r="J2442" s="1100" t="s">
        <v>10347</v>
      </c>
      <c r="K2442" s="975" t="str">
        <f>IF(COUNTIFS(tblControles[Clave],tblControles[[#This Row],[Clave]])&gt;1,"Duplicado","")</f>
        <v/>
      </c>
    </row>
    <row r="2443" spans="2:11">
      <c r="B2443" s="975" t="str">
        <f>tblControles[[#This Row],[Fecha]]&amp;"|"&amp;tblControles[[#This Row],[Módulo]]&amp;"|"&amp;tblControles[[#This Row],[Ítem]]&amp;"|"&amp;tblControles[[#This Row],[Turno]]</f>
        <v>46291|CARGA MOLINOS|RM - 2|% carga</v>
      </c>
      <c r="C2443" s="871">
        <v>46291</v>
      </c>
      <c r="D2443" s="1100" t="s">
        <v>9455</v>
      </c>
      <c r="E2443" s="1100" t="s">
        <v>436</v>
      </c>
      <c r="F2443" s="1100" t="s">
        <v>9457</v>
      </c>
      <c r="G2443" s="1100">
        <v>87.7</v>
      </c>
      <c r="H2443" s="1100" t="s">
        <v>10345</v>
      </c>
      <c r="I2443" s="871">
        <v>46296.133080937499</v>
      </c>
      <c r="J2443" s="1100" t="s">
        <v>10347</v>
      </c>
      <c r="K2443" s="975" t="str">
        <f>IF(COUNTIFS(tblControles[Clave],tblControles[[#This Row],[Clave]])&gt;1,"Duplicado","")</f>
        <v/>
      </c>
    </row>
    <row r="2444" spans="2:11">
      <c r="B2444" s="975" t="str">
        <f>tblControles[[#This Row],[Fecha]]&amp;"|"&amp;tblControles[[#This Row],[Módulo]]&amp;"|"&amp;tblControles[[#This Row],[Ítem]]&amp;"|"&amp;tblControles[[#This Row],[Turno]]</f>
        <v>46291|CARGA MOLINOS|RM - 3|% carga</v>
      </c>
      <c r="C2444" s="871">
        <v>46291</v>
      </c>
      <c r="D2444" s="1100" t="s">
        <v>9455</v>
      </c>
      <c r="E2444" s="1100" t="s">
        <v>437</v>
      </c>
      <c r="F2444" s="1100" t="s">
        <v>9457</v>
      </c>
      <c r="G2444" s="1100">
        <v>92</v>
      </c>
      <c r="H2444" s="1100" t="s">
        <v>10345</v>
      </c>
      <c r="I2444" s="871">
        <v>46296.133080937499</v>
      </c>
      <c r="J2444" s="1100" t="s">
        <v>10347</v>
      </c>
      <c r="K2444" s="975" t="str">
        <f>IF(COUNTIFS(tblControles[Clave],tblControles[[#This Row],[Clave]])&gt;1,"Duplicado","")</f>
        <v/>
      </c>
    </row>
    <row r="2445" spans="2:11">
      <c r="B2445" s="975" t="str">
        <f>tblControles[[#This Row],[Fecha]]&amp;"|"&amp;tblControles[[#This Row],[Módulo]]&amp;"|"&amp;tblControles[[#This Row],[Ítem]]&amp;"|"&amp;tblControles[[#This Row],[Turno]]</f>
        <v>46291|CARGA MOLINOS|RM - 5|% carga</v>
      </c>
      <c r="C2445" s="871">
        <v>46291</v>
      </c>
      <c r="D2445" s="1100" t="s">
        <v>9455</v>
      </c>
      <c r="E2445" s="1100" t="s">
        <v>439</v>
      </c>
      <c r="F2445" s="1100" t="s">
        <v>9457</v>
      </c>
      <c r="G2445" s="1100">
        <v>93.7</v>
      </c>
      <c r="H2445" s="1100" t="s">
        <v>10345</v>
      </c>
      <c r="I2445" s="871">
        <v>46296.133080937499</v>
      </c>
      <c r="J2445" s="1100" t="s">
        <v>10347</v>
      </c>
      <c r="K2445" s="975" t="str">
        <f>IF(COUNTIFS(tblControles[Clave],tblControles[[#This Row],[Clave]])&gt;1,"Duplicado","")</f>
        <v/>
      </c>
    </row>
    <row r="2446" spans="2:11">
      <c r="B2446" s="975" t="str">
        <f>tblControles[[#This Row],[Fecha]]&amp;"|"&amp;tblControles[[#This Row],[Módulo]]&amp;"|"&amp;tblControles[[#This Row],[Ítem]]&amp;"|"&amp;tblControles[[#This Row],[Turno]]</f>
        <v>46291|CARGA MOLINOS|RM - 6|% carga</v>
      </c>
      <c r="C2446" s="871">
        <v>46291</v>
      </c>
      <c r="D2446" s="1100" t="s">
        <v>9455</v>
      </c>
      <c r="E2446" s="1100" t="s">
        <v>440</v>
      </c>
      <c r="F2446" s="1100" t="s">
        <v>9457</v>
      </c>
      <c r="G2446" s="1100">
        <v>92.9</v>
      </c>
      <c r="H2446" s="1100" t="s">
        <v>10345</v>
      </c>
      <c r="I2446" s="871">
        <v>46296.133080937499</v>
      </c>
      <c r="J2446" s="1100" t="s">
        <v>10347</v>
      </c>
      <c r="K2446" s="975" t="str">
        <f>IF(COUNTIFS(tblControles[Clave],tblControles[[#This Row],[Clave]])&gt;1,"Duplicado","")</f>
        <v/>
      </c>
    </row>
    <row r="2447" spans="2:11">
      <c r="B2447" s="975" t="str">
        <f>tblControles[[#This Row],[Fecha]]&amp;"|"&amp;tblControles[[#This Row],[Módulo]]&amp;"|"&amp;tblControles[[#This Row],[Ítem]]&amp;"|"&amp;tblControles[[#This Row],[Turno]]</f>
        <v>46291|CARGA MOLINOS|RM - 7|% carga</v>
      </c>
      <c r="C2447" s="871">
        <v>46291</v>
      </c>
      <c r="D2447" s="1100" t="s">
        <v>9455</v>
      </c>
      <c r="E2447" s="1100" t="s">
        <v>441</v>
      </c>
      <c r="F2447" s="1100" t="s">
        <v>9457</v>
      </c>
      <c r="G2447" s="1100">
        <v>92.3</v>
      </c>
      <c r="H2447" s="1100" t="s">
        <v>10345</v>
      </c>
      <c r="I2447" s="871">
        <v>46296.133080937499</v>
      </c>
      <c r="J2447" s="1100" t="s">
        <v>10347</v>
      </c>
      <c r="K2447" s="975" t="str">
        <f>IF(COUNTIFS(tblControles[Clave],tblControles[[#This Row],[Clave]])&gt;1,"Duplicado","")</f>
        <v/>
      </c>
    </row>
    <row r="2448" spans="2:11">
      <c r="B2448" s="975" t="str">
        <f>tblControles[[#This Row],[Fecha]]&amp;"|"&amp;tblControles[[#This Row],[Módulo]]&amp;"|"&amp;tblControles[[#This Row],[Ítem]]&amp;"|"&amp;tblControles[[#This Row],[Turno]]</f>
        <v>46291|CARGA MOLINOS|RM - 8|% carga</v>
      </c>
      <c r="C2448" s="871">
        <v>46291</v>
      </c>
      <c r="D2448" s="1100" t="s">
        <v>9455</v>
      </c>
      <c r="E2448" s="1100" t="s">
        <v>442</v>
      </c>
      <c r="F2448" s="1100" t="s">
        <v>9457</v>
      </c>
      <c r="G2448" s="1100">
        <v>95</v>
      </c>
      <c r="H2448" s="1100" t="s">
        <v>10345</v>
      </c>
      <c r="I2448" s="871">
        <v>46296.133080937499</v>
      </c>
      <c r="J2448" s="1100" t="s">
        <v>10347</v>
      </c>
      <c r="K2448" s="975" t="str">
        <f>IF(COUNTIFS(tblControles[Clave],tblControles[[#This Row],[Clave]])&gt;1,"Duplicado","")</f>
        <v/>
      </c>
    </row>
    <row r="2449" spans="2:11">
      <c r="B2449" s="975" t="str">
        <f>tblControles[[#This Row],[Fecha]]&amp;"|"&amp;tblControles[[#This Row],[Módulo]]&amp;"|"&amp;tblControles[[#This Row],[Ítem]]&amp;"|"&amp;tblControles[[#This Row],[Turno]]</f>
        <v>46288|REACTIVOS|Espumante|Consumo día</v>
      </c>
      <c r="C2449" s="871">
        <v>46288</v>
      </c>
      <c r="D2449" s="1100" t="s">
        <v>9444</v>
      </c>
      <c r="E2449" s="1100" t="s">
        <v>9513</v>
      </c>
      <c r="F2449" s="1100" t="s">
        <v>9870</v>
      </c>
      <c r="G2449" s="1100">
        <v>2000</v>
      </c>
      <c r="H2449" s="1100" t="s">
        <v>10345</v>
      </c>
      <c r="I2449" s="871">
        <v>46296.133080937499</v>
      </c>
      <c r="J2449" s="1100" t="s">
        <v>10348</v>
      </c>
      <c r="K2449" s="975" t="str">
        <f>IF(COUNTIFS(tblControles[Clave],tblControles[[#This Row],[Clave]])&gt;1,"Duplicado","")</f>
        <v/>
      </c>
    </row>
    <row r="2450" spans="2:11">
      <c r="B2450" s="975" t="str">
        <f>tblControles[[#This Row],[Fecha]]&amp;"|"&amp;tblControles[[#This Row],[Módulo]]&amp;"|"&amp;tblControles[[#This Row],[Ítem]]&amp;"|"&amp;tblControles[[#This Row],[Turno]]</f>
        <v>46288|REACTIVOS|Xantato|Turno día (12 h)</v>
      </c>
      <c r="C2450" s="871">
        <v>46288</v>
      </c>
      <c r="D2450" s="1100" t="s">
        <v>9444</v>
      </c>
      <c r="E2450" s="1100" t="s">
        <v>9511</v>
      </c>
      <c r="F2450" s="1100" t="s">
        <v>9446</v>
      </c>
      <c r="G2450" s="1100">
        <v>3250</v>
      </c>
      <c r="H2450" s="1100" t="s">
        <v>10345</v>
      </c>
      <c r="I2450" s="871">
        <v>46296.133080937499</v>
      </c>
      <c r="J2450" s="1100" t="s">
        <v>10348</v>
      </c>
      <c r="K2450" s="975" t="str">
        <f>IF(COUNTIFS(tblControles[Clave],tblControles[[#This Row],[Clave]])&gt;1,"Duplicado","")</f>
        <v/>
      </c>
    </row>
    <row r="2451" spans="2:11">
      <c r="B2451" s="975" t="str">
        <f>tblControles[[#This Row],[Fecha]]&amp;"|"&amp;tblControles[[#This Row],[Módulo]]&amp;"|"&amp;tblControles[[#This Row],[Ítem]]&amp;"|"&amp;tblControles[[#This Row],[Turno]]</f>
        <v>46288|REACTIVOS|Xantato|Turno noche (12 h)</v>
      </c>
      <c r="C2451" s="871">
        <v>46288</v>
      </c>
      <c r="D2451" s="1100" t="s">
        <v>9444</v>
      </c>
      <c r="E2451" s="1100" t="s">
        <v>9511</v>
      </c>
      <c r="F2451" s="1100" t="s">
        <v>9447</v>
      </c>
      <c r="G2451" s="1100">
        <v>3450</v>
      </c>
      <c r="H2451" s="1100" t="s">
        <v>10345</v>
      </c>
      <c r="I2451" s="871">
        <v>46296.133080937499</v>
      </c>
      <c r="J2451" s="1100" t="s">
        <v>10348</v>
      </c>
      <c r="K2451" s="975" t="str">
        <f>IF(COUNTIFS(tblControles[Clave],tblControles[[#This Row],[Clave]])&gt;1,"Duplicado","")</f>
        <v/>
      </c>
    </row>
    <row r="2452" spans="2:11">
      <c r="B2452" s="975" t="str">
        <f>tblControles[[#This Row],[Fecha]]&amp;"|"&amp;tblControles[[#This Row],[Módulo]]&amp;"|"&amp;tblControles[[#This Row],[Ítem]]&amp;"|"&amp;tblControles[[#This Row],[Turno]]</f>
        <v>46288|REACTIVOS|Ácido oxálico|Turno día (12 h)</v>
      </c>
      <c r="C2452" s="871">
        <v>46288</v>
      </c>
      <c r="D2452" s="1100" t="s">
        <v>9444</v>
      </c>
      <c r="E2452" s="1100" t="s">
        <v>9508</v>
      </c>
      <c r="F2452" s="1100" t="s">
        <v>9446</v>
      </c>
      <c r="G2452" s="1100">
        <v>20000</v>
      </c>
      <c r="H2452" s="1100" t="s">
        <v>10345</v>
      </c>
      <c r="I2452" s="871">
        <v>46296.133080937499</v>
      </c>
      <c r="J2452" s="1100" t="s">
        <v>10348</v>
      </c>
      <c r="K2452" s="975" t="str">
        <f>IF(COUNTIFS(tblControles[Clave],tblControles[[#This Row],[Clave]])&gt;1,"Duplicado","")</f>
        <v/>
      </c>
    </row>
    <row r="2453" spans="2:11">
      <c r="B2453" s="975" t="str">
        <f>tblControles[[#This Row],[Fecha]]&amp;"|"&amp;tblControles[[#This Row],[Módulo]]&amp;"|"&amp;tblControles[[#This Row],[Ítem]]&amp;"|"&amp;tblControles[[#This Row],[Turno]]</f>
        <v>46288|REACTIVOS|Ácido oxálico|Turno noche (12 h)</v>
      </c>
      <c r="C2453" s="871">
        <v>46288</v>
      </c>
      <c r="D2453" s="1100" t="s">
        <v>9444</v>
      </c>
      <c r="E2453" s="1100" t="s">
        <v>9508</v>
      </c>
      <c r="F2453" s="1100" t="s">
        <v>9447</v>
      </c>
      <c r="G2453" s="1100">
        <v>22000</v>
      </c>
      <c r="H2453" s="1100" t="s">
        <v>10345</v>
      </c>
      <c r="I2453" s="871">
        <v>46296.133080937499</v>
      </c>
      <c r="J2453" s="1100" t="s">
        <v>10348</v>
      </c>
      <c r="K2453" s="975" t="str">
        <f>IF(COUNTIFS(tblControles[Clave],tblControles[[#This Row],[Clave]])&gt;1,"Duplicado","")</f>
        <v/>
      </c>
    </row>
    <row r="2454" spans="2:11">
      <c r="B2454" s="975" t="str">
        <f>tblControles[[#This Row],[Fecha]]&amp;"|"&amp;tblControles[[#This Row],[Módulo]]&amp;"|"&amp;tblControles[[#This Row],[Ítem]]&amp;"|"&amp;tblControles[[#This Row],[Turno]]</f>
        <v>46289|REACTIVOS|Espumante|Consumo día</v>
      </c>
      <c r="C2454" s="871">
        <v>46289</v>
      </c>
      <c r="D2454" s="1100" t="s">
        <v>9444</v>
      </c>
      <c r="E2454" s="1100" t="s">
        <v>9513</v>
      </c>
      <c r="F2454" s="1100" t="s">
        <v>9870</v>
      </c>
      <c r="G2454" s="1100">
        <v>2000</v>
      </c>
      <c r="H2454" s="1100" t="s">
        <v>10345</v>
      </c>
      <c r="I2454" s="871">
        <v>46296.133080937499</v>
      </c>
      <c r="J2454" s="1100" t="s">
        <v>10348</v>
      </c>
      <c r="K2454" s="975" t="str">
        <f>IF(COUNTIFS(tblControles[Clave],tblControles[[#This Row],[Clave]])&gt;1,"Duplicado","")</f>
        <v/>
      </c>
    </row>
    <row r="2455" spans="2:11">
      <c r="B2455" s="975" t="str">
        <f>tblControles[[#This Row],[Fecha]]&amp;"|"&amp;tblControles[[#This Row],[Módulo]]&amp;"|"&amp;tblControles[[#This Row],[Ítem]]&amp;"|"&amp;tblControles[[#This Row],[Turno]]</f>
        <v>46289|REACTIVOS|Xantato|Turno día (12 h)</v>
      </c>
      <c r="C2455" s="871">
        <v>46289</v>
      </c>
      <c r="D2455" s="1100" t="s">
        <v>9444</v>
      </c>
      <c r="E2455" s="1100" t="s">
        <v>9511</v>
      </c>
      <c r="F2455" s="1100" t="s">
        <v>9446</v>
      </c>
      <c r="G2455" s="1100">
        <v>4150</v>
      </c>
      <c r="H2455" s="1100" t="s">
        <v>10345</v>
      </c>
      <c r="I2455" s="871">
        <v>46296.133080937499</v>
      </c>
      <c r="J2455" s="1100" t="s">
        <v>10348</v>
      </c>
      <c r="K2455" s="975" t="str">
        <f>IF(COUNTIFS(tblControles[Clave],tblControles[[#This Row],[Clave]])&gt;1,"Duplicado","")</f>
        <v/>
      </c>
    </row>
    <row r="2456" spans="2:11">
      <c r="B2456" s="975" t="str">
        <f>tblControles[[#This Row],[Fecha]]&amp;"|"&amp;tblControles[[#This Row],[Módulo]]&amp;"|"&amp;tblControles[[#This Row],[Ítem]]&amp;"|"&amp;tblControles[[#This Row],[Turno]]</f>
        <v>46289|REACTIVOS|Xantato|Turno noche (12 h)</v>
      </c>
      <c r="C2456" s="871">
        <v>46289</v>
      </c>
      <c r="D2456" s="1100" t="s">
        <v>9444</v>
      </c>
      <c r="E2456" s="1100" t="s">
        <v>9511</v>
      </c>
      <c r="F2456" s="1100" t="s">
        <v>9447</v>
      </c>
      <c r="G2456" s="1100">
        <v>4800</v>
      </c>
      <c r="H2456" s="1100" t="s">
        <v>10345</v>
      </c>
      <c r="I2456" s="871">
        <v>46296.133080937499</v>
      </c>
      <c r="J2456" s="1100" t="s">
        <v>10348</v>
      </c>
      <c r="K2456" s="975" t="str">
        <f>IF(COUNTIFS(tblControles[Clave],tblControles[[#This Row],[Clave]])&gt;1,"Duplicado","")</f>
        <v/>
      </c>
    </row>
    <row r="2457" spans="2:11">
      <c r="B2457" s="975" t="str">
        <f>tblControles[[#This Row],[Fecha]]&amp;"|"&amp;tblControles[[#This Row],[Módulo]]&amp;"|"&amp;tblControles[[#This Row],[Ítem]]&amp;"|"&amp;tblControles[[#This Row],[Turno]]</f>
        <v>46289|REACTIVOS|Ácido oxálico|Turno día (12 h)</v>
      </c>
      <c r="C2457" s="871">
        <v>46289</v>
      </c>
      <c r="D2457" s="1100" t="s">
        <v>9444</v>
      </c>
      <c r="E2457" s="1100" t="s">
        <v>9508</v>
      </c>
      <c r="F2457" s="1100" t="s">
        <v>9446</v>
      </c>
      <c r="G2457" s="1100">
        <v>30000</v>
      </c>
      <c r="H2457" s="1100" t="s">
        <v>10345</v>
      </c>
      <c r="I2457" s="871">
        <v>46296.133080937499</v>
      </c>
      <c r="J2457" s="1100" t="s">
        <v>10348</v>
      </c>
      <c r="K2457" s="975" t="str">
        <f>IF(COUNTIFS(tblControles[Clave],tblControles[[#This Row],[Clave]])&gt;1,"Duplicado","")</f>
        <v/>
      </c>
    </row>
    <row r="2458" spans="2:11">
      <c r="B2458" s="975" t="str">
        <f>tblControles[[#This Row],[Fecha]]&amp;"|"&amp;tblControles[[#This Row],[Módulo]]&amp;"|"&amp;tblControles[[#This Row],[Ítem]]&amp;"|"&amp;tblControles[[#This Row],[Turno]]</f>
        <v>46289|REACTIVOS|Ácido oxálico|Turno noche (12 h)</v>
      </c>
      <c r="C2458" s="871">
        <v>46289</v>
      </c>
      <c r="D2458" s="1100" t="s">
        <v>9444</v>
      </c>
      <c r="E2458" s="1100" t="s">
        <v>9508</v>
      </c>
      <c r="F2458" s="1100" t="s">
        <v>9447</v>
      </c>
      <c r="G2458" s="1100">
        <v>24000</v>
      </c>
      <c r="H2458" s="1100" t="s">
        <v>10345</v>
      </c>
      <c r="I2458" s="871">
        <v>46296.133080937499</v>
      </c>
      <c r="J2458" s="1100" t="s">
        <v>10348</v>
      </c>
      <c r="K2458" s="975" t="str">
        <f>IF(COUNTIFS(tblControles[Clave],tblControles[[#This Row],[Clave]])&gt;1,"Duplicado","")</f>
        <v/>
      </c>
    </row>
    <row r="2459" spans="2:11">
      <c r="B2459" s="975" t="str">
        <f>tblControles[[#This Row],[Fecha]]&amp;"|"&amp;tblControles[[#This Row],[Módulo]]&amp;"|"&amp;tblControles[[#This Row],[Ítem]]&amp;"|"&amp;tblControles[[#This Row],[Turno]]</f>
        <v>46290|REACTIVOS|Espumante|Consumo día</v>
      </c>
      <c r="C2459" s="871">
        <v>46290</v>
      </c>
      <c r="D2459" s="1100" t="s">
        <v>9444</v>
      </c>
      <c r="E2459" s="1100" t="s">
        <v>9513</v>
      </c>
      <c r="F2459" s="1100" t="s">
        <v>9870</v>
      </c>
      <c r="G2459" s="1100">
        <v>2000</v>
      </c>
      <c r="H2459" s="1100" t="s">
        <v>10345</v>
      </c>
      <c r="I2459" s="871">
        <v>46296.133080937499</v>
      </c>
      <c r="J2459" s="1100" t="s">
        <v>10348</v>
      </c>
      <c r="K2459" s="975" t="str">
        <f>IF(COUNTIFS(tblControles[Clave],tblControles[[#This Row],[Clave]])&gt;1,"Duplicado","")</f>
        <v/>
      </c>
    </row>
    <row r="2460" spans="2:11">
      <c r="B2460" s="975" t="str">
        <f>tblControles[[#This Row],[Fecha]]&amp;"|"&amp;tblControles[[#This Row],[Módulo]]&amp;"|"&amp;tblControles[[#This Row],[Ítem]]&amp;"|"&amp;tblControles[[#This Row],[Turno]]</f>
        <v>46290|REACTIVOS|Xantato|Turno día (12 h)</v>
      </c>
      <c r="C2460" s="871">
        <v>46290</v>
      </c>
      <c r="D2460" s="1100" t="s">
        <v>9444</v>
      </c>
      <c r="E2460" s="1100" t="s">
        <v>9511</v>
      </c>
      <c r="F2460" s="1100" t="s">
        <v>9446</v>
      </c>
      <c r="G2460" s="1100">
        <v>4000</v>
      </c>
      <c r="H2460" s="1100" t="s">
        <v>10345</v>
      </c>
      <c r="I2460" s="871">
        <v>46296.133080937499</v>
      </c>
      <c r="J2460" s="1100" t="s">
        <v>10348</v>
      </c>
      <c r="K2460" s="975" t="str">
        <f>IF(COUNTIFS(tblControles[Clave],tblControles[[#This Row],[Clave]])&gt;1,"Duplicado","")</f>
        <v/>
      </c>
    </row>
    <row r="2461" spans="2:11">
      <c r="B2461" s="975" t="str">
        <f>tblControles[[#This Row],[Fecha]]&amp;"|"&amp;tblControles[[#This Row],[Módulo]]&amp;"|"&amp;tblControles[[#This Row],[Ítem]]&amp;"|"&amp;tblControles[[#This Row],[Turno]]</f>
        <v>46290|REACTIVOS|Xantato|Turno noche (12 h)</v>
      </c>
      <c r="C2461" s="871">
        <v>46290</v>
      </c>
      <c r="D2461" s="1100" t="s">
        <v>9444</v>
      </c>
      <c r="E2461" s="1100" t="s">
        <v>9511</v>
      </c>
      <c r="F2461" s="1100" t="s">
        <v>9447</v>
      </c>
      <c r="G2461" s="1100">
        <v>4400</v>
      </c>
      <c r="H2461" s="1100" t="s">
        <v>10345</v>
      </c>
      <c r="I2461" s="871">
        <v>46296.133080937499</v>
      </c>
      <c r="J2461" s="1100" t="s">
        <v>10348</v>
      </c>
      <c r="K2461" s="975" t="str">
        <f>IF(COUNTIFS(tblControles[Clave],tblControles[[#This Row],[Clave]])&gt;1,"Duplicado","")</f>
        <v/>
      </c>
    </row>
    <row r="2462" spans="2:11">
      <c r="B2462" s="975" t="str">
        <f>tblControles[[#This Row],[Fecha]]&amp;"|"&amp;tblControles[[#This Row],[Módulo]]&amp;"|"&amp;tblControles[[#This Row],[Ítem]]&amp;"|"&amp;tblControles[[#This Row],[Turno]]</f>
        <v>46290|REACTIVOS|Ácido oxálico|Turno día (12 h)</v>
      </c>
      <c r="C2462" s="871">
        <v>46290</v>
      </c>
      <c r="D2462" s="1100" t="s">
        <v>9444</v>
      </c>
      <c r="E2462" s="1100" t="s">
        <v>9508</v>
      </c>
      <c r="F2462" s="1100" t="s">
        <v>9446</v>
      </c>
      <c r="G2462" s="1100">
        <v>26000</v>
      </c>
      <c r="H2462" s="1100" t="s">
        <v>10345</v>
      </c>
      <c r="I2462" s="871">
        <v>46296.133080937499</v>
      </c>
      <c r="J2462" s="1100" t="s">
        <v>10348</v>
      </c>
      <c r="K2462" s="975" t="str">
        <f>IF(COUNTIFS(tblControles[Clave],tblControles[[#This Row],[Clave]])&gt;1,"Duplicado","")</f>
        <v/>
      </c>
    </row>
    <row r="2463" spans="2:11">
      <c r="B2463" s="975" t="str">
        <f>tblControles[[#This Row],[Fecha]]&amp;"|"&amp;tblControles[[#This Row],[Módulo]]&amp;"|"&amp;tblControles[[#This Row],[Ítem]]&amp;"|"&amp;tblControles[[#This Row],[Turno]]</f>
        <v>46290|REACTIVOS|Ácido oxálico|Turno noche (12 h)</v>
      </c>
      <c r="C2463" s="871">
        <v>46290</v>
      </c>
      <c r="D2463" s="1100" t="s">
        <v>9444</v>
      </c>
      <c r="E2463" s="1100" t="s">
        <v>9508</v>
      </c>
      <c r="F2463" s="1100" t="s">
        <v>9447</v>
      </c>
      <c r="G2463" s="1100">
        <v>26000</v>
      </c>
      <c r="H2463" s="1100" t="s">
        <v>10345</v>
      </c>
      <c r="I2463" s="871">
        <v>46296.133080937499</v>
      </c>
      <c r="J2463" s="1100" t="s">
        <v>10348</v>
      </c>
      <c r="K2463" s="975" t="str">
        <f>IF(COUNTIFS(tblControles[Clave],tblControles[[#This Row],[Clave]])&gt;1,"Duplicado","")</f>
        <v/>
      </c>
    </row>
    <row r="2464" spans="2:11">
      <c r="B2464" s="975" t="str">
        <f>tblControles[[#This Row],[Fecha]]&amp;"|"&amp;tblControles[[#This Row],[Módulo]]&amp;"|"&amp;tblControles[[#This Row],[Ítem]]&amp;"|"&amp;tblControles[[#This Row],[Turno]]</f>
        <v>46291|REACTIVOS|Espumante|Consumo día</v>
      </c>
      <c r="C2464" s="871">
        <v>46291</v>
      </c>
      <c r="D2464" s="1100" t="s">
        <v>9444</v>
      </c>
      <c r="E2464" s="1100" t="s">
        <v>9513</v>
      </c>
      <c r="F2464" s="1100" t="s">
        <v>9870</v>
      </c>
      <c r="G2464" s="1100">
        <v>2500</v>
      </c>
      <c r="H2464" s="1100" t="s">
        <v>10345</v>
      </c>
      <c r="I2464" s="871">
        <v>46296.133080937499</v>
      </c>
      <c r="J2464" s="1100" t="s">
        <v>10348</v>
      </c>
      <c r="K2464" s="975" t="str">
        <f>IF(COUNTIFS(tblControles[Clave],tblControles[[#This Row],[Clave]])&gt;1,"Duplicado","")</f>
        <v/>
      </c>
    </row>
    <row r="2465" spans="2:11">
      <c r="B2465" s="975" t="str">
        <f>tblControles[[#This Row],[Fecha]]&amp;"|"&amp;tblControles[[#This Row],[Módulo]]&amp;"|"&amp;tblControles[[#This Row],[Ítem]]&amp;"|"&amp;tblControles[[#This Row],[Turno]]</f>
        <v>46291|REACTIVOS|Xantato|Turno día (12 h)</v>
      </c>
      <c r="C2465" s="871">
        <v>46291</v>
      </c>
      <c r="D2465" s="1100" t="s">
        <v>9444</v>
      </c>
      <c r="E2465" s="1100" t="s">
        <v>9511</v>
      </c>
      <c r="F2465" s="1100" t="s">
        <v>9446</v>
      </c>
      <c r="G2465" s="1100">
        <v>3850</v>
      </c>
      <c r="H2465" s="1100" t="s">
        <v>10345</v>
      </c>
      <c r="I2465" s="871">
        <v>46296.133080937499</v>
      </c>
      <c r="J2465" s="1100" t="s">
        <v>10348</v>
      </c>
      <c r="K2465" s="975" t="str">
        <f>IF(COUNTIFS(tblControles[Clave],tblControles[[#This Row],[Clave]])&gt;1,"Duplicado","")</f>
        <v/>
      </c>
    </row>
    <row r="2466" spans="2:11">
      <c r="B2466" s="975" t="str">
        <f>tblControles[[#This Row],[Fecha]]&amp;"|"&amp;tblControles[[#This Row],[Módulo]]&amp;"|"&amp;tblControles[[#This Row],[Ítem]]&amp;"|"&amp;tblControles[[#This Row],[Turno]]</f>
        <v>46291|REACTIVOS|Xantato|Turno noche (12 h)</v>
      </c>
      <c r="C2466" s="871">
        <v>46291</v>
      </c>
      <c r="D2466" s="1100" t="s">
        <v>9444</v>
      </c>
      <c r="E2466" s="1100" t="s">
        <v>9511</v>
      </c>
      <c r="F2466" s="1100" t="s">
        <v>9447</v>
      </c>
      <c r="G2466" s="1100">
        <v>3150</v>
      </c>
      <c r="H2466" s="1100" t="s">
        <v>10345</v>
      </c>
      <c r="I2466" s="871">
        <v>46296.133080937499</v>
      </c>
      <c r="J2466" s="1100" t="s">
        <v>10348</v>
      </c>
      <c r="K2466" s="975" t="str">
        <f>IF(COUNTIFS(tblControles[Clave],tblControles[[#This Row],[Clave]])&gt;1,"Duplicado","")</f>
        <v/>
      </c>
    </row>
    <row r="2467" spans="2:11">
      <c r="B2467" s="975" t="str">
        <f>tblControles[[#This Row],[Fecha]]&amp;"|"&amp;tblControles[[#This Row],[Módulo]]&amp;"|"&amp;tblControles[[#This Row],[Ítem]]&amp;"|"&amp;tblControles[[#This Row],[Turno]]</f>
        <v>46291|REACTIVOS|Ácido oxálico|Turno día (12 h)</v>
      </c>
      <c r="C2467" s="871">
        <v>46291</v>
      </c>
      <c r="D2467" s="1100" t="s">
        <v>9444</v>
      </c>
      <c r="E2467" s="1100" t="s">
        <v>9508</v>
      </c>
      <c r="F2467" s="1100" t="s">
        <v>9446</v>
      </c>
      <c r="G2467" s="1100">
        <v>20000</v>
      </c>
      <c r="H2467" s="1100" t="s">
        <v>10345</v>
      </c>
      <c r="I2467" s="871">
        <v>46296.133080937499</v>
      </c>
      <c r="J2467" s="1100" t="s">
        <v>10348</v>
      </c>
      <c r="K2467" s="975" t="str">
        <f>IF(COUNTIFS(tblControles[Clave],tblControles[[#This Row],[Clave]])&gt;1,"Duplicado","")</f>
        <v/>
      </c>
    </row>
    <row r="2468" spans="2:11">
      <c r="B2468" s="975" t="str">
        <f>tblControles[[#This Row],[Fecha]]&amp;"|"&amp;tblControles[[#This Row],[Módulo]]&amp;"|"&amp;tblControles[[#This Row],[Ítem]]&amp;"|"&amp;tblControles[[#This Row],[Turno]]</f>
        <v>46291|REACTIVOS|Ácido oxálico|Turno noche (12 h)</v>
      </c>
      <c r="C2468" s="871">
        <v>46291</v>
      </c>
      <c r="D2468" s="1100" t="s">
        <v>9444</v>
      </c>
      <c r="E2468" s="1100" t="s">
        <v>9508</v>
      </c>
      <c r="F2468" s="1100" t="s">
        <v>9447</v>
      </c>
      <c r="G2468" s="1100">
        <v>16000</v>
      </c>
      <c r="H2468" s="1100" t="s">
        <v>10345</v>
      </c>
      <c r="I2468" s="871">
        <v>46296.133080937499</v>
      </c>
      <c r="J2468" s="1100" t="s">
        <v>10348</v>
      </c>
      <c r="K2468" s="975" t="str">
        <f>IF(COUNTIFS(tblControles[Clave],tblControles[[#This Row],[Clave]])&gt;1,"Duplicado","")</f>
        <v/>
      </c>
    </row>
    <row r="2469" spans="2:11">
      <c r="B2469" s="975" t="str">
        <f>tblControles[[#This Row],[Fecha]]&amp;"|"&amp;tblControles[[#This Row],[Módulo]]&amp;"|"&amp;tblControles[[#This Row],[Ítem]]&amp;"|"&amp;tblControles[[#This Row],[Turno]]</f>
        <v>46292|REACTIVOS|Espumante|Consumo día</v>
      </c>
      <c r="C2469" s="871">
        <v>46292</v>
      </c>
      <c r="D2469" s="1100" t="s">
        <v>9444</v>
      </c>
      <c r="E2469" s="1100" t="s">
        <v>9513</v>
      </c>
      <c r="F2469" s="1100" t="s">
        <v>9870</v>
      </c>
      <c r="G2469" s="1100">
        <v>2500</v>
      </c>
      <c r="H2469" s="1100" t="s">
        <v>10345</v>
      </c>
      <c r="I2469" s="871">
        <v>46296.133080937499</v>
      </c>
      <c r="J2469" s="1100" t="s">
        <v>10348</v>
      </c>
      <c r="K2469" s="975" t="str">
        <f>IF(COUNTIFS(tblControles[Clave],tblControles[[#This Row],[Clave]])&gt;1,"Duplicado","")</f>
        <v/>
      </c>
    </row>
    <row r="2470" spans="2:11">
      <c r="B2470" s="975" t="str">
        <f>tblControles[[#This Row],[Fecha]]&amp;"|"&amp;tblControles[[#This Row],[Módulo]]&amp;"|"&amp;tblControles[[#This Row],[Ítem]]&amp;"|"&amp;tblControles[[#This Row],[Turno]]</f>
        <v>46292|REACTIVOS|Xantato|Turno día (12 h)</v>
      </c>
      <c r="C2470" s="871">
        <v>46292</v>
      </c>
      <c r="D2470" s="1100" t="s">
        <v>9444</v>
      </c>
      <c r="E2470" s="1100" t="s">
        <v>9511</v>
      </c>
      <c r="F2470" s="1100" t="s">
        <v>9446</v>
      </c>
      <c r="G2470" s="1100">
        <v>3450</v>
      </c>
      <c r="H2470" s="1100" t="s">
        <v>10345</v>
      </c>
      <c r="I2470" s="871">
        <v>46296.133080937499</v>
      </c>
      <c r="J2470" s="1100" t="s">
        <v>10348</v>
      </c>
      <c r="K2470" s="975" t="str">
        <f>IF(COUNTIFS(tblControles[Clave],tblControles[[#This Row],[Clave]])&gt;1,"Duplicado","")</f>
        <v/>
      </c>
    </row>
    <row r="2471" spans="2:11">
      <c r="B2471" s="975" t="str">
        <f>tblControles[[#This Row],[Fecha]]&amp;"|"&amp;tblControles[[#This Row],[Módulo]]&amp;"|"&amp;tblControles[[#This Row],[Ítem]]&amp;"|"&amp;tblControles[[#This Row],[Turno]]</f>
        <v>46292|REACTIVOS|Xantato|Turno noche (12 h)</v>
      </c>
      <c r="C2471" s="871">
        <v>46292</v>
      </c>
      <c r="D2471" s="1100" t="s">
        <v>9444</v>
      </c>
      <c r="E2471" s="1100" t="s">
        <v>9511</v>
      </c>
      <c r="F2471" s="1100" t="s">
        <v>9447</v>
      </c>
      <c r="G2471" s="1100">
        <v>3600</v>
      </c>
      <c r="H2471" s="1100" t="s">
        <v>10345</v>
      </c>
      <c r="I2471" s="871">
        <v>46296.133080937499</v>
      </c>
      <c r="J2471" s="1100" t="s">
        <v>10348</v>
      </c>
      <c r="K2471" s="975" t="str">
        <f>IF(COUNTIFS(tblControles[Clave],tblControles[[#This Row],[Clave]])&gt;1,"Duplicado","")</f>
        <v/>
      </c>
    </row>
    <row r="2472" spans="2:11">
      <c r="B2472" s="975" t="str">
        <f>tblControles[[#This Row],[Fecha]]&amp;"|"&amp;tblControles[[#This Row],[Módulo]]&amp;"|"&amp;tblControles[[#This Row],[Ítem]]&amp;"|"&amp;tblControles[[#This Row],[Turno]]</f>
        <v>46292|REACTIVOS|Ácido oxálico|Turno día (12 h)</v>
      </c>
      <c r="C2472" s="871">
        <v>46292</v>
      </c>
      <c r="D2472" s="1100" t="s">
        <v>9444</v>
      </c>
      <c r="E2472" s="1100" t="s">
        <v>9508</v>
      </c>
      <c r="F2472" s="1100" t="s">
        <v>9446</v>
      </c>
      <c r="G2472" s="1100">
        <v>24000</v>
      </c>
      <c r="H2472" s="1100" t="s">
        <v>10345</v>
      </c>
      <c r="I2472" s="871">
        <v>46296.133080937499</v>
      </c>
      <c r="J2472" s="1100" t="s">
        <v>10348</v>
      </c>
      <c r="K2472" s="975" t="str">
        <f>IF(COUNTIFS(tblControles[Clave],tblControles[[#This Row],[Clave]])&gt;1,"Duplicado","")</f>
        <v/>
      </c>
    </row>
    <row r="2473" spans="2:11">
      <c r="B2473" s="975" t="str">
        <f>tblControles[[#This Row],[Fecha]]&amp;"|"&amp;tblControles[[#This Row],[Módulo]]&amp;"|"&amp;tblControles[[#This Row],[Ítem]]&amp;"|"&amp;tblControles[[#This Row],[Turno]]</f>
        <v>46292|REACTIVOS|Ácido oxálico|Turno noche (12 h)</v>
      </c>
      <c r="C2473" s="871">
        <v>46292</v>
      </c>
      <c r="D2473" s="1100" t="s">
        <v>9444</v>
      </c>
      <c r="E2473" s="1100" t="s">
        <v>9508</v>
      </c>
      <c r="F2473" s="1100" t="s">
        <v>9447</v>
      </c>
      <c r="G2473" s="1100">
        <v>20000</v>
      </c>
      <c r="H2473" s="1100" t="s">
        <v>10345</v>
      </c>
      <c r="I2473" s="871">
        <v>46296.133080937499</v>
      </c>
      <c r="J2473" s="1100" t="s">
        <v>10348</v>
      </c>
      <c r="K2473" s="975" t="str">
        <f>IF(COUNTIFS(tblControles[Clave],tblControles[[#This Row],[Clave]])&gt;1,"Duplicado","")</f>
        <v/>
      </c>
    </row>
    <row r="2474" spans="2:11">
      <c r="B2474" s="975" t="str">
        <f>tblControles[[#This Row],[Fecha]]&amp;"|"&amp;tblControles[[#This Row],[Módulo]]&amp;"|"&amp;tblControles[[#This Row],[Ítem]]&amp;"|"&amp;tblControles[[#This Row],[Turno]]</f>
        <v>46293|REACTIVOS|Espumante|Consumo día</v>
      </c>
      <c r="C2474" s="871">
        <v>46293</v>
      </c>
      <c r="D2474" s="1100" t="s">
        <v>9444</v>
      </c>
      <c r="E2474" s="1100" t="s">
        <v>9513</v>
      </c>
      <c r="F2474" s="1100" t="s">
        <v>9870</v>
      </c>
      <c r="G2474" s="1100">
        <v>3000</v>
      </c>
      <c r="H2474" s="1100" t="s">
        <v>10345</v>
      </c>
      <c r="I2474" s="871">
        <v>46296.133080937499</v>
      </c>
      <c r="J2474" s="1100" t="s">
        <v>10348</v>
      </c>
      <c r="K2474" s="975" t="str">
        <f>IF(COUNTIFS(tblControles[Clave],tblControles[[#This Row],[Clave]])&gt;1,"Duplicado","")</f>
        <v/>
      </c>
    </row>
    <row r="2475" spans="2:11">
      <c r="B2475" s="975" t="str">
        <f>tblControles[[#This Row],[Fecha]]&amp;"|"&amp;tblControles[[#This Row],[Módulo]]&amp;"|"&amp;tblControles[[#This Row],[Ítem]]&amp;"|"&amp;tblControles[[#This Row],[Turno]]</f>
        <v>46293|REACTIVOS|Xantato|Turno día (12 h)</v>
      </c>
      <c r="C2475" s="871">
        <v>46293</v>
      </c>
      <c r="D2475" s="1100" t="s">
        <v>9444</v>
      </c>
      <c r="E2475" s="1100" t="s">
        <v>9511</v>
      </c>
      <c r="F2475" s="1100" t="s">
        <v>9446</v>
      </c>
      <c r="G2475" s="1100">
        <v>3250</v>
      </c>
      <c r="H2475" s="1100" t="s">
        <v>10345</v>
      </c>
      <c r="I2475" s="871">
        <v>46296.133080937499</v>
      </c>
      <c r="J2475" s="1100" t="s">
        <v>10348</v>
      </c>
      <c r="K2475" s="975" t="str">
        <f>IF(COUNTIFS(tblControles[Clave],tblControles[[#This Row],[Clave]])&gt;1,"Duplicado","")</f>
        <v/>
      </c>
    </row>
    <row r="2476" spans="2:11">
      <c r="B2476" s="975" t="str">
        <f>tblControles[[#This Row],[Fecha]]&amp;"|"&amp;tblControles[[#This Row],[Módulo]]&amp;"|"&amp;tblControles[[#This Row],[Ítem]]&amp;"|"&amp;tblControles[[#This Row],[Turno]]</f>
        <v>46293|REACTIVOS|Xantato|Turno noche (12 h)</v>
      </c>
      <c r="C2476" s="871">
        <v>46293</v>
      </c>
      <c r="D2476" s="1100" t="s">
        <v>9444</v>
      </c>
      <c r="E2476" s="1100" t="s">
        <v>9511</v>
      </c>
      <c r="F2476" s="1100" t="s">
        <v>9447</v>
      </c>
      <c r="G2476" s="1100">
        <v>3800</v>
      </c>
      <c r="H2476" s="1100" t="s">
        <v>10345</v>
      </c>
      <c r="I2476" s="871">
        <v>46296.133080937499</v>
      </c>
      <c r="J2476" s="1100" t="s">
        <v>10348</v>
      </c>
      <c r="K2476" s="975" t="str">
        <f>IF(COUNTIFS(tblControles[Clave],tblControles[[#This Row],[Clave]])&gt;1,"Duplicado","")</f>
        <v/>
      </c>
    </row>
    <row r="2477" spans="2:11">
      <c r="B2477" s="975" t="str">
        <f>tblControles[[#This Row],[Fecha]]&amp;"|"&amp;tblControles[[#This Row],[Módulo]]&amp;"|"&amp;tblControles[[#This Row],[Ítem]]&amp;"|"&amp;tblControles[[#This Row],[Turno]]</f>
        <v>46293|REACTIVOS|Ácido oxálico|Turno día (12 h)</v>
      </c>
      <c r="C2477" s="871">
        <v>46293</v>
      </c>
      <c r="D2477" s="1100" t="s">
        <v>9444</v>
      </c>
      <c r="E2477" s="1100" t="s">
        <v>9508</v>
      </c>
      <c r="F2477" s="1100" t="s">
        <v>9446</v>
      </c>
      <c r="G2477" s="1100">
        <v>24000</v>
      </c>
      <c r="H2477" s="1100" t="s">
        <v>10345</v>
      </c>
      <c r="I2477" s="871">
        <v>46296.133080937499</v>
      </c>
      <c r="J2477" s="1100" t="s">
        <v>10348</v>
      </c>
      <c r="K2477" s="975" t="str">
        <f>IF(COUNTIFS(tblControles[Clave],tblControles[[#This Row],[Clave]])&gt;1,"Duplicado","")</f>
        <v/>
      </c>
    </row>
    <row r="2478" spans="2:11">
      <c r="B2478" s="975" t="str">
        <f>tblControles[[#This Row],[Fecha]]&amp;"|"&amp;tblControles[[#This Row],[Módulo]]&amp;"|"&amp;tblControles[[#This Row],[Ítem]]&amp;"|"&amp;tblControles[[#This Row],[Turno]]</f>
        <v>46293|REACTIVOS|Ácido oxálico|Turno noche (12 h)</v>
      </c>
      <c r="C2478" s="871">
        <v>46293</v>
      </c>
      <c r="D2478" s="1100" t="s">
        <v>9444</v>
      </c>
      <c r="E2478" s="1100" t="s">
        <v>9508</v>
      </c>
      <c r="F2478" s="1100" t="s">
        <v>9447</v>
      </c>
      <c r="G2478" s="1100">
        <v>20000</v>
      </c>
      <c r="H2478" s="1100" t="s">
        <v>10345</v>
      </c>
      <c r="I2478" s="871">
        <v>46296.133080937499</v>
      </c>
      <c r="J2478" s="1100" t="s">
        <v>10348</v>
      </c>
      <c r="K2478" s="975" t="str">
        <f>IF(COUNTIFS(tblControles[Clave],tblControles[[#This Row],[Clave]])&gt;1,"Duplicado","")</f>
        <v/>
      </c>
    </row>
    <row r="2479" spans="2:11">
      <c r="B2479" s="975" t="str">
        <f>tblControles[[#This Row],[Fecha]]&amp;"|"&amp;tblControles[[#This Row],[Módulo]]&amp;"|"&amp;tblControles[[#This Row],[Ítem]]&amp;"|"&amp;tblControles[[#This Row],[Turno]]</f>
        <v>46294|REACTIVOS|Espumante|Consumo día</v>
      </c>
      <c r="C2479" s="871">
        <v>46294</v>
      </c>
      <c r="D2479" s="1100" t="s">
        <v>9444</v>
      </c>
      <c r="E2479" s="1100" t="s">
        <v>9513</v>
      </c>
      <c r="F2479" s="1100" t="s">
        <v>9870</v>
      </c>
      <c r="G2479" s="1100">
        <v>3000</v>
      </c>
      <c r="H2479" s="1100" t="s">
        <v>10345</v>
      </c>
      <c r="I2479" s="871">
        <v>46296.133080937499</v>
      </c>
      <c r="J2479" s="1100" t="s">
        <v>10348</v>
      </c>
      <c r="K2479" s="975" t="str">
        <f>IF(COUNTIFS(tblControles[Clave],tblControles[[#This Row],[Clave]])&gt;1,"Duplicado","")</f>
        <v/>
      </c>
    </row>
    <row r="2480" spans="2:11">
      <c r="B2480" s="975" t="str">
        <f>tblControles[[#This Row],[Fecha]]&amp;"|"&amp;tblControles[[#This Row],[Módulo]]&amp;"|"&amp;tblControles[[#This Row],[Ítem]]&amp;"|"&amp;tblControles[[#This Row],[Turno]]</f>
        <v>46294|REACTIVOS|Xantato|Turno día (12 h)</v>
      </c>
      <c r="C2480" s="871">
        <v>46294</v>
      </c>
      <c r="D2480" s="1100" t="s">
        <v>9444</v>
      </c>
      <c r="E2480" s="1100" t="s">
        <v>9511</v>
      </c>
      <c r="F2480" s="1100" t="s">
        <v>9446</v>
      </c>
      <c r="G2480" s="1100">
        <v>3600</v>
      </c>
      <c r="H2480" s="1100" t="s">
        <v>10345</v>
      </c>
      <c r="I2480" s="871">
        <v>46296.133080937499</v>
      </c>
      <c r="J2480" s="1100" t="s">
        <v>10348</v>
      </c>
      <c r="K2480" s="975" t="str">
        <f>IF(COUNTIFS(tblControles[Clave],tblControles[[#This Row],[Clave]])&gt;1,"Duplicado","")</f>
        <v/>
      </c>
    </row>
    <row r="2481" spans="2:11">
      <c r="B2481" s="975" t="str">
        <f>tblControles[[#This Row],[Fecha]]&amp;"|"&amp;tblControles[[#This Row],[Módulo]]&amp;"|"&amp;tblControles[[#This Row],[Ítem]]&amp;"|"&amp;tblControles[[#This Row],[Turno]]</f>
        <v>46294|REACTIVOS|Xantato|Turno noche (12 h)</v>
      </c>
      <c r="C2481" s="871">
        <v>46294</v>
      </c>
      <c r="D2481" s="1100" t="s">
        <v>9444</v>
      </c>
      <c r="E2481" s="1100" t="s">
        <v>9511</v>
      </c>
      <c r="F2481" s="1100" t="s">
        <v>9447</v>
      </c>
      <c r="G2481" s="1100">
        <v>3350</v>
      </c>
      <c r="H2481" s="1100" t="s">
        <v>10345</v>
      </c>
      <c r="I2481" s="871">
        <v>46296.133080937499</v>
      </c>
      <c r="J2481" s="1100" t="s">
        <v>10348</v>
      </c>
      <c r="K2481" s="975" t="str">
        <f>IF(COUNTIFS(tblControles[Clave],tblControles[[#This Row],[Clave]])&gt;1,"Duplicado","")</f>
        <v/>
      </c>
    </row>
    <row r="2482" spans="2:11">
      <c r="B2482" s="975" t="str">
        <f>tblControles[[#This Row],[Fecha]]&amp;"|"&amp;tblControles[[#This Row],[Módulo]]&amp;"|"&amp;tblControles[[#This Row],[Ítem]]&amp;"|"&amp;tblControles[[#This Row],[Turno]]</f>
        <v>46294|REACTIVOS|Ácido oxálico|Turno día (12 h)</v>
      </c>
      <c r="C2482" s="871">
        <v>46294</v>
      </c>
      <c r="D2482" s="1100" t="s">
        <v>9444</v>
      </c>
      <c r="E2482" s="1100" t="s">
        <v>9508</v>
      </c>
      <c r="F2482" s="1100" t="s">
        <v>9446</v>
      </c>
      <c r="G2482" s="1100">
        <v>20000</v>
      </c>
      <c r="H2482" s="1100" t="s">
        <v>10345</v>
      </c>
      <c r="I2482" s="871">
        <v>46296.133080937499</v>
      </c>
      <c r="J2482" s="1100" t="s">
        <v>10348</v>
      </c>
      <c r="K2482" s="975" t="str">
        <f>IF(COUNTIFS(tblControles[Clave],tblControles[[#This Row],[Clave]])&gt;1,"Duplicado","")</f>
        <v/>
      </c>
    </row>
    <row r="2483" spans="2:11">
      <c r="B2483" s="975" t="str">
        <f>tblControles[[#This Row],[Fecha]]&amp;"|"&amp;tblControles[[#This Row],[Módulo]]&amp;"|"&amp;tblControles[[#This Row],[Ítem]]&amp;"|"&amp;tblControles[[#This Row],[Turno]]</f>
        <v>46294|REACTIVOS|Ácido oxálico|Turno noche (12 h)</v>
      </c>
      <c r="C2483" s="871">
        <v>46294</v>
      </c>
      <c r="D2483" s="1100" t="s">
        <v>9444</v>
      </c>
      <c r="E2483" s="1100" t="s">
        <v>9508</v>
      </c>
      <c r="F2483" s="1100" t="s">
        <v>9447</v>
      </c>
      <c r="G2483" s="1100">
        <v>16000</v>
      </c>
      <c r="H2483" s="1100" t="s">
        <v>10345</v>
      </c>
      <c r="I2483" s="871">
        <v>46296.133080937499</v>
      </c>
      <c r="J2483" s="1100" t="s">
        <v>10348</v>
      </c>
      <c r="K2483" s="975" t="str">
        <f>IF(COUNTIFS(tblControles[Clave],tblControles[[#This Row],[Clave]])&gt;1,"Duplicado","")</f>
        <v/>
      </c>
    </row>
    <row r="2484" spans="2:11">
      <c r="B2484" s="975" t="str">
        <f>tblControles[[#This Row],[Fecha]]&amp;"|"&amp;tblControles[[#This Row],[Módulo]]&amp;"|"&amp;tblControles[[#This Row],[Ítem]]&amp;"|"&amp;tblControles[[#This Row],[Turno]]</f>
        <v>46287|TONELADAS X TURNO|Molino barras 1|1° turno</v>
      </c>
      <c r="C2484" s="871">
        <v>46287</v>
      </c>
      <c r="D2484" s="1100" t="s">
        <v>9449</v>
      </c>
      <c r="E2484" s="1100" t="s">
        <v>387</v>
      </c>
      <c r="F2484" s="1100" t="s">
        <v>396</v>
      </c>
      <c r="G2484" s="1100">
        <v>1513</v>
      </c>
      <c r="H2484" s="1100" t="s">
        <v>10345</v>
      </c>
      <c r="I2484" s="871">
        <v>46296.133811898151</v>
      </c>
      <c r="J2484" s="1100" t="s">
        <v>10349</v>
      </c>
      <c r="K2484" s="975" t="str">
        <f>IF(COUNTIFS(tblControles[Clave],tblControles[[#This Row],[Clave]])&gt;1,"Duplicado","")</f>
        <v/>
      </c>
    </row>
    <row r="2485" spans="2:11">
      <c r="B2485" s="975" t="str">
        <f>tblControles[[#This Row],[Fecha]]&amp;"|"&amp;tblControles[[#This Row],[Módulo]]&amp;"|"&amp;tblControles[[#This Row],[Ítem]]&amp;"|"&amp;tblControles[[#This Row],[Turno]]</f>
        <v>46287|TONELADAS X TURNO|Molino barras 1|2° turno</v>
      </c>
      <c r="C2485" s="871">
        <v>46287</v>
      </c>
      <c r="D2485" s="1100" t="s">
        <v>9449</v>
      </c>
      <c r="E2485" s="1100" t="s">
        <v>387</v>
      </c>
      <c r="F2485" s="1100" t="s">
        <v>397</v>
      </c>
      <c r="G2485" s="1100">
        <v>1369</v>
      </c>
      <c r="H2485" s="1100" t="s">
        <v>10345</v>
      </c>
      <c r="I2485" s="871">
        <v>46296.133811898151</v>
      </c>
      <c r="J2485" s="1100" t="s">
        <v>10349</v>
      </c>
      <c r="K2485" s="975" t="str">
        <f>IF(COUNTIFS(tblControles[Clave],tblControles[[#This Row],[Clave]])&gt;1,"Duplicado","")</f>
        <v/>
      </c>
    </row>
    <row r="2486" spans="2:11">
      <c r="B2486" s="975" t="str">
        <f>tblControles[[#This Row],[Fecha]]&amp;"|"&amp;tblControles[[#This Row],[Módulo]]&amp;"|"&amp;tblControles[[#This Row],[Ítem]]&amp;"|"&amp;tblControles[[#This Row],[Turno]]</f>
        <v>46287|TONELADAS X TURNO|Molino barras 1|3° turno</v>
      </c>
      <c r="C2486" s="871">
        <v>46287</v>
      </c>
      <c r="D2486" s="1100" t="s">
        <v>9449</v>
      </c>
      <c r="E2486" s="1100" t="s">
        <v>387</v>
      </c>
      <c r="F2486" s="1100" t="s">
        <v>398</v>
      </c>
      <c r="G2486" s="1100">
        <v>1608</v>
      </c>
      <c r="H2486" s="1100" t="s">
        <v>10345</v>
      </c>
      <c r="I2486" s="871">
        <v>46296.133811898151</v>
      </c>
      <c r="J2486" s="1100" t="s">
        <v>10349</v>
      </c>
      <c r="K2486" s="975" t="str">
        <f>IF(COUNTIFS(tblControles[Clave],tblControles[[#This Row],[Clave]])&gt;1,"Duplicado","")</f>
        <v/>
      </c>
    </row>
    <row r="2487" spans="2:11">
      <c r="B2487" s="975" t="str">
        <f>tblControles[[#This Row],[Fecha]]&amp;"|"&amp;tblControles[[#This Row],[Módulo]]&amp;"|"&amp;tblControles[[#This Row],[Ítem]]&amp;"|"&amp;tblControles[[#This Row],[Turno]]</f>
        <v>46287|TONELADAS X TURNO|Molino barras 2|1° turno</v>
      </c>
      <c r="C2487" s="871">
        <v>46287</v>
      </c>
      <c r="D2487" s="1100" t="s">
        <v>9449</v>
      </c>
      <c r="E2487" s="1100" t="s">
        <v>388</v>
      </c>
      <c r="F2487" s="1100" t="s">
        <v>396</v>
      </c>
      <c r="G2487" s="1100">
        <v>144</v>
      </c>
      <c r="H2487" s="1100" t="s">
        <v>10345</v>
      </c>
      <c r="I2487" s="871">
        <v>46296.133811898151</v>
      </c>
      <c r="J2487" s="1100" t="s">
        <v>10349</v>
      </c>
      <c r="K2487" s="975" t="str">
        <f>IF(COUNTIFS(tblControles[Clave],tblControles[[#This Row],[Clave]])&gt;1,"Duplicado","")</f>
        <v/>
      </c>
    </row>
    <row r="2488" spans="2:11">
      <c r="B2488" s="975" t="str">
        <f>tblControles[[#This Row],[Fecha]]&amp;"|"&amp;tblControles[[#This Row],[Módulo]]&amp;"|"&amp;tblControles[[#This Row],[Ítem]]&amp;"|"&amp;tblControles[[#This Row],[Turno]]</f>
        <v>46287|TONELADAS X TURNO|Molino barras 2|2° turno</v>
      </c>
      <c r="C2488" s="871">
        <v>46287</v>
      </c>
      <c r="D2488" s="1100" t="s">
        <v>9449</v>
      </c>
      <c r="E2488" s="1100" t="s">
        <v>388</v>
      </c>
      <c r="F2488" s="1100" t="s">
        <v>397</v>
      </c>
      <c r="G2488" s="1100">
        <v>260</v>
      </c>
      <c r="H2488" s="1100" t="s">
        <v>10345</v>
      </c>
      <c r="I2488" s="871">
        <v>46296.133811898151</v>
      </c>
      <c r="J2488" s="1100" t="s">
        <v>10349</v>
      </c>
      <c r="K2488" s="975" t="str">
        <f>IF(COUNTIFS(tblControles[Clave],tblControles[[#This Row],[Clave]])&gt;1,"Duplicado","")</f>
        <v/>
      </c>
    </row>
    <row r="2489" spans="2:11">
      <c r="B2489" s="975" t="str">
        <f>tblControles[[#This Row],[Fecha]]&amp;"|"&amp;tblControles[[#This Row],[Módulo]]&amp;"|"&amp;tblControles[[#This Row],[Ítem]]&amp;"|"&amp;tblControles[[#This Row],[Turno]]</f>
        <v>46287|TONELADAS X TURNO|Molino barras 2|3° turno</v>
      </c>
      <c r="C2489" s="871">
        <v>46287</v>
      </c>
      <c r="D2489" s="1100" t="s">
        <v>9449</v>
      </c>
      <c r="E2489" s="1100" t="s">
        <v>388</v>
      </c>
      <c r="F2489" s="1100" t="s">
        <v>398</v>
      </c>
      <c r="G2489" s="1100">
        <v>0</v>
      </c>
      <c r="H2489" s="1100" t="s">
        <v>10345</v>
      </c>
      <c r="I2489" s="871">
        <v>46296.133811898151</v>
      </c>
      <c r="J2489" s="1100" t="s">
        <v>10349</v>
      </c>
      <c r="K2489" s="975" t="str">
        <f>IF(COUNTIFS(tblControles[Clave],tblControles[[#This Row],[Clave]])&gt;1,"Duplicado","")</f>
        <v/>
      </c>
    </row>
    <row r="2490" spans="2:11">
      <c r="B2490" s="975" t="str">
        <f>tblControles[[#This Row],[Fecha]]&amp;"|"&amp;tblControles[[#This Row],[Módulo]]&amp;"|"&amp;tblControles[[#This Row],[Ítem]]&amp;"|"&amp;tblControles[[#This Row],[Turno]]</f>
        <v>46287|TONELADAS X TURNO|Molino barras 3|1° turno</v>
      </c>
      <c r="C2490" s="871">
        <v>46287</v>
      </c>
      <c r="D2490" s="1100" t="s">
        <v>9449</v>
      </c>
      <c r="E2490" s="1100" t="s">
        <v>389</v>
      </c>
      <c r="F2490" s="1100" t="s">
        <v>396</v>
      </c>
      <c r="G2490" s="1100">
        <v>1340</v>
      </c>
      <c r="H2490" s="1100" t="s">
        <v>10345</v>
      </c>
      <c r="I2490" s="871">
        <v>46296.133811898151</v>
      </c>
      <c r="J2490" s="1100" t="s">
        <v>10349</v>
      </c>
      <c r="K2490" s="975" t="str">
        <f>IF(COUNTIFS(tblControles[Clave],tblControles[[#This Row],[Clave]])&gt;1,"Duplicado","")</f>
        <v/>
      </c>
    </row>
    <row r="2491" spans="2:11">
      <c r="B2491" s="975" t="str">
        <f>tblControles[[#This Row],[Fecha]]&amp;"|"&amp;tblControles[[#This Row],[Módulo]]&amp;"|"&amp;tblControles[[#This Row],[Ítem]]&amp;"|"&amp;tblControles[[#This Row],[Turno]]</f>
        <v>46287|TONELADAS X TURNO|Molino barras 3|2° turno</v>
      </c>
      <c r="C2491" s="871">
        <v>46287</v>
      </c>
      <c r="D2491" s="1100" t="s">
        <v>9449</v>
      </c>
      <c r="E2491" s="1100" t="s">
        <v>389</v>
      </c>
      <c r="F2491" s="1100" t="s">
        <v>397</v>
      </c>
      <c r="G2491" s="1100">
        <v>1320</v>
      </c>
      <c r="H2491" s="1100" t="s">
        <v>10345</v>
      </c>
      <c r="I2491" s="871">
        <v>46296.133811898151</v>
      </c>
      <c r="J2491" s="1100" t="s">
        <v>10349</v>
      </c>
      <c r="K2491" s="975" t="str">
        <f>IF(COUNTIFS(tblControles[Clave],tblControles[[#This Row],[Clave]])&gt;1,"Duplicado","")</f>
        <v/>
      </c>
    </row>
    <row r="2492" spans="2:11">
      <c r="B2492" s="975" t="str">
        <f>tblControles[[#This Row],[Fecha]]&amp;"|"&amp;tblControles[[#This Row],[Módulo]]&amp;"|"&amp;tblControles[[#This Row],[Ítem]]&amp;"|"&amp;tblControles[[#This Row],[Turno]]</f>
        <v>46287|TONELADAS X TURNO|Molino barras 3|3° turno</v>
      </c>
      <c r="C2492" s="871">
        <v>46287</v>
      </c>
      <c r="D2492" s="1100" t="s">
        <v>9449</v>
      </c>
      <c r="E2492" s="1100" t="s">
        <v>389</v>
      </c>
      <c r="F2492" s="1100" t="s">
        <v>398</v>
      </c>
      <c r="G2492" s="1100">
        <v>1260</v>
      </c>
      <c r="H2492" s="1100" t="s">
        <v>10345</v>
      </c>
      <c r="I2492" s="871">
        <v>46296.133811898151</v>
      </c>
      <c r="J2492" s="1100" t="s">
        <v>10349</v>
      </c>
      <c r="K2492" s="975" t="str">
        <f>IF(COUNTIFS(tblControles[Clave],tblControles[[#This Row],[Clave]])&gt;1,"Duplicado","")</f>
        <v/>
      </c>
    </row>
    <row r="2493" spans="2:11">
      <c r="B2493" s="975" t="str">
        <f>tblControles[[#This Row],[Fecha]]&amp;"|"&amp;tblControles[[#This Row],[Módulo]]&amp;"|"&amp;tblControles[[#This Row],[Ítem]]&amp;"|"&amp;tblControles[[#This Row],[Turno]]</f>
        <v>46287|TONELADAS X TURNO|Molino barras 4|1° turno</v>
      </c>
      <c r="C2493" s="871">
        <v>46287</v>
      </c>
      <c r="D2493" s="1100" t="s">
        <v>9449</v>
      </c>
      <c r="E2493" s="1100" t="s">
        <v>390</v>
      </c>
      <c r="F2493" s="1100" t="s">
        <v>396</v>
      </c>
      <c r="G2493" s="1100">
        <v>1239</v>
      </c>
      <c r="H2493" s="1100" t="s">
        <v>10345</v>
      </c>
      <c r="I2493" s="871">
        <v>46296.133811898151</v>
      </c>
      <c r="J2493" s="1100" t="s">
        <v>10349</v>
      </c>
      <c r="K2493" s="975" t="str">
        <f>IF(COUNTIFS(tblControles[Clave],tblControles[[#This Row],[Clave]])&gt;1,"Duplicado","")</f>
        <v/>
      </c>
    </row>
    <row r="2494" spans="2:11">
      <c r="B2494" s="975" t="str">
        <f>tblControles[[#This Row],[Fecha]]&amp;"|"&amp;tblControles[[#This Row],[Módulo]]&amp;"|"&amp;tblControles[[#This Row],[Ítem]]&amp;"|"&amp;tblControles[[#This Row],[Turno]]</f>
        <v>46287|TONELADAS X TURNO|Molino barras 4|2° turno</v>
      </c>
      <c r="C2494" s="871">
        <v>46287</v>
      </c>
      <c r="D2494" s="1100" t="s">
        <v>9449</v>
      </c>
      <c r="E2494" s="1100" t="s">
        <v>390</v>
      </c>
      <c r="F2494" s="1100" t="s">
        <v>397</v>
      </c>
      <c r="G2494" s="1100">
        <v>1266</v>
      </c>
      <c r="H2494" s="1100" t="s">
        <v>10345</v>
      </c>
      <c r="I2494" s="871">
        <v>46296.133811898151</v>
      </c>
      <c r="J2494" s="1100" t="s">
        <v>10349</v>
      </c>
      <c r="K2494" s="975" t="str">
        <f>IF(COUNTIFS(tblControles[Clave],tblControles[[#This Row],[Clave]])&gt;1,"Duplicado","")</f>
        <v/>
      </c>
    </row>
    <row r="2495" spans="2:11">
      <c r="B2495" s="975" t="str">
        <f>tblControles[[#This Row],[Fecha]]&amp;"|"&amp;tblControles[[#This Row],[Módulo]]&amp;"|"&amp;tblControles[[#This Row],[Ítem]]&amp;"|"&amp;tblControles[[#This Row],[Turno]]</f>
        <v>46287|TONELADAS X TURNO|Molino barras 4|3° turno</v>
      </c>
      <c r="C2495" s="871">
        <v>46287</v>
      </c>
      <c r="D2495" s="1100" t="s">
        <v>9449</v>
      </c>
      <c r="E2495" s="1100" t="s">
        <v>390</v>
      </c>
      <c r="F2495" s="1100" t="s">
        <v>398</v>
      </c>
      <c r="G2495" s="1100">
        <v>1270</v>
      </c>
      <c r="H2495" s="1100" t="s">
        <v>10345</v>
      </c>
      <c r="I2495" s="871">
        <v>46296.133811898151</v>
      </c>
      <c r="J2495" s="1100" t="s">
        <v>10349</v>
      </c>
      <c r="K2495" s="975" t="str">
        <f>IF(COUNTIFS(tblControles[Clave],tblControles[[#This Row],[Clave]])&gt;1,"Duplicado","")</f>
        <v/>
      </c>
    </row>
    <row r="2496" spans="2:11">
      <c r="B2496" s="975" t="str">
        <f>tblControles[[#This Row],[Fecha]]&amp;"|"&amp;tblControles[[#This Row],[Módulo]]&amp;"|"&amp;tblControles[[#This Row],[Ítem]]&amp;"|"&amp;tblControles[[#This Row],[Turno]]</f>
        <v>46287|TONELADAS X TURNO|Molino barras 5|1° turno</v>
      </c>
      <c r="C2496" s="871">
        <v>46287</v>
      </c>
      <c r="D2496" s="1100" t="s">
        <v>9449</v>
      </c>
      <c r="E2496" s="1100" t="s">
        <v>391</v>
      </c>
      <c r="F2496" s="1100" t="s">
        <v>396</v>
      </c>
      <c r="G2496" s="1100">
        <v>1521</v>
      </c>
      <c r="H2496" s="1100" t="s">
        <v>10345</v>
      </c>
      <c r="I2496" s="871">
        <v>46296.133811898151</v>
      </c>
      <c r="J2496" s="1100" t="s">
        <v>10349</v>
      </c>
      <c r="K2496" s="975" t="str">
        <f>IF(COUNTIFS(tblControles[Clave],tblControles[[#This Row],[Clave]])&gt;1,"Duplicado","")</f>
        <v/>
      </c>
    </row>
    <row r="2497" spans="2:11">
      <c r="B2497" s="975" t="str">
        <f>tblControles[[#This Row],[Fecha]]&amp;"|"&amp;tblControles[[#This Row],[Módulo]]&amp;"|"&amp;tblControles[[#This Row],[Ítem]]&amp;"|"&amp;tblControles[[#This Row],[Turno]]</f>
        <v>46287|TONELADAS X TURNO|Molino barras 5|2° turno</v>
      </c>
      <c r="C2497" s="871">
        <v>46287</v>
      </c>
      <c r="D2497" s="1100" t="s">
        <v>9449</v>
      </c>
      <c r="E2497" s="1100" t="s">
        <v>391</v>
      </c>
      <c r="F2497" s="1100" t="s">
        <v>397</v>
      </c>
      <c r="G2497" s="1100">
        <v>554</v>
      </c>
      <c r="H2497" s="1100" t="s">
        <v>10345</v>
      </c>
      <c r="I2497" s="871">
        <v>46296.133811898151</v>
      </c>
      <c r="J2497" s="1100" t="s">
        <v>10349</v>
      </c>
      <c r="K2497" s="975" t="str">
        <f>IF(COUNTIFS(tblControles[Clave],tblControles[[#This Row],[Clave]])&gt;1,"Duplicado","")</f>
        <v/>
      </c>
    </row>
    <row r="2498" spans="2:11">
      <c r="B2498" s="975" t="str">
        <f>tblControles[[#This Row],[Fecha]]&amp;"|"&amp;tblControles[[#This Row],[Módulo]]&amp;"|"&amp;tblControles[[#This Row],[Ítem]]&amp;"|"&amp;tblControles[[#This Row],[Turno]]</f>
        <v>46287|TONELADAS X TURNO|Molino barras 5|3° turno</v>
      </c>
      <c r="C2498" s="871">
        <v>46287</v>
      </c>
      <c r="D2498" s="1100" t="s">
        <v>9449</v>
      </c>
      <c r="E2498" s="1100" t="s">
        <v>391</v>
      </c>
      <c r="F2498" s="1100" t="s">
        <v>398</v>
      </c>
      <c r="G2498" s="1100">
        <v>1521</v>
      </c>
      <c r="H2498" s="1100" t="s">
        <v>10345</v>
      </c>
      <c r="I2498" s="871">
        <v>46296.133811898151</v>
      </c>
      <c r="J2498" s="1100" t="s">
        <v>10349</v>
      </c>
      <c r="K2498" s="975" t="str">
        <f>IF(COUNTIFS(tblControles[Clave],tblControles[[#This Row],[Clave]])&gt;1,"Duplicado","")</f>
        <v/>
      </c>
    </row>
    <row r="2499" spans="2:11">
      <c r="B2499" s="975" t="str">
        <f>tblControles[[#This Row],[Fecha]]&amp;"|"&amp;tblControles[[#This Row],[Módulo]]&amp;"|"&amp;tblControles[[#This Row],[Ítem]]&amp;"|"&amp;tblControles[[#This Row],[Turno]]</f>
        <v>46287|TONELADAS X TURNO|Molino barras 6|1° turno</v>
      </c>
      <c r="C2499" s="871">
        <v>46287</v>
      </c>
      <c r="D2499" s="1100" t="s">
        <v>9449</v>
      </c>
      <c r="E2499" s="1100" t="s">
        <v>392</v>
      </c>
      <c r="F2499" s="1100" t="s">
        <v>396</v>
      </c>
      <c r="G2499" s="1100">
        <v>1594</v>
      </c>
      <c r="H2499" s="1100" t="s">
        <v>10345</v>
      </c>
      <c r="I2499" s="871">
        <v>46296.133811898151</v>
      </c>
      <c r="J2499" s="1100" t="s">
        <v>10349</v>
      </c>
      <c r="K2499" s="975" t="str">
        <f>IF(COUNTIFS(tblControles[Clave],tblControles[[#This Row],[Clave]])&gt;1,"Duplicado","")</f>
        <v/>
      </c>
    </row>
    <row r="2500" spans="2:11">
      <c r="B2500" s="975" t="str">
        <f>tblControles[[#This Row],[Fecha]]&amp;"|"&amp;tblControles[[#This Row],[Módulo]]&amp;"|"&amp;tblControles[[#This Row],[Ítem]]&amp;"|"&amp;tblControles[[#This Row],[Turno]]</f>
        <v>46287|TONELADAS X TURNO|Molino barras 6|2° turno</v>
      </c>
      <c r="C2500" s="871">
        <v>46287</v>
      </c>
      <c r="D2500" s="1100" t="s">
        <v>9449</v>
      </c>
      <c r="E2500" s="1100" t="s">
        <v>392</v>
      </c>
      <c r="F2500" s="1100" t="s">
        <v>397</v>
      </c>
      <c r="G2500" s="1100">
        <v>1585</v>
      </c>
      <c r="H2500" s="1100" t="s">
        <v>10345</v>
      </c>
      <c r="I2500" s="871">
        <v>46296.133811898151</v>
      </c>
      <c r="J2500" s="1100" t="s">
        <v>10349</v>
      </c>
      <c r="K2500" s="975" t="str">
        <f>IF(COUNTIFS(tblControles[Clave],tblControles[[#This Row],[Clave]])&gt;1,"Duplicado","")</f>
        <v/>
      </c>
    </row>
    <row r="2501" spans="2:11">
      <c r="B2501" s="975" t="str">
        <f>tblControles[[#This Row],[Fecha]]&amp;"|"&amp;tblControles[[#This Row],[Módulo]]&amp;"|"&amp;tblControles[[#This Row],[Ítem]]&amp;"|"&amp;tblControles[[#This Row],[Turno]]</f>
        <v>46287|TONELADAS X TURNO|Molino barras 6|3° turno</v>
      </c>
      <c r="C2501" s="871">
        <v>46287</v>
      </c>
      <c r="D2501" s="1100" t="s">
        <v>9449</v>
      </c>
      <c r="E2501" s="1100" t="s">
        <v>392</v>
      </c>
      <c r="F2501" s="1100" t="s">
        <v>398</v>
      </c>
      <c r="G2501" s="1100">
        <v>1500</v>
      </c>
      <c r="H2501" s="1100" t="s">
        <v>10345</v>
      </c>
      <c r="I2501" s="871">
        <v>46296.133811898151</v>
      </c>
      <c r="J2501" s="1100" t="s">
        <v>10349</v>
      </c>
      <c r="K2501" s="975" t="str">
        <f>IF(COUNTIFS(tblControles[Clave],tblControles[[#This Row],[Clave]])&gt;1,"Duplicado","")</f>
        <v/>
      </c>
    </row>
    <row r="2502" spans="2:11">
      <c r="B2502" s="975" t="str">
        <f>tblControles[[#This Row],[Fecha]]&amp;"|"&amp;tblControles[[#This Row],[Módulo]]&amp;"|"&amp;tblControles[[#This Row],[Ítem]]&amp;"|"&amp;tblControles[[#This Row],[Turno]]</f>
        <v>46287|TONELADAS X TURNO|Molino barras 7|1° turno</v>
      </c>
      <c r="C2502" s="871">
        <v>46287</v>
      </c>
      <c r="D2502" s="1100" t="s">
        <v>9449</v>
      </c>
      <c r="E2502" s="1100" t="s">
        <v>393</v>
      </c>
      <c r="F2502" s="1100" t="s">
        <v>396</v>
      </c>
      <c r="G2502" s="1100">
        <v>681</v>
      </c>
      <c r="H2502" s="1100" t="s">
        <v>10345</v>
      </c>
      <c r="I2502" s="871">
        <v>46296.133811898151</v>
      </c>
      <c r="J2502" s="1100" t="s">
        <v>10349</v>
      </c>
      <c r="K2502" s="975" t="str">
        <f>IF(COUNTIFS(tblControles[Clave],tblControles[[#This Row],[Clave]])&gt;1,"Duplicado","")</f>
        <v/>
      </c>
    </row>
    <row r="2503" spans="2:11">
      <c r="B2503" s="975" t="str">
        <f>tblControles[[#This Row],[Fecha]]&amp;"|"&amp;tblControles[[#This Row],[Módulo]]&amp;"|"&amp;tblControles[[#This Row],[Ítem]]&amp;"|"&amp;tblControles[[#This Row],[Turno]]</f>
        <v>46287|TONELADAS X TURNO|Molino barras 7|2° turno</v>
      </c>
      <c r="C2503" s="871">
        <v>46287</v>
      </c>
      <c r="D2503" s="1100" t="s">
        <v>9449</v>
      </c>
      <c r="E2503" s="1100" t="s">
        <v>393</v>
      </c>
      <c r="F2503" s="1100" t="s">
        <v>397</v>
      </c>
      <c r="G2503" s="1100">
        <v>434</v>
      </c>
      <c r="H2503" s="1100" t="s">
        <v>10345</v>
      </c>
      <c r="I2503" s="871">
        <v>46296.133811898151</v>
      </c>
      <c r="J2503" s="1100" t="s">
        <v>10349</v>
      </c>
      <c r="K2503" s="975" t="str">
        <f>IF(COUNTIFS(tblControles[Clave],tblControles[[#This Row],[Clave]])&gt;1,"Duplicado","")</f>
        <v/>
      </c>
    </row>
    <row r="2504" spans="2:11">
      <c r="B2504" s="975" t="str">
        <f>tblControles[[#This Row],[Fecha]]&amp;"|"&amp;tblControles[[#This Row],[Módulo]]&amp;"|"&amp;tblControles[[#This Row],[Ítem]]&amp;"|"&amp;tblControles[[#This Row],[Turno]]</f>
        <v>46287|TONELADAS X TURNO|Molino barras 7|3° turno</v>
      </c>
      <c r="C2504" s="871">
        <v>46287</v>
      </c>
      <c r="D2504" s="1100" t="s">
        <v>9449</v>
      </c>
      <c r="E2504" s="1100" t="s">
        <v>393</v>
      </c>
      <c r="F2504" s="1100" t="s">
        <v>398</v>
      </c>
      <c r="G2504" s="1100">
        <v>0</v>
      </c>
      <c r="H2504" s="1100" t="s">
        <v>10345</v>
      </c>
      <c r="I2504" s="871">
        <v>46296.133811898151</v>
      </c>
      <c r="J2504" s="1100" t="s">
        <v>10349</v>
      </c>
      <c r="K2504" s="975" t="str">
        <f>IF(COUNTIFS(tblControles[Clave],tblControles[[#This Row],[Clave]])&gt;1,"Duplicado","")</f>
        <v/>
      </c>
    </row>
    <row r="2505" spans="2:11">
      <c r="B2505" s="975" t="str">
        <f>tblControles[[#This Row],[Fecha]]&amp;"|"&amp;tblControles[[#This Row],[Módulo]]&amp;"|"&amp;tblControles[[#This Row],[Ítem]]&amp;"|"&amp;tblControles[[#This Row],[Turno]]</f>
        <v>46287|TONELADAS X TURNO|Molino barras 8|1° turno</v>
      </c>
      <c r="C2505" s="871">
        <v>46287</v>
      </c>
      <c r="D2505" s="1100" t="s">
        <v>9449</v>
      </c>
      <c r="E2505" s="1100" t="s">
        <v>394</v>
      </c>
      <c r="F2505" s="1100" t="s">
        <v>396</v>
      </c>
      <c r="G2505" s="1100">
        <v>1601</v>
      </c>
      <c r="H2505" s="1100" t="s">
        <v>10345</v>
      </c>
      <c r="I2505" s="871">
        <v>46296.133811898151</v>
      </c>
      <c r="J2505" s="1100" t="s">
        <v>10349</v>
      </c>
      <c r="K2505" s="975" t="str">
        <f>IF(COUNTIFS(tblControles[Clave],tblControles[[#This Row],[Clave]])&gt;1,"Duplicado","")</f>
        <v/>
      </c>
    </row>
    <row r="2506" spans="2:11">
      <c r="B2506" s="975" t="str">
        <f>tblControles[[#This Row],[Fecha]]&amp;"|"&amp;tblControles[[#This Row],[Módulo]]&amp;"|"&amp;tblControles[[#This Row],[Ítem]]&amp;"|"&amp;tblControles[[#This Row],[Turno]]</f>
        <v>46287|TONELADAS X TURNO|Molino barras 8|2° turno</v>
      </c>
      <c r="C2506" s="871">
        <v>46287</v>
      </c>
      <c r="D2506" s="1100" t="s">
        <v>9449</v>
      </c>
      <c r="E2506" s="1100" t="s">
        <v>394</v>
      </c>
      <c r="F2506" s="1100" t="s">
        <v>397</v>
      </c>
      <c r="G2506" s="1100">
        <v>1600</v>
      </c>
      <c r="H2506" s="1100" t="s">
        <v>10345</v>
      </c>
      <c r="I2506" s="871">
        <v>46296.133811898151</v>
      </c>
      <c r="J2506" s="1100" t="s">
        <v>10349</v>
      </c>
      <c r="K2506" s="975" t="str">
        <f>IF(COUNTIFS(tblControles[Clave],tblControles[[#This Row],[Clave]])&gt;1,"Duplicado","")</f>
        <v/>
      </c>
    </row>
    <row r="2507" spans="2:11">
      <c r="B2507" s="975" t="str">
        <f>tblControles[[#This Row],[Fecha]]&amp;"|"&amp;tblControles[[#This Row],[Módulo]]&amp;"|"&amp;tblControles[[#This Row],[Ítem]]&amp;"|"&amp;tblControles[[#This Row],[Turno]]</f>
        <v>46287|TONELADAS X TURNO|Molino barras 8|3° turno</v>
      </c>
      <c r="C2507" s="871">
        <v>46287</v>
      </c>
      <c r="D2507" s="1100" t="s">
        <v>9449</v>
      </c>
      <c r="E2507" s="1100" t="s">
        <v>394</v>
      </c>
      <c r="F2507" s="1100" t="s">
        <v>398</v>
      </c>
      <c r="G2507" s="1100">
        <v>1522</v>
      </c>
      <c r="H2507" s="1100" t="s">
        <v>10345</v>
      </c>
      <c r="I2507" s="871">
        <v>46296.133811898151</v>
      </c>
      <c r="J2507" s="1100" t="s">
        <v>10349</v>
      </c>
      <c r="K2507" s="975" t="str">
        <f>IF(COUNTIFS(tblControles[Clave],tblControles[[#This Row],[Clave]])&gt;1,"Duplicado","")</f>
        <v/>
      </c>
    </row>
    <row r="2508" spans="2:11">
      <c r="B2508" s="975" t="str">
        <f>tblControles[[#This Row],[Fecha]]&amp;"|"&amp;tblControles[[#This Row],[Módulo]]&amp;"|"&amp;tblControles[[#This Row],[Ítem]]&amp;"|"&amp;tblControles[[#This Row],[Turno]]</f>
        <v>46287|TONELADAS X TURNO|Molino barras 9|1° turno</v>
      </c>
      <c r="C2508" s="871">
        <v>46287</v>
      </c>
      <c r="D2508" s="1100" t="s">
        <v>9449</v>
      </c>
      <c r="E2508" s="1100" t="s">
        <v>395</v>
      </c>
      <c r="F2508" s="1100" t="s">
        <v>396</v>
      </c>
      <c r="G2508" s="1100">
        <v>1590</v>
      </c>
      <c r="H2508" s="1100" t="s">
        <v>10345</v>
      </c>
      <c r="I2508" s="871">
        <v>46296.133811898151</v>
      </c>
      <c r="J2508" s="1100" t="s">
        <v>10349</v>
      </c>
      <c r="K2508" s="975" t="str">
        <f>IF(COUNTIFS(tblControles[Clave],tblControles[[#This Row],[Clave]])&gt;1,"Duplicado","")</f>
        <v/>
      </c>
    </row>
    <row r="2509" spans="2:11">
      <c r="B2509" s="975" t="str">
        <f>tblControles[[#This Row],[Fecha]]&amp;"|"&amp;tblControles[[#This Row],[Módulo]]&amp;"|"&amp;tblControles[[#This Row],[Ítem]]&amp;"|"&amp;tblControles[[#This Row],[Turno]]</f>
        <v>46287|TONELADAS X TURNO|Molino barras 9|2° turno</v>
      </c>
      <c r="C2509" s="871">
        <v>46287</v>
      </c>
      <c r="D2509" s="1100" t="s">
        <v>9449</v>
      </c>
      <c r="E2509" s="1100" t="s">
        <v>395</v>
      </c>
      <c r="F2509" s="1100" t="s">
        <v>397</v>
      </c>
      <c r="G2509" s="1100">
        <v>1733</v>
      </c>
      <c r="H2509" s="1100" t="s">
        <v>10345</v>
      </c>
      <c r="I2509" s="871">
        <v>46296.133811898151</v>
      </c>
      <c r="J2509" s="1100" t="s">
        <v>10349</v>
      </c>
      <c r="K2509" s="975" t="str">
        <f>IF(COUNTIFS(tblControles[Clave],tblControles[[#This Row],[Clave]])&gt;1,"Duplicado","")</f>
        <v/>
      </c>
    </row>
    <row r="2510" spans="2:11">
      <c r="B2510" s="975" t="str">
        <f>tblControles[[#This Row],[Fecha]]&amp;"|"&amp;tblControles[[#This Row],[Módulo]]&amp;"|"&amp;tblControles[[#This Row],[Ítem]]&amp;"|"&amp;tblControles[[#This Row],[Turno]]</f>
        <v>46287|TONELADAS X TURNO|Molino barras 9|3° turno</v>
      </c>
      <c r="C2510" s="871">
        <v>46287</v>
      </c>
      <c r="D2510" s="1100" t="s">
        <v>9449</v>
      </c>
      <c r="E2510" s="1100" t="s">
        <v>395</v>
      </c>
      <c r="F2510" s="1100" t="s">
        <v>398</v>
      </c>
      <c r="G2510" s="1100">
        <v>1800</v>
      </c>
      <c r="H2510" s="1100" t="s">
        <v>10345</v>
      </c>
      <c r="I2510" s="871">
        <v>46296.133811898151</v>
      </c>
      <c r="J2510" s="1100" t="s">
        <v>10349</v>
      </c>
      <c r="K2510" s="975" t="str">
        <f>IF(COUNTIFS(tblControles[Clave],tblControles[[#This Row],[Clave]])&gt;1,"Duplicado","")</f>
        <v/>
      </c>
    </row>
    <row r="2511" spans="2:11">
      <c r="B2511" s="975" t="str">
        <f>tblControles[[#This Row],[Fecha]]&amp;"|"&amp;tblControles[[#This Row],[Módulo]]&amp;"|"&amp;tblControles[[#This Row],[Ítem]]&amp;"|"&amp;tblControles[[#This Row],[Turno]]</f>
        <v>46288|TONELADAS X TURNO|Molino barras 1|1° turno</v>
      </c>
      <c r="C2511" s="871">
        <v>46288</v>
      </c>
      <c r="D2511" s="1100" t="s">
        <v>9449</v>
      </c>
      <c r="E2511" s="1100" t="s">
        <v>387</v>
      </c>
      <c r="F2511" s="1100" t="s">
        <v>396</v>
      </c>
      <c r="G2511" s="1100">
        <v>1679</v>
      </c>
      <c r="H2511" s="1100" t="s">
        <v>10345</v>
      </c>
      <c r="I2511" s="871">
        <v>46296.133811898151</v>
      </c>
      <c r="J2511" s="1100" t="s">
        <v>10349</v>
      </c>
      <c r="K2511" s="975" t="str">
        <f>IF(COUNTIFS(tblControles[Clave],tblControles[[#This Row],[Clave]])&gt;1,"Duplicado","")</f>
        <v/>
      </c>
    </row>
    <row r="2512" spans="2:11">
      <c r="B2512" s="975" t="str">
        <f>tblControles[[#This Row],[Fecha]]&amp;"|"&amp;tblControles[[#This Row],[Módulo]]&amp;"|"&amp;tblControles[[#This Row],[Ítem]]&amp;"|"&amp;tblControles[[#This Row],[Turno]]</f>
        <v>46288|TONELADAS X TURNO|Molino barras 1|2° turno</v>
      </c>
      <c r="C2512" s="871">
        <v>46288</v>
      </c>
      <c r="D2512" s="1100" t="s">
        <v>9449</v>
      </c>
      <c r="E2512" s="1100" t="s">
        <v>387</v>
      </c>
      <c r="F2512" s="1100" t="s">
        <v>397</v>
      </c>
      <c r="G2512" s="1100">
        <v>1626</v>
      </c>
      <c r="H2512" s="1100" t="s">
        <v>10345</v>
      </c>
      <c r="I2512" s="871">
        <v>46296.133811898151</v>
      </c>
      <c r="J2512" s="1100" t="s">
        <v>10349</v>
      </c>
      <c r="K2512" s="975" t="str">
        <f>IF(COUNTIFS(tblControles[Clave],tblControles[[#This Row],[Clave]])&gt;1,"Duplicado","")</f>
        <v/>
      </c>
    </row>
    <row r="2513" spans="2:11">
      <c r="B2513" s="975" t="str">
        <f>tblControles[[#This Row],[Fecha]]&amp;"|"&amp;tblControles[[#This Row],[Módulo]]&amp;"|"&amp;tblControles[[#This Row],[Ítem]]&amp;"|"&amp;tblControles[[#This Row],[Turno]]</f>
        <v>46288|TONELADAS X TURNO|Molino barras 1|3° turno</v>
      </c>
      <c r="C2513" s="871">
        <v>46288</v>
      </c>
      <c r="D2513" s="1100" t="s">
        <v>9449</v>
      </c>
      <c r="E2513" s="1100" t="s">
        <v>387</v>
      </c>
      <c r="F2513" s="1100" t="s">
        <v>398</v>
      </c>
      <c r="G2513" s="1100">
        <v>1477</v>
      </c>
      <c r="H2513" s="1100" t="s">
        <v>10345</v>
      </c>
      <c r="I2513" s="871">
        <v>46296.133811898151</v>
      </c>
      <c r="J2513" s="1100" t="s">
        <v>10349</v>
      </c>
      <c r="K2513" s="975" t="str">
        <f>IF(COUNTIFS(tblControles[Clave],tblControles[[#This Row],[Clave]])&gt;1,"Duplicado","")</f>
        <v/>
      </c>
    </row>
    <row r="2514" spans="2:11">
      <c r="B2514" s="975" t="str">
        <f>tblControles[[#This Row],[Fecha]]&amp;"|"&amp;tblControles[[#This Row],[Módulo]]&amp;"|"&amp;tblControles[[#This Row],[Ítem]]&amp;"|"&amp;tblControles[[#This Row],[Turno]]</f>
        <v>46288|TONELADAS X TURNO|Molino barras 2|1° turno</v>
      </c>
      <c r="C2514" s="871">
        <v>46288</v>
      </c>
      <c r="D2514" s="1100" t="s">
        <v>9449</v>
      </c>
      <c r="E2514" s="1100" t="s">
        <v>388</v>
      </c>
      <c r="F2514" s="1100" t="s">
        <v>396</v>
      </c>
      <c r="G2514" s="1100">
        <v>860</v>
      </c>
      <c r="H2514" s="1100" t="s">
        <v>10345</v>
      </c>
      <c r="I2514" s="871">
        <v>46296.133811898151</v>
      </c>
      <c r="J2514" s="1100" t="s">
        <v>10349</v>
      </c>
      <c r="K2514" s="975" t="str">
        <f>IF(COUNTIFS(tblControles[Clave],tblControles[[#This Row],[Clave]])&gt;1,"Duplicado","")</f>
        <v/>
      </c>
    </row>
    <row r="2515" spans="2:11">
      <c r="B2515" s="975" t="str">
        <f>tblControles[[#This Row],[Fecha]]&amp;"|"&amp;tblControles[[#This Row],[Módulo]]&amp;"|"&amp;tblControles[[#This Row],[Ítem]]&amp;"|"&amp;tblControles[[#This Row],[Turno]]</f>
        <v>46288|TONELADAS X TURNO|Molino barras 2|2° turno</v>
      </c>
      <c r="C2515" s="871">
        <v>46288</v>
      </c>
      <c r="D2515" s="1100" t="s">
        <v>9449</v>
      </c>
      <c r="E2515" s="1100" t="s">
        <v>388</v>
      </c>
      <c r="F2515" s="1100" t="s">
        <v>397</v>
      </c>
      <c r="G2515" s="1100">
        <v>1268</v>
      </c>
      <c r="H2515" s="1100" t="s">
        <v>10345</v>
      </c>
      <c r="I2515" s="871">
        <v>46296.133811898151</v>
      </c>
      <c r="J2515" s="1100" t="s">
        <v>10349</v>
      </c>
      <c r="K2515" s="975" t="str">
        <f>IF(COUNTIFS(tblControles[Clave],tblControles[[#This Row],[Clave]])&gt;1,"Duplicado","")</f>
        <v/>
      </c>
    </row>
    <row r="2516" spans="2:11">
      <c r="B2516" s="975" t="str">
        <f>tblControles[[#This Row],[Fecha]]&amp;"|"&amp;tblControles[[#This Row],[Módulo]]&amp;"|"&amp;tblControles[[#This Row],[Ítem]]&amp;"|"&amp;tblControles[[#This Row],[Turno]]</f>
        <v>46288|TONELADAS X TURNO|Molino barras 2|3° turno</v>
      </c>
      <c r="C2516" s="871">
        <v>46288</v>
      </c>
      <c r="D2516" s="1100" t="s">
        <v>9449</v>
      </c>
      <c r="E2516" s="1100" t="s">
        <v>388</v>
      </c>
      <c r="F2516" s="1100" t="s">
        <v>398</v>
      </c>
      <c r="G2516" s="1100">
        <v>1225</v>
      </c>
      <c r="H2516" s="1100" t="s">
        <v>10345</v>
      </c>
      <c r="I2516" s="871">
        <v>46296.133811898151</v>
      </c>
      <c r="J2516" s="1100" t="s">
        <v>10349</v>
      </c>
      <c r="K2516" s="975" t="str">
        <f>IF(COUNTIFS(tblControles[Clave],tblControles[[#This Row],[Clave]])&gt;1,"Duplicado","")</f>
        <v/>
      </c>
    </row>
    <row r="2517" spans="2:11">
      <c r="B2517" s="975" t="str">
        <f>tblControles[[#This Row],[Fecha]]&amp;"|"&amp;tblControles[[#This Row],[Módulo]]&amp;"|"&amp;tblControles[[#This Row],[Ítem]]&amp;"|"&amp;tblControles[[#This Row],[Turno]]</f>
        <v>46288|TONELADAS X TURNO|Molino barras 3|1° turno</v>
      </c>
      <c r="C2517" s="871">
        <v>46288</v>
      </c>
      <c r="D2517" s="1100" t="s">
        <v>9449</v>
      </c>
      <c r="E2517" s="1100" t="s">
        <v>389</v>
      </c>
      <c r="F2517" s="1100" t="s">
        <v>396</v>
      </c>
      <c r="G2517" s="1100">
        <v>840</v>
      </c>
      <c r="H2517" s="1100" t="s">
        <v>10345</v>
      </c>
      <c r="I2517" s="871">
        <v>46296.133811898151</v>
      </c>
      <c r="J2517" s="1100" t="s">
        <v>10349</v>
      </c>
      <c r="K2517" s="975" t="str">
        <f>IF(COUNTIFS(tblControles[Clave],tblControles[[#This Row],[Clave]])&gt;1,"Duplicado","")</f>
        <v/>
      </c>
    </row>
    <row r="2518" spans="2:11">
      <c r="B2518" s="975" t="str">
        <f>tblControles[[#This Row],[Fecha]]&amp;"|"&amp;tblControles[[#This Row],[Módulo]]&amp;"|"&amp;tblControles[[#This Row],[Ítem]]&amp;"|"&amp;tblControles[[#This Row],[Turno]]</f>
        <v>46288|TONELADAS X TURNO|Molino barras 3|2° turno</v>
      </c>
      <c r="C2518" s="871">
        <v>46288</v>
      </c>
      <c r="D2518" s="1100" t="s">
        <v>9449</v>
      </c>
      <c r="E2518" s="1100" t="s">
        <v>389</v>
      </c>
      <c r="F2518" s="1100" t="s">
        <v>397</v>
      </c>
      <c r="G2518" s="1100">
        <v>1235</v>
      </c>
      <c r="H2518" s="1100" t="s">
        <v>10345</v>
      </c>
      <c r="I2518" s="871">
        <v>46296.133811898151</v>
      </c>
      <c r="J2518" s="1100" t="s">
        <v>10349</v>
      </c>
      <c r="K2518" s="975" t="str">
        <f>IF(COUNTIFS(tblControles[Clave],tblControles[[#This Row],[Clave]])&gt;1,"Duplicado","")</f>
        <v/>
      </c>
    </row>
    <row r="2519" spans="2:11">
      <c r="B2519" s="975" t="str">
        <f>tblControles[[#This Row],[Fecha]]&amp;"|"&amp;tblControles[[#This Row],[Módulo]]&amp;"|"&amp;tblControles[[#This Row],[Ítem]]&amp;"|"&amp;tblControles[[#This Row],[Turno]]</f>
        <v>46288|TONELADAS X TURNO|Molino barras 3|3° turno</v>
      </c>
      <c r="C2519" s="871">
        <v>46288</v>
      </c>
      <c r="D2519" s="1100" t="s">
        <v>9449</v>
      </c>
      <c r="E2519" s="1100" t="s">
        <v>389</v>
      </c>
      <c r="F2519" s="1100" t="s">
        <v>398</v>
      </c>
      <c r="G2519" s="1100">
        <v>1161</v>
      </c>
      <c r="H2519" s="1100" t="s">
        <v>10345</v>
      </c>
      <c r="I2519" s="871">
        <v>46296.133811898151</v>
      </c>
      <c r="J2519" s="1100" t="s">
        <v>10349</v>
      </c>
      <c r="K2519" s="975" t="str">
        <f>IF(COUNTIFS(tblControles[Clave],tblControles[[#This Row],[Clave]])&gt;1,"Duplicado","")</f>
        <v/>
      </c>
    </row>
    <row r="2520" spans="2:11">
      <c r="B2520" s="975" t="str">
        <f>tblControles[[#This Row],[Fecha]]&amp;"|"&amp;tblControles[[#This Row],[Módulo]]&amp;"|"&amp;tblControles[[#This Row],[Ítem]]&amp;"|"&amp;tblControles[[#This Row],[Turno]]</f>
        <v>46288|TONELADAS X TURNO|Molino barras 4|1° turno</v>
      </c>
      <c r="C2520" s="871">
        <v>46288</v>
      </c>
      <c r="D2520" s="1100" t="s">
        <v>9449</v>
      </c>
      <c r="E2520" s="1100" t="s">
        <v>390</v>
      </c>
      <c r="F2520" s="1100" t="s">
        <v>396</v>
      </c>
      <c r="G2520" s="1100">
        <v>338</v>
      </c>
      <c r="H2520" s="1100" t="s">
        <v>10345</v>
      </c>
      <c r="I2520" s="871">
        <v>46296.133811898151</v>
      </c>
      <c r="J2520" s="1100" t="s">
        <v>10349</v>
      </c>
      <c r="K2520" s="975" t="str">
        <f>IF(COUNTIFS(tblControles[Clave],tblControles[[#This Row],[Clave]])&gt;1,"Duplicado","")</f>
        <v/>
      </c>
    </row>
    <row r="2521" spans="2:11">
      <c r="B2521" s="975" t="str">
        <f>tblControles[[#This Row],[Fecha]]&amp;"|"&amp;tblControles[[#This Row],[Módulo]]&amp;"|"&amp;tblControles[[#This Row],[Ítem]]&amp;"|"&amp;tblControles[[#This Row],[Turno]]</f>
        <v>46288|TONELADAS X TURNO|Molino barras 4|2° turno</v>
      </c>
      <c r="C2521" s="871">
        <v>46288</v>
      </c>
      <c r="D2521" s="1100" t="s">
        <v>9449</v>
      </c>
      <c r="E2521" s="1100" t="s">
        <v>390</v>
      </c>
      <c r="F2521" s="1100" t="s">
        <v>397</v>
      </c>
      <c r="G2521" s="1100">
        <v>0</v>
      </c>
      <c r="H2521" s="1100" t="s">
        <v>10345</v>
      </c>
      <c r="I2521" s="871">
        <v>46296.133811898151</v>
      </c>
      <c r="J2521" s="1100" t="s">
        <v>10349</v>
      </c>
      <c r="K2521" s="975" t="str">
        <f>IF(COUNTIFS(tblControles[Clave],tblControles[[#This Row],[Clave]])&gt;1,"Duplicado","")</f>
        <v/>
      </c>
    </row>
    <row r="2522" spans="2:11">
      <c r="B2522" s="975" t="str">
        <f>tblControles[[#This Row],[Fecha]]&amp;"|"&amp;tblControles[[#This Row],[Módulo]]&amp;"|"&amp;tblControles[[#This Row],[Ítem]]&amp;"|"&amp;tblControles[[#This Row],[Turno]]</f>
        <v>46288|TONELADAS X TURNO|Molino barras 4|3° turno</v>
      </c>
      <c r="C2522" s="871">
        <v>46288</v>
      </c>
      <c r="D2522" s="1100" t="s">
        <v>9449</v>
      </c>
      <c r="E2522" s="1100" t="s">
        <v>390</v>
      </c>
      <c r="F2522" s="1100" t="s">
        <v>398</v>
      </c>
      <c r="G2522" s="1100">
        <v>0</v>
      </c>
      <c r="H2522" s="1100" t="s">
        <v>10345</v>
      </c>
      <c r="I2522" s="871">
        <v>46296.133811898151</v>
      </c>
      <c r="J2522" s="1100" t="s">
        <v>10349</v>
      </c>
      <c r="K2522" s="975" t="str">
        <f>IF(COUNTIFS(tblControles[Clave],tblControles[[#This Row],[Clave]])&gt;1,"Duplicado","")</f>
        <v/>
      </c>
    </row>
    <row r="2523" spans="2:11">
      <c r="B2523" s="975" t="str">
        <f>tblControles[[#This Row],[Fecha]]&amp;"|"&amp;tblControles[[#This Row],[Módulo]]&amp;"|"&amp;tblControles[[#This Row],[Ítem]]&amp;"|"&amp;tblControles[[#This Row],[Turno]]</f>
        <v>46288|TONELADAS X TURNO|Molino barras 5|1° turno</v>
      </c>
      <c r="C2523" s="871">
        <v>46288</v>
      </c>
      <c r="D2523" s="1100" t="s">
        <v>9449</v>
      </c>
      <c r="E2523" s="1100" t="s">
        <v>391</v>
      </c>
      <c r="F2523" s="1100" t="s">
        <v>396</v>
      </c>
      <c r="G2523" s="1100">
        <v>1512</v>
      </c>
      <c r="H2523" s="1100" t="s">
        <v>10345</v>
      </c>
      <c r="I2523" s="871">
        <v>46296.133811898151</v>
      </c>
      <c r="J2523" s="1100" t="s">
        <v>10349</v>
      </c>
      <c r="K2523" s="975" t="str">
        <f>IF(COUNTIFS(tblControles[Clave],tblControles[[#This Row],[Clave]])&gt;1,"Duplicado","")</f>
        <v/>
      </c>
    </row>
    <row r="2524" spans="2:11">
      <c r="B2524" s="975" t="str">
        <f>tblControles[[#This Row],[Fecha]]&amp;"|"&amp;tblControles[[#This Row],[Módulo]]&amp;"|"&amp;tblControles[[#This Row],[Ítem]]&amp;"|"&amp;tblControles[[#This Row],[Turno]]</f>
        <v>46288|TONELADAS X TURNO|Molino barras 5|2° turno</v>
      </c>
      <c r="C2524" s="871">
        <v>46288</v>
      </c>
      <c r="D2524" s="1100" t="s">
        <v>9449</v>
      </c>
      <c r="E2524" s="1100" t="s">
        <v>391</v>
      </c>
      <c r="F2524" s="1100" t="s">
        <v>397</v>
      </c>
      <c r="G2524" s="1100">
        <v>1443</v>
      </c>
      <c r="H2524" s="1100" t="s">
        <v>10345</v>
      </c>
      <c r="I2524" s="871">
        <v>46296.133811898151</v>
      </c>
      <c r="J2524" s="1100" t="s">
        <v>10349</v>
      </c>
      <c r="K2524" s="975" t="str">
        <f>IF(COUNTIFS(tblControles[Clave],tblControles[[#This Row],[Clave]])&gt;1,"Duplicado","")</f>
        <v/>
      </c>
    </row>
    <row r="2525" spans="2:11">
      <c r="B2525" s="975" t="str">
        <f>tblControles[[#This Row],[Fecha]]&amp;"|"&amp;tblControles[[#This Row],[Módulo]]&amp;"|"&amp;tblControles[[#This Row],[Ítem]]&amp;"|"&amp;tblControles[[#This Row],[Turno]]</f>
        <v>46288|TONELADAS X TURNO|Molino barras 5|3° turno</v>
      </c>
      <c r="C2525" s="871">
        <v>46288</v>
      </c>
      <c r="D2525" s="1100" t="s">
        <v>9449</v>
      </c>
      <c r="E2525" s="1100" t="s">
        <v>391</v>
      </c>
      <c r="F2525" s="1100" t="s">
        <v>398</v>
      </c>
      <c r="G2525" s="1100">
        <v>1586</v>
      </c>
      <c r="H2525" s="1100" t="s">
        <v>10345</v>
      </c>
      <c r="I2525" s="871">
        <v>46296.133811898151</v>
      </c>
      <c r="J2525" s="1100" t="s">
        <v>10349</v>
      </c>
      <c r="K2525" s="975" t="str">
        <f>IF(COUNTIFS(tblControles[Clave],tblControles[[#This Row],[Clave]])&gt;1,"Duplicado","")</f>
        <v/>
      </c>
    </row>
    <row r="2526" spans="2:11">
      <c r="B2526" s="975" t="str">
        <f>tblControles[[#This Row],[Fecha]]&amp;"|"&amp;tblControles[[#This Row],[Módulo]]&amp;"|"&amp;tblControles[[#This Row],[Ítem]]&amp;"|"&amp;tblControles[[#This Row],[Turno]]</f>
        <v>46288|TONELADAS X TURNO|Molino barras 6|1° turno</v>
      </c>
      <c r="C2526" s="871">
        <v>46288</v>
      </c>
      <c r="D2526" s="1100" t="s">
        <v>9449</v>
      </c>
      <c r="E2526" s="1100" t="s">
        <v>392</v>
      </c>
      <c r="F2526" s="1100" t="s">
        <v>396</v>
      </c>
      <c r="G2526" s="1100">
        <v>1547</v>
      </c>
      <c r="H2526" s="1100" t="s">
        <v>10345</v>
      </c>
      <c r="I2526" s="871">
        <v>46296.133811898151</v>
      </c>
      <c r="J2526" s="1100" t="s">
        <v>10349</v>
      </c>
      <c r="K2526" s="975" t="str">
        <f>IF(COUNTIFS(tblControles[Clave],tblControles[[#This Row],[Clave]])&gt;1,"Duplicado","")</f>
        <v/>
      </c>
    </row>
    <row r="2527" spans="2:11">
      <c r="B2527" s="975" t="str">
        <f>tblControles[[#This Row],[Fecha]]&amp;"|"&amp;tblControles[[#This Row],[Módulo]]&amp;"|"&amp;tblControles[[#This Row],[Ítem]]&amp;"|"&amp;tblControles[[#This Row],[Turno]]</f>
        <v>46288|TONELADAS X TURNO|Molino barras 6|2° turno</v>
      </c>
      <c r="C2527" s="871">
        <v>46288</v>
      </c>
      <c r="D2527" s="1100" t="s">
        <v>9449</v>
      </c>
      <c r="E2527" s="1100" t="s">
        <v>392</v>
      </c>
      <c r="F2527" s="1100" t="s">
        <v>397</v>
      </c>
      <c r="G2527" s="1100">
        <v>1356</v>
      </c>
      <c r="H2527" s="1100" t="s">
        <v>10345</v>
      </c>
      <c r="I2527" s="871">
        <v>46296.133811898151</v>
      </c>
      <c r="J2527" s="1100" t="s">
        <v>10349</v>
      </c>
      <c r="K2527" s="975" t="str">
        <f>IF(COUNTIFS(tblControles[Clave],tblControles[[#This Row],[Clave]])&gt;1,"Duplicado","")</f>
        <v/>
      </c>
    </row>
    <row r="2528" spans="2:11">
      <c r="B2528" s="975" t="str">
        <f>tblControles[[#This Row],[Fecha]]&amp;"|"&amp;tblControles[[#This Row],[Módulo]]&amp;"|"&amp;tblControles[[#This Row],[Ítem]]&amp;"|"&amp;tblControles[[#This Row],[Turno]]</f>
        <v>46288|TONELADAS X TURNO|Molino barras 6|3° turno</v>
      </c>
      <c r="C2528" s="871">
        <v>46288</v>
      </c>
      <c r="D2528" s="1100" t="s">
        <v>9449</v>
      </c>
      <c r="E2528" s="1100" t="s">
        <v>392</v>
      </c>
      <c r="F2528" s="1100" t="s">
        <v>398</v>
      </c>
      <c r="G2528" s="1100">
        <v>1625</v>
      </c>
      <c r="H2528" s="1100" t="s">
        <v>10345</v>
      </c>
      <c r="I2528" s="871">
        <v>46296.133811898151</v>
      </c>
      <c r="J2528" s="1100" t="s">
        <v>10349</v>
      </c>
      <c r="K2528" s="975" t="str">
        <f>IF(COUNTIFS(tblControles[Clave],tblControles[[#This Row],[Clave]])&gt;1,"Duplicado","")</f>
        <v/>
      </c>
    </row>
    <row r="2529" spans="2:11">
      <c r="B2529" s="975" t="str">
        <f>tblControles[[#This Row],[Fecha]]&amp;"|"&amp;tblControles[[#This Row],[Módulo]]&amp;"|"&amp;tblControles[[#This Row],[Ítem]]&amp;"|"&amp;tblControles[[#This Row],[Turno]]</f>
        <v>46288|TONELADAS X TURNO|Molino barras 7|1° turno</v>
      </c>
      <c r="C2529" s="871">
        <v>46288</v>
      </c>
      <c r="D2529" s="1100" t="s">
        <v>9449</v>
      </c>
      <c r="E2529" s="1100" t="s">
        <v>393</v>
      </c>
      <c r="F2529" s="1100" t="s">
        <v>396</v>
      </c>
      <c r="G2529" s="1100">
        <v>1218</v>
      </c>
      <c r="H2529" s="1100" t="s">
        <v>10345</v>
      </c>
      <c r="I2529" s="871">
        <v>46296.133811898151</v>
      </c>
      <c r="J2529" s="1100" t="s">
        <v>10349</v>
      </c>
      <c r="K2529" s="975" t="str">
        <f>IF(COUNTIFS(tblControles[Clave],tblControles[[#This Row],[Clave]])&gt;1,"Duplicado","")</f>
        <v/>
      </c>
    </row>
    <row r="2530" spans="2:11">
      <c r="B2530" s="975" t="str">
        <f>tblControles[[#This Row],[Fecha]]&amp;"|"&amp;tblControles[[#This Row],[Módulo]]&amp;"|"&amp;tblControles[[#This Row],[Ítem]]&amp;"|"&amp;tblControles[[#This Row],[Turno]]</f>
        <v>46288|TONELADAS X TURNO|Molino barras 7|2° turno</v>
      </c>
      <c r="C2530" s="871">
        <v>46288</v>
      </c>
      <c r="D2530" s="1100" t="s">
        <v>9449</v>
      </c>
      <c r="E2530" s="1100" t="s">
        <v>393</v>
      </c>
      <c r="F2530" s="1100" t="s">
        <v>397</v>
      </c>
      <c r="G2530" s="1100">
        <v>1433</v>
      </c>
      <c r="H2530" s="1100" t="s">
        <v>10345</v>
      </c>
      <c r="I2530" s="871">
        <v>46296.133811898151</v>
      </c>
      <c r="J2530" s="1100" t="s">
        <v>10349</v>
      </c>
      <c r="K2530" s="975" t="str">
        <f>IF(COUNTIFS(tblControles[Clave],tblControles[[#This Row],[Clave]])&gt;1,"Duplicado","")</f>
        <v/>
      </c>
    </row>
    <row r="2531" spans="2:11">
      <c r="B2531" s="975" t="str">
        <f>tblControles[[#This Row],[Fecha]]&amp;"|"&amp;tblControles[[#This Row],[Módulo]]&amp;"|"&amp;tblControles[[#This Row],[Ítem]]&amp;"|"&amp;tblControles[[#This Row],[Turno]]</f>
        <v>46288|TONELADAS X TURNO|Molino barras 7|3° turno</v>
      </c>
      <c r="C2531" s="871">
        <v>46288</v>
      </c>
      <c r="D2531" s="1100" t="s">
        <v>9449</v>
      </c>
      <c r="E2531" s="1100" t="s">
        <v>393</v>
      </c>
      <c r="F2531" s="1100" t="s">
        <v>398</v>
      </c>
      <c r="G2531" s="1100">
        <v>1500</v>
      </c>
      <c r="H2531" s="1100" t="s">
        <v>10345</v>
      </c>
      <c r="I2531" s="871">
        <v>46296.133811898151</v>
      </c>
      <c r="J2531" s="1100" t="s">
        <v>10349</v>
      </c>
      <c r="K2531" s="975" t="str">
        <f>IF(COUNTIFS(tblControles[Clave],tblControles[[#This Row],[Clave]])&gt;1,"Duplicado","")</f>
        <v/>
      </c>
    </row>
    <row r="2532" spans="2:11">
      <c r="B2532" s="975" t="str">
        <f>tblControles[[#This Row],[Fecha]]&amp;"|"&amp;tblControles[[#This Row],[Módulo]]&amp;"|"&amp;tblControles[[#This Row],[Ítem]]&amp;"|"&amp;tblControles[[#This Row],[Turno]]</f>
        <v>46288|TONELADAS X TURNO|Molino barras 8|1° turno</v>
      </c>
      <c r="C2532" s="871">
        <v>46288</v>
      </c>
      <c r="D2532" s="1100" t="s">
        <v>9449</v>
      </c>
      <c r="E2532" s="1100" t="s">
        <v>394</v>
      </c>
      <c r="F2532" s="1100" t="s">
        <v>396</v>
      </c>
      <c r="G2532" s="1100">
        <v>1593</v>
      </c>
      <c r="H2532" s="1100" t="s">
        <v>10345</v>
      </c>
      <c r="I2532" s="871">
        <v>46296.133811898151</v>
      </c>
      <c r="J2532" s="1100" t="s">
        <v>10349</v>
      </c>
      <c r="K2532" s="975" t="str">
        <f>IF(COUNTIFS(tblControles[Clave],tblControles[[#This Row],[Clave]])&gt;1,"Duplicado","")</f>
        <v/>
      </c>
    </row>
    <row r="2533" spans="2:11">
      <c r="B2533" s="975" t="str">
        <f>tblControles[[#This Row],[Fecha]]&amp;"|"&amp;tblControles[[#This Row],[Módulo]]&amp;"|"&amp;tblControles[[#This Row],[Ítem]]&amp;"|"&amp;tblControles[[#This Row],[Turno]]</f>
        <v>46288|TONELADAS X TURNO|Molino barras 8|2° turno</v>
      </c>
      <c r="C2533" s="871">
        <v>46288</v>
      </c>
      <c r="D2533" s="1100" t="s">
        <v>9449</v>
      </c>
      <c r="E2533" s="1100" t="s">
        <v>394</v>
      </c>
      <c r="F2533" s="1100" t="s">
        <v>397</v>
      </c>
      <c r="G2533" s="1100">
        <v>1482</v>
      </c>
      <c r="H2533" s="1100" t="s">
        <v>10345</v>
      </c>
      <c r="I2533" s="871">
        <v>46296.133811898151</v>
      </c>
      <c r="J2533" s="1100" t="s">
        <v>10349</v>
      </c>
      <c r="K2533" s="975" t="str">
        <f>IF(COUNTIFS(tblControles[Clave],tblControles[[#This Row],[Clave]])&gt;1,"Duplicado","")</f>
        <v/>
      </c>
    </row>
    <row r="2534" spans="2:11">
      <c r="B2534" s="975" t="str">
        <f>tblControles[[#This Row],[Fecha]]&amp;"|"&amp;tblControles[[#This Row],[Módulo]]&amp;"|"&amp;tblControles[[#This Row],[Ítem]]&amp;"|"&amp;tblControles[[#This Row],[Turno]]</f>
        <v>46288|TONELADAS X TURNO|Molino barras 8|3° turno</v>
      </c>
      <c r="C2534" s="871">
        <v>46288</v>
      </c>
      <c r="D2534" s="1100" t="s">
        <v>9449</v>
      </c>
      <c r="E2534" s="1100" t="s">
        <v>394</v>
      </c>
      <c r="F2534" s="1100" t="s">
        <v>398</v>
      </c>
      <c r="G2534" s="1100">
        <v>1600</v>
      </c>
      <c r="H2534" s="1100" t="s">
        <v>10345</v>
      </c>
      <c r="I2534" s="871">
        <v>46296.133811898151</v>
      </c>
      <c r="J2534" s="1100" t="s">
        <v>10349</v>
      </c>
      <c r="K2534" s="975" t="str">
        <f>IF(COUNTIFS(tblControles[Clave],tblControles[[#This Row],[Clave]])&gt;1,"Duplicado","")</f>
        <v/>
      </c>
    </row>
    <row r="2535" spans="2:11">
      <c r="B2535" s="975" t="str">
        <f>tblControles[[#This Row],[Fecha]]&amp;"|"&amp;tblControles[[#This Row],[Módulo]]&amp;"|"&amp;tblControles[[#This Row],[Ítem]]&amp;"|"&amp;tblControles[[#This Row],[Turno]]</f>
        <v>46288|TONELADAS X TURNO|Molino barras 9|1° turno</v>
      </c>
      <c r="C2535" s="871">
        <v>46288</v>
      </c>
      <c r="D2535" s="1100" t="s">
        <v>9449</v>
      </c>
      <c r="E2535" s="1100" t="s">
        <v>395</v>
      </c>
      <c r="F2535" s="1100" t="s">
        <v>396</v>
      </c>
      <c r="G2535" s="1100">
        <v>1614</v>
      </c>
      <c r="H2535" s="1100" t="s">
        <v>10345</v>
      </c>
      <c r="I2535" s="871">
        <v>46296.133811898151</v>
      </c>
      <c r="J2535" s="1100" t="s">
        <v>10349</v>
      </c>
      <c r="K2535" s="975" t="str">
        <f>IF(COUNTIFS(tblControles[Clave],tblControles[[#This Row],[Clave]])&gt;1,"Duplicado","")</f>
        <v/>
      </c>
    </row>
    <row r="2536" spans="2:11">
      <c r="B2536" s="975" t="str">
        <f>tblControles[[#This Row],[Fecha]]&amp;"|"&amp;tblControles[[#This Row],[Módulo]]&amp;"|"&amp;tblControles[[#This Row],[Ítem]]&amp;"|"&amp;tblControles[[#This Row],[Turno]]</f>
        <v>46288|TONELADAS X TURNO|Molino barras 9|2° turno</v>
      </c>
      <c r="C2536" s="871">
        <v>46288</v>
      </c>
      <c r="D2536" s="1100" t="s">
        <v>9449</v>
      </c>
      <c r="E2536" s="1100" t="s">
        <v>395</v>
      </c>
      <c r="F2536" s="1100" t="s">
        <v>397</v>
      </c>
      <c r="G2536" s="1100">
        <v>1890</v>
      </c>
      <c r="H2536" s="1100" t="s">
        <v>10345</v>
      </c>
      <c r="I2536" s="871">
        <v>46296.133811898151</v>
      </c>
      <c r="J2536" s="1100" t="s">
        <v>10349</v>
      </c>
      <c r="K2536" s="975" t="str">
        <f>IF(COUNTIFS(tblControles[Clave],tblControles[[#This Row],[Clave]])&gt;1,"Duplicado","")</f>
        <v/>
      </c>
    </row>
    <row r="2537" spans="2:11">
      <c r="B2537" s="975" t="str">
        <f>tblControles[[#This Row],[Fecha]]&amp;"|"&amp;tblControles[[#This Row],[Módulo]]&amp;"|"&amp;tblControles[[#This Row],[Ítem]]&amp;"|"&amp;tblControles[[#This Row],[Turno]]</f>
        <v>46288|TONELADAS X TURNO|Molino barras 9|3° turno</v>
      </c>
      <c r="C2537" s="871">
        <v>46288</v>
      </c>
      <c r="D2537" s="1100" t="s">
        <v>9449</v>
      </c>
      <c r="E2537" s="1100" t="s">
        <v>395</v>
      </c>
      <c r="F2537" s="1100" t="s">
        <v>398</v>
      </c>
      <c r="G2537" s="1100">
        <v>1756</v>
      </c>
      <c r="H2537" s="1100" t="s">
        <v>10345</v>
      </c>
      <c r="I2537" s="871">
        <v>46296.133811898151</v>
      </c>
      <c r="J2537" s="1100" t="s">
        <v>10349</v>
      </c>
      <c r="K2537" s="975" t="str">
        <f>IF(COUNTIFS(tblControles[Clave],tblControles[[#This Row],[Clave]])&gt;1,"Duplicado","")</f>
        <v/>
      </c>
    </row>
    <row r="2538" spans="2:11">
      <c r="B2538" s="975" t="str">
        <f>tblControles[[#This Row],[Fecha]]&amp;"|"&amp;tblControles[[#This Row],[Módulo]]&amp;"|"&amp;tblControles[[#This Row],[Ítem]]&amp;"|"&amp;tblControles[[#This Row],[Turno]]</f>
        <v>46289|TONELADAS X TURNO|Molino barras 1|1° turno</v>
      </c>
      <c r="C2538" s="871">
        <v>46289</v>
      </c>
      <c r="D2538" s="1100" t="s">
        <v>9449</v>
      </c>
      <c r="E2538" s="1100" t="s">
        <v>387</v>
      </c>
      <c r="F2538" s="1100" t="s">
        <v>396</v>
      </c>
      <c r="G2538" s="1100">
        <v>1401</v>
      </c>
      <c r="H2538" s="1100" t="s">
        <v>10345</v>
      </c>
      <c r="I2538" s="871">
        <v>46296.133811898151</v>
      </c>
      <c r="J2538" s="1100" t="s">
        <v>10349</v>
      </c>
      <c r="K2538" s="975" t="str">
        <f>IF(COUNTIFS(tblControles[Clave],tblControles[[#This Row],[Clave]])&gt;1,"Duplicado","")</f>
        <v/>
      </c>
    </row>
    <row r="2539" spans="2:11">
      <c r="B2539" s="975" t="str">
        <f>tblControles[[#This Row],[Fecha]]&amp;"|"&amp;tblControles[[#This Row],[Módulo]]&amp;"|"&amp;tblControles[[#This Row],[Ítem]]&amp;"|"&amp;tblControles[[#This Row],[Turno]]</f>
        <v>46289|TONELADAS X TURNO|Molino barras 1|2° turno</v>
      </c>
      <c r="C2539" s="871">
        <v>46289</v>
      </c>
      <c r="D2539" s="1100" t="s">
        <v>9449</v>
      </c>
      <c r="E2539" s="1100" t="s">
        <v>387</v>
      </c>
      <c r="F2539" s="1100" t="s">
        <v>397</v>
      </c>
      <c r="G2539" s="1100">
        <v>1491</v>
      </c>
      <c r="H2539" s="1100" t="s">
        <v>10345</v>
      </c>
      <c r="I2539" s="871">
        <v>46296.133811898151</v>
      </c>
      <c r="J2539" s="1100" t="s">
        <v>10349</v>
      </c>
      <c r="K2539" s="975" t="str">
        <f>IF(COUNTIFS(tblControles[Clave],tblControles[[#This Row],[Clave]])&gt;1,"Duplicado","")</f>
        <v/>
      </c>
    </row>
    <row r="2540" spans="2:11">
      <c r="B2540" s="975" t="str">
        <f>tblControles[[#This Row],[Fecha]]&amp;"|"&amp;tblControles[[#This Row],[Módulo]]&amp;"|"&amp;tblControles[[#This Row],[Ítem]]&amp;"|"&amp;tblControles[[#This Row],[Turno]]</f>
        <v>46289|TONELADAS X TURNO|Molino barras 1|3° turno</v>
      </c>
      <c r="C2540" s="871">
        <v>46289</v>
      </c>
      <c r="D2540" s="1100" t="s">
        <v>9449</v>
      </c>
      <c r="E2540" s="1100" t="s">
        <v>387</v>
      </c>
      <c r="F2540" s="1100" t="s">
        <v>398</v>
      </c>
      <c r="G2540" s="1100">
        <v>1504</v>
      </c>
      <c r="H2540" s="1100" t="s">
        <v>10345</v>
      </c>
      <c r="I2540" s="871">
        <v>46296.133811898151</v>
      </c>
      <c r="J2540" s="1100" t="s">
        <v>10349</v>
      </c>
      <c r="K2540" s="975" t="str">
        <f>IF(COUNTIFS(tblControles[Clave],tblControles[[#This Row],[Clave]])&gt;1,"Duplicado","")</f>
        <v/>
      </c>
    </row>
    <row r="2541" spans="2:11">
      <c r="B2541" s="975" t="str">
        <f>tblControles[[#This Row],[Fecha]]&amp;"|"&amp;tblControles[[#This Row],[Módulo]]&amp;"|"&amp;tblControles[[#This Row],[Ítem]]&amp;"|"&amp;tblControles[[#This Row],[Turno]]</f>
        <v>46289|TONELADAS X TURNO|Molino barras 2|1° turno</v>
      </c>
      <c r="C2541" s="871">
        <v>46289</v>
      </c>
      <c r="D2541" s="1100" t="s">
        <v>9449</v>
      </c>
      <c r="E2541" s="1100" t="s">
        <v>388</v>
      </c>
      <c r="F2541" s="1100" t="s">
        <v>396</v>
      </c>
      <c r="G2541" s="1100">
        <v>1207</v>
      </c>
      <c r="H2541" s="1100" t="s">
        <v>10345</v>
      </c>
      <c r="I2541" s="871">
        <v>46296.133811898151</v>
      </c>
      <c r="J2541" s="1100" t="s">
        <v>10349</v>
      </c>
      <c r="K2541" s="975" t="str">
        <f>IF(COUNTIFS(tblControles[Clave],tblControles[[#This Row],[Clave]])&gt;1,"Duplicado","")</f>
        <v/>
      </c>
    </row>
    <row r="2542" spans="2:11">
      <c r="B2542" s="975" t="str">
        <f>tblControles[[#This Row],[Fecha]]&amp;"|"&amp;tblControles[[#This Row],[Módulo]]&amp;"|"&amp;tblControles[[#This Row],[Ítem]]&amp;"|"&amp;tblControles[[#This Row],[Turno]]</f>
        <v>46289|TONELADAS X TURNO|Molino barras 2|2° turno</v>
      </c>
      <c r="C2542" s="871">
        <v>46289</v>
      </c>
      <c r="D2542" s="1100" t="s">
        <v>9449</v>
      </c>
      <c r="E2542" s="1100" t="s">
        <v>388</v>
      </c>
      <c r="F2542" s="1100" t="s">
        <v>397</v>
      </c>
      <c r="G2542" s="1100">
        <v>1352</v>
      </c>
      <c r="H2542" s="1100" t="s">
        <v>10345</v>
      </c>
      <c r="I2542" s="871">
        <v>46296.133811898151</v>
      </c>
      <c r="J2542" s="1100" t="s">
        <v>10349</v>
      </c>
      <c r="K2542" s="975" t="str">
        <f>IF(COUNTIFS(tblControles[Clave],tblControles[[#This Row],[Clave]])&gt;1,"Duplicado","")</f>
        <v/>
      </c>
    </row>
    <row r="2543" spans="2:11">
      <c r="B2543" s="975" t="str">
        <f>tblControles[[#This Row],[Fecha]]&amp;"|"&amp;tblControles[[#This Row],[Módulo]]&amp;"|"&amp;tblControles[[#This Row],[Ítem]]&amp;"|"&amp;tblControles[[#This Row],[Turno]]</f>
        <v>46289|TONELADAS X TURNO|Molino barras 2|3° turno</v>
      </c>
      <c r="C2543" s="871">
        <v>46289</v>
      </c>
      <c r="D2543" s="1100" t="s">
        <v>9449</v>
      </c>
      <c r="E2543" s="1100" t="s">
        <v>388</v>
      </c>
      <c r="F2543" s="1100" t="s">
        <v>398</v>
      </c>
      <c r="G2543" s="1100">
        <v>1238</v>
      </c>
      <c r="H2543" s="1100" t="s">
        <v>10345</v>
      </c>
      <c r="I2543" s="871">
        <v>46296.133811898151</v>
      </c>
      <c r="J2543" s="1100" t="s">
        <v>10349</v>
      </c>
      <c r="K2543" s="975" t="str">
        <f>IF(COUNTIFS(tblControles[Clave],tblControles[[#This Row],[Clave]])&gt;1,"Duplicado","")</f>
        <v/>
      </c>
    </row>
    <row r="2544" spans="2:11">
      <c r="B2544" s="975" t="str">
        <f>tblControles[[#This Row],[Fecha]]&amp;"|"&amp;tblControles[[#This Row],[Módulo]]&amp;"|"&amp;tblControles[[#This Row],[Ítem]]&amp;"|"&amp;tblControles[[#This Row],[Turno]]</f>
        <v>46289|TONELADAS X TURNO|Molino barras 3|1° turno</v>
      </c>
      <c r="C2544" s="871">
        <v>46289</v>
      </c>
      <c r="D2544" s="1100" t="s">
        <v>9449</v>
      </c>
      <c r="E2544" s="1100" t="s">
        <v>389</v>
      </c>
      <c r="F2544" s="1100" t="s">
        <v>396</v>
      </c>
      <c r="G2544" s="1100">
        <v>1214</v>
      </c>
      <c r="H2544" s="1100" t="s">
        <v>10345</v>
      </c>
      <c r="I2544" s="871">
        <v>46296.133811898151</v>
      </c>
      <c r="J2544" s="1100" t="s">
        <v>10349</v>
      </c>
      <c r="K2544" s="975" t="str">
        <f>IF(COUNTIFS(tblControles[Clave],tblControles[[#This Row],[Clave]])&gt;1,"Duplicado","")</f>
        <v/>
      </c>
    </row>
    <row r="2545" spans="2:11">
      <c r="B2545" s="975" t="str">
        <f>tblControles[[#This Row],[Fecha]]&amp;"|"&amp;tblControles[[#This Row],[Módulo]]&amp;"|"&amp;tblControles[[#This Row],[Ítem]]&amp;"|"&amp;tblControles[[#This Row],[Turno]]</f>
        <v>46289|TONELADAS X TURNO|Molino barras 3|2° turno</v>
      </c>
      <c r="C2545" s="871">
        <v>46289</v>
      </c>
      <c r="D2545" s="1100" t="s">
        <v>9449</v>
      </c>
      <c r="E2545" s="1100" t="s">
        <v>389</v>
      </c>
      <c r="F2545" s="1100" t="s">
        <v>397</v>
      </c>
      <c r="G2545" s="1100">
        <v>1197</v>
      </c>
      <c r="H2545" s="1100" t="s">
        <v>10345</v>
      </c>
      <c r="I2545" s="871">
        <v>46296.133811898151</v>
      </c>
      <c r="J2545" s="1100" t="s">
        <v>10349</v>
      </c>
      <c r="K2545" s="975" t="str">
        <f>IF(COUNTIFS(tblControles[Clave],tblControles[[#This Row],[Clave]])&gt;1,"Duplicado","")</f>
        <v/>
      </c>
    </row>
    <row r="2546" spans="2:11">
      <c r="B2546" s="975" t="str">
        <f>tblControles[[#This Row],[Fecha]]&amp;"|"&amp;tblControles[[#This Row],[Módulo]]&amp;"|"&amp;tblControles[[#This Row],[Ítem]]&amp;"|"&amp;tblControles[[#This Row],[Turno]]</f>
        <v>46289|TONELADAS X TURNO|Molino barras 3|3° turno</v>
      </c>
      <c r="C2546" s="871">
        <v>46289</v>
      </c>
      <c r="D2546" s="1100" t="s">
        <v>9449</v>
      </c>
      <c r="E2546" s="1100" t="s">
        <v>389</v>
      </c>
      <c r="F2546" s="1100" t="s">
        <v>398</v>
      </c>
      <c r="G2546" s="1100">
        <v>1233</v>
      </c>
      <c r="H2546" s="1100" t="s">
        <v>10345</v>
      </c>
      <c r="I2546" s="871">
        <v>46296.133811898151</v>
      </c>
      <c r="J2546" s="1100" t="s">
        <v>10349</v>
      </c>
      <c r="K2546" s="975" t="str">
        <f>IF(COUNTIFS(tblControles[Clave],tblControles[[#This Row],[Clave]])&gt;1,"Duplicado","")</f>
        <v/>
      </c>
    </row>
    <row r="2547" spans="2:11">
      <c r="B2547" s="975" t="str">
        <f>tblControles[[#This Row],[Fecha]]&amp;"|"&amp;tblControles[[#This Row],[Módulo]]&amp;"|"&amp;tblControles[[#This Row],[Ítem]]&amp;"|"&amp;tblControles[[#This Row],[Turno]]</f>
        <v>46289|TONELADAS X TURNO|Molino barras 4|1° turno</v>
      </c>
      <c r="C2547" s="871">
        <v>46289</v>
      </c>
      <c r="D2547" s="1100" t="s">
        <v>9449</v>
      </c>
      <c r="E2547" s="1100" t="s">
        <v>390</v>
      </c>
      <c r="F2547" s="1100" t="s">
        <v>396</v>
      </c>
      <c r="G2547" s="1100">
        <v>0</v>
      </c>
      <c r="H2547" s="1100" t="s">
        <v>10345</v>
      </c>
      <c r="I2547" s="871">
        <v>46296.133811898151</v>
      </c>
      <c r="J2547" s="1100" t="s">
        <v>10349</v>
      </c>
      <c r="K2547" s="975" t="str">
        <f>IF(COUNTIFS(tblControles[Clave],tblControles[[#This Row],[Clave]])&gt;1,"Duplicado","")</f>
        <v/>
      </c>
    </row>
    <row r="2548" spans="2:11">
      <c r="B2548" s="975" t="str">
        <f>tblControles[[#This Row],[Fecha]]&amp;"|"&amp;tblControles[[#This Row],[Módulo]]&amp;"|"&amp;tblControles[[#This Row],[Ítem]]&amp;"|"&amp;tblControles[[#This Row],[Turno]]</f>
        <v>46289|TONELADAS X TURNO|Molino barras 4|2° turno</v>
      </c>
      <c r="C2548" s="871">
        <v>46289</v>
      </c>
      <c r="D2548" s="1100" t="s">
        <v>9449</v>
      </c>
      <c r="E2548" s="1100" t="s">
        <v>390</v>
      </c>
      <c r="F2548" s="1100" t="s">
        <v>397</v>
      </c>
      <c r="G2548" s="1100">
        <v>0</v>
      </c>
      <c r="H2548" s="1100" t="s">
        <v>10345</v>
      </c>
      <c r="I2548" s="871">
        <v>46296.133811898151</v>
      </c>
      <c r="J2548" s="1100" t="s">
        <v>10349</v>
      </c>
      <c r="K2548" s="975" t="str">
        <f>IF(COUNTIFS(tblControles[Clave],tblControles[[#This Row],[Clave]])&gt;1,"Duplicado","")</f>
        <v/>
      </c>
    </row>
    <row r="2549" spans="2:11">
      <c r="B2549" s="975" t="str">
        <f>tblControles[[#This Row],[Fecha]]&amp;"|"&amp;tblControles[[#This Row],[Módulo]]&amp;"|"&amp;tblControles[[#This Row],[Ítem]]&amp;"|"&amp;tblControles[[#This Row],[Turno]]</f>
        <v>46289|TONELADAS X TURNO|Molino barras 4|3° turno</v>
      </c>
      <c r="C2549" s="871">
        <v>46289</v>
      </c>
      <c r="D2549" s="1100" t="s">
        <v>9449</v>
      </c>
      <c r="E2549" s="1100" t="s">
        <v>390</v>
      </c>
      <c r="F2549" s="1100" t="s">
        <v>398</v>
      </c>
      <c r="G2549" s="1100">
        <v>0</v>
      </c>
      <c r="H2549" s="1100" t="s">
        <v>10345</v>
      </c>
      <c r="I2549" s="871">
        <v>46296.133811898151</v>
      </c>
      <c r="J2549" s="1100" t="s">
        <v>10349</v>
      </c>
      <c r="K2549" s="975" t="str">
        <f>IF(COUNTIFS(tblControles[Clave],tblControles[[#This Row],[Clave]])&gt;1,"Duplicado","")</f>
        <v/>
      </c>
    </row>
    <row r="2550" spans="2:11">
      <c r="B2550" s="975" t="str">
        <f>tblControles[[#This Row],[Fecha]]&amp;"|"&amp;tblControles[[#This Row],[Módulo]]&amp;"|"&amp;tblControles[[#This Row],[Ítem]]&amp;"|"&amp;tblControles[[#This Row],[Turno]]</f>
        <v>46289|TONELADAS X TURNO|Molino barras 5|1° turno</v>
      </c>
      <c r="C2550" s="871">
        <v>46289</v>
      </c>
      <c r="D2550" s="1100" t="s">
        <v>9449</v>
      </c>
      <c r="E2550" s="1100" t="s">
        <v>391</v>
      </c>
      <c r="F2550" s="1100" t="s">
        <v>396</v>
      </c>
      <c r="G2550" s="1100">
        <v>1549</v>
      </c>
      <c r="H2550" s="1100" t="s">
        <v>10345</v>
      </c>
      <c r="I2550" s="871">
        <v>46296.133811898151</v>
      </c>
      <c r="J2550" s="1100" t="s">
        <v>10349</v>
      </c>
      <c r="K2550" s="975" t="str">
        <f>IF(COUNTIFS(tblControles[Clave],tblControles[[#This Row],[Clave]])&gt;1,"Duplicado","")</f>
        <v/>
      </c>
    </row>
    <row r="2551" spans="2:11">
      <c r="B2551" s="975" t="str">
        <f>tblControles[[#This Row],[Fecha]]&amp;"|"&amp;tblControles[[#This Row],[Módulo]]&amp;"|"&amp;tblControles[[#This Row],[Ítem]]&amp;"|"&amp;tblControles[[#This Row],[Turno]]</f>
        <v>46289|TONELADAS X TURNO|Molino barras 5|2° turno</v>
      </c>
      <c r="C2551" s="871">
        <v>46289</v>
      </c>
      <c r="D2551" s="1100" t="s">
        <v>9449</v>
      </c>
      <c r="E2551" s="1100" t="s">
        <v>391</v>
      </c>
      <c r="F2551" s="1100" t="s">
        <v>397</v>
      </c>
      <c r="G2551" s="1100">
        <v>1559</v>
      </c>
      <c r="H2551" s="1100" t="s">
        <v>10345</v>
      </c>
      <c r="I2551" s="871">
        <v>46296.133811898151</v>
      </c>
      <c r="J2551" s="1100" t="s">
        <v>10349</v>
      </c>
      <c r="K2551" s="975" t="str">
        <f>IF(COUNTIFS(tblControles[Clave],tblControles[[#This Row],[Clave]])&gt;1,"Duplicado","")</f>
        <v/>
      </c>
    </row>
    <row r="2552" spans="2:11">
      <c r="B2552" s="975" t="str">
        <f>tblControles[[#This Row],[Fecha]]&amp;"|"&amp;tblControles[[#This Row],[Módulo]]&amp;"|"&amp;tblControles[[#This Row],[Ítem]]&amp;"|"&amp;tblControles[[#This Row],[Turno]]</f>
        <v>46289|TONELADAS X TURNO|Molino barras 5|3° turno</v>
      </c>
      <c r="C2552" s="871">
        <v>46289</v>
      </c>
      <c r="D2552" s="1100" t="s">
        <v>9449</v>
      </c>
      <c r="E2552" s="1100" t="s">
        <v>391</v>
      </c>
      <c r="F2552" s="1100" t="s">
        <v>398</v>
      </c>
      <c r="G2552" s="1100">
        <v>1403</v>
      </c>
      <c r="H2552" s="1100" t="s">
        <v>10345</v>
      </c>
      <c r="I2552" s="871">
        <v>46296.133811898151</v>
      </c>
      <c r="J2552" s="1100" t="s">
        <v>10349</v>
      </c>
      <c r="K2552" s="975" t="str">
        <f>IF(COUNTIFS(tblControles[Clave],tblControles[[#This Row],[Clave]])&gt;1,"Duplicado","")</f>
        <v/>
      </c>
    </row>
    <row r="2553" spans="2:11">
      <c r="B2553" s="975" t="str">
        <f>tblControles[[#This Row],[Fecha]]&amp;"|"&amp;tblControles[[#This Row],[Módulo]]&amp;"|"&amp;tblControles[[#This Row],[Ítem]]&amp;"|"&amp;tblControles[[#This Row],[Turno]]</f>
        <v>46289|TONELADAS X TURNO|Molino barras 6|1° turno</v>
      </c>
      <c r="C2553" s="871">
        <v>46289</v>
      </c>
      <c r="D2553" s="1100" t="s">
        <v>9449</v>
      </c>
      <c r="E2553" s="1100" t="s">
        <v>392</v>
      </c>
      <c r="F2553" s="1100" t="s">
        <v>396</v>
      </c>
      <c r="G2553" s="1100">
        <v>1495</v>
      </c>
      <c r="H2553" s="1100" t="s">
        <v>10345</v>
      </c>
      <c r="I2553" s="871">
        <v>46296.133811898151</v>
      </c>
      <c r="J2553" s="1100" t="s">
        <v>10349</v>
      </c>
      <c r="K2553" s="975" t="str">
        <f>IF(COUNTIFS(tblControles[Clave],tblControles[[#This Row],[Clave]])&gt;1,"Duplicado","")</f>
        <v/>
      </c>
    </row>
    <row r="2554" spans="2:11">
      <c r="B2554" s="975" t="str">
        <f>tblControles[[#This Row],[Fecha]]&amp;"|"&amp;tblControles[[#This Row],[Módulo]]&amp;"|"&amp;tblControles[[#This Row],[Ítem]]&amp;"|"&amp;tblControles[[#This Row],[Turno]]</f>
        <v>46289|TONELADAS X TURNO|Molino barras 6|2° turno</v>
      </c>
      <c r="C2554" s="871">
        <v>46289</v>
      </c>
      <c r="D2554" s="1100" t="s">
        <v>9449</v>
      </c>
      <c r="E2554" s="1100" t="s">
        <v>392</v>
      </c>
      <c r="F2554" s="1100" t="s">
        <v>397</v>
      </c>
      <c r="G2554" s="1100">
        <v>1480</v>
      </c>
      <c r="H2554" s="1100" t="s">
        <v>10345</v>
      </c>
      <c r="I2554" s="871">
        <v>46296.133811898151</v>
      </c>
      <c r="J2554" s="1100" t="s">
        <v>10349</v>
      </c>
      <c r="K2554" s="975" t="str">
        <f>IF(COUNTIFS(tblControles[Clave],tblControles[[#This Row],[Clave]])&gt;1,"Duplicado","")</f>
        <v/>
      </c>
    </row>
    <row r="2555" spans="2:11">
      <c r="B2555" s="975" t="str">
        <f>tblControles[[#This Row],[Fecha]]&amp;"|"&amp;tblControles[[#This Row],[Módulo]]&amp;"|"&amp;tblControles[[#This Row],[Ítem]]&amp;"|"&amp;tblControles[[#This Row],[Turno]]</f>
        <v>46289|TONELADAS X TURNO|Molino barras 6|3° turno</v>
      </c>
      <c r="C2555" s="871">
        <v>46289</v>
      </c>
      <c r="D2555" s="1100" t="s">
        <v>9449</v>
      </c>
      <c r="E2555" s="1100" t="s">
        <v>392</v>
      </c>
      <c r="F2555" s="1100" t="s">
        <v>398</v>
      </c>
      <c r="G2555" s="1100">
        <v>1530</v>
      </c>
      <c r="H2555" s="1100" t="s">
        <v>10345</v>
      </c>
      <c r="I2555" s="871">
        <v>46296.133811898151</v>
      </c>
      <c r="J2555" s="1100" t="s">
        <v>10349</v>
      </c>
      <c r="K2555" s="975" t="str">
        <f>IF(COUNTIFS(tblControles[Clave],tblControles[[#This Row],[Clave]])&gt;1,"Duplicado","")</f>
        <v/>
      </c>
    </row>
    <row r="2556" spans="2:11">
      <c r="B2556" s="975" t="str">
        <f>tblControles[[#This Row],[Fecha]]&amp;"|"&amp;tblControles[[#This Row],[Módulo]]&amp;"|"&amp;tblControles[[#This Row],[Ítem]]&amp;"|"&amp;tblControles[[#This Row],[Turno]]</f>
        <v>46289|TONELADAS X TURNO|Molino barras 7|1° turno</v>
      </c>
      <c r="C2556" s="871">
        <v>46289</v>
      </c>
      <c r="D2556" s="1100" t="s">
        <v>9449</v>
      </c>
      <c r="E2556" s="1100" t="s">
        <v>393</v>
      </c>
      <c r="F2556" s="1100" t="s">
        <v>396</v>
      </c>
      <c r="G2556" s="1100">
        <v>1620</v>
      </c>
      <c r="H2556" s="1100" t="s">
        <v>10345</v>
      </c>
      <c r="I2556" s="871">
        <v>46296.133811898151</v>
      </c>
      <c r="J2556" s="1100" t="s">
        <v>10349</v>
      </c>
      <c r="K2556" s="975" t="str">
        <f>IF(COUNTIFS(tblControles[Clave],tblControles[[#This Row],[Clave]])&gt;1,"Duplicado","")</f>
        <v/>
      </c>
    </row>
    <row r="2557" spans="2:11">
      <c r="B2557" s="975" t="str">
        <f>tblControles[[#This Row],[Fecha]]&amp;"|"&amp;tblControles[[#This Row],[Módulo]]&amp;"|"&amp;tblControles[[#This Row],[Ítem]]&amp;"|"&amp;tblControles[[#This Row],[Turno]]</f>
        <v>46289|TONELADAS X TURNO|Molino barras 7|2° turno</v>
      </c>
      <c r="C2557" s="871">
        <v>46289</v>
      </c>
      <c r="D2557" s="1100" t="s">
        <v>9449</v>
      </c>
      <c r="E2557" s="1100" t="s">
        <v>393</v>
      </c>
      <c r="F2557" s="1100" t="s">
        <v>397</v>
      </c>
      <c r="G2557" s="1100">
        <v>1600</v>
      </c>
      <c r="H2557" s="1100" t="s">
        <v>10345</v>
      </c>
      <c r="I2557" s="871">
        <v>46296.133811898151</v>
      </c>
      <c r="J2557" s="1100" t="s">
        <v>10349</v>
      </c>
      <c r="K2557" s="975" t="str">
        <f>IF(COUNTIFS(tblControles[Clave],tblControles[[#This Row],[Clave]])&gt;1,"Duplicado","")</f>
        <v/>
      </c>
    </row>
    <row r="2558" spans="2:11">
      <c r="B2558" s="975" t="str">
        <f>tblControles[[#This Row],[Fecha]]&amp;"|"&amp;tblControles[[#This Row],[Módulo]]&amp;"|"&amp;tblControles[[#This Row],[Ítem]]&amp;"|"&amp;tblControles[[#This Row],[Turno]]</f>
        <v>46289|TONELADAS X TURNO|Molino barras 7|3° turno</v>
      </c>
      <c r="C2558" s="871">
        <v>46289</v>
      </c>
      <c r="D2558" s="1100" t="s">
        <v>9449</v>
      </c>
      <c r="E2558" s="1100" t="s">
        <v>393</v>
      </c>
      <c r="F2558" s="1100" t="s">
        <v>398</v>
      </c>
      <c r="G2558" s="1100">
        <v>1382</v>
      </c>
      <c r="H2558" s="1100" t="s">
        <v>10345</v>
      </c>
      <c r="I2558" s="871">
        <v>46296.133811898151</v>
      </c>
      <c r="J2558" s="1100" t="s">
        <v>10349</v>
      </c>
      <c r="K2558" s="975" t="str">
        <f>IF(COUNTIFS(tblControles[Clave],tblControles[[#This Row],[Clave]])&gt;1,"Duplicado","")</f>
        <v/>
      </c>
    </row>
    <row r="2559" spans="2:11">
      <c r="B2559" s="975" t="str">
        <f>tblControles[[#This Row],[Fecha]]&amp;"|"&amp;tblControles[[#This Row],[Módulo]]&amp;"|"&amp;tblControles[[#This Row],[Ítem]]&amp;"|"&amp;tblControles[[#This Row],[Turno]]</f>
        <v>46289|TONELADAS X TURNO|Molino barras 8|1° turno</v>
      </c>
      <c r="C2559" s="871">
        <v>46289</v>
      </c>
      <c r="D2559" s="1100" t="s">
        <v>9449</v>
      </c>
      <c r="E2559" s="1100" t="s">
        <v>394</v>
      </c>
      <c r="F2559" s="1100" t="s">
        <v>396</v>
      </c>
      <c r="G2559" s="1100">
        <v>1520</v>
      </c>
      <c r="H2559" s="1100" t="s">
        <v>10345</v>
      </c>
      <c r="I2559" s="871">
        <v>46296.133811898151</v>
      </c>
      <c r="J2559" s="1100" t="s">
        <v>10349</v>
      </c>
      <c r="K2559" s="975" t="str">
        <f>IF(COUNTIFS(tblControles[Clave],tblControles[[#This Row],[Clave]])&gt;1,"Duplicado","")</f>
        <v/>
      </c>
    </row>
    <row r="2560" spans="2:11">
      <c r="B2560" s="975" t="str">
        <f>tblControles[[#This Row],[Fecha]]&amp;"|"&amp;tblControles[[#This Row],[Módulo]]&amp;"|"&amp;tblControles[[#This Row],[Ítem]]&amp;"|"&amp;tblControles[[#This Row],[Turno]]</f>
        <v>46289|TONELADAS X TURNO|Molino barras 8|2° turno</v>
      </c>
      <c r="C2560" s="871">
        <v>46289</v>
      </c>
      <c r="D2560" s="1100" t="s">
        <v>9449</v>
      </c>
      <c r="E2560" s="1100" t="s">
        <v>394</v>
      </c>
      <c r="F2560" s="1100" t="s">
        <v>397</v>
      </c>
      <c r="G2560" s="1100">
        <v>1500</v>
      </c>
      <c r="H2560" s="1100" t="s">
        <v>10345</v>
      </c>
      <c r="I2560" s="871">
        <v>46296.133811898151</v>
      </c>
      <c r="J2560" s="1100" t="s">
        <v>10349</v>
      </c>
      <c r="K2560" s="975" t="str">
        <f>IF(COUNTIFS(tblControles[Clave],tblControles[[#This Row],[Clave]])&gt;1,"Duplicado","")</f>
        <v/>
      </c>
    </row>
    <row r="2561" spans="2:11">
      <c r="B2561" s="975" t="str">
        <f>tblControles[[#This Row],[Fecha]]&amp;"|"&amp;tblControles[[#This Row],[Módulo]]&amp;"|"&amp;tblControles[[#This Row],[Ítem]]&amp;"|"&amp;tblControles[[#This Row],[Turno]]</f>
        <v>46289|TONELADAS X TURNO|Molino barras 8|3° turno</v>
      </c>
      <c r="C2561" s="871">
        <v>46289</v>
      </c>
      <c r="D2561" s="1100" t="s">
        <v>9449</v>
      </c>
      <c r="E2561" s="1100" t="s">
        <v>394</v>
      </c>
      <c r="F2561" s="1100" t="s">
        <v>398</v>
      </c>
      <c r="G2561" s="1100">
        <v>1501</v>
      </c>
      <c r="H2561" s="1100" t="s">
        <v>10345</v>
      </c>
      <c r="I2561" s="871">
        <v>46296.133811898151</v>
      </c>
      <c r="J2561" s="1100" t="s">
        <v>10349</v>
      </c>
      <c r="K2561" s="975" t="str">
        <f>IF(COUNTIFS(tblControles[Clave],tblControles[[#This Row],[Clave]])&gt;1,"Duplicado","")</f>
        <v/>
      </c>
    </row>
    <row r="2562" spans="2:11">
      <c r="B2562" s="975" t="str">
        <f>tblControles[[#This Row],[Fecha]]&amp;"|"&amp;tblControles[[#This Row],[Módulo]]&amp;"|"&amp;tblControles[[#This Row],[Ítem]]&amp;"|"&amp;tblControles[[#This Row],[Turno]]</f>
        <v>46289|TONELADAS X TURNO|Molino barras 9|1° turno</v>
      </c>
      <c r="C2562" s="871">
        <v>46289</v>
      </c>
      <c r="D2562" s="1100" t="s">
        <v>9449</v>
      </c>
      <c r="E2562" s="1100" t="s">
        <v>395</v>
      </c>
      <c r="F2562" s="1100" t="s">
        <v>396</v>
      </c>
      <c r="G2562" s="1100">
        <v>1684</v>
      </c>
      <c r="H2562" s="1100" t="s">
        <v>10345</v>
      </c>
      <c r="I2562" s="871">
        <v>46296.133811898151</v>
      </c>
      <c r="J2562" s="1100" t="s">
        <v>10349</v>
      </c>
      <c r="K2562" s="975" t="str">
        <f>IF(COUNTIFS(tblControles[Clave],tblControles[[#This Row],[Clave]])&gt;1,"Duplicado","")</f>
        <v/>
      </c>
    </row>
    <row r="2563" spans="2:11">
      <c r="B2563" s="975" t="str">
        <f>tblControles[[#This Row],[Fecha]]&amp;"|"&amp;tblControles[[#This Row],[Módulo]]&amp;"|"&amp;tblControles[[#This Row],[Ítem]]&amp;"|"&amp;tblControles[[#This Row],[Turno]]</f>
        <v>46289|TONELADAS X TURNO|Molino barras 9|2° turno</v>
      </c>
      <c r="C2563" s="871">
        <v>46289</v>
      </c>
      <c r="D2563" s="1100" t="s">
        <v>9449</v>
      </c>
      <c r="E2563" s="1100" t="s">
        <v>395</v>
      </c>
      <c r="F2563" s="1100" t="s">
        <v>397</v>
      </c>
      <c r="G2563" s="1100">
        <v>1778</v>
      </c>
      <c r="H2563" s="1100" t="s">
        <v>10345</v>
      </c>
      <c r="I2563" s="871">
        <v>46296.133811898151</v>
      </c>
      <c r="J2563" s="1100" t="s">
        <v>10349</v>
      </c>
      <c r="K2563" s="975" t="str">
        <f>IF(COUNTIFS(tblControles[Clave],tblControles[[#This Row],[Clave]])&gt;1,"Duplicado","")</f>
        <v/>
      </c>
    </row>
    <row r="2564" spans="2:11">
      <c r="B2564" s="975" t="str">
        <f>tblControles[[#This Row],[Fecha]]&amp;"|"&amp;tblControles[[#This Row],[Módulo]]&amp;"|"&amp;tblControles[[#This Row],[Ítem]]&amp;"|"&amp;tblControles[[#This Row],[Turno]]</f>
        <v>46289|TONELADAS X TURNO|Molino barras 9|3° turno</v>
      </c>
      <c r="C2564" s="871">
        <v>46289</v>
      </c>
      <c r="D2564" s="1100" t="s">
        <v>9449</v>
      </c>
      <c r="E2564" s="1100" t="s">
        <v>395</v>
      </c>
      <c r="F2564" s="1100" t="s">
        <v>398</v>
      </c>
      <c r="G2564" s="1100">
        <v>1748</v>
      </c>
      <c r="H2564" s="1100" t="s">
        <v>10345</v>
      </c>
      <c r="I2564" s="871">
        <v>46296.133811898151</v>
      </c>
      <c r="J2564" s="1100" t="s">
        <v>10349</v>
      </c>
      <c r="K2564" s="975" t="str">
        <f>IF(COUNTIFS(tblControles[Clave],tblControles[[#This Row],[Clave]])&gt;1,"Duplicado","")</f>
        <v/>
      </c>
    </row>
    <row r="2565" spans="2:11">
      <c r="B2565" s="975" t="str">
        <f>tblControles[[#This Row],[Fecha]]&amp;"|"&amp;tblControles[[#This Row],[Módulo]]&amp;"|"&amp;tblControles[[#This Row],[Ítem]]&amp;"|"&amp;tblControles[[#This Row],[Turno]]</f>
        <v>46290|TONELADAS X TURNO|Molino barras 1|1° turno</v>
      </c>
      <c r="C2565" s="871">
        <v>46290</v>
      </c>
      <c r="D2565" s="1100" t="s">
        <v>9449</v>
      </c>
      <c r="E2565" s="1100" t="s">
        <v>387</v>
      </c>
      <c r="F2565" s="1100" t="s">
        <v>396</v>
      </c>
      <c r="G2565" s="1100">
        <v>1485</v>
      </c>
      <c r="H2565" s="1100" t="s">
        <v>10345</v>
      </c>
      <c r="I2565" s="871">
        <v>46296.133811898151</v>
      </c>
      <c r="J2565" s="1100" t="s">
        <v>10349</v>
      </c>
      <c r="K2565" s="975" t="str">
        <f>IF(COUNTIFS(tblControles[Clave],tblControles[[#This Row],[Clave]])&gt;1,"Duplicado","")</f>
        <v/>
      </c>
    </row>
    <row r="2566" spans="2:11">
      <c r="B2566" s="975" t="str">
        <f>tblControles[[#This Row],[Fecha]]&amp;"|"&amp;tblControles[[#This Row],[Módulo]]&amp;"|"&amp;tblControles[[#This Row],[Ítem]]&amp;"|"&amp;tblControles[[#This Row],[Turno]]</f>
        <v>46290|TONELADAS X TURNO|Molino barras 1|2° turno</v>
      </c>
      <c r="C2566" s="871">
        <v>46290</v>
      </c>
      <c r="D2566" s="1100" t="s">
        <v>9449</v>
      </c>
      <c r="E2566" s="1100" t="s">
        <v>387</v>
      </c>
      <c r="F2566" s="1100" t="s">
        <v>397</v>
      </c>
      <c r="G2566" s="1100">
        <v>1529</v>
      </c>
      <c r="H2566" s="1100" t="s">
        <v>10345</v>
      </c>
      <c r="I2566" s="871">
        <v>46296.133811898151</v>
      </c>
      <c r="J2566" s="1100" t="s">
        <v>10349</v>
      </c>
      <c r="K2566" s="975" t="str">
        <f>IF(COUNTIFS(tblControles[Clave],tblControles[[#This Row],[Clave]])&gt;1,"Duplicado","")</f>
        <v/>
      </c>
    </row>
    <row r="2567" spans="2:11">
      <c r="B2567" s="975" t="str">
        <f>tblControles[[#This Row],[Fecha]]&amp;"|"&amp;tblControles[[#This Row],[Módulo]]&amp;"|"&amp;tblControles[[#This Row],[Ítem]]&amp;"|"&amp;tblControles[[#This Row],[Turno]]</f>
        <v>46290|TONELADAS X TURNO|Molino barras 1|3° turno</v>
      </c>
      <c r="C2567" s="871">
        <v>46290</v>
      </c>
      <c r="D2567" s="1100" t="s">
        <v>9449</v>
      </c>
      <c r="E2567" s="1100" t="s">
        <v>387</v>
      </c>
      <c r="F2567" s="1100" t="s">
        <v>398</v>
      </c>
      <c r="G2567" s="1100">
        <v>1408</v>
      </c>
      <c r="H2567" s="1100" t="s">
        <v>10345</v>
      </c>
      <c r="I2567" s="871">
        <v>46296.133811898151</v>
      </c>
      <c r="J2567" s="1100" t="s">
        <v>10349</v>
      </c>
      <c r="K2567" s="975" t="str">
        <f>IF(COUNTIFS(tblControles[Clave],tblControles[[#This Row],[Clave]])&gt;1,"Duplicado","")</f>
        <v/>
      </c>
    </row>
    <row r="2568" spans="2:11">
      <c r="B2568" s="975" t="str">
        <f>tblControles[[#This Row],[Fecha]]&amp;"|"&amp;tblControles[[#This Row],[Módulo]]&amp;"|"&amp;tblControles[[#This Row],[Ítem]]&amp;"|"&amp;tblControles[[#This Row],[Turno]]</f>
        <v>46290|TONELADAS X TURNO|Molino barras 2|1° turno</v>
      </c>
      <c r="C2568" s="871">
        <v>46290</v>
      </c>
      <c r="D2568" s="1100" t="s">
        <v>9449</v>
      </c>
      <c r="E2568" s="1100" t="s">
        <v>388</v>
      </c>
      <c r="F2568" s="1100" t="s">
        <v>396</v>
      </c>
      <c r="G2568" s="1100">
        <v>1207</v>
      </c>
      <c r="H2568" s="1100" t="s">
        <v>10345</v>
      </c>
      <c r="I2568" s="871">
        <v>46296.133811898151</v>
      </c>
      <c r="J2568" s="1100" t="s">
        <v>10349</v>
      </c>
      <c r="K2568" s="975" t="str">
        <f>IF(COUNTIFS(tblControles[Clave],tblControles[[#This Row],[Clave]])&gt;1,"Duplicado","")</f>
        <v/>
      </c>
    </row>
    <row r="2569" spans="2:11">
      <c r="B2569" s="975" t="str">
        <f>tblControles[[#This Row],[Fecha]]&amp;"|"&amp;tblControles[[#This Row],[Módulo]]&amp;"|"&amp;tblControles[[#This Row],[Ítem]]&amp;"|"&amp;tblControles[[#This Row],[Turno]]</f>
        <v>46290|TONELADAS X TURNO|Molino barras 2|2° turno</v>
      </c>
      <c r="C2569" s="871">
        <v>46290</v>
      </c>
      <c r="D2569" s="1100" t="s">
        <v>9449</v>
      </c>
      <c r="E2569" s="1100" t="s">
        <v>388</v>
      </c>
      <c r="F2569" s="1100" t="s">
        <v>397</v>
      </c>
      <c r="G2569" s="1100">
        <v>1259</v>
      </c>
      <c r="H2569" s="1100" t="s">
        <v>10345</v>
      </c>
      <c r="I2569" s="871">
        <v>46296.133811898151</v>
      </c>
      <c r="J2569" s="1100" t="s">
        <v>10349</v>
      </c>
      <c r="K2569" s="975" t="str">
        <f>IF(COUNTIFS(tblControles[Clave],tblControles[[#This Row],[Clave]])&gt;1,"Duplicado","")</f>
        <v/>
      </c>
    </row>
    <row r="2570" spans="2:11">
      <c r="B2570" s="975" t="str">
        <f>tblControles[[#This Row],[Fecha]]&amp;"|"&amp;tblControles[[#This Row],[Módulo]]&amp;"|"&amp;tblControles[[#This Row],[Ítem]]&amp;"|"&amp;tblControles[[#This Row],[Turno]]</f>
        <v>46290|TONELADAS X TURNO|Molino barras 2|3° turno</v>
      </c>
      <c r="C2570" s="871">
        <v>46290</v>
      </c>
      <c r="D2570" s="1100" t="s">
        <v>9449</v>
      </c>
      <c r="E2570" s="1100" t="s">
        <v>388</v>
      </c>
      <c r="F2570" s="1100" t="s">
        <v>398</v>
      </c>
      <c r="G2570" s="1100">
        <v>1184</v>
      </c>
      <c r="H2570" s="1100" t="s">
        <v>10345</v>
      </c>
      <c r="I2570" s="871">
        <v>46296.133811898151</v>
      </c>
      <c r="J2570" s="1100" t="s">
        <v>10349</v>
      </c>
      <c r="K2570" s="975" t="str">
        <f>IF(COUNTIFS(tblControles[Clave],tblControles[[#This Row],[Clave]])&gt;1,"Duplicado","")</f>
        <v/>
      </c>
    </row>
    <row r="2571" spans="2:11">
      <c r="B2571" s="975" t="str">
        <f>tblControles[[#This Row],[Fecha]]&amp;"|"&amp;tblControles[[#This Row],[Módulo]]&amp;"|"&amp;tblControles[[#This Row],[Ítem]]&amp;"|"&amp;tblControles[[#This Row],[Turno]]</f>
        <v>46290|TONELADAS X TURNO|Molino barras 3|1° turno</v>
      </c>
      <c r="C2571" s="871">
        <v>46290</v>
      </c>
      <c r="D2571" s="1100" t="s">
        <v>9449</v>
      </c>
      <c r="E2571" s="1100" t="s">
        <v>389</v>
      </c>
      <c r="F2571" s="1100" t="s">
        <v>396</v>
      </c>
      <c r="G2571" s="1100">
        <v>1181</v>
      </c>
      <c r="H2571" s="1100" t="s">
        <v>10345</v>
      </c>
      <c r="I2571" s="871">
        <v>46296.133811898151</v>
      </c>
      <c r="J2571" s="1100" t="s">
        <v>10349</v>
      </c>
      <c r="K2571" s="975" t="str">
        <f>IF(COUNTIFS(tblControles[Clave],tblControles[[#This Row],[Clave]])&gt;1,"Duplicado","")</f>
        <v/>
      </c>
    </row>
    <row r="2572" spans="2:11">
      <c r="B2572" s="975" t="str">
        <f>tblControles[[#This Row],[Fecha]]&amp;"|"&amp;tblControles[[#This Row],[Módulo]]&amp;"|"&amp;tblControles[[#This Row],[Ítem]]&amp;"|"&amp;tblControles[[#This Row],[Turno]]</f>
        <v>46290|TONELADAS X TURNO|Molino barras 3|2° turno</v>
      </c>
      <c r="C2572" s="871">
        <v>46290</v>
      </c>
      <c r="D2572" s="1100" t="s">
        <v>9449</v>
      </c>
      <c r="E2572" s="1100" t="s">
        <v>389</v>
      </c>
      <c r="F2572" s="1100" t="s">
        <v>397</v>
      </c>
      <c r="G2572" s="1100">
        <v>1227</v>
      </c>
      <c r="H2572" s="1100" t="s">
        <v>10345</v>
      </c>
      <c r="I2572" s="871">
        <v>46296.133811898151</v>
      </c>
      <c r="J2572" s="1100" t="s">
        <v>10349</v>
      </c>
      <c r="K2572" s="975" t="str">
        <f>IF(COUNTIFS(tblControles[Clave],tblControles[[#This Row],[Clave]])&gt;1,"Duplicado","")</f>
        <v/>
      </c>
    </row>
    <row r="2573" spans="2:11">
      <c r="B2573" s="975" t="str">
        <f>tblControles[[#This Row],[Fecha]]&amp;"|"&amp;tblControles[[#This Row],[Módulo]]&amp;"|"&amp;tblControles[[#This Row],[Ítem]]&amp;"|"&amp;tblControles[[#This Row],[Turno]]</f>
        <v>46290|TONELADAS X TURNO|Molino barras 3|3° turno</v>
      </c>
      <c r="C2573" s="871">
        <v>46290</v>
      </c>
      <c r="D2573" s="1100" t="s">
        <v>9449</v>
      </c>
      <c r="E2573" s="1100" t="s">
        <v>389</v>
      </c>
      <c r="F2573" s="1100" t="s">
        <v>398</v>
      </c>
      <c r="G2573" s="1100">
        <v>1231</v>
      </c>
      <c r="H2573" s="1100" t="s">
        <v>10345</v>
      </c>
      <c r="I2573" s="871">
        <v>46296.133811898151</v>
      </c>
      <c r="J2573" s="1100" t="s">
        <v>10349</v>
      </c>
      <c r="K2573" s="975" t="str">
        <f>IF(COUNTIFS(tblControles[Clave],tblControles[[#This Row],[Clave]])&gt;1,"Duplicado","")</f>
        <v/>
      </c>
    </row>
    <row r="2574" spans="2:11">
      <c r="B2574" s="975" t="str">
        <f>tblControles[[#This Row],[Fecha]]&amp;"|"&amp;tblControles[[#This Row],[Módulo]]&amp;"|"&amp;tblControles[[#This Row],[Ítem]]&amp;"|"&amp;tblControles[[#This Row],[Turno]]</f>
        <v>46290|TONELADAS X TURNO|Molino barras 4|1° turno</v>
      </c>
      <c r="C2574" s="871">
        <v>46290</v>
      </c>
      <c r="D2574" s="1100" t="s">
        <v>9449</v>
      </c>
      <c r="E2574" s="1100" t="s">
        <v>390</v>
      </c>
      <c r="F2574" s="1100" t="s">
        <v>396</v>
      </c>
      <c r="G2574" s="1100">
        <v>0</v>
      </c>
      <c r="H2574" s="1100" t="s">
        <v>10345</v>
      </c>
      <c r="I2574" s="871">
        <v>46296.133811898151</v>
      </c>
      <c r="J2574" s="1100" t="s">
        <v>10349</v>
      </c>
      <c r="K2574" s="975" t="str">
        <f>IF(COUNTIFS(tblControles[Clave],tblControles[[#This Row],[Clave]])&gt;1,"Duplicado","")</f>
        <v/>
      </c>
    </row>
    <row r="2575" spans="2:11">
      <c r="B2575" s="975" t="str">
        <f>tblControles[[#This Row],[Fecha]]&amp;"|"&amp;tblControles[[#This Row],[Módulo]]&amp;"|"&amp;tblControles[[#This Row],[Ítem]]&amp;"|"&amp;tblControles[[#This Row],[Turno]]</f>
        <v>46290|TONELADAS X TURNO|Molino barras 4|2° turno</v>
      </c>
      <c r="C2575" s="871">
        <v>46290</v>
      </c>
      <c r="D2575" s="1100" t="s">
        <v>9449</v>
      </c>
      <c r="E2575" s="1100" t="s">
        <v>390</v>
      </c>
      <c r="F2575" s="1100" t="s">
        <v>397</v>
      </c>
      <c r="G2575" s="1100">
        <v>0</v>
      </c>
      <c r="H2575" s="1100" t="s">
        <v>10345</v>
      </c>
      <c r="I2575" s="871">
        <v>46296.133811898151</v>
      </c>
      <c r="J2575" s="1100" t="s">
        <v>10349</v>
      </c>
      <c r="K2575" s="975" t="str">
        <f>IF(COUNTIFS(tblControles[Clave],tblControles[[#This Row],[Clave]])&gt;1,"Duplicado","")</f>
        <v/>
      </c>
    </row>
    <row r="2576" spans="2:11">
      <c r="B2576" s="975" t="str">
        <f>tblControles[[#This Row],[Fecha]]&amp;"|"&amp;tblControles[[#This Row],[Módulo]]&amp;"|"&amp;tblControles[[#This Row],[Ítem]]&amp;"|"&amp;tblControles[[#This Row],[Turno]]</f>
        <v>46290|TONELADAS X TURNO|Molino barras 4|3° turno</v>
      </c>
      <c r="C2576" s="871">
        <v>46290</v>
      </c>
      <c r="D2576" s="1100" t="s">
        <v>9449</v>
      </c>
      <c r="E2576" s="1100" t="s">
        <v>390</v>
      </c>
      <c r="F2576" s="1100" t="s">
        <v>398</v>
      </c>
      <c r="G2576" s="1100">
        <v>0</v>
      </c>
      <c r="H2576" s="1100" t="s">
        <v>10345</v>
      </c>
      <c r="I2576" s="871">
        <v>46296.133811898151</v>
      </c>
      <c r="J2576" s="1100" t="s">
        <v>10349</v>
      </c>
      <c r="K2576" s="975" t="str">
        <f>IF(COUNTIFS(tblControles[Clave],tblControles[[#This Row],[Clave]])&gt;1,"Duplicado","")</f>
        <v/>
      </c>
    </row>
    <row r="2577" spans="2:11">
      <c r="B2577" s="975" t="str">
        <f>tblControles[[#This Row],[Fecha]]&amp;"|"&amp;tblControles[[#This Row],[Módulo]]&amp;"|"&amp;tblControles[[#This Row],[Ítem]]&amp;"|"&amp;tblControles[[#This Row],[Turno]]</f>
        <v>46290|TONELADAS X TURNO|Molino barras 5|1° turno</v>
      </c>
      <c r="C2577" s="871">
        <v>46290</v>
      </c>
      <c r="D2577" s="1100" t="s">
        <v>9449</v>
      </c>
      <c r="E2577" s="1100" t="s">
        <v>391</v>
      </c>
      <c r="F2577" s="1100" t="s">
        <v>396</v>
      </c>
      <c r="G2577" s="1100">
        <v>1473</v>
      </c>
      <c r="H2577" s="1100" t="s">
        <v>10345</v>
      </c>
      <c r="I2577" s="871">
        <v>46296.133811898151</v>
      </c>
      <c r="J2577" s="1100" t="s">
        <v>10349</v>
      </c>
      <c r="K2577" s="975" t="str">
        <f>IF(COUNTIFS(tblControles[Clave],tblControles[[#This Row],[Clave]])&gt;1,"Duplicado","")</f>
        <v/>
      </c>
    </row>
    <row r="2578" spans="2:11">
      <c r="B2578" s="975" t="str">
        <f>tblControles[[#This Row],[Fecha]]&amp;"|"&amp;tblControles[[#This Row],[Módulo]]&amp;"|"&amp;tblControles[[#This Row],[Ítem]]&amp;"|"&amp;tblControles[[#This Row],[Turno]]</f>
        <v>46290|TONELADAS X TURNO|Molino barras 5|2° turno</v>
      </c>
      <c r="C2578" s="871">
        <v>46290</v>
      </c>
      <c r="D2578" s="1100" t="s">
        <v>9449</v>
      </c>
      <c r="E2578" s="1100" t="s">
        <v>391</v>
      </c>
      <c r="F2578" s="1100" t="s">
        <v>397</v>
      </c>
      <c r="G2578" s="1100">
        <v>1390</v>
      </c>
      <c r="H2578" s="1100" t="s">
        <v>10345</v>
      </c>
      <c r="I2578" s="871">
        <v>46296.133811898151</v>
      </c>
      <c r="J2578" s="1100" t="s">
        <v>10349</v>
      </c>
      <c r="K2578" s="975" t="str">
        <f>IF(COUNTIFS(tblControles[Clave],tblControles[[#This Row],[Clave]])&gt;1,"Duplicado","")</f>
        <v/>
      </c>
    </row>
    <row r="2579" spans="2:11">
      <c r="B2579" s="975" t="str">
        <f>tblControles[[#This Row],[Fecha]]&amp;"|"&amp;tblControles[[#This Row],[Módulo]]&amp;"|"&amp;tblControles[[#This Row],[Ítem]]&amp;"|"&amp;tblControles[[#This Row],[Turno]]</f>
        <v>46290|TONELADAS X TURNO|Molino barras 5|3° turno</v>
      </c>
      <c r="C2579" s="871">
        <v>46290</v>
      </c>
      <c r="D2579" s="1100" t="s">
        <v>9449</v>
      </c>
      <c r="E2579" s="1100" t="s">
        <v>391</v>
      </c>
      <c r="F2579" s="1100" t="s">
        <v>398</v>
      </c>
      <c r="G2579" s="1100">
        <v>1551</v>
      </c>
      <c r="H2579" s="1100" t="s">
        <v>10345</v>
      </c>
      <c r="I2579" s="871">
        <v>46296.133811898151</v>
      </c>
      <c r="J2579" s="1100" t="s">
        <v>10349</v>
      </c>
      <c r="K2579" s="975" t="str">
        <f>IF(COUNTIFS(tblControles[Clave],tblControles[[#This Row],[Clave]])&gt;1,"Duplicado","")</f>
        <v/>
      </c>
    </row>
    <row r="2580" spans="2:11">
      <c r="B2580" s="975" t="str">
        <f>tblControles[[#This Row],[Fecha]]&amp;"|"&amp;tblControles[[#This Row],[Módulo]]&amp;"|"&amp;tblControles[[#This Row],[Ítem]]&amp;"|"&amp;tblControles[[#This Row],[Turno]]</f>
        <v>46290|TONELADAS X TURNO|Molino barras 6|1° turno</v>
      </c>
      <c r="C2580" s="871">
        <v>46290</v>
      </c>
      <c r="D2580" s="1100" t="s">
        <v>9449</v>
      </c>
      <c r="E2580" s="1100" t="s">
        <v>392</v>
      </c>
      <c r="F2580" s="1100" t="s">
        <v>396</v>
      </c>
      <c r="G2580" s="1100">
        <v>1412</v>
      </c>
      <c r="H2580" s="1100" t="s">
        <v>10345</v>
      </c>
      <c r="I2580" s="871">
        <v>46296.133811898151</v>
      </c>
      <c r="J2580" s="1100" t="s">
        <v>10349</v>
      </c>
      <c r="K2580" s="975" t="str">
        <f>IF(COUNTIFS(tblControles[Clave],tblControles[[#This Row],[Clave]])&gt;1,"Duplicado","")</f>
        <v/>
      </c>
    </row>
    <row r="2581" spans="2:11">
      <c r="B2581" s="975" t="str">
        <f>tblControles[[#This Row],[Fecha]]&amp;"|"&amp;tblControles[[#This Row],[Módulo]]&amp;"|"&amp;tblControles[[#This Row],[Ítem]]&amp;"|"&amp;tblControles[[#This Row],[Turno]]</f>
        <v>46290|TONELADAS X TURNO|Molino barras 6|2° turno</v>
      </c>
      <c r="C2581" s="871">
        <v>46290</v>
      </c>
      <c r="D2581" s="1100" t="s">
        <v>9449</v>
      </c>
      <c r="E2581" s="1100" t="s">
        <v>392</v>
      </c>
      <c r="F2581" s="1100" t="s">
        <v>397</v>
      </c>
      <c r="G2581" s="1100">
        <v>1378</v>
      </c>
      <c r="H2581" s="1100" t="s">
        <v>10345</v>
      </c>
      <c r="I2581" s="871">
        <v>46296.133811898151</v>
      </c>
      <c r="J2581" s="1100" t="s">
        <v>10349</v>
      </c>
      <c r="K2581" s="975" t="str">
        <f>IF(COUNTIFS(tblControles[Clave],tblControles[[#This Row],[Clave]])&gt;1,"Duplicado","")</f>
        <v/>
      </c>
    </row>
    <row r="2582" spans="2:11">
      <c r="B2582" s="975" t="str">
        <f>tblControles[[#This Row],[Fecha]]&amp;"|"&amp;tblControles[[#This Row],[Módulo]]&amp;"|"&amp;tblControles[[#This Row],[Ítem]]&amp;"|"&amp;tblControles[[#This Row],[Turno]]</f>
        <v>46290|TONELADAS X TURNO|Molino barras 6|3° turno</v>
      </c>
      <c r="C2582" s="871">
        <v>46290</v>
      </c>
      <c r="D2582" s="1100" t="s">
        <v>9449</v>
      </c>
      <c r="E2582" s="1100" t="s">
        <v>392</v>
      </c>
      <c r="F2582" s="1100" t="s">
        <v>398</v>
      </c>
      <c r="G2582" s="1100">
        <v>1556</v>
      </c>
      <c r="H2582" s="1100" t="s">
        <v>10345</v>
      </c>
      <c r="I2582" s="871">
        <v>46296.133811898151</v>
      </c>
      <c r="J2582" s="1100" t="s">
        <v>10349</v>
      </c>
      <c r="K2582" s="975" t="str">
        <f>IF(COUNTIFS(tblControles[Clave],tblControles[[#This Row],[Clave]])&gt;1,"Duplicado","")</f>
        <v/>
      </c>
    </row>
    <row r="2583" spans="2:11">
      <c r="B2583" s="975" t="str">
        <f>tblControles[[#This Row],[Fecha]]&amp;"|"&amp;tblControles[[#This Row],[Módulo]]&amp;"|"&amp;tblControles[[#This Row],[Ítem]]&amp;"|"&amp;tblControles[[#This Row],[Turno]]</f>
        <v>46290|TONELADAS X TURNO|Molino barras 7|1° turno</v>
      </c>
      <c r="C2583" s="871">
        <v>46290</v>
      </c>
      <c r="D2583" s="1100" t="s">
        <v>9449</v>
      </c>
      <c r="E2583" s="1100" t="s">
        <v>393</v>
      </c>
      <c r="F2583" s="1100" t="s">
        <v>396</v>
      </c>
      <c r="G2583" s="1100">
        <v>1326</v>
      </c>
      <c r="H2583" s="1100" t="s">
        <v>10345</v>
      </c>
      <c r="I2583" s="871">
        <v>46296.133811898151</v>
      </c>
      <c r="J2583" s="1100" t="s">
        <v>10349</v>
      </c>
      <c r="K2583" s="975" t="str">
        <f>IF(COUNTIFS(tblControles[Clave],tblControles[[#This Row],[Clave]])&gt;1,"Duplicado","")</f>
        <v/>
      </c>
    </row>
    <row r="2584" spans="2:11">
      <c r="B2584" s="975" t="str">
        <f>tblControles[[#This Row],[Fecha]]&amp;"|"&amp;tblControles[[#This Row],[Módulo]]&amp;"|"&amp;tblControles[[#This Row],[Ítem]]&amp;"|"&amp;tblControles[[#This Row],[Turno]]</f>
        <v>46290|TONELADAS X TURNO|Molino barras 7|2° turno</v>
      </c>
      <c r="C2584" s="871">
        <v>46290</v>
      </c>
      <c r="D2584" s="1100" t="s">
        <v>9449</v>
      </c>
      <c r="E2584" s="1100" t="s">
        <v>393</v>
      </c>
      <c r="F2584" s="1100" t="s">
        <v>397</v>
      </c>
      <c r="G2584" s="1100">
        <v>1631</v>
      </c>
      <c r="H2584" s="1100" t="s">
        <v>10345</v>
      </c>
      <c r="I2584" s="871">
        <v>46296.133811898151</v>
      </c>
      <c r="J2584" s="1100" t="s">
        <v>10349</v>
      </c>
      <c r="K2584" s="975" t="str">
        <f>IF(COUNTIFS(tblControles[Clave],tblControles[[#This Row],[Clave]])&gt;1,"Duplicado","")</f>
        <v/>
      </c>
    </row>
    <row r="2585" spans="2:11">
      <c r="B2585" s="975" t="str">
        <f>tblControles[[#This Row],[Fecha]]&amp;"|"&amp;tblControles[[#This Row],[Módulo]]&amp;"|"&amp;tblControles[[#This Row],[Ítem]]&amp;"|"&amp;tblControles[[#This Row],[Turno]]</f>
        <v>46290|TONELADAS X TURNO|Molino barras 7|3° turno</v>
      </c>
      <c r="C2585" s="871">
        <v>46290</v>
      </c>
      <c r="D2585" s="1100" t="s">
        <v>9449</v>
      </c>
      <c r="E2585" s="1100" t="s">
        <v>393</v>
      </c>
      <c r="F2585" s="1100" t="s">
        <v>398</v>
      </c>
      <c r="G2585" s="1100">
        <v>1681</v>
      </c>
      <c r="H2585" s="1100" t="s">
        <v>10345</v>
      </c>
      <c r="I2585" s="871">
        <v>46296.133811898151</v>
      </c>
      <c r="J2585" s="1100" t="s">
        <v>10349</v>
      </c>
      <c r="K2585" s="975" t="str">
        <f>IF(COUNTIFS(tblControles[Clave],tblControles[[#This Row],[Clave]])&gt;1,"Duplicado","")</f>
        <v/>
      </c>
    </row>
    <row r="2586" spans="2:11">
      <c r="B2586" s="975" t="str">
        <f>tblControles[[#This Row],[Fecha]]&amp;"|"&amp;tblControles[[#This Row],[Módulo]]&amp;"|"&amp;tblControles[[#This Row],[Ítem]]&amp;"|"&amp;tblControles[[#This Row],[Turno]]</f>
        <v>46290|TONELADAS X TURNO|Molino barras 8|1° turno</v>
      </c>
      <c r="C2586" s="871">
        <v>46290</v>
      </c>
      <c r="D2586" s="1100" t="s">
        <v>9449</v>
      </c>
      <c r="E2586" s="1100" t="s">
        <v>394</v>
      </c>
      <c r="F2586" s="1100" t="s">
        <v>396</v>
      </c>
      <c r="G2586" s="1100">
        <v>1541</v>
      </c>
      <c r="H2586" s="1100" t="s">
        <v>10345</v>
      </c>
      <c r="I2586" s="871">
        <v>46296.133811898151</v>
      </c>
      <c r="J2586" s="1100" t="s">
        <v>10349</v>
      </c>
      <c r="K2586" s="975" t="str">
        <f>IF(COUNTIFS(tblControles[Clave],tblControles[[#This Row],[Clave]])&gt;1,"Duplicado","")</f>
        <v/>
      </c>
    </row>
    <row r="2587" spans="2:11">
      <c r="B2587" s="975" t="str">
        <f>tblControles[[#This Row],[Fecha]]&amp;"|"&amp;tblControles[[#This Row],[Módulo]]&amp;"|"&amp;tblControles[[#This Row],[Ítem]]&amp;"|"&amp;tblControles[[#This Row],[Turno]]</f>
        <v>46290|TONELADAS X TURNO|Molino barras 8|2° turno</v>
      </c>
      <c r="C2587" s="871">
        <v>46290</v>
      </c>
      <c r="D2587" s="1100" t="s">
        <v>9449</v>
      </c>
      <c r="E2587" s="1100" t="s">
        <v>394</v>
      </c>
      <c r="F2587" s="1100" t="s">
        <v>397</v>
      </c>
      <c r="G2587" s="1100">
        <v>1344</v>
      </c>
      <c r="H2587" s="1100" t="s">
        <v>10345</v>
      </c>
      <c r="I2587" s="871">
        <v>46296.133811898151</v>
      </c>
      <c r="J2587" s="1100" t="s">
        <v>10349</v>
      </c>
      <c r="K2587" s="975" t="str">
        <f>IF(COUNTIFS(tblControles[Clave],tblControles[[#This Row],[Clave]])&gt;1,"Duplicado","")</f>
        <v/>
      </c>
    </row>
    <row r="2588" spans="2:11">
      <c r="B2588" s="975" t="str">
        <f>tblControles[[#This Row],[Fecha]]&amp;"|"&amp;tblControles[[#This Row],[Módulo]]&amp;"|"&amp;tblControles[[#This Row],[Ítem]]&amp;"|"&amp;tblControles[[#This Row],[Turno]]</f>
        <v>46290|TONELADAS X TURNO|Molino barras 8|3° turno</v>
      </c>
      <c r="C2588" s="871">
        <v>46290</v>
      </c>
      <c r="D2588" s="1100" t="s">
        <v>9449</v>
      </c>
      <c r="E2588" s="1100" t="s">
        <v>394</v>
      </c>
      <c r="F2588" s="1100" t="s">
        <v>398</v>
      </c>
      <c r="G2588" s="1100">
        <v>1636</v>
      </c>
      <c r="H2588" s="1100" t="s">
        <v>10345</v>
      </c>
      <c r="I2588" s="871">
        <v>46296.133811898151</v>
      </c>
      <c r="J2588" s="1100" t="s">
        <v>10349</v>
      </c>
      <c r="K2588" s="975" t="str">
        <f>IF(COUNTIFS(tblControles[Clave],tblControles[[#This Row],[Clave]])&gt;1,"Duplicado","")</f>
        <v/>
      </c>
    </row>
    <row r="2589" spans="2:11">
      <c r="B2589" s="975" t="str">
        <f>tblControles[[#This Row],[Fecha]]&amp;"|"&amp;tblControles[[#This Row],[Módulo]]&amp;"|"&amp;tblControles[[#This Row],[Ítem]]&amp;"|"&amp;tblControles[[#This Row],[Turno]]</f>
        <v>46290|TONELADAS X TURNO|Molino barras 9|1° turno</v>
      </c>
      <c r="C2589" s="871">
        <v>46290</v>
      </c>
      <c r="D2589" s="1100" t="s">
        <v>9449</v>
      </c>
      <c r="E2589" s="1100" t="s">
        <v>395</v>
      </c>
      <c r="F2589" s="1100" t="s">
        <v>396</v>
      </c>
      <c r="G2589" s="1100">
        <v>1634</v>
      </c>
      <c r="H2589" s="1100" t="s">
        <v>10345</v>
      </c>
      <c r="I2589" s="871">
        <v>46296.133811898151</v>
      </c>
      <c r="J2589" s="1100" t="s">
        <v>10349</v>
      </c>
      <c r="K2589" s="975" t="str">
        <f>IF(COUNTIFS(tblControles[Clave],tblControles[[#This Row],[Clave]])&gt;1,"Duplicado","")</f>
        <v/>
      </c>
    </row>
    <row r="2590" spans="2:11">
      <c r="B2590" s="975" t="str">
        <f>tblControles[[#This Row],[Fecha]]&amp;"|"&amp;tblControles[[#This Row],[Módulo]]&amp;"|"&amp;tblControles[[#This Row],[Ítem]]&amp;"|"&amp;tblControles[[#This Row],[Turno]]</f>
        <v>46290|TONELADAS X TURNO|Molino barras 9|2° turno</v>
      </c>
      <c r="C2590" s="871">
        <v>46290</v>
      </c>
      <c r="D2590" s="1100" t="s">
        <v>9449</v>
      </c>
      <c r="E2590" s="1100" t="s">
        <v>395</v>
      </c>
      <c r="F2590" s="1100" t="s">
        <v>397</v>
      </c>
      <c r="G2590" s="1100">
        <v>1832</v>
      </c>
      <c r="H2590" s="1100" t="s">
        <v>10345</v>
      </c>
      <c r="I2590" s="871">
        <v>46296.133811898151</v>
      </c>
      <c r="J2590" s="1100" t="s">
        <v>10349</v>
      </c>
      <c r="K2590" s="975" t="str">
        <f>IF(COUNTIFS(tblControles[Clave],tblControles[[#This Row],[Clave]])&gt;1,"Duplicado","")</f>
        <v/>
      </c>
    </row>
    <row r="2591" spans="2:11">
      <c r="B2591" s="975" t="str">
        <f>tblControles[[#This Row],[Fecha]]&amp;"|"&amp;tblControles[[#This Row],[Módulo]]&amp;"|"&amp;tblControles[[#This Row],[Ítem]]&amp;"|"&amp;tblControles[[#This Row],[Turno]]</f>
        <v>46290|TONELADAS X TURNO|Molino barras 9|3° turno</v>
      </c>
      <c r="C2591" s="871">
        <v>46290</v>
      </c>
      <c r="D2591" s="1100" t="s">
        <v>9449</v>
      </c>
      <c r="E2591" s="1100" t="s">
        <v>395</v>
      </c>
      <c r="F2591" s="1100" t="s">
        <v>398</v>
      </c>
      <c r="G2591" s="1100">
        <v>1627</v>
      </c>
      <c r="H2591" s="1100" t="s">
        <v>10345</v>
      </c>
      <c r="I2591" s="871">
        <v>46296.133811898151</v>
      </c>
      <c r="J2591" s="1100" t="s">
        <v>10349</v>
      </c>
      <c r="K2591" s="975" t="str">
        <f>IF(COUNTIFS(tblControles[Clave],tblControles[[#This Row],[Clave]])&gt;1,"Duplicado","")</f>
        <v/>
      </c>
    </row>
    <row r="2592" spans="2:11">
      <c r="B2592" s="975" t="str">
        <f>tblControles[[#This Row],[Fecha]]&amp;"|"&amp;tblControles[[#This Row],[Módulo]]&amp;"|"&amp;tblControles[[#This Row],[Ítem]]&amp;"|"&amp;tblControles[[#This Row],[Turno]]</f>
        <v>46291|TONELADAS X TURNO|Molino barras 1|1° turno</v>
      </c>
      <c r="C2592" s="871">
        <v>46291</v>
      </c>
      <c r="D2592" s="1100" t="s">
        <v>9449</v>
      </c>
      <c r="E2592" s="1100" t="s">
        <v>387</v>
      </c>
      <c r="F2592" s="1100" t="s">
        <v>396</v>
      </c>
      <c r="G2592" s="1100">
        <v>1482</v>
      </c>
      <c r="H2592" s="1100" t="s">
        <v>10345</v>
      </c>
      <c r="I2592" s="871">
        <v>46296.133811898151</v>
      </c>
      <c r="J2592" s="1100" t="s">
        <v>10349</v>
      </c>
      <c r="K2592" s="975" t="str">
        <f>IF(COUNTIFS(tblControles[Clave],tblControles[[#This Row],[Clave]])&gt;1,"Duplicado","")</f>
        <v/>
      </c>
    </row>
    <row r="2593" spans="2:11">
      <c r="B2593" s="975" t="str">
        <f>tblControles[[#This Row],[Fecha]]&amp;"|"&amp;tblControles[[#This Row],[Módulo]]&amp;"|"&amp;tblControles[[#This Row],[Ítem]]&amp;"|"&amp;tblControles[[#This Row],[Turno]]</f>
        <v>46291|TONELADAS X TURNO|Molino barras 1|2° turno</v>
      </c>
      <c r="C2593" s="871">
        <v>46291</v>
      </c>
      <c r="D2593" s="1100" t="s">
        <v>9449</v>
      </c>
      <c r="E2593" s="1100" t="s">
        <v>387</v>
      </c>
      <c r="F2593" s="1100" t="s">
        <v>397</v>
      </c>
      <c r="G2593" s="1100">
        <v>1434</v>
      </c>
      <c r="H2593" s="1100" t="s">
        <v>10345</v>
      </c>
      <c r="I2593" s="871">
        <v>46296.133811898151</v>
      </c>
      <c r="J2593" s="1100" t="s">
        <v>10349</v>
      </c>
      <c r="K2593" s="975" t="str">
        <f>IF(COUNTIFS(tblControles[Clave],tblControles[[#This Row],[Clave]])&gt;1,"Duplicado","")</f>
        <v/>
      </c>
    </row>
    <row r="2594" spans="2:11">
      <c r="B2594" s="975" t="str">
        <f>tblControles[[#This Row],[Fecha]]&amp;"|"&amp;tblControles[[#This Row],[Módulo]]&amp;"|"&amp;tblControles[[#This Row],[Ítem]]&amp;"|"&amp;tblControles[[#This Row],[Turno]]</f>
        <v>46291|TONELADAS X TURNO|Molino barras 1|3° turno</v>
      </c>
      <c r="C2594" s="871">
        <v>46291</v>
      </c>
      <c r="D2594" s="1100" t="s">
        <v>9449</v>
      </c>
      <c r="E2594" s="1100" t="s">
        <v>387</v>
      </c>
      <c r="F2594" s="1100" t="s">
        <v>398</v>
      </c>
      <c r="G2594" s="1100">
        <v>1607</v>
      </c>
      <c r="H2594" s="1100" t="s">
        <v>10345</v>
      </c>
      <c r="I2594" s="871">
        <v>46296.133811898151</v>
      </c>
      <c r="J2594" s="1100" t="s">
        <v>10349</v>
      </c>
      <c r="K2594" s="975" t="str">
        <f>IF(COUNTIFS(tblControles[Clave],tblControles[[#This Row],[Clave]])&gt;1,"Duplicado","")</f>
        <v/>
      </c>
    </row>
    <row r="2595" spans="2:11">
      <c r="B2595" s="975" t="str">
        <f>tblControles[[#This Row],[Fecha]]&amp;"|"&amp;tblControles[[#This Row],[Módulo]]&amp;"|"&amp;tblControles[[#This Row],[Ítem]]&amp;"|"&amp;tblControles[[#This Row],[Turno]]</f>
        <v>46291|TONELADAS X TURNO|Molino barras 2|1° turno</v>
      </c>
      <c r="C2595" s="871">
        <v>46291</v>
      </c>
      <c r="D2595" s="1100" t="s">
        <v>9449</v>
      </c>
      <c r="E2595" s="1100" t="s">
        <v>388</v>
      </c>
      <c r="F2595" s="1100" t="s">
        <v>396</v>
      </c>
      <c r="G2595" s="1100">
        <v>1335</v>
      </c>
      <c r="H2595" s="1100" t="s">
        <v>10345</v>
      </c>
      <c r="I2595" s="871">
        <v>46296.133811898151</v>
      </c>
      <c r="J2595" s="1100" t="s">
        <v>10349</v>
      </c>
      <c r="K2595" s="975" t="str">
        <f>IF(COUNTIFS(tblControles[Clave],tblControles[[#This Row],[Clave]])&gt;1,"Duplicado","")</f>
        <v/>
      </c>
    </row>
    <row r="2596" spans="2:11">
      <c r="B2596" s="975" t="str">
        <f>tblControles[[#This Row],[Fecha]]&amp;"|"&amp;tblControles[[#This Row],[Módulo]]&amp;"|"&amp;tblControles[[#This Row],[Ítem]]&amp;"|"&amp;tblControles[[#This Row],[Turno]]</f>
        <v>46291|TONELADAS X TURNO|Molino barras 2|2° turno</v>
      </c>
      <c r="C2596" s="871">
        <v>46291</v>
      </c>
      <c r="D2596" s="1100" t="s">
        <v>9449</v>
      </c>
      <c r="E2596" s="1100" t="s">
        <v>388</v>
      </c>
      <c r="F2596" s="1100" t="s">
        <v>397</v>
      </c>
      <c r="G2596" s="1100">
        <v>516</v>
      </c>
      <c r="H2596" s="1100" t="s">
        <v>10345</v>
      </c>
      <c r="I2596" s="871">
        <v>46296.133811898151</v>
      </c>
      <c r="J2596" s="1100" t="s">
        <v>10349</v>
      </c>
      <c r="K2596" s="975" t="str">
        <f>IF(COUNTIFS(tblControles[Clave],tblControles[[#This Row],[Clave]])&gt;1,"Duplicado","")</f>
        <v/>
      </c>
    </row>
    <row r="2597" spans="2:11">
      <c r="B2597" s="975" t="str">
        <f>tblControles[[#This Row],[Fecha]]&amp;"|"&amp;tblControles[[#This Row],[Módulo]]&amp;"|"&amp;tblControles[[#This Row],[Ítem]]&amp;"|"&amp;tblControles[[#This Row],[Turno]]</f>
        <v>46291|TONELADAS X TURNO|Molino barras 2|3° turno</v>
      </c>
      <c r="C2597" s="871">
        <v>46291</v>
      </c>
      <c r="D2597" s="1100" t="s">
        <v>9449</v>
      </c>
      <c r="E2597" s="1100" t="s">
        <v>388</v>
      </c>
      <c r="F2597" s="1100" t="s">
        <v>398</v>
      </c>
      <c r="G2597" s="1100">
        <v>0</v>
      </c>
      <c r="H2597" s="1100" t="s">
        <v>10345</v>
      </c>
      <c r="I2597" s="871">
        <v>46296.133811898151</v>
      </c>
      <c r="J2597" s="1100" t="s">
        <v>10349</v>
      </c>
      <c r="K2597" s="975" t="str">
        <f>IF(COUNTIFS(tblControles[Clave],tblControles[[#This Row],[Clave]])&gt;1,"Duplicado","")</f>
        <v/>
      </c>
    </row>
    <row r="2598" spans="2:11">
      <c r="B2598" s="975" t="str">
        <f>tblControles[[#This Row],[Fecha]]&amp;"|"&amp;tblControles[[#This Row],[Módulo]]&amp;"|"&amp;tblControles[[#This Row],[Ítem]]&amp;"|"&amp;tblControles[[#This Row],[Turno]]</f>
        <v>46291|TONELADAS X TURNO|Molino barras 3|1° turno</v>
      </c>
      <c r="C2598" s="871">
        <v>46291</v>
      </c>
      <c r="D2598" s="1100" t="s">
        <v>9449</v>
      </c>
      <c r="E2598" s="1100" t="s">
        <v>389</v>
      </c>
      <c r="F2598" s="1100" t="s">
        <v>396</v>
      </c>
      <c r="G2598" s="1100">
        <v>1291</v>
      </c>
      <c r="H2598" s="1100" t="s">
        <v>10345</v>
      </c>
      <c r="I2598" s="871">
        <v>46296.133811898151</v>
      </c>
      <c r="J2598" s="1100" t="s">
        <v>10349</v>
      </c>
      <c r="K2598" s="975" t="str">
        <f>IF(COUNTIFS(tblControles[Clave],tblControles[[#This Row],[Clave]])&gt;1,"Duplicado","")</f>
        <v/>
      </c>
    </row>
    <row r="2599" spans="2:11">
      <c r="B2599" s="975" t="str">
        <f>tblControles[[#This Row],[Fecha]]&amp;"|"&amp;tblControles[[#This Row],[Módulo]]&amp;"|"&amp;tblControles[[#This Row],[Ítem]]&amp;"|"&amp;tblControles[[#This Row],[Turno]]</f>
        <v>46291|TONELADAS X TURNO|Molino barras 3|2° turno</v>
      </c>
      <c r="C2599" s="871">
        <v>46291</v>
      </c>
      <c r="D2599" s="1100" t="s">
        <v>9449</v>
      </c>
      <c r="E2599" s="1100" t="s">
        <v>389</v>
      </c>
      <c r="F2599" s="1100" t="s">
        <v>397</v>
      </c>
      <c r="G2599" s="1100">
        <v>1105</v>
      </c>
      <c r="H2599" s="1100" t="s">
        <v>10345</v>
      </c>
      <c r="I2599" s="871">
        <v>46296.133811898151</v>
      </c>
      <c r="J2599" s="1100" t="s">
        <v>10349</v>
      </c>
      <c r="K2599" s="975" t="str">
        <f>IF(COUNTIFS(tblControles[Clave],tblControles[[#This Row],[Clave]])&gt;1,"Duplicado","")</f>
        <v/>
      </c>
    </row>
    <row r="2600" spans="2:11">
      <c r="B2600" s="975" t="str">
        <f>tblControles[[#This Row],[Fecha]]&amp;"|"&amp;tblControles[[#This Row],[Módulo]]&amp;"|"&amp;tblControles[[#This Row],[Ítem]]&amp;"|"&amp;tblControles[[#This Row],[Turno]]</f>
        <v>46291|TONELADAS X TURNO|Molino barras 3|3° turno</v>
      </c>
      <c r="C2600" s="871">
        <v>46291</v>
      </c>
      <c r="D2600" s="1100" t="s">
        <v>9449</v>
      </c>
      <c r="E2600" s="1100" t="s">
        <v>389</v>
      </c>
      <c r="F2600" s="1100" t="s">
        <v>398</v>
      </c>
      <c r="G2600" s="1100">
        <v>1265</v>
      </c>
      <c r="H2600" s="1100" t="s">
        <v>10345</v>
      </c>
      <c r="I2600" s="871">
        <v>46296.133811898151</v>
      </c>
      <c r="J2600" s="1100" t="s">
        <v>10349</v>
      </c>
      <c r="K2600" s="975" t="str">
        <f>IF(COUNTIFS(tblControles[Clave],tblControles[[#This Row],[Clave]])&gt;1,"Duplicado","")</f>
        <v/>
      </c>
    </row>
    <row r="2601" spans="2:11">
      <c r="B2601" s="975" t="str">
        <f>tblControles[[#This Row],[Fecha]]&amp;"|"&amp;tblControles[[#This Row],[Módulo]]&amp;"|"&amp;tblControles[[#This Row],[Ítem]]&amp;"|"&amp;tblControles[[#This Row],[Turno]]</f>
        <v>46291|TONELADAS X TURNO|Molino barras 4|1° turno</v>
      </c>
      <c r="C2601" s="871">
        <v>46291</v>
      </c>
      <c r="D2601" s="1100" t="s">
        <v>9449</v>
      </c>
      <c r="E2601" s="1100" t="s">
        <v>390</v>
      </c>
      <c r="F2601" s="1100" t="s">
        <v>396</v>
      </c>
      <c r="G2601" s="1100">
        <v>0</v>
      </c>
      <c r="H2601" s="1100" t="s">
        <v>10345</v>
      </c>
      <c r="I2601" s="871">
        <v>46296.133811898151</v>
      </c>
      <c r="J2601" s="1100" t="s">
        <v>10349</v>
      </c>
      <c r="K2601" s="975" t="str">
        <f>IF(COUNTIFS(tblControles[Clave],tblControles[[#This Row],[Clave]])&gt;1,"Duplicado","")</f>
        <v/>
      </c>
    </row>
    <row r="2602" spans="2:11">
      <c r="B2602" s="975" t="str">
        <f>tblControles[[#This Row],[Fecha]]&amp;"|"&amp;tblControles[[#This Row],[Módulo]]&amp;"|"&amp;tblControles[[#This Row],[Ítem]]&amp;"|"&amp;tblControles[[#This Row],[Turno]]</f>
        <v>46291|TONELADAS X TURNO|Molino barras 4|2° turno</v>
      </c>
      <c r="C2602" s="871">
        <v>46291</v>
      </c>
      <c r="D2602" s="1100" t="s">
        <v>9449</v>
      </c>
      <c r="E2602" s="1100" t="s">
        <v>390</v>
      </c>
      <c r="F2602" s="1100" t="s">
        <v>397</v>
      </c>
      <c r="G2602" s="1100">
        <v>464</v>
      </c>
      <c r="H2602" s="1100" t="s">
        <v>10345</v>
      </c>
      <c r="I2602" s="871">
        <v>46296.133811898151</v>
      </c>
      <c r="J2602" s="1100" t="s">
        <v>10349</v>
      </c>
      <c r="K2602" s="975" t="str">
        <f>IF(COUNTIFS(tblControles[Clave],tblControles[[#This Row],[Clave]])&gt;1,"Duplicado","")</f>
        <v/>
      </c>
    </row>
    <row r="2603" spans="2:11">
      <c r="B2603" s="975" t="str">
        <f>tblControles[[#This Row],[Fecha]]&amp;"|"&amp;tblControles[[#This Row],[Módulo]]&amp;"|"&amp;tblControles[[#This Row],[Ítem]]&amp;"|"&amp;tblControles[[#This Row],[Turno]]</f>
        <v>46291|TONELADAS X TURNO|Molino barras 4|3° turno</v>
      </c>
      <c r="C2603" s="871">
        <v>46291</v>
      </c>
      <c r="D2603" s="1100" t="s">
        <v>9449</v>
      </c>
      <c r="E2603" s="1100" t="s">
        <v>390</v>
      </c>
      <c r="F2603" s="1100" t="s">
        <v>398</v>
      </c>
      <c r="G2603" s="1100">
        <v>1236</v>
      </c>
      <c r="H2603" s="1100" t="s">
        <v>10345</v>
      </c>
      <c r="I2603" s="871">
        <v>46296.133811898151</v>
      </c>
      <c r="J2603" s="1100" t="s">
        <v>10349</v>
      </c>
      <c r="K2603" s="975" t="str">
        <f>IF(COUNTIFS(tblControles[Clave],tblControles[[#This Row],[Clave]])&gt;1,"Duplicado","")</f>
        <v/>
      </c>
    </row>
    <row r="2604" spans="2:11">
      <c r="B2604" s="975" t="str">
        <f>tblControles[[#This Row],[Fecha]]&amp;"|"&amp;tblControles[[#This Row],[Módulo]]&amp;"|"&amp;tblControles[[#This Row],[Ítem]]&amp;"|"&amp;tblControles[[#This Row],[Turno]]</f>
        <v>46291|TONELADAS X TURNO|Molino barras 5|1° turno</v>
      </c>
      <c r="C2604" s="871">
        <v>46291</v>
      </c>
      <c r="D2604" s="1100" t="s">
        <v>9449</v>
      </c>
      <c r="E2604" s="1100" t="s">
        <v>391</v>
      </c>
      <c r="F2604" s="1100" t="s">
        <v>396</v>
      </c>
      <c r="G2604" s="1100">
        <v>1464</v>
      </c>
      <c r="H2604" s="1100" t="s">
        <v>10345</v>
      </c>
      <c r="I2604" s="871">
        <v>46296.133811898151</v>
      </c>
      <c r="J2604" s="1100" t="s">
        <v>10349</v>
      </c>
      <c r="K2604" s="975" t="str">
        <f>IF(COUNTIFS(tblControles[Clave],tblControles[[#This Row],[Clave]])&gt;1,"Duplicado","")</f>
        <v/>
      </c>
    </row>
    <row r="2605" spans="2:11">
      <c r="B2605" s="975" t="str">
        <f>tblControles[[#This Row],[Fecha]]&amp;"|"&amp;tblControles[[#This Row],[Módulo]]&amp;"|"&amp;tblControles[[#This Row],[Ítem]]&amp;"|"&amp;tblControles[[#This Row],[Turno]]</f>
        <v>46291|TONELADAS X TURNO|Molino barras 5|2° turno</v>
      </c>
      <c r="C2605" s="871">
        <v>46291</v>
      </c>
      <c r="D2605" s="1100" t="s">
        <v>9449</v>
      </c>
      <c r="E2605" s="1100" t="s">
        <v>391</v>
      </c>
      <c r="F2605" s="1100" t="s">
        <v>397</v>
      </c>
      <c r="G2605" s="1100">
        <v>1551</v>
      </c>
      <c r="H2605" s="1100" t="s">
        <v>10345</v>
      </c>
      <c r="I2605" s="871">
        <v>46296.133811898151</v>
      </c>
      <c r="J2605" s="1100" t="s">
        <v>10349</v>
      </c>
      <c r="K2605" s="975" t="str">
        <f>IF(COUNTIFS(tblControles[Clave],tblControles[[#This Row],[Clave]])&gt;1,"Duplicado","")</f>
        <v/>
      </c>
    </row>
    <row r="2606" spans="2:11">
      <c r="B2606" s="975" t="str">
        <f>tblControles[[#This Row],[Fecha]]&amp;"|"&amp;tblControles[[#This Row],[Módulo]]&amp;"|"&amp;tblControles[[#This Row],[Ítem]]&amp;"|"&amp;tblControles[[#This Row],[Turno]]</f>
        <v>46291|TONELADAS X TURNO|Molino barras 5|3° turno</v>
      </c>
      <c r="C2606" s="871">
        <v>46291</v>
      </c>
      <c r="D2606" s="1100" t="s">
        <v>9449</v>
      </c>
      <c r="E2606" s="1100" t="s">
        <v>391</v>
      </c>
      <c r="F2606" s="1100" t="s">
        <v>398</v>
      </c>
      <c r="G2606" s="1100">
        <v>1615</v>
      </c>
      <c r="H2606" s="1100" t="s">
        <v>10345</v>
      </c>
      <c r="I2606" s="871">
        <v>46296.133811898151</v>
      </c>
      <c r="J2606" s="1100" t="s">
        <v>10349</v>
      </c>
      <c r="K2606" s="975" t="str">
        <f>IF(COUNTIFS(tblControles[Clave],tblControles[[#This Row],[Clave]])&gt;1,"Duplicado","")</f>
        <v/>
      </c>
    </row>
    <row r="2607" spans="2:11">
      <c r="B2607" s="975" t="str">
        <f>tblControles[[#This Row],[Fecha]]&amp;"|"&amp;tblControles[[#This Row],[Módulo]]&amp;"|"&amp;tblControles[[#This Row],[Ítem]]&amp;"|"&amp;tblControles[[#This Row],[Turno]]</f>
        <v>46291|TONELADAS X TURNO|Molino barras 6|1° turno</v>
      </c>
      <c r="C2607" s="871">
        <v>46291</v>
      </c>
      <c r="D2607" s="1100" t="s">
        <v>9449</v>
      </c>
      <c r="E2607" s="1100" t="s">
        <v>392</v>
      </c>
      <c r="F2607" s="1100" t="s">
        <v>396</v>
      </c>
      <c r="G2607" s="1100">
        <v>1433</v>
      </c>
      <c r="H2607" s="1100" t="s">
        <v>10345</v>
      </c>
      <c r="I2607" s="871">
        <v>46296.133811898151</v>
      </c>
      <c r="J2607" s="1100" t="s">
        <v>10349</v>
      </c>
      <c r="K2607" s="975" t="str">
        <f>IF(COUNTIFS(tblControles[Clave],tblControles[[#This Row],[Clave]])&gt;1,"Duplicado","")</f>
        <v/>
      </c>
    </row>
    <row r="2608" spans="2:11">
      <c r="B2608" s="975" t="str">
        <f>tblControles[[#This Row],[Fecha]]&amp;"|"&amp;tblControles[[#This Row],[Módulo]]&amp;"|"&amp;tblControles[[#This Row],[Ítem]]&amp;"|"&amp;tblControles[[#This Row],[Turno]]</f>
        <v>46291|TONELADAS X TURNO|Molino barras 6|2° turno</v>
      </c>
      <c r="C2608" s="871">
        <v>46291</v>
      </c>
      <c r="D2608" s="1100" t="s">
        <v>9449</v>
      </c>
      <c r="E2608" s="1100" t="s">
        <v>392</v>
      </c>
      <c r="F2608" s="1100" t="s">
        <v>397</v>
      </c>
      <c r="G2608" s="1100">
        <v>1508</v>
      </c>
      <c r="H2608" s="1100" t="s">
        <v>10345</v>
      </c>
      <c r="I2608" s="871">
        <v>46296.133811898151</v>
      </c>
      <c r="J2608" s="1100" t="s">
        <v>10349</v>
      </c>
      <c r="K2608" s="975" t="str">
        <f>IF(COUNTIFS(tblControles[Clave],tblControles[[#This Row],[Clave]])&gt;1,"Duplicado","")</f>
        <v/>
      </c>
    </row>
    <row r="2609" spans="2:11">
      <c r="B2609" s="975" t="str">
        <f>tblControles[[#This Row],[Fecha]]&amp;"|"&amp;tblControles[[#This Row],[Módulo]]&amp;"|"&amp;tblControles[[#This Row],[Ítem]]&amp;"|"&amp;tblControles[[#This Row],[Turno]]</f>
        <v>46291|TONELADAS X TURNO|Molino barras 6|3° turno</v>
      </c>
      <c r="C2609" s="871">
        <v>46291</v>
      </c>
      <c r="D2609" s="1100" t="s">
        <v>9449</v>
      </c>
      <c r="E2609" s="1100" t="s">
        <v>392</v>
      </c>
      <c r="F2609" s="1100" t="s">
        <v>398</v>
      </c>
      <c r="G2609" s="1100">
        <v>1627</v>
      </c>
      <c r="H2609" s="1100" t="s">
        <v>10345</v>
      </c>
      <c r="I2609" s="871">
        <v>46296.133811898151</v>
      </c>
      <c r="J2609" s="1100" t="s">
        <v>10349</v>
      </c>
      <c r="K2609" s="975" t="str">
        <f>IF(COUNTIFS(tblControles[Clave],tblControles[[#This Row],[Clave]])&gt;1,"Duplicado","")</f>
        <v/>
      </c>
    </row>
    <row r="2610" spans="2:11">
      <c r="B2610" s="975" t="str">
        <f>tblControles[[#This Row],[Fecha]]&amp;"|"&amp;tblControles[[#This Row],[Módulo]]&amp;"|"&amp;tblControles[[#This Row],[Ítem]]&amp;"|"&amp;tblControles[[#This Row],[Turno]]</f>
        <v>46291|TONELADAS X TURNO|Molino barras 7|1° turno</v>
      </c>
      <c r="C2610" s="871">
        <v>46291</v>
      </c>
      <c r="D2610" s="1100" t="s">
        <v>9449</v>
      </c>
      <c r="E2610" s="1100" t="s">
        <v>393</v>
      </c>
      <c r="F2610" s="1100" t="s">
        <v>396</v>
      </c>
      <c r="G2610" s="1100">
        <v>1559</v>
      </c>
      <c r="H2610" s="1100" t="s">
        <v>10345</v>
      </c>
      <c r="I2610" s="871">
        <v>46296.133811898151</v>
      </c>
      <c r="J2610" s="1100" t="s">
        <v>10349</v>
      </c>
      <c r="K2610" s="975" t="str">
        <f>IF(COUNTIFS(tblControles[Clave],tblControles[[#This Row],[Clave]])&gt;1,"Duplicado","")</f>
        <v/>
      </c>
    </row>
    <row r="2611" spans="2:11">
      <c r="B2611" s="975" t="str">
        <f>tblControles[[#This Row],[Fecha]]&amp;"|"&amp;tblControles[[#This Row],[Módulo]]&amp;"|"&amp;tblControles[[#This Row],[Ítem]]&amp;"|"&amp;tblControles[[#This Row],[Turno]]</f>
        <v>46291|TONELADAS X TURNO|Molino barras 7|2° turno</v>
      </c>
      <c r="C2611" s="871">
        <v>46291</v>
      </c>
      <c r="D2611" s="1100" t="s">
        <v>9449</v>
      </c>
      <c r="E2611" s="1100" t="s">
        <v>393</v>
      </c>
      <c r="F2611" s="1100" t="s">
        <v>397</v>
      </c>
      <c r="G2611" s="1100">
        <v>1597</v>
      </c>
      <c r="H2611" s="1100" t="s">
        <v>10345</v>
      </c>
      <c r="I2611" s="871">
        <v>46296.133811898151</v>
      </c>
      <c r="J2611" s="1100" t="s">
        <v>10349</v>
      </c>
      <c r="K2611" s="975" t="str">
        <f>IF(COUNTIFS(tblControles[Clave],tblControles[[#This Row],[Clave]])&gt;1,"Duplicado","")</f>
        <v/>
      </c>
    </row>
    <row r="2612" spans="2:11">
      <c r="B2612" s="975" t="str">
        <f>tblControles[[#This Row],[Fecha]]&amp;"|"&amp;tblControles[[#This Row],[Módulo]]&amp;"|"&amp;tblControles[[#This Row],[Ítem]]&amp;"|"&amp;tblControles[[#This Row],[Turno]]</f>
        <v>46291|TONELADAS X TURNO|Molino barras 7|3° turno</v>
      </c>
      <c r="C2612" s="871">
        <v>46291</v>
      </c>
      <c r="D2612" s="1100" t="s">
        <v>9449</v>
      </c>
      <c r="E2612" s="1100" t="s">
        <v>393</v>
      </c>
      <c r="F2612" s="1100" t="s">
        <v>398</v>
      </c>
      <c r="G2612" s="1100">
        <v>1711</v>
      </c>
      <c r="H2612" s="1100" t="s">
        <v>10345</v>
      </c>
      <c r="I2612" s="871">
        <v>46296.133811898151</v>
      </c>
      <c r="J2612" s="1100" t="s">
        <v>10349</v>
      </c>
      <c r="K2612" s="975" t="str">
        <f>IF(COUNTIFS(tblControles[Clave],tblControles[[#This Row],[Clave]])&gt;1,"Duplicado","")</f>
        <v/>
      </c>
    </row>
    <row r="2613" spans="2:11">
      <c r="B2613" s="975" t="str">
        <f>tblControles[[#This Row],[Fecha]]&amp;"|"&amp;tblControles[[#This Row],[Módulo]]&amp;"|"&amp;tblControles[[#This Row],[Ítem]]&amp;"|"&amp;tblControles[[#This Row],[Turno]]</f>
        <v>46291|TONELADAS X TURNO|Molino barras 8|1° turno</v>
      </c>
      <c r="C2613" s="871">
        <v>46291</v>
      </c>
      <c r="D2613" s="1100" t="s">
        <v>9449</v>
      </c>
      <c r="E2613" s="1100" t="s">
        <v>394</v>
      </c>
      <c r="F2613" s="1100" t="s">
        <v>396</v>
      </c>
      <c r="G2613" s="1100">
        <v>1461</v>
      </c>
      <c r="H2613" s="1100" t="s">
        <v>10345</v>
      </c>
      <c r="I2613" s="871">
        <v>46296.133811898151</v>
      </c>
      <c r="J2613" s="1100" t="s">
        <v>10349</v>
      </c>
      <c r="K2613" s="975" t="str">
        <f>IF(COUNTIFS(tblControles[Clave],tblControles[[#This Row],[Clave]])&gt;1,"Duplicado","")</f>
        <v/>
      </c>
    </row>
    <row r="2614" spans="2:11">
      <c r="B2614" s="975" t="str">
        <f>tblControles[[#This Row],[Fecha]]&amp;"|"&amp;tblControles[[#This Row],[Módulo]]&amp;"|"&amp;tblControles[[#This Row],[Ítem]]&amp;"|"&amp;tblControles[[#This Row],[Turno]]</f>
        <v>46291|TONELADAS X TURNO|Molino barras 8|2° turno</v>
      </c>
      <c r="C2614" s="871">
        <v>46291</v>
      </c>
      <c r="D2614" s="1100" t="s">
        <v>9449</v>
      </c>
      <c r="E2614" s="1100" t="s">
        <v>394</v>
      </c>
      <c r="F2614" s="1100" t="s">
        <v>397</v>
      </c>
      <c r="G2614" s="1100">
        <v>1583</v>
      </c>
      <c r="H2614" s="1100" t="s">
        <v>10345</v>
      </c>
      <c r="I2614" s="871">
        <v>46296.133811898151</v>
      </c>
      <c r="J2614" s="1100" t="s">
        <v>10349</v>
      </c>
      <c r="K2614" s="975" t="str">
        <f>IF(COUNTIFS(tblControles[Clave],tblControles[[#This Row],[Clave]])&gt;1,"Duplicado","")</f>
        <v/>
      </c>
    </row>
    <row r="2615" spans="2:11">
      <c r="B2615" s="975" t="str">
        <f>tblControles[[#This Row],[Fecha]]&amp;"|"&amp;tblControles[[#This Row],[Módulo]]&amp;"|"&amp;tblControles[[#This Row],[Ítem]]&amp;"|"&amp;tblControles[[#This Row],[Turno]]</f>
        <v>46291|TONELADAS X TURNO|Molino barras 8|3° turno</v>
      </c>
      <c r="C2615" s="871">
        <v>46291</v>
      </c>
      <c r="D2615" s="1100" t="s">
        <v>9449</v>
      </c>
      <c r="E2615" s="1100" t="s">
        <v>394</v>
      </c>
      <c r="F2615" s="1100" t="s">
        <v>398</v>
      </c>
      <c r="G2615" s="1100">
        <v>1712</v>
      </c>
      <c r="H2615" s="1100" t="s">
        <v>10345</v>
      </c>
      <c r="I2615" s="871">
        <v>46296.133811898151</v>
      </c>
      <c r="J2615" s="1100" t="s">
        <v>10349</v>
      </c>
      <c r="K2615" s="975" t="str">
        <f>IF(COUNTIFS(tblControles[Clave],tblControles[[#This Row],[Clave]])&gt;1,"Duplicado","")</f>
        <v/>
      </c>
    </row>
    <row r="2616" spans="2:11">
      <c r="B2616" s="975" t="str">
        <f>tblControles[[#This Row],[Fecha]]&amp;"|"&amp;tblControles[[#This Row],[Módulo]]&amp;"|"&amp;tblControles[[#This Row],[Ítem]]&amp;"|"&amp;tblControles[[#This Row],[Turno]]</f>
        <v>46291|TONELADAS X TURNO|Molino barras 9|1° turno</v>
      </c>
      <c r="C2616" s="871">
        <v>46291</v>
      </c>
      <c r="D2616" s="1100" t="s">
        <v>9449</v>
      </c>
      <c r="E2616" s="1100" t="s">
        <v>395</v>
      </c>
      <c r="F2616" s="1100" t="s">
        <v>396</v>
      </c>
      <c r="G2616" s="1100">
        <v>0</v>
      </c>
      <c r="H2616" s="1100" t="s">
        <v>10345</v>
      </c>
      <c r="I2616" s="871">
        <v>46296.133811898151</v>
      </c>
      <c r="J2616" s="1100" t="s">
        <v>10349</v>
      </c>
      <c r="K2616" s="975" t="str">
        <f>IF(COUNTIFS(tblControles[Clave],tblControles[[#This Row],[Clave]])&gt;1,"Duplicado","")</f>
        <v/>
      </c>
    </row>
    <row r="2617" spans="2:11">
      <c r="B2617" s="975" t="str">
        <f>tblControles[[#This Row],[Fecha]]&amp;"|"&amp;tblControles[[#This Row],[Módulo]]&amp;"|"&amp;tblControles[[#This Row],[Ítem]]&amp;"|"&amp;tblControles[[#This Row],[Turno]]</f>
        <v>46291|TONELADAS X TURNO|Molino barras 9|2° turno</v>
      </c>
      <c r="C2617" s="871">
        <v>46291</v>
      </c>
      <c r="D2617" s="1100" t="s">
        <v>9449</v>
      </c>
      <c r="E2617" s="1100" t="s">
        <v>395</v>
      </c>
      <c r="F2617" s="1100" t="s">
        <v>397</v>
      </c>
      <c r="G2617" s="1100">
        <v>0</v>
      </c>
      <c r="H2617" s="1100" t="s">
        <v>10345</v>
      </c>
      <c r="I2617" s="871">
        <v>46296.133811898151</v>
      </c>
      <c r="J2617" s="1100" t="s">
        <v>10349</v>
      </c>
      <c r="K2617" s="975" t="str">
        <f>IF(COUNTIFS(tblControles[Clave],tblControles[[#This Row],[Clave]])&gt;1,"Duplicado","")</f>
        <v/>
      </c>
    </row>
    <row r="2618" spans="2:11">
      <c r="B2618" s="975" t="str">
        <f>tblControles[[#This Row],[Fecha]]&amp;"|"&amp;tblControles[[#This Row],[Módulo]]&amp;"|"&amp;tblControles[[#This Row],[Ítem]]&amp;"|"&amp;tblControles[[#This Row],[Turno]]</f>
        <v>46291|TONELADAS X TURNO|Molino barras 9|3° turno</v>
      </c>
      <c r="C2618" s="871">
        <v>46291</v>
      </c>
      <c r="D2618" s="1100" t="s">
        <v>9449</v>
      </c>
      <c r="E2618" s="1100" t="s">
        <v>395</v>
      </c>
      <c r="F2618" s="1100" t="s">
        <v>398</v>
      </c>
      <c r="G2618" s="1100">
        <v>1384</v>
      </c>
      <c r="H2618" s="1100" t="s">
        <v>10345</v>
      </c>
      <c r="I2618" s="871">
        <v>46296.133811898151</v>
      </c>
      <c r="J2618" s="1100" t="s">
        <v>10349</v>
      </c>
      <c r="K2618" s="975" t="str">
        <f>IF(COUNTIFS(tblControles[Clave],tblControles[[#This Row],[Clave]])&gt;1,"Duplicado","")</f>
        <v/>
      </c>
    </row>
    <row r="2619" spans="2:11">
      <c r="B2619" s="975" t="str">
        <f>tblControles[[#This Row],[Fecha]]&amp;"|"&amp;tblControles[[#This Row],[Módulo]]&amp;"|"&amp;tblControles[[#This Row],[Ítem]]&amp;"|"&amp;tblControles[[#This Row],[Turno]]</f>
        <v>46292|TONELADAS X TURNO|Molino barras 1|1° turno</v>
      </c>
      <c r="C2619" s="871">
        <v>46292</v>
      </c>
      <c r="D2619" s="1100" t="s">
        <v>9449</v>
      </c>
      <c r="E2619" s="1100" t="s">
        <v>387</v>
      </c>
      <c r="F2619" s="1100" t="s">
        <v>396</v>
      </c>
      <c r="G2619" s="1100">
        <v>1426</v>
      </c>
      <c r="H2619" s="1100" t="s">
        <v>10345</v>
      </c>
      <c r="I2619" s="871">
        <v>46296.133811898151</v>
      </c>
      <c r="J2619" s="1100" t="s">
        <v>10349</v>
      </c>
      <c r="K2619" s="975" t="str">
        <f>IF(COUNTIFS(tblControles[Clave],tblControles[[#This Row],[Clave]])&gt;1,"Duplicado","")</f>
        <v/>
      </c>
    </row>
    <row r="2620" spans="2:11">
      <c r="B2620" s="975" t="str">
        <f>tblControles[[#This Row],[Fecha]]&amp;"|"&amp;tblControles[[#This Row],[Módulo]]&amp;"|"&amp;tblControles[[#This Row],[Ítem]]&amp;"|"&amp;tblControles[[#This Row],[Turno]]</f>
        <v>46292|TONELADAS X TURNO|Molino barras 1|2° turno</v>
      </c>
      <c r="C2620" s="871">
        <v>46292</v>
      </c>
      <c r="D2620" s="1100" t="s">
        <v>9449</v>
      </c>
      <c r="E2620" s="1100" t="s">
        <v>387</v>
      </c>
      <c r="F2620" s="1100" t="s">
        <v>397</v>
      </c>
      <c r="G2620" s="1100">
        <v>1590</v>
      </c>
      <c r="H2620" s="1100" t="s">
        <v>10345</v>
      </c>
      <c r="I2620" s="871">
        <v>46296.133811898151</v>
      </c>
      <c r="J2620" s="1100" t="s">
        <v>10349</v>
      </c>
      <c r="K2620" s="975" t="str">
        <f>IF(COUNTIFS(tblControles[Clave],tblControles[[#This Row],[Clave]])&gt;1,"Duplicado","")</f>
        <v/>
      </c>
    </row>
    <row r="2621" spans="2:11">
      <c r="B2621" s="975" t="str">
        <f>tblControles[[#This Row],[Fecha]]&amp;"|"&amp;tblControles[[#This Row],[Módulo]]&amp;"|"&amp;tblControles[[#This Row],[Ítem]]&amp;"|"&amp;tblControles[[#This Row],[Turno]]</f>
        <v>46292|TONELADAS X TURNO|Molino barras 1|3° turno</v>
      </c>
      <c r="C2621" s="871">
        <v>46292</v>
      </c>
      <c r="D2621" s="1100" t="s">
        <v>9449</v>
      </c>
      <c r="E2621" s="1100" t="s">
        <v>387</v>
      </c>
      <c r="F2621" s="1100" t="s">
        <v>398</v>
      </c>
      <c r="G2621" s="1100">
        <v>1573</v>
      </c>
      <c r="H2621" s="1100" t="s">
        <v>10345</v>
      </c>
      <c r="I2621" s="871">
        <v>46296.133811898151</v>
      </c>
      <c r="J2621" s="1100" t="s">
        <v>10349</v>
      </c>
      <c r="K2621" s="975" t="str">
        <f>IF(COUNTIFS(tblControles[Clave],tblControles[[#This Row],[Clave]])&gt;1,"Duplicado","")</f>
        <v/>
      </c>
    </row>
    <row r="2622" spans="2:11">
      <c r="B2622" s="975" t="str">
        <f>tblControles[[#This Row],[Fecha]]&amp;"|"&amp;tblControles[[#This Row],[Módulo]]&amp;"|"&amp;tblControles[[#This Row],[Ítem]]&amp;"|"&amp;tblControles[[#This Row],[Turno]]</f>
        <v>46292|TONELADAS X TURNO|Molino barras 2|1° turno</v>
      </c>
      <c r="C2622" s="871">
        <v>46292</v>
      </c>
      <c r="D2622" s="1100" t="s">
        <v>9449</v>
      </c>
      <c r="E2622" s="1100" t="s">
        <v>388</v>
      </c>
      <c r="F2622" s="1100" t="s">
        <v>396</v>
      </c>
      <c r="G2622" s="1100">
        <v>0</v>
      </c>
      <c r="H2622" s="1100" t="s">
        <v>10345</v>
      </c>
      <c r="I2622" s="871">
        <v>46296.133811898151</v>
      </c>
      <c r="J2622" s="1100" t="s">
        <v>10349</v>
      </c>
      <c r="K2622" s="975" t="str">
        <f>IF(COUNTIFS(tblControles[Clave],tblControles[[#This Row],[Clave]])&gt;1,"Duplicado","")</f>
        <v/>
      </c>
    </row>
    <row r="2623" spans="2:11">
      <c r="B2623" s="975" t="str">
        <f>tblControles[[#This Row],[Fecha]]&amp;"|"&amp;tblControles[[#This Row],[Módulo]]&amp;"|"&amp;tblControles[[#This Row],[Ítem]]&amp;"|"&amp;tblControles[[#This Row],[Turno]]</f>
        <v>46292|TONELADAS X TURNO|Molino barras 2|2° turno</v>
      </c>
      <c r="C2623" s="871">
        <v>46292</v>
      </c>
      <c r="D2623" s="1100" t="s">
        <v>9449</v>
      </c>
      <c r="E2623" s="1100" t="s">
        <v>388</v>
      </c>
      <c r="F2623" s="1100" t="s">
        <v>397</v>
      </c>
      <c r="G2623" s="1100">
        <v>0</v>
      </c>
      <c r="H2623" s="1100" t="s">
        <v>10345</v>
      </c>
      <c r="I2623" s="871">
        <v>46296.133811898151</v>
      </c>
      <c r="J2623" s="1100" t="s">
        <v>10349</v>
      </c>
      <c r="K2623" s="975" t="str">
        <f>IF(COUNTIFS(tblControles[Clave],tblControles[[#This Row],[Clave]])&gt;1,"Duplicado","")</f>
        <v/>
      </c>
    </row>
    <row r="2624" spans="2:11">
      <c r="B2624" s="975" t="str">
        <f>tblControles[[#This Row],[Fecha]]&amp;"|"&amp;tblControles[[#This Row],[Módulo]]&amp;"|"&amp;tblControles[[#This Row],[Ítem]]&amp;"|"&amp;tblControles[[#This Row],[Turno]]</f>
        <v>46292|TONELADAS X TURNO|Molino barras 2|3° turno</v>
      </c>
      <c r="C2624" s="871">
        <v>46292</v>
      </c>
      <c r="D2624" s="1100" t="s">
        <v>9449</v>
      </c>
      <c r="E2624" s="1100" t="s">
        <v>388</v>
      </c>
      <c r="F2624" s="1100" t="s">
        <v>398</v>
      </c>
      <c r="G2624" s="1100">
        <v>809</v>
      </c>
      <c r="H2624" s="1100" t="s">
        <v>10345</v>
      </c>
      <c r="I2624" s="871">
        <v>46296.133811898151</v>
      </c>
      <c r="J2624" s="1100" t="s">
        <v>10349</v>
      </c>
      <c r="K2624" s="975" t="str">
        <f>IF(COUNTIFS(tblControles[Clave],tblControles[[#This Row],[Clave]])&gt;1,"Duplicado","")</f>
        <v/>
      </c>
    </row>
    <row r="2625" spans="2:11">
      <c r="B2625" s="975" t="str">
        <f>tblControles[[#This Row],[Fecha]]&amp;"|"&amp;tblControles[[#This Row],[Módulo]]&amp;"|"&amp;tblControles[[#This Row],[Ítem]]&amp;"|"&amp;tblControles[[#This Row],[Turno]]</f>
        <v>46292|TONELADAS X TURNO|Molino barras 3|1° turno</v>
      </c>
      <c r="C2625" s="871">
        <v>46292</v>
      </c>
      <c r="D2625" s="1100" t="s">
        <v>9449</v>
      </c>
      <c r="E2625" s="1100" t="s">
        <v>389</v>
      </c>
      <c r="F2625" s="1100" t="s">
        <v>396</v>
      </c>
      <c r="G2625" s="1100">
        <v>1230</v>
      </c>
      <c r="H2625" s="1100" t="s">
        <v>10345</v>
      </c>
      <c r="I2625" s="871">
        <v>46296.133811898151</v>
      </c>
      <c r="J2625" s="1100" t="s">
        <v>10349</v>
      </c>
      <c r="K2625" s="975" t="str">
        <f>IF(COUNTIFS(tblControles[Clave],tblControles[[#This Row],[Clave]])&gt;1,"Duplicado","")</f>
        <v/>
      </c>
    </row>
    <row r="2626" spans="2:11">
      <c r="B2626" s="975" t="str">
        <f>tblControles[[#This Row],[Fecha]]&amp;"|"&amp;tblControles[[#This Row],[Módulo]]&amp;"|"&amp;tblControles[[#This Row],[Ítem]]&amp;"|"&amp;tblControles[[#This Row],[Turno]]</f>
        <v>46292|TONELADAS X TURNO|Molino barras 3|2° turno</v>
      </c>
      <c r="C2626" s="871">
        <v>46292</v>
      </c>
      <c r="D2626" s="1100" t="s">
        <v>9449</v>
      </c>
      <c r="E2626" s="1100" t="s">
        <v>389</v>
      </c>
      <c r="F2626" s="1100" t="s">
        <v>397</v>
      </c>
      <c r="G2626" s="1100">
        <v>1272</v>
      </c>
      <c r="H2626" s="1100" t="s">
        <v>10345</v>
      </c>
      <c r="I2626" s="871">
        <v>46296.133811898151</v>
      </c>
      <c r="J2626" s="1100" t="s">
        <v>10349</v>
      </c>
      <c r="K2626" s="975" t="str">
        <f>IF(COUNTIFS(tblControles[Clave],tblControles[[#This Row],[Clave]])&gt;1,"Duplicado","")</f>
        <v/>
      </c>
    </row>
    <row r="2627" spans="2:11">
      <c r="B2627" s="975" t="str">
        <f>tblControles[[#This Row],[Fecha]]&amp;"|"&amp;tblControles[[#This Row],[Módulo]]&amp;"|"&amp;tblControles[[#This Row],[Ítem]]&amp;"|"&amp;tblControles[[#This Row],[Turno]]</f>
        <v>46292|TONELADAS X TURNO|Molino barras 3|3° turno</v>
      </c>
      <c r="C2627" s="871">
        <v>46292</v>
      </c>
      <c r="D2627" s="1100" t="s">
        <v>9449</v>
      </c>
      <c r="E2627" s="1100" t="s">
        <v>389</v>
      </c>
      <c r="F2627" s="1100" t="s">
        <v>398</v>
      </c>
      <c r="G2627" s="1100">
        <v>1518</v>
      </c>
      <c r="H2627" s="1100" t="s">
        <v>10345</v>
      </c>
      <c r="I2627" s="871">
        <v>46296.133811898151</v>
      </c>
      <c r="J2627" s="1100" t="s">
        <v>10349</v>
      </c>
      <c r="K2627" s="975" t="str">
        <f>IF(COUNTIFS(tblControles[Clave],tblControles[[#This Row],[Clave]])&gt;1,"Duplicado","")</f>
        <v/>
      </c>
    </row>
    <row r="2628" spans="2:11">
      <c r="B2628" s="975" t="str">
        <f>tblControles[[#This Row],[Fecha]]&amp;"|"&amp;tblControles[[#This Row],[Módulo]]&amp;"|"&amp;tblControles[[#This Row],[Ítem]]&amp;"|"&amp;tblControles[[#This Row],[Turno]]</f>
        <v>46292|TONELADAS X TURNO|Molino barras 4|1° turno</v>
      </c>
      <c r="C2628" s="871">
        <v>46292</v>
      </c>
      <c r="D2628" s="1100" t="s">
        <v>9449</v>
      </c>
      <c r="E2628" s="1100" t="s">
        <v>390</v>
      </c>
      <c r="F2628" s="1100" t="s">
        <v>396</v>
      </c>
      <c r="G2628" s="1100">
        <v>1202</v>
      </c>
      <c r="H2628" s="1100" t="s">
        <v>10345</v>
      </c>
      <c r="I2628" s="871">
        <v>46296.133811898151</v>
      </c>
      <c r="J2628" s="1100" t="s">
        <v>10349</v>
      </c>
      <c r="K2628" s="975" t="str">
        <f>IF(COUNTIFS(tblControles[Clave],tblControles[[#This Row],[Clave]])&gt;1,"Duplicado","")</f>
        <v/>
      </c>
    </row>
    <row r="2629" spans="2:11">
      <c r="B2629" s="975" t="str">
        <f>tblControles[[#This Row],[Fecha]]&amp;"|"&amp;tblControles[[#This Row],[Módulo]]&amp;"|"&amp;tblControles[[#This Row],[Ítem]]&amp;"|"&amp;tblControles[[#This Row],[Turno]]</f>
        <v>46292|TONELADAS X TURNO|Molino barras 4|2° turno</v>
      </c>
      <c r="C2629" s="871">
        <v>46292</v>
      </c>
      <c r="D2629" s="1100" t="s">
        <v>9449</v>
      </c>
      <c r="E2629" s="1100" t="s">
        <v>390</v>
      </c>
      <c r="F2629" s="1100" t="s">
        <v>397</v>
      </c>
      <c r="G2629" s="1100">
        <v>1156</v>
      </c>
      <c r="H2629" s="1100" t="s">
        <v>10345</v>
      </c>
      <c r="I2629" s="871">
        <v>46296.133811898151</v>
      </c>
      <c r="J2629" s="1100" t="s">
        <v>10349</v>
      </c>
      <c r="K2629" s="975" t="str">
        <f>IF(COUNTIFS(tblControles[Clave],tblControles[[#This Row],[Clave]])&gt;1,"Duplicado","")</f>
        <v/>
      </c>
    </row>
    <row r="2630" spans="2:11">
      <c r="B2630" s="975" t="str">
        <f>tblControles[[#This Row],[Fecha]]&amp;"|"&amp;tblControles[[#This Row],[Módulo]]&amp;"|"&amp;tblControles[[#This Row],[Ítem]]&amp;"|"&amp;tblControles[[#This Row],[Turno]]</f>
        <v>46292|TONELADAS X TURNO|Molino barras 4|3° turno</v>
      </c>
      <c r="C2630" s="871">
        <v>46292</v>
      </c>
      <c r="D2630" s="1100" t="s">
        <v>9449</v>
      </c>
      <c r="E2630" s="1100" t="s">
        <v>390</v>
      </c>
      <c r="F2630" s="1100" t="s">
        <v>398</v>
      </c>
      <c r="G2630" s="1100">
        <v>417</v>
      </c>
      <c r="H2630" s="1100" t="s">
        <v>10345</v>
      </c>
      <c r="I2630" s="871">
        <v>46296.133811898151</v>
      </c>
      <c r="J2630" s="1100" t="s">
        <v>10349</v>
      </c>
      <c r="K2630" s="975" t="str">
        <f>IF(COUNTIFS(tblControles[Clave],tblControles[[#This Row],[Clave]])&gt;1,"Duplicado","")</f>
        <v/>
      </c>
    </row>
    <row r="2631" spans="2:11">
      <c r="B2631" s="975" t="str">
        <f>tblControles[[#This Row],[Fecha]]&amp;"|"&amp;tblControles[[#This Row],[Módulo]]&amp;"|"&amp;tblControles[[#This Row],[Ítem]]&amp;"|"&amp;tblControles[[#This Row],[Turno]]</f>
        <v>46292|TONELADAS X TURNO|Molino barras 5|1° turno</v>
      </c>
      <c r="C2631" s="871">
        <v>46292</v>
      </c>
      <c r="D2631" s="1100" t="s">
        <v>9449</v>
      </c>
      <c r="E2631" s="1100" t="s">
        <v>391</v>
      </c>
      <c r="F2631" s="1100" t="s">
        <v>396</v>
      </c>
      <c r="G2631" s="1100">
        <v>1554</v>
      </c>
      <c r="H2631" s="1100" t="s">
        <v>10345</v>
      </c>
      <c r="I2631" s="871">
        <v>46296.133811898151</v>
      </c>
      <c r="J2631" s="1100" t="s">
        <v>10349</v>
      </c>
      <c r="K2631" s="975" t="str">
        <f>IF(COUNTIFS(tblControles[Clave],tblControles[[#This Row],[Clave]])&gt;1,"Duplicado","")</f>
        <v/>
      </c>
    </row>
    <row r="2632" spans="2:11">
      <c r="B2632" s="975" t="str">
        <f>tblControles[[#This Row],[Fecha]]&amp;"|"&amp;tblControles[[#This Row],[Módulo]]&amp;"|"&amp;tblControles[[#This Row],[Ítem]]&amp;"|"&amp;tblControles[[#This Row],[Turno]]</f>
        <v>46292|TONELADAS X TURNO|Molino barras 5|2° turno</v>
      </c>
      <c r="C2632" s="871">
        <v>46292</v>
      </c>
      <c r="D2632" s="1100" t="s">
        <v>9449</v>
      </c>
      <c r="E2632" s="1100" t="s">
        <v>391</v>
      </c>
      <c r="F2632" s="1100" t="s">
        <v>397</v>
      </c>
      <c r="G2632" s="1100">
        <v>1367</v>
      </c>
      <c r="H2632" s="1100" t="s">
        <v>10345</v>
      </c>
      <c r="I2632" s="871">
        <v>46296.133811898151</v>
      </c>
      <c r="J2632" s="1100" t="s">
        <v>10349</v>
      </c>
      <c r="K2632" s="975" t="str">
        <f>IF(COUNTIFS(tblControles[Clave],tblControles[[#This Row],[Clave]])&gt;1,"Duplicado","")</f>
        <v/>
      </c>
    </row>
    <row r="2633" spans="2:11">
      <c r="B2633" s="975" t="str">
        <f>tblControles[[#This Row],[Fecha]]&amp;"|"&amp;tblControles[[#This Row],[Módulo]]&amp;"|"&amp;tblControles[[#This Row],[Ítem]]&amp;"|"&amp;tblControles[[#This Row],[Turno]]</f>
        <v>46292|TONELADAS X TURNO|Molino barras 5|3° turno</v>
      </c>
      <c r="C2633" s="871">
        <v>46292</v>
      </c>
      <c r="D2633" s="1100" t="s">
        <v>9449</v>
      </c>
      <c r="E2633" s="1100" t="s">
        <v>391</v>
      </c>
      <c r="F2633" s="1100" t="s">
        <v>398</v>
      </c>
      <c r="G2633" s="1100">
        <v>1589</v>
      </c>
      <c r="H2633" s="1100" t="s">
        <v>10345</v>
      </c>
      <c r="I2633" s="871">
        <v>46296.133811898151</v>
      </c>
      <c r="J2633" s="1100" t="s">
        <v>10349</v>
      </c>
      <c r="K2633" s="975" t="str">
        <f>IF(COUNTIFS(tblControles[Clave],tblControles[[#This Row],[Clave]])&gt;1,"Duplicado","")</f>
        <v/>
      </c>
    </row>
    <row r="2634" spans="2:11">
      <c r="B2634" s="975" t="str">
        <f>tblControles[[#This Row],[Fecha]]&amp;"|"&amp;tblControles[[#This Row],[Módulo]]&amp;"|"&amp;tblControles[[#This Row],[Ítem]]&amp;"|"&amp;tblControles[[#This Row],[Turno]]</f>
        <v>46292|TONELADAS X TURNO|Molino barras 6|1° turno</v>
      </c>
      <c r="C2634" s="871">
        <v>46292</v>
      </c>
      <c r="D2634" s="1100" t="s">
        <v>9449</v>
      </c>
      <c r="E2634" s="1100" t="s">
        <v>392</v>
      </c>
      <c r="F2634" s="1100" t="s">
        <v>396</v>
      </c>
      <c r="G2634" s="1100">
        <v>1641</v>
      </c>
      <c r="H2634" s="1100" t="s">
        <v>10345</v>
      </c>
      <c r="I2634" s="871">
        <v>46296.133811898151</v>
      </c>
      <c r="J2634" s="1100" t="s">
        <v>10349</v>
      </c>
      <c r="K2634" s="975" t="str">
        <f>IF(COUNTIFS(tblControles[Clave],tblControles[[#This Row],[Clave]])&gt;1,"Duplicado","")</f>
        <v/>
      </c>
    </row>
    <row r="2635" spans="2:11">
      <c r="B2635" s="975" t="str">
        <f>tblControles[[#This Row],[Fecha]]&amp;"|"&amp;tblControles[[#This Row],[Módulo]]&amp;"|"&amp;tblControles[[#This Row],[Ítem]]&amp;"|"&amp;tblControles[[#This Row],[Turno]]</f>
        <v>46292|TONELADAS X TURNO|Molino barras 6|2° turno</v>
      </c>
      <c r="C2635" s="871">
        <v>46292</v>
      </c>
      <c r="D2635" s="1100" t="s">
        <v>9449</v>
      </c>
      <c r="E2635" s="1100" t="s">
        <v>392</v>
      </c>
      <c r="F2635" s="1100" t="s">
        <v>397</v>
      </c>
      <c r="G2635" s="1100">
        <v>1594</v>
      </c>
      <c r="H2635" s="1100" t="s">
        <v>10345</v>
      </c>
      <c r="I2635" s="871">
        <v>46296.133811898151</v>
      </c>
      <c r="J2635" s="1100" t="s">
        <v>10349</v>
      </c>
      <c r="K2635" s="975" t="str">
        <f>IF(COUNTIFS(tblControles[Clave],tblControles[[#This Row],[Clave]])&gt;1,"Duplicado","")</f>
        <v/>
      </c>
    </row>
    <row r="2636" spans="2:11">
      <c r="B2636" s="975" t="str">
        <f>tblControles[[#This Row],[Fecha]]&amp;"|"&amp;tblControles[[#This Row],[Módulo]]&amp;"|"&amp;tblControles[[#This Row],[Ítem]]&amp;"|"&amp;tblControles[[#This Row],[Turno]]</f>
        <v>46292|TONELADAS X TURNO|Molino barras 6|3° turno</v>
      </c>
      <c r="C2636" s="871">
        <v>46292</v>
      </c>
      <c r="D2636" s="1100" t="s">
        <v>9449</v>
      </c>
      <c r="E2636" s="1100" t="s">
        <v>392</v>
      </c>
      <c r="F2636" s="1100" t="s">
        <v>398</v>
      </c>
      <c r="G2636" s="1100">
        <v>1567</v>
      </c>
      <c r="H2636" s="1100" t="s">
        <v>10345</v>
      </c>
      <c r="I2636" s="871">
        <v>46296.133811898151</v>
      </c>
      <c r="J2636" s="1100" t="s">
        <v>10349</v>
      </c>
      <c r="K2636" s="975" t="str">
        <f>IF(COUNTIFS(tblControles[Clave],tblControles[[#This Row],[Clave]])&gt;1,"Duplicado","")</f>
        <v/>
      </c>
    </row>
    <row r="2637" spans="2:11">
      <c r="B2637" s="975" t="str">
        <f>tblControles[[#This Row],[Fecha]]&amp;"|"&amp;tblControles[[#This Row],[Módulo]]&amp;"|"&amp;tblControles[[#This Row],[Ítem]]&amp;"|"&amp;tblControles[[#This Row],[Turno]]</f>
        <v>46292|TONELADAS X TURNO|Molino barras 7|1° turno</v>
      </c>
      <c r="C2637" s="871">
        <v>46292</v>
      </c>
      <c r="D2637" s="1100" t="s">
        <v>9449</v>
      </c>
      <c r="E2637" s="1100" t="s">
        <v>393</v>
      </c>
      <c r="F2637" s="1100" t="s">
        <v>396</v>
      </c>
      <c r="G2637" s="1100">
        <v>1601</v>
      </c>
      <c r="H2637" s="1100" t="s">
        <v>10345</v>
      </c>
      <c r="I2637" s="871">
        <v>46296.133811898151</v>
      </c>
      <c r="J2637" s="1100" t="s">
        <v>10349</v>
      </c>
      <c r="K2637" s="975" t="str">
        <f>IF(COUNTIFS(tblControles[Clave],tblControles[[#This Row],[Clave]])&gt;1,"Duplicado","")</f>
        <v/>
      </c>
    </row>
    <row r="2638" spans="2:11">
      <c r="B2638" s="975" t="str">
        <f>tblControles[[#This Row],[Fecha]]&amp;"|"&amp;tblControles[[#This Row],[Módulo]]&amp;"|"&amp;tblControles[[#This Row],[Ítem]]&amp;"|"&amp;tblControles[[#This Row],[Turno]]</f>
        <v>46292|TONELADAS X TURNO|Molino barras 7|2° turno</v>
      </c>
      <c r="C2638" s="871">
        <v>46292</v>
      </c>
      <c r="D2638" s="1100" t="s">
        <v>9449</v>
      </c>
      <c r="E2638" s="1100" t="s">
        <v>393</v>
      </c>
      <c r="F2638" s="1100" t="s">
        <v>397</v>
      </c>
      <c r="G2638" s="1100">
        <v>1542</v>
      </c>
      <c r="H2638" s="1100" t="s">
        <v>10345</v>
      </c>
      <c r="I2638" s="871">
        <v>46296.133811898151</v>
      </c>
      <c r="J2638" s="1100" t="s">
        <v>10349</v>
      </c>
      <c r="K2638" s="975" t="str">
        <f>IF(COUNTIFS(tblControles[Clave],tblControles[[#This Row],[Clave]])&gt;1,"Duplicado","")</f>
        <v/>
      </c>
    </row>
    <row r="2639" spans="2:11">
      <c r="B2639" s="975" t="str">
        <f>tblControles[[#This Row],[Fecha]]&amp;"|"&amp;tblControles[[#This Row],[Módulo]]&amp;"|"&amp;tblControles[[#This Row],[Ítem]]&amp;"|"&amp;tblControles[[#This Row],[Turno]]</f>
        <v>46292|TONELADAS X TURNO|Molino barras 7|3° turno</v>
      </c>
      <c r="C2639" s="871">
        <v>46292</v>
      </c>
      <c r="D2639" s="1100" t="s">
        <v>9449</v>
      </c>
      <c r="E2639" s="1100" t="s">
        <v>393</v>
      </c>
      <c r="F2639" s="1100" t="s">
        <v>398</v>
      </c>
      <c r="G2639" s="1100">
        <v>1684</v>
      </c>
      <c r="H2639" s="1100" t="s">
        <v>10345</v>
      </c>
      <c r="I2639" s="871">
        <v>46296.133811898151</v>
      </c>
      <c r="J2639" s="1100" t="s">
        <v>10349</v>
      </c>
      <c r="K2639" s="975" t="str">
        <f>IF(COUNTIFS(tblControles[Clave],tblControles[[#This Row],[Clave]])&gt;1,"Duplicado","")</f>
        <v/>
      </c>
    </row>
    <row r="2640" spans="2:11">
      <c r="B2640" s="975" t="str">
        <f>tblControles[[#This Row],[Fecha]]&amp;"|"&amp;tblControles[[#This Row],[Módulo]]&amp;"|"&amp;tblControles[[#This Row],[Ítem]]&amp;"|"&amp;tblControles[[#This Row],[Turno]]</f>
        <v>46292|TONELADAS X TURNO|Molino barras 8|1° turno</v>
      </c>
      <c r="C2640" s="871">
        <v>46292</v>
      </c>
      <c r="D2640" s="1100" t="s">
        <v>9449</v>
      </c>
      <c r="E2640" s="1100" t="s">
        <v>394</v>
      </c>
      <c r="F2640" s="1100" t="s">
        <v>396</v>
      </c>
      <c r="G2640" s="1100">
        <v>1697</v>
      </c>
      <c r="H2640" s="1100" t="s">
        <v>10345</v>
      </c>
      <c r="I2640" s="871">
        <v>46296.133811898151</v>
      </c>
      <c r="J2640" s="1100" t="s">
        <v>10349</v>
      </c>
      <c r="K2640" s="975" t="str">
        <f>IF(COUNTIFS(tblControles[Clave],tblControles[[#This Row],[Clave]])&gt;1,"Duplicado","")</f>
        <v/>
      </c>
    </row>
    <row r="2641" spans="2:11">
      <c r="B2641" s="975" t="str">
        <f>tblControles[[#This Row],[Fecha]]&amp;"|"&amp;tblControles[[#This Row],[Módulo]]&amp;"|"&amp;tblControles[[#This Row],[Ítem]]&amp;"|"&amp;tblControles[[#This Row],[Turno]]</f>
        <v>46292|TONELADAS X TURNO|Molino barras 8|2° turno</v>
      </c>
      <c r="C2641" s="871">
        <v>46292</v>
      </c>
      <c r="D2641" s="1100" t="s">
        <v>9449</v>
      </c>
      <c r="E2641" s="1100" t="s">
        <v>394</v>
      </c>
      <c r="F2641" s="1100" t="s">
        <v>397</v>
      </c>
      <c r="G2641" s="1100">
        <v>1680</v>
      </c>
      <c r="H2641" s="1100" t="s">
        <v>10345</v>
      </c>
      <c r="I2641" s="871">
        <v>46296.133811898151</v>
      </c>
      <c r="J2641" s="1100" t="s">
        <v>10349</v>
      </c>
      <c r="K2641" s="975" t="str">
        <f>IF(COUNTIFS(tblControles[Clave],tblControles[[#This Row],[Clave]])&gt;1,"Duplicado","")</f>
        <v/>
      </c>
    </row>
    <row r="2642" spans="2:11">
      <c r="B2642" s="975" t="str">
        <f>tblControles[[#This Row],[Fecha]]&amp;"|"&amp;tblControles[[#This Row],[Módulo]]&amp;"|"&amp;tblControles[[#This Row],[Ítem]]&amp;"|"&amp;tblControles[[#This Row],[Turno]]</f>
        <v>46292|TONELADAS X TURNO|Molino barras 8|3° turno</v>
      </c>
      <c r="C2642" s="871">
        <v>46292</v>
      </c>
      <c r="D2642" s="1100" t="s">
        <v>9449</v>
      </c>
      <c r="E2642" s="1100" t="s">
        <v>394</v>
      </c>
      <c r="F2642" s="1100" t="s">
        <v>398</v>
      </c>
      <c r="G2642" s="1100">
        <v>1706</v>
      </c>
      <c r="H2642" s="1100" t="s">
        <v>10345</v>
      </c>
      <c r="I2642" s="871">
        <v>46296.133811898151</v>
      </c>
      <c r="J2642" s="1100" t="s">
        <v>10349</v>
      </c>
      <c r="K2642" s="975" t="str">
        <f>IF(COUNTIFS(tblControles[Clave],tblControles[[#This Row],[Clave]])&gt;1,"Duplicado","")</f>
        <v/>
      </c>
    </row>
    <row r="2643" spans="2:11">
      <c r="B2643" s="975" t="str">
        <f>tblControles[[#This Row],[Fecha]]&amp;"|"&amp;tblControles[[#This Row],[Módulo]]&amp;"|"&amp;tblControles[[#This Row],[Ítem]]&amp;"|"&amp;tblControles[[#This Row],[Turno]]</f>
        <v>46292|TONELADAS X TURNO|Molino barras 9|1° turno</v>
      </c>
      <c r="C2643" s="871">
        <v>46292</v>
      </c>
      <c r="D2643" s="1100" t="s">
        <v>9449</v>
      </c>
      <c r="E2643" s="1100" t="s">
        <v>395</v>
      </c>
      <c r="F2643" s="1100" t="s">
        <v>396</v>
      </c>
      <c r="G2643" s="1100">
        <v>1190</v>
      </c>
      <c r="H2643" s="1100" t="s">
        <v>10345</v>
      </c>
      <c r="I2643" s="871">
        <v>46296.133811898151</v>
      </c>
      <c r="J2643" s="1100" t="s">
        <v>10349</v>
      </c>
      <c r="K2643" s="975" t="str">
        <f>IF(COUNTIFS(tblControles[Clave],tblControles[[#This Row],[Clave]])&gt;1,"Duplicado","")</f>
        <v/>
      </c>
    </row>
    <row r="2644" spans="2:11">
      <c r="B2644" s="975" t="str">
        <f>tblControles[[#This Row],[Fecha]]&amp;"|"&amp;tblControles[[#This Row],[Módulo]]&amp;"|"&amp;tblControles[[#This Row],[Ítem]]&amp;"|"&amp;tblControles[[#This Row],[Turno]]</f>
        <v>46292|TONELADAS X TURNO|Molino barras 9|2° turno</v>
      </c>
      <c r="C2644" s="871">
        <v>46292</v>
      </c>
      <c r="D2644" s="1100" t="s">
        <v>9449</v>
      </c>
      <c r="E2644" s="1100" t="s">
        <v>395</v>
      </c>
      <c r="F2644" s="1100" t="s">
        <v>397</v>
      </c>
      <c r="G2644" s="1100">
        <v>1825</v>
      </c>
      <c r="H2644" s="1100" t="s">
        <v>10345</v>
      </c>
      <c r="I2644" s="871">
        <v>46296.133811898151</v>
      </c>
      <c r="J2644" s="1100" t="s">
        <v>10349</v>
      </c>
      <c r="K2644" s="975" t="str">
        <f>IF(COUNTIFS(tblControles[Clave],tblControles[[#This Row],[Clave]])&gt;1,"Duplicado","")</f>
        <v/>
      </c>
    </row>
    <row r="2645" spans="2:11">
      <c r="B2645" s="975" t="str">
        <f>tblControles[[#This Row],[Fecha]]&amp;"|"&amp;tblControles[[#This Row],[Módulo]]&amp;"|"&amp;tblControles[[#This Row],[Ítem]]&amp;"|"&amp;tblControles[[#This Row],[Turno]]</f>
        <v>46292|TONELADAS X TURNO|Molino barras 9|3° turno</v>
      </c>
      <c r="C2645" s="871">
        <v>46292</v>
      </c>
      <c r="D2645" s="1100" t="s">
        <v>9449</v>
      </c>
      <c r="E2645" s="1100" t="s">
        <v>395</v>
      </c>
      <c r="F2645" s="1100" t="s">
        <v>398</v>
      </c>
      <c r="G2645" s="1100">
        <v>1608</v>
      </c>
      <c r="H2645" s="1100" t="s">
        <v>10345</v>
      </c>
      <c r="I2645" s="871">
        <v>46296.133811898151</v>
      </c>
      <c r="J2645" s="1100" t="s">
        <v>10349</v>
      </c>
      <c r="K2645" s="975" t="str">
        <f>IF(COUNTIFS(tblControles[Clave],tblControles[[#This Row],[Clave]])&gt;1,"Duplicado","")</f>
        <v/>
      </c>
    </row>
    <row r="2646" spans="2:11">
      <c r="B2646" s="975" t="str">
        <f>tblControles[[#This Row],[Fecha]]&amp;"|"&amp;tblControles[[#This Row],[Módulo]]&amp;"|"&amp;tblControles[[#This Row],[Ítem]]&amp;"|"&amp;tblControles[[#This Row],[Turno]]</f>
        <v>46293|TONELADAS X TURNO|Molino barras 1|1° turno</v>
      </c>
      <c r="C2646" s="871">
        <v>46293</v>
      </c>
      <c r="D2646" s="1100" t="s">
        <v>9449</v>
      </c>
      <c r="E2646" s="1100" t="s">
        <v>387</v>
      </c>
      <c r="F2646" s="1100" t="s">
        <v>396</v>
      </c>
      <c r="G2646" s="1100">
        <v>1702</v>
      </c>
      <c r="H2646" s="1100" t="s">
        <v>10345</v>
      </c>
      <c r="I2646" s="871">
        <v>46296.133811898151</v>
      </c>
      <c r="J2646" s="1100" t="s">
        <v>10349</v>
      </c>
      <c r="K2646" s="975" t="str">
        <f>IF(COUNTIFS(tblControles[Clave],tblControles[[#This Row],[Clave]])&gt;1,"Duplicado","")</f>
        <v/>
      </c>
    </row>
    <row r="2647" spans="2:11">
      <c r="B2647" s="975" t="str">
        <f>tblControles[[#This Row],[Fecha]]&amp;"|"&amp;tblControles[[#This Row],[Módulo]]&amp;"|"&amp;tblControles[[#This Row],[Ítem]]&amp;"|"&amp;tblControles[[#This Row],[Turno]]</f>
        <v>46293|TONELADAS X TURNO|Molino barras 1|2° turno</v>
      </c>
      <c r="C2647" s="871">
        <v>46293</v>
      </c>
      <c r="D2647" s="1100" t="s">
        <v>9449</v>
      </c>
      <c r="E2647" s="1100" t="s">
        <v>387</v>
      </c>
      <c r="F2647" s="1100" t="s">
        <v>397</v>
      </c>
      <c r="G2647" s="1100">
        <v>1599</v>
      </c>
      <c r="H2647" s="1100" t="s">
        <v>10345</v>
      </c>
      <c r="I2647" s="871">
        <v>46296.133811898151</v>
      </c>
      <c r="J2647" s="1100" t="s">
        <v>10349</v>
      </c>
      <c r="K2647" s="975" t="str">
        <f>IF(COUNTIFS(tblControles[Clave],tblControles[[#This Row],[Clave]])&gt;1,"Duplicado","")</f>
        <v/>
      </c>
    </row>
    <row r="2648" spans="2:11">
      <c r="B2648" s="975" t="str">
        <f>tblControles[[#This Row],[Fecha]]&amp;"|"&amp;tblControles[[#This Row],[Módulo]]&amp;"|"&amp;tblControles[[#This Row],[Ítem]]&amp;"|"&amp;tblControles[[#This Row],[Turno]]</f>
        <v>46293|TONELADAS X TURNO|Molino barras 1|3° turno</v>
      </c>
      <c r="C2648" s="871">
        <v>46293</v>
      </c>
      <c r="D2648" s="1100" t="s">
        <v>9449</v>
      </c>
      <c r="E2648" s="1100" t="s">
        <v>387</v>
      </c>
      <c r="F2648" s="1100" t="s">
        <v>398</v>
      </c>
      <c r="G2648" s="1100">
        <v>1590</v>
      </c>
      <c r="H2648" s="1100" t="s">
        <v>10345</v>
      </c>
      <c r="I2648" s="871">
        <v>46296.133811898151</v>
      </c>
      <c r="J2648" s="1100" t="s">
        <v>10349</v>
      </c>
      <c r="K2648" s="975" t="str">
        <f>IF(COUNTIFS(tblControles[Clave],tblControles[[#This Row],[Clave]])&gt;1,"Duplicado","")</f>
        <v/>
      </c>
    </row>
    <row r="2649" spans="2:11">
      <c r="B2649" s="975" t="str">
        <f>tblControles[[#This Row],[Fecha]]&amp;"|"&amp;tblControles[[#This Row],[Módulo]]&amp;"|"&amp;tblControles[[#This Row],[Ítem]]&amp;"|"&amp;tblControles[[#This Row],[Turno]]</f>
        <v>46293|TONELADAS X TURNO|Molino barras 2|1° turno</v>
      </c>
      <c r="C2649" s="871">
        <v>46293</v>
      </c>
      <c r="D2649" s="1100" t="s">
        <v>9449</v>
      </c>
      <c r="E2649" s="1100" t="s">
        <v>388</v>
      </c>
      <c r="F2649" s="1100" t="s">
        <v>396</v>
      </c>
      <c r="G2649" s="1100">
        <v>0</v>
      </c>
      <c r="H2649" s="1100" t="s">
        <v>10345</v>
      </c>
      <c r="I2649" s="871">
        <v>46296.133811898151</v>
      </c>
      <c r="J2649" s="1100" t="s">
        <v>10349</v>
      </c>
      <c r="K2649" s="975" t="str">
        <f>IF(COUNTIFS(tblControles[Clave],tblControles[[#This Row],[Clave]])&gt;1,"Duplicado","")</f>
        <v/>
      </c>
    </row>
    <row r="2650" spans="2:11">
      <c r="B2650" s="975" t="str">
        <f>tblControles[[#This Row],[Fecha]]&amp;"|"&amp;tblControles[[#This Row],[Módulo]]&amp;"|"&amp;tblControles[[#This Row],[Ítem]]&amp;"|"&amp;tblControles[[#This Row],[Turno]]</f>
        <v>46293|TONELADAS X TURNO|Molino barras 2|2° turno</v>
      </c>
      <c r="C2650" s="871">
        <v>46293</v>
      </c>
      <c r="D2650" s="1100" t="s">
        <v>9449</v>
      </c>
      <c r="E2650" s="1100" t="s">
        <v>388</v>
      </c>
      <c r="F2650" s="1100" t="s">
        <v>397</v>
      </c>
      <c r="G2650" s="1100">
        <v>0</v>
      </c>
      <c r="H2650" s="1100" t="s">
        <v>10345</v>
      </c>
      <c r="I2650" s="871">
        <v>46296.133811898151</v>
      </c>
      <c r="J2650" s="1100" t="s">
        <v>10349</v>
      </c>
      <c r="K2650" s="975" t="str">
        <f>IF(COUNTIFS(tblControles[Clave],tblControles[[#This Row],[Clave]])&gt;1,"Duplicado","")</f>
        <v/>
      </c>
    </row>
    <row r="2651" spans="2:11">
      <c r="B2651" s="975" t="str">
        <f>tblControles[[#This Row],[Fecha]]&amp;"|"&amp;tblControles[[#This Row],[Módulo]]&amp;"|"&amp;tblControles[[#This Row],[Ítem]]&amp;"|"&amp;tblControles[[#This Row],[Turno]]</f>
        <v>46293|TONELADAS X TURNO|Molino barras 2|3° turno</v>
      </c>
      <c r="C2651" s="871">
        <v>46293</v>
      </c>
      <c r="D2651" s="1100" t="s">
        <v>9449</v>
      </c>
      <c r="E2651" s="1100" t="s">
        <v>388</v>
      </c>
      <c r="F2651" s="1100" t="s">
        <v>398</v>
      </c>
      <c r="G2651" s="1100">
        <v>0</v>
      </c>
      <c r="H2651" s="1100" t="s">
        <v>10345</v>
      </c>
      <c r="I2651" s="871">
        <v>46296.133811898151</v>
      </c>
      <c r="J2651" s="1100" t="s">
        <v>10349</v>
      </c>
      <c r="K2651" s="975" t="str">
        <f>IF(COUNTIFS(tblControles[Clave],tblControles[[#This Row],[Clave]])&gt;1,"Duplicado","")</f>
        <v/>
      </c>
    </row>
    <row r="2652" spans="2:11">
      <c r="B2652" s="975" t="str">
        <f>tblControles[[#This Row],[Fecha]]&amp;"|"&amp;tblControles[[#This Row],[Módulo]]&amp;"|"&amp;tblControles[[#This Row],[Ítem]]&amp;"|"&amp;tblControles[[#This Row],[Turno]]</f>
        <v>46293|TONELADAS X TURNO|Molino barras 3|1° turno</v>
      </c>
      <c r="C2652" s="871">
        <v>46293</v>
      </c>
      <c r="D2652" s="1100" t="s">
        <v>9449</v>
      </c>
      <c r="E2652" s="1100" t="s">
        <v>389</v>
      </c>
      <c r="F2652" s="1100" t="s">
        <v>396</v>
      </c>
      <c r="G2652" s="1100">
        <v>1142</v>
      </c>
      <c r="H2652" s="1100" t="s">
        <v>10345</v>
      </c>
      <c r="I2652" s="871">
        <v>46296.133811898151</v>
      </c>
      <c r="J2652" s="1100" t="s">
        <v>10349</v>
      </c>
      <c r="K2652" s="975" t="str">
        <f>IF(COUNTIFS(tblControles[Clave],tblControles[[#This Row],[Clave]])&gt;1,"Duplicado","")</f>
        <v/>
      </c>
    </row>
    <row r="2653" spans="2:11">
      <c r="B2653" s="975" t="str">
        <f>tblControles[[#This Row],[Fecha]]&amp;"|"&amp;tblControles[[#This Row],[Módulo]]&amp;"|"&amp;tblControles[[#This Row],[Ítem]]&amp;"|"&amp;tblControles[[#This Row],[Turno]]</f>
        <v>46293|TONELADAS X TURNO|Molino barras 3|2° turno</v>
      </c>
      <c r="C2653" s="871">
        <v>46293</v>
      </c>
      <c r="D2653" s="1100" t="s">
        <v>9449</v>
      </c>
      <c r="E2653" s="1100" t="s">
        <v>389</v>
      </c>
      <c r="F2653" s="1100" t="s">
        <v>397</v>
      </c>
      <c r="G2653" s="1100">
        <v>1218</v>
      </c>
      <c r="H2653" s="1100" t="s">
        <v>10345</v>
      </c>
      <c r="I2653" s="871">
        <v>46296.133811898151</v>
      </c>
      <c r="J2653" s="1100" t="s">
        <v>10349</v>
      </c>
      <c r="K2653" s="975" t="str">
        <f>IF(COUNTIFS(tblControles[Clave],tblControles[[#This Row],[Clave]])&gt;1,"Duplicado","")</f>
        <v/>
      </c>
    </row>
    <row r="2654" spans="2:11">
      <c r="B2654" s="975" t="str">
        <f>tblControles[[#This Row],[Fecha]]&amp;"|"&amp;tblControles[[#This Row],[Módulo]]&amp;"|"&amp;tblControles[[#This Row],[Ítem]]&amp;"|"&amp;tblControles[[#This Row],[Turno]]</f>
        <v>46293|TONELADAS X TURNO|Molino barras 3|3° turno</v>
      </c>
      <c r="C2654" s="871">
        <v>46293</v>
      </c>
      <c r="D2654" s="1100" t="s">
        <v>9449</v>
      </c>
      <c r="E2654" s="1100" t="s">
        <v>389</v>
      </c>
      <c r="F2654" s="1100" t="s">
        <v>398</v>
      </c>
      <c r="G2654" s="1100">
        <v>1185</v>
      </c>
      <c r="H2654" s="1100" t="s">
        <v>10345</v>
      </c>
      <c r="I2654" s="871">
        <v>46296.133811898151</v>
      </c>
      <c r="J2654" s="1100" t="s">
        <v>10349</v>
      </c>
      <c r="K2654" s="975" t="str">
        <f>IF(COUNTIFS(tblControles[Clave],tblControles[[#This Row],[Clave]])&gt;1,"Duplicado","")</f>
        <v/>
      </c>
    </row>
    <row r="2655" spans="2:11">
      <c r="B2655" s="975" t="str">
        <f>tblControles[[#This Row],[Fecha]]&amp;"|"&amp;tblControles[[#This Row],[Módulo]]&amp;"|"&amp;tblControles[[#This Row],[Ítem]]&amp;"|"&amp;tblControles[[#This Row],[Turno]]</f>
        <v>46293|TONELADAS X TURNO|Molino barras 4|1° turno</v>
      </c>
      <c r="C2655" s="871">
        <v>46293</v>
      </c>
      <c r="D2655" s="1100" t="s">
        <v>9449</v>
      </c>
      <c r="E2655" s="1100" t="s">
        <v>390</v>
      </c>
      <c r="F2655" s="1100" t="s">
        <v>396</v>
      </c>
      <c r="G2655" s="1100">
        <v>1215</v>
      </c>
      <c r="H2655" s="1100" t="s">
        <v>10345</v>
      </c>
      <c r="I2655" s="871">
        <v>46296.133811898151</v>
      </c>
      <c r="J2655" s="1100" t="s">
        <v>10349</v>
      </c>
      <c r="K2655" s="975" t="str">
        <f>IF(COUNTIFS(tblControles[Clave],tblControles[[#This Row],[Clave]])&gt;1,"Duplicado","")</f>
        <v/>
      </c>
    </row>
    <row r="2656" spans="2:11">
      <c r="B2656" s="975" t="str">
        <f>tblControles[[#This Row],[Fecha]]&amp;"|"&amp;tblControles[[#This Row],[Módulo]]&amp;"|"&amp;tblControles[[#This Row],[Ítem]]&amp;"|"&amp;tblControles[[#This Row],[Turno]]</f>
        <v>46293|TONELADAS X TURNO|Molino barras 4|2° turno</v>
      </c>
      <c r="C2656" s="871">
        <v>46293</v>
      </c>
      <c r="D2656" s="1100" t="s">
        <v>9449</v>
      </c>
      <c r="E2656" s="1100" t="s">
        <v>390</v>
      </c>
      <c r="F2656" s="1100" t="s">
        <v>397</v>
      </c>
      <c r="G2656" s="1100">
        <v>1270</v>
      </c>
      <c r="H2656" s="1100" t="s">
        <v>10345</v>
      </c>
      <c r="I2656" s="871">
        <v>46296.133811898151</v>
      </c>
      <c r="J2656" s="1100" t="s">
        <v>10349</v>
      </c>
      <c r="K2656" s="975" t="str">
        <f>IF(COUNTIFS(tblControles[Clave],tblControles[[#This Row],[Clave]])&gt;1,"Duplicado","")</f>
        <v/>
      </c>
    </row>
    <row r="2657" spans="2:11">
      <c r="B2657" s="975" t="str">
        <f>tblControles[[#This Row],[Fecha]]&amp;"|"&amp;tblControles[[#This Row],[Módulo]]&amp;"|"&amp;tblControles[[#This Row],[Ítem]]&amp;"|"&amp;tblControles[[#This Row],[Turno]]</f>
        <v>46293|TONELADAS X TURNO|Molino barras 4|3° turno</v>
      </c>
      <c r="C2657" s="871">
        <v>46293</v>
      </c>
      <c r="D2657" s="1100" t="s">
        <v>9449</v>
      </c>
      <c r="E2657" s="1100" t="s">
        <v>390</v>
      </c>
      <c r="F2657" s="1100" t="s">
        <v>398</v>
      </c>
      <c r="G2657" s="1100">
        <v>961</v>
      </c>
      <c r="H2657" s="1100" t="s">
        <v>10345</v>
      </c>
      <c r="I2657" s="871">
        <v>46296.133811898151</v>
      </c>
      <c r="J2657" s="1100" t="s">
        <v>10349</v>
      </c>
      <c r="K2657" s="975" t="str">
        <f>IF(COUNTIFS(tblControles[Clave],tblControles[[#This Row],[Clave]])&gt;1,"Duplicado","")</f>
        <v/>
      </c>
    </row>
    <row r="2658" spans="2:11">
      <c r="B2658" s="975" t="str">
        <f>tblControles[[#This Row],[Fecha]]&amp;"|"&amp;tblControles[[#This Row],[Módulo]]&amp;"|"&amp;tblControles[[#This Row],[Ítem]]&amp;"|"&amp;tblControles[[#This Row],[Turno]]</f>
        <v>46293|TONELADAS X TURNO|Molino barras 5|1° turno</v>
      </c>
      <c r="C2658" s="871">
        <v>46293</v>
      </c>
      <c r="D2658" s="1100" t="s">
        <v>9449</v>
      </c>
      <c r="E2658" s="1100" t="s">
        <v>391</v>
      </c>
      <c r="F2658" s="1100" t="s">
        <v>396</v>
      </c>
      <c r="G2658" s="1100">
        <v>1651</v>
      </c>
      <c r="H2658" s="1100" t="s">
        <v>10345</v>
      </c>
      <c r="I2658" s="871">
        <v>46296.133811898151</v>
      </c>
      <c r="J2658" s="1100" t="s">
        <v>10349</v>
      </c>
      <c r="K2658" s="975" t="str">
        <f>IF(COUNTIFS(tblControles[Clave],tblControles[[#This Row],[Clave]])&gt;1,"Duplicado","")</f>
        <v/>
      </c>
    </row>
    <row r="2659" spans="2:11">
      <c r="B2659" s="975" t="str">
        <f>tblControles[[#This Row],[Fecha]]&amp;"|"&amp;tblControles[[#This Row],[Módulo]]&amp;"|"&amp;tblControles[[#This Row],[Ítem]]&amp;"|"&amp;tblControles[[#This Row],[Turno]]</f>
        <v>46293|TONELADAS X TURNO|Molino barras 5|2° turno</v>
      </c>
      <c r="C2659" s="871">
        <v>46293</v>
      </c>
      <c r="D2659" s="1100" t="s">
        <v>9449</v>
      </c>
      <c r="E2659" s="1100" t="s">
        <v>391</v>
      </c>
      <c r="F2659" s="1100" t="s">
        <v>397</v>
      </c>
      <c r="G2659" s="1100">
        <v>1534</v>
      </c>
      <c r="H2659" s="1100" t="s">
        <v>10345</v>
      </c>
      <c r="I2659" s="871">
        <v>46296.133811898151</v>
      </c>
      <c r="J2659" s="1100" t="s">
        <v>10349</v>
      </c>
      <c r="K2659" s="975" t="str">
        <f>IF(COUNTIFS(tblControles[Clave],tblControles[[#This Row],[Clave]])&gt;1,"Duplicado","")</f>
        <v/>
      </c>
    </row>
    <row r="2660" spans="2:11">
      <c r="B2660" s="975" t="str">
        <f>tblControles[[#This Row],[Fecha]]&amp;"|"&amp;tblControles[[#This Row],[Módulo]]&amp;"|"&amp;tblControles[[#This Row],[Ítem]]&amp;"|"&amp;tblControles[[#This Row],[Turno]]</f>
        <v>46293|TONELADAS X TURNO|Molino barras 5|3° turno</v>
      </c>
      <c r="C2660" s="871">
        <v>46293</v>
      </c>
      <c r="D2660" s="1100" t="s">
        <v>9449</v>
      </c>
      <c r="E2660" s="1100" t="s">
        <v>391</v>
      </c>
      <c r="F2660" s="1100" t="s">
        <v>398</v>
      </c>
      <c r="G2660" s="1100">
        <v>1420</v>
      </c>
      <c r="H2660" s="1100" t="s">
        <v>10345</v>
      </c>
      <c r="I2660" s="871">
        <v>46296.133811898151</v>
      </c>
      <c r="J2660" s="1100" t="s">
        <v>10349</v>
      </c>
      <c r="K2660" s="975" t="str">
        <f>IF(COUNTIFS(tblControles[Clave],tblControles[[#This Row],[Clave]])&gt;1,"Duplicado","")</f>
        <v/>
      </c>
    </row>
    <row r="2661" spans="2:11">
      <c r="B2661" s="975" t="str">
        <f>tblControles[[#This Row],[Fecha]]&amp;"|"&amp;tblControles[[#This Row],[Módulo]]&amp;"|"&amp;tblControles[[#This Row],[Ítem]]&amp;"|"&amp;tblControles[[#This Row],[Turno]]</f>
        <v>46293|TONELADAS X TURNO|Molino barras 6|1° turno</v>
      </c>
      <c r="C2661" s="871">
        <v>46293</v>
      </c>
      <c r="D2661" s="1100" t="s">
        <v>9449</v>
      </c>
      <c r="E2661" s="1100" t="s">
        <v>392</v>
      </c>
      <c r="F2661" s="1100" t="s">
        <v>396</v>
      </c>
      <c r="G2661" s="1100">
        <v>1648</v>
      </c>
      <c r="H2661" s="1100" t="s">
        <v>10345</v>
      </c>
      <c r="I2661" s="871">
        <v>46296.133811898151</v>
      </c>
      <c r="J2661" s="1100" t="s">
        <v>10349</v>
      </c>
      <c r="K2661" s="975" t="str">
        <f>IF(COUNTIFS(tblControles[Clave],tblControles[[#This Row],[Clave]])&gt;1,"Duplicado","")</f>
        <v/>
      </c>
    </row>
    <row r="2662" spans="2:11">
      <c r="B2662" s="975" t="str">
        <f>tblControles[[#This Row],[Fecha]]&amp;"|"&amp;tblControles[[#This Row],[Módulo]]&amp;"|"&amp;tblControles[[#This Row],[Ítem]]&amp;"|"&amp;tblControles[[#This Row],[Turno]]</f>
        <v>46293|TONELADAS X TURNO|Molino barras 6|2° turno</v>
      </c>
      <c r="C2662" s="871">
        <v>46293</v>
      </c>
      <c r="D2662" s="1100" t="s">
        <v>9449</v>
      </c>
      <c r="E2662" s="1100" t="s">
        <v>392</v>
      </c>
      <c r="F2662" s="1100" t="s">
        <v>397</v>
      </c>
      <c r="G2662" s="1100">
        <v>1542</v>
      </c>
      <c r="H2662" s="1100" t="s">
        <v>10345</v>
      </c>
      <c r="I2662" s="871">
        <v>46296.133811898151</v>
      </c>
      <c r="J2662" s="1100" t="s">
        <v>10349</v>
      </c>
      <c r="K2662" s="975" t="str">
        <f>IF(COUNTIFS(tblControles[Clave],tblControles[[#This Row],[Clave]])&gt;1,"Duplicado","")</f>
        <v/>
      </c>
    </row>
    <row r="2663" spans="2:11">
      <c r="B2663" s="975" t="str">
        <f>tblControles[[#This Row],[Fecha]]&amp;"|"&amp;tblControles[[#This Row],[Módulo]]&amp;"|"&amp;tblControles[[#This Row],[Ítem]]&amp;"|"&amp;tblControles[[#This Row],[Turno]]</f>
        <v>46293|TONELADAS X TURNO|Molino barras 6|3° turno</v>
      </c>
      <c r="C2663" s="871">
        <v>46293</v>
      </c>
      <c r="D2663" s="1100" t="s">
        <v>9449</v>
      </c>
      <c r="E2663" s="1100" t="s">
        <v>392</v>
      </c>
      <c r="F2663" s="1100" t="s">
        <v>398</v>
      </c>
      <c r="G2663" s="1100">
        <v>1569</v>
      </c>
      <c r="H2663" s="1100" t="s">
        <v>10345</v>
      </c>
      <c r="I2663" s="871">
        <v>46296.133811898151</v>
      </c>
      <c r="J2663" s="1100" t="s">
        <v>10349</v>
      </c>
      <c r="K2663" s="975" t="str">
        <f>IF(COUNTIFS(tblControles[Clave],tblControles[[#This Row],[Clave]])&gt;1,"Duplicado","")</f>
        <v/>
      </c>
    </row>
    <row r="2664" spans="2:11">
      <c r="B2664" s="975" t="str">
        <f>tblControles[[#This Row],[Fecha]]&amp;"|"&amp;tblControles[[#This Row],[Módulo]]&amp;"|"&amp;tblControles[[#This Row],[Ítem]]&amp;"|"&amp;tblControles[[#This Row],[Turno]]</f>
        <v>46293|TONELADAS X TURNO|Molino barras 7|1° turno</v>
      </c>
      <c r="C2664" s="871">
        <v>46293</v>
      </c>
      <c r="D2664" s="1100" t="s">
        <v>9449</v>
      </c>
      <c r="E2664" s="1100" t="s">
        <v>393</v>
      </c>
      <c r="F2664" s="1100" t="s">
        <v>396</v>
      </c>
      <c r="G2664" s="1100">
        <v>1634</v>
      </c>
      <c r="H2664" s="1100" t="s">
        <v>10345</v>
      </c>
      <c r="I2664" s="871">
        <v>46296.133811898151</v>
      </c>
      <c r="J2664" s="1100" t="s">
        <v>10349</v>
      </c>
      <c r="K2664" s="975" t="str">
        <f>IF(COUNTIFS(tblControles[Clave],tblControles[[#This Row],[Clave]])&gt;1,"Duplicado","")</f>
        <v/>
      </c>
    </row>
    <row r="2665" spans="2:11">
      <c r="B2665" s="975" t="str">
        <f>tblControles[[#This Row],[Fecha]]&amp;"|"&amp;tblControles[[#This Row],[Módulo]]&amp;"|"&amp;tblControles[[#This Row],[Ítem]]&amp;"|"&amp;tblControles[[#This Row],[Turno]]</f>
        <v>46293|TONELADAS X TURNO|Molino barras 7|2° turno</v>
      </c>
      <c r="C2665" s="871">
        <v>46293</v>
      </c>
      <c r="D2665" s="1100" t="s">
        <v>9449</v>
      </c>
      <c r="E2665" s="1100" t="s">
        <v>393</v>
      </c>
      <c r="F2665" s="1100" t="s">
        <v>397</v>
      </c>
      <c r="G2665" s="1100">
        <v>1632</v>
      </c>
      <c r="H2665" s="1100" t="s">
        <v>10345</v>
      </c>
      <c r="I2665" s="871">
        <v>46296.133811898151</v>
      </c>
      <c r="J2665" s="1100" t="s">
        <v>10349</v>
      </c>
      <c r="K2665" s="975" t="str">
        <f>IF(COUNTIFS(tblControles[Clave],tblControles[[#This Row],[Clave]])&gt;1,"Duplicado","")</f>
        <v/>
      </c>
    </row>
    <row r="2666" spans="2:11">
      <c r="B2666" s="975" t="str">
        <f>tblControles[[#This Row],[Fecha]]&amp;"|"&amp;tblControles[[#This Row],[Módulo]]&amp;"|"&amp;tblControles[[#This Row],[Ítem]]&amp;"|"&amp;tblControles[[#This Row],[Turno]]</f>
        <v>46293|TONELADAS X TURNO|Molino barras 7|3° turno</v>
      </c>
      <c r="C2666" s="871">
        <v>46293</v>
      </c>
      <c r="D2666" s="1100" t="s">
        <v>9449</v>
      </c>
      <c r="E2666" s="1100" t="s">
        <v>393</v>
      </c>
      <c r="F2666" s="1100" t="s">
        <v>398</v>
      </c>
      <c r="G2666" s="1100">
        <v>1539</v>
      </c>
      <c r="H2666" s="1100" t="s">
        <v>10345</v>
      </c>
      <c r="I2666" s="871">
        <v>46296.133811898151</v>
      </c>
      <c r="J2666" s="1100" t="s">
        <v>10349</v>
      </c>
      <c r="K2666" s="975" t="str">
        <f>IF(COUNTIFS(tblControles[Clave],tblControles[[#This Row],[Clave]])&gt;1,"Duplicado","")</f>
        <v/>
      </c>
    </row>
    <row r="2667" spans="2:11">
      <c r="B2667" s="975" t="str">
        <f>tblControles[[#This Row],[Fecha]]&amp;"|"&amp;tblControles[[#This Row],[Módulo]]&amp;"|"&amp;tblControles[[#This Row],[Ítem]]&amp;"|"&amp;tblControles[[#This Row],[Turno]]</f>
        <v>46293|TONELADAS X TURNO|Molino barras 8|1° turno</v>
      </c>
      <c r="C2667" s="871">
        <v>46293</v>
      </c>
      <c r="D2667" s="1100" t="s">
        <v>9449</v>
      </c>
      <c r="E2667" s="1100" t="s">
        <v>394</v>
      </c>
      <c r="F2667" s="1100" t="s">
        <v>396</v>
      </c>
      <c r="G2667" s="1100">
        <v>1650</v>
      </c>
      <c r="H2667" s="1100" t="s">
        <v>10345</v>
      </c>
      <c r="I2667" s="871">
        <v>46296.133811898151</v>
      </c>
      <c r="J2667" s="1100" t="s">
        <v>10349</v>
      </c>
      <c r="K2667" s="975" t="str">
        <f>IF(COUNTIFS(tblControles[Clave],tblControles[[#This Row],[Clave]])&gt;1,"Duplicado","")</f>
        <v/>
      </c>
    </row>
    <row r="2668" spans="2:11">
      <c r="B2668" s="975" t="str">
        <f>tblControles[[#This Row],[Fecha]]&amp;"|"&amp;tblControles[[#This Row],[Módulo]]&amp;"|"&amp;tblControles[[#This Row],[Ítem]]&amp;"|"&amp;tblControles[[#This Row],[Turno]]</f>
        <v>46293|TONELADAS X TURNO|Molino barras 8|2° turno</v>
      </c>
      <c r="C2668" s="871">
        <v>46293</v>
      </c>
      <c r="D2668" s="1100" t="s">
        <v>9449</v>
      </c>
      <c r="E2668" s="1100" t="s">
        <v>394</v>
      </c>
      <c r="F2668" s="1100" t="s">
        <v>397</v>
      </c>
      <c r="G2668" s="1100">
        <v>1549</v>
      </c>
      <c r="H2668" s="1100" t="s">
        <v>10345</v>
      </c>
      <c r="I2668" s="871">
        <v>46296.133811898151</v>
      </c>
      <c r="J2668" s="1100" t="s">
        <v>10349</v>
      </c>
      <c r="K2668" s="975" t="str">
        <f>IF(COUNTIFS(tblControles[Clave],tblControles[[#This Row],[Clave]])&gt;1,"Duplicado","")</f>
        <v/>
      </c>
    </row>
    <row r="2669" spans="2:11">
      <c r="B2669" s="975" t="str">
        <f>tblControles[[#This Row],[Fecha]]&amp;"|"&amp;tblControles[[#This Row],[Módulo]]&amp;"|"&amp;tblControles[[#This Row],[Ítem]]&amp;"|"&amp;tblControles[[#This Row],[Turno]]</f>
        <v>46293|TONELADAS X TURNO|Molino barras 8|3° turno</v>
      </c>
      <c r="C2669" s="871">
        <v>46293</v>
      </c>
      <c r="D2669" s="1100" t="s">
        <v>9449</v>
      </c>
      <c r="E2669" s="1100" t="s">
        <v>394</v>
      </c>
      <c r="F2669" s="1100" t="s">
        <v>398</v>
      </c>
      <c r="G2669" s="1100">
        <v>1654</v>
      </c>
      <c r="H2669" s="1100" t="s">
        <v>10345</v>
      </c>
      <c r="I2669" s="871">
        <v>46296.133811898151</v>
      </c>
      <c r="J2669" s="1100" t="s">
        <v>10349</v>
      </c>
      <c r="K2669" s="975" t="str">
        <f>IF(COUNTIFS(tblControles[Clave],tblControles[[#This Row],[Clave]])&gt;1,"Duplicado","")</f>
        <v/>
      </c>
    </row>
    <row r="2670" spans="2:11">
      <c r="B2670" s="975" t="str">
        <f>tblControles[[#This Row],[Fecha]]&amp;"|"&amp;tblControles[[#This Row],[Módulo]]&amp;"|"&amp;tblControles[[#This Row],[Ítem]]&amp;"|"&amp;tblControles[[#This Row],[Turno]]</f>
        <v>46293|TONELADAS X TURNO|Molino barras 9|1° turno</v>
      </c>
      <c r="C2670" s="871">
        <v>46293</v>
      </c>
      <c r="D2670" s="1100" t="s">
        <v>9449</v>
      </c>
      <c r="E2670" s="1100" t="s">
        <v>395</v>
      </c>
      <c r="F2670" s="1100" t="s">
        <v>396</v>
      </c>
      <c r="G2670" s="1100">
        <v>1821</v>
      </c>
      <c r="H2670" s="1100" t="s">
        <v>10345</v>
      </c>
      <c r="I2670" s="871">
        <v>46296.133811898151</v>
      </c>
      <c r="J2670" s="1100" t="s">
        <v>10349</v>
      </c>
      <c r="K2670" s="975" t="str">
        <f>IF(COUNTIFS(tblControles[Clave],tblControles[[#This Row],[Clave]])&gt;1,"Duplicado","")</f>
        <v/>
      </c>
    </row>
    <row r="2671" spans="2:11">
      <c r="B2671" s="975" t="str">
        <f>tblControles[[#This Row],[Fecha]]&amp;"|"&amp;tblControles[[#This Row],[Módulo]]&amp;"|"&amp;tblControles[[#This Row],[Ítem]]&amp;"|"&amp;tblControles[[#This Row],[Turno]]</f>
        <v>46293|TONELADAS X TURNO|Molino barras 9|2° turno</v>
      </c>
      <c r="C2671" s="871">
        <v>46293</v>
      </c>
      <c r="D2671" s="1100" t="s">
        <v>9449</v>
      </c>
      <c r="E2671" s="1100" t="s">
        <v>395</v>
      </c>
      <c r="F2671" s="1100" t="s">
        <v>397</v>
      </c>
      <c r="G2671" s="1100">
        <v>1655</v>
      </c>
      <c r="H2671" s="1100" t="s">
        <v>10345</v>
      </c>
      <c r="I2671" s="871">
        <v>46296.133811898151</v>
      </c>
      <c r="J2671" s="1100" t="s">
        <v>10349</v>
      </c>
      <c r="K2671" s="975" t="str">
        <f>IF(COUNTIFS(tblControles[Clave],tblControles[[#This Row],[Clave]])&gt;1,"Duplicado","")</f>
        <v/>
      </c>
    </row>
    <row r="2672" spans="2:11">
      <c r="B2672" s="975" t="str">
        <f>tblControles[[#This Row],[Fecha]]&amp;"|"&amp;tblControles[[#This Row],[Módulo]]&amp;"|"&amp;tblControles[[#This Row],[Ítem]]&amp;"|"&amp;tblControles[[#This Row],[Turno]]</f>
        <v>46293|TONELADAS X TURNO|Molino barras 9|3° turno</v>
      </c>
      <c r="C2672" s="871">
        <v>46293</v>
      </c>
      <c r="D2672" s="1100" t="s">
        <v>9449</v>
      </c>
      <c r="E2672" s="1100" t="s">
        <v>395</v>
      </c>
      <c r="F2672" s="1100" t="s">
        <v>398</v>
      </c>
      <c r="G2672" s="1100">
        <v>1827</v>
      </c>
      <c r="H2672" s="1100" t="s">
        <v>10345</v>
      </c>
      <c r="I2672" s="871">
        <v>46296.133811898151</v>
      </c>
      <c r="J2672" s="1100" t="s">
        <v>10349</v>
      </c>
      <c r="K2672" s="975" t="str">
        <f>IF(COUNTIFS(tblControles[Clave],tblControles[[#This Row],[Clave]])&gt;1,"Duplicado","")</f>
        <v/>
      </c>
    </row>
    <row r="2673" spans="2:11">
      <c r="B2673" s="975" t="str">
        <f>tblControles[[#This Row],[Fecha]]&amp;"|"&amp;tblControles[[#This Row],[Módulo]]&amp;"|"&amp;tblControles[[#This Row],[Ítem]]&amp;"|"&amp;tblControles[[#This Row],[Turno]]</f>
        <v>46294|TONELADAS X TURNO|Molino barras 1|1° turno</v>
      </c>
      <c r="C2673" s="871">
        <v>46294</v>
      </c>
      <c r="D2673" s="1100" t="s">
        <v>9449</v>
      </c>
      <c r="E2673" s="1100" t="s">
        <v>387</v>
      </c>
      <c r="F2673" s="1100" t="s">
        <v>396</v>
      </c>
      <c r="G2673" s="1100">
        <v>1500</v>
      </c>
      <c r="H2673" s="1100" t="s">
        <v>10345</v>
      </c>
      <c r="I2673" s="871">
        <v>46296.133811898151</v>
      </c>
      <c r="J2673" s="1100" t="s">
        <v>10349</v>
      </c>
      <c r="K2673" s="975" t="str">
        <f>IF(COUNTIFS(tblControles[Clave],tblControles[[#This Row],[Clave]])&gt;1,"Duplicado","")</f>
        <v/>
      </c>
    </row>
    <row r="2674" spans="2:11">
      <c r="B2674" s="975" t="str">
        <f>tblControles[[#This Row],[Fecha]]&amp;"|"&amp;tblControles[[#This Row],[Módulo]]&amp;"|"&amp;tblControles[[#This Row],[Ítem]]&amp;"|"&amp;tblControles[[#This Row],[Turno]]</f>
        <v>46294|TONELADAS X TURNO|Molino barras 1|2° turno</v>
      </c>
      <c r="C2674" s="871">
        <v>46294</v>
      </c>
      <c r="D2674" s="1100" t="s">
        <v>9449</v>
      </c>
      <c r="E2674" s="1100" t="s">
        <v>387</v>
      </c>
      <c r="F2674" s="1100" t="s">
        <v>397</v>
      </c>
      <c r="G2674" s="1100">
        <v>1460</v>
      </c>
      <c r="H2674" s="1100" t="s">
        <v>10345</v>
      </c>
      <c r="I2674" s="871">
        <v>46296.133811898151</v>
      </c>
      <c r="J2674" s="1100" t="s">
        <v>10349</v>
      </c>
      <c r="K2674" s="975" t="str">
        <f>IF(COUNTIFS(tblControles[Clave],tblControles[[#This Row],[Clave]])&gt;1,"Duplicado","")</f>
        <v/>
      </c>
    </row>
    <row r="2675" spans="2:11">
      <c r="B2675" s="975" t="str">
        <f>tblControles[[#This Row],[Fecha]]&amp;"|"&amp;tblControles[[#This Row],[Módulo]]&amp;"|"&amp;tblControles[[#This Row],[Ítem]]&amp;"|"&amp;tblControles[[#This Row],[Turno]]</f>
        <v>46294|TONELADAS X TURNO|Molino barras 1|3° turno</v>
      </c>
      <c r="C2675" s="871">
        <v>46294</v>
      </c>
      <c r="D2675" s="1100" t="s">
        <v>9449</v>
      </c>
      <c r="E2675" s="1100" t="s">
        <v>387</v>
      </c>
      <c r="F2675" s="1100" t="s">
        <v>398</v>
      </c>
      <c r="G2675" s="1100">
        <v>1418</v>
      </c>
      <c r="H2675" s="1100" t="s">
        <v>10345</v>
      </c>
      <c r="I2675" s="871">
        <v>46296.133811898151</v>
      </c>
      <c r="J2675" s="1100" t="s">
        <v>10349</v>
      </c>
      <c r="K2675" s="975" t="str">
        <f>IF(COUNTIFS(tblControles[Clave],tblControles[[#This Row],[Clave]])&gt;1,"Duplicado","")</f>
        <v/>
      </c>
    </row>
    <row r="2676" spans="2:11">
      <c r="B2676" s="975" t="str">
        <f>tblControles[[#This Row],[Fecha]]&amp;"|"&amp;tblControles[[#This Row],[Módulo]]&amp;"|"&amp;tblControles[[#This Row],[Ítem]]&amp;"|"&amp;tblControles[[#This Row],[Turno]]</f>
        <v>46294|TONELADAS X TURNO|Molino barras 2|1° turno</v>
      </c>
      <c r="C2676" s="871">
        <v>46294</v>
      </c>
      <c r="D2676" s="1100" t="s">
        <v>9449</v>
      </c>
      <c r="E2676" s="1100" t="s">
        <v>388</v>
      </c>
      <c r="F2676" s="1100" t="s">
        <v>396</v>
      </c>
      <c r="G2676" s="1100">
        <v>0</v>
      </c>
      <c r="H2676" s="1100" t="s">
        <v>10345</v>
      </c>
      <c r="I2676" s="871">
        <v>46296.133811898151</v>
      </c>
      <c r="J2676" s="1100" t="s">
        <v>10349</v>
      </c>
      <c r="K2676" s="975" t="str">
        <f>IF(COUNTIFS(tblControles[Clave],tblControles[[#This Row],[Clave]])&gt;1,"Duplicado","")</f>
        <v/>
      </c>
    </row>
    <row r="2677" spans="2:11">
      <c r="B2677" s="975" t="str">
        <f>tblControles[[#This Row],[Fecha]]&amp;"|"&amp;tblControles[[#This Row],[Módulo]]&amp;"|"&amp;tblControles[[#This Row],[Ítem]]&amp;"|"&amp;tblControles[[#This Row],[Turno]]</f>
        <v>46294|TONELADAS X TURNO|Molino barras 2|2° turno</v>
      </c>
      <c r="C2677" s="871">
        <v>46294</v>
      </c>
      <c r="D2677" s="1100" t="s">
        <v>9449</v>
      </c>
      <c r="E2677" s="1100" t="s">
        <v>388</v>
      </c>
      <c r="F2677" s="1100" t="s">
        <v>397</v>
      </c>
      <c r="G2677" s="1100">
        <v>0</v>
      </c>
      <c r="H2677" s="1100" t="s">
        <v>10345</v>
      </c>
      <c r="I2677" s="871">
        <v>46296.133811898151</v>
      </c>
      <c r="J2677" s="1100" t="s">
        <v>10349</v>
      </c>
      <c r="K2677" s="975" t="str">
        <f>IF(COUNTIFS(tblControles[Clave],tblControles[[#This Row],[Clave]])&gt;1,"Duplicado","")</f>
        <v/>
      </c>
    </row>
    <row r="2678" spans="2:11">
      <c r="B2678" s="975" t="str">
        <f>tblControles[[#This Row],[Fecha]]&amp;"|"&amp;tblControles[[#This Row],[Módulo]]&amp;"|"&amp;tblControles[[#This Row],[Ítem]]&amp;"|"&amp;tblControles[[#This Row],[Turno]]</f>
        <v>46294|TONELADAS X TURNO|Molino barras 2|3° turno</v>
      </c>
      <c r="C2678" s="871">
        <v>46294</v>
      </c>
      <c r="D2678" s="1100" t="s">
        <v>9449</v>
      </c>
      <c r="E2678" s="1100" t="s">
        <v>388</v>
      </c>
      <c r="F2678" s="1100" t="s">
        <v>398</v>
      </c>
      <c r="G2678" s="1100">
        <v>1060</v>
      </c>
      <c r="H2678" s="1100" t="s">
        <v>10345</v>
      </c>
      <c r="I2678" s="871">
        <v>46296.133811898151</v>
      </c>
      <c r="J2678" s="1100" t="s">
        <v>10349</v>
      </c>
      <c r="K2678" s="975" t="str">
        <f>IF(COUNTIFS(tblControles[Clave],tblControles[[#This Row],[Clave]])&gt;1,"Duplicado","")</f>
        <v/>
      </c>
    </row>
    <row r="2679" spans="2:11">
      <c r="B2679" s="975" t="str">
        <f>tblControles[[#This Row],[Fecha]]&amp;"|"&amp;tblControles[[#This Row],[Módulo]]&amp;"|"&amp;tblControles[[#This Row],[Ítem]]&amp;"|"&amp;tblControles[[#This Row],[Turno]]</f>
        <v>46294|TONELADAS X TURNO|Molino barras 3|1° turno</v>
      </c>
      <c r="C2679" s="871">
        <v>46294</v>
      </c>
      <c r="D2679" s="1100" t="s">
        <v>9449</v>
      </c>
      <c r="E2679" s="1100" t="s">
        <v>389</v>
      </c>
      <c r="F2679" s="1100" t="s">
        <v>396</v>
      </c>
      <c r="G2679" s="1100">
        <v>1055</v>
      </c>
      <c r="H2679" s="1100" t="s">
        <v>10345</v>
      </c>
      <c r="I2679" s="871">
        <v>46296.133811898151</v>
      </c>
      <c r="J2679" s="1100" t="s">
        <v>10349</v>
      </c>
      <c r="K2679" s="975" t="str">
        <f>IF(COUNTIFS(tblControles[Clave],tblControles[[#This Row],[Clave]])&gt;1,"Duplicado","")</f>
        <v/>
      </c>
    </row>
    <row r="2680" spans="2:11">
      <c r="B2680" s="975" t="str">
        <f>tblControles[[#This Row],[Fecha]]&amp;"|"&amp;tblControles[[#This Row],[Módulo]]&amp;"|"&amp;tblControles[[#This Row],[Ítem]]&amp;"|"&amp;tblControles[[#This Row],[Turno]]</f>
        <v>46294|TONELADAS X TURNO|Molino barras 3|2° turno</v>
      </c>
      <c r="C2680" s="871">
        <v>46294</v>
      </c>
      <c r="D2680" s="1100" t="s">
        <v>9449</v>
      </c>
      <c r="E2680" s="1100" t="s">
        <v>389</v>
      </c>
      <c r="F2680" s="1100" t="s">
        <v>397</v>
      </c>
      <c r="G2680" s="1100">
        <v>1220</v>
      </c>
      <c r="H2680" s="1100" t="s">
        <v>10345</v>
      </c>
      <c r="I2680" s="871">
        <v>46296.133811898151</v>
      </c>
      <c r="J2680" s="1100" t="s">
        <v>10349</v>
      </c>
      <c r="K2680" s="975" t="str">
        <f>IF(COUNTIFS(tblControles[Clave],tblControles[[#This Row],[Clave]])&gt;1,"Duplicado","")</f>
        <v/>
      </c>
    </row>
    <row r="2681" spans="2:11">
      <c r="B2681" s="975" t="str">
        <f>tblControles[[#This Row],[Fecha]]&amp;"|"&amp;tblControles[[#This Row],[Módulo]]&amp;"|"&amp;tblControles[[#This Row],[Ítem]]&amp;"|"&amp;tblControles[[#This Row],[Turno]]</f>
        <v>46294|TONELADAS X TURNO|Molino barras 3|3° turno</v>
      </c>
      <c r="C2681" s="871">
        <v>46294</v>
      </c>
      <c r="D2681" s="1100" t="s">
        <v>9449</v>
      </c>
      <c r="E2681" s="1100" t="s">
        <v>389</v>
      </c>
      <c r="F2681" s="1100" t="s">
        <v>398</v>
      </c>
      <c r="G2681" s="1100">
        <v>1313</v>
      </c>
      <c r="H2681" s="1100" t="s">
        <v>10345</v>
      </c>
      <c r="I2681" s="871">
        <v>46296.133811898151</v>
      </c>
      <c r="J2681" s="1100" t="s">
        <v>10349</v>
      </c>
      <c r="K2681" s="975" t="str">
        <f>IF(COUNTIFS(tblControles[Clave],tblControles[[#This Row],[Clave]])&gt;1,"Duplicado","")</f>
        <v/>
      </c>
    </row>
    <row r="2682" spans="2:11">
      <c r="B2682" s="975" t="str">
        <f>tblControles[[#This Row],[Fecha]]&amp;"|"&amp;tblControles[[#This Row],[Módulo]]&amp;"|"&amp;tblControles[[#This Row],[Ítem]]&amp;"|"&amp;tblControles[[#This Row],[Turno]]</f>
        <v>46294|TONELADAS X TURNO|Molino barras 4|1° turno</v>
      </c>
      <c r="C2682" s="871">
        <v>46294</v>
      </c>
      <c r="D2682" s="1100" t="s">
        <v>9449</v>
      </c>
      <c r="E2682" s="1100" t="s">
        <v>390</v>
      </c>
      <c r="F2682" s="1100" t="s">
        <v>396</v>
      </c>
      <c r="G2682" s="1100">
        <v>539</v>
      </c>
      <c r="H2682" s="1100" t="s">
        <v>10345</v>
      </c>
      <c r="I2682" s="871">
        <v>46296.133811898151</v>
      </c>
      <c r="J2682" s="1100" t="s">
        <v>10349</v>
      </c>
      <c r="K2682" s="975" t="str">
        <f>IF(COUNTIFS(tblControles[Clave],tblControles[[#This Row],[Clave]])&gt;1,"Duplicado","")</f>
        <v/>
      </c>
    </row>
    <row r="2683" spans="2:11">
      <c r="B2683" s="975" t="str">
        <f>tblControles[[#This Row],[Fecha]]&amp;"|"&amp;tblControles[[#This Row],[Módulo]]&amp;"|"&amp;tblControles[[#This Row],[Ítem]]&amp;"|"&amp;tblControles[[#This Row],[Turno]]</f>
        <v>46294|TONELADAS X TURNO|Molino barras 4|2° turno</v>
      </c>
      <c r="C2683" s="871">
        <v>46294</v>
      </c>
      <c r="D2683" s="1100" t="s">
        <v>9449</v>
      </c>
      <c r="E2683" s="1100" t="s">
        <v>390</v>
      </c>
      <c r="F2683" s="1100" t="s">
        <v>397</v>
      </c>
      <c r="G2683" s="1100">
        <v>1190</v>
      </c>
      <c r="H2683" s="1100" t="s">
        <v>10345</v>
      </c>
      <c r="I2683" s="871">
        <v>46296.133811898151</v>
      </c>
      <c r="J2683" s="1100" t="s">
        <v>10349</v>
      </c>
      <c r="K2683" s="975" t="str">
        <f>IF(COUNTIFS(tblControles[Clave],tblControles[[#This Row],[Clave]])&gt;1,"Duplicado","")</f>
        <v/>
      </c>
    </row>
    <row r="2684" spans="2:11">
      <c r="B2684" s="975" t="str">
        <f>tblControles[[#This Row],[Fecha]]&amp;"|"&amp;tblControles[[#This Row],[Módulo]]&amp;"|"&amp;tblControles[[#This Row],[Ítem]]&amp;"|"&amp;tblControles[[#This Row],[Turno]]</f>
        <v>46294|TONELADAS X TURNO|Molino barras 4|3° turno</v>
      </c>
      <c r="C2684" s="871">
        <v>46294</v>
      </c>
      <c r="D2684" s="1100" t="s">
        <v>9449</v>
      </c>
      <c r="E2684" s="1100" t="s">
        <v>390</v>
      </c>
      <c r="F2684" s="1100" t="s">
        <v>398</v>
      </c>
      <c r="G2684" s="1100">
        <v>1226</v>
      </c>
      <c r="H2684" s="1100" t="s">
        <v>10345</v>
      </c>
      <c r="I2684" s="871">
        <v>46296.133811898151</v>
      </c>
      <c r="J2684" s="1100" t="s">
        <v>10349</v>
      </c>
      <c r="K2684" s="975" t="str">
        <f>IF(COUNTIFS(tblControles[Clave],tblControles[[#This Row],[Clave]])&gt;1,"Duplicado","")</f>
        <v/>
      </c>
    </row>
    <row r="2685" spans="2:11">
      <c r="B2685" s="975" t="str">
        <f>tblControles[[#This Row],[Fecha]]&amp;"|"&amp;tblControles[[#This Row],[Módulo]]&amp;"|"&amp;tblControles[[#This Row],[Ítem]]&amp;"|"&amp;tblControles[[#This Row],[Turno]]</f>
        <v>46294|TONELADAS X TURNO|Molino barras 5|1° turno</v>
      </c>
      <c r="C2685" s="871">
        <v>46294</v>
      </c>
      <c r="D2685" s="1100" t="s">
        <v>9449</v>
      </c>
      <c r="E2685" s="1100" t="s">
        <v>391</v>
      </c>
      <c r="F2685" s="1100" t="s">
        <v>396</v>
      </c>
      <c r="G2685" s="1100">
        <v>1568</v>
      </c>
      <c r="H2685" s="1100" t="s">
        <v>10345</v>
      </c>
      <c r="I2685" s="871">
        <v>46296.133811898151</v>
      </c>
      <c r="J2685" s="1100" t="s">
        <v>10349</v>
      </c>
      <c r="K2685" s="975" t="str">
        <f>IF(COUNTIFS(tblControles[Clave],tblControles[[#This Row],[Clave]])&gt;1,"Duplicado","")</f>
        <v/>
      </c>
    </row>
    <row r="2686" spans="2:11">
      <c r="B2686" s="975" t="str">
        <f>tblControles[[#This Row],[Fecha]]&amp;"|"&amp;tblControles[[#This Row],[Módulo]]&amp;"|"&amp;tblControles[[#This Row],[Ítem]]&amp;"|"&amp;tblControles[[#This Row],[Turno]]</f>
        <v>46294|TONELADAS X TURNO|Molino barras 5|2° turno</v>
      </c>
      <c r="C2686" s="871">
        <v>46294</v>
      </c>
      <c r="D2686" s="1100" t="s">
        <v>9449</v>
      </c>
      <c r="E2686" s="1100" t="s">
        <v>391</v>
      </c>
      <c r="F2686" s="1100" t="s">
        <v>397</v>
      </c>
      <c r="G2686" s="1100">
        <v>1308</v>
      </c>
      <c r="H2686" s="1100" t="s">
        <v>10345</v>
      </c>
      <c r="I2686" s="871">
        <v>46296.133811898151</v>
      </c>
      <c r="J2686" s="1100" t="s">
        <v>10349</v>
      </c>
      <c r="K2686" s="975" t="str">
        <f>IF(COUNTIFS(tblControles[Clave],tblControles[[#This Row],[Clave]])&gt;1,"Duplicado","")</f>
        <v/>
      </c>
    </row>
    <row r="2687" spans="2:11">
      <c r="B2687" s="975" t="str">
        <f>tblControles[[#This Row],[Fecha]]&amp;"|"&amp;tblControles[[#This Row],[Módulo]]&amp;"|"&amp;tblControles[[#This Row],[Ítem]]&amp;"|"&amp;tblControles[[#This Row],[Turno]]</f>
        <v>46294|TONELADAS X TURNO|Molino barras 5|3° turno</v>
      </c>
      <c r="C2687" s="871">
        <v>46294</v>
      </c>
      <c r="D2687" s="1100" t="s">
        <v>9449</v>
      </c>
      <c r="E2687" s="1100" t="s">
        <v>391</v>
      </c>
      <c r="F2687" s="1100" t="s">
        <v>398</v>
      </c>
      <c r="G2687" s="1100">
        <v>1536</v>
      </c>
      <c r="H2687" s="1100" t="s">
        <v>10345</v>
      </c>
      <c r="I2687" s="871">
        <v>46296.133811898151</v>
      </c>
      <c r="J2687" s="1100" t="s">
        <v>10349</v>
      </c>
      <c r="K2687" s="975" t="str">
        <f>IF(COUNTIFS(tblControles[Clave],tblControles[[#This Row],[Clave]])&gt;1,"Duplicado","")</f>
        <v/>
      </c>
    </row>
    <row r="2688" spans="2:11">
      <c r="B2688" s="975" t="str">
        <f>tblControles[[#This Row],[Fecha]]&amp;"|"&amp;tblControles[[#This Row],[Módulo]]&amp;"|"&amp;tblControles[[#This Row],[Ítem]]&amp;"|"&amp;tblControles[[#This Row],[Turno]]</f>
        <v>46294|TONELADAS X TURNO|Molino barras 6|1° turno</v>
      </c>
      <c r="C2688" s="871">
        <v>46294</v>
      </c>
      <c r="D2688" s="1100" t="s">
        <v>9449</v>
      </c>
      <c r="E2688" s="1100" t="s">
        <v>392</v>
      </c>
      <c r="F2688" s="1100" t="s">
        <v>396</v>
      </c>
      <c r="G2688" s="1100">
        <v>1578</v>
      </c>
      <c r="H2688" s="1100" t="s">
        <v>10345</v>
      </c>
      <c r="I2688" s="871">
        <v>46296.133811898151</v>
      </c>
      <c r="J2688" s="1100" t="s">
        <v>10349</v>
      </c>
      <c r="K2688" s="975" t="str">
        <f>IF(COUNTIFS(tblControles[Clave],tblControles[[#This Row],[Clave]])&gt;1,"Duplicado","")</f>
        <v/>
      </c>
    </row>
    <row r="2689" spans="2:11">
      <c r="B2689" s="975" t="str">
        <f>tblControles[[#This Row],[Fecha]]&amp;"|"&amp;tblControles[[#This Row],[Módulo]]&amp;"|"&amp;tblControles[[#This Row],[Ítem]]&amp;"|"&amp;tblControles[[#This Row],[Turno]]</f>
        <v>46294|TONELADAS X TURNO|Molino barras 6|2° turno</v>
      </c>
      <c r="C2689" s="871">
        <v>46294</v>
      </c>
      <c r="D2689" s="1100" t="s">
        <v>9449</v>
      </c>
      <c r="E2689" s="1100" t="s">
        <v>392</v>
      </c>
      <c r="F2689" s="1100" t="s">
        <v>397</v>
      </c>
      <c r="G2689" s="1100">
        <v>1333</v>
      </c>
      <c r="H2689" s="1100" t="s">
        <v>10345</v>
      </c>
      <c r="I2689" s="871">
        <v>46296.133811898151</v>
      </c>
      <c r="J2689" s="1100" t="s">
        <v>10349</v>
      </c>
      <c r="K2689" s="975" t="str">
        <f>IF(COUNTIFS(tblControles[Clave],tblControles[[#This Row],[Clave]])&gt;1,"Duplicado","")</f>
        <v/>
      </c>
    </row>
    <row r="2690" spans="2:11">
      <c r="B2690" s="975" t="str">
        <f>tblControles[[#This Row],[Fecha]]&amp;"|"&amp;tblControles[[#This Row],[Módulo]]&amp;"|"&amp;tblControles[[#This Row],[Ítem]]&amp;"|"&amp;tblControles[[#This Row],[Turno]]</f>
        <v>46294|TONELADAS X TURNO|Molino barras 6|3° turno</v>
      </c>
      <c r="C2690" s="871">
        <v>46294</v>
      </c>
      <c r="D2690" s="1100" t="s">
        <v>9449</v>
      </c>
      <c r="E2690" s="1100" t="s">
        <v>392</v>
      </c>
      <c r="F2690" s="1100" t="s">
        <v>398</v>
      </c>
      <c r="G2690" s="1100">
        <v>1495</v>
      </c>
      <c r="H2690" s="1100" t="s">
        <v>10345</v>
      </c>
      <c r="I2690" s="871">
        <v>46296.133811898151</v>
      </c>
      <c r="J2690" s="1100" t="s">
        <v>10349</v>
      </c>
      <c r="K2690" s="975" t="str">
        <f>IF(COUNTIFS(tblControles[Clave],tblControles[[#This Row],[Clave]])&gt;1,"Duplicado","")</f>
        <v/>
      </c>
    </row>
    <row r="2691" spans="2:11">
      <c r="B2691" s="975" t="str">
        <f>tblControles[[#This Row],[Fecha]]&amp;"|"&amp;tblControles[[#This Row],[Módulo]]&amp;"|"&amp;tblControles[[#This Row],[Ítem]]&amp;"|"&amp;tblControles[[#This Row],[Turno]]</f>
        <v>46294|TONELADAS X TURNO|Molino barras 7|1° turno</v>
      </c>
      <c r="C2691" s="871">
        <v>46294</v>
      </c>
      <c r="D2691" s="1100" t="s">
        <v>9449</v>
      </c>
      <c r="E2691" s="1100" t="s">
        <v>393</v>
      </c>
      <c r="F2691" s="1100" t="s">
        <v>396</v>
      </c>
      <c r="G2691" s="1100">
        <v>1613</v>
      </c>
      <c r="H2691" s="1100" t="s">
        <v>10345</v>
      </c>
      <c r="I2691" s="871">
        <v>46296.133811898151</v>
      </c>
      <c r="J2691" s="1100" t="s">
        <v>10349</v>
      </c>
      <c r="K2691" s="975" t="str">
        <f>IF(COUNTIFS(tblControles[Clave],tblControles[[#This Row],[Clave]])&gt;1,"Duplicado","")</f>
        <v/>
      </c>
    </row>
    <row r="2692" spans="2:11">
      <c r="B2692" s="975" t="str">
        <f>tblControles[[#This Row],[Fecha]]&amp;"|"&amp;tblControles[[#This Row],[Módulo]]&amp;"|"&amp;tblControles[[#This Row],[Ítem]]&amp;"|"&amp;tblControles[[#This Row],[Turno]]</f>
        <v>46294|TONELADAS X TURNO|Molino barras 7|2° turno</v>
      </c>
      <c r="C2692" s="871">
        <v>46294</v>
      </c>
      <c r="D2692" s="1100" t="s">
        <v>9449</v>
      </c>
      <c r="E2692" s="1100" t="s">
        <v>393</v>
      </c>
      <c r="F2692" s="1100" t="s">
        <v>397</v>
      </c>
      <c r="G2692" s="1100">
        <v>1280</v>
      </c>
      <c r="H2692" s="1100" t="s">
        <v>10345</v>
      </c>
      <c r="I2692" s="871">
        <v>46296.133811898151</v>
      </c>
      <c r="J2692" s="1100" t="s">
        <v>10349</v>
      </c>
      <c r="K2692" s="975" t="str">
        <f>IF(COUNTIFS(tblControles[Clave],tblControles[[#This Row],[Clave]])&gt;1,"Duplicado","")</f>
        <v/>
      </c>
    </row>
    <row r="2693" spans="2:11">
      <c r="B2693" s="975" t="str">
        <f>tblControles[[#This Row],[Fecha]]&amp;"|"&amp;tblControles[[#This Row],[Módulo]]&amp;"|"&amp;tblControles[[#This Row],[Ítem]]&amp;"|"&amp;tblControles[[#This Row],[Turno]]</f>
        <v>46294|TONELADAS X TURNO|Molino barras 7|3° turno</v>
      </c>
      <c r="C2693" s="871">
        <v>46294</v>
      </c>
      <c r="D2693" s="1100" t="s">
        <v>9449</v>
      </c>
      <c r="E2693" s="1100" t="s">
        <v>393</v>
      </c>
      <c r="F2693" s="1100" t="s">
        <v>398</v>
      </c>
      <c r="G2693" s="1100">
        <v>290</v>
      </c>
      <c r="H2693" s="1100" t="s">
        <v>10345</v>
      </c>
      <c r="I2693" s="871">
        <v>46296.133811898151</v>
      </c>
      <c r="J2693" s="1100" t="s">
        <v>10349</v>
      </c>
      <c r="K2693" s="975" t="str">
        <f>IF(COUNTIFS(tblControles[Clave],tblControles[[#This Row],[Clave]])&gt;1,"Duplicado","")</f>
        <v/>
      </c>
    </row>
    <row r="2694" spans="2:11">
      <c r="B2694" s="975" t="str">
        <f>tblControles[[#This Row],[Fecha]]&amp;"|"&amp;tblControles[[#This Row],[Módulo]]&amp;"|"&amp;tblControles[[#This Row],[Ítem]]&amp;"|"&amp;tblControles[[#This Row],[Turno]]</f>
        <v>46294|TONELADAS X TURNO|Molino barras 8|1° turno</v>
      </c>
      <c r="C2694" s="871">
        <v>46294</v>
      </c>
      <c r="D2694" s="1100" t="s">
        <v>9449</v>
      </c>
      <c r="E2694" s="1100" t="s">
        <v>394</v>
      </c>
      <c r="F2694" s="1100" t="s">
        <v>396</v>
      </c>
      <c r="G2694" s="1100">
        <v>1606</v>
      </c>
      <c r="H2694" s="1100" t="s">
        <v>10345</v>
      </c>
      <c r="I2694" s="871">
        <v>46296.133811898151</v>
      </c>
      <c r="J2694" s="1100" t="s">
        <v>10349</v>
      </c>
      <c r="K2694" s="975" t="str">
        <f>IF(COUNTIFS(tblControles[Clave],tblControles[[#This Row],[Clave]])&gt;1,"Duplicado","")</f>
        <v/>
      </c>
    </row>
    <row r="2695" spans="2:11">
      <c r="B2695" s="975" t="str">
        <f>tblControles[[#This Row],[Fecha]]&amp;"|"&amp;tblControles[[#This Row],[Módulo]]&amp;"|"&amp;tblControles[[#This Row],[Ítem]]&amp;"|"&amp;tblControles[[#This Row],[Turno]]</f>
        <v>46294|TONELADAS X TURNO|Molino barras 8|2° turno</v>
      </c>
      <c r="C2695" s="871">
        <v>46294</v>
      </c>
      <c r="D2695" s="1100" t="s">
        <v>9449</v>
      </c>
      <c r="E2695" s="1100" t="s">
        <v>394</v>
      </c>
      <c r="F2695" s="1100" t="s">
        <v>397</v>
      </c>
      <c r="G2695" s="1100">
        <v>1316</v>
      </c>
      <c r="H2695" s="1100" t="s">
        <v>10345</v>
      </c>
      <c r="I2695" s="871">
        <v>46296.133811898151</v>
      </c>
      <c r="J2695" s="1100" t="s">
        <v>10349</v>
      </c>
      <c r="K2695" s="975" t="str">
        <f>IF(COUNTIFS(tblControles[Clave],tblControles[[#This Row],[Clave]])&gt;1,"Duplicado","")</f>
        <v/>
      </c>
    </row>
    <row r="2696" spans="2:11">
      <c r="B2696" s="975" t="str">
        <f>tblControles[[#This Row],[Fecha]]&amp;"|"&amp;tblControles[[#This Row],[Módulo]]&amp;"|"&amp;tblControles[[#This Row],[Ítem]]&amp;"|"&amp;tblControles[[#This Row],[Turno]]</f>
        <v>46294|TONELADAS X TURNO|Molino barras 8|3° turno</v>
      </c>
      <c r="C2696" s="871">
        <v>46294</v>
      </c>
      <c r="D2696" s="1100" t="s">
        <v>9449</v>
      </c>
      <c r="E2696" s="1100" t="s">
        <v>394</v>
      </c>
      <c r="F2696" s="1100" t="s">
        <v>398</v>
      </c>
      <c r="G2696" s="1100">
        <v>1477</v>
      </c>
      <c r="H2696" s="1100" t="s">
        <v>10345</v>
      </c>
      <c r="I2696" s="871">
        <v>46296.133811898151</v>
      </c>
      <c r="J2696" s="1100" t="s">
        <v>10349</v>
      </c>
      <c r="K2696" s="975" t="str">
        <f>IF(COUNTIFS(tblControles[Clave],tblControles[[#This Row],[Clave]])&gt;1,"Duplicado","")</f>
        <v/>
      </c>
    </row>
    <row r="2697" spans="2:11">
      <c r="B2697" s="975" t="str">
        <f>tblControles[[#This Row],[Fecha]]&amp;"|"&amp;tblControles[[#This Row],[Módulo]]&amp;"|"&amp;tblControles[[#This Row],[Ítem]]&amp;"|"&amp;tblControles[[#This Row],[Turno]]</f>
        <v>46294|TONELADAS X TURNO|Molino barras 9|1° turno</v>
      </c>
      <c r="C2697" s="871">
        <v>46294</v>
      </c>
      <c r="D2697" s="1100" t="s">
        <v>9449</v>
      </c>
      <c r="E2697" s="1100" t="s">
        <v>395</v>
      </c>
      <c r="F2697" s="1100" t="s">
        <v>396</v>
      </c>
      <c r="G2697" s="1100">
        <v>1671</v>
      </c>
      <c r="H2697" s="1100" t="s">
        <v>10345</v>
      </c>
      <c r="I2697" s="871">
        <v>46296.133811898151</v>
      </c>
      <c r="J2697" s="1100" t="s">
        <v>10349</v>
      </c>
      <c r="K2697" s="975" t="str">
        <f>IF(COUNTIFS(tblControles[Clave],tblControles[[#This Row],[Clave]])&gt;1,"Duplicado","")</f>
        <v/>
      </c>
    </row>
    <row r="2698" spans="2:11">
      <c r="B2698" s="975" t="str">
        <f>tblControles[[#This Row],[Fecha]]&amp;"|"&amp;tblControles[[#This Row],[Módulo]]&amp;"|"&amp;tblControles[[#This Row],[Ítem]]&amp;"|"&amp;tblControles[[#This Row],[Turno]]</f>
        <v>46294|TONELADAS X TURNO|Molino barras 9|2° turno</v>
      </c>
      <c r="C2698" s="871">
        <v>46294</v>
      </c>
      <c r="D2698" s="1100" t="s">
        <v>9449</v>
      </c>
      <c r="E2698" s="1100" t="s">
        <v>395</v>
      </c>
      <c r="F2698" s="1100" t="s">
        <v>397</v>
      </c>
      <c r="G2698" s="1100">
        <v>1627</v>
      </c>
      <c r="H2698" s="1100" t="s">
        <v>10345</v>
      </c>
      <c r="I2698" s="871">
        <v>46296.133811898151</v>
      </c>
      <c r="J2698" s="1100" t="s">
        <v>10349</v>
      </c>
      <c r="K2698" s="975" t="str">
        <f>IF(COUNTIFS(tblControles[Clave],tblControles[[#This Row],[Clave]])&gt;1,"Duplicado","")</f>
        <v/>
      </c>
    </row>
    <row r="2699" spans="2:11">
      <c r="B2699" s="975" t="str">
        <f>tblControles[[#This Row],[Fecha]]&amp;"|"&amp;tblControles[[#This Row],[Módulo]]&amp;"|"&amp;tblControles[[#This Row],[Ítem]]&amp;"|"&amp;tblControles[[#This Row],[Turno]]</f>
        <v>46294|TONELADAS X TURNO|Molino barras 9|3° turno</v>
      </c>
      <c r="C2699" s="871">
        <v>46294</v>
      </c>
      <c r="D2699" s="1100" t="s">
        <v>9449</v>
      </c>
      <c r="E2699" s="1100" t="s">
        <v>395</v>
      </c>
      <c r="F2699" s="1100" t="s">
        <v>398</v>
      </c>
      <c r="G2699" s="1100">
        <v>1583</v>
      </c>
      <c r="H2699" s="1100" t="s">
        <v>10345</v>
      </c>
      <c r="I2699" s="871">
        <v>46296.133811898151</v>
      </c>
      <c r="J2699" s="1100" t="s">
        <v>10349</v>
      </c>
      <c r="K2699" s="975" t="str">
        <f>IF(COUNTIFS(tblControles[Clave],tblControles[[#This Row],[Clave]])&gt;1,"Duplicado","")</f>
        <v/>
      </c>
    </row>
    <row r="2700" spans="2:11">
      <c r="B2700" s="975" t="str">
        <f>tblControles[[#This Row],[Fecha]]&amp;"|"&amp;tblControles[[#This Row],[Módulo]]&amp;"|"&amp;tblControles[[#This Row],[Ítem]]&amp;"|"&amp;tblControles[[#This Row],[Turno]]</f>
        <v>46288|PURGA TKS AIRE|TK-MG-001|3er Turno</v>
      </c>
      <c r="C2700" s="871">
        <v>46288</v>
      </c>
      <c r="D2700" s="1100" t="s">
        <v>9433</v>
      </c>
      <c r="E2700" s="1100" t="s">
        <v>337</v>
      </c>
      <c r="F2700" s="1100" t="s">
        <v>9437</v>
      </c>
      <c r="G2700" s="1100" t="s">
        <v>3227</v>
      </c>
      <c r="H2700" s="1100" t="s">
        <v>10345</v>
      </c>
      <c r="I2700" s="871">
        <v>46296.133811898151</v>
      </c>
      <c r="J2700" s="1100" t="s">
        <v>10350</v>
      </c>
      <c r="K2700" s="975" t="str">
        <f>IF(COUNTIFS(tblControles[Clave],tblControles[[#This Row],[Clave]])&gt;1,"Duplicado","")</f>
        <v/>
      </c>
    </row>
    <row r="2701" spans="2:11">
      <c r="B2701" s="975" t="str">
        <f>tblControles[[#This Row],[Fecha]]&amp;"|"&amp;tblControles[[#This Row],[Módulo]]&amp;"|"&amp;tblControles[[#This Row],[Ítem]]&amp;"|"&amp;tblControles[[#This Row],[Turno]]</f>
        <v>46288|PURGA TKS AIRE|TK-MG-002|3er Turno</v>
      </c>
      <c r="C2701" s="871">
        <v>46288</v>
      </c>
      <c r="D2701" s="1100" t="s">
        <v>9433</v>
      </c>
      <c r="E2701" s="1100" t="s">
        <v>339</v>
      </c>
      <c r="F2701" s="1100" t="s">
        <v>9437</v>
      </c>
      <c r="G2701" s="1100" t="s">
        <v>3227</v>
      </c>
      <c r="H2701" s="1100" t="s">
        <v>10345</v>
      </c>
      <c r="I2701" s="871">
        <v>46296.133811898151</v>
      </c>
      <c r="J2701" s="1100" t="s">
        <v>10350</v>
      </c>
      <c r="K2701" s="975" t="str">
        <f>IF(COUNTIFS(tblControles[Clave],tblControles[[#This Row],[Clave]])&gt;1,"Duplicado","")</f>
        <v/>
      </c>
    </row>
    <row r="2702" spans="2:11">
      <c r="B2702" s="975" t="str">
        <f>tblControles[[#This Row],[Fecha]]&amp;"|"&amp;tblControles[[#This Row],[Módulo]]&amp;"|"&amp;tblControles[[#This Row],[Ítem]]&amp;"|"&amp;tblControles[[#This Row],[Turno]]</f>
        <v>46288|PURGA TKS AIRE|TK-MG-003|3er Turno</v>
      </c>
      <c r="C2702" s="871">
        <v>46288</v>
      </c>
      <c r="D2702" s="1100" t="s">
        <v>9433</v>
      </c>
      <c r="E2702" s="1100" t="s">
        <v>341</v>
      </c>
      <c r="F2702" s="1100" t="s">
        <v>9437</v>
      </c>
      <c r="G2702" s="1100" t="s">
        <v>3227</v>
      </c>
      <c r="H2702" s="1100" t="s">
        <v>10345</v>
      </c>
      <c r="I2702" s="871">
        <v>46296.133811898151</v>
      </c>
      <c r="J2702" s="1100" t="s">
        <v>10350</v>
      </c>
      <c r="K2702" s="975" t="str">
        <f>IF(COUNTIFS(tblControles[Clave],tblControles[[#This Row],[Clave]])&gt;1,"Duplicado","")</f>
        <v/>
      </c>
    </row>
    <row r="2703" spans="2:11">
      <c r="B2703" s="975" t="str">
        <f>tblControles[[#This Row],[Fecha]]&amp;"|"&amp;tblControles[[#This Row],[Módulo]]&amp;"|"&amp;tblControles[[#This Row],[Ítem]]&amp;"|"&amp;tblControles[[#This Row],[Turno]]</f>
        <v>46288|PURGA TKS AIRE|TK-MG-004|3er Turno</v>
      </c>
      <c r="C2703" s="871">
        <v>46288</v>
      </c>
      <c r="D2703" s="1100" t="s">
        <v>9433</v>
      </c>
      <c r="E2703" s="1100" t="s">
        <v>349</v>
      </c>
      <c r="F2703" s="1100" t="s">
        <v>9437</v>
      </c>
      <c r="G2703" s="1100" t="s">
        <v>3227</v>
      </c>
      <c r="H2703" s="1100" t="s">
        <v>10345</v>
      </c>
      <c r="I2703" s="871">
        <v>46296.133811898151</v>
      </c>
      <c r="J2703" s="1100" t="s">
        <v>10350</v>
      </c>
      <c r="K2703" s="975" t="str">
        <f>IF(COUNTIFS(tblControles[Clave],tblControles[[#This Row],[Clave]])&gt;1,"Duplicado","")</f>
        <v/>
      </c>
    </row>
    <row r="2704" spans="2:11">
      <c r="B2704" s="975" t="str">
        <f>tblControles[[#This Row],[Fecha]]&amp;"|"&amp;tblControles[[#This Row],[Módulo]]&amp;"|"&amp;tblControles[[#This Row],[Ítem]]&amp;"|"&amp;tblControles[[#This Row],[Turno]]</f>
        <v>46288|PURGA TKS AIRE|TK-MG-005|3er Turno</v>
      </c>
      <c r="C2704" s="871">
        <v>46288</v>
      </c>
      <c r="D2704" s="1100" t="s">
        <v>9433</v>
      </c>
      <c r="E2704" s="1100" t="s">
        <v>343</v>
      </c>
      <c r="F2704" s="1100" t="s">
        <v>9437</v>
      </c>
      <c r="G2704" s="1100" t="s">
        <v>345</v>
      </c>
      <c r="H2704" s="1100" t="s">
        <v>10345</v>
      </c>
      <c r="I2704" s="871">
        <v>46296.133811898151</v>
      </c>
      <c r="J2704" s="1100" t="s">
        <v>10350</v>
      </c>
      <c r="K2704" s="975" t="str">
        <f>IF(COUNTIFS(tblControles[Clave],tblControles[[#This Row],[Clave]])&gt;1,"Duplicado","")</f>
        <v/>
      </c>
    </row>
    <row r="2705" spans="2:11">
      <c r="B2705" s="975" t="str">
        <f>tblControles[[#This Row],[Fecha]]&amp;"|"&amp;tblControles[[#This Row],[Módulo]]&amp;"|"&amp;tblControles[[#This Row],[Ítem]]&amp;"|"&amp;tblControles[[#This Row],[Turno]]</f>
        <v>46288|PURGA TKS AIRE|TK-MG-006|3er Turno</v>
      </c>
      <c r="C2705" s="871">
        <v>46288</v>
      </c>
      <c r="D2705" s="1100" t="s">
        <v>9433</v>
      </c>
      <c r="E2705" s="1100" t="s">
        <v>346</v>
      </c>
      <c r="F2705" s="1100" t="s">
        <v>9437</v>
      </c>
      <c r="G2705" s="1100" t="s">
        <v>3227</v>
      </c>
      <c r="H2705" s="1100" t="s">
        <v>10345</v>
      </c>
      <c r="I2705" s="871">
        <v>46296.133811898151</v>
      </c>
      <c r="J2705" s="1100" t="s">
        <v>10350</v>
      </c>
      <c r="K2705" s="975" t="str">
        <f>IF(COUNTIFS(tblControles[Clave],tblControles[[#This Row],[Clave]])&gt;1,"Duplicado","")</f>
        <v/>
      </c>
    </row>
    <row r="2706" spans="2:11">
      <c r="B2706" s="975" t="str">
        <f>tblControles[[#This Row],[Fecha]]&amp;"|"&amp;tblControles[[#This Row],[Módulo]]&amp;"|"&amp;tblControles[[#This Row],[Ítem]]&amp;"|"&amp;tblControles[[#This Row],[Turno]]</f>
        <v>46288|PURGA TKS AIRE|TK-MG-007|3er Turno</v>
      </c>
      <c r="C2706" s="871">
        <v>46288</v>
      </c>
      <c r="D2706" s="1100" t="s">
        <v>9433</v>
      </c>
      <c r="E2706" s="1100" t="s">
        <v>347</v>
      </c>
      <c r="F2706" s="1100" t="s">
        <v>9437</v>
      </c>
      <c r="G2706" s="1100" t="s">
        <v>3227</v>
      </c>
      <c r="H2706" s="1100" t="s">
        <v>10345</v>
      </c>
      <c r="I2706" s="871">
        <v>46296.133811898151</v>
      </c>
      <c r="J2706" s="1100" t="s">
        <v>10350</v>
      </c>
      <c r="K2706" s="975" t="str">
        <f>IF(COUNTIFS(tblControles[Clave],tblControles[[#This Row],[Clave]])&gt;1,"Duplicado","")</f>
        <v/>
      </c>
    </row>
    <row r="2707" spans="2:11">
      <c r="B2707" s="975" t="str">
        <f>tblControles[[#This Row],[Fecha]]&amp;"|"&amp;tblControles[[#This Row],[Módulo]]&amp;"|"&amp;tblControles[[#This Row],[Ítem]]&amp;"|"&amp;tblControles[[#This Row],[Turno]]</f>
        <v>46288|PURGA TKS AIRE|TK-MG-008|3er Turno</v>
      </c>
      <c r="C2707" s="871">
        <v>46288</v>
      </c>
      <c r="D2707" s="1100" t="s">
        <v>9433</v>
      </c>
      <c r="E2707" s="1100" t="s">
        <v>351</v>
      </c>
      <c r="F2707" s="1100" t="s">
        <v>9437</v>
      </c>
      <c r="G2707" s="1100" t="s">
        <v>3227</v>
      </c>
      <c r="H2707" s="1100" t="s">
        <v>10345</v>
      </c>
      <c r="I2707" s="871">
        <v>46296.133811898151</v>
      </c>
      <c r="J2707" s="1100" t="s">
        <v>10350</v>
      </c>
      <c r="K2707" s="975" t="str">
        <f>IF(COUNTIFS(tblControles[Clave],tblControles[[#This Row],[Clave]])&gt;1,"Duplicado","")</f>
        <v/>
      </c>
    </row>
    <row r="2708" spans="2:11">
      <c r="B2708" s="975" t="str">
        <f>tblControles[[#This Row],[Fecha]]&amp;"|"&amp;tblControles[[#This Row],[Módulo]]&amp;"|"&amp;tblControles[[#This Row],[Ítem]]&amp;"|"&amp;tblControles[[#This Row],[Turno]]</f>
        <v>46288|PURGA TKS AIRE|TK-MG-009|3er Turno</v>
      </c>
      <c r="C2708" s="871">
        <v>46288</v>
      </c>
      <c r="D2708" s="1100" t="s">
        <v>9433</v>
      </c>
      <c r="E2708" s="1100" t="s">
        <v>353</v>
      </c>
      <c r="F2708" s="1100" t="s">
        <v>9437</v>
      </c>
      <c r="G2708" s="1100" t="s">
        <v>3227</v>
      </c>
      <c r="H2708" s="1100" t="s">
        <v>10345</v>
      </c>
      <c r="I2708" s="871">
        <v>46296.133811898151</v>
      </c>
      <c r="J2708" s="1100" t="s">
        <v>10350</v>
      </c>
      <c r="K2708" s="975" t="str">
        <f>IF(COUNTIFS(tblControles[Clave],tblControles[[#This Row],[Clave]])&gt;1,"Duplicado","")</f>
        <v/>
      </c>
    </row>
    <row r="2709" spans="2:11">
      <c r="B2709" s="975" t="str">
        <f>tblControles[[#This Row],[Fecha]]&amp;"|"&amp;tblControles[[#This Row],[Módulo]]&amp;"|"&amp;tblControles[[#This Row],[Ítem]]&amp;"|"&amp;tblControles[[#This Row],[Turno]]</f>
        <v>46288|PURGA TKS AIRE|TK-MG-010|3er Turno</v>
      </c>
      <c r="C2709" s="871">
        <v>46288</v>
      </c>
      <c r="D2709" s="1100" t="s">
        <v>9433</v>
      </c>
      <c r="E2709" s="1100" t="s">
        <v>355</v>
      </c>
      <c r="F2709" s="1100" t="s">
        <v>9437</v>
      </c>
      <c r="G2709" s="1100" t="s">
        <v>3227</v>
      </c>
      <c r="H2709" s="1100" t="s">
        <v>10345</v>
      </c>
      <c r="I2709" s="871">
        <v>46296.133811898151</v>
      </c>
      <c r="J2709" s="1100" t="s">
        <v>10350</v>
      </c>
      <c r="K2709" s="975" t="str">
        <f>IF(COUNTIFS(tblControles[Clave],tblControles[[#This Row],[Clave]])&gt;1,"Duplicado","")</f>
        <v/>
      </c>
    </row>
    <row r="2710" spans="2:11">
      <c r="B2710" s="975" t="str">
        <f>tblControles[[#This Row],[Fecha]]&amp;"|"&amp;tblControles[[#This Row],[Módulo]]&amp;"|"&amp;tblControles[[#This Row],[Ítem]]&amp;"|"&amp;tblControles[[#This Row],[Turno]]</f>
        <v>46288|PURGA TKS AIRE|TK-MG-011|3er Turno</v>
      </c>
      <c r="C2710" s="871">
        <v>46288</v>
      </c>
      <c r="D2710" s="1100" t="s">
        <v>9433</v>
      </c>
      <c r="E2710" s="1100" t="s">
        <v>357</v>
      </c>
      <c r="F2710" s="1100" t="s">
        <v>9437</v>
      </c>
      <c r="G2710" s="1100" t="s">
        <v>3227</v>
      </c>
      <c r="H2710" s="1100" t="s">
        <v>10345</v>
      </c>
      <c r="I2710" s="871">
        <v>46296.133811898151</v>
      </c>
      <c r="J2710" s="1100" t="s">
        <v>10350</v>
      </c>
      <c r="K2710" s="975" t="str">
        <f>IF(COUNTIFS(tblControles[Clave],tblControles[[#This Row],[Clave]])&gt;1,"Duplicado","")</f>
        <v/>
      </c>
    </row>
    <row r="2711" spans="2:11">
      <c r="B2711" s="975" t="str">
        <f>tblControles[[#This Row],[Fecha]]&amp;"|"&amp;tblControles[[#This Row],[Módulo]]&amp;"|"&amp;tblControles[[#This Row],[Ítem]]&amp;"|"&amp;tblControles[[#This Row],[Turno]]</f>
        <v>46288|PURGA TKS AIRE|TK-MG-012|3er Turno</v>
      </c>
      <c r="C2711" s="871">
        <v>46288</v>
      </c>
      <c r="D2711" s="1100" t="s">
        <v>9433</v>
      </c>
      <c r="E2711" s="1100" t="s">
        <v>359</v>
      </c>
      <c r="F2711" s="1100" t="s">
        <v>9437</v>
      </c>
      <c r="G2711" s="1100" t="s">
        <v>3227</v>
      </c>
      <c r="H2711" s="1100" t="s">
        <v>10345</v>
      </c>
      <c r="I2711" s="871">
        <v>46296.133811898151</v>
      </c>
      <c r="J2711" s="1100" t="s">
        <v>10350</v>
      </c>
      <c r="K2711" s="975" t="str">
        <f>IF(COUNTIFS(tblControles[Clave],tblControles[[#This Row],[Clave]])&gt;1,"Duplicado","")</f>
        <v/>
      </c>
    </row>
    <row r="2712" spans="2:11">
      <c r="B2712" s="975" t="str">
        <f>tblControles[[#This Row],[Fecha]]&amp;"|"&amp;tblControles[[#This Row],[Módulo]]&amp;"|"&amp;tblControles[[#This Row],[Ítem]]&amp;"|"&amp;tblControles[[#This Row],[Turno]]</f>
        <v>46288|PURGA TKS AIRE|TK-MG-013|3er Turno</v>
      </c>
      <c r="C2712" s="871">
        <v>46288</v>
      </c>
      <c r="D2712" s="1100" t="s">
        <v>9433</v>
      </c>
      <c r="E2712" s="1100" t="s">
        <v>361</v>
      </c>
      <c r="F2712" s="1100" t="s">
        <v>9437</v>
      </c>
      <c r="G2712" s="1100" t="s">
        <v>3227</v>
      </c>
      <c r="H2712" s="1100" t="s">
        <v>10345</v>
      </c>
      <c r="I2712" s="871">
        <v>46296.133811898151</v>
      </c>
      <c r="J2712" s="1100" t="s">
        <v>10350</v>
      </c>
      <c r="K2712" s="975" t="str">
        <f>IF(COUNTIFS(tblControles[Clave],tblControles[[#This Row],[Clave]])&gt;1,"Duplicado","")</f>
        <v/>
      </c>
    </row>
    <row r="2713" spans="2:11">
      <c r="B2713" s="975" t="str">
        <f>tblControles[[#This Row],[Fecha]]&amp;"|"&amp;tblControles[[#This Row],[Módulo]]&amp;"|"&amp;tblControles[[#This Row],[Ítem]]&amp;"|"&amp;tblControles[[#This Row],[Turno]]</f>
        <v>46288|PURGA TKS AIRE|TK-MG-014|3er Turno</v>
      </c>
      <c r="C2713" s="871">
        <v>46288</v>
      </c>
      <c r="D2713" s="1100" t="s">
        <v>9433</v>
      </c>
      <c r="E2713" s="1100" t="s">
        <v>363</v>
      </c>
      <c r="F2713" s="1100" t="s">
        <v>9437</v>
      </c>
      <c r="G2713" s="1100" t="s">
        <v>3227</v>
      </c>
      <c r="H2713" s="1100" t="s">
        <v>10345</v>
      </c>
      <c r="I2713" s="871">
        <v>46296.133811898151</v>
      </c>
      <c r="J2713" s="1100" t="s">
        <v>10350</v>
      </c>
      <c r="K2713" s="975" t="str">
        <f>IF(COUNTIFS(tblControles[Clave],tblControles[[#This Row],[Clave]])&gt;1,"Duplicado","")</f>
        <v/>
      </c>
    </row>
    <row r="2714" spans="2:11">
      <c r="B2714" s="975" t="str">
        <f>tblControles[[#This Row],[Fecha]]&amp;"|"&amp;tblControles[[#This Row],[Módulo]]&amp;"|"&amp;tblControles[[#This Row],[Ítem]]&amp;"|"&amp;tblControles[[#This Row],[Turno]]</f>
        <v>46288|PURGA TKS AIRE|TK-MG-S. ROTULO|3er Turno</v>
      </c>
      <c r="C2714" s="871">
        <v>46288</v>
      </c>
      <c r="D2714" s="1100" t="s">
        <v>9433</v>
      </c>
      <c r="E2714" s="1100" t="s">
        <v>9471</v>
      </c>
      <c r="F2714" s="1100" t="s">
        <v>9437</v>
      </c>
      <c r="G2714" s="1100" t="s">
        <v>3227</v>
      </c>
      <c r="H2714" s="1100" t="s">
        <v>10345</v>
      </c>
      <c r="I2714" s="871">
        <v>46296.133811898151</v>
      </c>
      <c r="J2714" s="1100" t="s">
        <v>10350</v>
      </c>
      <c r="K2714" s="975" t="str">
        <f>IF(COUNTIFS(tblControles[Clave],tblControles[[#This Row],[Clave]])&gt;1,"Duplicado","")</f>
        <v/>
      </c>
    </row>
    <row r="2715" spans="2:11">
      <c r="B2715" s="975" t="str">
        <f>tblControles[[#This Row],[Fecha]]&amp;"|"&amp;tblControles[[#This Row],[Módulo]]&amp;"|"&amp;tblControles[[#This Row],[Ítem]]&amp;"|"&amp;tblControles[[#This Row],[Turno]]</f>
        <v>46289|PURGA TKS AIRE|TK-MG-001|3er Turno</v>
      </c>
      <c r="C2715" s="871">
        <v>46289</v>
      </c>
      <c r="D2715" s="1100" t="s">
        <v>9433</v>
      </c>
      <c r="E2715" s="1100" t="s">
        <v>337</v>
      </c>
      <c r="F2715" s="1100" t="s">
        <v>9437</v>
      </c>
      <c r="G2715" s="1100" t="s">
        <v>3227</v>
      </c>
      <c r="H2715" s="1100" t="s">
        <v>10345</v>
      </c>
      <c r="I2715" s="871">
        <v>46296.133811898151</v>
      </c>
      <c r="J2715" s="1100" t="s">
        <v>10350</v>
      </c>
      <c r="K2715" s="975" t="str">
        <f>IF(COUNTIFS(tblControles[Clave],tblControles[[#This Row],[Clave]])&gt;1,"Duplicado","")</f>
        <v/>
      </c>
    </row>
    <row r="2716" spans="2:11">
      <c r="B2716" s="975" t="str">
        <f>tblControles[[#This Row],[Fecha]]&amp;"|"&amp;tblControles[[#This Row],[Módulo]]&amp;"|"&amp;tblControles[[#This Row],[Ítem]]&amp;"|"&amp;tblControles[[#This Row],[Turno]]</f>
        <v>46289|PURGA TKS AIRE|TK-MG-002|3er Turno</v>
      </c>
      <c r="C2716" s="871">
        <v>46289</v>
      </c>
      <c r="D2716" s="1100" t="s">
        <v>9433</v>
      </c>
      <c r="E2716" s="1100" t="s">
        <v>339</v>
      </c>
      <c r="F2716" s="1100" t="s">
        <v>9437</v>
      </c>
      <c r="G2716" s="1100" t="s">
        <v>3227</v>
      </c>
      <c r="H2716" s="1100" t="s">
        <v>10345</v>
      </c>
      <c r="I2716" s="871">
        <v>46296.133811898151</v>
      </c>
      <c r="J2716" s="1100" t="s">
        <v>10350</v>
      </c>
      <c r="K2716" s="975" t="str">
        <f>IF(COUNTIFS(tblControles[Clave],tblControles[[#This Row],[Clave]])&gt;1,"Duplicado","")</f>
        <v/>
      </c>
    </row>
    <row r="2717" spans="2:11">
      <c r="B2717" s="975" t="str">
        <f>tblControles[[#This Row],[Fecha]]&amp;"|"&amp;tblControles[[#This Row],[Módulo]]&amp;"|"&amp;tblControles[[#This Row],[Ítem]]&amp;"|"&amp;tblControles[[#This Row],[Turno]]</f>
        <v>46289|PURGA TKS AIRE|TK-MG-003|3er Turno</v>
      </c>
      <c r="C2717" s="871">
        <v>46289</v>
      </c>
      <c r="D2717" s="1100" t="s">
        <v>9433</v>
      </c>
      <c r="E2717" s="1100" t="s">
        <v>341</v>
      </c>
      <c r="F2717" s="1100" t="s">
        <v>9437</v>
      </c>
      <c r="G2717" s="1100" t="s">
        <v>3227</v>
      </c>
      <c r="H2717" s="1100" t="s">
        <v>10345</v>
      </c>
      <c r="I2717" s="871">
        <v>46296.133811898151</v>
      </c>
      <c r="J2717" s="1100" t="s">
        <v>10350</v>
      </c>
      <c r="K2717" s="975" t="str">
        <f>IF(COUNTIFS(tblControles[Clave],tblControles[[#This Row],[Clave]])&gt;1,"Duplicado","")</f>
        <v/>
      </c>
    </row>
    <row r="2718" spans="2:11">
      <c r="B2718" s="975" t="str">
        <f>tblControles[[#This Row],[Fecha]]&amp;"|"&amp;tblControles[[#This Row],[Módulo]]&amp;"|"&amp;tblControles[[#This Row],[Ítem]]&amp;"|"&amp;tblControles[[#This Row],[Turno]]</f>
        <v>46289|PURGA TKS AIRE|TK-MG-004|3er Turno</v>
      </c>
      <c r="C2718" s="871">
        <v>46289</v>
      </c>
      <c r="D2718" s="1100" t="s">
        <v>9433</v>
      </c>
      <c r="E2718" s="1100" t="s">
        <v>349</v>
      </c>
      <c r="F2718" s="1100" t="s">
        <v>9437</v>
      </c>
      <c r="G2718" s="1100" t="s">
        <v>3227</v>
      </c>
      <c r="H2718" s="1100" t="s">
        <v>10345</v>
      </c>
      <c r="I2718" s="871">
        <v>46296.133811898151</v>
      </c>
      <c r="J2718" s="1100" t="s">
        <v>10350</v>
      </c>
      <c r="K2718" s="975" t="str">
        <f>IF(COUNTIFS(tblControles[Clave],tblControles[[#This Row],[Clave]])&gt;1,"Duplicado","")</f>
        <v/>
      </c>
    </row>
    <row r="2719" spans="2:11">
      <c r="B2719" s="975" t="str">
        <f>tblControles[[#This Row],[Fecha]]&amp;"|"&amp;tblControles[[#This Row],[Módulo]]&amp;"|"&amp;tblControles[[#This Row],[Ítem]]&amp;"|"&amp;tblControles[[#This Row],[Turno]]</f>
        <v>46289|PURGA TKS AIRE|TK-MG-005|3er Turno</v>
      </c>
      <c r="C2719" s="871">
        <v>46289</v>
      </c>
      <c r="D2719" s="1100" t="s">
        <v>9433</v>
      </c>
      <c r="E2719" s="1100" t="s">
        <v>343</v>
      </c>
      <c r="F2719" s="1100" t="s">
        <v>9437</v>
      </c>
      <c r="G2719" s="1100" t="s">
        <v>345</v>
      </c>
      <c r="H2719" s="1100" t="s">
        <v>10345</v>
      </c>
      <c r="I2719" s="871">
        <v>46296.133811898151</v>
      </c>
      <c r="J2719" s="1100" t="s">
        <v>10350</v>
      </c>
      <c r="K2719" s="975" t="str">
        <f>IF(COUNTIFS(tblControles[Clave],tblControles[[#This Row],[Clave]])&gt;1,"Duplicado","")</f>
        <v/>
      </c>
    </row>
    <row r="2720" spans="2:11">
      <c r="B2720" s="975" t="str">
        <f>tblControles[[#This Row],[Fecha]]&amp;"|"&amp;tblControles[[#This Row],[Módulo]]&amp;"|"&amp;tblControles[[#This Row],[Ítem]]&amp;"|"&amp;tblControles[[#This Row],[Turno]]</f>
        <v>46289|PURGA TKS AIRE|TK-MG-006|3er Turno</v>
      </c>
      <c r="C2720" s="871">
        <v>46289</v>
      </c>
      <c r="D2720" s="1100" t="s">
        <v>9433</v>
      </c>
      <c r="E2720" s="1100" t="s">
        <v>346</v>
      </c>
      <c r="F2720" s="1100" t="s">
        <v>9437</v>
      </c>
      <c r="G2720" s="1100" t="s">
        <v>3227</v>
      </c>
      <c r="H2720" s="1100" t="s">
        <v>10345</v>
      </c>
      <c r="I2720" s="871">
        <v>46296.133811898151</v>
      </c>
      <c r="J2720" s="1100" t="s">
        <v>10350</v>
      </c>
      <c r="K2720" s="975" t="str">
        <f>IF(COUNTIFS(tblControles[Clave],tblControles[[#This Row],[Clave]])&gt;1,"Duplicado","")</f>
        <v/>
      </c>
    </row>
    <row r="2721" spans="2:11">
      <c r="B2721" s="975" t="str">
        <f>tblControles[[#This Row],[Fecha]]&amp;"|"&amp;tblControles[[#This Row],[Módulo]]&amp;"|"&amp;tblControles[[#This Row],[Ítem]]&amp;"|"&amp;tblControles[[#This Row],[Turno]]</f>
        <v>46289|PURGA TKS AIRE|TK-MG-007|3er Turno</v>
      </c>
      <c r="C2721" s="871">
        <v>46289</v>
      </c>
      <c r="D2721" s="1100" t="s">
        <v>9433</v>
      </c>
      <c r="E2721" s="1100" t="s">
        <v>347</v>
      </c>
      <c r="F2721" s="1100" t="s">
        <v>9437</v>
      </c>
      <c r="G2721" s="1100" t="s">
        <v>3227</v>
      </c>
      <c r="H2721" s="1100" t="s">
        <v>10345</v>
      </c>
      <c r="I2721" s="871">
        <v>46296.133811898151</v>
      </c>
      <c r="J2721" s="1100" t="s">
        <v>10350</v>
      </c>
      <c r="K2721" s="975" t="str">
        <f>IF(COUNTIFS(tblControles[Clave],tblControles[[#This Row],[Clave]])&gt;1,"Duplicado","")</f>
        <v/>
      </c>
    </row>
    <row r="2722" spans="2:11">
      <c r="B2722" s="975" t="str">
        <f>tblControles[[#This Row],[Fecha]]&amp;"|"&amp;tblControles[[#This Row],[Módulo]]&amp;"|"&amp;tblControles[[#This Row],[Ítem]]&amp;"|"&amp;tblControles[[#This Row],[Turno]]</f>
        <v>46289|PURGA TKS AIRE|TK-MG-008|3er Turno</v>
      </c>
      <c r="C2722" s="871">
        <v>46289</v>
      </c>
      <c r="D2722" s="1100" t="s">
        <v>9433</v>
      </c>
      <c r="E2722" s="1100" t="s">
        <v>351</v>
      </c>
      <c r="F2722" s="1100" t="s">
        <v>9437</v>
      </c>
      <c r="G2722" s="1100" t="s">
        <v>3227</v>
      </c>
      <c r="H2722" s="1100" t="s">
        <v>10345</v>
      </c>
      <c r="I2722" s="871">
        <v>46296.133811898151</v>
      </c>
      <c r="J2722" s="1100" t="s">
        <v>10350</v>
      </c>
      <c r="K2722" s="975" t="str">
        <f>IF(COUNTIFS(tblControles[Clave],tblControles[[#This Row],[Clave]])&gt;1,"Duplicado","")</f>
        <v/>
      </c>
    </row>
    <row r="2723" spans="2:11">
      <c r="B2723" s="975" t="str">
        <f>tblControles[[#This Row],[Fecha]]&amp;"|"&amp;tblControles[[#This Row],[Módulo]]&amp;"|"&amp;tblControles[[#This Row],[Ítem]]&amp;"|"&amp;tblControles[[#This Row],[Turno]]</f>
        <v>46289|PURGA TKS AIRE|TK-MG-009|3er Turno</v>
      </c>
      <c r="C2723" s="871">
        <v>46289</v>
      </c>
      <c r="D2723" s="1100" t="s">
        <v>9433</v>
      </c>
      <c r="E2723" s="1100" t="s">
        <v>353</v>
      </c>
      <c r="F2723" s="1100" t="s">
        <v>9437</v>
      </c>
      <c r="G2723" s="1100" t="s">
        <v>3227</v>
      </c>
      <c r="H2723" s="1100" t="s">
        <v>10345</v>
      </c>
      <c r="I2723" s="871">
        <v>46296.133811898151</v>
      </c>
      <c r="J2723" s="1100" t="s">
        <v>10350</v>
      </c>
      <c r="K2723" s="975" t="str">
        <f>IF(COUNTIFS(tblControles[Clave],tblControles[[#This Row],[Clave]])&gt;1,"Duplicado","")</f>
        <v/>
      </c>
    </row>
    <row r="2724" spans="2:11">
      <c r="B2724" s="975" t="str">
        <f>tblControles[[#This Row],[Fecha]]&amp;"|"&amp;tblControles[[#This Row],[Módulo]]&amp;"|"&amp;tblControles[[#This Row],[Ítem]]&amp;"|"&amp;tblControles[[#This Row],[Turno]]</f>
        <v>46289|PURGA TKS AIRE|TK-MG-010|3er Turno</v>
      </c>
      <c r="C2724" s="871">
        <v>46289</v>
      </c>
      <c r="D2724" s="1100" t="s">
        <v>9433</v>
      </c>
      <c r="E2724" s="1100" t="s">
        <v>355</v>
      </c>
      <c r="F2724" s="1100" t="s">
        <v>9437</v>
      </c>
      <c r="G2724" s="1100" t="s">
        <v>3227</v>
      </c>
      <c r="H2724" s="1100" t="s">
        <v>10345</v>
      </c>
      <c r="I2724" s="871">
        <v>46296.133811898151</v>
      </c>
      <c r="J2724" s="1100" t="s">
        <v>10350</v>
      </c>
      <c r="K2724" s="975" t="str">
        <f>IF(COUNTIFS(tblControles[Clave],tblControles[[#This Row],[Clave]])&gt;1,"Duplicado","")</f>
        <v/>
      </c>
    </row>
    <row r="2725" spans="2:11">
      <c r="B2725" s="975" t="str">
        <f>tblControles[[#This Row],[Fecha]]&amp;"|"&amp;tblControles[[#This Row],[Módulo]]&amp;"|"&amp;tblControles[[#This Row],[Ítem]]&amp;"|"&amp;tblControles[[#This Row],[Turno]]</f>
        <v>46289|PURGA TKS AIRE|TK-MG-011|3er Turno</v>
      </c>
      <c r="C2725" s="871">
        <v>46289</v>
      </c>
      <c r="D2725" s="1100" t="s">
        <v>9433</v>
      </c>
      <c r="E2725" s="1100" t="s">
        <v>357</v>
      </c>
      <c r="F2725" s="1100" t="s">
        <v>9437</v>
      </c>
      <c r="G2725" s="1100" t="s">
        <v>3227</v>
      </c>
      <c r="H2725" s="1100" t="s">
        <v>10345</v>
      </c>
      <c r="I2725" s="871">
        <v>46296.133811898151</v>
      </c>
      <c r="J2725" s="1100" t="s">
        <v>10350</v>
      </c>
      <c r="K2725" s="975" t="str">
        <f>IF(COUNTIFS(tblControles[Clave],tblControles[[#This Row],[Clave]])&gt;1,"Duplicado","")</f>
        <v/>
      </c>
    </row>
    <row r="2726" spans="2:11">
      <c r="B2726" s="975" t="str">
        <f>tblControles[[#This Row],[Fecha]]&amp;"|"&amp;tblControles[[#This Row],[Módulo]]&amp;"|"&amp;tblControles[[#This Row],[Ítem]]&amp;"|"&amp;tblControles[[#This Row],[Turno]]</f>
        <v>46289|PURGA TKS AIRE|TK-MG-012|3er Turno</v>
      </c>
      <c r="C2726" s="871">
        <v>46289</v>
      </c>
      <c r="D2726" s="1100" t="s">
        <v>9433</v>
      </c>
      <c r="E2726" s="1100" t="s">
        <v>359</v>
      </c>
      <c r="F2726" s="1100" t="s">
        <v>9437</v>
      </c>
      <c r="G2726" s="1100" t="s">
        <v>3227</v>
      </c>
      <c r="H2726" s="1100" t="s">
        <v>10345</v>
      </c>
      <c r="I2726" s="871">
        <v>46296.133811898151</v>
      </c>
      <c r="J2726" s="1100" t="s">
        <v>10350</v>
      </c>
      <c r="K2726" s="975" t="str">
        <f>IF(COUNTIFS(tblControles[Clave],tblControles[[#This Row],[Clave]])&gt;1,"Duplicado","")</f>
        <v/>
      </c>
    </row>
    <row r="2727" spans="2:11">
      <c r="B2727" s="975" t="str">
        <f>tblControles[[#This Row],[Fecha]]&amp;"|"&amp;tblControles[[#This Row],[Módulo]]&amp;"|"&amp;tblControles[[#This Row],[Ítem]]&amp;"|"&amp;tblControles[[#This Row],[Turno]]</f>
        <v>46289|PURGA TKS AIRE|TK-MG-013|3er Turno</v>
      </c>
      <c r="C2727" s="871">
        <v>46289</v>
      </c>
      <c r="D2727" s="1100" t="s">
        <v>9433</v>
      </c>
      <c r="E2727" s="1100" t="s">
        <v>361</v>
      </c>
      <c r="F2727" s="1100" t="s">
        <v>9437</v>
      </c>
      <c r="G2727" s="1100" t="s">
        <v>3227</v>
      </c>
      <c r="H2727" s="1100" t="s">
        <v>10345</v>
      </c>
      <c r="I2727" s="871">
        <v>46296.133811898151</v>
      </c>
      <c r="J2727" s="1100" t="s">
        <v>10350</v>
      </c>
      <c r="K2727" s="975" t="str">
        <f>IF(COUNTIFS(tblControles[Clave],tblControles[[#This Row],[Clave]])&gt;1,"Duplicado","")</f>
        <v/>
      </c>
    </row>
    <row r="2728" spans="2:11">
      <c r="B2728" s="975" t="str">
        <f>tblControles[[#This Row],[Fecha]]&amp;"|"&amp;tblControles[[#This Row],[Módulo]]&amp;"|"&amp;tblControles[[#This Row],[Ítem]]&amp;"|"&amp;tblControles[[#This Row],[Turno]]</f>
        <v>46289|PURGA TKS AIRE|TK-MG-014|3er Turno</v>
      </c>
      <c r="C2728" s="871">
        <v>46289</v>
      </c>
      <c r="D2728" s="1100" t="s">
        <v>9433</v>
      </c>
      <c r="E2728" s="1100" t="s">
        <v>363</v>
      </c>
      <c r="F2728" s="1100" t="s">
        <v>9437</v>
      </c>
      <c r="G2728" s="1100" t="s">
        <v>3227</v>
      </c>
      <c r="H2728" s="1100" t="s">
        <v>10345</v>
      </c>
      <c r="I2728" s="871">
        <v>46296.133811898151</v>
      </c>
      <c r="J2728" s="1100" t="s">
        <v>10350</v>
      </c>
      <c r="K2728" s="975" t="str">
        <f>IF(COUNTIFS(tblControles[Clave],tblControles[[#This Row],[Clave]])&gt;1,"Duplicado","")</f>
        <v/>
      </c>
    </row>
    <row r="2729" spans="2:11">
      <c r="B2729" s="975" t="str">
        <f>tblControles[[#This Row],[Fecha]]&amp;"|"&amp;tblControles[[#This Row],[Módulo]]&amp;"|"&amp;tblControles[[#This Row],[Ítem]]&amp;"|"&amp;tblControles[[#This Row],[Turno]]</f>
        <v>46289|PURGA TKS AIRE|TK-MG-S. ROTULO|3er Turno</v>
      </c>
      <c r="C2729" s="871">
        <v>46289</v>
      </c>
      <c r="D2729" s="1100" t="s">
        <v>9433</v>
      </c>
      <c r="E2729" s="1100" t="s">
        <v>9471</v>
      </c>
      <c r="F2729" s="1100" t="s">
        <v>9437</v>
      </c>
      <c r="G2729" s="1100" t="s">
        <v>3227</v>
      </c>
      <c r="H2729" s="1100" t="s">
        <v>10345</v>
      </c>
      <c r="I2729" s="871">
        <v>46296.133811898151</v>
      </c>
      <c r="J2729" s="1100" t="s">
        <v>10350</v>
      </c>
      <c r="K2729" s="975" t="str">
        <f>IF(COUNTIFS(tblControles[Clave],tblControles[[#This Row],[Clave]])&gt;1,"Duplicado","")</f>
        <v/>
      </c>
    </row>
    <row r="2730" spans="2:11">
      <c r="B2730" s="975" t="str">
        <f>tblControles[[#This Row],[Fecha]]&amp;"|"&amp;tblControles[[#This Row],[Módulo]]&amp;"|"&amp;tblControles[[#This Row],[Ítem]]&amp;"|"&amp;tblControles[[#This Row],[Turno]]</f>
        <v>46290|PURGA TKS AIRE|TK-MG-001|2do Turno</v>
      </c>
      <c r="C2730" s="871">
        <v>46290</v>
      </c>
      <c r="D2730" s="1100" t="s">
        <v>9433</v>
      </c>
      <c r="E2730" s="1100" t="s">
        <v>337</v>
      </c>
      <c r="F2730" s="1100" t="s">
        <v>9436</v>
      </c>
      <c r="G2730" s="1100" t="s">
        <v>3227</v>
      </c>
      <c r="H2730" s="1100" t="s">
        <v>10345</v>
      </c>
      <c r="I2730" s="871">
        <v>46296.133811898151</v>
      </c>
      <c r="J2730" s="1100" t="s">
        <v>10350</v>
      </c>
      <c r="K2730" s="975" t="str">
        <f>IF(COUNTIFS(tblControles[Clave],tblControles[[#This Row],[Clave]])&gt;1,"Duplicado","")</f>
        <v/>
      </c>
    </row>
    <row r="2731" spans="2:11">
      <c r="B2731" s="975" t="str">
        <f>tblControles[[#This Row],[Fecha]]&amp;"|"&amp;tblControles[[#This Row],[Módulo]]&amp;"|"&amp;tblControles[[#This Row],[Ítem]]&amp;"|"&amp;tblControles[[#This Row],[Turno]]</f>
        <v>46290|PURGA TKS AIRE|TK-MG-002|2do Turno</v>
      </c>
      <c r="C2731" s="871">
        <v>46290</v>
      </c>
      <c r="D2731" s="1100" t="s">
        <v>9433</v>
      </c>
      <c r="E2731" s="1100" t="s">
        <v>339</v>
      </c>
      <c r="F2731" s="1100" t="s">
        <v>9436</v>
      </c>
      <c r="G2731" s="1100" t="s">
        <v>3227</v>
      </c>
      <c r="H2731" s="1100" t="s">
        <v>10345</v>
      </c>
      <c r="I2731" s="871">
        <v>46296.133811898151</v>
      </c>
      <c r="J2731" s="1100" t="s">
        <v>10350</v>
      </c>
      <c r="K2731" s="975" t="str">
        <f>IF(COUNTIFS(tblControles[Clave],tblControles[[#This Row],[Clave]])&gt;1,"Duplicado","")</f>
        <v/>
      </c>
    </row>
    <row r="2732" spans="2:11">
      <c r="B2732" s="975" t="str">
        <f>tblControles[[#This Row],[Fecha]]&amp;"|"&amp;tblControles[[#This Row],[Módulo]]&amp;"|"&amp;tblControles[[#This Row],[Ítem]]&amp;"|"&amp;tblControles[[#This Row],[Turno]]</f>
        <v>46290|PURGA TKS AIRE|TK-MG-003|2do Turno</v>
      </c>
      <c r="C2732" s="871">
        <v>46290</v>
      </c>
      <c r="D2732" s="1100" t="s">
        <v>9433</v>
      </c>
      <c r="E2732" s="1100" t="s">
        <v>341</v>
      </c>
      <c r="F2732" s="1100" t="s">
        <v>9436</v>
      </c>
      <c r="G2732" s="1100" t="s">
        <v>3227</v>
      </c>
      <c r="H2732" s="1100" t="s">
        <v>10345</v>
      </c>
      <c r="I2732" s="871">
        <v>46296.133811898151</v>
      </c>
      <c r="J2732" s="1100" t="s">
        <v>10350</v>
      </c>
      <c r="K2732" s="975" t="str">
        <f>IF(COUNTIFS(tblControles[Clave],tblControles[[#This Row],[Clave]])&gt;1,"Duplicado","")</f>
        <v/>
      </c>
    </row>
    <row r="2733" spans="2:11">
      <c r="B2733" s="975" t="str">
        <f>tblControles[[#This Row],[Fecha]]&amp;"|"&amp;tblControles[[#This Row],[Módulo]]&amp;"|"&amp;tblControles[[#This Row],[Ítem]]&amp;"|"&amp;tblControles[[#This Row],[Turno]]</f>
        <v>46290|PURGA TKS AIRE|TK-MG-004|2do Turno</v>
      </c>
      <c r="C2733" s="871">
        <v>46290</v>
      </c>
      <c r="D2733" s="1100" t="s">
        <v>9433</v>
      </c>
      <c r="E2733" s="1100" t="s">
        <v>349</v>
      </c>
      <c r="F2733" s="1100" t="s">
        <v>9436</v>
      </c>
      <c r="G2733" s="1100" t="s">
        <v>3227</v>
      </c>
      <c r="H2733" s="1100" t="s">
        <v>10345</v>
      </c>
      <c r="I2733" s="871">
        <v>46296.133811898151</v>
      </c>
      <c r="J2733" s="1100" t="s">
        <v>10350</v>
      </c>
      <c r="K2733" s="975" t="str">
        <f>IF(COUNTIFS(tblControles[Clave],tblControles[[#This Row],[Clave]])&gt;1,"Duplicado","")</f>
        <v/>
      </c>
    </row>
    <row r="2734" spans="2:11">
      <c r="B2734" s="975" t="str">
        <f>tblControles[[#This Row],[Fecha]]&amp;"|"&amp;tblControles[[#This Row],[Módulo]]&amp;"|"&amp;tblControles[[#This Row],[Ítem]]&amp;"|"&amp;tblControles[[#This Row],[Turno]]</f>
        <v>46290|PURGA TKS AIRE|TK-MG-005|2do Turno</v>
      </c>
      <c r="C2734" s="871">
        <v>46290</v>
      </c>
      <c r="D2734" s="1100" t="s">
        <v>9433</v>
      </c>
      <c r="E2734" s="1100" t="s">
        <v>343</v>
      </c>
      <c r="F2734" s="1100" t="s">
        <v>9436</v>
      </c>
      <c r="G2734" s="1100" t="s">
        <v>345</v>
      </c>
      <c r="H2734" s="1100" t="s">
        <v>10345</v>
      </c>
      <c r="I2734" s="871">
        <v>46296.133811898151</v>
      </c>
      <c r="J2734" s="1100" t="s">
        <v>10350</v>
      </c>
      <c r="K2734" s="975" t="str">
        <f>IF(COUNTIFS(tblControles[Clave],tblControles[[#This Row],[Clave]])&gt;1,"Duplicado","")</f>
        <v/>
      </c>
    </row>
    <row r="2735" spans="2:11">
      <c r="B2735" s="975" t="str">
        <f>tblControles[[#This Row],[Fecha]]&amp;"|"&amp;tblControles[[#This Row],[Módulo]]&amp;"|"&amp;tblControles[[#This Row],[Ítem]]&amp;"|"&amp;tblControles[[#This Row],[Turno]]</f>
        <v>46290|PURGA TKS AIRE|TK-MG-006|2do Turno</v>
      </c>
      <c r="C2735" s="871">
        <v>46290</v>
      </c>
      <c r="D2735" s="1100" t="s">
        <v>9433</v>
      </c>
      <c r="E2735" s="1100" t="s">
        <v>346</v>
      </c>
      <c r="F2735" s="1100" t="s">
        <v>9436</v>
      </c>
      <c r="G2735" s="1100" t="s">
        <v>3227</v>
      </c>
      <c r="H2735" s="1100" t="s">
        <v>10345</v>
      </c>
      <c r="I2735" s="871">
        <v>46296.133811898151</v>
      </c>
      <c r="J2735" s="1100" t="s">
        <v>10350</v>
      </c>
      <c r="K2735" s="975" t="str">
        <f>IF(COUNTIFS(tblControles[Clave],tblControles[[#This Row],[Clave]])&gt;1,"Duplicado","")</f>
        <v/>
      </c>
    </row>
    <row r="2736" spans="2:11">
      <c r="B2736" s="975" t="str">
        <f>tblControles[[#This Row],[Fecha]]&amp;"|"&amp;tblControles[[#This Row],[Módulo]]&amp;"|"&amp;tblControles[[#This Row],[Ítem]]&amp;"|"&amp;tblControles[[#This Row],[Turno]]</f>
        <v>46290|PURGA TKS AIRE|TK-MG-007|2do Turno</v>
      </c>
      <c r="C2736" s="871">
        <v>46290</v>
      </c>
      <c r="D2736" s="1100" t="s">
        <v>9433</v>
      </c>
      <c r="E2736" s="1100" t="s">
        <v>347</v>
      </c>
      <c r="F2736" s="1100" t="s">
        <v>9436</v>
      </c>
      <c r="G2736" s="1100" t="s">
        <v>3227</v>
      </c>
      <c r="H2736" s="1100" t="s">
        <v>10345</v>
      </c>
      <c r="I2736" s="871">
        <v>46296.133811898151</v>
      </c>
      <c r="J2736" s="1100" t="s">
        <v>10350</v>
      </c>
      <c r="K2736" s="975" t="str">
        <f>IF(COUNTIFS(tblControles[Clave],tblControles[[#This Row],[Clave]])&gt;1,"Duplicado","")</f>
        <v/>
      </c>
    </row>
    <row r="2737" spans="2:11">
      <c r="B2737" s="975" t="str">
        <f>tblControles[[#This Row],[Fecha]]&amp;"|"&amp;tblControles[[#This Row],[Módulo]]&amp;"|"&amp;tblControles[[#This Row],[Ítem]]&amp;"|"&amp;tblControles[[#This Row],[Turno]]</f>
        <v>46290|PURGA TKS AIRE|TK-MG-008|2do Turno</v>
      </c>
      <c r="C2737" s="871">
        <v>46290</v>
      </c>
      <c r="D2737" s="1100" t="s">
        <v>9433</v>
      </c>
      <c r="E2737" s="1100" t="s">
        <v>351</v>
      </c>
      <c r="F2737" s="1100" t="s">
        <v>9436</v>
      </c>
      <c r="G2737" s="1100" t="s">
        <v>3227</v>
      </c>
      <c r="H2737" s="1100" t="s">
        <v>10345</v>
      </c>
      <c r="I2737" s="871">
        <v>46296.133811898151</v>
      </c>
      <c r="J2737" s="1100" t="s">
        <v>10350</v>
      </c>
      <c r="K2737" s="975" t="str">
        <f>IF(COUNTIFS(tblControles[Clave],tblControles[[#This Row],[Clave]])&gt;1,"Duplicado","")</f>
        <v/>
      </c>
    </row>
    <row r="2738" spans="2:11">
      <c r="B2738" s="975" t="str">
        <f>tblControles[[#This Row],[Fecha]]&amp;"|"&amp;tblControles[[#This Row],[Módulo]]&amp;"|"&amp;tblControles[[#This Row],[Ítem]]&amp;"|"&amp;tblControles[[#This Row],[Turno]]</f>
        <v>46290|PURGA TKS AIRE|TK-MG-009|2do Turno</v>
      </c>
      <c r="C2738" s="871">
        <v>46290</v>
      </c>
      <c r="D2738" s="1100" t="s">
        <v>9433</v>
      </c>
      <c r="E2738" s="1100" t="s">
        <v>353</v>
      </c>
      <c r="F2738" s="1100" t="s">
        <v>9436</v>
      </c>
      <c r="G2738" s="1100" t="s">
        <v>3227</v>
      </c>
      <c r="H2738" s="1100" t="s">
        <v>10345</v>
      </c>
      <c r="I2738" s="871">
        <v>46296.133811898151</v>
      </c>
      <c r="J2738" s="1100" t="s">
        <v>10350</v>
      </c>
      <c r="K2738" s="975" t="str">
        <f>IF(COUNTIFS(tblControles[Clave],tblControles[[#This Row],[Clave]])&gt;1,"Duplicado","")</f>
        <v/>
      </c>
    </row>
    <row r="2739" spans="2:11">
      <c r="B2739" s="975" t="str">
        <f>tblControles[[#This Row],[Fecha]]&amp;"|"&amp;tblControles[[#This Row],[Módulo]]&amp;"|"&amp;tblControles[[#This Row],[Ítem]]&amp;"|"&amp;tblControles[[#This Row],[Turno]]</f>
        <v>46290|PURGA TKS AIRE|TK-MG-010|2do Turno</v>
      </c>
      <c r="C2739" s="871">
        <v>46290</v>
      </c>
      <c r="D2739" s="1100" t="s">
        <v>9433</v>
      </c>
      <c r="E2739" s="1100" t="s">
        <v>355</v>
      </c>
      <c r="F2739" s="1100" t="s">
        <v>9436</v>
      </c>
      <c r="G2739" s="1100" t="s">
        <v>3227</v>
      </c>
      <c r="H2739" s="1100" t="s">
        <v>10345</v>
      </c>
      <c r="I2739" s="871">
        <v>46296.133811898151</v>
      </c>
      <c r="J2739" s="1100" t="s">
        <v>10350</v>
      </c>
      <c r="K2739" s="975" t="str">
        <f>IF(COUNTIFS(tblControles[Clave],tblControles[[#This Row],[Clave]])&gt;1,"Duplicado","")</f>
        <v/>
      </c>
    </row>
    <row r="2740" spans="2:11">
      <c r="B2740" s="975" t="str">
        <f>tblControles[[#This Row],[Fecha]]&amp;"|"&amp;tblControles[[#This Row],[Módulo]]&amp;"|"&amp;tblControles[[#This Row],[Ítem]]&amp;"|"&amp;tblControles[[#This Row],[Turno]]</f>
        <v>46290|PURGA TKS AIRE|TK-MG-011|2do Turno</v>
      </c>
      <c r="C2740" s="871">
        <v>46290</v>
      </c>
      <c r="D2740" s="1100" t="s">
        <v>9433</v>
      </c>
      <c r="E2740" s="1100" t="s">
        <v>357</v>
      </c>
      <c r="F2740" s="1100" t="s">
        <v>9436</v>
      </c>
      <c r="G2740" s="1100" t="s">
        <v>3227</v>
      </c>
      <c r="H2740" s="1100" t="s">
        <v>10345</v>
      </c>
      <c r="I2740" s="871">
        <v>46296.133811898151</v>
      </c>
      <c r="J2740" s="1100" t="s">
        <v>10350</v>
      </c>
      <c r="K2740" s="975" t="str">
        <f>IF(COUNTIFS(tblControles[Clave],tblControles[[#This Row],[Clave]])&gt;1,"Duplicado","")</f>
        <v/>
      </c>
    </row>
    <row r="2741" spans="2:11">
      <c r="B2741" s="975" t="str">
        <f>tblControles[[#This Row],[Fecha]]&amp;"|"&amp;tblControles[[#This Row],[Módulo]]&amp;"|"&amp;tblControles[[#This Row],[Ítem]]&amp;"|"&amp;tblControles[[#This Row],[Turno]]</f>
        <v>46290|PURGA TKS AIRE|TK-MG-012|2do Turno</v>
      </c>
      <c r="C2741" s="871">
        <v>46290</v>
      </c>
      <c r="D2741" s="1100" t="s">
        <v>9433</v>
      </c>
      <c r="E2741" s="1100" t="s">
        <v>359</v>
      </c>
      <c r="F2741" s="1100" t="s">
        <v>9436</v>
      </c>
      <c r="G2741" s="1100" t="s">
        <v>3227</v>
      </c>
      <c r="H2741" s="1100" t="s">
        <v>10345</v>
      </c>
      <c r="I2741" s="871">
        <v>46296.133811898151</v>
      </c>
      <c r="J2741" s="1100" t="s">
        <v>10350</v>
      </c>
      <c r="K2741" s="975" t="str">
        <f>IF(COUNTIFS(tblControles[Clave],tblControles[[#This Row],[Clave]])&gt;1,"Duplicado","")</f>
        <v/>
      </c>
    </row>
    <row r="2742" spans="2:11">
      <c r="B2742" s="975" t="str">
        <f>tblControles[[#This Row],[Fecha]]&amp;"|"&amp;tblControles[[#This Row],[Módulo]]&amp;"|"&amp;tblControles[[#This Row],[Ítem]]&amp;"|"&amp;tblControles[[#This Row],[Turno]]</f>
        <v>46290|PURGA TKS AIRE|TK-MG-013|2do Turno</v>
      </c>
      <c r="C2742" s="871">
        <v>46290</v>
      </c>
      <c r="D2742" s="1100" t="s">
        <v>9433</v>
      </c>
      <c r="E2742" s="1100" t="s">
        <v>361</v>
      </c>
      <c r="F2742" s="1100" t="s">
        <v>9436</v>
      </c>
      <c r="G2742" s="1100" t="s">
        <v>3227</v>
      </c>
      <c r="H2742" s="1100" t="s">
        <v>10345</v>
      </c>
      <c r="I2742" s="871">
        <v>46296.133811898151</v>
      </c>
      <c r="J2742" s="1100" t="s">
        <v>10350</v>
      </c>
      <c r="K2742" s="975" t="str">
        <f>IF(COUNTIFS(tblControles[Clave],tblControles[[#This Row],[Clave]])&gt;1,"Duplicado","")</f>
        <v/>
      </c>
    </row>
    <row r="2743" spans="2:11">
      <c r="B2743" s="975" t="str">
        <f>tblControles[[#This Row],[Fecha]]&amp;"|"&amp;tblControles[[#This Row],[Módulo]]&amp;"|"&amp;tblControles[[#This Row],[Ítem]]&amp;"|"&amp;tblControles[[#This Row],[Turno]]</f>
        <v>46290|PURGA TKS AIRE|TK-MG-014|2do Turno</v>
      </c>
      <c r="C2743" s="871">
        <v>46290</v>
      </c>
      <c r="D2743" s="1100" t="s">
        <v>9433</v>
      </c>
      <c r="E2743" s="1100" t="s">
        <v>363</v>
      </c>
      <c r="F2743" s="1100" t="s">
        <v>9436</v>
      </c>
      <c r="G2743" s="1100" t="s">
        <v>3227</v>
      </c>
      <c r="H2743" s="1100" t="s">
        <v>10345</v>
      </c>
      <c r="I2743" s="871">
        <v>46296.133811898151</v>
      </c>
      <c r="J2743" s="1100" t="s">
        <v>10350</v>
      </c>
      <c r="K2743" s="975" t="str">
        <f>IF(COUNTIFS(tblControles[Clave],tblControles[[#This Row],[Clave]])&gt;1,"Duplicado","")</f>
        <v/>
      </c>
    </row>
    <row r="2744" spans="2:11">
      <c r="B2744" s="975" t="str">
        <f>tblControles[[#This Row],[Fecha]]&amp;"|"&amp;tblControles[[#This Row],[Módulo]]&amp;"|"&amp;tblControles[[#This Row],[Ítem]]&amp;"|"&amp;tblControles[[#This Row],[Turno]]</f>
        <v>46290|PURGA TKS AIRE|TK-MG-S. ROTULO|2do Turno</v>
      </c>
      <c r="C2744" s="871">
        <v>46290</v>
      </c>
      <c r="D2744" s="1100" t="s">
        <v>9433</v>
      </c>
      <c r="E2744" s="1100" t="s">
        <v>9471</v>
      </c>
      <c r="F2744" s="1100" t="s">
        <v>9436</v>
      </c>
      <c r="G2744" s="1100" t="s">
        <v>3227</v>
      </c>
      <c r="H2744" s="1100" t="s">
        <v>10345</v>
      </c>
      <c r="I2744" s="871">
        <v>46296.133811898151</v>
      </c>
      <c r="J2744" s="1100" t="s">
        <v>10350</v>
      </c>
      <c r="K2744" s="975" t="str">
        <f>IF(COUNTIFS(tblControles[Clave],tblControles[[#This Row],[Clave]])&gt;1,"Duplicado","")</f>
        <v/>
      </c>
    </row>
    <row r="2745" spans="2:11">
      <c r="B2745" s="975" t="str">
        <f>tblControles[[#This Row],[Fecha]]&amp;"|"&amp;tblControles[[#This Row],[Módulo]]&amp;"|"&amp;tblControles[[#This Row],[Ítem]]&amp;"|"&amp;tblControles[[#This Row],[Turno]]</f>
        <v>46290|PURGA TKS AIRE|TK-MG-001|3er Turno</v>
      </c>
      <c r="C2745" s="871">
        <v>46290</v>
      </c>
      <c r="D2745" s="1100" t="s">
        <v>9433</v>
      </c>
      <c r="E2745" s="1100" t="s">
        <v>337</v>
      </c>
      <c r="F2745" s="1100" t="s">
        <v>9437</v>
      </c>
      <c r="G2745" s="1100" t="s">
        <v>3227</v>
      </c>
      <c r="H2745" s="1100" t="s">
        <v>10345</v>
      </c>
      <c r="I2745" s="871">
        <v>46296.133811898151</v>
      </c>
      <c r="J2745" s="1100" t="s">
        <v>10350</v>
      </c>
      <c r="K2745" s="975" t="str">
        <f>IF(COUNTIFS(tblControles[Clave],tblControles[[#This Row],[Clave]])&gt;1,"Duplicado","")</f>
        <v/>
      </c>
    </row>
    <row r="2746" spans="2:11">
      <c r="B2746" s="975" t="str">
        <f>tblControles[[#This Row],[Fecha]]&amp;"|"&amp;tblControles[[#This Row],[Módulo]]&amp;"|"&amp;tblControles[[#This Row],[Ítem]]&amp;"|"&amp;tblControles[[#This Row],[Turno]]</f>
        <v>46290|PURGA TKS AIRE|TK-MG-002|3er Turno</v>
      </c>
      <c r="C2746" s="871">
        <v>46290</v>
      </c>
      <c r="D2746" s="1100" t="s">
        <v>9433</v>
      </c>
      <c r="E2746" s="1100" t="s">
        <v>339</v>
      </c>
      <c r="F2746" s="1100" t="s">
        <v>9437</v>
      </c>
      <c r="G2746" s="1100" t="s">
        <v>3227</v>
      </c>
      <c r="H2746" s="1100" t="s">
        <v>10345</v>
      </c>
      <c r="I2746" s="871">
        <v>46296.133811898151</v>
      </c>
      <c r="J2746" s="1100" t="s">
        <v>10350</v>
      </c>
      <c r="K2746" s="975" t="str">
        <f>IF(COUNTIFS(tblControles[Clave],tblControles[[#This Row],[Clave]])&gt;1,"Duplicado","")</f>
        <v/>
      </c>
    </row>
    <row r="2747" spans="2:11">
      <c r="B2747" s="975" t="str">
        <f>tblControles[[#This Row],[Fecha]]&amp;"|"&amp;tblControles[[#This Row],[Módulo]]&amp;"|"&amp;tblControles[[#This Row],[Ítem]]&amp;"|"&amp;tblControles[[#This Row],[Turno]]</f>
        <v>46290|PURGA TKS AIRE|TK-MG-003|3er Turno</v>
      </c>
      <c r="C2747" s="871">
        <v>46290</v>
      </c>
      <c r="D2747" s="1100" t="s">
        <v>9433</v>
      </c>
      <c r="E2747" s="1100" t="s">
        <v>341</v>
      </c>
      <c r="F2747" s="1100" t="s">
        <v>9437</v>
      </c>
      <c r="G2747" s="1100" t="s">
        <v>3227</v>
      </c>
      <c r="H2747" s="1100" t="s">
        <v>10345</v>
      </c>
      <c r="I2747" s="871">
        <v>46296.133811898151</v>
      </c>
      <c r="J2747" s="1100" t="s">
        <v>10350</v>
      </c>
      <c r="K2747" s="975" t="str">
        <f>IF(COUNTIFS(tblControles[Clave],tblControles[[#This Row],[Clave]])&gt;1,"Duplicado","")</f>
        <v/>
      </c>
    </row>
    <row r="2748" spans="2:11">
      <c r="B2748" s="975" t="str">
        <f>tblControles[[#This Row],[Fecha]]&amp;"|"&amp;tblControles[[#This Row],[Módulo]]&amp;"|"&amp;tblControles[[#This Row],[Ítem]]&amp;"|"&amp;tblControles[[#This Row],[Turno]]</f>
        <v>46290|PURGA TKS AIRE|TK-MG-004|3er Turno</v>
      </c>
      <c r="C2748" s="871">
        <v>46290</v>
      </c>
      <c r="D2748" s="1100" t="s">
        <v>9433</v>
      </c>
      <c r="E2748" s="1100" t="s">
        <v>349</v>
      </c>
      <c r="F2748" s="1100" t="s">
        <v>9437</v>
      </c>
      <c r="G2748" s="1100" t="s">
        <v>3227</v>
      </c>
      <c r="H2748" s="1100" t="s">
        <v>10345</v>
      </c>
      <c r="I2748" s="871">
        <v>46296.133811898151</v>
      </c>
      <c r="J2748" s="1100" t="s">
        <v>10350</v>
      </c>
      <c r="K2748" s="975" t="str">
        <f>IF(COUNTIFS(tblControles[Clave],tblControles[[#This Row],[Clave]])&gt;1,"Duplicado","")</f>
        <v/>
      </c>
    </row>
    <row r="2749" spans="2:11">
      <c r="B2749" s="975" t="str">
        <f>tblControles[[#This Row],[Fecha]]&amp;"|"&amp;tblControles[[#This Row],[Módulo]]&amp;"|"&amp;tblControles[[#This Row],[Ítem]]&amp;"|"&amp;tblControles[[#This Row],[Turno]]</f>
        <v>46290|PURGA TKS AIRE|TK-MG-005|3er Turno</v>
      </c>
      <c r="C2749" s="871">
        <v>46290</v>
      </c>
      <c r="D2749" s="1100" t="s">
        <v>9433</v>
      </c>
      <c r="E2749" s="1100" t="s">
        <v>343</v>
      </c>
      <c r="F2749" s="1100" t="s">
        <v>9437</v>
      </c>
      <c r="G2749" s="1100" t="s">
        <v>345</v>
      </c>
      <c r="H2749" s="1100" t="s">
        <v>10345</v>
      </c>
      <c r="I2749" s="871">
        <v>46296.133811898151</v>
      </c>
      <c r="J2749" s="1100" t="s">
        <v>10350</v>
      </c>
      <c r="K2749" s="975" t="str">
        <f>IF(COUNTIFS(tblControles[Clave],tblControles[[#This Row],[Clave]])&gt;1,"Duplicado","")</f>
        <v/>
      </c>
    </row>
    <row r="2750" spans="2:11">
      <c r="B2750" s="975" t="str">
        <f>tblControles[[#This Row],[Fecha]]&amp;"|"&amp;tblControles[[#This Row],[Módulo]]&amp;"|"&amp;tblControles[[#This Row],[Ítem]]&amp;"|"&amp;tblControles[[#This Row],[Turno]]</f>
        <v>46290|PURGA TKS AIRE|TK-MG-006|3er Turno</v>
      </c>
      <c r="C2750" s="871">
        <v>46290</v>
      </c>
      <c r="D2750" s="1100" t="s">
        <v>9433</v>
      </c>
      <c r="E2750" s="1100" t="s">
        <v>346</v>
      </c>
      <c r="F2750" s="1100" t="s">
        <v>9437</v>
      </c>
      <c r="G2750" s="1100" t="s">
        <v>3227</v>
      </c>
      <c r="H2750" s="1100" t="s">
        <v>10345</v>
      </c>
      <c r="I2750" s="871">
        <v>46296.133811898151</v>
      </c>
      <c r="J2750" s="1100" t="s">
        <v>10350</v>
      </c>
      <c r="K2750" s="975" t="str">
        <f>IF(COUNTIFS(tblControles[Clave],tblControles[[#This Row],[Clave]])&gt;1,"Duplicado","")</f>
        <v/>
      </c>
    </row>
    <row r="2751" spans="2:11">
      <c r="B2751" s="975" t="str">
        <f>tblControles[[#This Row],[Fecha]]&amp;"|"&amp;tblControles[[#This Row],[Módulo]]&amp;"|"&amp;tblControles[[#This Row],[Ítem]]&amp;"|"&amp;tblControles[[#This Row],[Turno]]</f>
        <v>46290|PURGA TKS AIRE|TK-MG-007|3er Turno</v>
      </c>
      <c r="C2751" s="871">
        <v>46290</v>
      </c>
      <c r="D2751" s="1100" t="s">
        <v>9433</v>
      </c>
      <c r="E2751" s="1100" t="s">
        <v>347</v>
      </c>
      <c r="F2751" s="1100" t="s">
        <v>9437</v>
      </c>
      <c r="G2751" s="1100" t="s">
        <v>3227</v>
      </c>
      <c r="H2751" s="1100" t="s">
        <v>10345</v>
      </c>
      <c r="I2751" s="871">
        <v>46296.133811898151</v>
      </c>
      <c r="J2751" s="1100" t="s">
        <v>10350</v>
      </c>
      <c r="K2751" s="975" t="str">
        <f>IF(COUNTIFS(tblControles[Clave],tblControles[[#This Row],[Clave]])&gt;1,"Duplicado","")</f>
        <v/>
      </c>
    </row>
    <row r="2752" spans="2:11">
      <c r="B2752" s="975" t="str">
        <f>tblControles[[#This Row],[Fecha]]&amp;"|"&amp;tblControles[[#This Row],[Módulo]]&amp;"|"&amp;tblControles[[#This Row],[Ítem]]&amp;"|"&amp;tblControles[[#This Row],[Turno]]</f>
        <v>46290|PURGA TKS AIRE|TK-MG-008|3er Turno</v>
      </c>
      <c r="C2752" s="871">
        <v>46290</v>
      </c>
      <c r="D2752" s="1100" t="s">
        <v>9433</v>
      </c>
      <c r="E2752" s="1100" t="s">
        <v>351</v>
      </c>
      <c r="F2752" s="1100" t="s">
        <v>9437</v>
      </c>
      <c r="G2752" s="1100" t="s">
        <v>3227</v>
      </c>
      <c r="H2752" s="1100" t="s">
        <v>10345</v>
      </c>
      <c r="I2752" s="871">
        <v>46296.133811898151</v>
      </c>
      <c r="J2752" s="1100" t="s">
        <v>10350</v>
      </c>
      <c r="K2752" s="975" t="str">
        <f>IF(COUNTIFS(tblControles[Clave],tblControles[[#This Row],[Clave]])&gt;1,"Duplicado","")</f>
        <v/>
      </c>
    </row>
    <row r="2753" spans="2:11">
      <c r="B2753" s="975" t="str">
        <f>tblControles[[#This Row],[Fecha]]&amp;"|"&amp;tblControles[[#This Row],[Módulo]]&amp;"|"&amp;tblControles[[#This Row],[Ítem]]&amp;"|"&amp;tblControles[[#This Row],[Turno]]</f>
        <v>46290|PURGA TKS AIRE|TK-MG-009|3er Turno</v>
      </c>
      <c r="C2753" s="871">
        <v>46290</v>
      </c>
      <c r="D2753" s="1100" t="s">
        <v>9433</v>
      </c>
      <c r="E2753" s="1100" t="s">
        <v>353</v>
      </c>
      <c r="F2753" s="1100" t="s">
        <v>9437</v>
      </c>
      <c r="G2753" s="1100" t="s">
        <v>3227</v>
      </c>
      <c r="H2753" s="1100" t="s">
        <v>10345</v>
      </c>
      <c r="I2753" s="871">
        <v>46296.133811898151</v>
      </c>
      <c r="J2753" s="1100" t="s">
        <v>10350</v>
      </c>
      <c r="K2753" s="975" t="str">
        <f>IF(COUNTIFS(tblControles[Clave],tblControles[[#This Row],[Clave]])&gt;1,"Duplicado","")</f>
        <v/>
      </c>
    </row>
    <row r="2754" spans="2:11">
      <c r="B2754" s="975" t="str">
        <f>tblControles[[#This Row],[Fecha]]&amp;"|"&amp;tblControles[[#This Row],[Módulo]]&amp;"|"&amp;tblControles[[#This Row],[Ítem]]&amp;"|"&amp;tblControles[[#This Row],[Turno]]</f>
        <v>46290|PURGA TKS AIRE|TK-MG-010|3er Turno</v>
      </c>
      <c r="C2754" s="871">
        <v>46290</v>
      </c>
      <c r="D2754" s="1100" t="s">
        <v>9433</v>
      </c>
      <c r="E2754" s="1100" t="s">
        <v>355</v>
      </c>
      <c r="F2754" s="1100" t="s">
        <v>9437</v>
      </c>
      <c r="G2754" s="1100" t="s">
        <v>3227</v>
      </c>
      <c r="H2754" s="1100" t="s">
        <v>10345</v>
      </c>
      <c r="I2754" s="871">
        <v>46296.133811898151</v>
      </c>
      <c r="J2754" s="1100" t="s">
        <v>10350</v>
      </c>
      <c r="K2754" s="975" t="str">
        <f>IF(COUNTIFS(tblControles[Clave],tblControles[[#This Row],[Clave]])&gt;1,"Duplicado","")</f>
        <v/>
      </c>
    </row>
    <row r="2755" spans="2:11">
      <c r="B2755" s="975" t="str">
        <f>tblControles[[#This Row],[Fecha]]&amp;"|"&amp;tblControles[[#This Row],[Módulo]]&amp;"|"&amp;tblControles[[#This Row],[Ítem]]&amp;"|"&amp;tblControles[[#This Row],[Turno]]</f>
        <v>46290|PURGA TKS AIRE|TK-MG-011|3er Turno</v>
      </c>
      <c r="C2755" s="871">
        <v>46290</v>
      </c>
      <c r="D2755" s="1100" t="s">
        <v>9433</v>
      </c>
      <c r="E2755" s="1100" t="s">
        <v>357</v>
      </c>
      <c r="F2755" s="1100" t="s">
        <v>9437</v>
      </c>
      <c r="G2755" s="1100" t="s">
        <v>3227</v>
      </c>
      <c r="H2755" s="1100" t="s">
        <v>10345</v>
      </c>
      <c r="I2755" s="871">
        <v>46296.133811898151</v>
      </c>
      <c r="J2755" s="1100" t="s">
        <v>10350</v>
      </c>
      <c r="K2755" s="975" t="str">
        <f>IF(COUNTIFS(tblControles[Clave],tblControles[[#This Row],[Clave]])&gt;1,"Duplicado","")</f>
        <v/>
      </c>
    </row>
    <row r="2756" spans="2:11">
      <c r="B2756" s="975" t="str">
        <f>tblControles[[#This Row],[Fecha]]&amp;"|"&amp;tblControles[[#This Row],[Módulo]]&amp;"|"&amp;tblControles[[#This Row],[Ítem]]&amp;"|"&amp;tblControles[[#This Row],[Turno]]</f>
        <v>46290|PURGA TKS AIRE|TK-MG-012|3er Turno</v>
      </c>
      <c r="C2756" s="871">
        <v>46290</v>
      </c>
      <c r="D2756" s="1100" t="s">
        <v>9433</v>
      </c>
      <c r="E2756" s="1100" t="s">
        <v>359</v>
      </c>
      <c r="F2756" s="1100" t="s">
        <v>9437</v>
      </c>
      <c r="G2756" s="1100" t="s">
        <v>3227</v>
      </c>
      <c r="H2756" s="1100" t="s">
        <v>10345</v>
      </c>
      <c r="I2756" s="871">
        <v>46296.133811898151</v>
      </c>
      <c r="J2756" s="1100" t="s">
        <v>10350</v>
      </c>
      <c r="K2756" s="975" t="str">
        <f>IF(COUNTIFS(tblControles[Clave],tblControles[[#This Row],[Clave]])&gt;1,"Duplicado","")</f>
        <v/>
      </c>
    </row>
    <row r="2757" spans="2:11">
      <c r="B2757" s="975" t="str">
        <f>tblControles[[#This Row],[Fecha]]&amp;"|"&amp;tblControles[[#This Row],[Módulo]]&amp;"|"&amp;tblControles[[#This Row],[Ítem]]&amp;"|"&amp;tblControles[[#This Row],[Turno]]</f>
        <v>46290|PURGA TKS AIRE|TK-MG-013|3er Turno</v>
      </c>
      <c r="C2757" s="871">
        <v>46290</v>
      </c>
      <c r="D2757" s="1100" t="s">
        <v>9433</v>
      </c>
      <c r="E2757" s="1100" t="s">
        <v>361</v>
      </c>
      <c r="F2757" s="1100" t="s">
        <v>9437</v>
      </c>
      <c r="G2757" s="1100" t="s">
        <v>3227</v>
      </c>
      <c r="H2757" s="1100" t="s">
        <v>10345</v>
      </c>
      <c r="I2757" s="871">
        <v>46296.133811898151</v>
      </c>
      <c r="J2757" s="1100" t="s">
        <v>10350</v>
      </c>
      <c r="K2757" s="975" t="str">
        <f>IF(COUNTIFS(tblControles[Clave],tblControles[[#This Row],[Clave]])&gt;1,"Duplicado","")</f>
        <v/>
      </c>
    </row>
    <row r="2758" spans="2:11">
      <c r="B2758" s="975" t="str">
        <f>tblControles[[#This Row],[Fecha]]&amp;"|"&amp;tblControles[[#This Row],[Módulo]]&amp;"|"&amp;tblControles[[#This Row],[Ítem]]&amp;"|"&amp;tblControles[[#This Row],[Turno]]</f>
        <v>46290|PURGA TKS AIRE|TK-MG-014|3er Turno</v>
      </c>
      <c r="C2758" s="871">
        <v>46290</v>
      </c>
      <c r="D2758" s="1100" t="s">
        <v>9433</v>
      </c>
      <c r="E2758" s="1100" t="s">
        <v>363</v>
      </c>
      <c r="F2758" s="1100" t="s">
        <v>9437</v>
      </c>
      <c r="G2758" s="1100" t="s">
        <v>3227</v>
      </c>
      <c r="H2758" s="1100" t="s">
        <v>10345</v>
      </c>
      <c r="I2758" s="871">
        <v>46296.133811898151</v>
      </c>
      <c r="J2758" s="1100" t="s">
        <v>10350</v>
      </c>
      <c r="K2758" s="975" t="str">
        <f>IF(COUNTIFS(tblControles[Clave],tblControles[[#This Row],[Clave]])&gt;1,"Duplicado","")</f>
        <v/>
      </c>
    </row>
    <row r="2759" spans="2:11">
      <c r="B2759" s="975" t="str">
        <f>tblControles[[#This Row],[Fecha]]&amp;"|"&amp;tblControles[[#This Row],[Módulo]]&amp;"|"&amp;tblControles[[#This Row],[Ítem]]&amp;"|"&amp;tblControles[[#This Row],[Turno]]</f>
        <v>46290|PURGA TKS AIRE|TK-MG-S. ROTULO|3er Turno</v>
      </c>
      <c r="C2759" s="871">
        <v>46290</v>
      </c>
      <c r="D2759" s="1100" t="s">
        <v>9433</v>
      </c>
      <c r="E2759" s="1100" t="s">
        <v>9471</v>
      </c>
      <c r="F2759" s="1100" t="s">
        <v>9437</v>
      </c>
      <c r="G2759" s="1100" t="s">
        <v>3227</v>
      </c>
      <c r="H2759" s="1100" t="s">
        <v>10345</v>
      </c>
      <c r="I2759" s="871">
        <v>46296.133811898151</v>
      </c>
      <c r="J2759" s="1100" t="s">
        <v>10350</v>
      </c>
      <c r="K2759" s="975" t="str">
        <f>IF(COUNTIFS(tblControles[Clave],tblControles[[#This Row],[Clave]])&gt;1,"Duplicado","")</f>
        <v/>
      </c>
    </row>
    <row r="2760" spans="2:11">
      <c r="B2760" s="975" t="str">
        <f>tblControles[[#This Row],[Fecha]]&amp;"|"&amp;tblControles[[#This Row],[Módulo]]&amp;"|"&amp;tblControles[[#This Row],[Ítem]]&amp;"|"&amp;tblControles[[#This Row],[Turno]]</f>
        <v>46291|PURGA TKS AIRE|TK-MG-001|2do Turno</v>
      </c>
      <c r="C2760" s="871">
        <v>46291</v>
      </c>
      <c r="D2760" s="1100" t="s">
        <v>9433</v>
      </c>
      <c r="E2760" s="1100" t="s">
        <v>337</v>
      </c>
      <c r="F2760" s="1100" t="s">
        <v>9436</v>
      </c>
      <c r="G2760" s="1100" t="s">
        <v>3227</v>
      </c>
      <c r="H2760" s="1100" t="s">
        <v>10345</v>
      </c>
      <c r="I2760" s="871">
        <v>46296.133811898151</v>
      </c>
      <c r="J2760" s="1100" t="s">
        <v>10350</v>
      </c>
      <c r="K2760" s="975" t="str">
        <f>IF(COUNTIFS(tblControles[Clave],tblControles[[#This Row],[Clave]])&gt;1,"Duplicado","")</f>
        <v/>
      </c>
    </row>
    <row r="2761" spans="2:11">
      <c r="B2761" s="975" t="str">
        <f>tblControles[[#This Row],[Fecha]]&amp;"|"&amp;tblControles[[#This Row],[Módulo]]&amp;"|"&amp;tblControles[[#This Row],[Ítem]]&amp;"|"&amp;tblControles[[#This Row],[Turno]]</f>
        <v>46291|PURGA TKS AIRE|TK-MG-002|2do Turno</v>
      </c>
      <c r="C2761" s="871">
        <v>46291</v>
      </c>
      <c r="D2761" s="1100" t="s">
        <v>9433</v>
      </c>
      <c r="E2761" s="1100" t="s">
        <v>339</v>
      </c>
      <c r="F2761" s="1100" t="s">
        <v>9436</v>
      </c>
      <c r="G2761" s="1100" t="s">
        <v>3227</v>
      </c>
      <c r="H2761" s="1100" t="s">
        <v>10345</v>
      </c>
      <c r="I2761" s="871">
        <v>46296.133811898151</v>
      </c>
      <c r="J2761" s="1100" t="s">
        <v>10350</v>
      </c>
      <c r="K2761" s="975" t="str">
        <f>IF(COUNTIFS(tblControles[Clave],tblControles[[#This Row],[Clave]])&gt;1,"Duplicado","")</f>
        <v/>
      </c>
    </row>
    <row r="2762" spans="2:11">
      <c r="B2762" s="975" t="str">
        <f>tblControles[[#This Row],[Fecha]]&amp;"|"&amp;tblControles[[#This Row],[Módulo]]&amp;"|"&amp;tblControles[[#This Row],[Ítem]]&amp;"|"&amp;tblControles[[#This Row],[Turno]]</f>
        <v>46291|PURGA TKS AIRE|TK-MG-003|2do Turno</v>
      </c>
      <c r="C2762" s="871">
        <v>46291</v>
      </c>
      <c r="D2762" s="1100" t="s">
        <v>9433</v>
      </c>
      <c r="E2762" s="1100" t="s">
        <v>341</v>
      </c>
      <c r="F2762" s="1100" t="s">
        <v>9436</v>
      </c>
      <c r="G2762" s="1100" t="s">
        <v>3227</v>
      </c>
      <c r="H2762" s="1100" t="s">
        <v>10345</v>
      </c>
      <c r="I2762" s="871">
        <v>46296.133811898151</v>
      </c>
      <c r="J2762" s="1100" t="s">
        <v>10350</v>
      </c>
      <c r="K2762" s="975" t="str">
        <f>IF(COUNTIFS(tblControles[Clave],tblControles[[#This Row],[Clave]])&gt;1,"Duplicado","")</f>
        <v/>
      </c>
    </row>
    <row r="2763" spans="2:11">
      <c r="B2763" s="975" t="str">
        <f>tblControles[[#This Row],[Fecha]]&amp;"|"&amp;tblControles[[#This Row],[Módulo]]&amp;"|"&amp;tblControles[[#This Row],[Ítem]]&amp;"|"&amp;tblControles[[#This Row],[Turno]]</f>
        <v>46291|PURGA TKS AIRE|TK-MG-004|2do Turno</v>
      </c>
      <c r="C2763" s="871">
        <v>46291</v>
      </c>
      <c r="D2763" s="1100" t="s">
        <v>9433</v>
      </c>
      <c r="E2763" s="1100" t="s">
        <v>349</v>
      </c>
      <c r="F2763" s="1100" t="s">
        <v>9436</v>
      </c>
      <c r="G2763" s="1100" t="s">
        <v>3227</v>
      </c>
      <c r="H2763" s="1100" t="s">
        <v>10345</v>
      </c>
      <c r="I2763" s="871">
        <v>46296.133811898151</v>
      </c>
      <c r="J2763" s="1100" t="s">
        <v>10350</v>
      </c>
      <c r="K2763" s="975" t="str">
        <f>IF(COUNTIFS(tblControles[Clave],tblControles[[#This Row],[Clave]])&gt;1,"Duplicado","")</f>
        <v/>
      </c>
    </row>
    <row r="2764" spans="2:11">
      <c r="B2764" s="975" t="str">
        <f>tblControles[[#This Row],[Fecha]]&amp;"|"&amp;tblControles[[#This Row],[Módulo]]&amp;"|"&amp;tblControles[[#This Row],[Ítem]]&amp;"|"&amp;tblControles[[#This Row],[Turno]]</f>
        <v>46291|PURGA TKS AIRE|TK-MG-005|2do Turno</v>
      </c>
      <c r="C2764" s="871">
        <v>46291</v>
      </c>
      <c r="D2764" s="1100" t="s">
        <v>9433</v>
      </c>
      <c r="E2764" s="1100" t="s">
        <v>343</v>
      </c>
      <c r="F2764" s="1100" t="s">
        <v>9436</v>
      </c>
      <c r="G2764" s="1100" t="s">
        <v>345</v>
      </c>
      <c r="H2764" s="1100" t="s">
        <v>10345</v>
      </c>
      <c r="I2764" s="871">
        <v>46296.133811898151</v>
      </c>
      <c r="J2764" s="1100" t="s">
        <v>10350</v>
      </c>
      <c r="K2764" s="975" t="str">
        <f>IF(COUNTIFS(tblControles[Clave],tblControles[[#This Row],[Clave]])&gt;1,"Duplicado","")</f>
        <v/>
      </c>
    </row>
    <row r="2765" spans="2:11">
      <c r="B2765" s="975" t="str">
        <f>tblControles[[#This Row],[Fecha]]&amp;"|"&amp;tblControles[[#This Row],[Módulo]]&amp;"|"&amp;tblControles[[#This Row],[Ítem]]&amp;"|"&amp;tblControles[[#This Row],[Turno]]</f>
        <v>46291|PURGA TKS AIRE|TK-MG-006|2do Turno</v>
      </c>
      <c r="C2765" s="871">
        <v>46291</v>
      </c>
      <c r="D2765" s="1100" t="s">
        <v>9433</v>
      </c>
      <c r="E2765" s="1100" t="s">
        <v>346</v>
      </c>
      <c r="F2765" s="1100" t="s">
        <v>9436</v>
      </c>
      <c r="G2765" s="1100" t="s">
        <v>3227</v>
      </c>
      <c r="H2765" s="1100" t="s">
        <v>10345</v>
      </c>
      <c r="I2765" s="871">
        <v>46296.133811898151</v>
      </c>
      <c r="J2765" s="1100" t="s">
        <v>10350</v>
      </c>
      <c r="K2765" s="975" t="str">
        <f>IF(COUNTIFS(tblControles[Clave],tblControles[[#This Row],[Clave]])&gt;1,"Duplicado","")</f>
        <v/>
      </c>
    </row>
    <row r="2766" spans="2:11">
      <c r="B2766" s="975" t="str">
        <f>tblControles[[#This Row],[Fecha]]&amp;"|"&amp;tblControles[[#This Row],[Módulo]]&amp;"|"&amp;tblControles[[#This Row],[Ítem]]&amp;"|"&amp;tblControles[[#This Row],[Turno]]</f>
        <v>46291|PURGA TKS AIRE|TK-MG-007|2do Turno</v>
      </c>
      <c r="C2766" s="871">
        <v>46291</v>
      </c>
      <c r="D2766" s="1100" t="s">
        <v>9433</v>
      </c>
      <c r="E2766" s="1100" t="s">
        <v>347</v>
      </c>
      <c r="F2766" s="1100" t="s">
        <v>9436</v>
      </c>
      <c r="G2766" s="1100" t="s">
        <v>3227</v>
      </c>
      <c r="H2766" s="1100" t="s">
        <v>10345</v>
      </c>
      <c r="I2766" s="871">
        <v>46296.133811898151</v>
      </c>
      <c r="J2766" s="1100" t="s">
        <v>10350</v>
      </c>
      <c r="K2766" s="975" t="str">
        <f>IF(COUNTIFS(tblControles[Clave],tblControles[[#This Row],[Clave]])&gt;1,"Duplicado","")</f>
        <v/>
      </c>
    </row>
    <row r="2767" spans="2:11">
      <c r="B2767" s="975" t="str">
        <f>tblControles[[#This Row],[Fecha]]&amp;"|"&amp;tblControles[[#This Row],[Módulo]]&amp;"|"&amp;tblControles[[#This Row],[Ítem]]&amp;"|"&amp;tblControles[[#This Row],[Turno]]</f>
        <v>46291|PURGA TKS AIRE|TK-MG-008|2do Turno</v>
      </c>
      <c r="C2767" s="871">
        <v>46291</v>
      </c>
      <c r="D2767" s="1100" t="s">
        <v>9433</v>
      </c>
      <c r="E2767" s="1100" t="s">
        <v>351</v>
      </c>
      <c r="F2767" s="1100" t="s">
        <v>9436</v>
      </c>
      <c r="G2767" s="1100" t="s">
        <v>3227</v>
      </c>
      <c r="H2767" s="1100" t="s">
        <v>10345</v>
      </c>
      <c r="I2767" s="871">
        <v>46296.133811898151</v>
      </c>
      <c r="J2767" s="1100" t="s">
        <v>10350</v>
      </c>
      <c r="K2767" s="975" t="str">
        <f>IF(COUNTIFS(tblControles[Clave],tblControles[[#This Row],[Clave]])&gt;1,"Duplicado","")</f>
        <v/>
      </c>
    </row>
    <row r="2768" spans="2:11">
      <c r="B2768" s="975" t="str">
        <f>tblControles[[#This Row],[Fecha]]&amp;"|"&amp;tblControles[[#This Row],[Módulo]]&amp;"|"&amp;tblControles[[#This Row],[Ítem]]&amp;"|"&amp;tblControles[[#This Row],[Turno]]</f>
        <v>46291|PURGA TKS AIRE|TK-MG-009|2do Turno</v>
      </c>
      <c r="C2768" s="871">
        <v>46291</v>
      </c>
      <c r="D2768" s="1100" t="s">
        <v>9433</v>
      </c>
      <c r="E2768" s="1100" t="s">
        <v>353</v>
      </c>
      <c r="F2768" s="1100" t="s">
        <v>9436</v>
      </c>
      <c r="G2768" s="1100" t="s">
        <v>3227</v>
      </c>
      <c r="H2768" s="1100" t="s">
        <v>10345</v>
      </c>
      <c r="I2768" s="871">
        <v>46296.133811898151</v>
      </c>
      <c r="J2768" s="1100" t="s">
        <v>10350</v>
      </c>
      <c r="K2768" s="975" t="str">
        <f>IF(COUNTIFS(tblControles[Clave],tblControles[[#This Row],[Clave]])&gt;1,"Duplicado","")</f>
        <v/>
      </c>
    </row>
    <row r="2769" spans="2:11">
      <c r="B2769" s="975" t="str">
        <f>tblControles[[#This Row],[Fecha]]&amp;"|"&amp;tblControles[[#This Row],[Módulo]]&amp;"|"&amp;tblControles[[#This Row],[Ítem]]&amp;"|"&amp;tblControles[[#This Row],[Turno]]</f>
        <v>46291|PURGA TKS AIRE|TK-MG-010|2do Turno</v>
      </c>
      <c r="C2769" s="871">
        <v>46291</v>
      </c>
      <c r="D2769" s="1100" t="s">
        <v>9433</v>
      </c>
      <c r="E2769" s="1100" t="s">
        <v>355</v>
      </c>
      <c r="F2769" s="1100" t="s">
        <v>9436</v>
      </c>
      <c r="G2769" s="1100" t="s">
        <v>3227</v>
      </c>
      <c r="H2769" s="1100" t="s">
        <v>10345</v>
      </c>
      <c r="I2769" s="871">
        <v>46296.133811898151</v>
      </c>
      <c r="J2769" s="1100" t="s">
        <v>10350</v>
      </c>
      <c r="K2769" s="975" t="str">
        <f>IF(COUNTIFS(tblControles[Clave],tblControles[[#This Row],[Clave]])&gt;1,"Duplicado","")</f>
        <v/>
      </c>
    </row>
    <row r="2770" spans="2:11">
      <c r="B2770" s="975" t="str">
        <f>tblControles[[#This Row],[Fecha]]&amp;"|"&amp;tblControles[[#This Row],[Módulo]]&amp;"|"&amp;tblControles[[#This Row],[Ítem]]&amp;"|"&amp;tblControles[[#This Row],[Turno]]</f>
        <v>46291|PURGA TKS AIRE|TK-MG-011|2do Turno</v>
      </c>
      <c r="C2770" s="871">
        <v>46291</v>
      </c>
      <c r="D2770" s="1100" t="s">
        <v>9433</v>
      </c>
      <c r="E2770" s="1100" t="s">
        <v>357</v>
      </c>
      <c r="F2770" s="1100" t="s">
        <v>9436</v>
      </c>
      <c r="G2770" s="1100" t="s">
        <v>3227</v>
      </c>
      <c r="H2770" s="1100" t="s">
        <v>10345</v>
      </c>
      <c r="I2770" s="871">
        <v>46296.133811898151</v>
      </c>
      <c r="J2770" s="1100" t="s">
        <v>10350</v>
      </c>
      <c r="K2770" s="975" t="str">
        <f>IF(COUNTIFS(tblControles[Clave],tblControles[[#This Row],[Clave]])&gt;1,"Duplicado","")</f>
        <v/>
      </c>
    </row>
    <row r="2771" spans="2:11">
      <c r="B2771" s="975" t="str">
        <f>tblControles[[#This Row],[Fecha]]&amp;"|"&amp;tblControles[[#This Row],[Módulo]]&amp;"|"&amp;tblControles[[#This Row],[Ítem]]&amp;"|"&amp;tblControles[[#This Row],[Turno]]</f>
        <v>46291|PURGA TKS AIRE|TK-MG-012|2do Turno</v>
      </c>
      <c r="C2771" s="871">
        <v>46291</v>
      </c>
      <c r="D2771" s="1100" t="s">
        <v>9433</v>
      </c>
      <c r="E2771" s="1100" t="s">
        <v>359</v>
      </c>
      <c r="F2771" s="1100" t="s">
        <v>9436</v>
      </c>
      <c r="G2771" s="1100" t="s">
        <v>3227</v>
      </c>
      <c r="H2771" s="1100" t="s">
        <v>10345</v>
      </c>
      <c r="I2771" s="871">
        <v>46296.133811898151</v>
      </c>
      <c r="J2771" s="1100" t="s">
        <v>10350</v>
      </c>
      <c r="K2771" s="975" t="str">
        <f>IF(COUNTIFS(tblControles[Clave],tblControles[[#This Row],[Clave]])&gt;1,"Duplicado","")</f>
        <v/>
      </c>
    </row>
    <row r="2772" spans="2:11">
      <c r="B2772" s="975" t="str">
        <f>tblControles[[#This Row],[Fecha]]&amp;"|"&amp;tblControles[[#This Row],[Módulo]]&amp;"|"&amp;tblControles[[#This Row],[Ítem]]&amp;"|"&amp;tblControles[[#This Row],[Turno]]</f>
        <v>46291|PURGA TKS AIRE|TK-MG-013|2do Turno</v>
      </c>
      <c r="C2772" s="871">
        <v>46291</v>
      </c>
      <c r="D2772" s="1100" t="s">
        <v>9433</v>
      </c>
      <c r="E2772" s="1100" t="s">
        <v>361</v>
      </c>
      <c r="F2772" s="1100" t="s">
        <v>9436</v>
      </c>
      <c r="G2772" s="1100" t="s">
        <v>3227</v>
      </c>
      <c r="H2772" s="1100" t="s">
        <v>10345</v>
      </c>
      <c r="I2772" s="871">
        <v>46296.133811898151</v>
      </c>
      <c r="J2772" s="1100" t="s">
        <v>10350</v>
      </c>
      <c r="K2772" s="975" t="str">
        <f>IF(COUNTIFS(tblControles[Clave],tblControles[[#This Row],[Clave]])&gt;1,"Duplicado","")</f>
        <v/>
      </c>
    </row>
    <row r="2773" spans="2:11">
      <c r="B2773" s="975" t="str">
        <f>tblControles[[#This Row],[Fecha]]&amp;"|"&amp;tblControles[[#This Row],[Módulo]]&amp;"|"&amp;tblControles[[#This Row],[Ítem]]&amp;"|"&amp;tblControles[[#This Row],[Turno]]</f>
        <v>46291|PURGA TKS AIRE|TK-MG-014|2do Turno</v>
      </c>
      <c r="C2773" s="871">
        <v>46291</v>
      </c>
      <c r="D2773" s="1100" t="s">
        <v>9433</v>
      </c>
      <c r="E2773" s="1100" t="s">
        <v>363</v>
      </c>
      <c r="F2773" s="1100" t="s">
        <v>9436</v>
      </c>
      <c r="G2773" s="1100" t="s">
        <v>3227</v>
      </c>
      <c r="H2773" s="1100" t="s">
        <v>10345</v>
      </c>
      <c r="I2773" s="871">
        <v>46296.133811898151</v>
      </c>
      <c r="J2773" s="1100" t="s">
        <v>10350</v>
      </c>
      <c r="K2773" s="975" t="str">
        <f>IF(COUNTIFS(tblControles[Clave],tblControles[[#This Row],[Clave]])&gt;1,"Duplicado","")</f>
        <v/>
      </c>
    </row>
    <row r="2774" spans="2:11">
      <c r="B2774" s="975" t="str">
        <f>tblControles[[#This Row],[Fecha]]&amp;"|"&amp;tblControles[[#This Row],[Módulo]]&amp;"|"&amp;tblControles[[#This Row],[Ítem]]&amp;"|"&amp;tblControles[[#This Row],[Turno]]</f>
        <v>46291|PURGA TKS AIRE|TK-MG-S. ROTULO|2do Turno</v>
      </c>
      <c r="C2774" s="871">
        <v>46291</v>
      </c>
      <c r="D2774" s="1100" t="s">
        <v>9433</v>
      </c>
      <c r="E2774" s="1100" t="s">
        <v>9471</v>
      </c>
      <c r="F2774" s="1100" t="s">
        <v>9436</v>
      </c>
      <c r="G2774" s="1100" t="s">
        <v>3227</v>
      </c>
      <c r="H2774" s="1100" t="s">
        <v>10345</v>
      </c>
      <c r="I2774" s="871">
        <v>46296.133811898151</v>
      </c>
      <c r="J2774" s="1100" t="s">
        <v>10350</v>
      </c>
      <c r="K2774" s="975" t="str">
        <f>IF(COUNTIFS(tblControles[Clave],tblControles[[#This Row],[Clave]])&gt;1,"Duplicado","")</f>
        <v/>
      </c>
    </row>
    <row r="2775" spans="2:11">
      <c r="B2775" s="975" t="str">
        <f>tblControles[[#This Row],[Fecha]]&amp;"|"&amp;tblControles[[#This Row],[Módulo]]&amp;"|"&amp;tblControles[[#This Row],[Ítem]]&amp;"|"&amp;tblControles[[#This Row],[Turno]]</f>
        <v>46291|PURGA TKS AIRE|TK-MG-001|3er Turno</v>
      </c>
      <c r="C2775" s="871">
        <v>46291</v>
      </c>
      <c r="D2775" s="1100" t="s">
        <v>9433</v>
      </c>
      <c r="E2775" s="1100" t="s">
        <v>337</v>
      </c>
      <c r="F2775" s="1100" t="s">
        <v>9437</v>
      </c>
      <c r="G2775" s="1100" t="s">
        <v>3227</v>
      </c>
      <c r="H2775" s="1100" t="s">
        <v>10345</v>
      </c>
      <c r="I2775" s="871">
        <v>46296.133811898151</v>
      </c>
      <c r="J2775" s="1100" t="s">
        <v>10350</v>
      </c>
      <c r="K2775" s="975" t="str">
        <f>IF(COUNTIFS(tblControles[Clave],tblControles[[#This Row],[Clave]])&gt;1,"Duplicado","")</f>
        <v/>
      </c>
    </row>
    <row r="2776" spans="2:11">
      <c r="B2776" s="975" t="str">
        <f>tblControles[[#This Row],[Fecha]]&amp;"|"&amp;tblControles[[#This Row],[Módulo]]&amp;"|"&amp;tblControles[[#This Row],[Ítem]]&amp;"|"&amp;tblControles[[#This Row],[Turno]]</f>
        <v>46291|PURGA TKS AIRE|TK-MG-002|3er Turno</v>
      </c>
      <c r="C2776" s="871">
        <v>46291</v>
      </c>
      <c r="D2776" s="1100" t="s">
        <v>9433</v>
      </c>
      <c r="E2776" s="1100" t="s">
        <v>339</v>
      </c>
      <c r="F2776" s="1100" t="s">
        <v>9437</v>
      </c>
      <c r="G2776" s="1100" t="s">
        <v>3227</v>
      </c>
      <c r="H2776" s="1100" t="s">
        <v>10345</v>
      </c>
      <c r="I2776" s="871">
        <v>46296.133811898151</v>
      </c>
      <c r="J2776" s="1100" t="s">
        <v>10350</v>
      </c>
      <c r="K2776" s="975" t="str">
        <f>IF(COUNTIFS(tblControles[Clave],tblControles[[#This Row],[Clave]])&gt;1,"Duplicado","")</f>
        <v/>
      </c>
    </row>
    <row r="2777" spans="2:11">
      <c r="B2777" s="975" t="str">
        <f>tblControles[[#This Row],[Fecha]]&amp;"|"&amp;tblControles[[#This Row],[Módulo]]&amp;"|"&amp;tblControles[[#This Row],[Ítem]]&amp;"|"&amp;tblControles[[#This Row],[Turno]]</f>
        <v>46291|PURGA TKS AIRE|TK-MG-003|3er Turno</v>
      </c>
      <c r="C2777" s="871">
        <v>46291</v>
      </c>
      <c r="D2777" s="1100" t="s">
        <v>9433</v>
      </c>
      <c r="E2777" s="1100" t="s">
        <v>341</v>
      </c>
      <c r="F2777" s="1100" t="s">
        <v>9437</v>
      </c>
      <c r="G2777" s="1100" t="s">
        <v>3227</v>
      </c>
      <c r="H2777" s="1100" t="s">
        <v>10345</v>
      </c>
      <c r="I2777" s="871">
        <v>46296.133811898151</v>
      </c>
      <c r="J2777" s="1100" t="s">
        <v>10350</v>
      </c>
      <c r="K2777" s="975" t="str">
        <f>IF(COUNTIFS(tblControles[Clave],tblControles[[#This Row],[Clave]])&gt;1,"Duplicado","")</f>
        <v/>
      </c>
    </row>
    <row r="2778" spans="2:11">
      <c r="B2778" s="975" t="str">
        <f>tblControles[[#This Row],[Fecha]]&amp;"|"&amp;tblControles[[#This Row],[Módulo]]&amp;"|"&amp;tblControles[[#This Row],[Ítem]]&amp;"|"&amp;tblControles[[#This Row],[Turno]]</f>
        <v>46291|PURGA TKS AIRE|TK-MG-004|3er Turno</v>
      </c>
      <c r="C2778" s="871">
        <v>46291</v>
      </c>
      <c r="D2778" s="1100" t="s">
        <v>9433</v>
      </c>
      <c r="E2778" s="1100" t="s">
        <v>349</v>
      </c>
      <c r="F2778" s="1100" t="s">
        <v>9437</v>
      </c>
      <c r="G2778" s="1100" t="s">
        <v>3227</v>
      </c>
      <c r="H2778" s="1100" t="s">
        <v>10345</v>
      </c>
      <c r="I2778" s="871">
        <v>46296.133811898151</v>
      </c>
      <c r="J2778" s="1100" t="s">
        <v>10350</v>
      </c>
      <c r="K2778" s="975" t="str">
        <f>IF(COUNTIFS(tblControles[Clave],tblControles[[#This Row],[Clave]])&gt;1,"Duplicado","")</f>
        <v/>
      </c>
    </row>
    <row r="2779" spans="2:11">
      <c r="B2779" s="975" t="str">
        <f>tblControles[[#This Row],[Fecha]]&amp;"|"&amp;tblControles[[#This Row],[Módulo]]&amp;"|"&amp;tblControles[[#This Row],[Ítem]]&amp;"|"&amp;tblControles[[#This Row],[Turno]]</f>
        <v>46291|PURGA TKS AIRE|TK-MG-005|3er Turno</v>
      </c>
      <c r="C2779" s="871">
        <v>46291</v>
      </c>
      <c r="D2779" s="1100" t="s">
        <v>9433</v>
      </c>
      <c r="E2779" s="1100" t="s">
        <v>343</v>
      </c>
      <c r="F2779" s="1100" t="s">
        <v>9437</v>
      </c>
      <c r="G2779" s="1100" t="s">
        <v>345</v>
      </c>
      <c r="H2779" s="1100" t="s">
        <v>10345</v>
      </c>
      <c r="I2779" s="871">
        <v>46296.133811898151</v>
      </c>
      <c r="J2779" s="1100" t="s">
        <v>10350</v>
      </c>
      <c r="K2779" s="975" t="str">
        <f>IF(COUNTIFS(tblControles[Clave],tblControles[[#This Row],[Clave]])&gt;1,"Duplicado","")</f>
        <v/>
      </c>
    </row>
    <row r="2780" spans="2:11">
      <c r="B2780" s="975" t="str">
        <f>tblControles[[#This Row],[Fecha]]&amp;"|"&amp;tblControles[[#This Row],[Módulo]]&amp;"|"&amp;tblControles[[#This Row],[Ítem]]&amp;"|"&amp;tblControles[[#This Row],[Turno]]</f>
        <v>46291|PURGA TKS AIRE|TK-MG-006|3er Turno</v>
      </c>
      <c r="C2780" s="871">
        <v>46291</v>
      </c>
      <c r="D2780" s="1100" t="s">
        <v>9433</v>
      </c>
      <c r="E2780" s="1100" t="s">
        <v>346</v>
      </c>
      <c r="F2780" s="1100" t="s">
        <v>9437</v>
      </c>
      <c r="G2780" s="1100" t="s">
        <v>3227</v>
      </c>
      <c r="H2780" s="1100" t="s">
        <v>10345</v>
      </c>
      <c r="I2780" s="871">
        <v>46296.133811898151</v>
      </c>
      <c r="J2780" s="1100" t="s">
        <v>10350</v>
      </c>
      <c r="K2780" s="975" t="str">
        <f>IF(COUNTIFS(tblControles[Clave],tblControles[[#This Row],[Clave]])&gt;1,"Duplicado","")</f>
        <v/>
      </c>
    </row>
    <row r="2781" spans="2:11">
      <c r="B2781" s="975" t="str">
        <f>tblControles[[#This Row],[Fecha]]&amp;"|"&amp;tblControles[[#This Row],[Módulo]]&amp;"|"&amp;tblControles[[#This Row],[Ítem]]&amp;"|"&amp;tblControles[[#This Row],[Turno]]</f>
        <v>46291|PURGA TKS AIRE|TK-MG-007|3er Turno</v>
      </c>
      <c r="C2781" s="871">
        <v>46291</v>
      </c>
      <c r="D2781" s="1100" t="s">
        <v>9433</v>
      </c>
      <c r="E2781" s="1100" t="s">
        <v>347</v>
      </c>
      <c r="F2781" s="1100" t="s">
        <v>9437</v>
      </c>
      <c r="G2781" s="1100" t="s">
        <v>3227</v>
      </c>
      <c r="H2781" s="1100" t="s">
        <v>10345</v>
      </c>
      <c r="I2781" s="871">
        <v>46296.133811898151</v>
      </c>
      <c r="J2781" s="1100" t="s">
        <v>10350</v>
      </c>
      <c r="K2781" s="975" t="str">
        <f>IF(COUNTIFS(tblControles[Clave],tblControles[[#This Row],[Clave]])&gt;1,"Duplicado","")</f>
        <v/>
      </c>
    </row>
    <row r="2782" spans="2:11">
      <c r="B2782" s="975" t="str">
        <f>tblControles[[#This Row],[Fecha]]&amp;"|"&amp;tblControles[[#This Row],[Módulo]]&amp;"|"&amp;tblControles[[#This Row],[Ítem]]&amp;"|"&amp;tblControles[[#This Row],[Turno]]</f>
        <v>46291|PURGA TKS AIRE|TK-MG-008|3er Turno</v>
      </c>
      <c r="C2782" s="871">
        <v>46291</v>
      </c>
      <c r="D2782" s="1100" t="s">
        <v>9433</v>
      </c>
      <c r="E2782" s="1100" t="s">
        <v>351</v>
      </c>
      <c r="F2782" s="1100" t="s">
        <v>9437</v>
      </c>
      <c r="G2782" s="1100" t="s">
        <v>3227</v>
      </c>
      <c r="H2782" s="1100" t="s">
        <v>10345</v>
      </c>
      <c r="I2782" s="871">
        <v>46296.133811898151</v>
      </c>
      <c r="J2782" s="1100" t="s">
        <v>10350</v>
      </c>
      <c r="K2782" s="975" t="str">
        <f>IF(COUNTIFS(tblControles[Clave],tblControles[[#This Row],[Clave]])&gt;1,"Duplicado","")</f>
        <v/>
      </c>
    </row>
    <row r="2783" spans="2:11">
      <c r="B2783" s="975" t="str">
        <f>tblControles[[#This Row],[Fecha]]&amp;"|"&amp;tblControles[[#This Row],[Módulo]]&amp;"|"&amp;tblControles[[#This Row],[Ítem]]&amp;"|"&amp;tblControles[[#This Row],[Turno]]</f>
        <v>46291|PURGA TKS AIRE|TK-MG-009|3er Turno</v>
      </c>
      <c r="C2783" s="871">
        <v>46291</v>
      </c>
      <c r="D2783" s="1100" t="s">
        <v>9433</v>
      </c>
      <c r="E2783" s="1100" t="s">
        <v>353</v>
      </c>
      <c r="F2783" s="1100" t="s">
        <v>9437</v>
      </c>
      <c r="G2783" s="1100" t="s">
        <v>3227</v>
      </c>
      <c r="H2783" s="1100" t="s">
        <v>10345</v>
      </c>
      <c r="I2783" s="871">
        <v>46296.133811898151</v>
      </c>
      <c r="J2783" s="1100" t="s">
        <v>10350</v>
      </c>
      <c r="K2783" s="975" t="str">
        <f>IF(COUNTIFS(tblControles[Clave],tblControles[[#This Row],[Clave]])&gt;1,"Duplicado","")</f>
        <v/>
      </c>
    </row>
    <row r="2784" spans="2:11">
      <c r="B2784" s="975" t="str">
        <f>tblControles[[#This Row],[Fecha]]&amp;"|"&amp;tblControles[[#This Row],[Módulo]]&amp;"|"&amp;tblControles[[#This Row],[Ítem]]&amp;"|"&amp;tblControles[[#This Row],[Turno]]</f>
        <v>46291|PURGA TKS AIRE|TK-MG-010|3er Turno</v>
      </c>
      <c r="C2784" s="871">
        <v>46291</v>
      </c>
      <c r="D2784" s="1100" t="s">
        <v>9433</v>
      </c>
      <c r="E2784" s="1100" t="s">
        <v>355</v>
      </c>
      <c r="F2784" s="1100" t="s">
        <v>9437</v>
      </c>
      <c r="G2784" s="1100" t="s">
        <v>3227</v>
      </c>
      <c r="H2784" s="1100" t="s">
        <v>10345</v>
      </c>
      <c r="I2784" s="871">
        <v>46296.133811898151</v>
      </c>
      <c r="J2784" s="1100" t="s">
        <v>10350</v>
      </c>
      <c r="K2784" s="975" t="str">
        <f>IF(COUNTIFS(tblControles[Clave],tblControles[[#This Row],[Clave]])&gt;1,"Duplicado","")</f>
        <v/>
      </c>
    </row>
    <row r="2785" spans="2:11">
      <c r="B2785" s="975" t="str">
        <f>tblControles[[#This Row],[Fecha]]&amp;"|"&amp;tblControles[[#This Row],[Módulo]]&amp;"|"&amp;tblControles[[#This Row],[Ítem]]&amp;"|"&amp;tblControles[[#This Row],[Turno]]</f>
        <v>46291|PURGA TKS AIRE|TK-MG-011|3er Turno</v>
      </c>
      <c r="C2785" s="871">
        <v>46291</v>
      </c>
      <c r="D2785" s="1100" t="s">
        <v>9433</v>
      </c>
      <c r="E2785" s="1100" t="s">
        <v>357</v>
      </c>
      <c r="F2785" s="1100" t="s">
        <v>9437</v>
      </c>
      <c r="G2785" s="1100" t="s">
        <v>3227</v>
      </c>
      <c r="H2785" s="1100" t="s">
        <v>10345</v>
      </c>
      <c r="I2785" s="871">
        <v>46296.133811898151</v>
      </c>
      <c r="J2785" s="1100" t="s">
        <v>10350</v>
      </c>
      <c r="K2785" s="975" t="str">
        <f>IF(COUNTIFS(tblControles[Clave],tblControles[[#This Row],[Clave]])&gt;1,"Duplicado","")</f>
        <v/>
      </c>
    </row>
    <row r="2786" spans="2:11">
      <c r="B2786" s="975" t="str">
        <f>tblControles[[#This Row],[Fecha]]&amp;"|"&amp;tblControles[[#This Row],[Módulo]]&amp;"|"&amp;tblControles[[#This Row],[Ítem]]&amp;"|"&amp;tblControles[[#This Row],[Turno]]</f>
        <v>46291|PURGA TKS AIRE|TK-MG-012|3er Turno</v>
      </c>
      <c r="C2786" s="871">
        <v>46291</v>
      </c>
      <c r="D2786" s="1100" t="s">
        <v>9433</v>
      </c>
      <c r="E2786" s="1100" t="s">
        <v>359</v>
      </c>
      <c r="F2786" s="1100" t="s">
        <v>9437</v>
      </c>
      <c r="G2786" s="1100" t="s">
        <v>3227</v>
      </c>
      <c r="H2786" s="1100" t="s">
        <v>10345</v>
      </c>
      <c r="I2786" s="871">
        <v>46296.133811898151</v>
      </c>
      <c r="J2786" s="1100" t="s">
        <v>10350</v>
      </c>
      <c r="K2786" s="975" t="str">
        <f>IF(COUNTIFS(tblControles[Clave],tblControles[[#This Row],[Clave]])&gt;1,"Duplicado","")</f>
        <v/>
      </c>
    </row>
    <row r="2787" spans="2:11">
      <c r="B2787" s="975" t="str">
        <f>tblControles[[#This Row],[Fecha]]&amp;"|"&amp;tblControles[[#This Row],[Módulo]]&amp;"|"&amp;tblControles[[#This Row],[Ítem]]&amp;"|"&amp;tblControles[[#This Row],[Turno]]</f>
        <v>46291|PURGA TKS AIRE|TK-MG-013|3er Turno</v>
      </c>
      <c r="C2787" s="871">
        <v>46291</v>
      </c>
      <c r="D2787" s="1100" t="s">
        <v>9433</v>
      </c>
      <c r="E2787" s="1100" t="s">
        <v>361</v>
      </c>
      <c r="F2787" s="1100" t="s">
        <v>9437</v>
      </c>
      <c r="G2787" s="1100" t="s">
        <v>3227</v>
      </c>
      <c r="H2787" s="1100" t="s">
        <v>10345</v>
      </c>
      <c r="I2787" s="871">
        <v>46296.133811898151</v>
      </c>
      <c r="J2787" s="1100" t="s">
        <v>10350</v>
      </c>
      <c r="K2787" s="975" t="str">
        <f>IF(COUNTIFS(tblControles[Clave],tblControles[[#This Row],[Clave]])&gt;1,"Duplicado","")</f>
        <v/>
      </c>
    </row>
    <row r="2788" spans="2:11">
      <c r="B2788" s="975" t="str">
        <f>tblControles[[#This Row],[Fecha]]&amp;"|"&amp;tblControles[[#This Row],[Módulo]]&amp;"|"&amp;tblControles[[#This Row],[Ítem]]&amp;"|"&amp;tblControles[[#This Row],[Turno]]</f>
        <v>46291|PURGA TKS AIRE|TK-MG-014|3er Turno</v>
      </c>
      <c r="C2788" s="871">
        <v>46291</v>
      </c>
      <c r="D2788" s="1100" t="s">
        <v>9433</v>
      </c>
      <c r="E2788" s="1100" t="s">
        <v>363</v>
      </c>
      <c r="F2788" s="1100" t="s">
        <v>9437</v>
      </c>
      <c r="G2788" s="1100" t="s">
        <v>3227</v>
      </c>
      <c r="H2788" s="1100" t="s">
        <v>10345</v>
      </c>
      <c r="I2788" s="871">
        <v>46296.133811898151</v>
      </c>
      <c r="J2788" s="1100" t="s">
        <v>10350</v>
      </c>
      <c r="K2788" s="975" t="str">
        <f>IF(COUNTIFS(tblControles[Clave],tblControles[[#This Row],[Clave]])&gt;1,"Duplicado","")</f>
        <v/>
      </c>
    </row>
    <row r="2789" spans="2:11">
      <c r="B2789" s="975" t="str">
        <f>tblControles[[#This Row],[Fecha]]&amp;"|"&amp;tblControles[[#This Row],[Módulo]]&amp;"|"&amp;tblControles[[#This Row],[Ítem]]&amp;"|"&amp;tblControles[[#This Row],[Turno]]</f>
        <v>46291|PURGA TKS AIRE|TK-MG-S. ROTULO|3er Turno</v>
      </c>
      <c r="C2789" s="871">
        <v>46291</v>
      </c>
      <c r="D2789" s="1100" t="s">
        <v>9433</v>
      </c>
      <c r="E2789" s="1100" t="s">
        <v>9471</v>
      </c>
      <c r="F2789" s="1100" t="s">
        <v>9437</v>
      </c>
      <c r="G2789" s="1100" t="s">
        <v>3227</v>
      </c>
      <c r="H2789" s="1100" t="s">
        <v>10345</v>
      </c>
      <c r="I2789" s="871">
        <v>46296.133811898151</v>
      </c>
      <c r="J2789" s="1100" t="s">
        <v>10350</v>
      </c>
      <c r="K2789" s="975" t="str">
        <f>IF(COUNTIFS(tblControles[Clave],tblControles[[#This Row],[Clave]])&gt;1,"Duplicado","")</f>
        <v/>
      </c>
    </row>
    <row r="2790" spans="2:11">
      <c r="B2790" s="975" t="str">
        <f>tblControles[[#This Row],[Fecha]]&amp;"|"&amp;tblControles[[#This Row],[Módulo]]&amp;"|"&amp;tblControles[[#This Row],[Ítem]]&amp;"|"&amp;tblControles[[#This Row],[Turno]]</f>
        <v>46292|PURGA TKS AIRE|TK-MG-001|1er Turno</v>
      </c>
      <c r="C2790" s="871">
        <v>46292</v>
      </c>
      <c r="D2790" s="1100" t="s">
        <v>9433</v>
      </c>
      <c r="E2790" s="1100" t="s">
        <v>337</v>
      </c>
      <c r="F2790" s="1100" t="s">
        <v>9435</v>
      </c>
      <c r="G2790" s="1100" t="s">
        <v>3227</v>
      </c>
      <c r="H2790" s="1100" t="s">
        <v>10345</v>
      </c>
      <c r="I2790" s="871">
        <v>46296.133811898151</v>
      </c>
      <c r="J2790" s="1100" t="s">
        <v>10350</v>
      </c>
      <c r="K2790" s="975" t="str">
        <f>IF(COUNTIFS(tblControles[Clave],tblControles[[#This Row],[Clave]])&gt;1,"Duplicado","")</f>
        <v/>
      </c>
    </row>
    <row r="2791" spans="2:11">
      <c r="B2791" s="975" t="str">
        <f>tblControles[[#This Row],[Fecha]]&amp;"|"&amp;tblControles[[#This Row],[Módulo]]&amp;"|"&amp;tblControles[[#This Row],[Ítem]]&amp;"|"&amp;tblControles[[#This Row],[Turno]]</f>
        <v>46292|PURGA TKS AIRE|TK-MG-002|1er Turno</v>
      </c>
      <c r="C2791" s="871">
        <v>46292</v>
      </c>
      <c r="D2791" s="1100" t="s">
        <v>9433</v>
      </c>
      <c r="E2791" s="1100" t="s">
        <v>339</v>
      </c>
      <c r="F2791" s="1100" t="s">
        <v>9435</v>
      </c>
      <c r="G2791" s="1100" t="s">
        <v>3227</v>
      </c>
      <c r="H2791" s="1100" t="s">
        <v>10345</v>
      </c>
      <c r="I2791" s="871">
        <v>46296.133811898151</v>
      </c>
      <c r="J2791" s="1100" t="s">
        <v>10350</v>
      </c>
      <c r="K2791" s="975" t="str">
        <f>IF(COUNTIFS(tblControles[Clave],tblControles[[#This Row],[Clave]])&gt;1,"Duplicado","")</f>
        <v/>
      </c>
    </row>
    <row r="2792" spans="2:11">
      <c r="B2792" s="975" t="str">
        <f>tblControles[[#This Row],[Fecha]]&amp;"|"&amp;tblControles[[#This Row],[Módulo]]&amp;"|"&amp;tblControles[[#This Row],[Ítem]]&amp;"|"&amp;tblControles[[#This Row],[Turno]]</f>
        <v>46292|PURGA TKS AIRE|TK-MG-003|1er Turno</v>
      </c>
      <c r="C2792" s="871">
        <v>46292</v>
      </c>
      <c r="D2792" s="1100" t="s">
        <v>9433</v>
      </c>
      <c r="E2792" s="1100" t="s">
        <v>341</v>
      </c>
      <c r="F2792" s="1100" t="s">
        <v>9435</v>
      </c>
      <c r="G2792" s="1100" t="s">
        <v>3227</v>
      </c>
      <c r="H2792" s="1100" t="s">
        <v>10345</v>
      </c>
      <c r="I2792" s="871">
        <v>46296.133811898151</v>
      </c>
      <c r="J2792" s="1100" t="s">
        <v>10350</v>
      </c>
      <c r="K2792" s="975" t="str">
        <f>IF(COUNTIFS(tblControles[Clave],tblControles[[#This Row],[Clave]])&gt;1,"Duplicado","")</f>
        <v/>
      </c>
    </row>
    <row r="2793" spans="2:11">
      <c r="B2793" s="975" t="str">
        <f>tblControles[[#This Row],[Fecha]]&amp;"|"&amp;tblControles[[#This Row],[Módulo]]&amp;"|"&amp;tblControles[[#This Row],[Ítem]]&amp;"|"&amp;tblControles[[#This Row],[Turno]]</f>
        <v>46292|PURGA TKS AIRE|TK-MG-004|1er Turno</v>
      </c>
      <c r="C2793" s="871">
        <v>46292</v>
      </c>
      <c r="D2793" s="1100" t="s">
        <v>9433</v>
      </c>
      <c r="E2793" s="1100" t="s">
        <v>349</v>
      </c>
      <c r="F2793" s="1100" t="s">
        <v>9435</v>
      </c>
      <c r="G2793" s="1100" t="s">
        <v>3227</v>
      </c>
      <c r="H2793" s="1100" t="s">
        <v>10345</v>
      </c>
      <c r="I2793" s="871">
        <v>46296.133811898151</v>
      </c>
      <c r="J2793" s="1100" t="s">
        <v>10350</v>
      </c>
      <c r="K2793" s="975" t="str">
        <f>IF(COUNTIFS(tblControles[Clave],tblControles[[#This Row],[Clave]])&gt;1,"Duplicado","")</f>
        <v/>
      </c>
    </row>
    <row r="2794" spans="2:11">
      <c r="B2794" s="975" t="str">
        <f>tblControles[[#This Row],[Fecha]]&amp;"|"&amp;tblControles[[#This Row],[Módulo]]&amp;"|"&amp;tblControles[[#This Row],[Ítem]]&amp;"|"&amp;tblControles[[#This Row],[Turno]]</f>
        <v>46292|PURGA TKS AIRE|TK-MG-005|1er Turno</v>
      </c>
      <c r="C2794" s="871">
        <v>46292</v>
      </c>
      <c r="D2794" s="1100" t="s">
        <v>9433</v>
      </c>
      <c r="E2794" s="1100" t="s">
        <v>343</v>
      </c>
      <c r="F2794" s="1100" t="s">
        <v>9435</v>
      </c>
      <c r="G2794" s="1100" t="s">
        <v>345</v>
      </c>
      <c r="H2794" s="1100" t="s">
        <v>10345</v>
      </c>
      <c r="I2794" s="871">
        <v>46296.133811898151</v>
      </c>
      <c r="J2794" s="1100" t="s">
        <v>10350</v>
      </c>
      <c r="K2794" s="975" t="str">
        <f>IF(COUNTIFS(tblControles[Clave],tblControles[[#This Row],[Clave]])&gt;1,"Duplicado","")</f>
        <v/>
      </c>
    </row>
    <row r="2795" spans="2:11">
      <c r="B2795" s="975" t="str">
        <f>tblControles[[#This Row],[Fecha]]&amp;"|"&amp;tblControles[[#This Row],[Módulo]]&amp;"|"&amp;tblControles[[#This Row],[Ítem]]&amp;"|"&amp;tblControles[[#This Row],[Turno]]</f>
        <v>46292|PURGA TKS AIRE|TK-MG-006|1er Turno</v>
      </c>
      <c r="C2795" s="871">
        <v>46292</v>
      </c>
      <c r="D2795" s="1100" t="s">
        <v>9433</v>
      </c>
      <c r="E2795" s="1100" t="s">
        <v>346</v>
      </c>
      <c r="F2795" s="1100" t="s">
        <v>9435</v>
      </c>
      <c r="G2795" s="1100" t="s">
        <v>3227</v>
      </c>
      <c r="H2795" s="1100" t="s">
        <v>10345</v>
      </c>
      <c r="I2795" s="871">
        <v>46296.133811898151</v>
      </c>
      <c r="J2795" s="1100" t="s">
        <v>10350</v>
      </c>
      <c r="K2795" s="975" t="str">
        <f>IF(COUNTIFS(tblControles[Clave],tblControles[[#This Row],[Clave]])&gt;1,"Duplicado","")</f>
        <v/>
      </c>
    </row>
    <row r="2796" spans="2:11">
      <c r="B2796" s="975" t="str">
        <f>tblControles[[#This Row],[Fecha]]&amp;"|"&amp;tblControles[[#This Row],[Módulo]]&amp;"|"&amp;tblControles[[#This Row],[Ítem]]&amp;"|"&amp;tblControles[[#This Row],[Turno]]</f>
        <v>46292|PURGA TKS AIRE|TK-MG-007|1er Turno</v>
      </c>
      <c r="C2796" s="871">
        <v>46292</v>
      </c>
      <c r="D2796" s="1100" t="s">
        <v>9433</v>
      </c>
      <c r="E2796" s="1100" t="s">
        <v>347</v>
      </c>
      <c r="F2796" s="1100" t="s">
        <v>9435</v>
      </c>
      <c r="G2796" s="1100" t="s">
        <v>3227</v>
      </c>
      <c r="H2796" s="1100" t="s">
        <v>10345</v>
      </c>
      <c r="I2796" s="871">
        <v>46296.133811898151</v>
      </c>
      <c r="J2796" s="1100" t="s">
        <v>10350</v>
      </c>
      <c r="K2796" s="975" t="str">
        <f>IF(COUNTIFS(tblControles[Clave],tblControles[[#This Row],[Clave]])&gt;1,"Duplicado","")</f>
        <v/>
      </c>
    </row>
    <row r="2797" spans="2:11">
      <c r="B2797" s="975" t="str">
        <f>tblControles[[#This Row],[Fecha]]&amp;"|"&amp;tblControles[[#This Row],[Módulo]]&amp;"|"&amp;tblControles[[#This Row],[Ítem]]&amp;"|"&amp;tblControles[[#This Row],[Turno]]</f>
        <v>46292|PURGA TKS AIRE|TK-MG-008|1er Turno</v>
      </c>
      <c r="C2797" s="871">
        <v>46292</v>
      </c>
      <c r="D2797" s="1100" t="s">
        <v>9433</v>
      </c>
      <c r="E2797" s="1100" t="s">
        <v>351</v>
      </c>
      <c r="F2797" s="1100" t="s">
        <v>9435</v>
      </c>
      <c r="G2797" s="1100" t="s">
        <v>3227</v>
      </c>
      <c r="H2797" s="1100" t="s">
        <v>10345</v>
      </c>
      <c r="I2797" s="871">
        <v>46296.133811898151</v>
      </c>
      <c r="J2797" s="1100" t="s">
        <v>10350</v>
      </c>
      <c r="K2797" s="975" t="str">
        <f>IF(COUNTIFS(tblControles[Clave],tblControles[[#This Row],[Clave]])&gt;1,"Duplicado","")</f>
        <v/>
      </c>
    </row>
    <row r="2798" spans="2:11">
      <c r="B2798" s="975" t="str">
        <f>tblControles[[#This Row],[Fecha]]&amp;"|"&amp;tblControles[[#This Row],[Módulo]]&amp;"|"&amp;tblControles[[#This Row],[Ítem]]&amp;"|"&amp;tblControles[[#This Row],[Turno]]</f>
        <v>46292|PURGA TKS AIRE|TK-MG-009|1er Turno</v>
      </c>
      <c r="C2798" s="871">
        <v>46292</v>
      </c>
      <c r="D2798" s="1100" t="s">
        <v>9433</v>
      </c>
      <c r="E2798" s="1100" t="s">
        <v>353</v>
      </c>
      <c r="F2798" s="1100" t="s">
        <v>9435</v>
      </c>
      <c r="G2798" s="1100" t="s">
        <v>3227</v>
      </c>
      <c r="H2798" s="1100" t="s">
        <v>10345</v>
      </c>
      <c r="I2798" s="871">
        <v>46296.133811898151</v>
      </c>
      <c r="J2798" s="1100" t="s">
        <v>10350</v>
      </c>
      <c r="K2798" s="975" t="str">
        <f>IF(COUNTIFS(tblControles[Clave],tblControles[[#This Row],[Clave]])&gt;1,"Duplicado","")</f>
        <v/>
      </c>
    </row>
    <row r="2799" spans="2:11">
      <c r="B2799" s="975" t="str">
        <f>tblControles[[#This Row],[Fecha]]&amp;"|"&amp;tblControles[[#This Row],[Módulo]]&amp;"|"&amp;tblControles[[#This Row],[Ítem]]&amp;"|"&amp;tblControles[[#This Row],[Turno]]</f>
        <v>46292|PURGA TKS AIRE|TK-MG-010|1er Turno</v>
      </c>
      <c r="C2799" s="871">
        <v>46292</v>
      </c>
      <c r="D2799" s="1100" t="s">
        <v>9433</v>
      </c>
      <c r="E2799" s="1100" t="s">
        <v>355</v>
      </c>
      <c r="F2799" s="1100" t="s">
        <v>9435</v>
      </c>
      <c r="G2799" s="1100" t="s">
        <v>3227</v>
      </c>
      <c r="H2799" s="1100" t="s">
        <v>10345</v>
      </c>
      <c r="I2799" s="871">
        <v>46296.133811898151</v>
      </c>
      <c r="J2799" s="1100" t="s">
        <v>10350</v>
      </c>
      <c r="K2799" s="975" t="str">
        <f>IF(COUNTIFS(tblControles[Clave],tblControles[[#This Row],[Clave]])&gt;1,"Duplicado","")</f>
        <v/>
      </c>
    </row>
    <row r="2800" spans="2:11">
      <c r="B2800" s="975" t="str">
        <f>tblControles[[#This Row],[Fecha]]&amp;"|"&amp;tblControles[[#This Row],[Módulo]]&amp;"|"&amp;tblControles[[#This Row],[Ítem]]&amp;"|"&amp;tblControles[[#This Row],[Turno]]</f>
        <v>46292|PURGA TKS AIRE|TK-MG-011|1er Turno</v>
      </c>
      <c r="C2800" s="871">
        <v>46292</v>
      </c>
      <c r="D2800" s="1100" t="s">
        <v>9433</v>
      </c>
      <c r="E2800" s="1100" t="s">
        <v>357</v>
      </c>
      <c r="F2800" s="1100" t="s">
        <v>9435</v>
      </c>
      <c r="G2800" s="1100" t="s">
        <v>3227</v>
      </c>
      <c r="H2800" s="1100" t="s">
        <v>10345</v>
      </c>
      <c r="I2800" s="871">
        <v>46296.133811898151</v>
      </c>
      <c r="J2800" s="1100" t="s">
        <v>10350</v>
      </c>
      <c r="K2800" s="975" t="str">
        <f>IF(COUNTIFS(tblControles[Clave],tblControles[[#This Row],[Clave]])&gt;1,"Duplicado","")</f>
        <v/>
      </c>
    </row>
    <row r="2801" spans="2:11">
      <c r="B2801" s="975" t="str">
        <f>tblControles[[#This Row],[Fecha]]&amp;"|"&amp;tblControles[[#This Row],[Módulo]]&amp;"|"&amp;tblControles[[#This Row],[Ítem]]&amp;"|"&amp;tblControles[[#This Row],[Turno]]</f>
        <v>46292|PURGA TKS AIRE|TK-MG-012|1er Turno</v>
      </c>
      <c r="C2801" s="871">
        <v>46292</v>
      </c>
      <c r="D2801" s="1100" t="s">
        <v>9433</v>
      </c>
      <c r="E2801" s="1100" t="s">
        <v>359</v>
      </c>
      <c r="F2801" s="1100" t="s">
        <v>9435</v>
      </c>
      <c r="G2801" s="1100" t="s">
        <v>3227</v>
      </c>
      <c r="H2801" s="1100" t="s">
        <v>10345</v>
      </c>
      <c r="I2801" s="871">
        <v>46296.133811898151</v>
      </c>
      <c r="J2801" s="1100" t="s">
        <v>10350</v>
      </c>
      <c r="K2801" s="975" t="str">
        <f>IF(COUNTIFS(tblControles[Clave],tblControles[[#This Row],[Clave]])&gt;1,"Duplicado","")</f>
        <v/>
      </c>
    </row>
    <row r="2802" spans="2:11">
      <c r="B2802" s="975" t="str">
        <f>tblControles[[#This Row],[Fecha]]&amp;"|"&amp;tblControles[[#This Row],[Módulo]]&amp;"|"&amp;tblControles[[#This Row],[Ítem]]&amp;"|"&amp;tblControles[[#This Row],[Turno]]</f>
        <v>46292|PURGA TKS AIRE|TK-MG-013|1er Turno</v>
      </c>
      <c r="C2802" s="871">
        <v>46292</v>
      </c>
      <c r="D2802" s="1100" t="s">
        <v>9433</v>
      </c>
      <c r="E2802" s="1100" t="s">
        <v>361</v>
      </c>
      <c r="F2802" s="1100" t="s">
        <v>9435</v>
      </c>
      <c r="G2802" s="1100" t="s">
        <v>3227</v>
      </c>
      <c r="H2802" s="1100" t="s">
        <v>10345</v>
      </c>
      <c r="I2802" s="871">
        <v>46296.133811898151</v>
      </c>
      <c r="J2802" s="1100" t="s">
        <v>10350</v>
      </c>
      <c r="K2802" s="975" t="str">
        <f>IF(COUNTIFS(tblControles[Clave],tblControles[[#This Row],[Clave]])&gt;1,"Duplicado","")</f>
        <v/>
      </c>
    </row>
    <row r="2803" spans="2:11">
      <c r="B2803" s="975" t="str">
        <f>tblControles[[#This Row],[Fecha]]&amp;"|"&amp;tblControles[[#This Row],[Módulo]]&amp;"|"&amp;tblControles[[#This Row],[Ítem]]&amp;"|"&amp;tblControles[[#This Row],[Turno]]</f>
        <v>46292|PURGA TKS AIRE|TK-MG-014|1er Turno</v>
      </c>
      <c r="C2803" s="871">
        <v>46292</v>
      </c>
      <c r="D2803" s="1100" t="s">
        <v>9433</v>
      </c>
      <c r="E2803" s="1100" t="s">
        <v>363</v>
      </c>
      <c r="F2803" s="1100" t="s">
        <v>9435</v>
      </c>
      <c r="G2803" s="1100" t="s">
        <v>3227</v>
      </c>
      <c r="H2803" s="1100" t="s">
        <v>10345</v>
      </c>
      <c r="I2803" s="871">
        <v>46296.133811898151</v>
      </c>
      <c r="J2803" s="1100" t="s">
        <v>10350</v>
      </c>
      <c r="K2803" s="975" t="str">
        <f>IF(COUNTIFS(tblControles[Clave],tblControles[[#This Row],[Clave]])&gt;1,"Duplicado","")</f>
        <v/>
      </c>
    </row>
    <row r="2804" spans="2:11">
      <c r="B2804" s="975" t="str">
        <f>tblControles[[#This Row],[Fecha]]&amp;"|"&amp;tblControles[[#This Row],[Módulo]]&amp;"|"&amp;tblControles[[#This Row],[Ítem]]&amp;"|"&amp;tblControles[[#This Row],[Turno]]</f>
        <v>46292|PURGA TKS AIRE|TK-MG-S. ROTULO|1er Turno</v>
      </c>
      <c r="C2804" s="871">
        <v>46292</v>
      </c>
      <c r="D2804" s="1100" t="s">
        <v>9433</v>
      </c>
      <c r="E2804" s="1100" t="s">
        <v>9471</v>
      </c>
      <c r="F2804" s="1100" t="s">
        <v>9435</v>
      </c>
      <c r="G2804" s="1100" t="s">
        <v>3227</v>
      </c>
      <c r="H2804" s="1100" t="s">
        <v>10345</v>
      </c>
      <c r="I2804" s="871">
        <v>46296.133811898151</v>
      </c>
      <c r="J2804" s="1100" t="s">
        <v>10350</v>
      </c>
      <c r="K2804" s="975" t="str">
        <f>IF(COUNTIFS(tblControles[Clave],tblControles[[#This Row],[Clave]])&gt;1,"Duplicado","")</f>
        <v/>
      </c>
    </row>
    <row r="2805" spans="2:11">
      <c r="B2805" s="975" t="str">
        <f>tblControles[[#This Row],[Fecha]]&amp;"|"&amp;tblControles[[#This Row],[Módulo]]&amp;"|"&amp;tblControles[[#This Row],[Ítem]]&amp;"|"&amp;tblControles[[#This Row],[Turno]]</f>
        <v>46292|PURGA TKS AIRE|TK-MG-001|3er Turno</v>
      </c>
      <c r="C2805" s="871">
        <v>46292</v>
      </c>
      <c r="D2805" s="1100" t="s">
        <v>9433</v>
      </c>
      <c r="E2805" s="1100" t="s">
        <v>337</v>
      </c>
      <c r="F2805" s="1100" t="s">
        <v>9437</v>
      </c>
      <c r="G2805" s="1100" t="s">
        <v>3227</v>
      </c>
      <c r="H2805" s="1100" t="s">
        <v>10345</v>
      </c>
      <c r="I2805" s="871">
        <v>46296.133811898151</v>
      </c>
      <c r="J2805" s="1100" t="s">
        <v>10350</v>
      </c>
      <c r="K2805" s="975" t="str">
        <f>IF(COUNTIFS(tblControles[Clave],tblControles[[#This Row],[Clave]])&gt;1,"Duplicado","")</f>
        <v/>
      </c>
    </row>
    <row r="2806" spans="2:11">
      <c r="B2806" s="975" t="str">
        <f>tblControles[[#This Row],[Fecha]]&amp;"|"&amp;tblControles[[#This Row],[Módulo]]&amp;"|"&amp;tblControles[[#This Row],[Ítem]]&amp;"|"&amp;tblControles[[#This Row],[Turno]]</f>
        <v>46292|PURGA TKS AIRE|TK-MG-002|3er Turno</v>
      </c>
      <c r="C2806" s="871">
        <v>46292</v>
      </c>
      <c r="D2806" s="1100" t="s">
        <v>9433</v>
      </c>
      <c r="E2806" s="1100" t="s">
        <v>339</v>
      </c>
      <c r="F2806" s="1100" t="s">
        <v>9437</v>
      </c>
      <c r="G2806" s="1100" t="s">
        <v>3227</v>
      </c>
      <c r="H2806" s="1100" t="s">
        <v>10345</v>
      </c>
      <c r="I2806" s="871">
        <v>46296.133811898151</v>
      </c>
      <c r="J2806" s="1100" t="s">
        <v>10350</v>
      </c>
      <c r="K2806" s="975" t="str">
        <f>IF(COUNTIFS(tblControles[Clave],tblControles[[#This Row],[Clave]])&gt;1,"Duplicado","")</f>
        <v/>
      </c>
    </row>
    <row r="2807" spans="2:11">
      <c r="B2807" s="975" t="str">
        <f>tblControles[[#This Row],[Fecha]]&amp;"|"&amp;tblControles[[#This Row],[Módulo]]&amp;"|"&amp;tblControles[[#This Row],[Ítem]]&amp;"|"&amp;tblControles[[#This Row],[Turno]]</f>
        <v>46292|PURGA TKS AIRE|TK-MG-003|3er Turno</v>
      </c>
      <c r="C2807" s="871">
        <v>46292</v>
      </c>
      <c r="D2807" s="1100" t="s">
        <v>9433</v>
      </c>
      <c r="E2807" s="1100" t="s">
        <v>341</v>
      </c>
      <c r="F2807" s="1100" t="s">
        <v>9437</v>
      </c>
      <c r="G2807" s="1100" t="s">
        <v>3227</v>
      </c>
      <c r="H2807" s="1100" t="s">
        <v>10345</v>
      </c>
      <c r="I2807" s="871">
        <v>46296.133811898151</v>
      </c>
      <c r="J2807" s="1100" t="s">
        <v>10350</v>
      </c>
      <c r="K2807" s="975" t="str">
        <f>IF(COUNTIFS(tblControles[Clave],tblControles[[#This Row],[Clave]])&gt;1,"Duplicado","")</f>
        <v/>
      </c>
    </row>
    <row r="2808" spans="2:11">
      <c r="B2808" s="975" t="str">
        <f>tblControles[[#This Row],[Fecha]]&amp;"|"&amp;tblControles[[#This Row],[Módulo]]&amp;"|"&amp;tblControles[[#This Row],[Ítem]]&amp;"|"&amp;tblControles[[#This Row],[Turno]]</f>
        <v>46292|PURGA TKS AIRE|TK-MG-004|3er Turno</v>
      </c>
      <c r="C2808" s="871">
        <v>46292</v>
      </c>
      <c r="D2808" s="1100" t="s">
        <v>9433</v>
      </c>
      <c r="E2808" s="1100" t="s">
        <v>349</v>
      </c>
      <c r="F2808" s="1100" t="s">
        <v>9437</v>
      </c>
      <c r="G2808" s="1100" t="s">
        <v>3227</v>
      </c>
      <c r="H2808" s="1100" t="s">
        <v>10345</v>
      </c>
      <c r="I2808" s="871">
        <v>46296.133811898151</v>
      </c>
      <c r="J2808" s="1100" t="s">
        <v>10350</v>
      </c>
      <c r="K2808" s="975" t="str">
        <f>IF(COUNTIFS(tblControles[Clave],tblControles[[#This Row],[Clave]])&gt;1,"Duplicado","")</f>
        <v/>
      </c>
    </row>
    <row r="2809" spans="2:11">
      <c r="B2809" s="975" t="str">
        <f>tblControles[[#This Row],[Fecha]]&amp;"|"&amp;tblControles[[#This Row],[Módulo]]&amp;"|"&amp;tblControles[[#This Row],[Ítem]]&amp;"|"&amp;tblControles[[#This Row],[Turno]]</f>
        <v>46292|PURGA TKS AIRE|TK-MG-005|3er Turno</v>
      </c>
      <c r="C2809" s="871">
        <v>46292</v>
      </c>
      <c r="D2809" s="1100" t="s">
        <v>9433</v>
      </c>
      <c r="E2809" s="1100" t="s">
        <v>343</v>
      </c>
      <c r="F2809" s="1100" t="s">
        <v>9437</v>
      </c>
      <c r="G2809" s="1100" t="s">
        <v>345</v>
      </c>
      <c r="H2809" s="1100" t="s">
        <v>10345</v>
      </c>
      <c r="I2809" s="871">
        <v>46296.133811898151</v>
      </c>
      <c r="J2809" s="1100" t="s">
        <v>10350</v>
      </c>
      <c r="K2809" s="975" t="str">
        <f>IF(COUNTIFS(tblControles[Clave],tblControles[[#This Row],[Clave]])&gt;1,"Duplicado","")</f>
        <v/>
      </c>
    </row>
    <row r="2810" spans="2:11">
      <c r="B2810" s="975" t="str">
        <f>tblControles[[#This Row],[Fecha]]&amp;"|"&amp;tblControles[[#This Row],[Módulo]]&amp;"|"&amp;tblControles[[#This Row],[Ítem]]&amp;"|"&amp;tblControles[[#This Row],[Turno]]</f>
        <v>46292|PURGA TKS AIRE|TK-MG-006|3er Turno</v>
      </c>
      <c r="C2810" s="871">
        <v>46292</v>
      </c>
      <c r="D2810" s="1100" t="s">
        <v>9433</v>
      </c>
      <c r="E2810" s="1100" t="s">
        <v>346</v>
      </c>
      <c r="F2810" s="1100" t="s">
        <v>9437</v>
      </c>
      <c r="G2810" s="1100" t="s">
        <v>3227</v>
      </c>
      <c r="H2810" s="1100" t="s">
        <v>10345</v>
      </c>
      <c r="I2810" s="871">
        <v>46296.133811898151</v>
      </c>
      <c r="J2810" s="1100" t="s">
        <v>10350</v>
      </c>
      <c r="K2810" s="975" t="str">
        <f>IF(COUNTIFS(tblControles[Clave],tblControles[[#This Row],[Clave]])&gt;1,"Duplicado","")</f>
        <v/>
      </c>
    </row>
    <row r="2811" spans="2:11">
      <c r="B2811" s="975" t="str">
        <f>tblControles[[#This Row],[Fecha]]&amp;"|"&amp;tblControles[[#This Row],[Módulo]]&amp;"|"&amp;tblControles[[#This Row],[Ítem]]&amp;"|"&amp;tblControles[[#This Row],[Turno]]</f>
        <v>46292|PURGA TKS AIRE|TK-MG-007|3er Turno</v>
      </c>
      <c r="C2811" s="871">
        <v>46292</v>
      </c>
      <c r="D2811" s="1100" t="s">
        <v>9433</v>
      </c>
      <c r="E2811" s="1100" t="s">
        <v>347</v>
      </c>
      <c r="F2811" s="1100" t="s">
        <v>9437</v>
      </c>
      <c r="G2811" s="1100" t="s">
        <v>3227</v>
      </c>
      <c r="H2811" s="1100" t="s">
        <v>10345</v>
      </c>
      <c r="I2811" s="871">
        <v>46296.133811898151</v>
      </c>
      <c r="J2811" s="1100" t="s">
        <v>10350</v>
      </c>
      <c r="K2811" s="975" t="str">
        <f>IF(COUNTIFS(tblControles[Clave],tblControles[[#This Row],[Clave]])&gt;1,"Duplicado","")</f>
        <v/>
      </c>
    </row>
    <row r="2812" spans="2:11">
      <c r="B2812" s="975" t="str">
        <f>tblControles[[#This Row],[Fecha]]&amp;"|"&amp;tblControles[[#This Row],[Módulo]]&amp;"|"&amp;tblControles[[#This Row],[Ítem]]&amp;"|"&amp;tblControles[[#This Row],[Turno]]</f>
        <v>46292|PURGA TKS AIRE|TK-MG-008|3er Turno</v>
      </c>
      <c r="C2812" s="871">
        <v>46292</v>
      </c>
      <c r="D2812" s="1100" t="s">
        <v>9433</v>
      </c>
      <c r="E2812" s="1100" t="s">
        <v>351</v>
      </c>
      <c r="F2812" s="1100" t="s">
        <v>9437</v>
      </c>
      <c r="G2812" s="1100" t="s">
        <v>3227</v>
      </c>
      <c r="H2812" s="1100" t="s">
        <v>10345</v>
      </c>
      <c r="I2812" s="871">
        <v>46296.133811898151</v>
      </c>
      <c r="J2812" s="1100" t="s">
        <v>10350</v>
      </c>
      <c r="K2812" s="975" t="str">
        <f>IF(COUNTIFS(tblControles[Clave],tblControles[[#This Row],[Clave]])&gt;1,"Duplicado","")</f>
        <v/>
      </c>
    </row>
    <row r="2813" spans="2:11">
      <c r="B2813" s="975" t="str">
        <f>tblControles[[#This Row],[Fecha]]&amp;"|"&amp;tblControles[[#This Row],[Módulo]]&amp;"|"&amp;tblControles[[#This Row],[Ítem]]&amp;"|"&amp;tblControles[[#This Row],[Turno]]</f>
        <v>46292|PURGA TKS AIRE|TK-MG-009|3er Turno</v>
      </c>
      <c r="C2813" s="871">
        <v>46292</v>
      </c>
      <c r="D2813" s="1100" t="s">
        <v>9433</v>
      </c>
      <c r="E2813" s="1100" t="s">
        <v>353</v>
      </c>
      <c r="F2813" s="1100" t="s">
        <v>9437</v>
      </c>
      <c r="G2813" s="1100" t="s">
        <v>3227</v>
      </c>
      <c r="H2813" s="1100" t="s">
        <v>10345</v>
      </c>
      <c r="I2813" s="871">
        <v>46296.133811898151</v>
      </c>
      <c r="J2813" s="1100" t="s">
        <v>10350</v>
      </c>
      <c r="K2813" s="975" t="str">
        <f>IF(COUNTIFS(tblControles[Clave],tblControles[[#This Row],[Clave]])&gt;1,"Duplicado","")</f>
        <v/>
      </c>
    </row>
    <row r="2814" spans="2:11">
      <c r="B2814" s="975" t="str">
        <f>tblControles[[#This Row],[Fecha]]&amp;"|"&amp;tblControles[[#This Row],[Módulo]]&amp;"|"&amp;tblControles[[#This Row],[Ítem]]&amp;"|"&amp;tblControles[[#This Row],[Turno]]</f>
        <v>46292|PURGA TKS AIRE|TK-MG-010|3er Turno</v>
      </c>
      <c r="C2814" s="871">
        <v>46292</v>
      </c>
      <c r="D2814" s="1100" t="s">
        <v>9433</v>
      </c>
      <c r="E2814" s="1100" t="s">
        <v>355</v>
      </c>
      <c r="F2814" s="1100" t="s">
        <v>9437</v>
      </c>
      <c r="G2814" s="1100" t="s">
        <v>3227</v>
      </c>
      <c r="H2814" s="1100" t="s">
        <v>10345</v>
      </c>
      <c r="I2814" s="871">
        <v>46296.133811898151</v>
      </c>
      <c r="J2814" s="1100" t="s">
        <v>10350</v>
      </c>
      <c r="K2814" s="975" t="str">
        <f>IF(COUNTIFS(tblControles[Clave],tblControles[[#This Row],[Clave]])&gt;1,"Duplicado","")</f>
        <v/>
      </c>
    </row>
    <row r="2815" spans="2:11">
      <c r="B2815" s="975" t="str">
        <f>tblControles[[#This Row],[Fecha]]&amp;"|"&amp;tblControles[[#This Row],[Módulo]]&amp;"|"&amp;tblControles[[#This Row],[Ítem]]&amp;"|"&amp;tblControles[[#This Row],[Turno]]</f>
        <v>46292|PURGA TKS AIRE|TK-MG-011|3er Turno</v>
      </c>
      <c r="C2815" s="871">
        <v>46292</v>
      </c>
      <c r="D2815" s="1100" t="s">
        <v>9433</v>
      </c>
      <c r="E2815" s="1100" t="s">
        <v>357</v>
      </c>
      <c r="F2815" s="1100" t="s">
        <v>9437</v>
      </c>
      <c r="G2815" s="1100" t="s">
        <v>3227</v>
      </c>
      <c r="H2815" s="1100" t="s">
        <v>10345</v>
      </c>
      <c r="I2815" s="871">
        <v>46296.133811898151</v>
      </c>
      <c r="J2815" s="1100" t="s">
        <v>10350</v>
      </c>
      <c r="K2815" s="975" t="str">
        <f>IF(COUNTIFS(tblControles[Clave],tblControles[[#This Row],[Clave]])&gt;1,"Duplicado","")</f>
        <v/>
      </c>
    </row>
    <row r="2816" spans="2:11">
      <c r="B2816" s="975" t="str">
        <f>tblControles[[#This Row],[Fecha]]&amp;"|"&amp;tblControles[[#This Row],[Módulo]]&amp;"|"&amp;tblControles[[#This Row],[Ítem]]&amp;"|"&amp;tblControles[[#This Row],[Turno]]</f>
        <v>46292|PURGA TKS AIRE|TK-MG-012|3er Turno</v>
      </c>
      <c r="C2816" s="871">
        <v>46292</v>
      </c>
      <c r="D2816" s="1100" t="s">
        <v>9433</v>
      </c>
      <c r="E2816" s="1100" t="s">
        <v>359</v>
      </c>
      <c r="F2816" s="1100" t="s">
        <v>9437</v>
      </c>
      <c r="G2816" s="1100" t="s">
        <v>3227</v>
      </c>
      <c r="H2816" s="1100" t="s">
        <v>10345</v>
      </c>
      <c r="I2816" s="871">
        <v>46296.133811898151</v>
      </c>
      <c r="J2816" s="1100" t="s">
        <v>10350</v>
      </c>
      <c r="K2816" s="975" t="str">
        <f>IF(COUNTIFS(tblControles[Clave],tblControles[[#This Row],[Clave]])&gt;1,"Duplicado","")</f>
        <v/>
      </c>
    </row>
    <row r="2817" spans="2:11">
      <c r="B2817" s="975" t="str">
        <f>tblControles[[#This Row],[Fecha]]&amp;"|"&amp;tblControles[[#This Row],[Módulo]]&amp;"|"&amp;tblControles[[#This Row],[Ítem]]&amp;"|"&amp;tblControles[[#This Row],[Turno]]</f>
        <v>46292|PURGA TKS AIRE|TK-MG-013|3er Turno</v>
      </c>
      <c r="C2817" s="871">
        <v>46292</v>
      </c>
      <c r="D2817" s="1100" t="s">
        <v>9433</v>
      </c>
      <c r="E2817" s="1100" t="s">
        <v>361</v>
      </c>
      <c r="F2817" s="1100" t="s">
        <v>9437</v>
      </c>
      <c r="G2817" s="1100" t="s">
        <v>3227</v>
      </c>
      <c r="H2817" s="1100" t="s">
        <v>10345</v>
      </c>
      <c r="I2817" s="871">
        <v>46296.133811898151</v>
      </c>
      <c r="J2817" s="1100" t="s">
        <v>10350</v>
      </c>
      <c r="K2817" s="975" t="str">
        <f>IF(COUNTIFS(tblControles[Clave],tblControles[[#This Row],[Clave]])&gt;1,"Duplicado","")</f>
        <v/>
      </c>
    </row>
    <row r="2818" spans="2:11">
      <c r="B2818" s="975" t="str">
        <f>tblControles[[#This Row],[Fecha]]&amp;"|"&amp;tblControles[[#This Row],[Módulo]]&amp;"|"&amp;tblControles[[#This Row],[Ítem]]&amp;"|"&amp;tblControles[[#This Row],[Turno]]</f>
        <v>46292|PURGA TKS AIRE|TK-MG-014|3er Turno</v>
      </c>
      <c r="C2818" s="871">
        <v>46292</v>
      </c>
      <c r="D2818" s="1100" t="s">
        <v>9433</v>
      </c>
      <c r="E2818" s="1100" t="s">
        <v>363</v>
      </c>
      <c r="F2818" s="1100" t="s">
        <v>9437</v>
      </c>
      <c r="G2818" s="1100" t="s">
        <v>3227</v>
      </c>
      <c r="H2818" s="1100" t="s">
        <v>10345</v>
      </c>
      <c r="I2818" s="871">
        <v>46296.133811898151</v>
      </c>
      <c r="J2818" s="1100" t="s">
        <v>10350</v>
      </c>
      <c r="K2818" s="975" t="str">
        <f>IF(COUNTIFS(tblControles[Clave],tblControles[[#This Row],[Clave]])&gt;1,"Duplicado","")</f>
        <v/>
      </c>
    </row>
    <row r="2819" spans="2:11">
      <c r="B2819" s="975" t="str">
        <f>tblControles[[#This Row],[Fecha]]&amp;"|"&amp;tblControles[[#This Row],[Módulo]]&amp;"|"&amp;tblControles[[#This Row],[Ítem]]&amp;"|"&amp;tblControles[[#This Row],[Turno]]</f>
        <v>46292|PURGA TKS AIRE|TK-MG-S. ROTULO|3er Turno</v>
      </c>
      <c r="C2819" s="871">
        <v>46292</v>
      </c>
      <c r="D2819" s="1100" t="s">
        <v>9433</v>
      </c>
      <c r="E2819" s="1100" t="s">
        <v>9471</v>
      </c>
      <c r="F2819" s="1100" t="s">
        <v>9437</v>
      </c>
      <c r="G2819" s="1100" t="s">
        <v>3227</v>
      </c>
      <c r="H2819" s="1100" t="s">
        <v>10345</v>
      </c>
      <c r="I2819" s="871">
        <v>46296.133811898151</v>
      </c>
      <c r="J2819" s="1100" t="s">
        <v>10350</v>
      </c>
      <c r="K2819" s="975" t="str">
        <f>IF(COUNTIFS(tblControles[Clave],tblControles[[#This Row],[Clave]])&gt;1,"Duplicado","")</f>
        <v/>
      </c>
    </row>
    <row r="2820" spans="2:11">
      <c r="B2820" s="975" t="str">
        <f>tblControles[[#This Row],[Fecha]]&amp;"|"&amp;tblControles[[#This Row],[Módulo]]&amp;"|"&amp;tblControles[[#This Row],[Ítem]]&amp;"|"&amp;tblControles[[#This Row],[Turno]]</f>
        <v>46293|PURGA TKS AIRE|TK-MG-001|2do Turno</v>
      </c>
      <c r="C2820" s="871">
        <v>46293</v>
      </c>
      <c r="D2820" s="1100" t="s">
        <v>9433</v>
      </c>
      <c r="E2820" s="1100" t="s">
        <v>337</v>
      </c>
      <c r="F2820" s="1100" t="s">
        <v>9436</v>
      </c>
      <c r="G2820" s="1100" t="s">
        <v>3227</v>
      </c>
      <c r="H2820" s="1100" t="s">
        <v>10345</v>
      </c>
      <c r="I2820" s="871">
        <v>46296.133811898151</v>
      </c>
      <c r="J2820" s="1100" t="s">
        <v>10350</v>
      </c>
      <c r="K2820" s="975" t="str">
        <f>IF(COUNTIFS(tblControles[Clave],tblControles[[#This Row],[Clave]])&gt;1,"Duplicado","")</f>
        <v/>
      </c>
    </row>
    <row r="2821" spans="2:11">
      <c r="B2821" s="975" t="str">
        <f>tblControles[[#This Row],[Fecha]]&amp;"|"&amp;tblControles[[#This Row],[Módulo]]&amp;"|"&amp;tblControles[[#This Row],[Ítem]]&amp;"|"&amp;tblControles[[#This Row],[Turno]]</f>
        <v>46293|PURGA TKS AIRE|TK-MG-002|2do Turno</v>
      </c>
      <c r="C2821" s="871">
        <v>46293</v>
      </c>
      <c r="D2821" s="1100" t="s">
        <v>9433</v>
      </c>
      <c r="E2821" s="1100" t="s">
        <v>339</v>
      </c>
      <c r="F2821" s="1100" t="s">
        <v>9436</v>
      </c>
      <c r="G2821" s="1100" t="s">
        <v>3227</v>
      </c>
      <c r="H2821" s="1100" t="s">
        <v>10345</v>
      </c>
      <c r="I2821" s="871">
        <v>46296.133811898151</v>
      </c>
      <c r="J2821" s="1100" t="s">
        <v>10350</v>
      </c>
      <c r="K2821" s="975" t="str">
        <f>IF(COUNTIFS(tblControles[Clave],tblControles[[#This Row],[Clave]])&gt;1,"Duplicado","")</f>
        <v/>
      </c>
    </row>
    <row r="2822" spans="2:11">
      <c r="B2822" s="975" t="str">
        <f>tblControles[[#This Row],[Fecha]]&amp;"|"&amp;tblControles[[#This Row],[Módulo]]&amp;"|"&amp;tblControles[[#This Row],[Ítem]]&amp;"|"&amp;tblControles[[#This Row],[Turno]]</f>
        <v>46293|PURGA TKS AIRE|TK-MG-003|2do Turno</v>
      </c>
      <c r="C2822" s="871">
        <v>46293</v>
      </c>
      <c r="D2822" s="1100" t="s">
        <v>9433</v>
      </c>
      <c r="E2822" s="1100" t="s">
        <v>341</v>
      </c>
      <c r="F2822" s="1100" t="s">
        <v>9436</v>
      </c>
      <c r="G2822" s="1100" t="s">
        <v>3227</v>
      </c>
      <c r="H2822" s="1100" t="s">
        <v>10345</v>
      </c>
      <c r="I2822" s="871">
        <v>46296.133811898151</v>
      </c>
      <c r="J2822" s="1100" t="s">
        <v>10350</v>
      </c>
      <c r="K2822" s="975" t="str">
        <f>IF(COUNTIFS(tblControles[Clave],tblControles[[#This Row],[Clave]])&gt;1,"Duplicado","")</f>
        <v/>
      </c>
    </row>
    <row r="2823" spans="2:11">
      <c r="B2823" s="975" t="str">
        <f>tblControles[[#This Row],[Fecha]]&amp;"|"&amp;tblControles[[#This Row],[Módulo]]&amp;"|"&amp;tblControles[[#This Row],[Ítem]]&amp;"|"&amp;tblControles[[#This Row],[Turno]]</f>
        <v>46293|PURGA TKS AIRE|TK-MG-004|2do Turno</v>
      </c>
      <c r="C2823" s="871">
        <v>46293</v>
      </c>
      <c r="D2823" s="1100" t="s">
        <v>9433</v>
      </c>
      <c r="E2823" s="1100" t="s">
        <v>349</v>
      </c>
      <c r="F2823" s="1100" t="s">
        <v>9436</v>
      </c>
      <c r="G2823" s="1100" t="s">
        <v>3227</v>
      </c>
      <c r="H2823" s="1100" t="s">
        <v>10345</v>
      </c>
      <c r="I2823" s="871">
        <v>46296.133811898151</v>
      </c>
      <c r="J2823" s="1100" t="s">
        <v>10350</v>
      </c>
      <c r="K2823" s="975" t="str">
        <f>IF(COUNTIFS(tblControles[Clave],tblControles[[#This Row],[Clave]])&gt;1,"Duplicado","")</f>
        <v/>
      </c>
    </row>
    <row r="2824" spans="2:11">
      <c r="B2824" s="975" t="str">
        <f>tblControles[[#This Row],[Fecha]]&amp;"|"&amp;tblControles[[#This Row],[Módulo]]&amp;"|"&amp;tblControles[[#This Row],[Ítem]]&amp;"|"&amp;tblControles[[#This Row],[Turno]]</f>
        <v>46293|PURGA TKS AIRE|TK-MG-005|2do Turno</v>
      </c>
      <c r="C2824" s="871">
        <v>46293</v>
      </c>
      <c r="D2824" s="1100" t="s">
        <v>9433</v>
      </c>
      <c r="E2824" s="1100" t="s">
        <v>343</v>
      </c>
      <c r="F2824" s="1100" t="s">
        <v>9436</v>
      </c>
      <c r="G2824" s="1100" t="s">
        <v>345</v>
      </c>
      <c r="H2824" s="1100" t="s">
        <v>10345</v>
      </c>
      <c r="I2824" s="871">
        <v>46296.133811898151</v>
      </c>
      <c r="J2824" s="1100" t="s">
        <v>10350</v>
      </c>
      <c r="K2824" s="975" t="str">
        <f>IF(COUNTIFS(tblControles[Clave],tblControles[[#This Row],[Clave]])&gt;1,"Duplicado","")</f>
        <v/>
      </c>
    </row>
    <row r="2825" spans="2:11">
      <c r="B2825" s="975" t="str">
        <f>tblControles[[#This Row],[Fecha]]&amp;"|"&amp;tblControles[[#This Row],[Módulo]]&amp;"|"&amp;tblControles[[#This Row],[Ítem]]&amp;"|"&amp;tblControles[[#This Row],[Turno]]</f>
        <v>46293|PURGA TKS AIRE|TK-MG-006|2do Turno</v>
      </c>
      <c r="C2825" s="871">
        <v>46293</v>
      </c>
      <c r="D2825" s="1100" t="s">
        <v>9433</v>
      </c>
      <c r="E2825" s="1100" t="s">
        <v>346</v>
      </c>
      <c r="F2825" s="1100" t="s">
        <v>9436</v>
      </c>
      <c r="G2825" s="1100" t="s">
        <v>3227</v>
      </c>
      <c r="H2825" s="1100" t="s">
        <v>10345</v>
      </c>
      <c r="I2825" s="871">
        <v>46296.133811898151</v>
      </c>
      <c r="J2825" s="1100" t="s">
        <v>10350</v>
      </c>
      <c r="K2825" s="975" t="str">
        <f>IF(COUNTIFS(tblControles[Clave],tblControles[[#This Row],[Clave]])&gt;1,"Duplicado","")</f>
        <v/>
      </c>
    </row>
    <row r="2826" spans="2:11">
      <c r="B2826" s="975" t="str">
        <f>tblControles[[#This Row],[Fecha]]&amp;"|"&amp;tblControles[[#This Row],[Módulo]]&amp;"|"&amp;tblControles[[#This Row],[Ítem]]&amp;"|"&amp;tblControles[[#This Row],[Turno]]</f>
        <v>46293|PURGA TKS AIRE|TK-MG-007|2do Turno</v>
      </c>
      <c r="C2826" s="871">
        <v>46293</v>
      </c>
      <c r="D2826" s="1100" t="s">
        <v>9433</v>
      </c>
      <c r="E2826" s="1100" t="s">
        <v>347</v>
      </c>
      <c r="F2826" s="1100" t="s">
        <v>9436</v>
      </c>
      <c r="G2826" s="1100" t="s">
        <v>3227</v>
      </c>
      <c r="H2826" s="1100" t="s">
        <v>10345</v>
      </c>
      <c r="I2826" s="871">
        <v>46296.133811898151</v>
      </c>
      <c r="J2826" s="1100" t="s">
        <v>10350</v>
      </c>
      <c r="K2826" s="975" t="str">
        <f>IF(COUNTIFS(tblControles[Clave],tblControles[[#This Row],[Clave]])&gt;1,"Duplicado","")</f>
        <v/>
      </c>
    </row>
    <row r="2827" spans="2:11">
      <c r="B2827" s="975" t="str">
        <f>tblControles[[#This Row],[Fecha]]&amp;"|"&amp;tblControles[[#This Row],[Módulo]]&amp;"|"&amp;tblControles[[#This Row],[Ítem]]&amp;"|"&amp;tblControles[[#This Row],[Turno]]</f>
        <v>46293|PURGA TKS AIRE|TK-MG-008|2do Turno</v>
      </c>
      <c r="C2827" s="871">
        <v>46293</v>
      </c>
      <c r="D2827" s="1100" t="s">
        <v>9433</v>
      </c>
      <c r="E2827" s="1100" t="s">
        <v>351</v>
      </c>
      <c r="F2827" s="1100" t="s">
        <v>9436</v>
      </c>
      <c r="G2827" s="1100" t="s">
        <v>3227</v>
      </c>
      <c r="H2827" s="1100" t="s">
        <v>10345</v>
      </c>
      <c r="I2827" s="871">
        <v>46296.133811898151</v>
      </c>
      <c r="J2827" s="1100" t="s">
        <v>10350</v>
      </c>
      <c r="K2827" s="975" t="str">
        <f>IF(COUNTIFS(tblControles[Clave],tblControles[[#This Row],[Clave]])&gt;1,"Duplicado","")</f>
        <v/>
      </c>
    </row>
    <row r="2828" spans="2:11">
      <c r="B2828" s="975" t="str">
        <f>tblControles[[#This Row],[Fecha]]&amp;"|"&amp;tblControles[[#This Row],[Módulo]]&amp;"|"&amp;tblControles[[#This Row],[Ítem]]&amp;"|"&amp;tblControles[[#This Row],[Turno]]</f>
        <v>46293|PURGA TKS AIRE|TK-MG-009|2do Turno</v>
      </c>
      <c r="C2828" s="871">
        <v>46293</v>
      </c>
      <c r="D2828" s="1100" t="s">
        <v>9433</v>
      </c>
      <c r="E2828" s="1100" t="s">
        <v>353</v>
      </c>
      <c r="F2828" s="1100" t="s">
        <v>9436</v>
      </c>
      <c r="G2828" s="1100" t="s">
        <v>3227</v>
      </c>
      <c r="H2828" s="1100" t="s">
        <v>10345</v>
      </c>
      <c r="I2828" s="871">
        <v>46296.133811898151</v>
      </c>
      <c r="J2828" s="1100" t="s">
        <v>10350</v>
      </c>
      <c r="K2828" s="975" t="str">
        <f>IF(COUNTIFS(tblControles[Clave],tblControles[[#This Row],[Clave]])&gt;1,"Duplicado","")</f>
        <v/>
      </c>
    </row>
    <row r="2829" spans="2:11">
      <c r="B2829" s="975" t="str">
        <f>tblControles[[#This Row],[Fecha]]&amp;"|"&amp;tblControles[[#This Row],[Módulo]]&amp;"|"&amp;tblControles[[#This Row],[Ítem]]&amp;"|"&amp;tblControles[[#This Row],[Turno]]</f>
        <v>46293|PURGA TKS AIRE|TK-MG-010|2do Turno</v>
      </c>
      <c r="C2829" s="871">
        <v>46293</v>
      </c>
      <c r="D2829" s="1100" t="s">
        <v>9433</v>
      </c>
      <c r="E2829" s="1100" t="s">
        <v>355</v>
      </c>
      <c r="F2829" s="1100" t="s">
        <v>9436</v>
      </c>
      <c r="G2829" s="1100" t="s">
        <v>3227</v>
      </c>
      <c r="H2829" s="1100" t="s">
        <v>10345</v>
      </c>
      <c r="I2829" s="871">
        <v>46296.133811898151</v>
      </c>
      <c r="J2829" s="1100" t="s">
        <v>10350</v>
      </c>
      <c r="K2829" s="975" t="str">
        <f>IF(COUNTIFS(tblControles[Clave],tblControles[[#This Row],[Clave]])&gt;1,"Duplicado","")</f>
        <v/>
      </c>
    </row>
    <row r="2830" spans="2:11">
      <c r="B2830" s="975" t="str">
        <f>tblControles[[#This Row],[Fecha]]&amp;"|"&amp;tblControles[[#This Row],[Módulo]]&amp;"|"&amp;tblControles[[#This Row],[Ítem]]&amp;"|"&amp;tblControles[[#This Row],[Turno]]</f>
        <v>46293|PURGA TKS AIRE|TK-MG-011|2do Turno</v>
      </c>
      <c r="C2830" s="871">
        <v>46293</v>
      </c>
      <c r="D2830" s="1100" t="s">
        <v>9433</v>
      </c>
      <c r="E2830" s="1100" t="s">
        <v>357</v>
      </c>
      <c r="F2830" s="1100" t="s">
        <v>9436</v>
      </c>
      <c r="G2830" s="1100" t="s">
        <v>3227</v>
      </c>
      <c r="H2830" s="1100" t="s">
        <v>10345</v>
      </c>
      <c r="I2830" s="871">
        <v>46296.133811898151</v>
      </c>
      <c r="J2830" s="1100" t="s">
        <v>10350</v>
      </c>
      <c r="K2830" s="975" t="str">
        <f>IF(COUNTIFS(tblControles[Clave],tblControles[[#This Row],[Clave]])&gt;1,"Duplicado","")</f>
        <v/>
      </c>
    </row>
    <row r="2831" spans="2:11">
      <c r="B2831" s="975" t="str">
        <f>tblControles[[#This Row],[Fecha]]&amp;"|"&amp;tblControles[[#This Row],[Módulo]]&amp;"|"&amp;tblControles[[#This Row],[Ítem]]&amp;"|"&amp;tblControles[[#This Row],[Turno]]</f>
        <v>46293|PURGA TKS AIRE|TK-MG-012|2do Turno</v>
      </c>
      <c r="C2831" s="871">
        <v>46293</v>
      </c>
      <c r="D2831" s="1100" t="s">
        <v>9433</v>
      </c>
      <c r="E2831" s="1100" t="s">
        <v>359</v>
      </c>
      <c r="F2831" s="1100" t="s">
        <v>9436</v>
      </c>
      <c r="G2831" s="1100" t="s">
        <v>3227</v>
      </c>
      <c r="H2831" s="1100" t="s">
        <v>10345</v>
      </c>
      <c r="I2831" s="871">
        <v>46296.133811898151</v>
      </c>
      <c r="J2831" s="1100" t="s">
        <v>10350</v>
      </c>
      <c r="K2831" s="975" t="str">
        <f>IF(COUNTIFS(tblControles[Clave],tblControles[[#This Row],[Clave]])&gt;1,"Duplicado","")</f>
        <v/>
      </c>
    </row>
    <row r="2832" spans="2:11">
      <c r="B2832" s="975" t="str">
        <f>tblControles[[#This Row],[Fecha]]&amp;"|"&amp;tblControles[[#This Row],[Módulo]]&amp;"|"&amp;tblControles[[#This Row],[Ítem]]&amp;"|"&amp;tblControles[[#This Row],[Turno]]</f>
        <v>46293|PURGA TKS AIRE|TK-MG-013|2do Turno</v>
      </c>
      <c r="C2832" s="871">
        <v>46293</v>
      </c>
      <c r="D2832" s="1100" t="s">
        <v>9433</v>
      </c>
      <c r="E2832" s="1100" t="s">
        <v>361</v>
      </c>
      <c r="F2832" s="1100" t="s">
        <v>9436</v>
      </c>
      <c r="G2832" s="1100" t="s">
        <v>3227</v>
      </c>
      <c r="H2832" s="1100" t="s">
        <v>10345</v>
      </c>
      <c r="I2832" s="871">
        <v>46296.133811898151</v>
      </c>
      <c r="J2832" s="1100" t="s">
        <v>10350</v>
      </c>
      <c r="K2832" s="975" t="str">
        <f>IF(COUNTIFS(tblControles[Clave],tblControles[[#This Row],[Clave]])&gt;1,"Duplicado","")</f>
        <v/>
      </c>
    </row>
    <row r="2833" spans="2:11">
      <c r="B2833" s="975" t="str">
        <f>tblControles[[#This Row],[Fecha]]&amp;"|"&amp;tblControles[[#This Row],[Módulo]]&amp;"|"&amp;tblControles[[#This Row],[Ítem]]&amp;"|"&amp;tblControles[[#This Row],[Turno]]</f>
        <v>46293|PURGA TKS AIRE|TK-MG-014|2do Turno</v>
      </c>
      <c r="C2833" s="871">
        <v>46293</v>
      </c>
      <c r="D2833" s="1100" t="s">
        <v>9433</v>
      </c>
      <c r="E2833" s="1100" t="s">
        <v>363</v>
      </c>
      <c r="F2833" s="1100" t="s">
        <v>9436</v>
      </c>
      <c r="G2833" s="1100" t="s">
        <v>3227</v>
      </c>
      <c r="H2833" s="1100" t="s">
        <v>10345</v>
      </c>
      <c r="I2833" s="871">
        <v>46296.133811898151</v>
      </c>
      <c r="J2833" s="1100" t="s">
        <v>10350</v>
      </c>
      <c r="K2833" s="975" t="str">
        <f>IF(COUNTIFS(tblControles[Clave],tblControles[[#This Row],[Clave]])&gt;1,"Duplicado","")</f>
        <v/>
      </c>
    </row>
    <row r="2834" spans="2:11">
      <c r="B2834" s="975" t="str">
        <f>tblControles[[#This Row],[Fecha]]&amp;"|"&amp;tblControles[[#This Row],[Módulo]]&amp;"|"&amp;tblControles[[#This Row],[Ítem]]&amp;"|"&amp;tblControles[[#This Row],[Turno]]</f>
        <v>46293|PURGA TKS AIRE|TK-MG-S. ROTULO|2do Turno</v>
      </c>
      <c r="C2834" s="871">
        <v>46293</v>
      </c>
      <c r="D2834" s="1100" t="s">
        <v>9433</v>
      </c>
      <c r="E2834" s="1100" t="s">
        <v>9471</v>
      </c>
      <c r="F2834" s="1100" t="s">
        <v>9436</v>
      </c>
      <c r="G2834" s="1100" t="s">
        <v>3227</v>
      </c>
      <c r="H2834" s="1100" t="s">
        <v>10345</v>
      </c>
      <c r="I2834" s="871">
        <v>46296.133811898151</v>
      </c>
      <c r="J2834" s="1100" t="s">
        <v>10350</v>
      </c>
      <c r="K2834" s="975" t="str">
        <f>IF(COUNTIFS(tblControles[Clave],tblControles[[#This Row],[Clave]])&gt;1,"Duplicado","")</f>
        <v/>
      </c>
    </row>
    <row r="2835" spans="2:11">
      <c r="B2835" s="975" t="str">
        <f>tblControles[[#This Row],[Fecha]]&amp;"|"&amp;tblControles[[#This Row],[Módulo]]&amp;"|"&amp;tblControles[[#This Row],[Ítem]]&amp;"|"&amp;tblControles[[#This Row],[Turno]]</f>
        <v>46293|PURGA TKS AIRE|TK-MG-001|3er Turno</v>
      </c>
      <c r="C2835" s="871">
        <v>46293</v>
      </c>
      <c r="D2835" s="1100" t="s">
        <v>9433</v>
      </c>
      <c r="E2835" s="1100" t="s">
        <v>337</v>
      </c>
      <c r="F2835" s="1100" t="s">
        <v>9437</v>
      </c>
      <c r="G2835" s="1100" t="s">
        <v>3227</v>
      </c>
      <c r="H2835" s="1100" t="s">
        <v>10345</v>
      </c>
      <c r="I2835" s="871">
        <v>46296.133811898151</v>
      </c>
      <c r="J2835" s="1100" t="s">
        <v>10350</v>
      </c>
      <c r="K2835" s="975" t="str">
        <f>IF(COUNTIFS(tblControles[Clave],tblControles[[#This Row],[Clave]])&gt;1,"Duplicado","")</f>
        <v/>
      </c>
    </row>
    <row r="2836" spans="2:11">
      <c r="B2836" s="975" t="str">
        <f>tblControles[[#This Row],[Fecha]]&amp;"|"&amp;tblControles[[#This Row],[Módulo]]&amp;"|"&amp;tblControles[[#This Row],[Ítem]]&amp;"|"&amp;tblControles[[#This Row],[Turno]]</f>
        <v>46293|PURGA TKS AIRE|TK-MG-002|3er Turno</v>
      </c>
      <c r="C2836" s="871">
        <v>46293</v>
      </c>
      <c r="D2836" s="1100" t="s">
        <v>9433</v>
      </c>
      <c r="E2836" s="1100" t="s">
        <v>339</v>
      </c>
      <c r="F2836" s="1100" t="s">
        <v>9437</v>
      </c>
      <c r="G2836" s="1100" t="s">
        <v>3227</v>
      </c>
      <c r="H2836" s="1100" t="s">
        <v>10345</v>
      </c>
      <c r="I2836" s="871">
        <v>46296.133811898151</v>
      </c>
      <c r="J2836" s="1100" t="s">
        <v>10350</v>
      </c>
      <c r="K2836" s="975" t="str">
        <f>IF(COUNTIFS(tblControles[Clave],tblControles[[#This Row],[Clave]])&gt;1,"Duplicado","")</f>
        <v/>
      </c>
    </row>
    <row r="2837" spans="2:11">
      <c r="B2837" s="975" t="str">
        <f>tblControles[[#This Row],[Fecha]]&amp;"|"&amp;tblControles[[#This Row],[Módulo]]&amp;"|"&amp;tblControles[[#This Row],[Ítem]]&amp;"|"&amp;tblControles[[#This Row],[Turno]]</f>
        <v>46293|PURGA TKS AIRE|TK-MG-003|3er Turno</v>
      </c>
      <c r="C2837" s="871">
        <v>46293</v>
      </c>
      <c r="D2837" s="1100" t="s">
        <v>9433</v>
      </c>
      <c r="E2837" s="1100" t="s">
        <v>341</v>
      </c>
      <c r="F2837" s="1100" t="s">
        <v>9437</v>
      </c>
      <c r="G2837" s="1100" t="s">
        <v>3227</v>
      </c>
      <c r="H2837" s="1100" t="s">
        <v>10345</v>
      </c>
      <c r="I2837" s="871">
        <v>46296.133811898151</v>
      </c>
      <c r="J2837" s="1100" t="s">
        <v>10350</v>
      </c>
      <c r="K2837" s="975" t="str">
        <f>IF(COUNTIFS(tblControles[Clave],tblControles[[#This Row],[Clave]])&gt;1,"Duplicado","")</f>
        <v/>
      </c>
    </row>
    <row r="2838" spans="2:11">
      <c r="B2838" s="975" t="str">
        <f>tblControles[[#This Row],[Fecha]]&amp;"|"&amp;tblControles[[#This Row],[Módulo]]&amp;"|"&amp;tblControles[[#This Row],[Ítem]]&amp;"|"&amp;tblControles[[#This Row],[Turno]]</f>
        <v>46293|PURGA TKS AIRE|TK-MG-004|3er Turno</v>
      </c>
      <c r="C2838" s="871">
        <v>46293</v>
      </c>
      <c r="D2838" s="1100" t="s">
        <v>9433</v>
      </c>
      <c r="E2838" s="1100" t="s">
        <v>349</v>
      </c>
      <c r="F2838" s="1100" t="s">
        <v>9437</v>
      </c>
      <c r="G2838" s="1100" t="s">
        <v>3227</v>
      </c>
      <c r="H2838" s="1100" t="s">
        <v>10345</v>
      </c>
      <c r="I2838" s="871">
        <v>46296.133811898151</v>
      </c>
      <c r="J2838" s="1100" t="s">
        <v>10350</v>
      </c>
      <c r="K2838" s="975" t="str">
        <f>IF(COUNTIFS(tblControles[Clave],tblControles[[#This Row],[Clave]])&gt;1,"Duplicado","")</f>
        <v/>
      </c>
    </row>
    <row r="2839" spans="2:11">
      <c r="B2839" s="975" t="str">
        <f>tblControles[[#This Row],[Fecha]]&amp;"|"&amp;tblControles[[#This Row],[Módulo]]&amp;"|"&amp;tblControles[[#This Row],[Ítem]]&amp;"|"&amp;tblControles[[#This Row],[Turno]]</f>
        <v>46293|PURGA TKS AIRE|TK-MG-005|3er Turno</v>
      </c>
      <c r="C2839" s="871">
        <v>46293</v>
      </c>
      <c r="D2839" s="1100" t="s">
        <v>9433</v>
      </c>
      <c r="E2839" s="1100" t="s">
        <v>343</v>
      </c>
      <c r="F2839" s="1100" t="s">
        <v>9437</v>
      </c>
      <c r="G2839" s="1100" t="s">
        <v>345</v>
      </c>
      <c r="H2839" s="1100" t="s">
        <v>10345</v>
      </c>
      <c r="I2839" s="871">
        <v>46296.133811898151</v>
      </c>
      <c r="J2839" s="1100" t="s">
        <v>10350</v>
      </c>
      <c r="K2839" s="975" t="str">
        <f>IF(COUNTIFS(tblControles[Clave],tblControles[[#This Row],[Clave]])&gt;1,"Duplicado","")</f>
        <v/>
      </c>
    </row>
    <row r="2840" spans="2:11">
      <c r="B2840" s="975" t="str">
        <f>tblControles[[#This Row],[Fecha]]&amp;"|"&amp;tblControles[[#This Row],[Módulo]]&amp;"|"&amp;tblControles[[#This Row],[Ítem]]&amp;"|"&amp;tblControles[[#This Row],[Turno]]</f>
        <v>46293|PURGA TKS AIRE|TK-MG-006|3er Turno</v>
      </c>
      <c r="C2840" s="871">
        <v>46293</v>
      </c>
      <c r="D2840" s="1100" t="s">
        <v>9433</v>
      </c>
      <c r="E2840" s="1100" t="s">
        <v>346</v>
      </c>
      <c r="F2840" s="1100" t="s">
        <v>9437</v>
      </c>
      <c r="G2840" s="1100" t="s">
        <v>3227</v>
      </c>
      <c r="H2840" s="1100" t="s">
        <v>10345</v>
      </c>
      <c r="I2840" s="871">
        <v>46296.133811898151</v>
      </c>
      <c r="J2840" s="1100" t="s">
        <v>10350</v>
      </c>
      <c r="K2840" s="975" t="str">
        <f>IF(COUNTIFS(tblControles[Clave],tblControles[[#This Row],[Clave]])&gt;1,"Duplicado","")</f>
        <v/>
      </c>
    </row>
    <row r="2841" spans="2:11">
      <c r="B2841" s="975" t="str">
        <f>tblControles[[#This Row],[Fecha]]&amp;"|"&amp;tblControles[[#This Row],[Módulo]]&amp;"|"&amp;tblControles[[#This Row],[Ítem]]&amp;"|"&amp;tblControles[[#This Row],[Turno]]</f>
        <v>46293|PURGA TKS AIRE|TK-MG-007|3er Turno</v>
      </c>
      <c r="C2841" s="871">
        <v>46293</v>
      </c>
      <c r="D2841" s="1100" t="s">
        <v>9433</v>
      </c>
      <c r="E2841" s="1100" t="s">
        <v>347</v>
      </c>
      <c r="F2841" s="1100" t="s">
        <v>9437</v>
      </c>
      <c r="G2841" s="1100" t="s">
        <v>3227</v>
      </c>
      <c r="H2841" s="1100" t="s">
        <v>10345</v>
      </c>
      <c r="I2841" s="871">
        <v>46296.133811898151</v>
      </c>
      <c r="J2841" s="1100" t="s">
        <v>10350</v>
      </c>
      <c r="K2841" s="975" t="str">
        <f>IF(COUNTIFS(tblControles[Clave],tblControles[[#This Row],[Clave]])&gt;1,"Duplicado","")</f>
        <v/>
      </c>
    </row>
    <row r="2842" spans="2:11">
      <c r="B2842" s="975" t="str">
        <f>tblControles[[#This Row],[Fecha]]&amp;"|"&amp;tblControles[[#This Row],[Módulo]]&amp;"|"&amp;tblControles[[#This Row],[Ítem]]&amp;"|"&amp;tblControles[[#This Row],[Turno]]</f>
        <v>46293|PURGA TKS AIRE|TK-MG-008|3er Turno</v>
      </c>
      <c r="C2842" s="871">
        <v>46293</v>
      </c>
      <c r="D2842" s="1100" t="s">
        <v>9433</v>
      </c>
      <c r="E2842" s="1100" t="s">
        <v>351</v>
      </c>
      <c r="F2842" s="1100" t="s">
        <v>9437</v>
      </c>
      <c r="G2842" s="1100" t="s">
        <v>3227</v>
      </c>
      <c r="H2842" s="1100" t="s">
        <v>10345</v>
      </c>
      <c r="I2842" s="871">
        <v>46296.133811898151</v>
      </c>
      <c r="J2842" s="1100" t="s">
        <v>10350</v>
      </c>
      <c r="K2842" s="975" t="str">
        <f>IF(COUNTIFS(tblControles[Clave],tblControles[[#This Row],[Clave]])&gt;1,"Duplicado","")</f>
        <v/>
      </c>
    </row>
    <row r="2843" spans="2:11">
      <c r="B2843" s="975" t="str">
        <f>tblControles[[#This Row],[Fecha]]&amp;"|"&amp;tblControles[[#This Row],[Módulo]]&amp;"|"&amp;tblControles[[#This Row],[Ítem]]&amp;"|"&amp;tblControles[[#This Row],[Turno]]</f>
        <v>46293|PURGA TKS AIRE|TK-MG-009|3er Turno</v>
      </c>
      <c r="C2843" s="871">
        <v>46293</v>
      </c>
      <c r="D2843" s="1100" t="s">
        <v>9433</v>
      </c>
      <c r="E2843" s="1100" t="s">
        <v>353</v>
      </c>
      <c r="F2843" s="1100" t="s">
        <v>9437</v>
      </c>
      <c r="G2843" s="1100" t="s">
        <v>3227</v>
      </c>
      <c r="H2843" s="1100" t="s">
        <v>10345</v>
      </c>
      <c r="I2843" s="871">
        <v>46296.133811898151</v>
      </c>
      <c r="J2843" s="1100" t="s">
        <v>10350</v>
      </c>
      <c r="K2843" s="975" t="str">
        <f>IF(COUNTIFS(tblControles[Clave],tblControles[[#This Row],[Clave]])&gt;1,"Duplicado","")</f>
        <v/>
      </c>
    </row>
    <row r="2844" spans="2:11">
      <c r="B2844" s="975" t="str">
        <f>tblControles[[#This Row],[Fecha]]&amp;"|"&amp;tblControles[[#This Row],[Módulo]]&amp;"|"&amp;tblControles[[#This Row],[Ítem]]&amp;"|"&amp;tblControles[[#This Row],[Turno]]</f>
        <v>46293|PURGA TKS AIRE|TK-MG-010|3er Turno</v>
      </c>
      <c r="C2844" s="871">
        <v>46293</v>
      </c>
      <c r="D2844" s="1100" t="s">
        <v>9433</v>
      </c>
      <c r="E2844" s="1100" t="s">
        <v>355</v>
      </c>
      <c r="F2844" s="1100" t="s">
        <v>9437</v>
      </c>
      <c r="G2844" s="1100" t="s">
        <v>3227</v>
      </c>
      <c r="H2844" s="1100" t="s">
        <v>10345</v>
      </c>
      <c r="I2844" s="871">
        <v>46296.133811898151</v>
      </c>
      <c r="J2844" s="1100" t="s">
        <v>10350</v>
      </c>
      <c r="K2844" s="975" t="str">
        <f>IF(COUNTIFS(tblControles[Clave],tblControles[[#This Row],[Clave]])&gt;1,"Duplicado","")</f>
        <v/>
      </c>
    </row>
    <row r="2845" spans="2:11">
      <c r="B2845" s="975" t="str">
        <f>tblControles[[#This Row],[Fecha]]&amp;"|"&amp;tblControles[[#This Row],[Módulo]]&amp;"|"&amp;tblControles[[#This Row],[Ítem]]&amp;"|"&amp;tblControles[[#This Row],[Turno]]</f>
        <v>46293|PURGA TKS AIRE|TK-MG-011|3er Turno</v>
      </c>
      <c r="C2845" s="871">
        <v>46293</v>
      </c>
      <c r="D2845" s="1100" t="s">
        <v>9433</v>
      </c>
      <c r="E2845" s="1100" t="s">
        <v>357</v>
      </c>
      <c r="F2845" s="1100" t="s">
        <v>9437</v>
      </c>
      <c r="G2845" s="1100" t="s">
        <v>3227</v>
      </c>
      <c r="H2845" s="1100" t="s">
        <v>10345</v>
      </c>
      <c r="I2845" s="871">
        <v>46296.133811898151</v>
      </c>
      <c r="J2845" s="1100" t="s">
        <v>10350</v>
      </c>
      <c r="K2845" s="975" t="str">
        <f>IF(COUNTIFS(tblControles[Clave],tblControles[[#This Row],[Clave]])&gt;1,"Duplicado","")</f>
        <v/>
      </c>
    </row>
    <row r="2846" spans="2:11">
      <c r="B2846" s="975" t="str">
        <f>tblControles[[#This Row],[Fecha]]&amp;"|"&amp;tblControles[[#This Row],[Módulo]]&amp;"|"&amp;tblControles[[#This Row],[Ítem]]&amp;"|"&amp;tblControles[[#This Row],[Turno]]</f>
        <v>46293|PURGA TKS AIRE|TK-MG-012|3er Turno</v>
      </c>
      <c r="C2846" s="871">
        <v>46293</v>
      </c>
      <c r="D2846" s="1100" t="s">
        <v>9433</v>
      </c>
      <c r="E2846" s="1100" t="s">
        <v>359</v>
      </c>
      <c r="F2846" s="1100" t="s">
        <v>9437</v>
      </c>
      <c r="G2846" s="1100" t="s">
        <v>3227</v>
      </c>
      <c r="H2846" s="1100" t="s">
        <v>10345</v>
      </c>
      <c r="I2846" s="871">
        <v>46296.133811898151</v>
      </c>
      <c r="J2846" s="1100" t="s">
        <v>10350</v>
      </c>
      <c r="K2846" s="975" t="str">
        <f>IF(COUNTIFS(tblControles[Clave],tblControles[[#This Row],[Clave]])&gt;1,"Duplicado","")</f>
        <v/>
      </c>
    </row>
    <row r="2847" spans="2:11">
      <c r="B2847" s="975" t="str">
        <f>tblControles[[#This Row],[Fecha]]&amp;"|"&amp;tblControles[[#This Row],[Módulo]]&amp;"|"&amp;tblControles[[#This Row],[Ítem]]&amp;"|"&amp;tblControles[[#This Row],[Turno]]</f>
        <v>46293|PURGA TKS AIRE|TK-MG-013|3er Turno</v>
      </c>
      <c r="C2847" s="871">
        <v>46293</v>
      </c>
      <c r="D2847" s="1100" t="s">
        <v>9433</v>
      </c>
      <c r="E2847" s="1100" t="s">
        <v>361</v>
      </c>
      <c r="F2847" s="1100" t="s">
        <v>9437</v>
      </c>
      <c r="G2847" s="1100" t="s">
        <v>3227</v>
      </c>
      <c r="H2847" s="1100" t="s">
        <v>10345</v>
      </c>
      <c r="I2847" s="871">
        <v>46296.133811898151</v>
      </c>
      <c r="J2847" s="1100" t="s">
        <v>10350</v>
      </c>
      <c r="K2847" s="975" t="str">
        <f>IF(COUNTIFS(tblControles[Clave],tblControles[[#This Row],[Clave]])&gt;1,"Duplicado","")</f>
        <v/>
      </c>
    </row>
    <row r="2848" spans="2:11">
      <c r="B2848" s="975" t="str">
        <f>tblControles[[#This Row],[Fecha]]&amp;"|"&amp;tblControles[[#This Row],[Módulo]]&amp;"|"&amp;tblControles[[#This Row],[Ítem]]&amp;"|"&amp;tblControles[[#This Row],[Turno]]</f>
        <v>46293|PURGA TKS AIRE|TK-MG-014|3er Turno</v>
      </c>
      <c r="C2848" s="871">
        <v>46293</v>
      </c>
      <c r="D2848" s="1100" t="s">
        <v>9433</v>
      </c>
      <c r="E2848" s="1100" t="s">
        <v>363</v>
      </c>
      <c r="F2848" s="1100" t="s">
        <v>9437</v>
      </c>
      <c r="G2848" s="1100" t="s">
        <v>3227</v>
      </c>
      <c r="H2848" s="1100" t="s">
        <v>10345</v>
      </c>
      <c r="I2848" s="871">
        <v>46296.133811898151</v>
      </c>
      <c r="J2848" s="1100" t="s">
        <v>10350</v>
      </c>
      <c r="K2848" s="975" t="str">
        <f>IF(COUNTIFS(tblControles[Clave],tblControles[[#This Row],[Clave]])&gt;1,"Duplicado","")</f>
        <v/>
      </c>
    </row>
    <row r="2849" spans="2:11">
      <c r="B2849" s="975" t="str">
        <f>tblControles[[#This Row],[Fecha]]&amp;"|"&amp;tblControles[[#This Row],[Módulo]]&amp;"|"&amp;tblControles[[#This Row],[Ítem]]&amp;"|"&amp;tblControles[[#This Row],[Turno]]</f>
        <v>46293|PURGA TKS AIRE|TK-MG-S. ROTULO|3er Turno</v>
      </c>
      <c r="C2849" s="871">
        <v>46293</v>
      </c>
      <c r="D2849" s="1100" t="s">
        <v>9433</v>
      </c>
      <c r="E2849" s="1100" t="s">
        <v>9471</v>
      </c>
      <c r="F2849" s="1100" t="s">
        <v>9437</v>
      </c>
      <c r="G2849" s="1100" t="s">
        <v>3227</v>
      </c>
      <c r="H2849" s="1100" t="s">
        <v>10345</v>
      </c>
      <c r="I2849" s="871">
        <v>46296.133811898151</v>
      </c>
      <c r="J2849" s="1100" t="s">
        <v>10350</v>
      </c>
      <c r="K2849" s="975" t="str">
        <f>IF(COUNTIFS(tblControles[Clave],tblControles[[#This Row],[Clave]])&gt;1,"Duplicado","")</f>
        <v/>
      </c>
    </row>
    <row r="2850" spans="2:11">
      <c r="B2850" s="975" t="str">
        <f>tblControles[[#This Row],[Fecha]]&amp;"|"&amp;tblControles[[#This Row],[Módulo]]&amp;"|"&amp;tblControles[[#This Row],[Ítem]]&amp;"|"&amp;tblControles[[#This Row],[Turno]]</f>
        <v>46294|PURGA TKS AIRE|TK-MG-001|3er Turno</v>
      </c>
      <c r="C2850" s="871">
        <v>46294</v>
      </c>
      <c r="D2850" s="1100" t="s">
        <v>9433</v>
      </c>
      <c r="E2850" s="1100" t="s">
        <v>337</v>
      </c>
      <c r="F2850" s="1100" t="s">
        <v>9437</v>
      </c>
      <c r="G2850" s="1100" t="s">
        <v>3227</v>
      </c>
      <c r="H2850" s="1100" t="s">
        <v>10345</v>
      </c>
      <c r="I2850" s="871">
        <v>46296.133811898151</v>
      </c>
      <c r="J2850" s="1100" t="s">
        <v>10350</v>
      </c>
      <c r="K2850" s="975" t="str">
        <f>IF(COUNTIFS(tblControles[Clave],tblControles[[#This Row],[Clave]])&gt;1,"Duplicado","")</f>
        <v/>
      </c>
    </row>
    <row r="2851" spans="2:11">
      <c r="B2851" s="975" t="str">
        <f>tblControles[[#This Row],[Fecha]]&amp;"|"&amp;tblControles[[#This Row],[Módulo]]&amp;"|"&amp;tblControles[[#This Row],[Ítem]]&amp;"|"&amp;tblControles[[#This Row],[Turno]]</f>
        <v>46294|PURGA TKS AIRE|TK-MG-002|3er Turno</v>
      </c>
      <c r="C2851" s="871">
        <v>46294</v>
      </c>
      <c r="D2851" s="1100" t="s">
        <v>9433</v>
      </c>
      <c r="E2851" s="1100" t="s">
        <v>339</v>
      </c>
      <c r="F2851" s="1100" t="s">
        <v>9437</v>
      </c>
      <c r="G2851" s="1100" t="s">
        <v>3227</v>
      </c>
      <c r="H2851" s="1100" t="s">
        <v>10345</v>
      </c>
      <c r="I2851" s="871">
        <v>46296.133811898151</v>
      </c>
      <c r="J2851" s="1100" t="s">
        <v>10350</v>
      </c>
      <c r="K2851" s="975" t="str">
        <f>IF(COUNTIFS(tblControles[Clave],tblControles[[#This Row],[Clave]])&gt;1,"Duplicado","")</f>
        <v/>
      </c>
    </row>
    <row r="2852" spans="2:11">
      <c r="B2852" s="975" t="str">
        <f>tblControles[[#This Row],[Fecha]]&amp;"|"&amp;tblControles[[#This Row],[Módulo]]&amp;"|"&amp;tblControles[[#This Row],[Ítem]]&amp;"|"&amp;tblControles[[#This Row],[Turno]]</f>
        <v>46294|PURGA TKS AIRE|TK-MG-003|3er Turno</v>
      </c>
      <c r="C2852" s="871">
        <v>46294</v>
      </c>
      <c r="D2852" s="1100" t="s">
        <v>9433</v>
      </c>
      <c r="E2852" s="1100" t="s">
        <v>341</v>
      </c>
      <c r="F2852" s="1100" t="s">
        <v>9437</v>
      </c>
      <c r="G2852" s="1100" t="s">
        <v>3227</v>
      </c>
      <c r="H2852" s="1100" t="s">
        <v>10345</v>
      </c>
      <c r="I2852" s="871">
        <v>46296.133811898151</v>
      </c>
      <c r="J2852" s="1100" t="s">
        <v>10350</v>
      </c>
      <c r="K2852" s="975" t="str">
        <f>IF(COUNTIFS(tblControles[Clave],tblControles[[#This Row],[Clave]])&gt;1,"Duplicado","")</f>
        <v/>
      </c>
    </row>
    <row r="2853" spans="2:11">
      <c r="B2853" s="975" t="str">
        <f>tblControles[[#This Row],[Fecha]]&amp;"|"&amp;tblControles[[#This Row],[Módulo]]&amp;"|"&amp;tblControles[[#This Row],[Ítem]]&amp;"|"&amp;tblControles[[#This Row],[Turno]]</f>
        <v>46294|PURGA TKS AIRE|TK-MG-004|3er Turno</v>
      </c>
      <c r="C2853" s="871">
        <v>46294</v>
      </c>
      <c r="D2853" s="1100" t="s">
        <v>9433</v>
      </c>
      <c r="E2853" s="1100" t="s">
        <v>349</v>
      </c>
      <c r="F2853" s="1100" t="s">
        <v>9437</v>
      </c>
      <c r="G2853" s="1100" t="s">
        <v>3227</v>
      </c>
      <c r="H2853" s="1100" t="s">
        <v>10345</v>
      </c>
      <c r="I2853" s="871">
        <v>46296.133811898151</v>
      </c>
      <c r="J2853" s="1100" t="s">
        <v>10350</v>
      </c>
      <c r="K2853" s="975" t="str">
        <f>IF(COUNTIFS(tblControles[Clave],tblControles[[#This Row],[Clave]])&gt;1,"Duplicado","")</f>
        <v/>
      </c>
    </row>
    <row r="2854" spans="2:11">
      <c r="B2854" s="975" t="str">
        <f>tblControles[[#This Row],[Fecha]]&amp;"|"&amp;tblControles[[#This Row],[Módulo]]&amp;"|"&amp;tblControles[[#This Row],[Ítem]]&amp;"|"&amp;tblControles[[#This Row],[Turno]]</f>
        <v>46294|PURGA TKS AIRE|TK-MG-005|3er Turno</v>
      </c>
      <c r="C2854" s="871">
        <v>46294</v>
      </c>
      <c r="D2854" s="1100" t="s">
        <v>9433</v>
      </c>
      <c r="E2854" s="1100" t="s">
        <v>343</v>
      </c>
      <c r="F2854" s="1100" t="s">
        <v>9437</v>
      </c>
      <c r="G2854" s="1100" t="s">
        <v>345</v>
      </c>
      <c r="H2854" s="1100" t="s">
        <v>10345</v>
      </c>
      <c r="I2854" s="871">
        <v>46296.133811898151</v>
      </c>
      <c r="J2854" s="1100" t="s">
        <v>10350</v>
      </c>
      <c r="K2854" s="975" t="str">
        <f>IF(COUNTIFS(tblControles[Clave],tblControles[[#This Row],[Clave]])&gt;1,"Duplicado","")</f>
        <v/>
      </c>
    </row>
    <row r="2855" spans="2:11">
      <c r="B2855" s="975" t="str">
        <f>tblControles[[#This Row],[Fecha]]&amp;"|"&amp;tblControles[[#This Row],[Módulo]]&amp;"|"&amp;tblControles[[#This Row],[Ítem]]&amp;"|"&amp;tblControles[[#This Row],[Turno]]</f>
        <v>46294|PURGA TKS AIRE|TK-MG-006|3er Turno</v>
      </c>
      <c r="C2855" s="871">
        <v>46294</v>
      </c>
      <c r="D2855" s="1100" t="s">
        <v>9433</v>
      </c>
      <c r="E2855" s="1100" t="s">
        <v>346</v>
      </c>
      <c r="F2855" s="1100" t="s">
        <v>9437</v>
      </c>
      <c r="G2855" s="1100" t="s">
        <v>3227</v>
      </c>
      <c r="H2855" s="1100" t="s">
        <v>10345</v>
      </c>
      <c r="I2855" s="871">
        <v>46296.133811898151</v>
      </c>
      <c r="J2855" s="1100" t="s">
        <v>10350</v>
      </c>
      <c r="K2855" s="975" t="str">
        <f>IF(COUNTIFS(tblControles[Clave],tblControles[[#This Row],[Clave]])&gt;1,"Duplicado","")</f>
        <v/>
      </c>
    </row>
    <row r="2856" spans="2:11">
      <c r="B2856" s="975" t="str">
        <f>tblControles[[#This Row],[Fecha]]&amp;"|"&amp;tblControles[[#This Row],[Módulo]]&amp;"|"&amp;tblControles[[#This Row],[Ítem]]&amp;"|"&amp;tblControles[[#This Row],[Turno]]</f>
        <v>46294|PURGA TKS AIRE|TK-MG-007|3er Turno</v>
      </c>
      <c r="C2856" s="871">
        <v>46294</v>
      </c>
      <c r="D2856" s="1100" t="s">
        <v>9433</v>
      </c>
      <c r="E2856" s="1100" t="s">
        <v>347</v>
      </c>
      <c r="F2856" s="1100" t="s">
        <v>9437</v>
      </c>
      <c r="G2856" s="1100" t="s">
        <v>3227</v>
      </c>
      <c r="H2856" s="1100" t="s">
        <v>10345</v>
      </c>
      <c r="I2856" s="871">
        <v>46296.133811898151</v>
      </c>
      <c r="J2856" s="1100" t="s">
        <v>10350</v>
      </c>
      <c r="K2856" s="975" t="str">
        <f>IF(COUNTIFS(tblControles[Clave],tblControles[[#This Row],[Clave]])&gt;1,"Duplicado","")</f>
        <v/>
      </c>
    </row>
    <row r="2857" spans="2:11">
      <c r="B2857" s="975" t="str">
        <f>tblControles[[#This Row],[Fecha]]&amp;"|"&amp;tblControles[[#This Row],[Módulo]]&amp;"|"&amp;tblControles[[#This Row],[Ítem]]&amp;"|"&amp;tblControles[[#This Row],[Turno]]</f>
        <v>46294|PURGA TKS AIRE|TK-MG-008|3er Turno</v>
      </c>
      <c r="C2857" s="871">
        <v>46294</v>
      </c>
      <c r="D2857" s="1100" t="s">
        <v>9433</v>
      </c>
      <c r="E2857" s="1100" t="s">
        <v>351</v>
      </c>
      <c r="F2857" s="1100" t="s">
        <v>9437</v>
      </c>
      <c r="G2857" s="1100" t="s">
        <v>3227</v>
      </c>
      <c r="H2857" s="1100" t="s">
        <v>10345</v>
      </c>
      <c r="I2857" s="871">
        <v>46296.133811898151</v>
      </c>
      <c r="J2857" s="1100" t="s">
        <v>10350</v>
      </c>
      <c r="K2857" s="975" t="str">
        <f>IF(COUNTIFS(tblControles[Clave],tblControles[[#This Row],[Clave]])&gt;1,"Duplicado","")</f>
        <v/>
      </c>
    </row>
    <row r="2858" spans="2:11">
      <c r="B2858" s="975" t="str">
        <f>tblControles[[#This Row],[Fecha]]&amp;"|"&amp;tblControles[[#This Row],[Módulo]]&amp;"|"&amp;tblControles[[#This Row],[Ítem]]&amp;"|"&amp;tblControles[[#This Row],[Turno]]</f>
        <v>46294|PURGA TKS AIRE|TK-MG-009|3er Turno</v>
      </c>
      <c r="C2858" s="871">
        <v>46294</v>
      </c>
      <c r="D2858" s="1100" t="s">
        <v>9433</v>
      </c>
      <c r="E2858" s="1100" t="s">
        <v>353</v>
      </c>
      <c r="F2858" s="1100" t="s">
        <v>9437</v>
      </c>
      <c r="G2858" s="1100" t="s">
        <v>3227</v>
      </c>
      <c r="H2858" s="1100" t="s">
        <v>10345</v>
      </c>
      <c r="I2858" s="871">
        <v>46296.133811898151</v>
      </c>
      <c r="J2858" s="1100" t="s">
        <v>10350</v>
      </c>
      <c r="K2858" s="975" t="str">
        <f>IF(COUNTIFS(tblControles[Clave],tblControles[[#This Row],[Clave]])&gt;1,"Duplicado","")</f>
        <v/>
      </c>
    </row>
    <row r="2859" spans="2:11">
      <c r="B2859" s="975" t="str">
        <f>tblControles[[#This Row],[Fecha]]&amp;"|"&amp;tblControles[[#This Row],[Módulo]]&amp;"|"&amp;tblControles[[#This Row],[Ítem]]&amp;"|"&amp;tblControles[[#This Row],[Turno]]</f>
        <v>46294|PURGA TKS AIRE|TK-MG-010|3er Turno</v>
      </c>
      <c r="C2859" s="871">
        <v>46294</v>
      </c>
      <c r="D2859" s="1100" t="s">
        <v>9433</v>
      </c>
      <c r="E2859" s="1100" t="s">
        <v>355</v>
      </c>
      <c r="F2859" s="1100" t="s">
        <v>9437</v>
      </c>
      <c r="G2859" s="1100" t="s">
        <v>3227</v>
      </c>
      <c r="H2859" s="1100" t="s">
        <v>10345</v>
      </c>
      <c r="I2859" s="871">
        <v>46296.133811898151</v>
      </c>
      <c r="J2859" s="1100" t="s">
        <v>10350</v>
      </c>
      <c r="K2859" s="975" t="str">
        <f>IF(COUNTIFS(tblControles[Clave],tblControles[[#This Row],[Clave]])&gt;1,"Duplicado","")</f>
        <v/>
      </c>
    </row>
    <row r="2860" spans="2:11">
      <c r="B2860" s="975" t="str">
        <f>tblControles[[#This Row],[Fecha]]&amp;"|"&amp;tblControles[[#This Row],[Módulo]]&amp;"|"&amp;tblControles[[#This Row],[Ítem]]&amp;"|"&amp;tblControles[[#This Row],[Turno]]</f>
        <v>46294|PURGA TKS AIRE|TK-MG-011|3er Turno</v>
      </c>
      <c r="C2860" s="871">
        <v>46294</v>
      </c>
      <c r="D2860" s="1100" t="s">
        <v>9433</v>
      </c>
      <c r="E2860" s="1100" t="s">
        <v>357</v>
      </c>
      <c r="F2860" s="1100" t="s">
        <v>9437</v>
      </c>
      <c r="G2860" s="1100" t="s">
        <v>3227</v>
      </c>
      <c r="H2860" s="1100" t="s">
        <v>10345</v>
      </c>
      <c r="I2860" s="871">
        <v>46296.133811898151</v>
      </c>
      <c r="J2860" s="1100" t="s">
        <v>10350</v>
      </c>
      <c r="K2860" s="975" t="str">
        <f>IF(COUNTIFS(tblControles[Clave],tblControles[[#This Row],[Clave]])&gt;1,"Duplicado","")</f>
        <v/>
      </c>
    </row>
    <row r="2861" spans="2:11">
      <c r="B2861" s="975" t="str">
        <f>tblControles[[#This Row],[Fecha]]&amp;"|"&amp;tblControles[[#This Row],[Módulo]]&amp;"|"&amp;tblControles[[#This Row],[Ítem]]&amp;"|"&amp;tblControles[[#This Row],[Turno]]</f>
        <v>46294|PURGA TKS AIRE|TK-MG-012|3er Turno</v>
      </c>
      <c r="C2861" s="871">
        <v>46294</v>
      </c>
      <c r="D2861" s="1100" t="s">
        <v>9433</v>
      </c>
      <c r="E2861" s="1100" t="s">
        <v>359</v>
      </c>
      <c r="F2861" s="1100" t="s">
        <v>9437</v>
      </c>
      <c r="G2861" s="1100" t="s">
        <v>3227</v>
      </c>
      <c r="H2861" s="1100" t="s">
        <v>10345</v>
      </c>
      <c r="I2861" s="871">
        <v>46296.133811898151</v>
      </c>
      <c r="J2861" s="1100" t="s">
        <v>10350</v>
      </c>
      <c r="K2861" s="975" t="str">
        <f>IF(COUNTIFS(tblControles[Clave],tblControles[[#This Row],[Clave]])&gt;1,"Duplicado","")</f>
        <v/>
      </c>
    </row>
    <row r="2862" spans="2:11">
      <c r="B2862" s="975" t="str">
        <f>tblControles[[#This Row],[Fecha]]&amp;"|"&amp;tblControles[[#This Row],[Módulo]]&amp;"|"&amp;tblControles[[#This Row],[Ítem]]&amp;"|"&amp;tblControles[[#This Row],[Turno]]</f>
        <v>46294|PURGA TKS AIRE|TK-MG-013|3er Turno</v>
      </c>
      <c r="C2862" s="871">
        <v>46294</v>
      </c>
      <c r="D2862" s="1100" t="s">
        <v>9433</v>
      </c>
      <c r="E2862" s="1100" t="s">
        <v>361</v>
      </c>
      <c r="F2862" s="1100" t="s">
        <v>9437</v>
      </c>
      <c r="G2862" s="1100" t="s">
        <v>3227</v>
      </c>
      <c r="H2862" s="1100" t="s">
        <v>10345</v>
      </c>
      <c r="I2862" s="871">
        <v>46296.133811898151</v>
      </c>
      <c r="J2862" s="1100" t="s">
        <v>10350</v>
      </c>
      <c r="K2862" s="975" t="str">
        <f>IF(COUNTIFS(tblControles[Clave],tblControles[[#This Row],[Clave]])&gt;1,"Duplicado","")</f>
        <v/>
      </c>
    </row>
    <row r="2863" spans="2:11">
      <c r="B2863" s="975" t="str">
        <f>tblControles[[#This Row],[Fecha]]&amp;"|"&amp;tblControles[[#This Row],[Módulo]]&amp;"|"&amp;tblControles[[#This Row],[Ítem]]&amp;"|"&amp;tblControles[[#This Row],[Turno]]</f>
        <v>46294|PURGA TKS AIRE|TK-MG-014|3er Turno</v>
      </c>
      <c r="C2863" s="871">
        <v>46294</v>
      </c>
      <c r="D2863" s="1100" t="s">
        <v>9433</v>
      </c>
      <c r="E2863" s="1100" t="s">
        <v>363</v>
      </c>
      <c r="F2863" s="1100" t="s">
        <v>9437</v>
      </c>
      <c r="G2863" s="1100" t="s">
        <v>3227</v>
      </c>
      <c r="H2863" s="1100" t="s">
        <v>10345</v>
      </c>
      <c r="I2863" s="871">
        <v>46296.133811898151</v>
      </c>
      <c r="J2863" s="1100" t="s">
        <v>10350</v>
      </c>
      <c r="K2863" s="975" t="str">
        <f>IF(COUNTIFS(tblControles[Clave],tblControles[[#This Row],[Clave]])&gt;1,"Duplicado","")</f>
        <v/>
      </c>
    </row>
    <row r="2864" spans="2:11">
      <c r="B2864" s="975" t="str">
        <f>tblControles[[#This Row],[Fecha]]&amp;"|"&amp;tblControles[[#This Row],[Módulo]]&amp;"|"&amp;tblControles[[#This Row],[Ítem]]&amp;"|"&amp;tblControles[[#This Row],[Turno]]</f>
        <v>46294|PURGA TKS AIRE|TK-MG-S. ROTULO|3er Turno</v>
      </c>
      <c r="C2864" s="871">
        <v>46294</v>
      </c>
      <c r="D2864" s="1100" t="s">
        <v>9433</v>
      </c>
      <c r="E2864" s="1100" t="s">
        <v>9471</v>
      </c>
      <c r="F2864" s="1100" t="s">
        <v>9437</v>
      </c>
      <c r="G2864" s="1100" t="s">
        <v>3227</v>
      </c>
      <c r="H2864" s="1100" t="s">
        <v>10345</v>
      </c>
      <c r="I2864" s="871">
        <v>46296.133811898151</v>
      </c>
      <c r="J2864" s="1100" t="s">
        <v>10350</v>
      </c>
      <c r="K2864" s="975" t="str">
        <f>IF(COUNTIFS(tblControles[Clave],tblControles[[#This Row],[Clave]])&gt;1,"Duplicado","")</f>
        <v/>
      </c>
    </row>
    <row r="2865" spans="2:11">
      <c r="B2865" s="975" t="str">
        <f>tblControles[[#This Row],[Fecha]]&amp;"|"&amp;tblControles[[#This Row],[Módulo]]&amp;"|"&amp;tblControles[[#This Row],[Ítem]]&amp;"|"&amp;tblControles[[#This Row],[Turno]]</f>
        <v>46268|FILTROS H2O|Realizado por:|1 TURNO</v>
      </c>
      <c r="C2865" s="871">
        <v>46268</v>
      </c>
      <c r="D2865" s="1100" t="s">
        <v>9430</v>
      </c>
      <c r="E2865" s="1100" t="s">
        <v>335</v>
      </c>
      <c r="F2865" s="1100" t="s">
        <v>326</v>
      </c>
      <c r="G2865" s="1100" t="s">
        <v>10351</v>
      </c>
      <c r="H2865" s="1100" t="s">
        <v>10345</v>
      </c>
      <c r="I2865" s="871">
        <v>46296.133811898151</v>
      </c>
      <c r="J2865" s="1100" t="s">
        <v>10352</v>
      </c>
      <c r="K2865" s="975" t="str">
        <f>IF(COUNTIFS(tblControles[Clave],tblControles[[#This Row],[Clave]])&gt;1,"Duplicado","")</f>
        <v/>
      </c>
    </row>
    <row r="2866" spans="2:11">
      <c r="B2866" s="975" t="str">
        <f>tblControles[[#This Row],[Fecha]]&amp;"|"&amp;tblControles[[#This Row],[Módulo]]&amp;"|"&amp;tblControles[[#This Row],[Ítem]]&amp;"|"&amp;tblControles[[#This Row],[Turno]]</f>
        <v>46269|FILTROS H2O|Realizado por:|1 TURNO</v>
      </c>
      <c r="C2866" s="871">
        <v>46269</v>
      </c>
      <c r="D2866" s="1100" t="s">
        <v>9430</v>
      </c>
      <c r="E2866" s="1100" t="s">
        <v>335</v>
      </c>
      <c r="F2866" s="1100" t="s">
        <v>326</v>
      </c>
      <c r="G2866" s="1100" t="s">
        <v>10353</v>
      </c>
      <c r="H2866" s="1100" t="s">
        <v>10345</v>
      </c>
      <c r="I2866" s="871">
        <v>46296.133811898151</v>
      </c>
      <c r="J2866" s="1100" t="s">
        <v>10352</v>
      </c>
      <c r="K2866" s="975" t="str">
        <f>IF(COUNTIFS(tblControles[Clave],tblControles[[#This Row],[Clave]])&gt;1,"Duplicado","")</f>
        <v/>
      </c>
    </row>
    <row r="2867" spans="2:11">
      <c r="B2867" s="975" t="str">
        <f>tblControles[[#This Row],[Fecha]]&amp;"|"&amp;tblControles[[#This Row],[Módulo]]&amp;"|"&amp;tblControles[[#This Row],[Ítem]]&amp;"|"&amp;tblControles[[#This Row],[Turno]]</f>
        <v>46270|FILTROS H2O|Realizado por:|1 TURNO</v>
      </c>
      <c r="C2867" s="871">
        <v>46270</v>
      </c>
      <c r="D2867" s="1100" t="s">
        <v>9430</v>
      </c>
      <c r="E2867" s="1100" t="s">
        <v>335</v>
      </c>
      <c r="F2867" s="1100" t="s">
        <v>326</v>
      </c>
      <c r="G2867" s="1100" t="s">
        <v>10354</v>
      </c>
      <c r="H2867" s="1100" t="s">
        <v>10345</v>
      </c>
      <c r="I2867" s="871">
        <v>46296.133811898151</v>
      </c>
      <c r="J2867" s="1100" t="s">
        <v>10352</v>
      </c>
      <c r="K2867" s="975" t="str">
        <f>IF(COUNTIFS(tblControles[Clave],tblControles[[#This Row],[Clave]])&gt;1,"Duplicado","")</f>
        <v/>
      </c>
    </row>
    <row r="2868" spans="2:11">
      <c r="B2868" s="975" t="str">
        <f>tblControles[[#This Row],[Fecha]]&amp;"|"&amp;tblControles[[#This Row],[Módulo]]&amp;"|"&amp;tblControles[[#This Row],[Ítem]]&amp;"|"&amp;tblControles[[#This Row],[Turno]]</f>
        <v>46273|FILTROS H2O|Realizado por:|1 TURNO</v>
      </c>
      <c r="C2868" s="871">
        <v>46273</v>
      </c>
      <c r="D2868" s="1100" t="s">
        <v>9430</v>
      </c>
      <c r="E2868" s="1100" t="s">
        <v>335</v>
      </c>
      <c r="F2868" s="1100" t="s">
        <v>326</v>
      </c>
      <c r="G2868" s="1100" t="s">
        <v>10353</v>
      </c>
      <c r="H2868" s="1100" t="s">
        <v>10345</v>
      </c>
      <c r="I2868" s="871">
        <v>46296.133811898151</v>
      </c>
      <c r="J2868" s="1100" t="s">
        <v>10352</v>
      </c>
      <c r="K2868" s="975" t="str">
        <f>IF(COUNTIFS(tblControles[Clave],tblControles[[#This Row],[Clave]])&gt;1,"Duplicado","")</f>
        <v/>
      </c>
    </row>
    <row r="2869" spans="2:11">
      <c r="B2869" s="975" t="str">
        <f>tblControles[[#This Row],[Fecha]]&amp;"|"&amp;tblControles[[#This Row],[Módulo]]&amp;"|"&amp;tblControles[[#This Row],[Ítem]]&amp;"|"&amp;tblControles[[#This Row],[Turno]]</f>
        <v>46274|FILTROS H2O|Realizado por:|1 TURNO</v>
      </c>
      <c r="C2869" s="871">
        <v>46274</v>
      </c>
      <c r="D2869" s="1100" t="s">
        <v>9430</v>
      </c>
      <c r="E2869" s="1100" t="s">
        <v>335</v>
      </c>
      <c r="F2869" s="1100" t="s">
        <v>326</v>
      </c>
      <c r="G2869" s="1100" t="s">
        <v>10351</v>
      </c>
      <c r="H2869" s="1100" t="s">
        <v>10345</v>
      </c>
      <c r="I2869" s="871">
        <v>46296.133811898151</v>
      </c>
      <c r="J2869" s="1100" t="s">
        <v>10352</v>
      </c>
      <c r="K2869" s="975" t="str">
        <f>IF(COUNTIFS(tblControles[Clave],tblControles[[#This Row],[Clave]])&gt;1,"Duplicado","")</f>
        <v/>
      </c>
    </row>
    <row r="2870" spans="2:11">
      <c r="B2870" s="975" t="str">
        <f>tblControles[[#This Row],[Fecha]]&amp;"|"&amp;tblControles[[#This Row],[Módulo]]&amp;"|"&amp;tblControles[[#This Row],[Ítem]]&amp;"|"&amp;tblControles[[#This Row],[Turno]]</f>
        <v>46275|FILTROS H2O|Realizado por:|1 TURNO</v>
      </c>
      <c r="C2870" s="871">
        <v>46275</v>
      </c>
      <c r="D2870" s="1100" t="s">
        <v>9430</v>
      </c>
      <c r="E2870" s="1100" t="s">
        <v>335</v>
      </c>
      <c r="F2870" s="1100" t="s">
        <v>326</v>
      </c>
      <c r="G2870" s="1100" t="s">
        <v>10351</v>
      </c>
      <c r="H2870" s="1100" t="s">
        <v>10345</v>
      </c>
      <c r="I2870" s="871">
        <v>46296.133811898151</v>
      </c>
      <c r="J2870" s="1100" t="s">
        <v>10352</v>
      </c>
      <c r="K2870" s="975" t="str">
        <f>IF(COUNTIFS(tblControles[Clave],tblControles[[#This Row],[Clave]])&gt;1,"Duplicado","")</f>
        <v/>
      </c>
    </row>
    <row r="2871" spans="2:11">
      <c r="B2871" s="975" t="str">
        <f>tblControles[[#This Row],[Fecha]]&amp;"|"&amp;tblControles[[#This Row],[Módulo]]&amp;"|"&amp;tblControles[[#This Row],[Ítem]]&amp;"|"&amp;tblControles[[#This Row],[Turno]]</f>
        <v>46277|FILTROS H2O|Realizado por:|1 TURNO</v>
      </c>
      <c r="C2871" s="871">
        <v>46277</v>
      </c>
      <c r="D2871" s="1100" t="s">
        <v>9430</v>
      </c>
      <c r="E2871" s="1100" t="s">
        <v>335</v>
      </c>
      <c r="F2871" s="1100" t="s">
        <v>326</v>
      </c>
      <c r="G2871" s="1100" t="s">
        <v>10351</v>
      </c>
      <c r="H2871" s="1100" t="s">
        <v>10345</v>
      </c>
      <c r="I2871" s="871">
        <v>46296.133811898151</v>
      </c>
      <c r="J2871" s="1100" t="s">
        <v>10352</v>
      </c>
      <c r="K2871" s="975" t="str">
        <f>IF(COUNTIFS(tblControles[Clave],tblControles[[#This Row],[Clave]])&gt;1,"Duplicado","")</f>
        <v/>
      </c>
    </row>
    <row r="2872" spans="2:11">
      <c r="B2872" s="975" t="str">
        <f>tblControles[[#This Row],[Fecha]]&amp;"|"&amp;tblControles[[#This Row],[Módulo]]&amp;"|"&amp;tblControles[[#This Row],[Ítem]]&amp;"|"&amp;tblControles[[#This Row],[Turno]]</f>
        <v>46278|FILTROS H2O|Realizado por:|1 TURNO</v>
      </c>
      <c r="C2872" s="871">
        <v>46278</v>
      </c>
      <c r="D2872" s="1100" t="s">
        <v>9430</v>
      </c>
      <c r="E2872" s="1100" t="s">
        <v>335</v>
      </c>
      <c r="F2872" s="1100" t="s">
        <v>326</v>
      </c>
      <c r="G2872" s="1100" t="s">
        <v>10353</v>
      </c>
      <c r="H2872" s="1100" t="s">
        <v>10345</v>
      </c>
      <c r="I2872" s="871">
        <v>46296.133811898151</v>
      </c>
      <c r="J2872" s="1100" t="s">
        <v>10352</v>
      </c>
      <c r="K2872" s="975" t="str">
        <f>IF(COUNTIFS(tblControles[Clave],tblControles[[#This Row],[Clave]])&gt;1,"Duplicado","")</f>
        <v/>
      </c>
    </row>
    <row r="2873" spans="2:11">
      <c r="B2873" s="975" t="str">
        <f>tblControles[[#This Row],[Fecha]]&amp;"|"&amp;tblControles[[#This Row],[Módulo]]&amp;"|"&amp;tblControles[[#This Row],[Ítem]]&amp;"|"&amp;tblControles[[#This Row],[Turno]]</f>
        <v>46279|FILTROS H2O|Realizado por:|1 TURNO</v>
      </c>
      <c r="C2873" s="871">
        <v>46279</v>
      </c>
      <c r="D2873" s="1100" t="s">
        <v>9430</v>
      </c>
      <c r="E2873" s="1100" t="s">
        <v>335</v>
      </c>
      <c r="F2873" s="1100" t="s">
        <v>326</v>
      </c>
      <c r="G2873" s="1100" t="s">
        <v>10351</v>
      </c>
      <c r="H2873" s="1100" t="s">
        <v>10345</v>
      </c>
      <c r="I2873" s="871">
        <v>46296.133811898151</v>
      </c>
      <c r="J2873" s="1100" t="s">
        <v>10352</v>
      </c>
      <c r="K2873" s="975" t="str">
        <f>IF(COUNTIFS(tblControles[Clave],tblControles[[#This Row],[Clave]])&gt;1,"Duplicado","")</f>
        <v/>
      </c>
    </row>
    <row r="2874" spans="2:11">
      <c r="B2874" s="975" t="str">
        <f>tblControles[[#This Row],[Fecha]]&amp;"|"&amp;tblControles[[#This Row],[Módulo]]&amp;"|"&amp;tblControles[[#This Row],[Ítem]]&amp;"|"&amp;tblControles[[#This Row],[Turno]]</f>
        <v>46280|FILTROS H2O|Realizado por:|1 TURNO</v>
      </c>
      <c r="C2874" s="871">
        <v>46280</v>
      </c>
      <c r="D2874" s="1100" t="s">
        <v>9430</v>
      </c>
      <c r="E2874" s="1100" t="s">
        <v>335</v>
      </c>
      <c r="F2874" s="1100" t="s">
        <v>326</v>
      </c>
      <c r="G2874" s="1100" t="s">
        <v>10355</v>
      </c>
      <c r="H2874" s="1100" t="s">
        <v>10345</v>
      </c>
      <c r="I2874" s="871">
        <v>46296.133811898151</v>
      </c>
      <c r="J2874" s="1100" t="s">
        <v>10352</v>
      </c>
      <c r="K2874" s="975" t="str">
        <f>IF(COUNTIFS(tblControles[Clave],tblControles[[#This Row],[Clave]])&gt;1,"Duplicado","")</f>
        <v/>
      </c>
    </row>
    <row r="2875" spans="2:11">
      <c r="B2875" s="975" t="str">
        <f>tblControles[[#This Row],[Fecha]]&amp;"|"&amp;tblControles[[#This Row],[Módulo]]&amp;"|"&amp;tblControles[[#This Row],[Ítem]]&amp;"|"&amp;tblControles[[#This Row],[Turno]]</f>
        <v>46282|FILTROS H2O|Realizado por:|1 TURNO</v>
      </c>
      <c r="C2875" s="871">
        <v>46282</v>
      </c>
      <c r="D2875" s="1100" t="s">
        <v>9430</v>
      </c>
      <c r="E2875" s="1100" t="s">
        <v>335</v>
      </c>
      <c r="F2875" s="1100" t="s">
        <v>326</v>
      </c>
      <c r="G2875" s="1100" t="s">
        <v>10351</v>
      </c>
      <c r="H2875" s="1100" t="s">
        <v>10345</v>
      </c>
      <c r="I2875" s="871">
        <v>46296.133811898151</v>
      </c>
      <c r="J2875" s="1100" t="s">
        <v>10352</v>
      </c>
      <c r="K2875" s="975" t="str">
        <f>IF(COUNTIFS(tblControles[Clave],tblControles[[#This Row],[Clave]])&gt;1,"Duplicado","")</f>
        <v/>
      </c>
    </row>
    <row r="2876" spans="2:11">
      <c r="B2876" s="975" t="str">
        <f>tblControles[[#This Row],[Fecha]]&amp;"|"&amp;tblControles[[#This Row],[Módulo]]&amp;"|"&amp;tblControles[[#This Row],[Ítem]]&amp;"|"&amp;tblControles[[#This Row],[Turno]]</f>
        <v>46283|FILTROS H2O|Realizado por:|1 TURNO</v>
      </c>
      <c r="C2876" s="871">
        <v>46283</v>
      </c>
      <c r="D2876" s="1100" t="s">
        <v>9430</v>
      </c>
      <c r="E2876" s="1100" t="s">
        <v>335</v>
      </c>
      <c r="F2876" s="1100" t="s">
        <v>326</v>
      </c>
      <c r="G2876" s="1100" t="s">
        <v>10351</v>
      </c>
      <c r="H2876" s="1100" t="s">
        <v>10345</v>
      </c>
      <c r="I2876" s="871">
        <v>46296.133811898151</v>
      </c>
      <c r="J2876" s="1100" t="s">
        <v>10352</v>
      </c>
      <c r="K2876" s="975" t="str">
        <f>IF(COUNTIFS(tblControles[Clave],tblControles[[#This Row],[Clave]])&gt;1,"Duplicado","")</f>
        <v/>
      </c>
    </row>
    <row r="2877" spans="2:11">
      <c r="B2877" s="975" t="str">
        <f>tblControles[[#This Row],[Fecha]]&amp;"|"&amp;tblControles[[#This Row],[Módulo]]&amp;"|"&amp;tblControles[[#This Row],[Ítem]]&amp;"|"&amp;tblControles[[#This Row],[Turno]]</f>
        <v>46284|FILTROS H2O|Realizado por:|1 TURNO</v>
      </c>
      <c r="C2877" s="871">
        <v>46284</v>
      </c>
      <c r="D2877" s="1100" t="s">
        <v>9430</v>
      </c>
      <c r="E2877" s="1100" t="s">
        <v>335</v>
      </c>
      <c r="F2877" s="1100" t="s">
        <v>326</v>
      </c>
      <c r="G2877" s="1100" t="s">
        <v>10351</v>
      </c>
      <c r="H2877" s="1100" t="s">
        <v>10345</v>
      </c>
      <c r="I2877" s="871">
        <v>46296.133811898151</v>
      </c>
      <c r="J2877" s="1100" t="s">
        <v>10352</v>
      </c>
      <c r="K2877" s="975" t="str">
        <f>IF(COUNTIFS(tblControles[Clave],tblControles[[#This Row],[Clave]])&gt;1,"Duplicado","")</f>
        <v/>
      </c>
    </row>
    <row r="2878" spans="2:11">
      <c r="B2878" s="975" t="str">
        <f>tblControles[[#This Row],[Fecha]]&amp;"|"&amp;tblControles[[#This Row],[Módulo]]&amp;"|"&amp;tblControles[[#This Row],[Ítem]]&amp;"|"&amp;tblControles[[#This Row],[Turno]]</f>
        <v>46286|FILTROS H2O|Realizado por:|1 TURNO</v>
      </c>
      <c r="C2878" s="871">
        <v>46286</v>
      </c>
      <c r="D2878" s="1100" t="s">
        <v>9430</v>
      </c>
      <c r="E2878" s="1100" t="s">
        <v>335</v>
      </c>
      <c r="F2878" s="1100" t="s">
        <v>326</v>
      </c>
      <c r="G2878" s="1100" t="s">
        <v>10351</v>
      </c>
      <c r="H2878" s="1100" t="s">
        <v>10345</v>
      </c>
      <c r="I2878" s="871">
        <v>46296.133811898151</v>
      </c>
      <c r="J2878" s="1100" t="s">
        <v>10352</v>
      </c>
      <c r="K2878" s="975" t="str">
        <f>IF(COUNTIFS(tblControles[Clave],tblControles[[#This Row],[Clave]])&gt;1,"Duplicado","")</f>
        <v/>
      </c>
    </row>
    <row r="2879" spans="2:11">
      <c r="B2879" s="975" t="str">
        <f>tblControles[[#This Row],[Fecha]]&amp;"|"&amp;tblControles[[#This Row],[Módulo]]&amp;"|"&amp;tblControles[[#This Row],[Ítem]]&amp;"|"&amp;tblControles[[#This Row],[Turno]]</f>
        <v>46287|FILTROS H2O|Realizado por:|1 TURNO</v>
      </c>
      <c r="C2879" s="871">
        <v>46287</v>
      </c>
      <c r="D2879" s="1100" t="s">
        <v>9430</v>
      </c>
      <c r="E2879" s="1100" t="s">
        <v>335</v>
      </c>
      <c r="F2879" s="1100" t="s">
        <v>326</v>
      </c>
      <c r="G2879" s="1100" t="s">
        <v>10356</v>
      </c>
      <c r="H2879" s="1100" t="s">
        <v>10345</v>
      </c>
      <c r="I2879" s="871">
        <v>46296.133811898151</v>
      </c>
      <c r="J2879" s="1100" t="s">
        <v>10352</v>
      </c>
      <c r="K2879" s="975" t="str">
        <f>IF(COUNTIFS(tblControles[Clave],tblControles[[#This Row],[Clave]])&gt;1,"Duplicado","")</f>
        <v/>
      </c>
    </row>
    <row r="2880" spans="2:11">
      <c r="B2880" s="975" t="str">
        <f>tblControles[[#This Row],[Fecha]]&amp;"|"&amp;tblControles[[#This Row],[Módulo]]&amp;"|"&amp;tblControles[[#This Row],[Ítem]]&amp;"|"&amp;tblControles[[#This Row],[Turno]]</f>
        <v>46288|FILTROS H2O|Filtro # 1|3 TURNO</v>
      </c>
      <c r="C2880" s="871">
        <v>46288</v>
      </c>
      <c r="D2880" s="1100" t="s">
        <v>9430</v>
      </c>
      <c r="E2880" s="1100" t="s">
        <v>9525</v>
      </c>
      <c r="F2880" s="1100" t="s">
        <v>328</v>
      </c>
      <c r="G2880" s="1100" t="s">
        <v>3227</v>
      </c>
      <c r="H2880" s="1100" t="s">
        <v>10345</v>
      </c>
      <c r="I2880" s="871">
        <v>46296.133811898151</v>
      </c>
      <c r="J2880" s="1100" t="s">
        <v>10352</v>
      </c>
      <c r="K2880" s="975" t="str">
        <f>IF(COUNTIFS(tblControles[Clave],tblControles[[#This Row],[Clave]])&gt;1,"Duplicado","")</f>
        <v/>
      </c>
    </row>
    <row r="2881" spans="2:11">
      <c r="B2881" s="975" t="str">
        <f>tblControles[[#This Row],[Fecha]]&amp;"|"&amp;tblControles[[#This Row],[Módulo]]&amp;"|"&amp;tblControles[[#This Row],[Ítem]]&amp;"|"&amp;tblControles[[#This Row],[Turno]]</f>
        <v>46288|FILTROS H2O|Filtro # 2|3 TURNO</v>
      </c>
      <c r="C2881" s="871">
        <v>46288</v>
      </c>
      <c r="D2881" s="1100" t="s">
        <v>9430</v>
      </c>
      <c r="E2881" s="1100" t="s">
        <v>9463</v>
      </c>
      <c r="F2881" s="1100" t="s">
        <v>328</v>
      </c>
      <c r="G2881" s="1100" t="s">
        <v>3227</v>
      </c>
      <c r="H2881" s="1100" t="s">
        <v>10345</v>
      </c>
      <c r="I2881" s="871">
        <v>46296.133811898151</v>
      </c>
      <c r="J2881" s="1100" t="s">
        <v>10352</v>
      </c>
      <c r="K2881" s="975" t="str">
        <f>IF(COUNTIFS(tblControles[Clave],tblControles[[#This Row],[Clave]])&gt;1,"Duplicado","")</f>
        <v/>
      </c>
    </row>
    <row r="2882" spans="2:11">
      <c r="B2882" s="975" t="str">
        <f>tblControles[[#This Row],[Fecha]]&amp;"|"&amp;tblControles[[#This Row],[Módulo]]&amp;"|"&amp;tblControles[[#This Row],[Ítem]]&amp;"|"&amp;tblControles[[#This Row],[Turno]]</f>
        <v>46288|FILTROS H2O|Filtro # 3|3 TURNO</v>
      </c>
      <c r="C2882" s="871">
        <v>46288</v>
      </c>
      <c r="D2882" s="1100" t="s">
        <v>9430</v>
      </c>
      <c r="E2882" s="1100" t="s">
        <v>9464</v>
      </c>
      <c r="F2882" s="1100" t="s">
        <v>328</v>
      </c>
      <c r="G2882" s="1100" t="s">
        <v>3227</v>
      </c>
      <c r="H2882" s="1100" t="s">
        <v>10345</v>
      </c>
      <c r="I2882" s="871">
        <v>46296.133811898151</v>
      </c>
      <c r="J2882" s="1100" t="s">
        <v>10352</v>
      </c>
      <c r="K2882" s="975" t="str">
        <f>IF(COUNTIFS(tblControles[Clave],tblControles[[#This Row],[Clave]])&gt;1,"Duplicado","")</f>
        <v/>
      </c>
    </row>
    <row r="2883" spans="2:11">
      <c r="B2883" s="975" t="str">
        <f>tblControles[[#This Row],[Fecha]]&amp;"|"&amp;tblControles[[#This Row],[Módulo]]&amp;"|"&amp;tblControles[[#This Row],[Ítem]]&amp;"|"&amp;tblControles[[#This Row],[Turno]]</f>
        <v>46288|FILTROS H2O|Filtro # 4|3 TURNO</v>
      </c>
      <c r="C2883" s="871">
        <v>46288</v>
      </c>
      <c r="D2883" s="1100" t="s">
        <v>9430</v>
      </c>
      <c r="E2883" s="1100" t="s">
        <v>9465</v>
      </c>
      <c r="F2883" s="1100" t="s">
        <v>328</v>
      </c>
      <c r="G2883" s="1100" t="s">
        <v>345</v>
      </c>
      <c r="H2883" s="1100" t="s">
        <v>10345</v>
      </c>
      <c r="I2883" s="871">
        <v>46296.133811898151</v>
      </c>
      <c r="J2883" s="1100" t="s">
        <v>10352</v>
      </c>
      <c r="K2883" s="975" t="str">
        <f>IF(COUNTIFS(tblControles[Clave],tblControles[[#This Row],[Clave]])&gt;1,"Duplicado","")</f>
        <v/>
      </c>
    </row>
    <row r="2884" spans="2:11">
      <c r="B2884" s="975" t="str">
        <f>tblControles[[#This Row],[Fecha]]&amp;"|"&amp;tblControles[[#This Row],[Módulo]]&amp;"|"&amp;tblControles[[#This Row],[Ítem]]&amp;"|"&amp;tblControles[[#This Row],[Turno]]</f>
        <v>46288|FILTROS H2O|Filtro # 5|3 TURNO</v>
      </c>
      <c r="C2884" s="871">
        <v>46288</v>
      </c>
      <c r="D2884" s="1100" t="s">
        <v>9430</v>
      </c>
      <c r="E2884" s="1100" t="s">
        <v>9466</v>
      </c>
      <c r="F2884" s="1100" t="s">
        <v>328</v>
      </c>
      <c r="G2884" s="1100" t="s">
        <v>3227</v>
      </c>
      <c r="H2884" s="1100" t="s">
        <v>10345</v>
      </c>
      <c r="I2884" s="871">
        <v>46296.133811898151</v>
      </c>
      <c r="J2884" s="1100" t="s">
        <v>10352</v>
      </c>
      <c r="K2884" s="975" t="str">
        <f>IF(COUNTIFS(tblControles[Clave],tblControles[[#This Row],[Clave]])&gt;1,"Duplicado","")</f>
        <v/>
      </c>
    </row>
    <row r="2885" spans="2:11">
      <c r="B2885" s="975" t="str">
        <f>tblControles[[#This Row],[Fecha]]&amp;"|"&amp;tblControles[[#This Row],[Módulo]]&amp;"|"&amp;tblControles[[#This Row],[Ítem]]&amp;"|"&amp;tblControles[[#This Row],[Turno]]</f>
        <v>46288|FILTROS H2O|Filtro Linea # 5|3 TURNO</v>
      </c>
      <c r="C2885" s="871">
        <v>46288</v>
      </c>
      <c r="D2885" s="1100" t="s">
        <v>9430</v>
      </c>
      <c r="E2885" s="1100" t="s">
        <v>331</v>
      </c>
      <c r="F2885" s="1100" t="s">
        <v>328</v>
      </c>
      <c r="G2885" s="1100" t="s">
        <v>3227</v>
      </c>
      <c r="H2885" s="1100" t="s">
        <v>10345</v>
      </c>
      <c r="I2885" s="871">
        <v>46296.133811898151</v>
      </c>
      <c r="J2885" s="1100" t="s">
        <v>10352</v>
      </c>
      <c r="K2885" s="975" t="str">
        <f>IF(COUNTIFS(tblControles[Clave],tblControles[[#This Row],[Clave]])&gt;1,"Duplicado","")</f>
        <v/>
      </c>
    </row>
    <row r="2886" spans="2:11">
      <c r="B2886" s="975" t="str">
        <f>tblControles[[#This Row],[Fecha]]&amp;"|"&amp;tblControles[[#This Row],[Módulo]]&amp;"|"&amp;tblControles[[#This Row],[Ítem]]&amp;"|"&amp;tblControles[[#This Row],[Turno]]</f>
        <v>46288|FILTROS H2O|Filtro Linea # 6|3 TURNO</v>
      </c>
      <c r="C2886" s="871">
        <v>46288</v>
      </c>
      <c r="D2886" s="1100" t="s">
        <v>9430</v>
      </c>
      <c r="E2886" s="1100" t="s">
        <v>332</v>
      </c>
      <c r="F2886" s="1100" t="s">
        <v>328</v>
      </c>
      <c r="G2886" s="1100" t="s">
        <v>3227</v>
      </c>
      <c r="H2886" s="1100" t="s">
        <v>10345</v>
      </c>
      <c r="I2886" s="871">
        <v>46296.133811898151</v>
      </c>
      <c r="J2886" s="1100" t="s">
        <v>10352</v>
      </c>
      <c r="K2886" s="975" t="str">
        <f>IF(COUNTIFS(tblControles[Clave],tblControles[[#This Row],[Clave]])&gt;1,"Duplicado","")</f>
        <v/>
      </c>
    </row>
    <row r="2887" spans="2:11">
      <c r="B2887" s="975" t="str">
        <f>tblControles[[#This Row],[Fecha]]&amp;"|"&amp;tblControles[[#This Row],[Módulo]]&amp;"|"&amp;tblControles[[#This Row],[Ítem]]&amp;"|"&amp;tblControles[[#This Row],[Turno]]</f>
        <v>46288|FILTROS H2O|Filtro Linea # 7|3 TURNO</v>
      </c>
      <c r="C2887" s="871">
        <v>46288</v>
      </c>
      <c r="D2887" s="1100" t="s">
        <v>9430</v>
      </c>
      <c r="E2887" s="1100" t="s">
        <v>9467</v>
      </c>
      <c r="F2887" s="1100" t="s">
        <v>328</v>
      </c>
      <c r="G2887" s="1100" t="s">
        <v>3227</v>
      </c>
      <c r="H2887" s="1100" t="s">
        <v>10345</v>
      </c>
      <c r="I2887" s="871">
        <v>46296.133811898151</v>
      </c>
      <c r="J2887" s="1100" t="s">
        <v>10352</v>
      </c>
      <c r="K2887" s="975" t="str">
        <f>IF(COUNTIFS(tblControles[Clave],tblControles[[#This Row],[Clave]])&gt;1,"Duplicado","")</f>
        <v/>
      </c>
    </row>
    <row r="2888" spans="2:11">
      <c r="B2888" s="975" t="str">
        <f>tblControles[[#This Row],[Fecha]]&amp;"|"&amp;tblControles[[#This Row],[Módulo]]&amp;"|"&amp;tblControles[[#This Row],[Ítem]]&amp;"|"&amp;tblControles[[#This Row],[Turno]]</f>
        <v>46288|FILTROS H2O|Filtro Linea # 8|3 TURNO</v>
      </c>
      <c r="C2888" s="871">
        <v>46288</v>
      </c>
      <c r="D2888" s="1100" t="s">
        <v>9430</v>
      </c>
      <c r="E2888" s="1100" t="s">
        <v>9468</v>
      </c>
      <c r="F2888" s="1100" t="s">
        <v>328</v>
      </c>
      <c r="G2888" s="1100" t="s">
        <v>345</v>
      </c>
      <c r="H2888" s="1100" t="s">
        <v>10345</v>
      </c>
      <c r="I2888" s="871">
        <v>46296.133811898151</v>
      </c>
      <c r="J2888" s="1100" t="s">
        <v>10352</v>
      </c>
      <c r="K2888" s="975" t="str">
        <f>IF(COUNTIFS(tblControles[Clave],tblControles[[#This Row],[Clave]])&gt;1,"Duplicado","")</f>
        <v/>
      </c>
    </row>
    <row r="2889" spans="2:11">
      <c r="B2889" s="975" t="str">
        <f>tblControles[[#This Row],[Fecha]]&amp;"|"&amp;tblControles[[#This Row],[Módulo]]&amp;"|"&amp;tblControles[[#This Row],[Ítem]]&amp;"|"&amp;tblControles[[#This Row],[Turno]]</f>
        <v>46288|FILTROS H2O|Filtro Linea # 9 (01)|3 TURNO</v>
      </c>
      <c r="C2889" s="871">
        <v>46288</v>
      </c>
      <c r="D2889" s="1100" t="s">
        <v>9430</v>
      </c>
      <c r="E2889" s="1100" t="s">
        <v>9469</v>
      </c>
      <c r="F2889" s="1100" t="s">
        <v>328</v>
      </c>
      <c r="G2889" s="1100" t="s">
        <v>3227</v>
      </c>
      <c r="H2889" s="1100" t="s">
        <v>10345</v>
      </c>
      <c r="I2889" s="871">
        <v>46296.133811898151</v>
      </c>
      <c r="J2889" s="1100" t="s">
        <v>10352</v>
      </c>
      <c r="K2889" s="975" t="str">
        <f>IF(COUNTIFS(tblControles[Clave],tblControles[[#This Row],[Clave]])&gt;1,"Duplicado","")</f>
        <v/>
      </c>
    </row>
    <row r="2890" spans="2:11">
      <c r="B2890" s="975" t="str">
        <f>tblControles[[#This Row],[Fecha]]&amp;"|"&amp;tblControles[[#This Row],[Módulo]]&amp;"|"&amp;tblControles[[#This Row],[Ítem]]&amp;"|"&amp;tblControles[[#This Row],[Turno]]</f>
        <v>46288|FILTROS H2O|Filtro Linea # 9 (02)|3 TURNO</v>
      </c>
      <c r="C2890" s="871">
        <v>46288</v>
      </c>
      <c r="D2890" s="1100" t="s">
        <v>9430</v>
      </c>
      <c r="E2890" s="1100" t="s">
        <v>9470</v>
      </c>
      <c r="F2890" s="1100" t="s">
        <v>328</v>
      </c>
      <c r="G2890" s="1100" t="s">
        <v>345</v>
      </c>
      <c r="H2890" s="1100" t="s">
        <v>10345</v>
      </c>
      <c r="I2890" s="871">
        <v>46296.133811898151</v>
      </c>
      <c r="J2890" s="1100" t="s">
        <v>10352</v>
      </c>
      <c r="K2890" s="975" t="str">
        <f>IF(COUNTIFS(tblControles[Clave],tblControles[[#This Row],[Clave]])&gt;1,"Duplicado","")</f>
        <v/>
      </c>
    </row>
    <row r="2891" spans="2:11">
      <c r="B2891" s="975" t="str">
        <f>tblControles[[#This Row],[Fecha]]&amp;"|"&amp;tblControles[[#This Row],[Módulo]]&amp;"|"&amp;tblControles[[#This Row],[Ítem]]&amp;"|"&amp;tblControles[[#This Row],[Turno]]</f>
        <v>46288|FILTROS H2O|Realizado por:|1 TURNO</v>
      </c>
      <c r="C2891" s="871">
        <v>46288</v>
      </c>
      <c r="D2891" s="1100" t="s">
        <v>9430</v>
      </c>
      <c r="E2891" s="1100" t="s">
        <v>335</v>
      </c>
      <c r="F2891" s="1100" t="s">
        <v>326</v>
      </c>
      <c r="G2891" s="1100" t="s">
        <v>10353</v>
      </c>
      <c r="H2891" s="1100" t="s">
        <v>10345</v>
      </c>
      <c r="I2891" s="871">
        <v>46296.133811898151</v>
      </c>
      <c r="J2891" s="1100" t="s">
        <v>10352</v>
      </c>
      <c r="K2891" s="975" t="str">
        <f>IF(COUNTIFS(tblControles[Clave],tblControles[[#This Row],[Clave]])&gt;1,"Duplicado","")</f>
        <v/>
      </c>
    </row>
    <row r="2892" spans="2:11">
      <c r="B2892" s="975" t="str">
        <f>tblControles[[#This Row],[Fecha]]&amp;"|"&amp;tblControles[[#This Row],[Módulo]]&amp;"|"&amp;tblControles[[#This Row],[Ítem]]&amp;"|"&amp;tblControles[[#This Row],[Turno]]</f>
        <v>46289|FILTROS H2O|Filtro # 1|3 TURNO</v>
      </c>
      <c r="C2892" s="871">
        <v>46289</v>
      </c>
      <c r="D2892" s="1100" t="s">
        <v>9430</v>
      </c>
      <c r="E2892" s="1100" t="s">
        <v>9525</v>
      </c>
      <c r="F2892" s="1100" t="s">
        <v>328</v>
      </c>
      <c r="G2892" s="1100" t="s">
        <v>3227</v>
      </c>
      <c r="H2892" s="1100" t="s">
        <v>10345</v>
      </c>
      <c r="I2892" s="871">
        <v>46296.133811898151</v>
      </c>
      <c r="J2892" s="1100" t="s">
        <v>10352</v>
      </c>
      <c r="K2892" s="975" t="str">
        <f>IF(COUNTIFS(tblControles[Clave],tblControles[[#This Row],[Clave]])&gt;1,"Duplicado","")</f>
        <v/>
      </c>
    </row>
    <row r="2893" spans="2:11">
      <c r="B2893" s="975" t="str">
        <f>tblControles[[#This Row],[Fecha]]&amp;"|"&amp;tblControles[[#This Row],[Módulo]]&amp;"|"&amp;tblControles[[#This Row],[Ítem]]&amp;"|"&amp;tblControles[[#This Row],[Turno]]</f>
        <v>46289|FILTROS H2O|Filtro # 2|3 TURNO</v>
      </c>
      <c r="C2893" s="871">
        <v>46289</v>
      </c>
      <c r="D2893" s="1100" t="s">
        <v>9430</v>
      </c>
      <c r="E2893" s="1100" t="s">
        <v>9463</v>
      </c>
      <c r="F2893" s="1100" t="s">
        <v>328</v>
      </c>
      <c r="G2893" s="1100" t="s">
        <v>3227</v>
      </c>
      <c r="H2893" s="1100" t="s">
        <v>10345</v>
      </c>
      <c r="I2893" s="871">
        <v>46296.133811898151</v>
      </c>
      <c r="J2893" s="1100" t="s">
        <v>10352</v>
      </c>
      <c r="K2893" s="975" t="str">
        <f>IF(COUNTIFS(tblControles[Clave],tblControles[[#This Row],[Clave]])&gt;1,"Duplicado","")</f>
        <v/>
      </c>
    </row>
    <row r="2894" spans="2:11">
      <c r="B2894" s="975" t="str">
        <f>tblControles[[#This Row],[Fecha]]&amp;"|"&amp;tblControles[[#This Row],[Módulo]]&amp;"|"&amp;tblControles[[#This Row],[Ítem]]&amp;"|"&amp;tblControles[[#This Row],[Turno]]</f>
        <v>46289|FILTROS H2O|Filtro # 3|3 TURNO</v>
      </c>
      <c r="C2894" s="871">
        <v>46289</v>
      </c>
      <c r="D2894" s="1100" t="s">
        <v>9430</v>
      </c>
      <c r="E2894" s="1100" t="s">
        <v>9464</v>
      </c>
      <c r="F2894" s="1100" t="s">
        <v>328</v>
      </c>
      <c r="G2894" s="1100" t="s">
        <v>3227</v>
      </c>
      <c r="H2894" s="1100" t="s">
        <v>10345</v>
      </c>
      <c r="I2894" s="871">
        <v>46296.133811898151</v>
      </c>
      <c r="J2894" s="1100" t="s">
        <v>10352</v>
      </c>
      <c r="K2894" s="975" t="str">
        <f>IF(COUNTIFS(tblControles[Clave],tblControles[[#This Row],[Clave]])&gt;1,"Duplicado","")</f>
        <v/>
      </c>
    </row>
    <row r="2895" spans="2:11">
      <c r="B2895" s="975" t="str">
        <f>tblControles[[#This Row],[Fecha]]&amp;"|"&amp;tblControles[[#This Row],[Módulo]]&amp;"|"&amp;tblControles[[#This Row],[Ítem]]&amp;"|"&amp;tblControles[[#This Row],[Turno]]</f>
        <v>46289|FILTROS H2O|Filtro # 4|3 TURNO</v>
      </c>
      <c r="C2895" s="871">
        <v>46289</v>
      </c>
      <c r="D2895" s="1100" t="s">
        <v>9430</v>
      </c>
      <c r="E2895" s="1100" t="s">
        <v>9465</v>
      </c>
      <c r="F2895" s="1100" t="s">
        <v>328</v>
      </c>
      <c r="G2895" s="1100" t="s">
        <v>345</v>
      </c>
      <c r="H2895" s="1100" t="s">
        <v>10345</v>
      </c>
      <c r="I2895" s="871">
        <v>46296.133811898151</v>
      </c>
      <c r="J2895" s="1100" t="s">
        <v>10352</v>
      </c>
      <c r="K2895" s="975" t="str">
        <f>IF(COUNTIFS(tblControles[Clave],tblControles[[#This Row],[Clave]])&gt;1,"Duplicado","")</f>
        <v/>
      </c>
    </row>
    <row r="2896" spans="2:11">
      <c r="B2896" s="975" t="str">
        <f>tblControles[[#This Row],[Fecha]]&amp;"|"&amp;tblControles[[#This Row],[Módulo]]&amp;"|"&amp;tblControles[[#This Row],[Ítem]]&amp;"|"&amp;tblControles[[#This Row],[Turno]]</f>
        <v>46289|FILTROS H2O|Filtro # 5|3 TURNO</v>
      </c>
      <c r="C2896" s="871">
        <v>46289</v>
      </c>
      <c r="D2896" s="1100" t="s">
        <v>9430</v>
      </c>
      <c r="E2896" s="1100" t="s">
        <v>9466</v>
      </c>
      <c r="F2896" s="1100" t="s">
        <v>328</v>
      </c>
      <c r="G2896" s="1100" t="s">
        <v>3227</v>
      </c>
      <c r="H2896" s="1100" t="s">
        <v>10345</v>
      </c>
      <c r="I2896" s="871">
        <v>46296.133811898151</v>
      </c>
      <c r="J2896" s="1100" t="s">
        <v>10352</v>
      </c>
      <c r="K2896" s="975" t="str">
        <f>IF(COUNTIFS(tblControles[Clave],tblControles[[#This Row],[Clave]])&gt;1,"Duplicado","")</f>
        <v/>
      </c>
    </row>
    <row r="2897" spans="2:11">
      <c r="B2897" s="975" t="str">
        <f>tblControles[[#This Row],[Fecha]]&amp;"|"&amp;tblControles[[#This Row],[Módulo]]&amp;"|"&amp;tblControles[[#This Row],[Ítem]]&amp;"|"&amp;tblControles[[#This Row],[Turno]]</f>
        <v>46289|FILTROS H2O|Filtro Linea # 5|3 TURNO</v>
      </c>
      <c r="C2897" s="871">
        <v>46289</v>
      </c>
      <c r="D2897" s="1100" t="s">
        <v>9430</v>
      </c>
      <c r="E2897" s="1100" t="s">
        <v>331</v>
      </c>
      <c r="F2897" s="1100" t="s">
        <v>328</v>
      </c>
      <c r="G2897" s="1100" t="s">
        <v>3227</v>
      </c>
      <c r="H2897" s="1100" t="s">
        <v>10345</v>
      </c>
      <c r="I2897" s="871">
        <v>46296.133811898151</v>
      </c>
      <c r="J2897" s="1100" t="s">
        <v>10352</v>
      </c>
      <c r="K2897" s="975" t="str">
        <f>IF(COUNTIFS(tblControles[Clave],tblControles[[#This Row],[Clave]])&gt;1,"Duplicado","")</f>
        <v/>
      </c>
    </row>
    <row r="2898" spans="2:11">
      <c r="B2898" s="975" t="str">
        <f>tblControles[[#This Row],[Fecha]]&amp;"|"&amp;tblControles[[#This Row],[Módulo]]&amp;"|"&amp;tblControles[[#This Row],[Ítem]]&amp;"|"&amp;tblControles[[#This Row],[Turno]]</f>
        <v>46289|FILTROS H2O|Filtro Linea # 6|3 TURNO</v>
      </c>
      <c r="C2898" s="871">
        <v>46289</v>
      </c>
      <c r="D2898" s="1100" t="s">
        <v>9430</v>
      </c>
      <c r="E2898" s="1100" t="s">
        <v>332</v>
      </c>
      <c r="F2898" s="1100" t="s">
        <v>328</v>
      </c>
      <c r="G2898" s="1100" t="s">
        <v>3227</v>
      </c>
      <c r="H2898" s="1100" t="s">
        <v>10345</v>
      </c>
      <c r="I2898" s="871">
        <v>46296.133811898151</v>
      </c>
      <c r="J2898" s="1100" t="s">
        <v>10352</v>
      </c>
      <c r="K2898" s="975" t="str">
        <f>IF(COUNTIFS(tblControles[Clave],tblControles[[#This Row],[Clave]])&gt;1,"Duplicado","")</f>
        <v/>
      </c>
    </row>
    <row r="2899" spans="2:11">
      <c r="B2899" s="975" t="str">
        <f>tblControles[[#This Row],[Fecha]]&amp;"|"&amp;tblControles[[#This Row],[Módulo]]&amp;"|"&amp;tblControles[[#This Row],[Ítem]]&amp;"|"&amp;tblControles[[#This Row],[Turno]]</f>
        <v>46289|FILTROS H2O|Filtro Linea # 7|3 TURNO</v>
      </c>
      <c r="C2899" s="871">
        <v>46289</v>
      </c>
      <c r="D2899" s="1100" t="s">
        <v>9430</v>
      </c>
      <c r="E2899" s="1100" t="s">
        <v>9467</v>
      </c>
      <c r="F2899" s="1100" t="s">
        <v>328</v>
      </c>
      <c r="G2899" s="1100" t="s">
        <v>3227</v>
      </c>
      <c r="H2899" s="1100" t="s">
        <v>10345</v>
      </c>
      <c r="I2899" s="871">
        <v>46296.133811898151</v>
      </c>
      <c r="J2899" s="1100" t="s">
        <v>10352</v>
      </c>
      <c r="K2899" s="975" t="str">
        <f>IF(COUNTIFS(tblControles[Clave],tblControles[[#This Row],[Clave]])&gt;1,"Duplicado","")</f>
        <v/>
      </c>
    </row>
    <row r="2900" spans="2:11">
      <c r="B2900" s="975" t="str">
        <f>tblControles[[#This Row],[Fecha]]&amp;"|"&amp;tblControles[[#This Row],[Módulo]]&amp;"|"&amp;tblControles[[#This Row],[Ítem]]&amp;"|"&amp;tblControles[[#This Row],[Turno]]</f>
        <v>46289|FILTROS H2O|Filtro Linea # 8|3 TURNO</v>
      </c>
      <c r="C2900" s="871">
        <v>46289</v>
      </c>
      <c r="D2900" s="1100" t="s">
        <v>9430</v>
      </c>
      <c r="E2900" s="1100" t="s">
        <v>9468</v>
      </c>
      <c r="F2900" s="1100" t="s">
        <v>328</v>
      </c>
      <c r="G2900" s="1100" t="s">
        <v>345</v>
      </c>
      <c r="H2900" s="1100" t="s">
        <v>10345</v>
      </c>
      <c r="I2900" s="871">
        <v>46296.133811898151</v>
      </c>
      <c r="J2900" s="1100" t="s">
        <v>10352</v>
      </c>
      <c r="K2900" s="975" t="str">
        <f>IF(COUNTIFS(tblControles[Clave],tblControles[[#This Row],[Clave]])&gt;1,"Duplicado","")</f>
        <v/>
      </c>
    </row>
    <row r="2901" spans="2:11">
      <c r="B2901" s="975" t="str">
        <f>tblControles[[#This Row],[Fecha]]&amp;"|"&amp;tblControles[[#This Row],[Módulo]]&amp;"|"&amp;tblControles[[#This Row],[Ítem]]&amp;"|"&amp;tblControles[[#This Row],[Turno]]</f>
        <v>46289|FILTROS H2O|Filtro Linea # 9 (01)|3 TURNO</v>
      </c>
      <c r="C2901" s="871">
        <v>46289</v>
      </c>
      <c r="D2901" s="1100" t="s">
        <v>9430</v>
      </c>
      <c r="E2901" s="1100" t="s">
        <v>9469</v>
      </c>
      <c r="F2901" s="1100" t="s">
        <v>328</v>
      </c>
      <c r="G2901" s="1100" t="s">
        <v>3227</v>
      </c>
      <c r="H2901" s="1100" t="s">
        <v>10345</v>
      </c>
      <c r="I2901" s="871">
        <v>46296.133811898151</v>
      </c>
      <c r="J2901" s="1100" t="s">
        <v>10352</v>
      </c>
      <c r="K2901" s="975" t="str">
        <f>IF(COUNTIFS(tblControles[Clave],tblControles[[#This Row],[Clave]])&gt;1,"Duplicado","")</f>
        <v/>
      </c>
    </row>
    <row r="2902" spans="2:11">
      <c r="B2902" s="975" t="str">
        <f>tblControles[[#This Row],[Fecha]]&amp;"|"&amp;tblControles[[#This Row],[Módulo]]&amp;"|"&amp;tblControles[[#This Row],[Ítem]]&amp;"|"&amp;tblControles[[#This Row],[Turno]]</f>
        <v>46289|FILTROS H2O|Filtro Linea # 9 (02)|3 TURNO</v>
      </c>
      <c r="C2902" s="871">
        <v>46289</v>
      </c>
      <c r="D2902" s="1100" t="s">
        <v>9430</v>
      </c>
      <c r="E2902" s="1100" t="s">
        <v>9470</v>
      </c>
      <c r="F2902" s="1100" t="s">
        <v>328</v>
      </c>
      <c r="G2902" s="1100" t="s">
        <v>345</v>
      </c>
      <c r="H2902" s="1100" t="s">
        <v>10345</v>
      </c>
      <c r="I2902" s="871">
        <v>46296.133811898151</v>
      </c>
      <c r="J2902" s="1100" t="s">
        <v>10352</v>
      </c>
      <c r="K2902" s="975" t="str">
        <f>IF(COUNTIFS(tblControles[Clave],tblControles[[#This Row],[Clave]])&gt;1,"Duplicado","")</f>
        <v/>
      </c>
    </row>
    <row r="2903" spans="2:11">
      <c r="B2903" s="975" t="str">
        <f>tblControles[[#This Row],[Fecha]]&amp;"|"&amp;tblControles[[#This Row],[Módulo]]&amp;"|"&amp;tblControles[[#This Row],[Ítem]]&amp;"|"&amp;tblControles[[#This Row],[Turno]]</f>
        <v>46289|FILTROS H2O|Realizado por:|1 TURNO</v>
      </c>
      <c r="C2903" s="871">
        <v>46289</v>
      </c>
      <c r="D2903" s="1100" t="s">
        <v>9430</v>
      </c>
      <c r="E2903" s="1100" t="s">
        <v>335</v>
      </c>
      <c r="F2903" s="1100" t="s">
        <v>326</v>
      </c>
      <c r="G2903" s="1100" t="s">
        <v>10351</v>
      </c>
      <c r="H2903" s="1100" t="s">
        <v>10345</v>
      </c>
      <c r="I2903" s="871">
        <v>46296.133811898151</v>
      </c>
      <c r="J2903" s="1100" t="s">
        <v>10352</v>
      </c>
      <c r="K2903" s="975" t="str">
        <f>IF(COUNTIFS(tblControles[Clave],tblControles[[#This Row],[Clave]])&gt;1,"Duplicado","")</f>
        <v/>
      </c>
    </row>
    <row r="2904" spans="2:11">
      <c r="B2904" s="975" t="str">
        <f>tblControles[[#This Row],[Fecha]]&amp;"|"&amp;tblControles[[#This Row],[Módulo]]&amp;"|"&amp;tblControles[[#This Row],[Ítem]]&amp;"|"&amp;tblControles[[#This Row],[Turno]]</f>
        <v>46290|FILTROS H2O|Filtro # 1|2 TURNO</v>
      </c>
      <c r="C2904" s="871">
        <v>46290</v>
      </c>
      <c r="D2904" s="1100" t="s">
        <v>9430</v>
      </c>
      <c r="E2904" s="1100" t="s">
        <v>9525</v>
      </c>
      <c r="F2904" s="1100" t="s">
        <v>327</v>
      </c>
      <c r="G2904" s="1100" t="s">
        <v>3227</v>
      </c>
      <c r="H2904" s="1100" t="s">
        <v>10345</v>
      </c>
      <c r="I2904" s="871">
        <v>46296.133811898151</v>
      </c>
      <c r="J2904" s="1100" t="s">
        <v>10352</v>
      </c>
      <c r="K2904" s="975" t="str">
        <f>IF(COUNTIFS(tblControles[Clave],tblControles[[#This Row],[Clave]])&gt;1,"Duplicado","")</f>
        <v/>
      </c>
    </row>
    <row r="2905" spans="2:11">
      <c r="B2905" s="975" t="str">
        <f>tblControles[[#This Row],[Fecha]]&amp;"|"&amp;tblControles[[#This Row],[Módulo]]&amp;"|"&amp;tblControles[[#This Row],[Ítem]]&amp;"|"&amp;tblControles[[#This Row],[Turno]]</f>
        <v>46290|FILTROS H2O|Filtro # 2|2 TURNO</v>
      </c>
      <c r="C2905" s="871">
        <v>46290</v>
      </c>
      <c r="D2905" s="1100" t="s">
        <v>9430</v>
      </c>
      <c r="E2905" s="1100" t="s">
        <v>9463</v>
      </c>
      <c r="F2905" s="1100" t="s">
        <v>327</v>
      </c>
      <c r="G2905" s="1100" t="s">
        <v>3227</v>
      </c>
      <c r="H2905" s="1100" t="s">
        <v>10345</v>
      </c>
      <c r="I2905" s="871">
        <v>46296.133811898151</v>
      </c>
      <c r="J2905" s="1100" t="s">
        <v>10352</v>
      </c>
      <c r="K2905" s="975" t="str">
        <f>IF(COUNTIFS(tblControles[Clave],tblControles[[#This Row],[Clave]])&gt;1,"Duplicado","")</f>
        <v/>
      </c>
    </row>
    <row r="2906" spans="2:11">
      <c r="B2906" s="975" t="str">
        <f>tblControles[[#This Row],[Fecha]]&amp;"|"&amp;tblControles[[#This Row],[Módulo]]&amp;"|"&amp;tblControles[[#This Row],[Ítem]]&amp;"|"&amp;tblControles[[#This Row],[Turno]]</f>
        <v>46290|FILTROS H2O|Filtro # 3|2 TURNO</v>
      </c>
      <c r="C2906" s="871">
        <v>46290</v>
      </c>
      <c r="D2906" s="1100" t="s">
        <v>9430</v>
      </c>
      <c r="E2906" s="1100" t="s">
        <v>9464</v>
      </c>
      <c r="F2906" s="1100" t="s">
        <v>327</v>
      </c>
      <c r="G2906" s="1100" t="s">
        <v>3227</v>
      </c>
      <c r="H2906" s="1100" t="s">
        <v>10345</v>
      </c>
      <c r="I2906" s="871">
        <v>46296.133811898151</v>
      </c>
      <c r="J2906" s="1100" t="s">
        <v>10352</v>
      </c>
      <c r="K2906" s="975" t="str">
        <f>IF(COUNTIFS(tblControles[Clave],tblControles[[#This Row],[Clave]])&gt;1,"Duplicado","")</f>
        <v/>
      </c>
    </row>
    <row r="2907" spans="2:11">
      <c r="B2907" s="975" t="str">
        <f>tblControles[[#This Row],[Fecha]]&amp;"|"&amp;tblControles[[#This Row],[Módulo]]&amp;"|"&amp;tblControles[[#This Row],[Ítem]]&amp;"|"&amp;tblControles[[#This Row],[Turno]]</f>
        <v>46290|FILTROS H2O|Filtro # 4|2 TURNO</v>
      </c>
      <c r="C2907" s="871">
        <v>46290</v>
      </c>
      <c r="D2907" s="1100" t="s">
        <v>9430</v>
      </c>
      <c r="E2907" s="1100" t="s">
        <v>9465</v>
      </c>
      <c r="F2907" s="1100" t="s">
        <v>327</v>
      </c>
      <c r="G2907" s="1100" t="s">
        <v>345</v>
      </c>
      <c r="H2907" s="1100" t="s">
        <v>10345</v>
      </c>
      <c r="I2907" s="871">
        <v>46296.133811898151</v>
      </c>
      <c r="J2907" s="1100" t="s">
        <v>10352</v>
      </c>
      <c r="K2907" s="975" t="str">
        <f>IF(COUNTIFS(tblControles[Clave],tblControles[[#This Row],[Clave]])&gt;1,"Duplicado","")</f>
        <v/>
      </c>
    </row>
    <row r="2908" spans="2:11">
      <c r="B2908" s="975" t="str">
        <f>tblControles[[#This Row],[Fecha]]&amp;"|"&amp;tblControles[[#This Row],[Módulo]]&amp;"|"&amp;tblControles[[#This Row],[Ítem]]&amp;"|"&amp;tblControles[[#This Row],[Turno]]</f>
        <v>46290|FILTROS H2O|Filtro # 5|2 TURNO</v>
      </c>
      <c r="C2908" s="871">
        <v>46290</v>
      </c>
      <c r="D2908" s="1100" t="s">
        <v>9430</v>
      </c>
      <c r="E2908" s="1100" t="s">
        <v>9466</v>
      </c>
      <c r="F2908" s="1100" t="s">
        <v>327</v>
      </c>
      <c r="G2908" s="1100" t="s">
        <v>3227</v>
      </c>
      <c r="H2908" s="1100" t="s">
        <v>10345</v>
      </c>
      <c r="I2908" s="871">
        <v>46296.133811898151</v>
      </c>
      <c r="J2908" s="1100" t="s">
        <v>10352</v>
      </c>
      <c r="K2908" s="975" t="str">
        <f>IF(COUNTIFS(tblControles[Clave],tblControles[[#This Row],[Clave]])&gt;1,"Duplicado","")</f>
        <v/>
      </c>
    </row>
    <row r="2909" spans="2:11">
      <c r="B2909" s="975" t="str">
        <f>tblControles[[#This Row],[Fecha]]&amp;"|"&amp;tblControles[[#This Row],[Módulo]]&amp;"|"&amp;tblControles[[#This Row],[Ítem]]&amp;"|"&amp;tblControles[[#This Row],[Turno]]</f>
        <v>46290|FILTROS H2O|Filtro Linea # 5|2 TURNO</v>
      </c>
      <c r="C2909" s="871">
        <v>46290</v>
      </c>
      <c r="D2909" s="1100" t="s">
        <v>9430</v>
      </c>
      <c r="E2909" s="1100" t="s">
        <v>331</v>
      </c>
      <c r="F2909" s="1100" t="s">
        <v>327</v>
      </c>
      <c r="G2909" s="1100" t="s">
        <v>3227</v>
      </c>
      <c r="H2909" s="1100" t="s">
        <v>10345</v>
      </c>
      <c r="I2909" s="871">
        <v>46296.133811898151</v>
      </c>
      <c r="J2909" s="1100" t="s">
        <v>10352</v>
      </c>
      <c r="K2909" s="975" t="str">
        <f>IF(COUNTIFS(tblControles[Clave],tblControles[[#This Row],[Clave]])&gt;1,"Duplicado","")</f>
        <v/>
      </c>
    </row>
    <row r="2910" spans="2:11">
      <c r="B2910" s="975" t="str">
        <f>tblControles[[#This Row],[Fecha]]&amp;"|"&amp;tblControles[[#This Row],[Módulo]]&amp;"|"&amp;tblControles[[#This Row],[Ítem]]&amp;"|"&amp;tblControles[[#This Row],[Turno]]</f>
        <v>46290|FILTROS H2O|Filtro Linea # 6|2 TURNO</v>
      </c>
      <c r="C2910" s="871">
        <v>46290</v>
      </c>
      <c r="D2910" s="1100" t="s">
        <v>9430</v>
      </c>
      <c r="E2910" s="1100" t="s">
        <v>332</v>
      </c>
      <c r="F2910" s="1100" t="s">
        <v>327</v>
      </c>
      <c r="G2910" s="1100" t="s">
        <v>3227</v>
      </c>
      <c r="H2910" s="1100" t="s">
        <v>10345</v>
      </c>
      <c r="I2910" s="871">
        <v>46296.133811898151</v>
      </c>
      <c r="J2910" s="1100" t="s">
        <v>10352</v>
      </c>
      <c r="K2910" s="975" t="str">
        <f>IF(COUNTIFS(tblControles[Clave],tblControles[[#This Row],[Clave]])&gt;1,"Duplicado","")</f>
        <v/>
      </c>
    </row>
    <row r="2911" spans="2:11">
      <c r="B2911" s="975" t="str">
        <f>tblControles[[#This Row],[Fecha]]&amp;"|"&amp;tblControles[[#This Row],[Módulo]]&amp;"|"&amp;tblControles[[#This Row],[Ítem]]&amp;"|"&amp;tblControles[[#This Row],[Turno]]</f>
        <v>46290|FILTROS H2O|Filtro Linea # 7|2 TURNO</v>
      </c>
      <c r="C2911" s="871">
        <v>46290</v>
      </c>
      <c r="D2911" s="1100" t="s">
        <v>9430</v>
      </c>
      <c r="E2911" s="1100" t="s">
        <v>9467</v>
      </c>
      <c r="F2911" s="1100" t="s">
        <v>327</v>
      </c>
      <c r="G2911" s="1100" t="s">
        <v>3227</v>
      </c>
      <c r="H2911" s="1100" t="s">
        <v>10345</v>
      </c>
      <c r="I2911" s="871">
        <v>46296.133811898151</v>
      </c>
      <c r="J2911" s="1100" t="s">
        <v>10352</v>
      </c>
      <c r="K2911" s="975" t="str">
        <f>IF(COUNTIFS(tblControles[Clave],tblControles[[#This Row],[Clave]])&gt;1,"Duplicado","")</f>
        <v/>
      </c>
    </row>
    <row r="2912" spans="2:11">
      <c r="B2912" s="975" t="str">
        <f>tblControles[[#This Row],[Fecha]]&amp;"|"&amp;tblControles[[#This Row],[Módulo]]&amp;"|"&amp;tblControles[[#This Row],[Ítem]]&amp;"|"&amp;tblControles[[#This Row],[Turno]]</f>
        <v>46290|FILTROS H2O|Filtro Linea # 8|2 TURNO</v>
      </c>
      <c r="C2912" s="871">
        <v>46290</v>
      </c>
      <c r="D2912" s="1100" t="s">
        <v>9430</v>
      </c>
      <c r="E2912" s="1100" t="s">
        <v>9468</v>
      </c>
      <c r="F2912" s="1100" t="s">
        <v>327</v>
      </c>
      <c r="G2912" s="1100" t="s">
        <v>345</v>
      </c>
      <c r="H2912" s="1100" t="s">
        <v>10345</v>
      </c>
      <c r="I2912" s="871">
        <v>46296.133811898151</v>
      </c>
      <c r="J2912" s="1100" t="s">
        <v>10352</v>
      </c>
      <c r="K2912" s="975" t="str">
        <f>IF(COUNTIFS(tblControles[Clave],tblControles[[#This Row],[Clave]])&gt;1,"Duplicado","")</f>
        <v/>
      </c>
    </row>
    <row r="2913" spans="2:11">
      <c r="B2913" s="975" t="str">
        <f>tblControles[[#This Row],[Fecha]]&amp;"|"&amp;tblControles[[#This Row],[Módulo]]&amp;"|"&amp;tblControles[[#This Row],[Ítem]]&amp;"|"&amp;tblControles[[#This Row],[Turno]]</f>
        <v>46290|FILTROS H2O|Filtro Linea # 9 (01)|2 TURNO</v>
      </c>
      <c r="C2913" s="871">
        <v>46290</v>
      </c>
      <c r="D2913" s="1100" t="s">
        <v>9430</v>
      </c>
      <c r="E2913" s="1100" t="s">
        <v>9469</v>
      </c>
      <c r="F2913" s="1100" t="s">
        <v>327</v>
      </c>
      <c r="G2913" s="1100" t="s">
        <v>3227</v>
      </c>
      <c r="H2913" s="1100" t="s">
        <v>10345</v>
      </c>
      <c r="I2913" s="871">
        <v>46296.133811898151</v>
      </c>
      <c r="J2913" s="1100" t="s">
        <v>10352</v>
      </c>
      <c r="K2913" s="975" t="str">
        <f>IF(COUNTIFS(tblControles[Clave],tblControles[[#This Row],[Clave]])&gt;1,"Duplicado","")</f>
        <v/>
      </c>
    </row>
    <row r="2914" spans="2:11">
      <c r="B2914" s="975" t="str">
        <f>tblControles[[#This Row],[Fecha]]&amp;"|"&amp;tblControles[[#This Row],[Módulo]]&amp;"|"&amp;tblControles[[#This Row],[Ítem]]&amp;"|"&amp;tblControles[[#This Row],[Turno]]</f>
        <v>46290|FILTROS H2O|Filtro Linea # 9 (02)|2 TURNO</v>
      </c>
      <c r="C2914" s="871">
        <v>46290</v>
      </c>
      <c r="D2914" s="1100" t="s">
        <v>9430</v>
      </c>
      <c r="E2914" s="1100" t="s">
        <v>9470</v>
      </c>
      <c r="F2914" s="1100" t="s">
        <v>327</v>
      </c>
      <c r="G2914" s="1100" t="s">
        <v>345</v>
      </c>
      <c r="H2914" s="1100" t="s">
        <v>10345</v>
      </c>
      <c r="I2914" s="871">
        <v>46296.133811898151</v>
      </c>
      <c r="J2914" s="1100" t="s">
        <v>10352</v>
      </c>
      <c r="K2914" s="975" t="str">
        <f>IF(COUNTIFS(tblControles[Clave],tblControles[[#This Row],[Clave]])&gt;1,"Duplicado","")</f>
        <v/>
      </c>
    </row>
    <row r="2915" spans="2:11">
      <c r="B2915" s="975" t="str">
        <f>tblControles[[#This Row],[Fecha]]&amp;"|"&amp;tblControles[[#This Row],[Módulo]]&amp;"|"&amp;tblControles[[#This Row],[Ítem]]&amp;"|"&amp;tblControles[[#This Row],[Turno]]</f>
        <v>46290|FILTROS H2O|Filtro # 1|3 TURNO</v>
      </c>
      <c r="C2915" s="871">
        <v>46290</v>
      </c>
      <c r="D2915" s="1100" t="s">
        <v>9430</v>
      </c>
      <c r="E2915" s="1100" t="s">
        <v>9525</v>
      </c>
      <c r="F2915" s="1100" t="s">
        <v>328</v>
      </c>
      <c r="G2915" s="1100" t="s">
        <v>3227</v>
      </c>
      <c r="H2915" s="1100" t="s">
        <v>10345</v>
      </c>
      <c r="I2915" s="871">
        <v>46296.133811898151</v>
      </c>
      <c r="J2915" s="1100" t="s">
        <v>10352</v>
      </c>
      <c r="K2915" s="975" t="str">
        <f>IF(COUNTIFS(tblControles[Clave],tblControles[[#This Row],[Clave]])&gt;1,"Duplicado","")</f>
        <v/>
      </c>
    </row>
    <row r="2916" spans="2:11">
      <c r="B2916" s="975" t="str">
        <f>tblControles[[#This Row],[Fecha]]&amp;"|"&amp;tblControles[[#This Row],[Módulo]]&amp;"|"&amp;tblControles[[#This Row],[Ítem]]&amp;"|"&amp;tblControles[[#This Row],[Turno]]</f>
        <v>46290|FILTROS H2O|Filtro # 2|3 TURNO</v>
      </c>
      <c r="C2916" s="871">
        <v>46290</v>
      </c>
      <c r="D2916" s="1100" t="s">
        <v>9430</v>
      </c>
      <c r="E2916" s="1100" t="s">
        <v>9463</v>
      </c>
      <c r="F2916" s="1100" t="s">
        <v>328</v>
      </c>
      <c r="G2916" s="1100" t="s">
        <v>3227</v>
      </c>
      <c r="H2916" s="1100" t="s">
        <v>10345</v>
      </c>
      <c r="I2916" s="871">
        <v>46296.133811898151</v>
      </c>
      <c r="J2916" s="1100" t="s">
        <v>10352</v>
      </c>
      <c r="K2916" s="975" t="str">
        <f>IF(COUNTIFS(tblControles[Clave],tblControles[[#This Row],[Clave]])&gt;1,"Duplicado","")</f>
        <v/>
      </c>
    </row>
    <row r="2917" spans="2:11">
      <c r="B2917" s="975" t="str">
        <f>tblControles[[#This Row],[Fecha]]&amp;"|"&amp;tblControles[[#This Row],[Módulo]]&amp;"|"&amp;tblControles[[#This Row],[Ítem]]&amp;"|"&amp;tblControles[[#This Row],[Turno]]</f>
        <v>46290|FILTROS H2O|Filtro # 3|3 TURNO</v>
      </c>
      <c r="C2917" s="871">
        <v>46290</v>
      </c>
      <c r="D2917" s="1100" t="s">
        <v>9430</v>
      </c>
      <c r="E2917" s="1100" t="s">
        <v>9464</v>
      </c>
      <c r="F2917" s="1100" t="s">
        <v>328</v>
      </c>
      <c r="G2917" s="1100" t="s">
        <v>3227</v>
      </c>
      <c r="H2917" s="1100" t="s">
        <v>10345</v>
      </c>
      <c r="I2917" s="871">
        <v>46296.133811898151</v>
      </c>
      <c r="J2917" s="1100" t="s">
        <v>10352</v>
      </c>
      <c r="K2917" s="975" t="str">
        <f>IF(COUNTIFS(tblControles[Clave],tblControles[[#This Row],[Clave]])&gt;1,"Duplicado","")</f>
        <v/>
      </c>
    </row>
    <row r="2918" spans="2:11">
      <c r="B2918" s="975" t="str">
        <f>tblControles[[#This Row],[Fecha]]&amp;"|"&amp;tblControles[[#This Row],[Módulo]]&amp;"|"&amp;tblControles[[#This Row],[Ítem]]&amp;"|"&amp;tblControles[[#This Row],[Turno]]</f>
        <v>46290|FILTROS H2O|Filtro # 4|3 TURNO</v>
      </c>
      <c r="C2918" s="871">
        <v>46290</v>
      </c>
      <c r="D2918" s="1100" t="s">
        <v>9430</v>
      </c>
      <c r="E2918" s="1100" t="s">
        <v>9465</v>
      </c>
      <c r="F2918" s="1100" t="s">
        <v>328</v>
      </c>
      <c r="G2918" s="1100" t="s">
        <v>345</v>
      </c>
      <c r="H2918" s="1100" t="s">
        <v>10345</v>
      </c>
      <c r="I2918" s="871">
        <v>46296.133811898151</v>
      </c>
      <c r="J2918" s="1100" t="s">
        <v>10352</v>
      </c>
      <c r="K2918" s="975" t="str">
        <f>IF(COUNTIFS(tblControles[Clave],tblControles[[#This Row],[Clave]])&gt;1,"Duplicado","")</f>
        <v/>
      </c>
    </row>
    <row r="2919" spans="2:11">
      <c r="B2919" s="975" t="str">
        <f>tblControles[[#This Row],[Fecha]]&amp;"|"&amp;tblControles[[#This Row],[Módulo]]&amp;"|"&amp;tblControles[[#This Row],[Ítem]]&amp;"|"&amp;tblControles[[#This Row],[Turno]]</f>
        <v>46290|FILTROS H2O|Filtro # 5|3 TURNO</v>
      </c>
      <c r="C2919" s="871">
        <v>46290</v>
      </c>
      <c r="D2919" s="1100" t="s">
        <v>9430</v>
      </c>
      <c r="E2919" s="1100" t="s">
        <v>9466</v>
      </c>
      <c r="F2919" s="1100" t="s">
        <v>328</v>
      </c>
      <c r="G2919" s="1100" t="s">
        <v>3227</v>
      </c>
      <c r="H2919" s="1100" t="s">
        <v>10345</v>
      </c>
      <c r="I2919" s="871">
        <v>46296.133811898151</v>
      </c>
      <c r="J2919" s="1100" t="s">
        <v>10352</v>
      </c>
      <c r="K2919" s="975" t="str">
        <f>IF(COUNTIFS(tblControles[Clave],tblControles[[#This Row],[Clave]])&gt;1,"Duplicado","")</f>
        <v/>
      </c>
    </row>
    <row r="2920" spans="2:11">
      <c r="B2920" s="975" t="str">
        <f>tblControles[[#This Row],[Fecha]]&amp;"|"&amp;tblControles[[#This Row],[Módulo]]&amp;"|"&amp;tblControles[[#This Row],[Ítem]]&amp;"|"&amp;tblControles[[#This Row],[Turno]]</f>
        <v>46290|FILTROS H2O|Filtro Linea # 5|3 TURNO</v>
      </c>
      <c r="C2920" s="871">
        <v>46290</v>
      </c>
      <c r="D2920" s="1100" t="s">
        <v>9430</v>
      </c>
      <c r="E2920" s="1100" t="s">
        <v>331</v>
      </c>
      <c r="F2920" s="1100" t="s">
        <v>328</v>
      </c>
      <c r="G2920" s="1100" t="s">
        <v>3227</v>
      </c>
      <c r="H2920" s="1100" t="s">
        <v>10345</v>
      </c>
      <c r="I2920" s="871">
        <v>46296.133811898151</v>
      </c>
      <c r="J2920" s="1100" t="s">
        <v>10352</v>
      </c>
      <c r="K2920" s="975" t="str">
        <f>IF(COUNTIFS(tblControles[Clave],tblControles[[#This Row],[Clave]])&gt;1,"Duplicado","")</f>
        <v/>
      </c>
    </row>
    <row r="2921" spans="2:11">
      <c r="B2921" s="975" t="str">
        <f>tblControles[[#This Row],[Fecha]]&amp;"|"&amp;tblControles[[#This Row],[Módulo]]&amp;"|"&amp;tblControles[[#This Row],[Ítem]]&amp;"|"&amp;tblControles[[#This Row],[Turno]]</f>
        <v>46290|FILTROS H2O|Filtro Linea # 6|3 TURNO</v>
      </c>
      <c r="C2921" s="871">
        <v>46290</v>
      </c>
      <c r="D2921" s="1100" t="s">
        <v>9430</v>
      </c>
      <c r="E2921" s="1100" t="s">
        <v>332</v>
      </c>
      <c r="F2921" s="1100" t="s">
        <v>328</v>
      </c>
      <c r="G2921" s="1100" t="s">
        <v>3227</v>
      </c>
      <c r="H2921" s="1100" t="s">
        <v>10345</v>
      </c>
      <c r="I2921" s="871">
        <v>46296.133811898151</v>
      </c>
      <c r="J2921" s="1100" t="s">
        <v>10352</v>
      </c>
      <c r="K2921" s="975" t="str">
        <f>IF(COUNTIFS(tblControles[Clave],tblControles[[#This Row],[Clave]])&gt;1,"Duplicado","")</f>
        <v/>
      </c>
    </row>
    <row r="2922" spans="2:11">
      <c r="B2922" s="975" t="str">
        <f>tblControles[[#This Row],[Fecha]]&amp;"|"&amp;tblControles[[#This Row],[Módulo]]&amp;"|"&amp;tblControles[[#This Row],[Ítem]]&amp;"|"&amp;tblControles[[#This Row],[Turno]]</f>
        <v>46290|FILTROS H2O|Filtro Linea # 7|3 TURNO</v>
      </c>
      <c r="C2922" s="871">
        <v>46290</v>
      </c>
      <c r="D2922" s="1100" t="s">
        <v>9430</v>
      </c>
      <c r="E2922" s="1100" t="s">
        <v>9467</v>
      </c>
      <c r="F2922" s="1100" t="s">
        <v>328</v>
      </c>
      <c r="G2922" s="1100" t="s">
        <v>3227</v>
      </c>
      <c r="H2922" s="1100" t="s">
        <v>10345</v>
      </c>
      <c r="I2922" s="871">
        <v>46296.133811898151</v>
      </c>
      <c r="J2922" s="1100" t="s">
        <v>10352</v>
      </c>
      <c r="K2922" s="975" t="str">
        <f>IF(COUNTIFS(tblControles[Clave],tblControles[[#This Row],[Clave]])&gt;1,"Duplicado","")</f>
        <v/>
      </c>
    </row>
    <row r="2923" spans="2:11">
      <c r="B2923" s="975" t="str">
        <f>tblControles[[#This Row],[Fecha]]&amp;"|"&amp;tblControles[[#This Row],[Módulo]]&amp;"|"&amp;tblControles[[#This Row],[Ítem]]&amp;"|"&amp;tblControles[[#This Row],[Turno]]</f>
        <v>46290|FILTROS H2O|Filtro Linea # 8|3 TURNO</v>
      </c>
      <c r="C2923" s="871">
        <v>46290</v>
      </c>
      <c r="D2923" s="1100" t="s">
        <v>9430</v>
      </c>
      <c r="E2923" s="1100" t="s">
        <v>9468</v>
      </c>
      <c r="F2923" s="1100" t="s">
        <v>328</v>
      </c>
      <c r="G2923" s="1100" t="s">
        <v>345</v>
      </c>
      <c r="H2923" s="1100" t="s">
        <v>10345</v>
      </c>
      <c r="I2923" s="871">
        <v>46296.133811898151</v>
      </c>
      <c r="J2923" s="1100" t="s">
        <v>10352</v>
      </c>
      <c r="K2923" s="975" t="str">
        <f>IF(COUNTIFS(tblControles[Clave],tblControles[[#This Row],[Clave]])&gt;1,"Duplicado","")</f>
        <v/>
      </c>
    </row>
    <row r="2924" spans="2:11">
      <c r="B2924" s="975" t="str">
        <f>tblControles[[#This Row],[Fecha]]&amp;"|"&amp;tblControles[[#This Row],[Módulo]]&amp;"|"&amp;tblControles[[#This Row],[Ítem]]&amp;"|"&amp;tblControles[[#This Row],[Turno]]</f>
        <v>46290|FILTROS H2O|Filtro Linea # 9 (01)|3 TURNO</v>
      </c>
      <c r="C2924" s="871">
        <v>46290</v>
      </c>
      <c r="D2924" s="1100" t="s">
        <v>9430</v>
      </c>
      <c r="E2924" s="1100" t="s">
        <v>9469</v>
      </c>
      <c r="F2924" s="1100" t="s">
        <v>328</v>
      </c>
      <c r="G2924" s="1100" t="s">
        <v>3227</v>
      </c>
      <c r="H2924" s="1100" t="s">
        <v>10345</v>
      </c>
      <c r="I2924" s="871">
        <v>46296.133811898151</v>
      </c>
      <c r="J2924" s="1100" t="s">
        <v>10352</v>
      </c>
      <c r="K2924" s="975" t="str">
        <f>IF(COUNTIFS(tblControles[Clave],tblControles[[#This Row],[Clave]])&gt;1,"Duplicado","")</f>
        <v/>
      </c>
    </row>
    <row r="2925" spans="2:11">
      <c r="B2925" s="975" t="str">
        <f>tblControles[[#This Row],[Fecha]]&amp;"|"&amp;tblControles[[#This Row],[Módulo]]&amp;"|"&amp;tblControles[[#This Row],[Ítem]]&amp;"|"&amp;tblControles[[#This Row],[Turno]]</f>
        <v>46290|FILTROS H2O|Filtro Linea # 9 (02)|3 TURNO</v>
      </c>
      <c r="C2925" s="871">
        <v>46290</v>
      </c>
      <c r="D2925" s="1100" t="s">
        <v>9430</v>
      </c>
      <c r="E2925" s="1100" t="s">
        <v>9470</v>
      </c>
      <c r="F2925" s="1100" t="s">
        <v>328</v>
      </c>
      <c r="G2925" s="1100" t="s">
        <v>345</v>
      </c>
      <c r="H2925" s="1100" t="s">
        <v>10345</v>
      </c>
      <c r="I2925" s="871">
        <v>46296.133811898151</v>
      </c>
      <c r="J2925" s="1100" t="s">
        <v>10352</v>
      </c>
      <c r="K2925" s="975" t="str">
        <f>IF(COUNTIFS(tblControles[Clave],tblControles[[#This Row],[Clave]])&gt;1,"Duplicado","")</f>
        <v/>
      </c>
    </row>
    <row r="2926" spans="2:11">
      <c r="B2926" s="975" t="str">
        <f>tblControles[[#This Row],[Fecha]]&amp;"|"&amp;tblControles[[#This Row],[Módulo]]&amp;"|"&amp;tblControles[[#This Row],[Ítem]]&amp;"|"&amp;tblControles[[#This Row],[Turno]]</f>
        <v>46290|FILTROS H2O|Realizado por:|1 TURNO</v>
      </c>
      <c r="C2926" s="871">
        <v>46290</v>
      </c>
      <c r="D2926" s="1100" t="s">
        <v>9430</v>
      </c>
      <c r="E2926" s="1100" t="s">
        <v>335</v>
      </c>
      <c r="F2926" s="1100" t="s">
        <v>326</v>
      </c>
      <c r="G2926" s="1100" t="s">
        <v>10357</v>
      </c>
      <c r="H2926" s="1100" t="s">
        <v>10345</v>
      </c>
      <c r="I2926" s="871">
        <v>46296.133811898151</v>
      </c>
      <c r="J2926" s="1100" t="s">
        <v>10352</v>
      </c>
      <c r="K2926" s="975" t="str">
        <f>IF(COUNTIFS(tblControles[Clave],tblControles[[#This Row],[Clave]])&gt;1,"Duplicado","")</f>
        <v/>
      </c>
    </row>
    <row r="2927" spans="2:11">
      <c r="B2927" s="975" t="str">
        <f>tblControles[[#This Row],[Fecha]]&amp;"|"&amp;tblControles[[#This Row],[Módulo]]&amp;"|"&amp;tblControles[[#This Row],[Ítem]]&amp;"|"&amp;tblControles[[#This Row],[Turno]]</f>
        <v>46291|FILTROS H2O|Realizado por:|1 TURNO</v>
      </c>
      <c r="C2927" s="871">
        <v>46291</v>
      </c>
      <c r="D2927" s="1100" t="s">
        <v>9430</v>
      </c>
      <c r="E2927" s="1100" t="s">
        <v>335</v>
      </c>
      <c r="F2927" s="1100" t="s">
        <v>326</v>
      </c>
      <c r="G2927" s="1100" t="s">
        <v>10357</v>
      </c>
      <c r="H2927" s="1100" t="s">
        <v>10345</v>
      </c>
      <c r="I2927" s="871">
        <v>46296.133811898151</v>
      </c>
      <c r="J2927" s="1100" t="s">
        <v>10352</v>
      </c>
      <c r="K2927" s="975" t="str">
        <f>IF(COUNTIFS(tblControles[Clave],tblControles[[#This Row],[Clave]])&gt;1,"Duplicado","")</f>
        <v/>
      </c>
    </row>
    <row r="2928" spans="2:11">
      <c r="B2928" s="975" t="str">
        <f>tblControles[[#This Row],[Fecha]]&amp;"|"&amp;tblControles[[#This Row],[Módulo]]&amp;"|"&amp;tblControles[[#This Row],[Ítem]]&amp;"|"&amp;tblControles[[#This Row],[Turno]]</f>
        <v>46292|FILTROS H2O|Filtro # 1|2 TURNO</v>
      </c>
      <c r="C2928" s="871">
        <v>46292</v>
      </c>
      <c r="D2928" s="1100" t="s">
        <v>9430</v>
      </c>
      <c r="E2928" s="1100" t="s">
        <v>9525</v>
      </c>
      <c r="F2928" s="1100" t="s">
        <v>327</v>
      </c>
      <c r="G2928" s="1100" t="s">
        <v>3227</v>
      </c>
      <c r="H2928" s="1100" t="s">
        <v>10345</v>
      </c>
      <c r="I2928" s="871">
        <v>46296.133811898151</v>
      </c>
      <c r="J2928" s="1100" t="s">
        <v>10352</v>
      </c>
      <c r="K2928" s="975" t="str">
        <f>IF(COUNTIFS(tblControles[Clave],tblControles[[#This Row],[Clave]])&gt;1,"Duplicado","")</f>
        <v/>
      </c>
    </row>
    <row r="2929" spans="2:11">
      <c r="B2929" s="975" t="str">
        <f>tblControles[[#This Row],[Fecha]]&amp;"|"&amp;tblControles[[#This Row],[Módulo]]&amp;"|"&amp;tblControles[[#This Row],[Ítem]]&amp;"|"&amp;tblControles[[#This Row],[Turno]]</f>
        <v>46292|FILTROS H2O|Filtro # 2|2 TURNO</v>
      </c>
      <c r="C2929" s="871">
        <v>46292</v>
      </c>
      <c r="D2929" s="1100" t="s">
        <v>9430</v>
      </c>
      <c r="E2929" s="1100" t="s">
        <v>9463</v>
      </c>
      <c r="F2929" s="1100" t="s">
        <v>327</v>
      </c>
      <c r="G2929" s="1100" t="s">
        <v>3227</v>
      </c>
      <c r="H2929" s="1100" t="s">
        <v>10345</v>
      </c>
      <c r="I2929" s="871">
        <v>46296.133811898151</v>
      </c>
      <c r="J2929" s="1100" t="s">
        <v>10352</v>
      </c>
      <c r="K2929" s="975" t="str">
        <f>IF(COUNTIFS(tblControles[Clave],tblControles[[#This Row],[Clave]])&gt;1,"Duplicado","")</f>
        <v/>
      </c>
    </row>
    <row r="2930" spans="2:11">
      <c r="B2930" s="975" t="str">
        <f>tblControles[[#This Row],[Fecha]]&amp;"|"&amp;tblControles[[#This Row],[Módulo]]&amp;"|"&amp;tblControles[[#This Row],[Ítem]]&amp;"|"&amp;tblControles[[#This Row],[Turno]]</f>
        <v>46292|FILTROS H2O|Filtro # 3|2 TURNO</v>
      </c>
      <c r="C2930" s="871">
        <v>46292</v>
      </c>
      <c r="D2930" s="1100" t="s">
        <v>9430</v>
      </c>
      <c r="E2930" s="1100" t="s">
        <v>9464</v>
      </c>
      <c r="F2930" s="1100" t="s">
        <v>327</v>
      </c>
      <c r="G2930" s="1100" t="s">
        <v>3227</v>
      </c>
      <c r="H2930" s="1100" t="s">
        <v>10345</v>
      </c>
      <c r="I2930" s="871">
        <v>46296.133811898151</v>
      </c>
      <c r="J2930" s="1100" t="s">
        <v>10352</v>
      </c>
      <c r="K2930" s="975" t="str">
        <f>IF(COUNTIFS(tblControles[Clave],tblControles[[#This Row],[Clave]])&gt;1,"Duplicado","")</f>
        <v/>
      </c>
    </row>
    <row r="2931" spans="2:11">
      <c r="B2931" s="975" t="str">
        <f>tblControles[[#This Row],[Fecha]]&amp;"|"&amp;tblControles[[#This Row],[Módulo]]&amp;"|"&amp;tblControles[[#This Row],[Ítem]]&amp;"|"&amp;tblControles[[#This Row],[Turno]]</f>
        <v>46292|FILTROS H2O|Filtro # 4|2 TURNO</v>
      </c>
      <c r="C2931" s="871">
        <v>46292</v>
      </c>
      <c r="D2931" s="1100" t="s">
        <v>9430</v>
      </c>
      <c r="E2931" s="1100" t="s">
        <v>9465</v>
      </c>
      <c r="F2931" s="1100" t="s">
        <v>327</v>
      </c>
      <c r="G2931" s="1100" t="s">
        <v>345</v>
      </c>
      <c r="H2931" s="1100" t="s">
        <v>10345</v>
      </c>
      <c r="I2931" s="871">
        <v>46296.133811898151</v>
      </c>
      <c r="J2931" s="1100" t="s">
        <v>10352</v>
      </c>
      <c r="K2931" s="975" t="str">
        <f>IF(COUNTIFS(tblControles[Clave],tblControles[[#This Row],[Clave]])&gt;1,"Duplicado","")</f>
        <v/>
      </c>
    </row>
    <row r="2932" spans="2:11">
      <c r="B2932" s="975" t="str">
        <f>tblControles[[#This Row],[Fecha]]&amp;"|"&amp;tblControles[[#This Row],[Módulo]]&amp;"|"&amp;tblControles[[#This Row],[Ítem]]&amp;"|"&amp;tblControles[[#This Row],[Turno]]</f>
        <v>46292|FILTROS H2O|Filtro # 5|2 TURNO</v>
      </c>
      <c r="C2932" s="871">
        <v>46292</v>
      </c>
      <c r="D2932" s="1100" t="s">
        <v>9430</v>
      </c>
      <c r="E2932" s="1100" t="s">
        <v>9466</v>
      </c>
      <c r="F2932" s="1100" t="s">
        <v>327</v>
      </c>
      <c r="G2932" s="1100" t="s">
        <v>3227</v>
      </c>
      <c r="H2932" s="1100" t="s">
        <v>10345</v>
      </c>
      <c r="I2932" s="871">
        <v>46296.133811898151</v>
      </c>
      <c r="J2932" s="1100" t="s">
        <v>10352</v>
      </c>
      <c r="K2932" s="975" t="str">
        <f>IF(COUNTIFS(tblControles[Clave],tblControles[[#This Row],[Clave]])&gt;1,"Duplicado","")</f>
        <v/>
      </c>
    </row>
    <row r="2933" spans="2:11">
      <c r="B2933" s="975" t="str">
        <f>tblControles[[#This Row],[Fecha]]&amp;"|"&amp;tblControles[[#This Row],[Módulo]]&amp;"|"&amp;tblControles[[#This Row],[Ítem]]&amp;"|"&amp;tblControles[[#This Row],[Turno]]</f>
        <v>46292|FILTROS H2O|Filtro Linea # 5|2 TURNO</v>
      </c>
      <c r="C2933" s="871">
        <v>46292</v>
      </c>
      <c r="D2933" s="1100" t="s">
        <v>9430</v>
      </c>
      <c r="E2933" s="1100" t="s">
        <v>331</v>
      </c>
      <c r="F2933" s="1100" t="s">
        <v>327</v>
      </c>
      <c r="G2933" s="1100" t="s">
        <v>3227</v>
      </c>
      <c r="H2933" s="1100" t="s">
        <v>10345</v>
      </c>
      <c r="I2933" s="871">
        <v>46296.133811898151</v>
      </c>
      <c r="J2933" s="1100" t="s">
        <v>10352</v>
      </c>
      <c r="K2933" s="975" t="str">
        <f>IF(COUNTIFS(tblControles[Clave],tblControles[[#This Row],[Clave]])&gt;1,"Duplicado","")</f>
        <v/>
      </c>
    </row>
    <row r="2934" spans="2:11">
      <c r="B2934" s="975" t="str">
        <f>tblControles[[#This Row],[Fecha]]&amp;"|"&amp;tblControles[[#This Row],[Módulo]]&amp;"|"&amp;tblControles[[#This Row],[Ítem]]&amp;"|"&amp;tblControles[[#This Row],[Turno]]</f>
        <v>46292|FILTROS H2O|Filtro Linea # 6|2 TURNO</v>
      </c>
      <c r="C2934" s="871">
        <v>46292</v>
      </c>
      <c r="D2934" s="1100" t="s">
        <v>9430</v>
      </c>
      <c r="E2934" s="1100" t="s">
        <v>332</v>
      </c>
      <c r="F2934" s="1100" t="s">
        <v>327</v>
      </c>
      <c r="G2934" s="1100" t="s">
        <v>3227</v>
      </c>
      <c r="H2934" s="1100" t="s">
        <v>10345</v>
      </c>
      <c r="I2934" s="871">
        <v>46296.133811898151</v>
      </c>
      <c r="J2934" s="1100" t="s">
        <v>10352</v>
      </c>
      <c r="K2934" s="975" t="str">
        <f>IF(COUNTIFS(tblControles[Clave],tblControles[[#This Row],[Clave]])&gt;1,"Duplicado","")</f>
        <v/>
      </c>
    </row>
    <row r="2935" spans="2:11">
      <c r="B2935" s="975" t="str">
        <f>tblControles[[#This Row],[Fecha]]&amp;"|"&amp;tblControles[[#This Row],[Módulo]]&amp;"|"&amp;tblControles[[#This Row],[Ítem]]&amp;"|"&amp;tblControles[[#This Row],[Turno]]</f>
        <v>46292|FILTROS H2O|Filtro Linea # 7|2 TURNO</v>
      </c>
      <c r="C2935" s="871">
        <v>46292</v>
      </c>
      <c r="D2935" s="1100" t="s">
        <v>9430</v>
      </c>
      <c r="E2935" s="1100" t="s">
        <v>9467</v>
      </c>
      <c r="F2935" s="1100" t="s">
        <v>327</v>
      </c>
      <c r="G2935" s="1100" t="s">
        <v>345</v>
      </c>
      <c r="H2935" s="1100" t="s">
        <v>10345</v>
      </c>
      <c r="I2935" s="871">
        <v>46296.133811898151</v>
      </c>
      <c r="J2935" s="1100" t="s">
        <v>10352</v>
      </c>
      <c r="K2935" s="975" t="str">
        <f>IF(COUNTIFS(tblControles[Clave],tblControles[[#This Row],[Clave]])&gt;1,"Duplicado","")</f>
        <v/>
      </c>
    </row>
    <row r="2936" spans="2:11">
      <c r="B2936" s="975" t="str">
        <f>tblControles[[#This Row],[Fecha]]&amp;"|"&amp;tblControles[[#This Row],[Módulo]]&amp;"|"&amp;tblControles[[#This Row],[Ítem]]&amp;"|"&amp;tblControles[[#This Row],[Turno]]</f>
        <v>46292|FILTROS H2O|Filtro Linea # 8|2 TURNO</v>
      </c>
      <c r="C2936" s="871">
        <v>46292</v>
      </c>
      <c r="D2936" s="1100" t="s">
        <v>9430</v>
      </c>
      <c r="E2936" s="1100" t="s">
        <v>9468</v>
      </c>
      <c r="F2936" s="1100" t="s">
        <v>327</v>
      </c>
      <c r="G2936" s="1100" t="s">
        <v>345</v>
      </c>
      <c r="H2936" s="1100" t="s">
        <v>10345</v>
      </c>
      <c r="I2936" s="871">
        <v>46296.133811898151</v>
      </c>
      <c r="J2936" s="1100" t="s">
        <v>10352</v>
      </c>
      <c r="K2936" s="975" t="str">
        <f>IF(COUNTIFS(tblControles[Clave],tblControles[[#This Row],[Clave]])&gt;1,"Duplicado","")</f>
        <v/>
      </c>
    </row>
    <row r="2937" spans="2:11">
      <c r="B2937" s="975" t="str">
        <f>tblControles[[#This Row],[Fecha]]&amp;"|"&amp;tblControles[[#This Row],[Módulo]]&amp;"|"&amp;tblControles[[#This Row],[Ítem]]&amp;"|"&amp;tblControles[[#This Row],[Turno]]</f>
        <v>46292|FILTROS H2O|Filtro Linea # 9 (01)|2 TURNO</v>
      </c>
      <c r="C2937" s="871">
        <v>46292</v>
      </c>
      <c r="D2937" s="1100" t="s">
        <v>9430</v>
      </c>
      <c r="E2937" s="1100" t="s">
        <v>9469</v>
      </c>
      <c r="F2937" s="1100" t="s">
        <v>327</v>
      </c>
      <c r="G2937" s="1100" t="s">
        <v>3227</v>
      </c>
      <c r="H2937" s="1100" t="s">
        <v>10345</v>
      </c>
      <c r="I2937" s="871">
        <v>46296.133811898151</v>
      </c>
      <c r="J2937" s="1100" t="s">
        <v>10352</v>
      </c>
      <c r="K2937" s="975" t="str">
        <f>IF(COUNTIFS(tblControles[Clave],tblControles[[#This Row],[Clave]])&gt;1,"Duplicado","")</f>
        <v/>
      </c>
    </row>
    <row r="2938" spans="2:11">
      <c r="B2938" s="975" t="str">
        <f>tblControles[[#This Row],[Fecha]]&amp;"|"&amp;tblControles[[#This Row],[Módulo]]&amp;"|"&amp;tblControles[[#This Row],[Ítem]]&amp;"|"&amp;tblControles[[#This Row],[Turno]]</f>
        <v>46292|FILTROS H2O|Filtro Linea # 9 (02)|2 TURNO</v>
      </c>
      <c r="C2938" s="871">
        <v>46292</v>
      </c>
      <c r="D2938" s="1100" t="s">
        <v>9430</v>
      </c>
      <c r="E2938" s="1100" t="s">
        <v>9470</v>
      </c>
      <c r="F2938" s="1100" t="s">
        <v>327</v>
      </c>
      <c r="G2938" s="1100" t="s">
        <v>345</v>
      </c>
      <c r="H2938" s="1100" t="s">
        <v>10345</v>
      </c>
      <c r="I2938" s="871">
        <v>46296.133811898151</v>
      </c>
      <c r="J2938" s="1100" t="s">
        <v>10352</v>
      </c>
      <c r="K2938" s="975" t="str">
        <f>IF(COUNTIFS(tblControles[Clave],tblControles[[#This Row],[Clave]])&gt;1,"Duplicado","")</f>
        <v/>
      </c>
    </row>
    <row r="2939" spans="2:11">
      <c r="B2939" s="975" t="str">
        <f>tblControles[[#This Row],[Fecha]]&amp;"|"&amp;tblControles[[#This Row],[Módulo]]&amp;"|"&amp;tblControles[[#This Row],[Ítem]]&amp;"|"&amp;tblControles[[#This Row],[Turno]]</f>
        <v>46292|FILTROS H2O|Filtro # 1|3 TURNO</v>
      </c>
      <c r="C2939" s="871">
        <v>46292</v>
      </c>
      <c r="D2939" s="1100" t="s">
        <v>9430</v>
      </c>
      <c r="E2939" s="1100" t="s">
        <v>9525</v>
      </c>
      <c r="F2939" s="1100" t="s">
        <v>328</v>
      </c>
      <c r="G2939" s="1100" t="s">
        <v>3227</v>
      </c>
      <c r="H2939" s="1100" t="s">
        <v>10345</v>
      </c>
      <c r="I2939" s="871">
        <v>46296.133811898151</v>
      </c>
      <c r="J2939" s="1100" t="s">
        <v>10352</v>
      </c>
      <c r="K2939" s="975" t="str">
        <f>IF(COUNTIFS(tblControles[Clave],tblControles[[#This Row],[Clave]])&gt;1,"Duplicado","")</f>
        <v/>
      </c>
    </row>
    <row r="2940" spans="2:11">
      <c r="B2940" s="975" t="str">
        <f>tblControles[[#This Row],[Fecha]]&amp;"|"&amp;tblControles[[#This Row],[Módulo]]&amp;"|"&amp;tblControles[[#This Row],[Ítem]]&amp;"|"&amp;tblControles[[#This Row],[Turno]]</f>
        <v>46292|FILTROS H2O|Filtro # 2|3 TURNO</v>
      </c>
      <c r="C2940" s="871">
        <v>46292</v>
      </c>
      <c r="D2940" s="1100" t="s">
        <v>9430</v>
      </c>
      <c r="E2940" s="1100" t="s">
        <v>9463</v>
      </c>
      <c r="F2940" s="1100" t="s">
        <v>328</v>
      </c>
      <c r="G2940" s="1100" t="s">
        <v>3227</v>
      </c>
      <c r="H2940" s="1100" t="s">
        <v>10345</v>
      </c>
      <c r="I2940" s="871">
        <v>46296.133811898151</v>
      </c>
      <c r="J2940" s="1100" t="s">
        <v>10352</v>
      </c>
      <c r="K2940" s="975" t="str">
        <f>IF(COUNTIFS(tblControles[Clave],tblControles[[#This Row],[Clave]])&gt;1,"Duplicado","")</f>
        <v/>
      </c>
    </row>
    <row r="2941" spans="2:11">
      <c r="B2941" s="975" t="str">
        <f>tblControles[[#This Row],[Fecha]]&amp;"|"&amp;tblControles[[#This Row],[Módulo]]&amp;"|"&amp;tblControles[[#This Row],[Ítem]]&amp;"|"&amp;tblControles[[#This Row],[Turno]]</f>
        <v>46292|FILTROS H2O|Filtro # 3|3 TURNO</v>
      </c>
      <c r="C2941" s="871">
        <v>46292</v>
      </c>
      <c r="D2941" s="1100" t="s">
        <v>9430</v>
      </c>
      <c r="E2941" s="1100" t="s">
        <v>9464</v>
      </c>
      <c r="F2941" s="1100" t="s">
        <v>328</v>
      </c>
      <c r="G2941" s="1100" t="s">
        <v>3227</v>
      </c>
      <c r="H2941" s="1100" t="s">
        <v>10345</v>
      </c>
      <c r="I2941" s="871">
        <v>46296.133811898151</v>
      </c>
      <c r="J2941" s="1100" t="s">
        <v>10352</v>
      </c>
      <c r="K2941" s="975" t="str">
        <f>IF(COUNTIFS(tblControles[Clave],tblControles[[#This Row],[Clave]])&gt;1,"Duplicado","")</f>
        <v/>
      </c>
    </row>
    <row r="2942" spans="2:11">
      <c r="B2942" s="975" t="str">
        <f>tblControles[[#This Row],[Fecha]]&amp;"|"&amp;tblControles[[#This Row],[Módulo]]&amp;"|"&amp;tblControles[[#This Row],[Ítem]]&amp;"|"&amp;tblControles[[#This Row],[Turno]]</f>
        <v>46292|FILTROS H2O|Filtro # 4|3 TURNO</v>
      </c>
      <c r="C2942" s="871">
        <v>46292</v>
      </c>
      <c r="D2942" s="1100" t="s">
        <v>9430</v>
      </c>
      <c r="E2942" s="1100" t="s">
        <v>9465</v>
      </c>
      <c r="F2942" s="1100" t="s">
        <v>328</v>
      </c>
      <c r="G2942" s="1100" t="s">
        <v>345</v>
      </c>
      <c r="H2942" s="1100" t="s">
        <v>10345</v>
      </c>
      <c r="I2942" s="871">
        <v>46296.133811898151</v>
      </c>
      <c r="J2942" s="1100" t="s">
        <v>10352</v>
      </c>
      <c r="K2942" s="975" t="str">
        <f>IF(COUNTIFS(tblControles[Clave],tblControles[[#This Row],[Clave]])&gt;1,"Duplicado","")</f>
        <v/>
      </c>
    </row>
    <row r="2943" spans="2:11">
      <c r="B2943" s="975" t="str">
        <f>tblControles[[#This Row],[Fecha]]&amp;"|"&amp;tblControles[[#This Row],[Módulo]]&amp;"|"&amp;tblControles[[#This Row],[Ítem]]&amp;"|"&amp;tblControles[[#This Row],[Turno]]</f>
        <v>46292|FILTROS H2O|Filtro # 5|3 TURNO</v>
      </c>
      <c r="C2943" s="871">
        <v>46292</v>
      </c>
      <c r="D2943" s="1100" t="s">
        <v>9430</v>
      </c>
      <c r="E2943" s="1100" t="s">
        <v>9466</v>
      </c>
      <c r="F2943" s="1100" t="s">
        <v>328</v>
      </c>
      <c r="G2943" s="1100" t="s">
        <v>3227</v>
      </c>
      <c r="H2943" s="1100" t="s">
        <v>10345</v>
      </c>
      <c r="I2943" s="871">
        <v>46296.133811898151</v>
      </c>
      <c r="J2943" s="1100" t="s">
        <v>10352</v>
      </c>
      <c r="K2943" s="975" t="str">
        <f>IF(COUNTIFS(tblControles[Clave],tblControles[[#This Row],[Clave]])&gt;1,"Duplicado","")</f>
        <v/>
      </c>
    </row>
    <row r="2944" spans="2:11">
      <c r="B2944" s="975" t="str">
        <f>tblControles[[#This Row],[Fecha]]&amp;"|"&amp;tblControles[[#This Row],[Módulo]]&amp;"|"&amp;tblControles[[#This Row],[Ítem]]&amp;"|"&amp;tblControles[[#This Row],[Turno]]</f>
        <v>46292|FILTROS H2O|Filtro Linea # 5|3 TURNO</v>
      </c>
      <c r="C2944" s="871">
        <v>46292</v>
      </c>
      <c r="D2944" s="1100" t="s">
        <v>9430</v>
      </c>
      <c r="E2944" s="1100" t="s">
        <v>331</v>
      </c>
      <c r="F2944" s="1100" t="s">
        <v>328</v>
      </c>
      <c r="G2944" s="1100" t="s">
        <v>3227</v>
      </c>
      <c r="H2944" s="1100" t="s">
        <v>10345</v>
      </c>
      <c r="I2944" s="871">
        <v>46296.133811898151</v>
      </c>
      <c r="J2944" s="1100" t="s">
        <v>10352</v>
      </c>
      <c r="K2944" s="975" t="str">
        <f>IF(COUNTIFS(tblControles[Clave],tblControles[[#This Row],[Clave]])&gt;1,"Duplicado","")</f>
        <v/>
      </c>
    </row>
    <row r="2945" spans="2:11">
      <c r="B2945" s="975" t="str">
        <f>tblControles[[#This Row],[Fecha]]&amp;"|"&amp;tblControles[[#This Row],[Módulo]]&amp;"|"&amp;tblControles[[#This Row],[Ítem]]&amp;"|"&amp;tblControles[[#This Row],[Turno]]</f>
        <v>46292|FILTROS H2O|Filtro Linea # 6|3 TURNO</v>
      </c>
      <c r="C2945" s="871">
        <v>46292</v>
      </c>
      <c r="D2945" s="1100" t="s">
        <v>9430</v>
      </c>
      <c r="E2945" s="1100" t="s">
        <v>332</v>
      </c>
      <c r="F2945" s="1100" t="s">
        <v>328</v>
      </c>
      <c r="G2945" s="1100" t="s">
        <v>3227</v>
      </c>
      <c r="H2945" s="1100" t="s">
        <v>10345</v>
      </c>
      <c r="I2945" s="871">
        <v>46296.133811898151</v>
      </c>
      <c r="J2945" s="1100" t="s">
        <v>10352</v>
      </c>
      <c r="K2945" s="975" t="str">
        <f>IF(COUNTIFS(tblControles[Clave],tblControles[[#This Row],[Clave]])&gt;1,"Duplicado","")</f>
        <v/>
      </c>
    </row>
    <row r="2946" spans="2:11">
      <c r="B2946" s="975" t="str">
        <f>tblControles[[#This Row],[Fecha]]&amp;"|"&amp;tblControles[[#This Row],[Módulo]]&amp;"|"&amp;tblControles[[#This Row],[Ítem]]&amp;"|"&amp;tblControles[[#This Row],[Turno]]</f>
        <v>46292|FILTROS H2O|Filtro Linea # 7|3 TURNO</v>
      </c>
      <c r="C2946" s="871">
        <v>46292</v>
      </c>
      <c r="D2946" s="1100" t="s">
        <v>9430</v>
      </c>
      <c r="E2946" s="1100" t="s">
        <v>9467</v>
      </c>
      <c r="F2946" s="1100" t="s">
        <v>328</v>
      </c>
      <c r="G2946" s="1100" t="s">
        <v>3227</v>
      </c>
      <c r="H2946" s="1100" t="s">
        <v>10345</v>
      </c>
      <c r="I2946" s="871">
        <v>46296.133811898151</v>
      </c>
      <c r="J2946" s="1100" t="s">
        <v>10352</v>
      </c>
      <c r="K2946" s="975" t="str">
        <f>IF(COUNTIFS(tblControles[Clave],tblControles[[#This Row],[Clave]])&gt;1,"Duplicado","")</f>
        <v/>
      </c>
    </row>
    <row r="2947" spans="2:11">
      <c r="B2947" s="975" t="str">
        <f>tblControles[[#This Row],[Fecha]]&amp;"|"&amp;tblControles[[#This Row],[Módulo]]&amp;"|"&amp;tblControles[[#This Row],[Ítem]]&amp;"|"&amp;tblControles[[#This Row],[Turno]]</f>
        <v>46292|FILTROS H2O|Filtro Linea # 8|3 TURNO</v>
      </c>
      <c r="C2947" s="871">
        <v>46292</v>
      </c>
      <c r="D2947" s="1100" t="s">
        <v>9430</v>
      </c>
      <c r="E2947" s="1100" t="s">
        <v>9468</v>
      </c>
      <c r="F2947" s="1100" t="s">
        <v>328</v>
      </c>
      <c r="G2947" s="1100" t="s">
        <v>345</v>
      </c>
      <c r="H2947" s="1100" t="s">
        <v>10345</v>
      </c>
      <c r="I2947" s="871">
        <v>46296.133811898151</v>
      </c>
      <c r="J2947" s="1100" t="s">
        <v>10352</v>
      </c>
      <c r="K2947" s="975" t="str">
        <f>IF(COUNTIFS(tblControles[Clave],tblControles[[#This Row],[Clave]])&gt;1,"Duplicado","")</f>
        <v/>
      </c>
    </row>
    <row r="2948" spans="2:11">
      <c r="B2948" s="975" t="str">
        <f>tblControles[[#This Row],[Fecha]]&amp;"|"&amp;tblControles[[#This Row],[Módulo]]&amp;"|"&amp;tblControles[[#This Row],[Ítem]]&amp;"|"&amp;tblControles[[#This Row],[Turno]]</f>
        <v>46292|FILTROS H2O|Filtro Linea # 9 (01)|3 TURNO</v>
      </c>
      <c r="C2948" s="871">
        <v>46292</v>
      </c>
      <c r="D2948" s="1100" t="s">
        <v>9430</v>
      </c>
      <c r="E2948" s="1100" t="s">
        <v>9469</v>
      </c>
      <c r="F2948" s="1100" t="s">
        <v>328</v>
      </c>
      <c r="G2948" s="1100" t="s">
        <v>3227</v>
      </c>
      <c r="H2948" s="1100" t="s">
        <v>10345</v>
      </c>
      <c r="I2948" s="871">
        <v>46296.133811898151</v>
      </c>
      <c r="J2948" s="1100" t="s">
        <v>10352</v>
      </c>
      <c r="K2948" s="975" t="str">
        <f>IF(COUNTIFS(tblControles[Clave],tblControles[[#This Row],[Clave]])&gt;1,"Duplicado","")</f>
        <v/>
      </c>
    </row>
    <row r="2949" spans="2:11">
      <c r="B2949" s="975" t="str">
        <f>tblControles[[#This Row],[Fecha]]&amp;"|"&amp;tblControles[[#This Row],[Módulo]]&amp;"|"&amp;tblControles[[#This Row],[Ítem]]&amp;"|"&amp;tblControles[[#This Row],[Turno]]</f>
        <v>46292|FILTROS H2O|Filtro Linea # 9 (02)|3 TURNO</v>
      </c>
      <c r="C2949" s="871">
        <v>46292</v>
      </c>
      <c r="D2949" s="1100" t="s">
        <v>9430</v>
      </c>
      <c r="E2949" s="1100" t="s">
        <v>9470</v>
      </c>
      <c r="F2949" s="1100" t="s">
        <v>328</v>
      </c>
      <c r="G2949" s="1100" t="s">
        <v>345</v>
      </c>
      <c r="H2949" s="1100" t="s">
        <v>10345</v>
      </c>
      <c r="I2949" s="871">
        <v>46296.133811898151</v>
      </c>
      <c r="J2949" s="1100" t="s">
        <v>10352</v>
      </c>
      <c r="K2949" s="975" t="str">
        <f>IF(COUNTIFS(tblControles[Clave],tblControles[[#This Row],[Clave]])&gt;1,"Duplicado","")</f>
        <v/>
      </c>
    </row>
    <row r="2950" spans="2:11">
      <c r="B2950" s="975" t="str">
        <f>tblControles[[#This Row],[Fecha]]&amp;"|"&amp;tblControles[[#This Row],[Módulo]]&amp;"|"&amp;tblControles[[#This Row],[Ítem]]&amp;"|"&amp;tblControles[[#This Row],[Turno]]</f>
        <v>46292|FILTROS H2O|Realizado por:|1 TURNO</v>
      </c>
      <c r="C2950" s="871">
        <v>46292</v>
      </c>
      <c r="D2950" s="1100" t="s">
        <v>9430</v>
      </c>
      <c r="E2950" s="1100" t="s">
        <v>335</v>
      </c>
      <c r="F2950" s="1100" t="s">
        <v>326</v>
      </c>
      <c r="G2950" s="1100" t="s">
        <v>10351</v>
      </c>
      <c r="H2950" s="1100" t="s">
        <v>10345</v>
      </c>
      <c r="I2950" s="871">
        <v>46296.133811898151</v>
      </c>
      <c r="J2950" s="1100" t="s">
        <v>10352</v>
      </c>
      <c r="K2950" s="975" t="str">
        <f>IF(COUNTIFS(tblControles[Clave],tblControles[[#This Row],[Clave]])&gt;1,"Duplicado","")</f>
        <v/>
      </c>
    </row>
    <row r="2951" spans="2:11">
      <c r="B2951" s="975" t="str">
        <f>tblControles[[#This Row],[Fecha]]&amp;"|"&amp;tblControles[[#This Row],[Módulo]]&amp;"|"&amp;tblControles[[#This Row],[Ítem]]&amp;"|"&amp;tblControles[[#This Row],[Turno]]</f>
        <v>46293|FILTROS H2O|Realizado por:|1 TURNO</v>
      </c>
      <c r="C2951" s="871">
        <v>46293</v>
      </c>
      <c r="D2951" s="1100" t="s">
        <v>9430</v>
      </c>
      <c r="E2951" s="1100" t="s">
        <v>335</v>
      </c>
      <c r="F2951" s="1100" t="s">
        <v>326</v>
      </c>
      <c r="G2951" s="1100" t="s">
        <v>10351</v>
      </c>
      <c r="H2951" s="1100" t="s">
        <v>10345</v>
      </c>
      <c r="I2951" s="871">
        <v>46296.133811898151</v>
      </c>
      <c r="J2951" s="1100" t="s">
        <v>10352</v>
      </c>
      <c r="K2951" s="975" t="str">
        <f>IF(COUNTIFS(tblControles[Clave],tblControles[[#This Row],[Clave]])&gt;1,"Duplicado","")</f>
        <v/>
      </c>
    </row>
    <row r="2952" spans="2:11">
      <c r="B2952" s="975" t="str">
        <f>tblControles[[#This Row],[Fecha]]&amp;"|"&amp;tblControles[[#This Row],[Módulo]]&amp;"|"&amp;tblControles[[#This Row],[Ítem]]&amp;"|"&amp;tblControles[[#This Row],[Turno]]</f>
        <v>46294|FILTROS H2O|Filtro # 1|3 TURNO</v>
      </c>
      <c r="C2952" s="871">
        <v>46294</v>
      </c>
      <c r="D2952" s="1100" t="s">
        <v>9430</v>
      </c>
      <c r="E2952" s="1100" t="s">
        <v>9525</v>
      </c>
      <c r="F2952" s="1100" t="s">
        <v>328</v>
      </c>
      <c r="G2952" s="1100" t="s">
        <v>3227</v>
      </c>
      <c r="H2952" s="1100" t="s">
        <v>10345</v>
      </c>
      <c r="I2952" s="871">
        <v>46296.133811898151</v>
      </c>
      <c r="J2952" s="1100" t="s">
        <v>10352</v>
      </c>
      <c r="K2952" s="975" t="str">
        <f>IF(COUNTIFS(tblControles[Clave],tblControles[[#This Row],[Clave]])&gt;1,"Duplicado","")</f>
        <v/>
      </c>
    </row>
    <row r="2953" spans="2:11">
      <c r="B2953" s="975" t="str">
        <f>tblControles[[#This Row],[Fecha]]&amp;"|"&amp;tblControles[[#This Row],[Módulo]]&amp;"|"&amp;tblControles[[#This Row],[Ítem]]&amp;"|"&amp;tblControles[[#This Row],[Turno]]</f>
        <v>46294|FILTROS H2O|Filtro # 2|3 TURNO</v>
      </c>
      <c r="C2953" s="871">
        <v>46294</v>
      </c>
      <c r="D2953" s="1100" t="s">
        <v>9430</v>
      </c>
      <c r="E2953" s="1100" t="s">
        <v>9463</v>
      </c>
      <c r="F2953" s="1100" t="s">
        <v>328</v>
      </c>
      <c r="G2953" s="1100" t="s">
        <v>3227</v>
      </c>
      <c r="H2953" s="1100" t="s">
        <v>10345</v>
      </c>
      <c r="I2953" s="871">
        <v>46296.133811898151</v>
      </c>
      <c r="J2953" s="1100" t="s">
        <v>10352</v>
      </c>
      <c r="K2953" s="975" t="str">
        <f>IF(COUNTIFS(tblControles[Clave],tblControles[[#This Row],[Clave]])&gt;1,"Duplicado","")</f>
        <v/>
      </c>
    </row>
    <row r="2954" spans="2:11">
      <c r="B2954" s="975" t="str">
        <f>tblControles[[#This Row],[Fecha]]&amp;"|"&amp;tblControles[[#This Row],[Módulo]]&amp;"|"&amp;tblControles[[#This Row],[Ítem]]&amp;"|"&amp;tblControles[[#This Row],[Turno]]</f>
        <v>46294|FILTROS H2O|Filtro # 3|3 TURNO</v>
      </c>
      <c r="C2954" s="871">
        <v>46294</v>
      </c>
      <c r="D2954" s="1100" t="s">
        <v>9430</v>
      </c>
      <c r="E2954" s="1100" t="s">
        <v>9464</v>
      </c>
      <c r="F2954" s="1100" t="s">
        <v>328</v>
      </c>
      <c r="G2954" s="1100" t="s">
        <v>3227</v>
      </c>
      <c r="H2954" s="1100" t="s">
        <v>10345</v>
      </c>
      <c r="I2954" s="871">
        <v>46296.133811898151</v>
      </c>
      <c r="J2954" s="1100" t="s">
        <v>10352</v>
      </c>
      <c r="K2954" s="975" t="str">
        <f>IF(COUNTIFS(tblControles[Clave],tblControles[[#This Row],[Clave]])&gt;1,"Duplicado","")</f>
        <v/>
      </c>
    </row>
    <row r="2955" spans="2:11">
      <c r="B2955" s="975" t="str">
        <f>tblControles[[#This Row],[Fecha]]&amp;"|"&amp;tblControles[[#This Row],[Módulo]]&amp;"|"&amp;tblControles[[#This Row],[Ítem]]&amp;"|"&amp;tblControles[[#This Row],[Turno]]</f>
        <v>46294|FILTROS H2O|Filtro # 4|3 TURNO</v>
      </c>
      <c r="C2955" s="871">
        <v>46294</v>
      </c>
      <c r="D2955" s="1100" t="s">
        <v>9430</v>
      </c>
      <c r="E2955" s="1100" t="s">
        <v>9465</v>
      </c>
      <c r="F2955" s="1100" t="s">
        <v>328</v>
      </c>
      <c r="G2955" s="1100" t="s">
        <v>345</v>
      </c>
      <c r="H2955" s="1100" t="s">
        <v>10345</v>
      </c>
      <c r="I2955" s="871">
        <v>46296.133811898151</v>
      </c>
      <c r="J2955" s="1100" t="s">
        <v>10352</v>
      </c>
      <c r="K2955" s="975" t="str">
        <f>IF(COUNTIFS(tblControles[Clave],tblControles[[#This Row],[Clave]])&gt;1,"Duplicado","")</f>
        <v/>
      </c>
    </row>
    <row r="2956" spans="2:11">
      <c r="B2956" s="975" t="str">
        <f>tblControles[[#This Row],[Fecha]]&amp;"|"&amp;tblControles[[#This Row],[Módulo]]&amp;"|"&amp;tblControles[[#This Row],[Ítem]]&amp;"|"&amp;tblControles[[#This Row],[Turno]]</f>
        <v>46294|FILTROS H2O|Filtro # 5|3 TURNO</v>
      </c>
      <c r="C2956" s="871">
        <v>46294</v>
      </c>
      <c r="D2956" s="1100" t="s">
        <v>9430</v>
      </c>
      <c r="E2956" s="1100" t="s">
        <v>9466</v>
      </c>
      <c r="F2956" s="1100" t="s">
        <v>328</v>
      </c>
      <c r="G2956" s="1100" t="s">
        <v>3227</v>
      </c>
      <c r="H2956" s="1100" t="s">
        <v>10345</v>
      </c>
      <c r="I2956" s="871">
        <v>46296.133811898151</v>
      </c>
      <c r="J2956" s="1100" t="s">
        <v>10352</v>
      </c>
      <c r="K2956" s="975" t="str">
        <f>IF(COUNTIFS(tblControles[Clave],tblControles[[#This Row],[Clave]])&gt;1,"Duplicado","")</f>
        <v/>
      </c>
    </row>
    <row r="2957" spans="2:11">
      <c r="B2957" s="975" t="str">
        <f>tblControles[[#This Row],[Fecha]]&amp;"|"&amp;tblControles[[#This Row],[Módulo]]&amp;"|"&amp;tblControles[[#This Row],[Ítem]]&amp;"|"&amp;tblControles[[#This Row],[Turno]]</f>
        <v>46294|FILTROS H2O|Filtro Linea # 5|3 TURNO</v>
      </c>
      <c r="C2957" s="871">
        <v>46294</v>
      </c>
      <c r="D2957" s="1100" t="s">
        <v>9430</v>
      </c>
      <c r="E2957" s="1100" t="s">
        <v>331</v>
      </c>
      <c r="F2957" s="1100" t="s">
        <v>328</v>
      </c>
      <c r="G2957" s="1100" t="s">
        <v>3227</v>
      </c>
      <c r="H2957" s="1100" t="s">
        <v>10345</v>
      </c>
      <c r="I2957" s="871">
        <v>46296.133811898151</v>
      </c>
      <c r="J2957" s="1100" t="s">
        <v>10352</v>
      </c>
      <c r="K2957" s="975" t="str">
        <f>IF(COUNTIFS(tblControles[Clave],tblControles[[#This Row],[Clave]])&gt;1,"Duplicado","")</f>
        <v/>
      </c>
    </row>
    <row r="2958" spans="2:11">
      <c r="B2958" s="975" t="str">
        <f>tblControles[[#This Row],[Fecha]]&amp;"|"&amp;tblControles[[#This Row],[Módulo]]&amp;"|"&amp;tblControles[[#This Row],[Ítem]]&amp;"|"&amp;tblControles[[#This Row],[Turno]]</f>
        <v>46294|FILTROS H2O|Filtro Linea # 6|3 TURNO</v>
      </c>
      <c r="C2958" s="871">
        <v>46294</v>
      </c>
      <c r="D2958" s="1100" t="s">
        <v>9430</v>
      </c>
      <c r="E2958" s="1100" t="s">
        <v>332</v>
      </c>
      <c r="F2958" s="1100" t="s">
        <v>328</v>
      </c>
      <c r="G2958" s="1100" t="s">
        <v>3227</v>
      </c>
      <c r="H2958" s="1100" t="s">
        <v>10345</v>
      </c>
      <c r="I2958" s="871">
        <v>46296.133811898151</v>
      </c>
      <c r="J2958" s="1100" t="s">
        <v>10352</v>
      </c>
      <c r="K2958" s="975" t="str">
        <f>IF(COUNTIFS(tblControles[Clave],tblControles[[#This Row],[Clave]])&gt;1,"Duplicado","")</f>
        <v/>
      </c>
    </row>
    <row r="2959" spans="2:11">
      <c r="B2959" s="975" t="str">
        <f>tblControles[[#This Row],[Fecha]]&amp;"|"&amp;tblControles[[#This Row],[Módulo]]&amp;"|"&amp;tblControles[[#This Row],[Ítem]]&amp;"|"&amp;tblControles[[#This Row],[Turno]]</f>
        <v>46294|FILTROS H2O|Filtro Linea # 7|3 TURNO</v>
      </c>
      <c r="C2959" s="871">
        <v>46294</v>
      </c>
      <c r="D2959" s="1100" t="s">
        <v>9430</v>
      </c>
      <c r="E2959" s="1100" t="s">
        <v>9467</v>
      </c>
      <c r="F2959" s="1100" t="s">
        <v>328</v>
      </c>
      <c r="G2959" s="1100" t="s">
        <v>3227</v>
      </c>
      <c r="H2959" s="1100" t="s">
        <v>10345</v>
      </c>
      <c r="I2959" s="871">
        <v>46296.133811898151</v>
      </c>
      <c r="J2959" s="1100" t="s">
        <v>10352</v>
      </c>
      <c r="K2959" s="975" t="str">
        <f>IF(COUNTIFS(tblControles[Clave],tblControles[[#This Row],[Clave]])&gt;1,"Duplicado","")</f>
        <v/>
      </c>
    </row>
    <row r="2960" spans="2:11">
      <c r="B2960" s="975" t="str">
        <f>tblControles[[#This Row],[Fecha]]&amp;"|"&amp;tblControles[[#This Row],[Módulo]]&amp;"|"&amp;tblControles[[#This Row],[Ítem]]&amp;"|"&amp;tblControles[[#This Row],[Turno]]</f>
        <v>46294|FILTROS H2O|Filtro Linea # 8|3 TURNO</v>
      </c>
      <c r="C2960" s="871">
        <v>46294</v>
      </c>
      <c r="D2960" s="1100" t="s">
        <v>9430</v>
      </c>
      <c r="E2960" s="1100" t="s">
        <v>9468</v>
      </c>
      <c r="F2960" s="1100" t="s">
        <v>328</v>
      </c>
      <c r="G2960" s="1100" t="s">
        <v>345</v>
      </c>
      <c r="H2960" s="1100" t="s">
        <v>10345</v>
      </c>
      <c r="I2960" s="871">
        <v>46296.133811898151</v>
      </c>
      <c r="J2960" s="1100" t="s">
        <v>10352</v>
      </c>
      <c r="K2960" s="975" t="str">
        <f>IF(COUNTIFS(tblControles[Clave],tblControles[[#This Row],[Clave]])&gt;1,"Duplicado","")</f>
        <v/>
      </c>
    </row>
    <row r="2961" spans="2:11">
      <c r="B2961" s="975" t="str">
        <f>tblControles[[#This Row],[Fecha]]&amp;"|"&amp;tblControles[[#This Row],[Módulo]]&amp;"|"&amp;tblControles[[#This Row],[Ítem]]&amp;"|"&amp;tblControles[[#This Row],[Turno]]</f>
        <v>46294|FILTROS H2O|Filtro Linea # 9 (01)|3 TURNO</v>
      </c>
      <c r="C2961" s="871">
        <v>46294</v>
      </c>
      <c r="D2961" s="1100" t="s">
        <v>9430</v>
      </c>
      <c r="E2961" s="1100" t="s">
        <v>9469</v>
      </c>
      <c r="F2961" s="1100" t="s">
        <v>328</v>
      </c>
      <c r="G2961" s="1100" t="s">
        <v>3227</v>
      </c>
      <c r="H2961" s="1100" t="s">
        <v>10345</v>
      </c>
      <c r="I2961" s="871">
        <v>46296.133811898151</v>
      </c>
      <c r="J2961" s="1100" t="s">
        <v>10352</v>
      </c>
      <c r="K2961" s="975" t="str">
        <f>IF(COUNTIFS(tblControles[Clave],tblControles[[#This Row],[Clave]])&gt;1,"Duplicado","")</f>
        <v/>
      </c>
    </row>
    <row r="2962" spans="2:11">
      <c r="B2962" s="975" t="str">
        <f>tblControles[[#This Row],[Fecha]]&amp;"|"&amp;tblControles[[#This Row],[Módulo]]&amp;"|"&amp;tblControles[[#This Row],[Ítem]]&amp;"|"&amp;tblControles[[#This Row],[Turno]]</f>
        <v>46294|FILTROS H2O|Filtro Linea # 9 (02)|3 TURNO</v>
      </c>
      <c r="C2962" s="871">
        <v>46294</v>
      </c>
      <c r="D2962" s="1100" t="s">
        <v>9430</v>
      </c>
      <c r="E2962" s="1100" t="s">
        <v>9470</v>
      </c>
      <c r="F2962" s="1100" t="s">
        <v>328</v>
      </c>
      <c r="G2962" s="1100" t="s">
        <v>345</v>
      </c>
      <c r="H2962" s="1100" t="s">
        <v>10345</v>
      </c>
      <c r="I2962" s="871">
        <v>46296.133811898151</v>
      </c>
      <c r="J2962" s="1100" t="s">
        <v>10352</v>
      </c>
      <c r="K2962" s="975" t="str">
        <f>IF(COUNTIFS(tblControles[Clave],tblControles[[#This Row],[Clave]])&gt;1,"Duplicado","")</f>
        <v/>
      </c>
    </row>
  </sheetData>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Datos Controles — Página &amp;P de &amp;F</oddFooter>
  </headerFooter>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1E332-0623-4460-A99E-22BBCED10E37}">
  <sheetPr codeName="Hoja29">
    <tabColor rgb="FF1F3864"/>
    <pageSetUpPr fitToPage="1"/>
  </sheetPr>
  <dimension ref="B1:H6331"/>
  <sheetViews>
    <sheetView showGridLines="0" workbookViewId="0">
      <pane ySplit="4" topLeftCell="A5" activePane="bottomLeft" state="frozen"/>
      <selection pane="bottomLeft" activeCell="I17" sqref="I17"/>
    </sheetView>
  </sheetViews>
  <sheetFormatPr baseColWidth="10" defaultRowHeight="15"/>
  <cols>
    <col min="2" max="2" width="13.28515625" customWidth="1"/>
    <col min="3" max="3" width="14.28515625" customWidth="1"/>
    <col min="4" max="4" width="21" customWidth="1"/>
    <col min="5" max="5" width="36.140625" customWidth="1"/>
    <col min="6" max="6" width="9.5703125" style="853" customWidth="1"/>
    <col min="7" max="7" width="22.85546875" style="913" customWidth="1"/>
    <col min="8" max="8" width="19" customWidth="1"/>
  </cols>
  <sheetData>
    <row r="1" spans="2:8" ht="18.75">
      <c r="B1" s="885" t="s">
        <v>9218</v>
      </c>
    </row>
    <row r="2" spans="2:8">
      <c r="B2" s="886" t="s">
        <v>9219</v>
      </c>
    </row>
    <row r="4" spans="2:8">
      <c r="B4" t="s">
        <v>3</v>
      </c>
      <c r="C4" t="s">
        <v>2466</v>
      </c>
      <c r="D4" t="s">
        <v>3231</v>
      </c>
      <c r="E4" t="s">
        <v>2407</v>
      </c>
      <c r="F4" s="853" t="s">
        <v>3232</v>
      </c>
      <c r="G4" s="913" t="s">
        <v>2408</v>
      </c>
      <c r="H4" t="s">
        <v>2523</v>
      </c>
    </row>
    <row r="5" spans="2:8">
      <c r="B5" s="871">
        <v>46266</v>
      </c>
      <c r="C5" t="s">
        <v>2470</v>
      </c>
      <c r="D5" t="s">
        <v>1375</v>
      </c>
      <c r="E5" t="s">
        <v>1377</v>
      </c>
      <c r="F5" s="853" t="s">
        <v>526</v>
      </c>
      <c r="G5" s="913" t="s">
        <v>1378</v>
      </c>
      <c r="H5" t="s">
        <v>3233</v>
      </c>
    </row>
    <row r="6" spans="2:8">
      <c r="B6" s="871">
        <v>46266</v>
      </c>
      <c r="C6" t="s">
        <v>2470</v>
      </c>
      <c r="D6" t="s">
        <v>1375</v>
      </c>
      <c r="E6" t="s">
        <v>1377</v>
      </c>
      <c r="F6" s="853" t="s">
        <v>527</v>
      </c>
      <c r="G6" s="913" t="s">
        <v>1378</v>
      </c>
      <c r="H6" t="s">
        <v>3234</v>
      </c>
    </row>
    <row r="7" spans="2:8">
      <c r="B7" s="871">
        <v>46266</v>
      </c>
      <c r="C7" t="s">
        <v>2470</v>
      </c>
      <c r="D7" t="s">
        <v>1375</v>
      </c>
      <c r="E7" t="s">
        <v>1377</v>
      </c>
      <c r="F7" s="853" t="s">
        <v>528</v>
      </c>
      <c r="G7" s="913" t="s">
        <v>1378</v>
      </c>
      <c r="H7" t="s">
        <v>3235</v>
      </c>
    </row>
    <row r="8" spans="2:8">
      <c r="B8" s="871">
        <v>46266</v>
      </c>
      <c r="C8" t="s">
        <v>2470</v>
      </c>
      <c r="D8" t="s">
        <v>1376</v>
      </c>
      <c r="E8" t="s">
        <v>1379</v>
      </c>
      <c r="F8" s="853" t="s">
        <v>526</v>
      </c>
      <c r="H8" t="s">
        <v>3236</v>
      </c>
    </row>
    <row r="9" spans="2:8">
      <c r="B9" s="871">
        <v>46266</v>
      </c>
      <c r="C9" t="s">
        <v>2470</v>
      </c>
      <c r="D9" t="s">
        <v>1376</v>
      </c>
      <c r="E9" t="s">
        <v>1379</v>
      </c>
      <c r="F9" s="853" t="s">
        <v>527</v>
      </c>
      <c r="H9" t="s">
        <v>3237</v>
      </c>
    </row>
    <row r="10" spans="2:8">
      <c r="B10" s="871">
        <v>46266</v>
      </c>
      <c r="C10" t="s">
        <v>2470</v>
      </c>
      <c r="D10" t="s">
        <v>1376</v>
      </c>
      <c r="E10" t="s">
        <v>1379</v>
      </c>
      <c r="F10" s="853" t="s">
        <v>528</v>
      </c>
      <c r="H10" t="s">
        <v>3238</v>
      </c>
    </row>
    <row r="11" spans="2:8">
      <c r="B11" s="871">
        <v>46266</v>
      </c>
      <c r="C11" t="s">
        <v>2470</v>
      </c>
      <c r="D11" t="s">
        <v>1375</v>
      </c>
      <c r="E11" t="s">
        <v>1380</v>
      </c>
      <c r="F11" s="853" t="s">
        <v>526</v>
      </c>
      <c r="G11" s="913" t="s">
        <v>1381</v>
      </c>
      <c r="H11" t="s">
        <v>3239</v>
      </c>
    </row>
    <row r="12" spans="2:8">
      <c r="B12" s="871">
        <v>46266</v>
      </c>
      <c r="C12" t="s">
        <v>2470</v>
      </c>
      <c r="D12" t="s">
        <v>1375</v>
      </c>
      <c r="E12" t="s">
        <v>1380</v>
      </c>
      <c r="F12" s="853" t="s">
        <v>527</v>
      </c>
      <c r="G12" s="913" t="s">
        <v>1382</v>
      </c>
      <c r="H12" t="s">
        <v>3240</v>
      </c>
    </row>
    <row r="13" spans="2:8">
      <c r="B13" s="871">
        <v>46266</v>
      </c>
      <c r="C13" t="s">
        <v>2470</v>
      </c>
      <c r="D13" t="s">
        <v>1375</v>
      </c>
      <c r="E13" t="s">
        <v>1380</v>
      </c>
      <c r="F13" s="853" t="s">
        <v>528</v>
      </c>
      <c r="G13" s="913" t="s">
        <v>1381</v>
      </c>
      <c r="H13" t="s">
        <v>3241</v>
      </c>
    </row>
    <row r="14" spans="2:8">
      <c r="B14" s="871">
        <v>46266</v>
      </c>
      <c r="C14" t="s">
        <v>2470</v>
      </c>
      <c r="D14" t="s">
        <v>1376</v>
      </c>
      <c r="E14" t="s">
        <v>1383</v>
      </c>
      <c r="F14" s="853" t="s">
        <v>526</v>
      </c>
      <c r="G14" s="913">
        <v>0</v>
      </c>
      <c r="H14" t="s">
        <v>3242</v>
      </c>
    </row>
    <row r="15" spans="2:8">
      <c r="B15" s="871">
        <v>46266</v>
      </c>
      <c r="C15" t="s">
        <v>2470</v>
      </c>
      <c r="D15" t="s">
        <v>1376</v>
      </c>
      <c r="E15" t="s">
        <v>1383</v>
      </c>
      <c r="F15" s="853" t="s">
        <v>527</v>
      </c>
      <c r="G15" s="913">
        <v>0</v>
      </c>
      <c r="H15" t="s">
        <v>3243</v>
      </c>
    </row>
    <row r="16" spans="2:8">
      <c r="B16" s="871">
        <v>46266</v>
      </c>
      <c r="C16" t="s">
        <v>2470</v>
      </c>
      <c r="D16" t="s">
        <v>1376</v>
      </c>
      <c r="E16" t="s">
        <v>1383</v>
      </c>
      <c r="F16" s="853" t="s">
        <v>528</v>
      </c>
      <c r="G16" s="913">
        <v>0</v>
      </c>
      <c r="H16" t="s">
        <v>3244</v>
      </c>
    </row>
    <row r="17" spans="2:8">
      <c r="B17" s="871">
        <v>46266</v>
      </c>
      <c r="C17" t="s">
        <v>2470</v>
      </c>
      <c r="D17" t="s">
        <v>1375</v>
      </c>
      <c r="E17" t="s">
        <v>54</v>
      </c>
      <c r="F17" s="853" t="s">
        <v>526</v>
      </c>
      <c r="H17" t="s">
        <v>3245</v>
      </c>
    </row>
    <row r="18" spans="2:8">
      <c r="B18" s="871">
        <v>46266</v>
      </c>
      <c r="C18" t="s">
        <v>2470</v>
      </c>
      <c r="D18" t="s">
        <v>1375</v>
      </c>
      <c r="E18" t="s">
        <v>54</v>
      </c>
      <c r="F18" s="853" t="s">
        <v>527</v>
      </c>
      <c r="H18" t="s">
        <v>3246</v>
      </c>
    </row>
    <row r="19" spans="2:8">
      <c r="B19" s="871">
        <v>46266</v>
      </c>
      <c r="C19" t="s">
        <v>2470</v>
      </c>
      <c r="D19" t="s">
        <v>1375</v>
      </c>
      <c r="E19" t="s">
        <v>54</v>
      </c>
      <c r="F19" s="853" t="s">
        <v>528</v>
      </c>
      <c r="H19" t="s">
        <v>3247</v>
      </c>
    </row>
    <row r="20" spans="2:8">
      <c r="B20" s="871">
        <v>46266</v>
      </c>
      <c r="C20" t="s">
        <v>2470</v>
      </c>
      <c r="D20" t="s">
        <v>1376</v>
      </c>
      <c r="E20" t="s">
        <v>1384</v>
      </c>
      <c r="F20" s="853" t="s">
        <v>526</v>
      </c>
      <c r="G20" s="913">
        <v>0.4</v>
      </c>
      <c r="H20" t="s">
        <v>3248</v>
      </c>
    </row>
    <row r="21" spans="2:8">
      <c r="B21" s="871">
        <v>46266</v>
      </c>
      <c r="C21" t="s">
        <v>2470</v>
      </c>
      <c r="D21" t="s">
        <v>1376</v>
      </c>
      <c r="E21" t="s">
        <v>1384</v>
      </c>
      <c r="F21" s="853" t="s">
        <v>527</v>
      </c>
      <c r="G21" s="913">
        <v>0.45</v>
      </c>
      <c r="H21" t="s">
        <v>3249</v>
      </c>
    </row>
    <row r="22" spans="2:8">
      <c r="B22" s="871">
        <v>46266</v>
      </c>
      <c r="C22" t="s">
        <v>2470</v>
      </c>
      <c r="D22" t="s">
        <v>1376</v>
      </c>
      <c r="E22" t="s">
        <v>1384</v>
      </c>
      <c r="F22" s="853" t="s">
        <v>528</v>
      </c>
      <c r="G22" s="913">
        <v>0.4</v>
      </c>
      <c r="H22" t="s">
        <v>3250</v>
      </c>
    </row>
    <row r="23" spans="2:8">
      <c r="B23" s="871">
        <v>46266</v>
      </c>
      <c r="C23" t="s">
        <v>2470</v>
      </c>
      <c r="D23" t="s">
        <v>1375</v>
      </c>
      <c r="E23" t="s">
        <v>1385</v>
      </c>
      <c r="F23" s="853" t="s">
        <v>526</v>
      </c>
      <c r="G23" s="913">
        <v>0</v>
      </c>
      <c r="H23" t="s">
        <v>3251</v>
      </c>
    </row>
    <row r="24" spans="2:8">
      <c r="B24" s="871">
        <v>46266</v>
      </c>
      <c r="C24" t="s">
        <v>2470</v>
      </c>
      <c r="D24" t="s">
        <v>1375</v>
      </c>
      <c r="E24" t="s">
        <v>1385</v>
      </c>
      <c r="F24" s="853" t="s">
        <v>527</v>
      </c>
      <c r="G24" s="913">
        <v>1560</v>
      </c>
      <c r="H24" t="s">
        <v>3252</v>
      </c>
    </row>
    <row r="25" spans="2:8">
      <c r="B25" s="871">
        <v>46266</v>
      </c>
      <c r="C25" t="s">
        <v>2470</v>
      </c>
      <c r="D25" t="s">
        <v>1375</v>
      </c>
      <c r="E25" t="s">
        <v>1385</v>
      </c>
      <c r="F25" s="853" t="s">
        <v>528</v>
      </c>
      <c r="G25" s="913">
        <v>3144</v>
      </c>
      <c r="H25" t="s">
        <v>3253</v>
      </c>
    </row>
    <row r="26" spans="2:8">
      <c r="B26" s="871">
        <v>46266</v>
      </c>
      <c r="C26" t="s">
        <v>2470</v>
      </c>
      <c r="D26" t="s">
        <v>1376</v>
      </c>
      <c r="E26" t="s">
        <v>1386</v>
      </c>
      <c r="F26" s="853" t="s">
        <v>526</v>
      </c>
      <c r="G26" s="913">
        <v>0.45</v>
      </c>
      <c r="H26" t="s">
        <v>3254</v>
      </c>
    </row>
    <row r="27" spans="2:8">
      <c r="B27" s="871">
        <v>46266</v>
      </c>
      <c r="C27" t="s">
        <v>2470</v>
      </c>
      <c r="D27" t="s">
        <v>1376</v>
      </c>
      <c r="E27" t="s">
        <v>1386</v>
      </c>
      <c r="F27" s="853" t="s">
        <v>527</v>
      </c>
      <c r="G27" s="913">
        <v>0.5</v>
      </c>
      <c r="H27" t="s">
        <v>3255</v>
      </c>
    </row>
    <row r="28" spans="2:8">
      <c r="B28" s="871">
        <v>46266</v>
      </c>
      <c r="C28" t="s">
        <v>2470</v>
      </c>
      <c r="D28" t="s">
        <v>1376</v>
      </c>
      <c r="E28" t="s">
        <v>1386</v>
      </c>
      <c r="F28" s="853" t="s">
        <v>528</v>
      </c>
      <c r="G28" s="913">
        <v>0.42</v>
      </c>
      <c r="H28" t="s">
        <v>3256</v>
      </c>
    </row>
    <row r="29" spans="2:8">
      <c r="B29" s="871">
        <v>46266</v>
      </c>
      <c r="C29" t="s">
        <v>2470</v>
      </c>
      <c r="D29" t="s">
        <v>1376</v>
      </c>
      <c r="E29" t="s">
        <v>1387</v>
      </c>
      <c r="F29" s="853" t="s">
        <v>526</v>
      </c>
      <c r="G29" s="913">
        <v>8.4</v>
      </c>
      <c r="H29" t="s">
        <v>3257</v>
      </c>
    </row>
    <row r="30" spans="2:8">
      <c r="B30" s="871">
        <v>46266</v>
      </c>
      <c r="C30" t="s">
        <v>2470</v>
      </c>
      <c r="D30" t="s">
        <v>1376</v>
      </c>
      <c r="E30" t="s">
        <v>1387</v>
      </c>
      <c r="F30" s="853" t="s">
        <v>527</v>
      </c>
      <c r="G30" s="913">
        <v>8.3000000000000007</v>
      </c>
      <c r="H30" t="s">
        <v>3258</v>
      </c>
    </row>
    <row r="31" spans="2:8">
      <c r="B31" s="871">
        <v>46266</v>
      </c>
      <c r="C31" t="s">
        <v>2470</v>
      </c>
      <c r="D31" t="s">
        <v>1376</v>
      </c>
      <c r="E31" t="s">
        <v>1387</v>
      </c>
      <c r="F31" s="853" t="s">
        <v>528</v>
      </c>
      <c r="G31" s="913">
        <v>8.1</v>
      </c>
      <c r="H31" t="s">
        <v>3259</v>
      </c>
    </row>
    <row r="32" spans="2:8">
      <c r="B32" s="871">
        <v>46266</v>
      </c>
      <c r="C32" t="s">
        <v>2470</v>
      </c>
      <c r="D32" t="s">
        <v>1375</v>
      </c>
      <c r="E32" t="s">
        <v>1388</v>
      </c>
      <c r="F32" s="853" t="s">
        <v>526</v>
      </c>
      <c r="H32" t="s">
        <v>3260</v>
      </c>
    </row>
    <row r="33" spans="2:8">
      <c r="B33" s="871">
        <v>46266</v>
      </c>
      <c r="C33" t="s">
        <v>2470</v>
      </c>
      <c r="D33" t="s">
        <v>1375</v>
      </c>
      <c r="E33" t="s">
        <v>1388</v>
      </c>
      <c r="F33" s="853" t="s">
        <v>527</v>
      </c>
      <c r="H33" t="s">
        <v>3261</v>
      </c>
    </row>
    <row r="34" spans="2:8">
      <c r="B34" s="871">
        <v>46266</v>
      </c>
      <c r="C34" t="s">
        <v>2470</v>
      </c>
      <c r="D34" t="s">
        <v>1375</v>
      </c>
      <c r="E34" t="s">
        <v>1388</v>
      </c>
      <c r="F34" s="853" t="s">
        <v>528</v>
      </c>
      <c r="H34" t="s">
        <v>3262</v>
      </c>
    </row>
    <row r="35" spans="2:8">
      <c r="B35" s="871">
        <v>46266</v>
      </c>
      <c r="C35" t="s">
        <v>2470</v>
      </c>
      <c r="D35" t="s">
        <v>1376</v>
      </c>
      <c r="E35" t="s">
        <v>1389</v>
      </c>
      <c r="F35" s="853" t="s">
        <v>526</v>
      </c>
      <c r="G35" s="913">
        <v>60.8</v>
      </c>
      <c r="H35" t="s">
        <v>3263</v>
      </c>
    </row>
    <row r="36" spans="2:8">
      <c r="B36" s="871">
        <v>46266</v>
      </c>
      <c r="C36" t="s">
        <v>2470</v>
      </c>
      <c r="D36" t="s">
        <v>1376</v>
      </c>
      <c r="E36" t="s">
        <v>1389</v>
      </c>
      <c r="F36" s="853" t="s">
        <v>527</v>
      </c>
      <c r="G36" s="913">
        <v>62</v>
      </c>
      <c r="H36" t="s">
        <v>3264</v>
      </c>
    </row>
    <row r="37" spans="2:8">
      <c r="B37" s="871">
        <v>46266</v>
      </c>
      <c r="C37" t="s">
        <v>2470</v>
      </c>
      <c r="D37" t="s">
        <v>1376</v>
      </c>
      <c r="E37" t="s">
        <v>1389</v>
      </c>
      <c r="F37" s="853" t="s">
        <v>528</v>
      </c>
      <c r="G37" s="913">
        <v>62</v>
      </c>
      <c r="H37" t="s">
        <v>3265</v>
      </c>
    </row>
    <row r="38" spans="2:8">
      <c r="B38" s="871">
        <v>46266</v>
      </c>
      <c r="C38" t="s">
        <v>2470</v>
      </c>
      <c r="D38" t="s">
        <v>1375</v>
      </c>
      <c r="E38" t="s">
        <v>3266</v>
      </c>
      <c r="F38" s="853" t="s">
        <v>526</v>
      </c>
      <c r="G38" s="913">
        <v>1</v>
      </c>
      <c r="H38" t="s">
        <v>3267</v>
      </c>
    </row>
    <row r="39" spans="2:8">
      <c r="B39" s="871">
        <v>46266</v>
      </c>
      <c r="C39" t="s">
        <v>2470</v>
      </c>
      <c r="D39" t="s">
        <v>1375</v>
      </c>
      <c r="E39" t="s">
        <v>3266</v>
      </c>
      <c r="F39" s="853" t="s">
        <v>527</v>
      </c>
      <c r="G39" s="913">
        <v>3</v>
      </c>
      <c r="H39" t="s">
        <v>3268</v>
      </c>
    </row>
    <row r="40" spans="2:8">
      <c r="B40" s="871">
        <v>46266</v>
      </c>
      <c r="C40" t="s">
        <v>2470</v>
      </c>
      <c r="D40" t="s">
        <v>1375</v>
      </c>
      <c r="E40" t="s">
        <v>3266</v>
      </c>
      <c r="F40" s="853" t="s">
        <v>528</v>
      </c>
      <c r="G40" s="913">
        <v>1</v>
      </c>
      <c r="H40" t="s">
        <v>3269</v>
      </c>
    </row>
    <row r="41" spans="2:8">
      <c r="B41" s="871">
        <v>46266</v>
      </c>
      <c r="C41" t="s">
        <v>2470</v>
      </c>
      <c r="D41" t="s">
        <v>1376</v>
      </c>
      <c r="E41" t="s">
        <v>1390</v>
      </c>
      <c r="F41" s="853" t="s">
        <v>526</v>
      </c>
      <c r="G41" s="913">
        <v>1.7799999999999999E-3</v>
      </c>
      <c r="H41" t="s">
        <v>3270</v>
      </c>
    </row>
    <row r="42" spans="2:8">
      <c r="B42" s="871">
        <v>46266</v>
      </c>
      <c r="C42" t="s">
        <v>2470</v>
      </c>
      <c r="D42" t="s">
        <v>1376</v>
      </c>
      <c r="E42" t="s">
        <v>1390</v>
      </c>
      <c r="F42" s="853" t="s">
        <v>527</v>
      </c>
      <c r="G42" s="913">
        <v>1.6900000000000001E-3</v>
      </c>
      <c r="H42" t="s">
        <v>3271</v>
      </c>
    </row>
    <row r="43" spans="2:8">
      <c r="B43" s="871">
        <v>46266</v>
      </c>
      <c r="C43" t="s">
        <v>2470</v>
      </c>
      <c r="D43" t="s">
        <v>1376</v>
      </c>
      <c r="E43" t="s">
        <v>1390</v>
      </c>
      <c r="F43" s="853" t="s">
        <v>528</v>
      </c>
      <c r="H43" t="s">
        <v>3272</v>
      </c>
    </row>
    <row r="44" spans="2:8">
      <c r="B44" s="871">
        <v>46266</v>
      </c>
      <c r="C44" t="s">
        <v>2470</v>
      </c>
      <c r="D44" t="s">
        <v>1375</v>
      </c>
      <c r="E44" t="s">
        <v>3273</v>
      </c>
      <c r="F44" s="853" t="s">
        <v>526</v>
      </c>
      <c r="G44" s="913">
        <v>4</v>
      </c>
      <c r="H44" t="s">
        <v>3274</v>
      </c>
    </row>
    <row r="45" spans="2:8">
      <c r="B45" s="871">
        <v>46266</v>
      </c>
      <c r="C45" t="s">
        <v>2470</v>
      </c>
      <c r="D45" t="s">
        <v>1375</v>
      </c>
      <c r="E45" t="s">
        <v>3273</v>
      </c>
      <c r="F45" s="853" t="s">
        <v>527</v>
      </c>
      <c r="G45" s="913">
        <v>3</v>
      </c>
      <c r="H45" t="s">
        <v>3275</v>
      </c>
    </row>
    <row r="46" spans="2:8">
      <c r="B46" s="871">
        <v>46266</v>
      </c>
      <c r="C46" t="s">
        <v>2470</v>
      </c>
      <c r="D46" t="s">
        <v>1375</v>
      </c>
      <c r="E46" t="s">
        <v>3273</v>
      </c>
      <c r="F46" s="853" t="s">
        <v>528</v>
      </c>
      <c r="G46" s="913">
        <v>1</v>
      </c>
      <c r="H46" t="s">
        <v>3276</v>
      </c>
    </row>
    <row r="47" spans="2:8">
      <c r="B47" s="871">
        <v>46266</v>
      </c>
      <c r="C47" t="s">
        <v>2470</v>
      </c>
      <c r="D47" t="s">
        <v>1376</v>
      </c>
      <c r="E47" t="s">
        <v>1391</v>
      </c>
      <c r="F47" s="853" t="s">
        <v>526</v>
      </c>
      <c r="H47" t="s">
        <v>3277</v>
      </c>
    </row>
    <row r="48" spans="2:8">
      <c r="B48" s="871">
        <v>46266</v>
      </c>
      <c r="C48" t="s">
        <v>2470</v>
      </c>
      <c r="D48" t="s">
        <v>1376</v>
      </c>
      <c r="E48" t="s">
        <v>1391</v>
      </c>
      <c r="F48" s="853" t="s">
        <v>527</v>
      </c>
      <c r="H48" t="s">
        <v>3278</v>
      </c>
    </row>
    <row r="49" spans="2:8">
      <c r="B49" s="871">
        <v>46266</v>
      </c>
      <c r="C49" t="s">
        <v>2470</v>
      </c>
      <c r="D49" t="s">
        <v>1376</v>
      </c>
      <c r="E49" t="s">
        <v>1391</v>
      </c>
      <c r="F49" s="853" t="s">
        <v>528</v>
      </c>
      <c r="G49" s="913">
        <v>8085</v>
      </c>
      <c r="H49" t="s">
        <v>3279</v>
      </c>
    </row>
    <row r="50" spans="2:8">
      <c r="B50" s="871">
        <v>46266</v>
      </c>
      <c r="C50" t="s">
        <v>2470</v>
      </c>
      <c r="D50" t="s">
        <v>1375</v>
      </c>
      <c r="E50" t="s">
        <v>3280</v>
      </c>
      <c r="F50" s="853" t="s">
        <v>526</v>
      </c>
      <c r="G50" s="913">
        <v>4</v>
      </c>
      <c r="H50" t="s">
        <v>3281</v>
      </c>
    </row>
    <row r="51" spans="2:8">
      <c r="B51" s="871">
        <v>46266</v>
      </c>
      <c r="C51" t="s">
        <v>2470</v>
      </c>
      <c r="D51" t="s">
        <v>1375</v>
      </c>
      <c r="E51" t="s">
        <v>3280</v>
      </c>
      <c r="F51" s="853" t="s">
        <v>527</v>
      </c>
      <c r="G51" s="913">
        <v>3</v>
      </c>
      <c r="H51" t="s">
        <v>3282</v>
      </c>
    </row>
    <row r="52" spans="2:8">
      <c r="B52" s="871">
        <v>46266</v>
      </c>
      <c r="C52" t="s">
        <v>2470</v>
      </c>
      <c r="D52" t="s">
        <v>1375</v>
      </c>
      <c r="E52" t="s">
        <v>3280</v>
      </c>
      <c r="F52" s="853" t="s">
        <v>528</v>
      </c>
      <c r="G52" s="913">
        <v>2</v>
      </c>
      <c r="H52" t="s">
        <v>3283</v>
      </c>
    </row>
    <row r="53" spans="2:8">
      <c r="B53" s="871">
        <v>46266</v>
      </c>
      <c r="C53" t="s">
        <v>2470</v>
      </c>
      <c r="D53" t="s">
        <v>1376</v>
      </c>
      <c r="E53" t="s">
        <v>1392</v>
      </c>
      <c r="F53" s="853" t="s">
        <v>526</v>
      </c>
      <c r="G53" s="913">
        <v>8085</v>
      </c>
      <c r="H53" t="s">
        <v>3284</v>
      </c>
    </row>
    <row r="54" spans="2:8">
      <c r="B54" s="871">
        <v>46266</v>
      </c>
      <c r="C54" t="s">
        <v>2470</v>
      </c>
      <c r="D54" t="s">
        <v>1376</v>
      </c>
      <c r="E54" t="s">
        <v>1392</v>
      </c>
      <c r="F54" s="853" t="s">
        <v>527</v>
      </c>
      <c r="H54" t="s">
        <v>3285</v>
      </c>
    </row>
    <row r="55" spans="2:8">
      <c r="B55" s="871">
        <v>46266</v>
      </c>
      <c r="C55" t="s">
        <v>2470</v>
      </c>
      <c r="D55" t="s">
        <v>1376</v>
      </c>
      <c r="E55" t="s">
        <v>1392</v>
      </c>
      <c r="F55" s="853" t="s">
        <v>528</v>
      </c>
      <c r="H55" t="s">
        <v>3286</v>
      </c>
    </row>
    <row r="56" spans="2:8">
      <c r="B56" s="871">
        <v>46266</v>
      </c>
      <c r="C56" t="s">
        <v>2470</v>
      </c>
      <c r="D56" t="s">
        <v>1375</v>
      </c>
      <c r="E56" t="s">
        <v>3287</v>
      </c>
      <c r="F56" s="853" t="s">
        <v>526</v>
      </c>
      <c r="G56" s="913">
        <v>4</v>
      </c>
      <c r="H56" t="s">
        <v>3288</v>
      </c>
    </row>
    <row r="57" spans="2:8">
      <c r="B57" s="871">
        <v>46266</v>
      </c>
      <c r="C57" t="s">
        <v>2470</v>
      </c>
      <c r="D57" t="s">
        <v>1375</v>
      </c>
      <c r="E57" t="s">
        <v>3287</v>
      </c>
      <c r="F57" s="853" t="s">
        <v>527</v>
      </c>
      <c r="G57" s="913">
        <v>4</v>
      </c>
      <c r="H57" t="s">
        <v>3289</v>
      </c>
    </row>
    <row r="58" spans="2:8">
      <c r="B58" s="871">
        <v>46266</v>
      </c>
      <c r="C58" t="s">
        <v>2470</v>
      </c>
      <c r="D58" t="s">
        <v>1375</v>
      </c>
      <c r="E58" t="s">
        <v>3287</v>
      </c>
      <c r="F58" s="853" t="s">
        <v>528</v>
      </c>
      <c r="G58" s="913">
        <v>2</v>
      </c>
      <c r="H58" t="s">
        <v>3290</v>
      </c>
    </row>
    <row r="59" spans="2:8">
      <c r="B59" s="871">
        <v>46266</v>
      </c>
      <c r="C59" t="s">
        <v>2470</v>
      </c>
      <c r="D59" t="s">
        <v>1375</v>
      </c>
      <c r="E59" t="s">
        <v>3291</v>
      </c>
      <c r="F59" s="853" t="s">
        <v>526</v>
      </c>
      <c r="G59" s="913">
        <v>1</v>
      </c>
      <c r="H59" t="s">
        <v>3292</v>
      </c>
    </row>
    <row r="60" spans="2:8">
      <c r="B60" s="871">
        <v>46266</v>
      </c>
      <c r="C60" t="s">
        <v>2470</v>
      </c>
      <c r="D60" t="s">
        <v>1375</v>
      </c>
      <c r="E60" t="s">
        <v>3291</v>
      </c>
      <c r="F60" s="853" t="s">
        <v>527</v>
      </c>
      <c r="G60" s="913">
        <v>1</v>
      </c>
      <c r="H60" t="s">
        <v>3293</v>
      </c>
    </row>
    <row r="61" spans="2:8">
      <c r="B61" s="871">
        <v>46266</v>
      </c>
      <c r="C61" t="s">
        <v>2470</v>
      </c>
      <c r="D61" t="s">
        <v>1375</v>
      </c>
      <c r="E61" t="s">
        <v>3291</v>
      </c>
      <c r="F61" s="853" t="s">
        <v>528</v>
      </c>
      <c r="G61" s="913">
        <v>1</v>
      </c>
      <c r="H61" t="s">
        <v>3294</v>
      </c>
    </row>
    <row r="62" spans="2:8">
      <c r="B62" s="871">
        <v>46266</v>
      </c>
      <c r="C62" t="s">
        <v>2470</v>
      </c>
      <c r="D62" t="s">
        <v>1393</v>
      </c>
      <c r="E62" t="s">
        <v>1394</v>
      </c>
      <c r="F62" s="853" t="s">
        <v>526</v>
      </c>
      <c r="G62" s="913" t="s">
        <v>1395</v>
      </c>
      <c r="H62" t="s">
        <v>3295</v>
      </c>
    </row>
    <row r="63" spans="2:8">
      <c r="B63" s="871">
        <v>46266</v>
      </c>
      <c r="C63" t="s">
        <v>2470</v>
      </c>
      <c r="D63" t="s">
        <v>1393</v>
      </c>
      <c r="E63" t="s">
        <v>1394</v>
      </c>
      <c r="F63" s="853" t="s">
        <v>527</v>
      </c>
      <c r="G63" s="913" t="s">
        <v>1396</v>
      </c>
      <c r="H63" t="s">
        <v>3296</v>
      </c>
    </row>
    <row r="64" spans="2:8">
      <c r="B64" s="871">
        <v>46266</v>
      </c>
      <c r="C64" t="s">
        <v>2470</v>
      </c>
      <c r="D64" t="s">
        <v>1393</v>
      </c>
      <c r="E64" t="s">
        <v>1394</v>
      </c>
      <c r="F64" s="853" t="s">
        <v>528</v>
      </c>
      <c r="G64" s="913" t="s">
        <v>1397</v>
      </c>
      <c r="H64" t="s">
        <v>3297</v>
      </c>
    </row>
    <row r="65" spans="2:8">
      <c r="B65" s="871">
        <v>46266</v>
      </c>
      <c r="C65" t="s">
        <v>2470</v>
      </c>
      <c r="D65" t="s">
        <v>1375</v>
      </c>
      <c r="E65" t="s">
        <v>3298</v>
      </c>
      <c r="F65" s="853" t="s">
        <v>526</v>
      </c>
      <c r="G65" s="913">
        <v>3</v>
      </c>
      <c r="H65" t="s">
        <v>3299</v>
      </c>
    </row>
    <row r="66" spans="2:8">
      <c r="B66" s="871">
        <v>46266</v>
      </c>
      <c r="C66" t="s">
        <v>2470</v>
      </c>
      <c r="D66" t="s">
        <v>1375</v>
      </c>
      <c r="E66" t="s">
        <v>3298</v>
      </c>
      <c r="F66" s="853" t="s">
        <v>527</v>
      </c>
      <c r="G66" s="913">
        <v>4</v>
      </c>
      <c r="H66" t="s">
        <v>3300</v>
      </c>
    </row>
    <row r="67" spans="2:8">
      <c r="B67" s="871">
        <v>46266</v>
      </c>
      <c r="C67" t="s">
        <v>2470</v>
      </c>
      <c r="D67" t="s">
        <v>1375</v>
      </c>
      <c r="E67" t="s">
        <v>3298</v>
      </c>
      <c r="F67" s="853" t="s">
        <v>528</v>
      </c>
      <c r="G67" s="913">
        <v>1</v>
      </c>
      <c r="H67" t="s">
        <v>3301</v>
      </c>
    </row>
    <row r="68" spans="2:8">
      <c r="B68" s="871">
        <v>46266</v>
      </c>
      <c r="C68" t="s">
        <v>2470</v>
      </c>
      <c r="D68" t="s">
        <v>1393</v>
      </c>
      <c r="E68" t="s">
        <v>1398</v>
      </c>
      <c r="F68" s="853" t="s">
        <v>526</v>
      </c>
      <c r="G68" s="913">
        <v>11</v>
      </c>
      <c r="H68" t="s">
        <v>3302</v>
      </c>
    </row>
    <row r="69" spans="2:8">
      <c r="B69" s="871">
        <v>46266</v>
      </c>
      <c r="C69" t="s">
        <v>2470</v>
      </c>
      <c r="D69" t="s">
        <v>1393</v>
      </c>
      <c r="E69" t="s">
        <v>1398</v>
      </c>
      <c r="F69" s="853" t="s">
        <v>527</v>
      </c>
      <c r="G69" s="913">
        <v>11</v>
      </c>
      <c r="H69" t="s">
        <v>3303</v>
      </c>
    </row>
    <row r="70" spans="2:8">
      <c r="B70" s="871">
        <v>46266</v>
      </c>
      <c r="C70" t="s">
        <v>2470</v>
      </c>
      <c r="D70" t="s">
        <v>1393</v>
      </c>
      <c r="E70" t="s">
        <v>1398</v>
      </c>
      <c r="F70" s="853" t="s">
        <v>528</v>
      </c>
      <c r="G70" s="913">
        <v>11</v>
      </c>
      <c r="H70" t="s">
        <v>3304</v>
      </c>
    </row>
    <row r="71" spans="2:8">
      <c r="B71" s="871">
        <v>46266</v>
      </c>
      <c r="C71" t="s">
        <v>2470</v>
      </c>
      <c r="D71" t="s">
        <v>1375</v>
      </c>
      <c r="E71" t="s">
        <v>3305</v>
      </c>
      <c r="F71" s="853" t="s">
        <v>526</v>
      </c>
      <c r="G71" s="913">
        <v>2</v>
      </c>
      <c r="H71" t="s">
        <v>3306</v>
      </c>
    </row>
    <row r="72" spans="2:8">
      <c r="B72" s="871">
        <v>46266</v>
      </c>
      <c r="C72" t="s">
        <v>2470</v>
      </c>
      <c r="D72" t="s">
        <v>1375</v>
      </c>
      <c r="E72" t="s">
        <v>3305</v>
      </c>
      <c r="F72" s="853" t="s">
        <v>527</v>
      </c>
      <c r="G72" s="913">
        <v>3</v>
      </c>
      <c r="H72" t="s">
        <v>3307</v>
      </c>
    </row>
    <row r="73" spans="2:8">
      <c r="B73" s="871">
        <v>46266</v>
      </c>
      <c r="C73" t="s">
        <v>2470</v>
      </c>
      <c r="D73" t="s">
        <v>1375</v>
      </c>
      <c r="E73" t="s">
        <v>3305</v>
      </c>
      <c r="F73" s="853" t="s">
        <v>528</v>
      </c>
      <c r="G73" s="913">
        <v>1</v>
      </c>
      <c r="H73" t="s">
        <v>3308</v>
      </c>
    </row>
    <row r="74" spans="2:8">
      <c r="B74" s="871">
        <v>46266</v>
      </c>
      <c r="C74" t="s">
        <v>2470</v>
      </c>
      <c r="D74" t="s">
        <v>1393</v>
      </c>
      <c r="E74" t="s">
        <v>1399</v>
      </c>
      <c r="F74" s="853" t="s">
        <v>526</v>
      </c>
      <c r="G74" s="913">
        <v>12</v>
      </c>
      <c r="H74" t="s">
        <v>3309</v>
      </c>
    </row>
    <row r="75" spans="2:8">
      <c r="B75" s="871">
        <v>46266</v>
      </c>
      <c r="C75" t="s">
        <v>2470</v>
      </c>
      <c r="D75" t="s">
        <v>1393</v>
      </c>
      <c r="E75" t="s">
        <v>1399</v>
      </c>
      <c r="F75" s="853" t="s">
        <v>527</v>
      </c>
      <c r="G75" s="913">
        <v>12</v>
      </c>
      <c r="H75" t="s">
        <v>3310</v>
      </c>
    </row>
    <row r="76" spans="2:8">
      <c r="B76" s="871">
        <v>46266</v>
      </c>
      <c r="C76" t="s">
        <v>2470</v>
      </c>
      <c r="D76" t="s">
        <v>1393</v>
      </c>
      <c r="E76" t="s">
        <v>1399</v>
      </c>
      <c r="F76" s="853" t="s">
        <v>528</v>
      </c>
      <c r="G76" s="913">
        <v>12</v>
      </c>
      <c r="H76" t="s">
        <v>3311</v>
      </c>
    </row>
    <row r="77" spans="2:8">
      <c r="B77" s="871">
        <v>46266</v>
      </c>
      <c r="C77" t="s">
        <v>2470</v>
      </c>
      <c r="D77" t="s">
        <v>1375</v>
      </c>
      <c r="E77" t="s">
        <v>3312</v>
      </c>
      <c r="F77" s="853" t="s">
        <v>526</v>
      </c>
      <c r="G77" s="913">
        <v>3</v>
      </c>
      <c r="H77" t="s">
        <v>3313</v>
      </c>
    </row>
    <row r="78" spans="2:8">
      <c r="B78" s="871">
        <v>46266</v>
      </c>
      <c r="C78" t="s">
        <v>2470</v>
      </c>
      <c r="D78" t="s">
        <v>1375</v>
      </c>
      <c r="E78" t="s">
        <v>3312</v>
      </c>
      <c r="F78" s="853" t="s">
        <v>527</v>
      </c>
      <c r="G78" s="913">
        <v>2</v>
      </c>
      <c r="H78" t="s">
        <v>3314</v>
      </c>
    </row>
    <row r="79" spans="2:8">
      <c r="B79" s="871">
        <v>46266</v>
      </c>
      <c r="C79" t="s">
        <v>2470</v>
      </c>
      <c r="D79" t="s">
        <v>1375</v>
      </c>
      <c r="E79" t="s">
        <v>3312</v>
      </c>
      <c r="F79" s="853" t="s">
        <v>528</v>
      </c>
      <c r="G79" s="913">
        <v>1</v>
      </c>
      <c r="H79" t="s">
        <v>3315</v>
      </c>
    </row>
    <row r="80" spans="2:8">
      <c r="B80" s="871">
        <v>46266</v>
      </c>
      <c r="C80" t="s">
        <v>2470</v>
      </c>
      <c r="D80" t="s">
        <v>1393</v>
      </c>
      <c r="E80" t="s">
        <v>1400</v>
      </c>
      <c r="F80" s="853" t="s">
        <v>526</v>
      </c>
      <c r="G80" s="913">
        <v>16</v>
      </c>
      <c r="H80" t="s">
        <v>3316</v>
      </c>
    </row>
    <row r="81" spans="2:8">
      <c r="B81" s="871">
        <v>46266</v>
      </c>
      <c r="C81" t="s">
        <v>2470</v>
      </c>
      <c r="D81" t="s">
        <v>1393</v>
      </c>
      <c r="E81" t="s">
        <v>1400</v>
      </c>
      <c r="F81" s="853" t="s">
        <v>527</v>
      </c>
      <c r="G81" s="913">
        <v>16</v>
      </c>
      <c r="H81" t="s">
        <v>3317</v>
      </c>
    </row>
    <row r="82" spans="2:8">
      <c r="B82" s="871">
        <v>46266</v>
      </c>
      <c r="C82" t="s">
        <v>2470</v>
      </c>
      <c r="D82" t="s">
        <v>1393</v>
      </c>
      <c r="E82" t="s">
        <v>1400</v>
      </c>
      <c r="F82" s="853" t="s">
        <v>528</v>
      </c>
      <c r="G82" s="913">
        <v>16</v>
      </c>
      <c r="H82" t="s">
        <v>3318</v>
      </c>
    </row>
    <row r="83" spans="2:8">
      <c r="B83" s="871">
        <v>46266</v>
      </c>
      <c r="C83" t="s">
        <v>2470</v>
      </c>
      <c r="D83" t="s">
        <v>1375</v>
      </c>
      <c r="E83" t="s">
        <v>3319</v>
      </c>
      <c r="F83" s="853" t="s">
        <v>526</v>
      </c>
      <c r="G83" s="913">
        <v>2</v>
      </c>
      <c r="H83" t="s">
        <v>3320</v>
      </c>
    </row>
    <row r="84" spans="2:8">
      <c r="B84" s="871">
        <v>46266</v>
      </c>
      <c r="C84" t="s">
        <v>2470</v>
      </c>
      <c r="D84" t="s">
        <v>1375</v>
      </c>
      <c r="E84" t="s">
        <v>3319</v>
      </c>
      <c r="F84" s="853" t="s">
        <v>527</v>
      </c>
      <c r="G84" s="913">
        <v>2</v>
      </c>
      <c r="H84" t="s">
        <v>3321</v>
      </c>
    </row>
    <row r="85" spans="2:8">
      <c r="B85" s="871">
        <v>46266</v>
      </c>
      <c r="C85" t="s">
        <v>2470</v>
      </c>
      <c r="D85" t="s">
        <v>1375</v>
      </c>
      <c r="E85" t="s">
        <v>3319</v>
      </c>
      <c r="F85" s="853" t="s">
        <v>528</v>
      </c>
      <c r="G85" s="913">
        <v>1</v>
      </c>
      <c r="H85" t="s">
        <v>3322</v>
      </c>
    </row>
    <row r="86" spans="2:8">
      <c r="B86" s="871">
        <v>46266</v>
      </c>
      <c r="C86" t="s">
        <v>2470</v>
      </c>
      <c r="D86" t="s">
        <v>1393</v>
      </c>
      <c r="E86" t="s">
        <v>1401</v>
      </c>
      <c r="F86" s="853" t="s">
        <v>526</v>
      </c>
      <c r="G86" s="913">
        <v>6.28</v>
      </c>
      <c r="H86" t="s">
        <v>3323</v>
      </c>
    </row>
    <row r="87" spans="2:8">
      <c r="B87" s="871">
        <v>46266</v>
      </c>
      <c r="C87" t="s">
        <v>2470</v>
      </c>
      <c r="D87" t="s">
        <v>1393</v>
      </c>
      <c r="E87" t="s">
        <v>1401</v>
      </c>
      <c r="F87" s="853" t="s">
        <v>527</v>
      </c>
      <c r="G87" s="913">
        <v>6.3</v>
      </c>
      <c r="H87" t="s">
        <v>3324</v>
      </c>
    </row>
    <row r="88" spans="2:8">
      <c r="B88" s="871">
        <v>46266</v>
      </c>
      <c r="C88" t="s">
        <v>2470</v>
      </c>
      <c r="D88" t="s">
        <v>1393</v>
      </c>
      <c r="E88" t="s">
        <v>1401</v>
      </c>
      <c r="F88" s="853" t="s">
        <v>528</v>
      </c>
      <c r="G88" s="913">
        <v>6.28</v>
      </c>
      <c r="H88" t="s">
        <v>3325</v>
      </c>
    </row>
    <row r="89" spans="2:8">
      <c r="B89" s="871">
        <v>46266</v>
      </c>
      <c r="C89" t="s">
        <v>2470</v>
      </c>
      <c r="D89" t="s">
        <v>1375</v>
      </c>
      <c r="E89" t="s">
        <v>3326</v>
      </c>
      <c r="F89" s="853" t="s">
        <v>526</v>
      </c>
      <c r="G89" s="913" t="s">
        <v>1402</v>
      </c>
      <c r="H89" t="s">
        <v>3327</v>
      </c>
    </row>
    <row r="90" spans="2:8">
      <c r="B90" s="871">
        <v>46266</v>
      </c>
      <c r="C90" t="s">
        <v>2470</v>
      </c>
      <c r="D90" t="s">
        <v>1375</v>
      </c>
      <c r="E90" t="s">
        <v>3326</v>
      </c>
      <c r="F90" s="853" t="s">
        <v>527</v>
      </c>
      <c r="G90" s="913" t="s">
        <v>1402</v>
      </c>
      <c r="H90" t="s">
        <v>3328</v>
      </c>
    </row>
    <row r="91" spans="2:8">
      <c r="B91" s="871">
        <v>46266</v>
      </c>
      <c r="C91" t="s">
        <v>2470</v>
      </c>
      <c r="D91" t="s">
        <v>1375</v>
      </c>
      <c r="E91" t="s">
        <v>3326</v>
      </c>
      <c r="F91" s="853" t="s">
        <v>528</v>
      </c>
      <c r="G91" s="913" t="s">
        <v>1402</v>
      </c>
      <c r="H91" t="s">
        <v>3329</v>
      </c>
    </row>
    <row r="92" spans="2:8">
      <c r="B92" s="871">
        <v>46266</v>
      </c>
      <c r="C92" t="s">
        <v>2470</v>
      </c>
      <c r="D92" t="s">
        <v>1393</v>
      </c>
      <c r="E92" t="s">
        <v>1403</v>
      </c>
      <c r="F92" s="853" t="s">
        <v>526</v>
      </c>
      <c r="G92" s="913">
        <v>610</v>
      </c>
      <c r="H92" t="s">
        <v>3330</v>
      </c>
    </row>
    <row r="93" spans="2:8">
      <c r="B93" s="871">
        <v>46266</v>
      </c>
      <c r="C93" t="s">
        <v>2470</v>
      </c>
      <c r="D93" t="s">
        <v>1393</v>
      </c>
      <c r="E93" t="s">
        <v>1403</v>
      </c>
      <c r="F93" s="853" t="s">
        <v>527</v>
      </c>
      <c r="G93" s="913">
        <v>600</v>
      </c>
      <c r="H93" t="s">
        <v>3331</v>
      </c>
    </row>
    <row r="94" spans="2:8">
      <c r="B94" s="871">
        <v>46266</v>
      </c>
      <c r="C94" t="s">
        <v>2470</v>
      </c>
      <c r="D94" t="s">
        <v>1393</v>
      </c>
      <c r="E94" t="s">
        <v>1403</v>
      </c>
      <c r="F94" s="853" t="s">
        <v>528</v>
      </c>
      <c r="G94" s="913">
        <v>600</v>
      </c>
      <c r="H94" t="s">
        <v>3332</v>
      </c>
    </row>
    <row r="95" spans="2:8">
      <c r="B95" s="871">
        <v>46266</v>
      </c>
      <c r="C95" t="s">
        <v>2470</v>
      </c>
      <c r="D95" t="s">
        <v>1393</v>
      </c>
      <c r="E95" t="s">
        <v>1404</v>
      </c>
      <c r="F95" s="853" t="s">
        <v>526</v>
      </c>
      <c r="G95" s="913">
        <v>5.12</v>
      </c>
      <c r="H95" t="s">
        <v>3333</v>
      </c>
    </row>
    <row r="96" spans="2:8">
      <c r="B96" s="871">
        <v>46266</v>
      </c>
      <c r="C96" t="s">
        <v>2470</v>
      </c>
      <c r="D96" t="s">
        <v>1393</v>
      </c>
      <c r="E96" t="s">
        <v>1404</v>
      </c>
      <c r="F96" s="853" t="s">
        <v>527</v>
      </c>
      <c r="G96" s="913">
        <v>4.4000000000000004</v>
      </c>
      <c r="H96" t="s">
        <v>3334</v>
      </c>
    </row>
    <row r="97" spans="2:8">
      <c r="B97" s="871">
        <v>46266</v>
      </c>
      <c r="C97" t="s">
        <v>2470</v>
      </c>
      <c r="D97" t="s">
        <v>1393</v>
      </c>
      <c r="E97" t="s">
        <v>1404</v>
      </c>
      <c r="F97" s="853" t="s">
        <v>528</v>
      </c>
      <c r="G97" s="913">
        <v>2.6</v>
      </c>
      <c r="H97" t="s">
        <v>3335</v>
      </c>
    </row>
    <row r="98" spans="2:8">
      <c r="B98" s="871">
        <v>46266</v>
      </c>
      <c r="C98" t="s">
        <v>2470</v>
      </c>
      <c r="D98" t="s">
        <v>1375</v>
      </c>
      <c r="E98" t="s">
        <v>3336</v>
      </c>
      <c r="F98" s="853" t="s">
        <v>526</v>
      </c>
      <c r="G98" s="913" t="s">
        <v>1406</v>
      </c>
      <c r="H98" t="s">
        <v>3337</v>
      </c>
    </row>
    <row r="99" spans="2:8">
      <c r="B99" s="871">
        <v>46266</v>
      </c>
      <c r="C99" t="s">
        <v>2470</v>
      </c>
      <c r="D99" t="s">
        <v>1375</v>
      </c>
      <c r="E99" t="s">
        <v>3336</v>
      </c>
      <c r="F99" s="853" t="s">
        <v>527</v>
      </c>
      <c r="G99" s="913" t="s">
        <v>1406</v>
      </c>
      <c r="H99" t="s">
        <v>3338</v>
      </c>
    </row>
    <row r="100" spans="2:8">
      <c r="B100" s="871">
        <v>46266</v>
      </c>
      <c r="C100" t="s">
        <v>2470</v>
      </c>
      <c r="D100" t="s">
        <v>1375</v>
      </c>
      <c r="E100" t="s">
        <v>3336</v>
      </c>
      <c r="F100" s="853" t="s">
        <v>528</v>
      </c>
      <c r="G100" s="913" t="s">
        <v>1406</v>
      </c>
      <c r="H100" t="s">
        <v>3339</v>
      </c>
    </row>
    <row r="101" spans="2:8">
      <c r="B101" s="871">
        <v>46266</v>
      </c>
      <c r="C101" t="s">
        <v>2470</v>
      </c>
      <c r="D101" t="s">
        <v>1393</v>
      </c>
      <c r="E101" t="s">
        <v>1407</v>
      </c>
      <c r="F101" s="853" t="s">
        <v>526</v>
      </c>
      <c r="G101" s="913">
        <v>370</v>
      </c>
      <c r="H101" t="s">
        <v>3340</v>
      </c>
    </row>
    <row r="102" spans="2:8">
      <c r="B102" s="871">
        <v>46266</v>
      </c>
      <c r="C102" t="s">
        <v>2470</v>
      </c>
      <c r="D102" t="s">
        <v>1393</v>
      </c>
      <c r="E102" t="s">
        <v>1407</v>
      </c>
      <c r="F102" s="853" t="s">
        <v>527</v>
      </c>
      <c r="G102" s="913">
        <v>370</v>
      </c>
      <c r="H102" t="s">
        <v>3341</v>
      </c>
    </row>
    <row r="103" spans="2:8">
      <c r="B103" s="871">
        <v>46266</v>
      </c>
      <c r="C103" t="s">
        <v>2470</v>
      </c>
      <c r="D103" t="s">
        <v>1393</v>
      </c>
      <c r="E103" t="s">
        <v>1407</v>
      </c>
      <c r="F103" s="853" t="s">
        <v>528</v>
      </c>
      <c r="G103" s="913">
        <v>415</v>
      </c>
      <c r="H103" t="s">
        <v>3342</v>
      </c>
    </row>
    <row r="104" spans="2:8">
      <c r="B104" s="871">
        <v>46266</v>
      </c>
      <c r="C104" t="s">
        <v>2470</v>
      </c>
      <c r="D104" t="s">
        <v>1393</v>
      </c>
      <c r="E104" t="s">
        <v>1408</v>
      </c>
      <c r="F104" s="853" t="s">
        <v>526</v>
      </c>
      <c r="G104" s="913">
        <v>1000</v>
      </c>
      <c r="H104" t="s">
        <v>3343</v>
      </c>
    </row>
    <row r="105" spans="2:8">
      <c r="B105" s="871">
        <v>46266</v>
      </c>
      <c r="C105" t="s">
        <v>2470</v>
      </c>
      <c r="D105" t="s">
        <v>1393</v>
      </c>
      <c r="E105" t="s">
        <v>1408</v>
      </c>
      <c r="F105" s="853" t="s">
        <v>527</v>
      </c>
      <c r="G105" s="913">
        <v>983</v>
      </c>
      <c r="H105" t="s">
        <v>3344</v>
      </c>
    </row>
    <row r="106" spans="2:8">
      <c r="B106" s="871">
        <v>46266</v>
      </c>
      <c r="C106" t="s">
        <v>2470</v>
      </c>
      <c r="D106" t="s">
        <v>1393</v>
      </c>
      <c r="E106" t="s">
        <v>1408</v>
      </c>
      <c r="F106" s="853" t="s">
        <v>528</v>
      </c>
      <c r="G106" s="913">
        <v>966</v>
      </c>
      <c r="H106" t="s">
        <v>3345</v>
      </c>
    </row>
    <row r="107" spans="2:8">
      <c r="B107" s="871">
        <v>46266</v>
      </c>
      <c r="C107" t="s">
        <v>2470</v>
      </c>
      <c r="D107" t="s">
        <v>1409</v>
      </c>
      <c r="E107" t="s">
        <v>1411</v>
      </c>
      <c r="F107" s="853" t="s">
        <v>526</v>
      </c>
      <c r="H107" t="s">
        <v>3346</v>
      </c>
    </row>
    <row r="108" spans="2:8">
      <c r="B108" s="871">
        <v>46266</v>
      </c>
      <c r="C108" t="s">
        <v>2470</v>
      </c>
      <c r="D108" t="s">
        <v>1409</v>
      </c>
      <c r="E108" t="s">
        <v>1411</v>
      </c>
      <c r="F108" s="853" t="s">
        <v>527</v>
      </c>
      <c r="H108" t="s">
        <v>3347</v>
      </c>
    </row>
    <row r="109" spans="2:8">
      <c r="B109" s="871">
        <v>46266</v>
      </c>
      <c r="C109" t="s">
        <v>2470</v>
      </c>
      <c r="D109" t="s">
        <v>1409</v>
      </c>
      <c r="E109" t="s">
        <v>1411</v>
      </c>
      <c r="F109" s="853" t="s">
        <v>528</v>
      </c>
      <c r="H109" t="s">
        <v>3348</v>
      </c>
    </row>
    <row r="110" spans="2:8">
      <c r="B110" s="871">
        <v>46266</v>
      </c>
      <c r="C110" t="s">
        <v>2470</v>
      </c>
      <c r="D110" t="s">
        <v>1409</v>
      </c>
      <c r="E110" t="s">
        <v>1413</v>
      </c>
      <c r="F110" s="853" t="s">
        <v>526</v>
      </c>
      <c r="G110" s="913" t="s">
        <v>1414</v>
      </c>
      <c r="H110" t="s">
        <v>3349</v>
      </c>
    </row>
    <row r="111" spans="2:8">
      <c r="B111" s="871">
        <v>46266</v>
      </c>
      <c r="C111" t="s">
        <v>2470</v>
      </c>
      <c r="D111" t="s">
        <v>1409</v>
      </c>
      <c r="E111" t="s">
        <v>1413</v>
      </c>
      <c r="F111" s="853" t="s">
        <v>527</v>
      </c>
      <c r="G111" s="913" t="s">
        <v>1415</v>
      </c>
      <c r="H111" t="s">
        <v>3350</v>
      </c>
    </row>
    <row r="112" spans="2:8">
      <c r="B112" s="871">
        <v>46266</v>
      </c>
      <c r="C112" t="s">
        <v>2470</v>
      </c>
      <c r="D112" t="s">
        <v>1409</v>
      </c>
      <c r="E112" t="s">
        <v>1413</v>
      </c>
      <c r="F112" s="853" t="s">
        <v>528</v>
      </c>
      <c r="G112" s="913" t="s">
        <v>1416</v>
      </c>
      <c r="H112" t="s">
        <v>3351</v>
      </c>
    </row>
    <row r="113" spans="2:8">
      <c r="B113" s="871">
        <v>46266</v>
      </c>
      <c r="C113" t="s">
        <v>2470</v>
      </c>
      <c r="D113" t="s">
        <v>1410</v>
      </c>
      <c r="E113" t="s">
        <v>3352</v>
      </c>
      <c r="F113" s="853" t="s">
        <v>526</v>
      </c>
      <c r="G113" s="913" t="s">
        <v>1418</v>
      </c>
      <c r="H113" t="s">
        <v>3353</v>
      </c>
    </row>
    <row r="114" spans="2:8">
      <c r="B114" s="871">
        <v>46266</v>
      </c>
      <c r="C114" t="s">
        <v>2470</v>
      </c>
      <c r="D114" t="s">
        <v>1410</v>
      </c>
      <c r="E114" t="s">
        <v>3352</v>
      </c>
      <c r="F114" s="853" t="s">
        <v>527</v>
      </c>
      <c r="G114" s="913" t="s">
        <v>1419</v>
      </c>
      <c r="H114" t="s">
        <v>3354</v>
      </c>
    </row>
    <row r="115" spans="2:8">
      <c r="B115" s="871">
        <v>46266</v>
      </c>
      <c r="C115" t="s">
        <v>2470</v>
      </c>
      <c r="D115" t="s">
        <v>1410</v>
      </c>
      <c r="E115" t="s">
        <v>3352</v>
      </c>
      <c r="F115" s="853" t="s">
        <v>528</v>
      </c>
      <c r="G115" s="913" t="s">
        <v>1419</v>
      </c>
      <c r="H115" t="s">
        <v>3355</v>
      </c>
    </row>
    <row r="116" spans="2:8">
      <c r="B116" s="871">
        <v>46266</v>
      </c>
      <c r="C116" t="s">
        <v>2470</v>
      </c>
      <c r="D116" t="s">
        <v>1409</v>
      </c>
      <c r="E116" t="s">
        <v>1420</v>
      </c>
      <c r="F116" s="853" t="s">
        <v>526</v>
      </c>
      <c r="G116" s="913" t="s">
        <v>1421</v>
      </c>
      <c r="H116" t="s">
        <v>3356</v>
      </c>
    </row>
    <row r="117" spans="2:8">
      <c r="B117" s="871">
        <v>46266</v>
      </c>
      <c r="C117" t="s">
        <v>2470</v>
      </c>
      <c r="D117" t="s">
        <v>1409</v>
      </c>
      <c r="E117" t="s">
        <v>1420</v>
      </c>
      <c r="F117" s="853" t="s">
        <v>527</v>
      </c>
      <c r="G117" s="913" t="s">
        <v>1422</v>
      </c>
      <c r="H117" t="s">
        <v>3357</v>
      </c>
    </row>
    <row r="118" spans="2:8">
      <c r="B118" s="871">
        <v>46266</v>
      </c>
      <c r="C118" t="s">
        <v>2470</v>
      </c>
      <c r="D118" t="s">
        <v>1409</v>
      </c>
      <c r="E118" t="s">
        <v>1420</v>
      </c>
      <c r="F118" s="853" t="s">
        <v>528</v>
      </c>
      <c r="G118" s="913" t="s">
        <v>1422</v>
      </c>
      <c r="H118" t="s">
        <v>3358</v>
      </c>
    </row>
    <row r="119" spans="2:8">
      <c r="B119" s="871">
        <v>46266</v>
      </c>
      <c r="C119" t="s">
        <v>2470</v>
      </c>
      <c r="D119" t="s">
        <v>1410</v>
      </c>
      <c r="E119" t="s">
        <v>3359</v>
      </c>
      <c r="F119" s="853" t="s">
        <v>526</v>
      </c>
      <c r="G119" s="913">
        <v>118</v>
      </c>
      <c r="H119" t="s">
        <v>3360</v>
      </c>
    </row>
    <row r="120" spans="2:8">
      <c r="B120" s="871">
        <v>46266</v>
      </c>
      <c r="C120" t="s">
        <v>2470</v>
      </c>
      <c r="D120" t="s">
        <v>1410</v>
      </c>
      <c r="E120" t="s">
        <v>3359</v>
      </c>
      <c r="F120" s="853" t="s">
        <v>527</v>
      </c>
      <c r="G120" s="913">
        <v>123</v>
      </c>
      <c r="H120" t="s">
        <v>3361</v>
      </c>
    </row>
    <row r="121" spans="2:8">
      <c r="B121" s="871">
        <v>46266</v>
      </c>
      <c r="C121" t="s">
        <v>2470</v>
      </c>
      <c r="D121" t="s">
        <v>1410</v>
      </c>
      <c r="E121" t="s">
        <v>3359</v>
      </c>
      <c r="F121" s="853" t="s">
        <v>528</v>
      </c>
      <c r="G121" s="913">
        <v>122</v>
      </c>
      <c r="H121" t="s">
        <v>3362</v>
      </c>
    </row>
    <row r="122" spans="2:8">
      <c r="B122" s="871">
        <v>46266</v>
      </c>
      <c r="C122" t="s">
        <v>2470</v>
      </c>
      <c r="D122" t="s">
        <v>1409</v>
      </c>
      <c r="E122" t="s">
        <v>1424</v>
      </c>
      <c r="F122" s="853" t="s">
        <v>526</v>
      </c>
      <c r="H122" t="s">
        <v>3363</v>
      </c>
    </row>
    <row r="123" spans="2:8">
      <c r="B123" s="871">
        <v>46266</v>
      </c>
      <c r="C123" t="s">
        <v>2470</v>
      </c>
      <c r="D123" t="s">
        <v>1409</v>
      </c>
      <c r="E123" t="s">
        <v>1424</v>
      </c>
      <c r="F123" s="853" t="s">
        <v>527</v>
      </c>
      <c r="H123" t="s">
        <v>3364</v>
      </c>
    </row>
    <row r="124" spans="2:8">
      <c r="B124" s="871">
        <v>46266</v>
      </c>
      <c r="C124" t="s">
        <v>2470</v>
      </c>
      <c r="D124" t="s">
        <v>1409</v>
      </c>
      <c r="E124" t="s">
        <v>1424</v>
      </c>
      <c r="F124" s="853" t="s">
        <v>528</v>
      </c>
      <c r="H124" t="s">
        <v>3365</v>
      </c>
    </row>
    <row r="125" spans="2:8">
      <c r="B125" s="871">
        <v>46266</v>
      </c>
      <c r="C125" t="s">
        <v>2470</v>
      </c>
      <c r="D125" t="s">
        <v>1410</v>
      </c>
      <c r="E125" t="s">
        <v>3366</v>
      </c>
      <c r="F125" s="853" t="s">
        <v>526</v>
      </c>
      <c r="G125" s="913">
        <v>2636</v>
      </c>
      <c r="H125" t="s">
        <v>3367</v>
      </c>
    </row>
    <row r="126" spans="2:8">
      <c r="B126" s="871">
        <v>46266</v>
      </c>
      <c r="C126" t="s">
        <v>2470</v>
      </c>
      <c r="D126" t="s">
        <v>1410</v>
      </c>
      <c r="E126" t="s">
        <v>3366</v>
      </c>
      <c r="F126" s="853" t="s">
        <v>527</v>
      </c>
      <c r="G126" s="913">
        <v>2660</v>
      </c>
      <c r="H126" t="s">
        <v>3368</v>
      </c>
    </row>
    <row r="127" spans="2:8">
      <c r="B127" s="871">
        <v>46266</v>
      </c>
      <c r="C127" t="s">
        <v>2470</v>
      </c>
      <c r="D127" t="s">
        <v>1410</v>
      </c>
      <c r="E127" t="s">
        <v>3366</v>
      </c>
      <c r="F127" s="853" t="s">
        <v>528</v>
      </c>
      <c r="G127" s="913">
        <v>2640</v>
      </c>
      <c r="H127" t="s">
        <v>3369</v>
      </c>
    </row>
    <row r="128" spans="2:8">
      <c r="B128" s="871">
        <v>46266</v>
      </c>
      <c r="C128" t="s">
        <v>2470</v>
      </c>
      <c r="D128" t="s">
        <v>1410</v>
      </c>
      <c r="E128" t="s">
        <v>3370</v>
      </c>
      <c r="F128" s="853" t="s">
        <v>526</v>
      </c>
      <c r="G128" s="913" t="s">
        <v>1427</v>
      </c>
      <c r="H128" t="s">
        <v>3371</v>
      </c>
    </row>
    <row r="129" spans="2:8">
      <c r="B129" s="871">
        <v>46266</v>
      </c>
      <c r="C129" t="s">
        <v>2470</v>
      </c>
      <c r="D129" t="s">
        <v>1410</v>
      </c>
      <c r="E129" t="s">
        <v>3370</v>
      </c>
      <c r="F129" s="853" t="s">
        <v>527</v>
      </c>
      <c r="G129" s="913" t="s">
        <v>1427</v>
      </c>
      <c r="H129" t="s">
        <v>3372</v>
      </c>
    </row>
    <row r="130" spans="2:8">
      <c r="B130" s="871">
        <v>46266</v>
      </c>
      <c r="C130" t="s">
        <v>2470</v>
      </c>
      <c r="D130" t="s">
        <v>1410</v>
      </c>
      <c r="E130" t="s">
        <v>3370</v>
      </c>
      <c r="F130" s="853" t="s">
        <v>528</v>
      </c>
      <c r="G130" s="913" t="s">
        <v>1427</v>
      </c>
      <c r="H130" t="s">
        <v>3373</v>
      </c>
    </row>
    <row r="131" spans="2:8">
      <c r="B131" s="871">
        <v>46266</v>
      </c>
      <c r="C131" t="s">
        <v>2470</v>
      </c>
      <c r="D131" t="s">
        <v>1410</v>
      </c>
      <c r="E131" t="s">
        <v>3374</v>
      </c>
      <c r="F131" s="853" t="s">
        <v>526</v>
      </c>
      <c r="G131" s="913">
        <v>2.15</v>
      </c>
      <c r="H131" t="s">
        <v>3375</v>
      </c>
    </row>
    <row r="132" spans="2:8">
      <c r="B132" s="871">
        <v>46266</v>
      </c>
      <c r="C132" t="s">
        <v>2470</v>
      </c>
      <c r="D132" t="s">
        <v>1410</v>
      </c>
      <c r="E132" t="s">
        <v>3374</v>
      </c>
      <c r="F132" s="853" t="s">
        <v>527</v>
      </c>
      <c r="G132" s="913">
        <v>3.3</v>
      </c>
      <c r="H132" t="s">
        <v>3376</v>
      </c>
    </row>
    <row r="133" spans="2:8">
      <c r="B133" s="871">
        <v>46266</v>
      </c>
      <c r="C133" t="s">
        <v>2470</v>
      </c>
      <c r="D133" t="s">
        <v>1410</v>
      </c>
      <c r="E133" t="s">
        <v>3374</v>
      </c>
      <c r="F133" s="853" t="s">
        <v>528</v>
      </c>
      <c r="G133" s="913">
        <v>2.2000000000000002</v>
      </c>
      <c r="H133" t="s">
        <v>3377</v>
      </c>
    </row>
    <row r="134" spans="2:8">
      <c r="B134" s="871">
        <v>46266</v>
      </c>
      <c r="C134" t="s">
        <v>2470</v>
      </c>
      <c r="D134" t="s">
        <v>1410</v>
      </c>
      <c r="E134" t="s">
        <v>3378</v>
      </c>
      <c r="F134" s="853" t="s">
        <v>526</v>
      </c>
      <c r="G134" s="913" t="s">
        <v>1430</v>
      </c>
      <c r="H134" t="s">
        <v>3379</v>
      </c>
    </row>
    <row r="135" spans="2:8">
      <c r="B135" s="871">
        <v>46266</v>
      </c>
      <c r="C135" t="s">
        <v>2470</v>
      </c>
      <c r="D135" t="s">
        <v>1410</v>
      </c>
      <c r="E135" t="s">
        <v>3378</v>
      </c>
      <c r="F135" s="853" t="s">
        <v>527</v>
      </c>
      <c r="G135" s="913" t="s">
        <v>1430</v>
      </c>
      <c r="H135" t="s">
        <v>3380</v>
      </c>
    </row>
    <row r="136" spans="2:8">
      <c r="B136" s="871">
        <v>46266</v>
      </c>
      <c r="C136" t="s">
        <v>2470</v>
      </c>
      <c r="D136" t="s">
        <v>1410</v>
      </c>
      <c r="E136" t="s">
        <v>3378</v>
      </c>
      <c r="F136" s="853" t="s">
        <v>528</v>
      </c>
      <c r="G136" s="913" t="s">
        <v>1430</v>
      </c>
      <c r="H136" t="s">
        <v>3381</v>
      </c>
    </row>
    <row r="137" spans="2:8">
      <c r="B137" s="871">
        <v>46266</v>
      </c>
      <c r="C137" t="s">
        <v>2470</v>
      </c>
      <c r="D137" t="s">
        <v>1410</v>
      </c>
      <c r="E137" t="s">
        <v>3382</v>
      </c>
      <c r="F137" s="853" t="s">
        <v>526</v>
      </c>
      <c r="G137" s="913">
        <v>109</v>
      </c>
      <c r="H137" t="s">
        <v>3383</v>
      </c>
    </row>
    <row r="138" spans="2:8">
      <c r="B138" s="871">
        <v>46266</v>
      </c>
      <c r="C138" t="s">
        <v>2470</v>
      </c>
      <c r="D138" t="s">
        <v>1410</v>
      </c>
      <c r="E138" t="s">
        <v>3382</v>
      </c>
      <c r="F138" s="853" t="s">
        <v>527</v>
      </c>
      <c r="G138" s="913">
        <v>115</v>
      </c>
      <c r="H138" t="s">
        <v>3384</v>
      </c>
    </row>
    <row r="139" spans="2:8">
      <c r="B139" s="871">
        <v>46266</v>
      </c>
      <c r="C139" t="s">
        <v>2470</v>
      </c>
      <c r="D139" t="s">
        <v>1410</v>
      </c>
      <c r="E139" t="s">
        <v>3382</v>
      </c>
      <c r="F139" s="853" t="s">
        <v>528</v>
      </c>
      <c r="G139" s="913">
        <v>118</v>
      </c>
      <c r="H139" t="s">
        <v>3385</v>
      </c>
    </row>
    <row r="140" spans="2:8">
      <c r="B140" s="871">
        <v>46266</v>
      </c>
      <c r="C140" t="s">
        <v>2470</v>
      </c>
      <c r="D140" t="s">
        <v>1409</v>
      </c>
      <c r="E140" t="s">
        <v>1431</v>
      </c>
      <c r="F140" s="853" t="s">
        <v>526</v>
      </c>
      <c r="H140" t="s">
        <v>3386</v>
      </c>
    </row>
    <row r="141" spans="2:8">
      <c r="B141" s="871">
        <v>46266</v>
      </c>
      <c r="C141" t="s">
        <v>2470</v>
      </c>
      <c r="D141" t="s">
        <v>1409</v>
      </c>
      <c r="E141" t="s">
        <v>1431</v>
      </c>
      <c r="F141" s="853" t="s">
        <v>527</v>
      </c>
      <c r="H141" t="s">
        <v>3387</v>
      </c>
    </row>
    <row r="142" spans="2:8">
      <c r="B142" s="871">
        <v>46266</v>
      </c>
      <c r="C142" t="s">
        <v>2470</v>
      </c>
      <c r="D142" t="s">
        <v>1409</v>
      </c>
      <c r="E142" t="s">
        <v>1431</v>
      </c>
      <c r="F142" s="853" t="s">
        <v>528</v>
      </c>
      <c r="H142" t="s">
        <v>3388</v>
      </c>
    </row>
    <row r="143" spans="2:8">
      <c r="B143" s="871">
        <v>46266</v>
      </c>
      <c r="C143" t="s">
        <v>2470</v>
      </c>
      <c r="D143" t="s">
        <v>1410</v>
      </c>
      <c r="E143" t="s">
        <v>3389</v>
      </c>
      <c r="F143" s="853" t="s">
        <v>526</v>
      </c>
      <c r="G143" s="913">
        <v>2640</v>
      </c>
      <c r="H143" t="s">
        <v>3390</v>
      </c>
    </row>
    <row r="144" spans="2:8">
      <c r="B144" s="871">
        <v>46266</v>
      </c>
      <c r="C144" t="s">
        <v>2470</v>
      </c>
      <c r="D144" t="s">
        <v>1410</v>
      </c>
      <c r="E144" t="s">
        <v>3389</v>
      </c>
      <c r="F144" s="853" t="s">
        <v>527</v>
      </c>
      <c r="G144" s="913">
        <v>2540</v>
      </c>
      <c r="H144" t="s">
        <v>3391</v>
      </c>
    </row>
    <row r="145" spans="2:8">
      <c r="B145" s="871">
        <v>46266</v>
      </c>
      <c r="C145" t="s">
        <v>2470</v>
      </c>
      <c r="D145" t="s">
        <v>1410</v>
      </c>
      <c r="E145" t="s">
        <v>3389</v>
      </c>
      <c r="F145" s="853" t="s">
        <v>528</v>
      </c>
      <c r="G145" s="913">
        <v>2590</v>
      </c>
      <c r="H145" t="s">
        <v>3392</v>
      </c>
    </row>
    <row r="146" spans="2:8">
      <c r="B146" s="871">
        <v>46266</v>
      </c>
      <c r="C146" t="s">
        <v>2470</v>
      </c>
      <c r="D146" t="s">
        <v>1410</v>
      </c>
      <c r="E146" t="s">
        <v>3393</v>
      </c>
      <c r="F146" s="853" t="s">
        <v>526</v>
      </c>
      <c r="G146" s="913" t="s">
        <v>1432</v>
      </c>
      <c r="H146" t="s">
        <v>3394</v>
      </c>
    </row>
    <row r="147" spans="2:8">
      <c r="B147" s="871">
        <v>46266</v>
      </c>
      <c r="C147" t="s">
        <v>2470</v>
      </c>
      <c r="D147" t="s">
        <v>1410</v>
      </c>
      <c r="E147" t="s">
        <v>3393</v>
      </c>
      <c r="F147" s="853" t="s">
        <v>527</v>
      </c>
      <c r="G147" s="913" t="s">
        <v>1432</v>
      </c>
      <c r="H147" t="s">
        <v>3395</v>
      </c>
    </row>
    <row r="148" spans="2:8">
      <c r="B148" s="871">
        <v>46266</v>
      </c>
      <c r="C148" t="s">
        <v>2470</v>
      </c>
      <c r="D148" t="s">
        <v>1410</v>
      </c>
      <c r="E148" t="s">
        <v>3393</v>
      </c>
      <c r="F148" s="853" t="s">
        <v>528</v>
      </c>
      <c r="G148" s="913" t="s">
        <v>1432</v>
      </c>
      <c r="H148" t="s">
        <v>3396</v>
      </c>
    </row>
    <row r="149" spans="2:8">
      <c r="B149" s="871">
        <v>46266</v>
      </c>
      <c r="C149" t="s">
        <v>2470</v>
      </c>
      <c r="D149" t="s">
        <v>1410</v>
      </c>
      <c r="E149" t="s">
        <v>3397</v>
      </c>
      <c r="F149" s="853" t="s">
        <v>526</v>
      </c>
      <c r="G149" s="913" t="s">
        <v>1435</v>
      </c>
      <c r="H149" t="s">
        <v>3398</v>
      </c>
    </row>
    <row r="150" spans="2:8">
      <c r="B150" s="871">
        <v>46266</v>
      </c>
      <c r="C150" t="s">
        <v>2470</v>
      </c>
      <c r="D150" t="s">
        <v>1410</v>
      </c>
      <c r="E150" t="s">
        <v>3397</v>
      </c>
      <c r="F150" s="853" t="s">
        <v>527</v>
      </c>
      <c r="G150" s="913" t="s">
        <v>1435</v>
      </c>
      <c r="H150" t="s">
        <v>3399</v>
      </c>
    </row>
    <row r="151" spans="2:8">
      <c r="B151" s="871">
        <v>46266</v>
      </c>
      <c r="C151" t="s">
        <v>2470</v>
      </c>
      <c r="D151" t="s">
        <v>1410</v>
      </c>
      <c r="E151" t="s">
        <v>3397</v>
      </c>
      <c r="F151" s="853" t="s">
        <v>528</v>
      </c>
      <c r="G151" s="913" t="s">
        <v>1435</v>
      </c>
      <c r="H151" t="s">
        <v>3400</v>
      </c>
    </row>
    <row r="152" spans="2:8">
      <c r="B152" s="871">
        <v>46266</v>
      </c>
      <c r="C152" t="s">
        <v>2470</v>
      </c>
      <c r="D152" t="s">
        <v>1434</v>
      </c>
      <c r="E152" t="s">
        <v>42</v>
      </c>
      <c r="F152" s="853" t="s">
        <v>526</v>
      </c>
      <c r="G152" s="913" t="s">
        <v>1436</v>
      </c>
      <c r="H152" t="s">
        <v>3401</v>
      </c>
    </row>
    <row r="153" spans="2:8">
      <c r="B153" s="871">
        <v>46266</v>
      </c>
      <c r="C153" t="s">
        <v>2470</v>
      </c>
      <c r="D153" t="s">
        <v>1434</v>
      </c>
      <c r="E153" t="s">
        <v>42</v>
      </c>
      <c r="F153" s="853" t="s">
        <v>527</v>
      </c>
      <c r="G153" s="913" t="s">
        <v>1437</v>
      </c>
      <c r="H153" t="s">
        <v>3402</v>
      </c>
    </row>
    <row r="154" spans="2:8">
      <c r="B154" s="871">
        <v>46266</v>
      </c>
      <c r="C154" t="s">
        <v>2470</v>
      </c>
      <c r="D154" t="s">
        <v>1434</v>
      </c>
      <c r="E154" t="s">
        <v>42</v>
      </c>
      <c r="F154" s="853" t="s">
        <v>528</v>
      </c>
      <c r="G154" s="913" t="s">
        <v>1437</v>
      </c>
      <c r="H154" t="s">
        <v>3403</v>
      </c>
    </row>
    <row r="155" spans="2:8">
      <c r="B155" s="871">
        <v>46266</v>
      </c>
      <c r="C155" t="s">
        <v>2470</v>
      </c>
      <c r="D155" t="s">
        <v>1410</v>
      </c>
      <c r="E155" t="s">
        <v>3404</v>
      </c>
      <c r="F155" s="853" t="s">
        <v>526</v>
      </c>
      <c r="G155" s="913" t="s">
        <v>1438</v>
      </c>
      <c r="H155" t="s">
        <v>3405</v>
      </c>
    </row>
    <row r="156" spans="2:8">
      <c r="B156" s="871">
        <v>46266</v>
      </c>
      <c r="C156" t="s">
        <v>2470</v>
      </c>
      <c r="D156" t="s">
        <v>1410</v>
      </c>
      <c r="E156" t="s">
        <v>3404</v>
      </c>
      <c r="F156" s="853" t="s">
        <v>527</v>
      </c>
      <c r="G156" s="913" t="s">
        <v>1419</v>
      </c>
      <c r="H156" t="s">
        <v>3406</v>
      </c>
    </row>
    <row r="157" spans="2:8">
      <c r="B157" s="871">
        <v>46266</v>
      </c>
      <c r="C157" t="s">
        <v>2470</v>
      </c>
      <c r="D157" t="s">
        <v>1410</v>
      </c>
      <c r="E157" t="s">
        <v>3404</v>
      </c>
      <c r="F157" s="853" t="s">
        <v>528</v>
      </c>
      <c r="G157" s="913" t="s">
        <v>1419</v>
      </c>
      <c r="H157" t="s">
        <v>3407</v>
      </c>
    </row>
    <row r="158" spans="2:8">
      <c r="B158" s="871">
        <v>46266</v>
      </c>
      <c r="C158" t="s">
        <v>2470</v>
      </c>
      <c r="D158" t="s">
        <v>1434</v>
      </c>
      <c r="E158" t="s">
        <v>1439</v>
      </c>
      <c r="F158" s="853" t="s">
        <v>526</v>
      </c>
      <c r="G158" s="913" t="s">
        <v>1440</v>
      </c>
      <c r="H158" t="s">
        <v>3408</v>
      </c>
    </row>
    <row r="159" spans="2:8">
      <c r="B159" s="871">
        <v>46266</v>
      </c>
      <c r="C159" t="s">
        <v>2470</v>
      </c>
      <c r="D159" t="s">
        <v>1434</v>
      </c>
      <c r="E159" t="s">
        <v>1439</v>
      </c>
      <c r="F159" s="853" t="s">
        <v>527</v>
      </c>
      <c r="G159" s="913" t="s">
        <v>1440</v>
      </c>
      <c r="H159" t="s">
        <v>3409</v>
      </c>
    </row>
    <row r="160" spans="2:8">
      <c r="B160" s="871">
        <v>46266</v>
      </c>
      <c r="C160" t="s">
        <v>2470</v>
      </c>
      <c r="D160" t="s">
        <v>1434</v>
      </c>
      <c r="E160" t="s">
        <v>1439</v>
      </c>
      <c r="F160" s="853" t="s">
        <v>528</v>
      </c>
      <c r="G160" s="913" t="s">
        <v>1440</v>
      </c>
      <c r="H160" t="s">
        <v>3410</v>
      </c>
    </row>
    <row r="161" spans="2:8">
      <c r="B161" s="871">
        <v>46266</v>
      </c>
      <c r="C161" t="s">
        <v>2470</v>
      </c>
      <c r="D161" t="s">
        <v>1410</v>
      </c>
      <c r="E161" t="s">
        <v>3411</v>
      </c>
      <c r="F161" s="853" t="s">
        <v>526</v>
      </c>
      <c r="G161" s="913">
        <v>40</v>
      </c>
      <c r="H161" t="s">
        <v>3412</v>
      </c>
    </row>
    <row r="162" spans="2:8">
      <c r="B162" s="871">
        <v>46266</v>
      </c>
      <c r="C162" t="s">
        <v>2470</v>
      </c>
      <c r="D162" t="s">
        <v>1410</v>
      </c>
      <c r="E162" t="s">
        <v>3411</v>
      </c>
      <c r="F162" s="853" t="s">
        <v>527</v>
      </c>
      <c r="G162" s="913">
        <v>40</v>
      </c>
      <c r="H162" t="s">
        <v>3413</v>
      </c>
    </row>
    <row r="163" spans="2:8">
      <c r="B163" s="871">
        <v>46266</v>
      </c>
      <c r="C163" t="s">
        <v>2470</v>
      </c>
      <c r="D163" t="s">
        <v>1410</v>
      </c>
      <c r="E163" t="s">
        <v>3411</v>
      </c>
      <c r="F163" s="853" t="s">
        <v>528</v>
      </c>
      <c r="G163" s="913">
        <v>38</v>
      </c>
      <c r="H163" t="s">
        <v>3414</v>
      </c>
    </row>
    <row r="164" spans="2:8">
      <c r="B164" s="871">
        <v>46266</v>
      </c>
      <c r="C164" t="s">
        <v>2470</v>
      </c>
      <c r="D164" t="s">
        <v>1434</v>
      </c>
      <c r="E164" t="s">
        <v>43</v>
      </c>
      <c r="F164" s="853" t="s">
        <v>526</v>
      </c>
      <c r="G164" s="913" t="s">
        <v>9404</v>
      </c>
      <c r="H164" t="s">
        <v>3415</v>
      </c>
    </row>
    <row r="165" spans="2:8">
      <c r="B165" s="871">
        <v>46266</v>
      </c>
      <c r="C165" t="s">
        <v>2470</v>
      </c>
      <c r="D165" t="s">
        <v>1434</v>
      </c>
      <c r="E165" t="s">
        <v>43</v>
      </c>
      <c r="F165" s="853" t="s">
        <v>527</v>
      </c>
      <c r="G165" s="913" t="s">
        <v>9405</v>
      </c>
      <c r="H165" t="s">
        <v>3416</v>
      </c>
    </row>
    <row r="166" spans="2:8">
      <c r="B166" s="871">
        <v>46266</v>
      </c>
      <c r="C166" t="s">
        <v>2470</v>
      </c>
      <c r="D166" t="s">
        <v>1434</v>
      </c>
      <c r="E166" t="s">
        <v>43</v>
      </c>
      <c r="F166" s="853" t="s">
        <v>528</v>
      </c>
      <c r="G166" s="913" t="s">
        <v>9405</v>
      </c>
      <c r="H166" t="s">
        <v>3417</v>
      </c>
    </row>
    <row r="167" spans="2:8">
      <c r="B167" s="871">
        <v>46266</v>
      </c>
      <c r="C167" t="s">
        <v>2470</v>
      </c>
      <c r="D167" t="s">
        <v>1410</v>
      </c>
      <c r="E167" t="s">
        <v>3418</v>
      </c>
      <c r="F167" s="853" t="s">
        <v>526</v>
      </c>
      <c r="G167" s="913">
        <v>88</v>
      </c>
      <c r="H167" t="s">
        <v>3419</v>
      </c>
    </row>
    <row r="168" spans="2:8">
      <c r="B168" s="871">
        <v>46266</v>
      </c>
      <c r="C168" t="s">
        <v>2470</v>
      </c>
      <c r="D168" t="s">
        <v>1410</v>
      </c>
      <c r="E168" t="s">
        <v>3418</v>
      </c>
      <c r="F168" s="853" t="s">
        <v>527</v>
      </c>
      <c r="G168" s="913">
        <v>88</v>
      </c>
      <c r="H168" t="s">
        <v>3420</v>
      </c>
    </row>
    <row r="169" spans="2:8">
      <c r="B169" s="871">
        <v>46266</v>
      </c>
      <c r="C169" t="s">
        <v>2470</v>
      </c>
      <c r="D169" t="s">
        <v>1410</v>
      </c>
      <c r="E169" t="s">
        <v>3418</v>
      </c>
      <c r="F169" s="853" t="s">
        <v>528</v>
      </c>
      <c r="G169" s="913">
        <v>92</v>
      </c>
      <c r="H169" t="s">
        <v>3421</v>
      </c>
    </row>
    <row r="170" spans="2:8">
      <c r="B170" s="871">
        <v>46266</v>
      </c>
      <c r="C170" t="s">
        <v>2470</v>
      </c>
      <c r="D170" t="s">
        <v>1434</v>
      </c>
      <c r="E170" t="s">
        <v>1441</v>
      </c>
      <c r="F170" s="853" t="s">
        <v>526</v>
      </c>
      <c r="G170" s="913" t="s">
        <v>9406</v>
      </c>
      <c r="H170" t="s">
        <v>3422</v>
      </c>
    </row>
    <row r="171" spans="2:8">
      <c r="B171" s="871">
        <v>46266</v>
      </c>
      <c r="C171" t="s">
        <v>2470</v>
      </c>
      <c r="D171" t="s">
        <v>1434</v>
      </c>
      <c r="E171" t="s">
        <v>1441</v>
      </c>
      <c r="F171" s="853" t="s">
        <v>527</v>
      </c>
      <c r="H171" t="s">
        <v>3423</v>
      </c>
    </row>
    <row r="172" spans="2:8">
      <c r="B172" s="871">
        <v>46266</v>
      </c>
      <c r="C172" t="s">
        <v>2470</v>
      </c>
      <c r="D172" t="s">
        <v>1434</v>
      </c>
      <c r="E172" t="s">
        <v>1441</v>
      </c>
      <c r="F172" s="853" t="s">
        <v>528</v>
      </c>
      <c r="H172" t="s">
        <v>3424</v>
      </c>
    </row>
    <row r="173" spans="2:8">
      <c r="B173" s="871">
        <v>46266</v>
      </c>
      <c r="C173" t="s">
        <v>2470</v>
      </c>
      <c r="D173" t="s">
        <v>1410</v>
      </c>
      <c r="E173" t="s">
        <v>3425</v>
      </c>
      <c r="F173" s="853" t="s">
        <v>526</v>
      </c>
      <c r="G173" s="913" t="s">
        <v>1443</v>
      </c>
      <c r="H173" t="s">
        <v>3426</v>
      </c>
    </row>
    <row r="174" spans="2:8">
      <c r="B174" s="871">
        <v>46266</v>
      </c>
      <c r="C174" t="s">
        <v>2470</v>
      </c>
      <c r="D174" t="s">
        <v>1410</v>
      </c>
      <c r="E174" t="s">
        <v>3425</v>
      </c>
      <c r="F174" s="853" t="s">
        <v>527</v>
      </c>
      <c r="G174" s="913" t="s">
        <v>1443</v>
      </c>
      <c r="H174" t="s">
        <v>3427</v>
      </c>
    </row>
    <row r="175" spans="2:8">
      <c r="B175" s="871">
        <v>46266</v>
      </c>
      <c r="C175" t="s">
        <v>2470</v>
      </c>
      <c r="D175" t="s">
        <v>1410</v>
      </c>
      <c r="E175" t="s">
        <v>3425</v>
      </c>
      <c r="F175" s="853" t="s">
        <v>528</v>
      </c>
      <c r="G175" s="913" t="s">
        <v>1443</v>
      </c>
      <c r="H175" t="s">
        <v>3428</v>
      </c>
    </row>
    <row r="176" spans="2:8">
      <c r="B176" s="871">
        <v>46266</v>
      </c>
      <c r="C176" t="s">
        <v>2470</v>
      </c>
      <c r="D176" t="s">
        <v>1434</v>
      </c>
      <c r="E176" t="s">
        <v>1444</v>
      </c>
      <c r="F176" s="853" t="s">
        <v>526</v>
      </c>
      <c r="G176" s="913" t="s">
        <v>9407</v>
      </c>
      <c r="H176" t="s">
        <v>3429</v>
      </c>
    </row>
    <row r="177" spans="2:8">
      <c r="B177" s="871">
        <v>46266</v>
      </c>
      <c r="C177" t="s">
        <v>2470</v>
      </c>
      <c r="D177" t="s">
        <v>1434</v>
      </c>
      <c r="E177" t="s">
        <v>1444</v>
      </c>
      <c r="F177" s="853" t="s">
        <v>527</v>
      </c>
      <c r="H177" t="s">
        <v>3430</v>
      </c>
    </row>
    <row r="178" spans="2:8">
      <c r="B178" s="871">
        <v>46266</v>
      </c>
      <c r="C178" t="s">
        <v>2470</v>
      </c>
      <c r="D178" t="s">
        <v>1434</v>
      </c>
      <c r="E178" t="s">
        <v>1444</v>
      </c>
      <c r="F178" s="853" t="s">
        <v>528</v>
      </c>
      <c r="H178" t="s">
        <v>3431</v>
      </c>
    </row>
    <row r="179" spans="2:8">
      <c r="B179" s="871">
        <v>46266</v>
      </c>
      <c r="C179" t="s">
        <v>2470</v>
      </c>
      <c r="D179" t="s">
        <v>1434</v>
      </c>
      <c r="E179" t="s">
        <v>1446</v>
      </c>
      <c r="F179" s="853" t="s">
        <v>526</v>
      </c>
      <c r="G179" s="913">
        <v>168408</v>
      </c>
      <c r="H179" t="s">
        <v>3432</v>
      </c>
    </row>
    <row r="180" spans="2:8">
      <c r="B180" s="871">
        <v>46266</v>
      </c>
      <c r="C180" t="s">
        <v>2470</v>
      </c>
      <c r="D180" t="s">
        <v>1434</v>
      </c>
      <c r="E180" t="s">
        <v>1446</v>
      </c>
      <c r="F180" s="853" t="s">
        <v>527</v>
      </c>
      <c r="G180" s="913">
        <v>37000</v>
      </c>
      <c r="H180" t="s">
        <v>3433</v>
      </c>
    </row>
    <row r="181" spans="2:8">
      <c r="B181" s="871">
        <v>46266</v>
      </c>
      <c r="C181" t="s">
        <v>2470</v>
      </c>
      <c r="D181" t="s">
        <v>1434</v>
      </c>
      <c r="E181" t="s">
        <v>1446</v>
      </c>
      <c r="F181" s="853" t="s">
        <v>528</v>
      </c>
      <c r="G181" s="913">
        <v>68000</v>
      </c>
      <c r="H181" t="s">
        <v>3434</v>
      </c>
    </row>
    <row r="182" spans="2:8">
      <c r="B182" s="871">
        <v>46266</v>
      </c>
      <c r="C182" t="s">
        <v>2470</v>
      </c>
      <c r="D182" t="s">
        <v>1410</v>
      </c>
      <c r="E182" t="s">
        <v>3435</v>
      </c>
      <c r="F182" s="853" t="s">
        <v>526</v>
      </c>
      <c r="G182" s="913" t="s">
        <v>1213</v>
      </c>
      <c r="H182" t="s">
        <v>3436</v>
      </c>
    </row>
    <row r="183" spans="2:8">
      <c r="B183" s="871">
        <v>46266</v>
      </c>
      <c r="C183" t="s">
        <v>2470</v>
      </c>
      <c r="D183" t="s">
        <v>1410</v>
      </c>
      <c r="E183" t="s">
        <v>3435</v>
      </c>
      <c r="F183" s="853" t="s">
        <v>527</v>
      </c>
      <c r="G183" s="913" t="s">
        <v>1213</v>
      </c>
      <c r="H183" t="s">
        <v>3437</v>
      </c>
    </row>
    <row r="184" spans="2:8">
      <c r="B184" s="871">
        <v>46266</v>
      </c>
      <c r="C184" t="s">
        <v>2470</v>
      </c>
      <c r="D184" t="s">
        <v>1410</v>
      </c>
      <c r="E184" t="s">
        <v>3435</v>
      </c>
      <c r="F184" s="853" t="s">
        <v>528</v>
      </c>
      <c r="G184" s="913" t="s">
        <v>1213</v>
      </c>
      <c r="H184" t="s">
        <v>3438</v>
      </c>
    </row>
    <row r="185" spans="2:8">
      <c r="B185" s="871">
        <v>46266</v>
      </c>
      <c r="C185" t="s">
        <v>2470</v>
      </c>
      <c r="D185" t="s">
        <v>1434</v>
      </c>
      <c r="E185" t="s">
        <v>3439</v>
      </c>
      <c r="F185" s="853" t="s">
        <v>526</v>
      </c>
      <c r="G185" s="913" t="s">
        <v>1437</v>
      </c>
      <c r="H185" t="s">
        <v>3440</v>
      </c>
    </row>
    <row r="186" spans="2:8">
      <c r="B186" s="871">
        <v>46266</v>
      </c>
      <c r="C186" t="s">
        <v>2470</v>
      </c>
      <c r="D186" t="s">
        <v>1434</v>
      </c>
      <c r="E186" t="s">
        <v>3439</v>
      </c>
      <c r="F186" s="853" t="s">
        <v>527</v>
      </c>
      <c r="H186" t="s">
        <v>3441</v>
      </c>
    </row>
    <row r="187" spans="2:8">
      <c r="B187" s="871">
        <v>46266</v>
      </c>
      <c r="C187" t="s">
        <v>2470</v>
      </c>
      <c r="D187" t="s">
        <v>1434</v>
      </c>
      <c r="E187" t="s">
        <v>3439</v>
      </c>
      <c r="F187" s="853" t="s">
        <v>528</v>
      </c>
      <c r="H187" t="s">
        <v>3442</v>
      </c>
    </row>
    <row r="188" spans="2:8">
      <c r="B188" s="871">
        <v>46266</v>
      </c>
      <c r="C188" t="s">
        <v>2470</v>
      </c>
      <c r="D188" t="s">
        <v>1410</v>
      </c>
      <c r="E188" t="s">
        <v>3443</v>
      </c>
      <c r="F188" s="853" t="s">
        <v>526</v>
      </c>
      <c r="G188" s="913">
        <v>127</v>
      </c>
      <c r="H188" t="s">
        <v>3444</v>
      </c>
    </row>
    <row r="189" spans="2:8">
      <c r="B189" s="871">
        <v>46266</v>
      </c>
      <c r="C189" t="s">
        <v>2470</v>
      </c>
      <c r="D189" t="s">
        <v>1410</v>
      </c>
      <c r="E189" t="s">
        <v>3443</v>
      </c>
      <c r="F189" s="853" t="s">
        <v>527</v>
      </c>
      <c r="G189" s="913">
        <v>122</v>
      </c>
      <c r="H189" t="s">
        <v>3445</v>
      </c>
    </row>
    <row r="190" spans="2:8">
      <c r="B190" s="871">
        <v>46266</v>
      </c>
      <c r="C190" t="s">
        <v>2470</v>
      </c>
      <c r="D190" t="s">
        <v>1410</v>
      </c>
      <c r="E190" t="s">
        <v>3443</v>
      </c>
      <c r="F190" s="853" t="s">
        <v>528</v>
      </c>
      <c r="G190" s="913">
        <v>129</v>
      </c>
      <c r="H190" t="s">
        <v>3446</v>
      </c>
    </row>
    <row r="191" spans="2:8">
      <c r="B191" s="871">
        <v>46266</v>
      </c>
      <c r="C191" t="s">
        <v>2470</v>
      </c>
      <c r="D191" t="s">
        <v>1434</v>
      </c>
      <c r="E191" t="s">
        <v>3447</v>
      </c>
      <c r="F191" s="853" t="s">
        <v>526</v>
      </c>
      <c r="G191" s="913" t="s">
        <v>1440</v>
      </c>
      <c r="H191" t="s">
        <v>3448</v>
      </c>
    </row>
    <row r="192" spans="2:8">
      <c r="B192" s="871">
        <v>46266</v>
      </c>
      <c r="C192" t="s">
        <v>2470</v>
      </c>
      <c r="D192" t="s">
        <v>1434</v>
      </c>
      <c r="E192" t="s">
        <v>3447</v>
      </c>
      <c r="F192" s="853" t="s">
        <v>527</v>
      </c>
      <c r="H192" t="s">
        <v>3449</v>
      </c>
    </row>
    <row r="193" spans="2:8">
      <c r="B193" s="871">
        <v>46266</v>
      </c>
      <c r="C193" t="s">
        <v>2470</v>
      </c>
      <c r="D193" t="s">
        <v>1434</v>
      </c>
      <c r="E193" t="s">
        <v>3447</v>
      </c>
      <c r="F193" s="853" t="s">
        <v>528</v>
      </c>
      <c r="H193" t="s">
        <v>3450</v>
      </c>
    </row>
    <row r="194" spans="2:8">
      <c r="B194" s="871">
        <v>46266</v>
      </c>
      <c r="C194" t="s">
        <v>2470</v>
      </c>
      <c r="D194" t="s">
        <v>1410</v>
      </c>
      <c r="E194" t="s">
        <v>3451</v>
      </c>
      <c r="F194" s="853" t="s">
        <v>526</v>
      </c>
      <c r="G194" s="913">
        <v>1410</v>
      </c>
      <c r="H194" t="s">
        <v>3452</v>
      </c>
    </row>
    <row r="195" spans="2:8">
      <c r="B195" s="871">
        <v>46266</v>
      </c>
      <c r="C195" t="s">
        <v>2470</v>
      </c>
      <c r="D195" t="s">
        <v>1410</v>
      </c>
      <c r="E195" t="s">
        <v>3451</v>
      </c>
      <c r="F195" s="853" t="s">
        <v>527</v>
      </c>
      <c r="G195" s="913">
        <v>1415</v>
      </c>
      <c r="H195" t="s">
        <v>3453</v>
      </c>
    </row>
    <row r="196" spans="2:8">
      <c r="B196" s="871">
        <v>46266</v>
      </c>
      <c r="C196" t="s">
        <v>2470</v>
      </c>
      <c r="D196" t="s">
        <v>1410</v>
      </c>
      <c r="E196" t="s">
        <v>3451</v>
      </c>
      <c r="F196" s="853" t="s">
        <v>528</v>
      </c>
      <c r="G196" s="913">
        <v>1400</v>
      </c>
      <c r="H196" t="s">
        <v>3454</v>
      </c>
    </row>
    <row r="197" spans="2:8">
      <c r="B197" s="871">
        <v>46266</v>
      </c>
      <c r="C197" t="s">
        <v>2470</v>
      </c>
      <c r="D197" t="s">
        <v>1434</v>
      </c>
      <c r="E197" t="s">
        <v>3455</v>
      </c>
      <c r="F197" s="853" t="s">
        <v>526</v>
      </c>
      <c r="G197" s="913" t="s">
        <v>9405</v>
      </c>
      <c r="H197" t="s">
        <v>3456</v>
      </c>
    </row>
    <row r="198" spans="2:8">
      <c r="B198" s="871">
        <v>46266</v>
      </c>
      <c r="C198" t="s">
        <v>2470</v>
      </c>
      <c r="D198" t="s">
        <v>1434</v>
      </c>
      <c r="E198" t="s">
        <v>3455</v>
      </c>
      <c r="F198" s="853" t="s">
        <v>527</v>
      </c>
      <c r="H198" t="s">
        <v>3457</v>
      </c>
    </row>
    <row r="199" spans="2:8">
      <c r="B199" s="871">
        <v>46266</v>
      </c>
      <c r="C199" t="s">
        <v>2470</v>
      </c>
      <c r="D199" t="s">
        <v>1434</v>
      </c>
      <c r="E199" t="s">
        <v>3455</v>
      </c>
      <c r="F199" s="853" t="s">
        <v>528</v>
      </c>
      <c r="H199" t="s">
        <v>3458</v>
      </c>
    </row>
    <row r="200" spans="2:8">
      <c r="B200" s="871">
        <v>46266</v>
      </c>
      <c r="C200" t="s">
        <v>2470</v>
      </c>
      <c r="D200" t="s">
        <v>1410</v>
      </c>
      <c r="E200" t="s">
        <v>3459</v>
      </c>
      <c r="F200" s="853" t="s">
        <v>526</v>
      </c>
      <c r="G200" s="913">
        <v>31</v>
      </c>
      <c r="H200" t="s">
        <v>3460</v>
      </c>
    </row>
    <row r="201" spans="2:8">
      <c r="B201" s="871">
        <v>46266</v>
      </c>
      <c r="C201" t="s">
        <v>2470</v>
      </c>
      <c r="D201" t="s">
        <v>1410</v>
      </c>
      <c r="E201" t="s">
        <v>3459</v>
      </c>
      <c r="F201" s="853" t="s">
        <v>527</v>
      </c>
      <c r="G201" s="913">
        <v>30</v>
      </c>
      <c r="H201" t="s">
        <v>3461</v>
      </c>
    </row>
    <row r="202" spans="2:8">
      <c r="B202" s="871">
        <v>46266</v>
      </c>
      <c r="C202" t="s">
        <v>2470</v>
      </c>
      <c r="D202" t="s">
        <v>1410</v>
      </c>
      <c r="E202" t="s">
        <v>3459</v>
      </c>
      <c r="F202" s="853" t="s">
        <v>528</v>
      </c>
      <c r="G202" s="913">
        <v>28</v>
      </c>
      <c r="H202" t="s">
        <v>3462</v>
      </c>
    </row>
    <row r="203" spans="2:8">
      <c r="B203" s="871">
        <v>46266</v>
      </c>
      <c r="C203" t="s">
        <v>2470</v>
      </c>
      <c r="D203" t="s">
        <v>1434</v>
      </c>
      <c r="E203" t="s">
        <v>3463</v>
      </c>
      <c r="F203" s="853" t="s">
        <v>526</v>
      </c>
      <c r="H203" t="s">
        <v>3464</v>
      </c>
    </row>
    <row r="204" spans="2:8">
      <c r="B204" s="871">
        <v>46266</v>
      </c>
      <c r="C204" t="s">
        <v>2470</v>
      </c>
      <c r="D204" t="s">
        <v>1434</v>
      </c>
      <c r="E204" t="s">
        <v>3463</v>
      </c>
      <c r="F204" s="853" t="s">
        <v>527</v>
      </c>
      <c r="H204" t="s">
        <v>3465</v>
      </c>
    </row>
    <row r="205" spans="2:8">
      <c r="B205" s="871">
        <v>46266</v>
      </c>
      <c r="C205" t="s">
        <v>2470</v>
      </c>
      <c r="D205" t="s">
        <v>1434</v>
      </c>
      <c r="E205" t="s">
        <v>3463</v>
      </c>
      <c r="F205" s="853" t="s">
        <v>528</v>
      </c>
      <c r="H205" t="s">
        <v>3466</v>
      </c>
    </row>
    <row r="206" spans="2:8">
      <c r="B206" s="871">
        <v>46266</v>
      </c>
      <c r="C206" t="s">
        <v>2470</v>
      </c>
      <c r="D206" t="s">
        <v>1410</v>
      </c>
      <c r="E206" t="s">
        <v>3467</v>
      </c>
      <c r="F206" s="853" t="s">
        <v>526</v>
      </c>
      <c r="G206" s="913">
        <v>31</v>
      </c>
      <c r="H206" t="s">
        <v>3468</v>
      </c>
    </row>
    <row r="207" spans="2:8">
      <c r="B207" s="871">
        <v>46266</v>
      </c>
      <c r="C207" t="s">
        <v>2470</v>
      </c>
      <c r="D207" t="s">
        <v>1410</v>
      </c>
      <c r="E207" t="s">
        <v>3467</v>
      </c>
      <c r="F207" s="853" t="s">
        <v>527</v>
      </c>
      <c r="G207" s="913">
        <v>30</v>
      </c>
      <c r="H207" t="s">
        <v>3469</v>
      </c>
    </row>
    <row r="208" spans="2:8">
      <c r="B208" s="871">
        <v>46266</v>
      </c>
      <c r="C208" t="s">
        <v>2470</v>
      </c>
      <c r="D208" t="s">
        <v>1410</v>
      </c>
      <c r="E208" t="s">
        <v>3467</v>
      </c>
      <c r="F208" s="853" t="s">
        <v>528</v>
      </c>
      <c r="G208" s="913">
        <v>28</v>
      </c>
      <c r="H208" t="s">
        <v>3470</v>
      </c>
    </row>
    <row r="209" spans="2:8">
      <c r="B209" s="871">
        <v>46266</v>
      </c>
      <c r="C209" t="s">
        <v>2470</v>
      </c>
      <c r="D209" t="s">
        <v>1434</v>
      </c>
      <c r="E209" t="s">
        <v>3471</v>
      </c>
      <c r="F209" s="853" t="s">
        <v>526</v>
      </c>
      <c r="H209" t="s">
        <v>3472</v>
      </c>
    </row>
    <row r="210" spans="2:8">
      <c r="B210" s="871">
        <v>46266</v>
      </c>
      <c r="C210" t="s">
        <v>2470</v>
      </c>
      <c r="D210" t="s">
        <v>1434</v>
      </c>
      <c r="E210" t="s">
        <v>3471</v>
      </c>
      <c r="F210" s="853" t="s">
        <v>527</v>
      </c>
      <c r="H210" t="s">
        <v>3473</v>
      </c>
    </row>
    <row r="211" spans="2:8">
      <c r="B211" s="871">
        <v>46266</v>
      </c>
      <c r="C211" t="s">
        <v>2470</v>
      </c>
      <c r="D211" t="s">
        <v>1434</v>
      </c>
      <c r="E211" t="s">
        <v>3471</v>
      </c>
      <c r="F211" s="853" t="s">
        <v>528</v>
      </c>
      <c r="H211" t="s">
        <v>3474</v>
      </c>
    </row>
    <row r="212" spans="2:8">
      <c r="B212" s="871">
        <v>46266</v>
      </c>
      <c r="C212" t="s">
        <v>2470</v>
      </c>
      <c r="D212" t="s">
        <v>1410</v>
      </c>
      <c r="E212" t="s">
        <v>3475</v>
      </c>
      <c r="F212" s="853" t="s">
        <v>526</v>
      </c>
      <c r="G212" s="913">
        <v>17</v>
      </c>
      <c r="H212" t="s">
        <v>3476</v>
      </c>
    </row>
    <row r="213" spans="2:8">
      <c r="B213" s="871">
        <v>46266</v>
      </c>
      <c r="C213" t="s">
        <v>2470</v>
      </c>
      <c r="D213" t="s">
        <v>1410</v>
      </c>
      <c r="E213" t="s">
        <v>3475</v>
      </c>
      <c r="F213" s="853" t="s">
        <v>527</v>
      </c>
      <c r="G213" s="913">
        <v>18</v>
      </c>
      <c r="H213" t="s">
        <v>3477</v>
      </c>
    </row>
    <row r="214" spans="2:8">
      <c r="B214" s="871">
        <v>46266</v>
      </c>
      <c r="C214" t="s">
        <v>2470</v>
      </c>
      <c r="D214" t="s">
        <v>1410</v>
      </c>
      <c r="E214" t="s">
        <v>3475</v>
      </c>
      <c r="F214" s="853" t="s">
        <v>528</v>
      </c>
      <c r="G214" s="913">
        <v>19</v>
      </c>
      <c r="H214" t="s">
        <v>3478</v>
      </c>
    </row>
    <row r="215" spans="2:8">
      <c r="B215" s="871">
        <v>46266</v>
      </c>
      <c r="C215" t="s">
        <v>2470</v>
      </c>
      <c r="D215" t="s">
        <v>1434</v>
      </c>
      <c r="E215" t="s">
        <v>3479</v>
      </c>
      <c r="F215" s="853" t="s">
        <v>526</v>
      </c>
      <c r="G215" s="913">
        <v>3600</v>
      </c>
      <c r="H215" t="s">
        <v>3480</v>
      </c>
    </row>
    <row r="216" spans="2:8">
      <c r="B216" s="871">
        <v>46266</v>
      </c>
      <c r="C216" t="s">
        <v>2470</v>
      </c>
      <c r="D216" t="s">
        <v>1434</v>
      </c>
      <c r="E216" t="s">
        <v>3479</v>
      </c>
      <c r="F216" s="853" t="s">
        <v>527</v>
      </c>
      <c r="H216" t="s">
        <v>3481</v>
      </c>
    </row>
    <row r="217" spans="2:8">
      <c r="B217" s="871">
        <v>46266</v>
      </c>
      <c r="C217" t="s">
        <v>2470</v>
      </c>
      <c r="D217" t="s">
        <v>1434</v>
      </c>
      <c r="E217" t="s">
        <v>3479</v>
      </c>
      <c r="F217" s="853" t="s">
        <v>528</v>
      </c>
      <c r="H217" t="s">
        <v>3482</v>
      </c>
    </row>
    <row r="218" spans="2:8">
      <c r="B218" s="871">
        <v>46266</v>
      </c>
      <c r="C218" t="s">
        <v>2470</v>
      </c>
      <c r="D218" t="s">
        <v>1410</v>
      </c>
      <c r="E218" t="s">
        <v>3483</v>
      </c>
      <c r="F218" s="853" t="s">
        <v>526</v>
      </c>
      <c r="G218" s="913">
        <v>5</v>
      </c>
      <c r="H218" t="s">
        <v>3484</v>
      </c>
    </row>
    <row r="219" spans="2:8">
      <c r="B219" s="871">
        <v>46266</v>
      </c>
      <c r="C219" t="s">
        <v>2470</v>
      </c>
      <c r="D219" t="s">
        <v>1410</v>
      </c>
      <c r="E219" t="s">
        <v>3483</v>
      </c>
      <c r="F219" s="853" t="s">
        <v>527</v>
      </c>
      <c r="G219" s="913">
        <v>5</v>
      </c>
      <c r="H219" t="s">
        <v>3485</v>
      </c>
    </row>
    <row r="220" spans="2:8">
      <c r="B220" s="871">
        <v>46266</v>
      </c>
      <c r="C220" t="s">
        <v>2470</v>
      </c>
      <c r="D220" t="s">
        <v>1410</v>
      </c>
      <c r="E220" t="s">
        <v>3483</v>
      </c>
      <c r="F220" s="853" t="s">
        <v>528</v>
      </c>
      <c r="G220" s="913">
        <v>5</v>
      </c>
      <c r="H220" t="s">
        <v>3486</v>
      </c>
    </row>
    <row r="221" spans="2:8">
      <c r="B221" s="871">
        <v>46267</v>
      </c>
      <c r="C221" t="s">
        <v>2471</v>
      </c>
      <c r="D221" t="s">
        <v>1375</v>
      </c>
      <c r="E221" t="s">
        <v>1377</v>
      </c>
      <c r="F221" s="853" t="s">
        <v>526</v>
      </c>
      <c r="G221" s="913" t="s">
        <v>1378</v>
      </c>
      <c r="H221" t="s">
        <v>3487</v>
      </c>
    </row>
    <row r="222" spans="2:8">
      <c r="B222" s="871">
        <v>46267</v>
      </c>
      <c r="C222" t="s">
        <v>2471</v>
      </c>
      <c r="D222" t="s">
        <v>1375</v>
      </c>
      <c r="E222" t="s">
        <v>1377</v>
      </c>
      <c r="F222" s="853" t="s">
        <v>527</v>
      </c>
      <c r="G222" s="913" t="s">
        <v>1378</v>
      </c>
      <c r="H222" t="s">
        <v>3488</v>
      </c>
    </row>
    <row r="223" spans="2:8">
      <c r="B223" s="871">
        <v>46267</v>
      </c>
      <c r="C223" t="s">
        <v>2471</v>
      </c>
      <c r="D223" t="s">
        <v>1375</v>
      </c>
      <c r="E223" t="s">
        <v>1377</v>
      </c>
      <c r="F223" s="853" t="s">
        <v>528</v>
      </c>
      <c r="G223" s="913" t="s">
        <v>1378</v>
      </c>
      <c r="H223" t="s">
        <v>3489</v>
      </c>
    </row>
    <row r="224" spans="2:8">
      <c r="B224" s="871">
        <v>46267</v>
      </c>
      <c r="C224" t="s">
        <v>2471</v>
      </c>
      <c r="D224" t="s">
        <v>1376</v>
      </c>
      <c r="E224" t="s">
        <v>1379</v>
      </c>
      <c r="F224" s="853" t="s">
        <v>526</v>
      </c>
      <c r="H224" t="s">
        <v>3490</v>
      </c>
    </row>
    <row r="225" spans="2:8">
      <c r="B225" s="871">
        <v>46267</v>
      </c>
      <c r="C225" t="s">
        <v>2471</v>
      </c>
      <c r="D225" t="s">
        <v>1376</v>
      </c>
      <c r="E225" t="s">
        <v>1379</v>
      </c>
      <c r="F225" s="853" t="s">
        <v>527</v>
      </c>
      <c r="H225" t="s">
        <v>3491</v>
      </c>
    </row>
    <row r="226" spans="2:8">
      <c r="B226" s="871">
        <v>46267</v>
      </c>
      <c r="C226" t="s">
        <v>2471</v>
      </c>
      <c r="D226" t="s">
        <v>1376</v>
      </c>
      <c r="E226" t="s">
        <v>1379</v>
      </c>
      <c r="F226" s="853" t="s">
        <v>528</v>
      </c>
      <c r="H226" t="s">
        <v>3492</v>
      </c>
    </row>
    <row r="227" spans="2:8">
      <c r="B227" s="871">
        <v>46267</v>
      </c>
      <c r="C227" t="s">
        <v>2471</v>
      </c>
      <c r="D227" t="s">
        <v>1375</v>
      </c>
      <c r="E227" t="s">
        <v>1380</v>
      </c>
      <c r="F227" s="853" t="s">
        <v>526</v>
      </c>
      <c r="G227" s="913" t="s">
        <v>1381</v>
      </c>
      <c r="H227" t="s">
        <v>3493</v>
      </c>
    </row>
    <row r="228" spans="2:8">
      <c r="B228" s="871">
        <v>46267</v>
      </c>
      <c r="C228" t="s">
        <v>2471</v>
      </c>
      <c r="D228" t="s">
        <v>1375</v>
      </c>
      <c r="E228" t="s">
        <v>1380</v>
      </c>
      <c r="F228" s="853" t="s">
        <v>527</v>
      </c>
      <c r="G228" s="913" t="s">
        <v>1381</v>
      </c>
      <c r="H228" t="s">
        <v>3494</v>
      </c>
    </row>
    <row r="229" spans="2:8">
      <c r="B229" s="871">
        <v>46267</v>
      </c>
      <c r="C229" t="s">
        <v>2471</v>
      </c>
      <c r="D229" t="s">
        <v>1375</v>
      </c>
      <c r="E229" t="s">
        <v>1380</v>
      </c>
      <c r="F229" s="853" t="s">
        <v>528</v>
      </c>
      <c r="G229" s="913" t="s">
        <v>1381</v>
      </c>
      <c r="H229" t="s">
        <v>3495</v>
      </c>
    </row>
    <row r="230" spans="2:8">
      <c r="B230" s="871">
        <v>46267</v>
      </c>
      <c r="C230" t="s">
        <v>2471</v>
      </c>
      <c r="D230" t="s">
        <v>1376</v>
      </c>
      <c r="E230" t="s">
        <v>1383</v>
      </c>
      <c r="F230" s="853" t="s">
        <v>526</v>
      </c>
      <c r="G230" s="913">
        <v>0</v>
      </c>
      <c r="H230" t="s">
        <v>3496</v>
      </c>
    </row>
    <row r="231" spans="2:8">
      <c r="B231" s="871">
        <v>46267</v>
      </c>
      <c r="C231" t="s">
        <v>2471</v>
      </c>
      <c r="D231" t="s">
        <v>1376</v>
      </c>
      <c r="E231" t="s">
        <v>1383</v>
      </c>
      <c r="F231" s="853" t="s">
        <v>527</v>
      </c>
      <c r="H231" t="s">
        <v>3497</v>
      </c>
    </row>
    <row r="232" spans="2:8">
      <c r="B232" s="871">
        <v>46267</v>
      </c>
      <c r="C232" t="s">
        <v>2471</v>
      </c>
      <c r="D232" t="s">
        <v>1376</v>
      </c>
      <c r="E232" t="s">
        <v>1383</v>
      </c>
      <c r="F232" s="853" t="s">
        <v>528</v>
      </c>
      <c r="G232" s="913">
        <v>0</v>
      </c>
      <c r="H232" t="s">
        <v>3498</v>
      </c>
    </row>
    <row r="233" spans="2:8">
      <c r="B233" s="871">
        <v>46267</v>
      </c>
      <c r="C233" t="s">
        <v>2471</v>
      </c>
      <c r="D233" t="s">
        <v>1375</v>
      </c>
      <c r="E233" t="s">
        <v>54</v>
      </c>
      <c r="F233" s="853" t="s">
        <v>526</v>
      </c>
      <c r="H233" t="s">
        <v>3499</v>
      </c>
    </row>
    <row r="234" spans="2:8">
      <c r="B234" s="871">
        <v>46267</v>
      </c>
      <c r="C234" t="s">
        <v>2471</v>
      </c>
      <c r="D234" t="s">
        <v>1375</v>
      </c>
      <c r="E234" t="s">
        <v>54</v>
      </c>
      <c r="F234" s="853" t="s">
        <v>527</v>
      </c>
      <c r="H234" t="s">
        <v>3500</v>
      </c>
    </row>
    <row r="235" spans="2:8">
      <c r="B235" s="871">
        <v>46267</v>
      </c>
      <c r="C235" t="s">
        <v>2471</v>
      </c>
      <c r="D235" t="s">
        <v>1375</v>
      </c>
      <c r="E235" t="s">
        <v>54</v>
      </c>
      <c r="F235" s="853" t="s">
        <v>528</v>
      </c>
      <c r="H235" t="s">
        <v>3501</v>
      </c>
    </row>
    <row r="236" spans="2:8">
      <c r="B236" s="871">
        <v>46267</v>
      </c>
      <c r="C236" t="s">
        <v>2471</v>
      </c>
      <c r="D236" t="s">
        <v>1376</v>
      </c>
      <c r="E236" t="s">
        <v>1384</v>
      </c>
      <c r="F236" s="853" t="s">
        <v>526</v>
      </c>
      <c r="G236" s="913">
        <v>0.5</v>
      </c>
      <c r="H236" t="s">
        <v>3502</v>
      </c>
    </row>
    <row r="237" spans="2:8">
      <c r="B237" s="871">
        <v>46267</v>
      </c>
      <c r="C237" t="s">
        <v>2471</v>
      </c>
      <c r="D237" t="s">
        <v>1376</v>
      </c>
      <c r="E237" t="s">
        <v>1384</v>
      </c>
      <c r="F237" s="853" t="s">
        <v>527</v>
      </c>
      <c r="H237" t="s">
        <v>3503</v>
      </c>
    </row>
    <row r="238" spans="2:8">
      <c r="B238" s="871">
        <v>46267</v>
      </c>
      <c r="C238" t="s">
        <v>2471</v>
      </c>
      <c r="D238" t="s">
        <v>1376</v>
      </c>
      <c r="E238" t="s">
        <v>1384</v>
      </c>
      <c r="F238" s="853" t="s">
        <v>528</v>
      </c>
      <c r="G238" s="913">
        <v>0.4</v>
      </c>
      <c r="H238" t="s">
        <v>3504</v>
      </c>
    </row>
    <row r="239" spans="2:8">
      <c r="B239" s="871">
        <v>46267</v>
      </c>
      <c r="C239" t="s">
        <v>2471</v>
      </c>
      <c r="D239" t="s">
        <v>1375</v>
      </c>
      <c r="E239" t="s">
        <v>1385</v>
      </c>
      <c r="F239" s="853" t="s">
        <v>526</v>
      </c>
      <c r="G239" s="913">
        <v>1000</v>
      </c>
      <c r="H239" t="s">
        <v>3505</v>
      </c>
    </row>
    <row r="240" spans="2:8">
      <c r="B240" s="871">
        <v>46267</v>
      </c>
      <c r="C240" t="s">
        <v>2471</v>
      </c>
      <c r="D240" t="s">
        <v>1375</v>
      </c>
      <c r="E240" t="s">
        <v>1385</v>
      </c>
      <c r="F240" s="853" t="s">
        <v>527</v>
      </c>
      <c r="G240" s="913">
        <v>1775</v>
      </c>
      <c r="H240" t="s">
        <v>3506</v>
      </c>
    </row>
    <row r="241" spans="2:8">
      <c r="B241" s="871">
        <v>46267</v>
      </c>
      <c r="C241" t="s">
        <v>2471</v>
      </c>
      <c r="D241" t="s">
        <v>1375</v>
      </c>
      <c r="E241" t="s">
        <v>1385</v>
      </c>
      <c r="F241" s="853" t="s">
        <v>528</v>
      </c>
      <c r="G241" s="913">
        <v>3286</v>
      </c>
      <c r="H241" t="s">
        <v>3507</v>
      </c>
    </row>
    <row r="242" spans="2:8">
      <c r="B242" s="871">
        <v>46267</v>
      </c>
      <c r="C242" t="s">
        <v>2471</v>
      </c>
      <c r="D242" t="s">
        <v>1376</v>
      </c>
      <c r="E242" t="s">
        <v>1386</v>
      </c>
      <c r="F242" s="853" t="s">
        <v>526</v>
      </c>
      <c r="G242" s="913">
        <v>0.45</v>
      </c>
      <c r="H242" t="s">
        <v>3508</v>
      </c>
    </row>
    <row r="243" spans="2:8">
      <c r="B243" s="871">
        <v>46267</v>
      </c>
      <c r="C243" t="s">
        <v>2471</v>
      </c>
      <c r="D243" t="s">
        <v>1376</v>
      </c>
      <c r="E243" t="s">
        <v>1386</v>
      </c>
      <c r="F243" s="853" t="s">
        <v>527</v>
      </c>
      <c r="H243" t="s">
        <v>3509</v>
      </c>
    </row>
    <row r="244" spans="2:8">
      <c r="B244" s="871">
        <v>46267</v>
      </c>
      <c r="C244" t="s">
        <v>2471</v>
      </c>
      <c r="D244" t="s">
        <v>1376</v>
      </c>
      <c r="E244" t="s">
        <v>1386</v>
      </c>
      <c r="F244" s="853" t="s">
        <v>528</v>
      </c>
      <c r="G244" s="913">
        <v>0.5</v>
      </c>
      <c r="H244" t="s">
        <v>3510</v>
      </c>
    </row>
    <row r="245" spans="2:8">
      <c r="B245" s="871">
        <v>46267</v>
      </c>
      <c r="C245" t="s">
        <v>2471</v>
      </c>
      <c r="D245" t="s">
        <v>1376</v>
      </c>
      <c r="E245" t="s">
        <v>1387</v>
      </c>
      <c r="F245" s="853" t="s">
        <v>526</v>
      </c>
      <c r="G245" s="913">
        <v>8.3000000000000007</v>
      </c>
      <c r="H245" t="s">
        <v>3511</v>
      </c>
    </row>
    <row r="246" spans="2:8">
      <c r="B246" s="871">
        <v>46267</v>
      </c>
      <c r="C246" t="s">
        <v>2471</v>
      </c>
      <c r="D246" t="s">
        <v>1376</v>
      </c>
      <c r="E246" t="s">
        <v>1387</v>
      </c>
      <c r="F246" s="853" t="s">
        <v>527</v>
      </c>
      <c r="H246" t="s">
        <v>3512</v>
      </c>
    </row>
    <row r="247" spans="2:8">
      <c r="B247" s="871">
        <v>46267</v>
      </c>
      <c r="C247" t="s">
        <v>2471</v>
      </c>
      <c r="D247" t="s">
        <v>1376</v>
      </c>
      <c r="E247" t="s">
        <v>1387</v>
      </c>
      <c r="F247" s="853" t="s">
        <v>528</v>
      </c>
      <c r="G247" s="913">
        <v>8.1</v>
      </c>
      <c r="H247" t="s">
        <v>3513</v>
      </c>
    </row>
    <row r="248" spans="2:8">
      <c r="B248" s="871">
        <v>46267</v>
      </c>
      <c r="C248" t="s">
        <v>2471</v>
      </c>
      <c r="D248" t="s">
        <v>1375</v>
      </c>
      <c r="E248" t="s">
        <v>1388</v>
      </c>
      <c r="F248" s="853" t="s">
        <v>526</v>
      </c>
      <c r="H248" t="s">
        <v>3514</v>
      </c>
    </row>
    <row r="249" spans="2:8">
      <c r="B249" s="871">
        <v>46267</v>
      </c>
      <c r="C249" t="s">
        <v>2471</v>
      </c>
      <c r="D249" t="s">
        <v>1375</v>
      </c>
      <c r="E249" t="s">
        <v>1388</v>
      </c>
      <c r="F249" s="853" t="s">
        <v>527</v>
      </c>
      <c r="H249" t="s">
        <v>3515</v>
      </c>
    </row>
    <row r="250" spans="2:8">
      <c r="B250" s="871">
        <v>46267</v>
      </c>
      <c r="C250" t="s">
        <v>2471</v>
      </c>
      <c r="D250" t="s">
        <v>1375</v>
      </c>
      <c r="E250" t="s">
        <v>1388</v>
      </c>
      <c r="F250" s="853" t="s">
        <v>528</v>
      </c>
      <c r="H250" t="s">
        <v>3516</v>
      </c>
    </row>
    <row r="251" spans="2:8">
      <c r="B251" s="871">
        <v>46267</v>
      </c>
      <c r="C251" t="s">
        <v>2471</v>
      </c>
      <c r="D251" t="s">
        <v>1376</v>
      </c>
      <c r="E251" t="s">
        <v>1389</v>
      </c>
      <c r="F251" s="853" t="s">
        <v>526</v>
      </c>
      <c r="G251" s="913">
        <v>62.6</v>
      </c>
      <c r="H251" t="s">
        <v>3517</v>
      </c>
    </row>
    <row r="252" spans="2:8">
      <c r="B252" s="871">
        <v>46267</v>
      </c>
      <c r="C252" t="s">
        <v>2471</v>
      </c>
      <c r="D252" t="s">
        <v>1376</v>
      </c>
      <c r="E252" t="s">
        <v>1389</v>
      </c>
      <c r="F252" s="853" t="s">
        <v>527</v>
      </c>
      <c r="H252" t="s">
        <v>3518</v>
      </c>
    </row>
    <row r="253" spans="2:8">
      <c r="B253" s="871">
        <v>46267</v>
      </c>
      <c r="C253" t="s">
        <v>2471</v>
      </c>
      <c r="D253" t="s">
        <v>1376</v>
      </c>
      <c r="E253" t="s">
        <v>1389</v>
      </c>
      <c r="F253" s="853" t="s">
        <v>528</v>
      </c>
      <c r="H253" t="s">
        <v>3519</v>
      </c>
    </row>
    <row r="254" spans="2:8">
      <c r="B254" s="871">
        <v>46267</v>
      </c>
      <c r="C254" t="s">
        <v>2471</v>
      </c>
      <c r="D254" t="s">
        <v>1375</v>
      </c>
      <c r="E254" t="s">
        <v>3266</v>
      </c>
      <c r="F254" s="853" t="s">
        <v>526</v>
      </c>
      <c r="G254" s="913">
        <v>4</v>
      </c>
      <c r="H254" t="s">
        <v>3520</v>
      </c>
    </row>
    <row r="255" spans="2:8">
      <c r="B255" s="871">
        <v>46267</v>
      </c>
      <c r="C255" t="s">
        <v>2471</v>
      </c>
      <c r="D255" t="s">
        <v>1375</v>
      </c>
      <c r="E255" t="s">
        <v>3266</v>
      </c>
      <c r="F255" s="853" t="s">
        <v>527</v>
      </c>
      <c r="G255" s="913">
        <v>2</v>
      </c>
      <c r="H255" t="s">
        <v>3521</v>
      </c>
    </row>
    <row r="256" spans="2:8">
      <c r="B256" s="871">
        <v>46267</v>
      </c>
      <c r="C256" t="s">
        <v>2471</v>
      </c>
      <c r="D256" t="s">
        <v>1375</v>
      </c>
      <c r="E256" t="s">
        <v>3266</v>
      </c>
      <c r="F256" s="853" t="s">
        <v>528</v>
      </c>
      <c r="G256" s="913">
        <v>2</v>
      </c>
      <c r="H256" t="s">
        <v>3522</v>
      </c>
    </row>
    <row r="257" spans="2:8">
      <c r="B257" s="871">
        <v>46267</v>
      </c>
      <c r="C257" t="s">
        <v>2471</v>
      </c>
      <c r="D257" t="s">
        <v>1376</v>
      </c>
      <c r="E257" t="s">
        <v>1390</v>
      </c>
      <c r="F257" s="853" t="s">
        <v>526</v>
      </c>
      <c r="G257" s="913">
        <v>2.0300000000000001E-3</v>
      </c>
      <c r="H257" t="s">
        <v>3523</v>
      </c>
    </row>
    <row r="258" spans="2:8">
      <c r="B258" s="871">
        <v>46267</v>
      </c>
      <c r="C258" t="s">
        <v>2471</v>
      </c>
      <c r="D258" t="s">
        <v>1376</v>
      </c>
      <c r="E258" t="s">
        <v>1390</v>
      </c>
      <c r="F258" s="853" t="s">
        <v>527</v>
      </c>
      <c r="H258" t="s">
        <v>3524</v>
      </c>
    </row>
    <row r="259" spans="2:8">
      <c r="B259" s="871">
        <v>46267</v>
      </c>
      <c r="C259" t="s">
        <v>2471</v>
      </c>
      <c r="D259" t="s">
        <v>1376</v>
      </c>
      <c r="E259" t="s">
        <v>1390</v>
      </c>
      <c r="F259" s="853" t="s">
        <v>528</v>
      </c>
      <c r="H259" t="s">
        <v>3525</v>
      </c>
    </row>
    <row r="260" spans="2:8">
      <c r="B260" s="871">
        <v>46267</v>
      </c>
      <c r="C260" t="s">
        <v>2471</v>
      </c>
      <c r="D260" t="s">
        <v>1375</v>
      </c>
      <c r="E260" t="s">
        <v>3273</v>
      </c>
      <c r="F260" s="853" t="s">
        <v>526</v>
      </c>
      <c r="G260" s="913">
        <v>1</v>
      </c>
      <c r="H260" t="s">
        <v>3526</v>
      </c>
    </row>
    <row r="261" spans="2:8">
      <c r="B261" s="871">
        <v>46267</v>
      </c>
      <c r="C261" t="s">
        <v>2471</v>
      </c>
      <c r="D261" t="s">
        <v>1375</v>
      </c>
      <c r="E261" t="s">
        <v>3273</v>
      </c>
      <c r="F261" s="853" t="s">
        <v>527</v>
      </c>
      <c r="G261" s="913">
        <v>1</v>
      </c>
      <c r="H261" t="s">
        <v>3527</v>
      </c>
    </row>
    <row r="262" spans="2:8">
      <c r="B262" s="871">
        <v>46267</v>
      </c>
      <c r="C262" t="s">
        <v>2471</v>
      </c>
      <c r="D262" t="s">
        <v>1375</v>
      </c>
      <c r="E262" t="s">
        <v>3273</v>
      </c>
      <c r="F262" s="853" t="s">
        <v>528</v>
      </c>
      <c r="G262" s="913">
        <v>1</v>
      </c>
      <c r="H262" t="s">
        <v>3528</v>
      </c>
    </row>
    <row r="263" spans="2:8">
      <c r="B263" s="871">
        <v>46267</v>
      </c>
      <c r="C263" t="s">
        <v>2471</v>
      </c>
      <c r="D263" t="s">
        <v>1376</v>
      </c>
      <c r="E263" t="s">
        <v>1391</v>
      </c>
      <c r="F263" s="853" t="s">
        <v>526</v>
      </c>
      <c r="H263" t="s">
        <v>3529</v>
      </c>
    </row>
    <row r="264" spans="2:8">
      <c r="B264" s="871">
        <v>46267</v>
      </c>
      <c r="C264" t="s">
        <v>2471</v>
      </c>
      <c r="D264" t="s">
        <v>1376</v>
      </c>
      <c r="E264" t="s">
        <v>1391</v>
      </c>
      <c r="F264" s="853" t="s">
        <v>527</v>
      </c>
      <c r="H264" t="s">
        <v>3530</v>
      </c>
    </row>
    <row r="265" spans="2:8">
      <c r="B265" s="871">
        <v>46267</v>
      </c>
      <c r="C265" t="s">
        <v>2471</v>
      </c>
      <c r="D265" t="s">
        <v>1376</v>
      </c>
      <c r="E265" t="s">
        <v>1391</v>
      </c>
      <c r="F265" s="853" t="s">
        <v>528</v>
      </c>
      <c r="G265" s="913">
        <v>8477</v>
      </c>
      <c r="H265" t="s">
        <v>3531</v>
      </c>
    </row>
    <row r="266" spans="2:8">
      <c r="B266" s="871">
        <v>46267</v>
      </c>
      <c r="C266" t="s">
        <v>2471</v>
      </c>
      <c r="D266" t="s">
        <v>1375</v>
      </c>
      <c r="E266" t="s">
        <v>3280</v>
      </c>
      <c r="F266" s="853" t="s">
        <v>526</v>
      </c>
      <c r="G266" s="913">
        <v>3</v>
      </c>
      <c r="H266" t="s">
        <v>3532</v>
      </c>
    </row>
    <row r="267" spans="2:8">
      <c r="B267" s="871">
        <v>46267</v>
      </c>
      <c r="C267" t="s">
        <v>2471</v>
      </c>
      <c r="D267" t="s">
        <v>1375</v>
      </c>
      <c r="E267" t="s">
        <v>3280</v>
      </c>
      <c r="F267" s="853" t="s">
        <v>527</v>
      </c>
      <c r="G267" s="913">
        <v>2</v>
      </c>
      <c r="H267" t="s">
        <v>3533</v>
      </c>
    </row>
    <row r="268" spans="2:8">
      <c r="B268" s="871">
        <v>46267</v>
      </c>
      <c r="C268" t="s">
        <v>2471</v>
      </c>
      <c r="D268" t="s">
        <v>1375</v>
      </c>
      <c r="E268" t="s">
        <v>3280</v>
      </c>
      <c r="F268" s="853" t="s">
        <v>528</v>
      </c>
      <c r="G268" s="913">
        <v>2</v>
      </c>
      <c r="H268" t="s">
        <v>3534</v>
      </c>
    </row>
    <row r="269" spans="2:8">
      <c r="B269" s="871">
        <v>46267</v>
      </c>
      <c r="C269" t="s">
        <v>2471</v>
      </c>
      <c r="D269" t="s">
        <v>1376</v>
      </c>
      <c r="E269" t="s">
        <v>1392</v>
      </c>
      <c r="F269" s="853" t="s">
        <v>526</v>
      </c>
      <c r="G269" s="913">
        <v>8477</v>
      </c>
      <c r="H269" t="s">
        <v>3535</v>
      </c>
    </row>
    <row r="270" spans="2:8">
      <c r="B270" s="871">
        <v>46267</v>
      </c>
      <c r="C270" t="s">
        <v>2471</v>
      </c>
      <c r="D270" t="s">
        <v>1376</v>
      </c>
      <c r="E270" t="s">
        <v>1392</v>
      </c>
      <c r="F270" s="853" t="s">
        <v>527</v>
      </c>
      <c r="H270" t="s">
        <v>3536</v>
      </c>
    </row>
    <row r="271" spans="2:8">
      <c r="B271" s="871">
        <v>46267</v>
      </c>
      <c r="C271" t="s">
        <v>2471</v>
      </c>
      <c r="D271" t="s">
        <v>1376</v>
      </c>
      <c r="E271" t="s">
        <v>1392</v>
      </c>
      <c r="F271" s="853" t="s">
        <v>528</v>
      </c>
      <c r="H271" t="s">
        <v>3537</v>
      </c>
    </row>
    <row r="272" spans="2:8">
      <c r="B272" s="871">
        <v>46267</v>
      </c>
      <c r="C272" t="s">
        <v>2471</v>
      </c>
      <c r="D272" t="s">
        <v>1375</v>
      </c>
      <c r="E272" t="s">
        <v>3287</v>
      </c>
      <c r="F272" s="853" t="s">
        <v>526</v>
      </c>
      <c r="G272" s="913">
        <v>3</v>
      </c>
      <c r="H272" t="s">
        <v>3538</v>
      </c>
    </row>
    <row r="273" spans="2:8">
      <c r="B273" s="871">
        <v>46267</v>
      </c>
      <c r="C273" t="s">
        <v>2471</v>
      </c>
      <c r="D273" t="s">
        <v>1375</v>
      </c>
      <c r="E273" t="s">
        <v>3287</v>
      </c>
      <c r="F273" s="853" t="s">
        <v>527</v>
      </c>
      <c r="G273" s="913">
        <v>2</v>
      </c>
      <c r="H273" t="s">
        <v>3539</v>
      </c>
    </row>
    <row r="274" spans="2:8">
      <c r="B274" s="871">
        <v>46267</v>
      </c>
      <c r="C274" t="s">
        <v>2471</v>
      </c>
      <c r="D274" t="s">
        <v>1375</v>
      </c>
      <c r="E274" t="s">
        <v>3287</v>
      </c>
      <c r="F274" s="853" t="s">
        <v>528</v>
      </c>
      <c r="G274" s="913">
        <v>2</v>
      </c>
      <c r="H274" t="s">
        <v>3540</v>
      </c>
    </row>
    <row r="275" spans="2:8">
      <c r="B275" s="871">
        <v>46267</v>
      </c>
      <c r="C275" t="s">
        <v>2471</v>
      </c>
      <c r="D275" t="s">
        <v>1375</v>
      </c>
      <c r="E275" t="s">
        <v>3291</v>
      </c>
      <c r="F275" s="853" t="s">
        <v>526</v>
      </c>
      <c r="G275" s="913">
        <v>1</v>
      </c>
      <c r="H275" t="s">
        <v>3541</v>
      </c>
    </row>
    <row r="276" spans="2:8">
      <c r="B276" s="871">
        <v>46267</v>
      </c>
      <c r="C276" t="s">
        <v>2471</v>
      </c>
      <c r="D276" t="s">
        <v>1375</v>
      </c>
      <c r="E276" t="s">
        <v>3291</v>
      </c>
      <c r="F276" s="853" t="s">
        <v>527</v>
      </c>
      <c r="G276" s="913">
        <v>1</v>
      </c>
      <c r="H276" t="s">
        <v>3542</v>
      </c>
    </row>
    <row r="277" spans="2:8">
      <c r="B277" s="871">
        <v>46267</v>
      </c>
      <c r="C277" t="s">
        <v>2471</v>
      </c>
      <c r="D277" t="s">
        <v>1375</v>
      </c>
      <c r="E277" t="s">
        <v>3291</v>
      </c>
      <c r="F277" s="853" t="s">
        <v>528</v>
      </c>
      <c r="G277" s="913">
        <v>1</v>
      </c>
      <c r="H277" t="s">
        <v>3543</v>
      </c>
    </row>
    <row r="278" spans="2:8">
      <c r="B278" s="871">
        <v>46267</v>
      </c>
      <c r="C278" t="s">
        <v>2471</v>
      </c>
      <c r="D278" t="s">
        <v>1393</v>
      </c>
      <c r="E278" t="s">
        <v>1394</v>
      </c>
      <c r="F278" s="853" t="s">
        <v>526</v>
      </c>
      <c r="G278" s="913" t="s">
        <v>1489</v>
      </c>
      <c r="H278" t="s">
        <v>3544</v>
      </c>
    </row>
    <row r="279" spans="2:8">
      <c r="B279" s="871">
        <v>46267</v>
      </c>
      <c r="C279" t="s">
        <v>2471</v>
      </c>
      <c r="D279" t="s">
        <v>1393</v>
      </c>
      <c r="E279" t="s">
        <v>1394</v>
      </c>
      <c r="F279" s="853" t="s">
        <v>527</v>
      </c>
      <c r="H279" t="s">
        <v>3545</v>
      </c>
    </row>
    <row r="280" spans="2:8">
      <c r="B280" s="871">
        <v>46267</v>
      </c>
      <c r="C280" t="s">
        <v>2471</v>
      </c>
      <c r="D280" t="s">
        <v>1393</v>
      </c>
      <c r="E280" t="s">
        <v>1394</v>
      </c>
      <c r="F280" s="853" t="s">
        <v>528</v>
      </c>
      <c r="G280" s="913" t="s">
        <v>1490</v>
      </c>
      <c r="H280" t="s">
        <v>3546</v>
      </c>
    </row>
    <row r="281" spans="2:8">
      <c r="B281" s="871">
        <v>46267</v>
      </c>
      <c r="C281" t="s">
        <v>2471</v>
      </c>
      <c r="D281" t="s">
        <v>1375</v>
      </c>
      <c r="E281" t="s">
        <v>3298</v>
      </c>
      <c r="F281" s="853" t="s">
        <v>526</v>
      </c>
      <c r="G281" s="913">
        <v>4</v>
      </c>
      <c r="H281" t="s">
        <v>3547</v>
      </c>
    </row>
    <row r="282" spans="2:8">
      <c r="B282" s="871">
        <v>46267</v>
      </c>
      <c r="C282" t="s">
        <v>2471</v>
      </c>
      <c r="D282" t="s">
        <v>1375</v>
      </c>
      <c r="E282" t="s">
        <v>3298</v>
      </c>
      <c r="F282" s="853" t="s">
        <v>527</v>
      </c>
      <c r="G282" s="913">
        <v>6</v>
      </c>
      <c r="H282" t="s">
        <v>3548</v>
      </c>
    </row>
    <row r="283" spans="2:8">
      <c r="B283" s="871">
        <v>46267</v>
      </c>
      <c r="C283" t="s">
        <v>2471</v>
      </c>
      <c r="D283" t="s">
        <v>1375</v>
      </c>
      <c r="E283" t="s">
        <v>3298</v>
      </c>
      <c r="F283" s="853" t="s">
        <v>528</v>
      </c>
      <c r="G283" s="913">
        <v>6</v>
      </c>
      <c r="H283" t="s">
        <v>3549</v>
      </c>
    </row>
    <row r="284" spans="2:8">
      <c r="B284" s="871">
        <v>46267</v>
      </c>
      <c r="C284" t="s">
        <v>2471</v>
      </c>
      <c r="D284" t="s">
        <v>1393</v>
      </c>
      <c r="E284" t="s">
        <v>1398</v>
      </c>
      <c r="F284" s="853" t="s">
        <v>526</v>
      </c>
      <c r="G284" s="913">
        <v>11</v>
      </c>
      <c r="H284" t="s">
        <v>3550</v>
      </c>
    </row>
    <row r="285" spans="2:8">
      <c r="B285" s="871">
        <v>46267</v>
      </c>
      <c r="C285" t="s">
        <v>2471</v>
      </c>
      <c r="D285" t="s">
        <v>1393</v>
      </c>
      <c r="E285" t="s">
        <v>1398</v>
      </c>
      <c r="F285" s="853" t="s">
        <v>527</v>
      </c>
      <c r="H285" t="s">
        <v>3551</v>
      </c>
    </row>
    <row r="286" spans="2:8">
      <c r="B286" s="871">
        <v>46267</v>
      </c>
      <c r="C286" t="s">
        <v>2471</v>
      </c>
      <c r="D286" t="s">
        <v>1393</v>
      </c>
      <c r="E286" t="s">
        <v>1398</v>
      </c>
      <c r="F286" s="853" t="s">
        <v>528</v>
      </c>
      <c r="G286" s="913">
        <v>12</v>
      </c>
      <c r="H286" t="s">
        <v>3552</v>
      </c>
    </row>
    <row r="287" spans="2:8">
      <c r="B287" s="871">
        <v>46267</v>
      </c>
      <c r="C287" t="s">
        <v>2471</v>
      </c>
      <c r="D287" t="s">
        <v>1375</v>
      </c>
      <c r="E287" t="s">
        <v>3305</v>
      </c>
      <c r="F287" s="853" t="s">
        <v>526</v>
      </c>
      <c r="G287" s="913">
        <v>4</v>
      </c>
      <c r="H287" t="s">
        <v>3553</v>
      </c>
    </row>
    <row r="288" spans="2:8">
      <c r="B288" s="871">
        <v>46267</v>
      </c>
      <c r="C288" t="s">
        <v>2471</v>
      </c>
      <c r="D288" t="s">
        <v>1375</v>
      </c>
      <c r="E288" t="s">
        <v>3305</v>
      </c>
      <c r="F288" s="853" t="s">
        <v>527</v>
      </c>
      <c r="G288" s="913">
        <v>6</v>
      </c>
      <c r="H288" t="s">
        <v>3554</v>
      </c>
    </row>
    <row r="289" spans="2:8">
      <c r="B289" s="871">
        <v>46267</v>
      </c>
      <c r="C289" t="s">
        <v>2471</v>
      </c>
      <c r="D289" t="s">
        <v>1375</v>
      </c>
      <c r="E289" t="s">
        <v>3305</v>
      </c>
      <c r="F289" s="853" t="s">
        <v>528</v>
      </c>
      <c r="G289" s="913">
        <v>6</v>
      </c>
      <c r="H289" t="s">
        <v>3555</v>
      </c>
    </row>
    <row r="290" spans="2:8">
      <c r="B290" s="871">
        <v>46267</v>
      </c>
      <c r="C290" t="s">
        <v>2471</v>
      </c>
      <c r="D290" t="s">
        <v>1393</v>
      </c>
      <c r="E290" t="s">
        <v>1399</v>
      </c>
      <c r="F290" s="853" t="s">
        <v>526</v>
      </c>
      <c r="G290" s="913">
        <v>12</v>
      </c>
      <c r="H290" t="s">
        <v>3556</v>
      </c>
    </row>
    <row r="291" spans="2:8">
      <c r="B291" s="871">
        <v>46267</v>
      </c>
      <c r="C291" t="s">
        <v>2471</v>
      </c>
      <c r="D291" t="s">
        <v>1393</v>
      </c>
      <c r="E291" t="s">
        <v>1399</v>
      </c>
      <c r="F291" s="853" t="s">
        <v>527</v>
      </c>
      <c r="H291" t="s">
        <v>3557</v>
      </c>
    </row>
    <row r="292" spans="2:8">
      <c r="B292" s="871">
        <v>46267</v>
      </c>
      <c r="C292" t="s">
        <v>2471</v>
      </c>
      <c r="D292" t="s">
        <v>1393</v>
      </c>
      <c r="E292" t="s">
        <v>1399</v>
      </c>
      <c r="F292" s="853" t="s">
        <v>528</v>
      </c>
      <c r="G292" s="913">
        <v>13</v>
      </c>
      <c r="H292" t="s">
        <v>3558</v>
      </c>
    </row>
    <row r="293" spans="2:8">
      <c r="B293" s="871">
        <v>46267</v>
      </c>
      <c r="C293" t="s">
        <v>2471</v>
      </c>
      <c r="D293" t="s">
        <v>1375</v>
      </c>
      <c r="E293" t="s">
        <v>3312</v>
      </c>
      <c r="F293" s="853" t="s">
        <v>526</v>
      </c>
      <c r="G293" s="913">
        <v>2</v>
      </c>
      <c r="H293" t="s">
        <v>3559</v>
      </c>
    </row>
    <row r="294" spans="2:8">
      <c r="B294" s="871">
        <v>46267</v>
      </c>
      <c r="C294" t="s">
        <v>2471</v>
      </c>
      <c r="D294" t="s">
        <v>1375</v>
      </c>
      <c r="E294" t="s">
        <v>3312</v>
      </c>
      <c r="F294" s="853" t="s">
        <v>527</v>
      </c>
      <c r="G294" s="913">
        <v>2</v>
      </c>
      <c r="H294" t="s">
        <v>3560</v>
      </c>
    </row>
    <row r="295" spans="2:8">
      <c r="B295" s="871">
        <v>46267</v>
      </c>
      <c r="C295" t="s">
        <v>2471</v>
      </c>
      <c r="D295" t="s">
        <v>1375</v>
      </c>
      <c r="E295" t="s">
        <v>3312</v>
      </c>
      <c r="F295" s="853" t="s">
        <v>528</v>
      </c>
      <c r="G295" s="913">
        <v>2</v>
      </c>
      <c r="H295" t="s">
        <v>3561</v>
      </c>
    </row>
    <row r="296" spans="2:8">
      <c r="B296" s="871">
        <v>46267</v>
      </c>
      <c r="C296" t="s">
        <v>2471</v>
      </c>
      <c r="D296" t="s">
        <v>1393</v>
      </c>
      <c r="E296" t="s">
        <v>1400</v>
      </c>
      <c r="F296" s="853" t="s">
        <v>526</v>
      </c>
      <c r="G296" s="913">
        <v>17</v>
      </c>
      <c r="H296" t="s">
        <v>3562</v>
      </c>
    </row>
    <row r="297" spans="2:8">
      <c r="B297" s="871">
        <v>46267</v>
      </c>
      <c r="C297" t="s">
        <v>2471</v>
      </c>
      <c r="D297" t="s">
        <v>1393</v>
      </c>
      <c r="E297" t="s">
        <v>1400</v>
      </c>
      <c r="F297" s="853" t="s">
        <v>527</v>
      </c>
      <c r="H297" t="s">
        <v>3563</v>
      </c>
    </row>
    <row r="298" spans="2:8">
      <c r="B298" s="871">
        <v>46267</v>
      </c>
      <c r="C298" t="s">
        <v>2471</v>
      </c>
      <c r="D298" t="s">
        <v>1393</v>
      </c>
      <c r="E298" t="s">
        <v>1400</v>
      </c>
      <c r="F298" s="853" t="s">
        <v>528</v>
      </c>
      <c r="G298" s="913">
        <v>17</v>
      </c>
      <c r="H298" t="s">
        <v>3564</v>
      </c>
    </row>
    <row r="299" spans="2:8">
      <c r="B299" s="871">
        <v>46267</v>
      </c>
      <c r="C299" t="s">
        <v>2471</v>
      </c>
      <c r="D299" t="s">
        <v>1375</v>
      </c>
      <c r="E299" t="s">
        <v>3319</v>
      </c>
      <c r="F299" s="853" t="s">
        <v>526</v>
      </c>
      <c r="G299" s="913">
        <v>4</v>
      </c>
      <c r="H299" t="s">
        <v>3565</v>
      </c>
    </row>
    <row r="300" spans="2:8">
      <c r="B300" s="871">
        <v>46267</v>
      </c>
      <c r="C300" t="s">
        <v>2471</v>
      </c>
      <c r="D300" t="s">
        <v>1375</v>
      </c>
      <c r="E300" t="s">
        <v>3319</v>
      </c>
      <c r="F300" s="853" t="s">
        <v>527</v>
      </c>
      <c r="G300" s="913">
        <v>3</v>
      </c>
      <c r="H300" t="s">
        <v>3566</v>
      </c>
    </row>
    <row r="301" spans="2:8">
      <c r="B301" s="871">
        <v>46267</v>
      </c>
      <c r="C301" t="s">
        <v>2471</v>
      </c>
      <c r="D301" t="s">
        <v>1375</v>
      </c>
      <c r="E301" t="s">
        <v>3319</v>
      </c>
      <c r="F301" s="853" t="s">
        <v>528</v>
      </c>
      <c r="G301" s="913">
        <v>3</v>
      </c>
      <c r="H301" t="s">
        <v>3567</v>
      </c>
    </row>
    <row r="302" spans="2:8">
      <c r="B302" s="871">
        <v>46267</v>
      </c>
      <c r="C302" t="s">
        <v>2471</v>
      </c>
      <c r="D302" t="s">
        <v>1393</v>
      </c>
      <c r="E302" t="s">
        <v>1401</v>
      </c>
      <c r="F302" s="853" t="s">
        <v>526</v>
      </c>
      <c r="G302" s="913">
        <v>6.19</v>
      </c>
      <c r="H302" t="s">
        <v>3568</v>
      </c>
    </row>
    <row r="303" spans="2:8">
      <c r="B303" s="871">
        <v>46267</v>
      </c>
      <c r="C303" t="s">
        <v>2471</v>
      </c>
      <c r="D303" t="s">
        <v>1393</v>
      </c>
      <c r="E303" t="s">
        <v>1401</v>
      </c>
      <c r="F303" s="853" t="s">
        <v>527</v>
      </c>
      <c r="H303" t="s">
        <v>3569</v>
      </c>
    </row>
    <row r="304" spans="2:8">
      <c r="B304" s="871">
        <v>46267</v>
      </c>
      <c r="C304" t="s">
        <v>2471</v>
      </c>
      <c r="D304" t="s">
        <v>1393</v>
      </c>
      <c r="E304" t="s">
        <v>1401</v>
      </c>
      <c r="F304" s="853" t="s">
        <v>528</v>
      </c>
      <c r="G304" s="913">
        <v>6.49</v>
      </c>
      <c r="H304" t="s">
        <v>3570</v>
      </c>
    </row>
    <row r="305" spans="2:8">
      <c r="B305" s="871">
        <v>46267</v>
      </c>
      <c r="C305" t="s">
        <v>2471</v>
      </c>
      <c r="D305" t="s">
        <v>1375</v>
      </c>
      <c r="E305" t="s">
        <v>3326</v>
      </c>
      <c r="F305" s="853" t="s">
        <v>526</v>
      </c>
      <c r="G305" s="913" t="s">
        <v>1491</v>
      </c>
      <c r="H305" t="s">
        <v>3571</v>
      </c>
    </row>
    <row r="306" spans="2:8">
      <c r="B306" s="871">
        <v>46267</v>
      </c>
      <c r="C306" t="s">
        <v>2471</v>
      </c>
      <c r="D306" t="s">
        <v>1375</v>
      </c>
      <c r="E306" t="s">
        <v>3326</v>
      </c>
      <c r="F306" s="853" t="s">
        <v>527</v>
      </c>
      <c r="G306" s="913" t="s">
        <v>1491</v>
      </c>
      <c r="H306" t="s">
        <v>3572</v>
      </c>
    </row>
    <row r="307" spans="2:8">
      <c r="B307" s="871">
        <v>46267</v>
      </c>
      <c r="C307" t="s">
        <v>2471</v>
      </c>
      <c r="D307" t="s">
        <v>1375</v>
      </c>
      <c r="E307" t="s">
        <v>3326</v>
      </c>
      <c r="F307" s="853" t="s">
        <v>528</v>
      </c>
      <c r="G307" s="913" t="s">
        <v>1491</v>
      </c>
      <c r="H307" t="s">
        <v>3573</v>
      </c>
    </row>
    <row r="308" spans="2:8">
      <c r="B308" s="871">
        <v>46267</v>
      </c>
      <c r="C308" t="s">
        <v>2471</v>
      </c>
      <c r="D308" t="s">
        <v>1393</v>
      </c>
      <c r="E308" t="s">
        <v>1403</v>
      </c>
      <c r="F308" s="853" t="s">
        <v>526</v>
      </c>
      <c r="G308" s="913">
        <v>580</v>
      </c>
      <c r="H308" t="s">
        <v>3574</v>
      </c>
    </row>
    <row r="309" spans="2:8">
      <c r="B309" s="871">
        <v>46267</v>
      </c>
      <c r="C309" t="s">
        <v>2471</v>
      </c>
      <c r="D309" t="s">
        <v>1393</v>
      </c>
      <c r="E309" t="s">
        <v>1403</v>
      </c>
      <c r="F309" s="853" t="s">
        <v>527</v>
      </c>
      <c r="H309" t="s">
        <v>3575</v>
      </c>
    </row>
    <row r="310" spans="2:8">
      <c r="B310" s="871">
        <v>46267</v>
      </c>
      <c r="C310" t="s">
        <v>2471</v>
      </c>
      <c r="D310" t="s">
        <v>1393</v>
      </c>
      <c r="E310" t="s">
        <v>1403</v>
      </c>
      <c r="F310" s="853" t="s">
        <v>528</v>
      </c>
      <c r="G310" s="913">
        <v>703</v>
      </c>
      <c r="H310" t="s">
        <v>3576</v>
      </c>
    </row>
    <row r="311" spans="2:8">
      <c r="B311" s="871">
        <v>46267</v>
      </c>
      <c r="C311" t="s">
        <v>2471</v>
      </c>
      <c r="D311" t="s">
        <v>1393</v>
      </c>
      <c r="E311" t="s">
        <v>1404</v>
      </c>
      <c r="F311" s="853" t="s">
        <v>526</v>
      </c>
      <c r="G311" s="913">
        <v>4.54</v>
      </c>
      <c r="H311" t="s">
        <v>3577</v>
      </c>
    </row>
    <row r="312" spans="2:8">
      <c r="B312" s="871">
        <v>46267</v>
      </c>
      <c r="C312" t="s">
        <v>2471</v>
      </c>
      <c r="D312" t="s">
        <v>1393</v>
      </c>
      <c r="E312" t="s">
        <v>1404</v>
      </c>
      <c r="F312" s="853" t="s">
        <v>527</v>
      </c>
      <c r="H312" t="s">
        <v>3578</v>
      </c>
    </row>
    <row r="313" spans="2:8">
      <c r="B313" s="871">
        <v>46267</v>
      </c>
      <c r="C313" t="s">
        <v>2471</v>
      </c>
      <c r="D313" t="s">
        <v>1393</v>
      </c>
      <c r="E313" t="s">
        <v>1404</v>
      </c>
      <c r="F313" s="853" t="s">
        <v>528</v>
      </c>
      <c r="G313" s="913">
        <v>3.8</v>
      </c>
      <c r="H313" t="s">
        <v>3579</v>
      </c>
    </row>
    <row r="314" spans="2:8">
      <c r="B314" s="871">
        <v>46267</v>
      </c>
      <c r="C314" t="s">
        <v>2471</v>
      </c>
      <c r="D314" t="s">
        <v>1375</v>
      </c>
      <c r="E314" t="s">
        <v>3336</v>
      </c>
      <c r="F314" s="853" t="s">
        <v>526</v>
      </c>
      <c r="G314" s="913" t="s">
        <v>1406</v>
      </c>
      <c r="H314" t="s">
        <v>3580</v>
      </c>
    </row>
    <row r="315" spans="2:8">
      <c r="B315" s="871">
        <v>46267</v>
      </c>
      <c r="C315" t="s">
        <v>2471</v>
      </c>
      <c r="D315" t="s">
        <v>1375</v>
      </c>
      <c r="E315" t="s">
        <v>3336</v>
      </c>
      <c r="F315" s="853" t="s">
        <v>527</v>
      </c>
      <c r="G315" s="913" t="s">
        <v>1406</v>
      </c>
      <c r="H315" t="s">
        <v>3581</v>
      </c>
    </row>
    <row r="316" spans="2:8">
      <c r="B316" s="871">
        <v>46267</v>
      </c>
      <c r="C316" t="s">
        <v>2471</v>
      </c>
      <c r="D316" t="s">
        <v>1375</v>
      </c>
      <c r="E316" t="s">
        <v>3336</v>
      </c>
      <c r="F316" s="853" t="s">
        <v>528</v>
      </c>
      <c r="G316" s="913" t="s">
        <v>1406</v>
      </c>
      <c r="H316" t="s">
        <v>3582</v>
      </c>
    </row>
    <row r="317" spans="2:8">
      <c r="B317" s="871">
        <v>46267</v>
      </c>
      <c r="C317" t="s">
        <v>2471</v>
      </c>
      <c r="D317" t="s">
        <v>1393</v>
      </c>
      <c r="E317" t="s">
        <v>1407</v>
      </c>
      <c r="F317" s="853" t="s">
        <v>526</v>
      </c>
      <c r="G317" s="913">
        <v>390</v>
      </c>
      <c r="H317" t="s">
        <v>3583</v>
      </c>
    </row>
    <row r="318" spans="2:8">
      <c r="B318" s="871">
        <v>46267</v>
      </c>
      <c r="C318" t="s">
        <v>2471</v>
      </c>
      <c r="D318" t="s">
        <v>1393</v>
      </c>
      <c r="E318" t="s">
        <v>1407</v>
      </c>
      <c r="F318" s="853" t="s">
        <v>527</v>
      </c>
      <c r="H318" t="s">
        <v>3584</v>
      </c>
    </row>
    <row r="319" spans="2:8">
      <c r="B319" s="871">
        <v>46267</v>
      </c>
      <c r="C319" t="s">
        <v>2471</v>
      </c>
      <c r="D319" t="s">
        <v>1393</v>
      </c>
      <c r="E319" t="s">
        <v>1407</v>
      </c>
      <c r="F319" s="853" t="s">
        <v>528</v>
      </c>
      <c r="G319" s="913">
        <v>412</v>
      </c>
      <c r="H319" t="s">
        <v>3585</v>
      </c>
    </row>
    <row r="320" spans="2:8">
      <c r="B320" s="871">
        <v>46267</v>
      </c>
      <c r="C320" t="s">
        <v>2471</v>
      </c>
      <c r="D320" t="s">
        <v>1393</v>
      </c>
      <c r="E320" t="s">
        <v>1408</v>
      </c>
      <c r="F320" s="853" t="s">
        <v>526</v>
      </c>
      <c r="G320" s="913">
        <v>976</v>
      </c>
      <c r="H320" t="s">
        <v>3586</v>
      </c>
    </row>
    <row r="321" spans="2:8">
      <c r="B321" s="871">
        <v>46267</v>
      </c>
      <c r="C321" t="s">
        <v>2471</v>
      </c>
      <c r="D321" t="s">
        <v>1393</v>
      </c>
      <c r="E321" t="s">
        <v>1408</v>
      </c>
      <c r="F321" s="853" t="s">
        <v>527</v>
      </c>
      <c r="H321" t="s">
        <v>3587</v>
      </c>
    </row>
    <row r="322" spans="2:8">
      <c r="B322" s="871">
        <v>46267</v>
      </c>
      <c r="C322" t="s">
        <v>2471</v>
      </c>
      <c r="D322" t="s">
        <v>1393</v>
      </c>
      <c r="E322" t="s">
        <v>1408</v>
      </c>
      <c r="F322" s="853" t="s">
        <v>528</v>
      </c>
      <c r="G322" s="913">
        <v>961</v>
      </c>
      <c r="H322" t="s">
        <v>3588</v>
      </c>
    </row>
    <row r="323" spans="2:8">
      <c r="B323" s="871">
        <v>46267</v>
      </c>
      <c r="C323" t="s">
        <v>2471</v>
      </c>
      <c r="D323" t="s">
        <v>1409</v>
      </c>
      <c r="E323" t="s">
        <v>1411</v>
      </c>
      <c r="F323" s="853" t="s">
        <v>526</v>
      </c>
      <c r="H323" t="s">
        <v>3589</v>
      </c>
    </row>
    <row r="324" spans="2:8">
      <c r="B324" s="871">
        <v>46267</v>
      </c>
      <c r="C324" t="s">
        <v>2471</v>
      </c>
      <c r="D324" t="s">
        <v>1409</v>
      </c>
      <c r="E324" t="s">
        <v>1411</v>
      </c>
      <c r="F324" s="853" t="s">
        <v>527</v>
      </c>
      <c r="H324" t="s">
        <v>3590</v>
      </c>
    </row>
    <row r="325" spans="2:8">
      <c r="B325" s="871">
        <v>46267</v>
      </c>
      <c r="C325" t="s">
        <v>2471</v>
      </c>
      <c r="D325" t="s">
        <v>1409</v>
      </c>
      <c r="E325" t="s">
        <v>1411</v>
      </c>
      <c r="F325" s="853" t="s">
        <v>528</v>
      </c>
      <c r="H325" t="s">
        <v>3591</v>
      </c>
    </row>
    <row r="326" spans="2:8">
      <c r="B326" s="871">
        <v>46267</v>
      </c>
      <c r="C326" t="s">
        <v>2471</v>
      </c>
      <c r="D326" t="s">
        <v>1409</v>
      </c>
      <c r="E326" t="s">
        <v>1413</v>
      </c>
      <c r="F326" s="853" t="s">
        <v>526</v>
      </c>
      <c r="G326" s="913" t="s">
        <v>1414</v>
      </c>
      <c r="H326" t="s">
        <v>3592</v>
      </c>
    </row>
    <row r="327" spans="2:8">
      <c r="B327" s="871">
        <v>46267</v>
      </c>
      <c r="C327" t="s">
        <v>2471</v>
      </c>
      <c r="D327" t="s">
        <v>1409</v>
      </c>
      <c r="E327" t="s">
        <v>1413</v>
      </c>
      <c r="F327" s="853" t="s">
        <v>527</v>
      </c>
      <c r="G327" s="913" t="s">
        <v>1415</v>
      </c>
      <c r="H327" t="s">
        <v>3593</v>
      </c>
    </row>
    <row r="328" spans="2:8">
      <c r="B328" s="871">
        <v>46267</v>
      </c>
      <c r="C328" t="s">
        <v>2471</v>
      </c>
      <c r="D328" t="s">
        <v>1409</v>
      </c>
      <c r="E328" t="s">
        <v>1413</v>
      </c>
      <c r="F328" s="853" t="s">
        <v>528</v>
      </c>
      <c r="G328" s="913" t="s">
        <v>1416</v>
      </c>
      <c r="H328" t="s">
        <v>3594</v>
      </c>
    </row>
    <row r="329" spans="2:8">
      <c r="B329" s="871">
        <v>46267</v>
      </c>
      <c r="C329" t="s">
        <v>2471</v>
      </c>
      <c r="D329" t="s">
        <v>1410</v>
      </c>
      <c r="E329" t="s">
        <v>3352</v>
      </c>
      <c r="F329" s="853" t="s">
        <v>526</v>
      </c>
      <c r="G329" s="913" t="s">
        <v>1418</v>
      </c>
      <c r="H329" t="s">
        <v>3595</v>
      </c>
    </row>
    <row r="330" spans="2:8">
      <c r="B330" s="871">
        <v>46267</v>
      </c>
      <c r="C330" t="s">
        <v>2471</v>
      </c>
      <c r="D330" t="s">
        <v>1410</v>
      </c>
      <c r="E330" t="s">
        <v>3352</v>
      </c>
      <c r="F330" s="853" t="s">
        <v>527</v>
      </c>
      <c r="G330" s="913" t="s">
        <v>1419</v>
      </c>
      <c r="H330" t="s">
        <v>3596</v>
      </c>
    </row>
    <row r="331" spans="2:8">
      <c r="B331" s="871">
        <v>46267</v>
      </c>
      <c r="C331" t="s">
        <v>2471</v>
      </c>
      <c r="D331" t="s">
        <v>1410</v>
      </c>
      <c r="E331" t="s">
        <v>3352</v>
      </c>
      <c r="F331" s="853" t="s">
        <v>528</v>
      </c>
      <c r="G331" s="913" t="s">
        <v>1419</v>
      </c>
      <c r="H331" t="s">
        <v>3597</v>
      </c>
    </row>
    <row r="332" spans="2:8">
      <c r="B332" s="871">
        <v>46267</v>
      </c>
      <c r="C332" t="s">
        <v>2471</v>
      </c>
      <c r="D332" t="s">
        <v>1409</v>
      </c>
      <c r="E332" t="s">
        <v>1420</v>
      </c>
      <c r="F332" s="853" t="s">
        <v>526</v>
      </c>
      <c r="G332" s="913" t="s">
        <v>1421</v>
      </c>
      <c r="H332" t="s">
        <v>3598</v>
      </c>
    </row>
    <row r="333" spans="2:8">
      <c r="B333" s="871">
        <v>46267</v>
      </c>
      <c r="C333" t="s">
        <v>2471</v>
      </c>
      <c r="D333" t="s">
        <v>1409</v>
      </c>
      <c r="E333" t="s">
        <v>1420</v>
      </c>
      <c r="F333" s="853" t="s">
        <v>527</v>
      </c>
      <c r="G333" s="913" t="s">
        <v>1422</v>
      </c>
      <c r="H333" t="s">
        <v>3599</v>
      </c>
    </row>
    <row r="334" spans="2:8">
      <c r="B334" s="871">
        <v>46267</v>
      </c>
      <c r="C334" t="s">
        <v>2471</v>
      </c>
      <c r="D334" t="s">
        <v>1409</v>
      </c>
      <c r="E334" t="s">
        <v>1420</v>
      </c>
      <c r="F334" s="853" t="s">
        <v>528</v>
      </c>
      <c r="G334" s="913" t="s">
        <v>1422</v>
      </c>
      <c r="H334" t="s">
        <v>3600</v>
      </c>
    </row>
    <row r="335" spans="2:8">
      <c r="B335" s="871">
        <v>46267</v>
      </c>
      <c r="C335" t="s">
        <v>2471</v>
      </c>
      <c r="D335" t="s">
        <v>1410</v>
      </c>
      <c r="E335" t="s">
        <v>3359</v>
      </c>
      <c r="F335" s="853" t="s">
        <v>526</v>
      </c>
      <c r="G335" s="913">
        <v>118</v>
      </c>
      <c r="H335" t="s">
        <v>3601</v>
      </c>
    </row>
    <row r="336" spans="2:8">
      <c r="B336" s="871">
        <v>46267</v>
      </c>
      <c r="C336" t="s">
        <v>2471</v>
      </c>
      <c r="D336" t="s">
        <v>1410</v>
      </c>
      <c r="E336" t="s">
        <v>3359</v>
      </c>
      <c r="F336" s="853" t="s">
        <v>527</v>
      </c>
      <c r="G336" s="913">
        <v>123</v>
      </c>
      <c r="H336" t="s">
        <v>3602</v>
      </c>
    </row>
    <row r="337" spans="2:8">
      <c r="B337" s="871">
        <v>46267</v>
      </c>
      <c r="C337" t="s">
        <v>2471</v>
      </c>
      <c r="D337" t="s">
        <v>1410</v>
      </c>
      <c r="E337" t="s">
        <v>3359</v>
      </c>
      <c r="F337" s="853" t="s">
        <v>528</v>
      </c>
      <c r="G337" s="913">
        <v>121</v>
      </c>
      <c r="H337" t="s">
        <v>3603</v>
      </c>
    </row>
    <row r="338" spans="2:8">
      <c r="B338" s="871">
        <v>46267</v>
      </c>
      <c r="C338" t="s">
        <v>2471</v>
      </c>
      <c r="D338" t="s">
        <v>1409</v>
      </c>
      <c r="E338" t="s">
        <v>1424</v>
      </c>
      <c r="F338" s="853" t="s">
        <v>526</v>
      </c>
      <c r="H338" t="s">
        <v>3604</v>
      </c>
    </row>
    <row r="339" spans="2:8">
      <c r="B339" s="871">
        <v>46267</v>
      </c>
      <c r="C339" t="s">
        <v>2471</v>
      </c>
      <c r="D339" t="s">
        <v>1409</v>
      </c>
      <c r="E339" t="s">
        <v>1424</v>
      </c>
      <c r="F339" s="853" t="s">
        <v>527</v>
      </c>
      <c r="H339" t="s">
        <v>3605</v>
      </c>
    </row>
    <row r="340" spans="2:8">
      <c r="B340" s="871">
        <v>46267</v>
      </c>
      <c r="C340" t="s">
        <v>2471</v>
      </c>
      <c r="D340" t="s">
        <v>1409</v>
      </c>
      <c r="E340" t="s">
        <v>1424</v>
      </c>
      <c r="F340" s="853" t="s">
        <v>528</v>
      </c>
      <c r="H340" t="s">
        <v>3606</v>
      </c>
    </row>
    <row r="341" spans="2:8">
      <c r="B341" s="871">
        <v>46267</v>
      </c>
      <c r="C341" t="s">
        <v>2471</v>
      </c>
      <c r="D341" t="s">
        <v>1410</v>
      </c>
      <c r="E341" t="s">
        <v>3366</v>
      </c>
      <c r="F341" s="853" t="s">
        <v>526</v>
      </c>
      <c r="G341" s="913">
        <v>2636</v>
      </c>
      <c r="H341" t="s">
        <v>3607</v>
      </c>
    </row>
    <row r="342" spans="2:8">
      <c r="B342" s="871">
        <v>46267</v>
      </c>
      <c r="C342" t="s">
        <v>2471</v>
      </c>
      <c r="D342" t="s">
        <v>1410</v>
      </c>
      <c r="E342" t="s">
        <v>3366</v>
      </c>
      <c r="F342" s="853" t="s">
        <v>527</v>
      </c>
      <c r="G342" s="913">
        <v>2660</v>
      </c>
      <c r="H342" t="s">
        <v>3608</v>
      </c>
    </row>
    <row r="343" spans="2:8">
      <c r="B343" s="871">
        <v>46267</v>
      </c>
      <c r="C343" t="s">
        <v>2471</v>
      </c>
      <c r="D343" t="s">
        <v>1410</v>
      </c>
      <c r="E343" t="s">
        <v>3366</v>
      </c>
      <c r="F343" s="853" t="s">
        <v>528</v>
      </c>
      <c r="G343" s="913">
        <v>2612</v>
      </c>
      <c r="H343" t="s">
        <v>3609</v>
      </c>
    </row>
    <row r="344" spans="2:8">
      <c r="B344" s="871">
        <v>46267</v>
      </c>
      <c r="C344" t="s">
        <v>2471</v>
      </c>
      <c r="D344" t="s">
        <v>1410</v>
      </c>
      <c r="E344" t="s">
        <v>3370</v>
      </c>
      <c r="F344" s="853" t="s">
        <v>526</v>
      </c>
      <c r="G344" s="913" t="s">
        <v>1427</v>
      </c>
      <c r="H344" t="s">
        <v>3610</v>
      </c>
    </row>
    <row r="345" spans="2:8">
      <c r="B345" s="871">
        <v>46267</v>
      </c>
      <c r="C345" t="s">
        <v>2471</v>
      </c>
      <c r="D345" t="s">
        <v>1410</v>
      </c>
      <c r="E345" t="s">
        <v>3370</v>
      </c>
      <c r="F345" s="853" t="s">
        <v>527</v>
      </c>
      <c r="G345" s="913" t="s">
        <v>1427</v>
      </c>
      <c r="H345" t="s">
        <v>3611</v>
      </c>
    </row>
    <row r="346" spans="2:8">
      <c r="B346" s="871">
        <v>46267</v>
      </c>
      <c r="C346" t="s">
        <v>2471</v>
      </c>
      <c r="D346" t="s">
        <v>1410</v>
      </c>
      <c r="E346" t="s">
        <v>3370</v>
      </c>
      <c r="F346" s="853" t="s">
        <v>528</v>
      </c>
      <c r="G346" s="913" t="s">
        <v>1427</v>
      </c>
      <c r="H346" t="s">
        <v>3612</v>
      </c>
    </row>
    <row r="347" spans="2:8">
      <c r="B347" s="871">
        <v>46267</v>
      </c>
      <c r="C347" t="s">
        <v>2471</v>
      </c>
      <c r="D347" t="s">
        <v>1410</v>
      </c>
      <c r="E347" t="s">
        <v>3374</v>
      </c>
      <c r="F347" s="853" t="s">
        <v>526</v>
      </c>
      <c r="G347" s="913">
        <v>2.15</v>
      </c>
      <c r="H347" t="s">
        <v>3613</v>
      </c>
    </row>
    <row r="348" spans="2:8">
      <c r="B348" s="871">
        <v>46267</v>
      </c>
      <c r="C348" t="s">
        <v>2471</v>
      </c>
      <c r="D348" t="s">
        <v>1410</v>
      </c>
      <c r="E348" t="s">
        <v>3374</v>
      </c>
      <c r="F348" s="853" t="s">
        <v>527</v>
      </c>
      <c r="G348" s="913">
        <v>3.3</v>
      </c>
      <c r="H348" t="s">
        <v>3614</v>
      </c>
    </row>
    <row r="349" spans="2:8">
      <c r="B349" s="871">
        <v>46267</v>
      </c>
      <c r="C349" t="s">
        <v>2471</v>
      </c>
      <c r="D349" t="s">
        <v>1410</v>
      </c>
      <c r="E349" t="s">
        <v>3374</v>
      </c>
      <c r="F349" s="853" t="s">
        <v>528</v>
      </c>
      <c r="G349" s="913">
        <v>2.44</v>
      </c>
      <c r="H349" t="s">
        <v>3615</v>
      </c>
    </row>
    <row r="350" spans="2:8">
      <c r="B350" s="871">
        <v>46267</v>
      </c>
      <c r="C350" t="s">
        <v>2471</v>
      </c>
      <c r="D350" t="s">
        <v>1410</v>
      </c>
      <c r="E350" t="s">
        <v>3378</v>
      </c>
      <c r="F350" s="853" t="s">
        <v>526</v>
      </c>
      <c r="G350" s="913" t="s">
        <v>1430</v>
      </c>
      <c r="H350" t="s">
        <v>3616</v>
      </c>
    </row>
    <row r="351" spans="2:8">
      <c r="B351" s="871">
        <v>46267</v>
      </c>
      <c r="C351" t="s">
        <v>2471</v>
      </c>
      <c r="D351" t="s">
        <v>1410</v>
      </c>
      <c r="E351" t="s">
        <v>3378</v>
      </c>
      <c r="F351" s="853" t="s">
        <v>527</v>
      </c>
      <c r="G351" s="913" t="s">
        <v>1430</v>
      </c>
      <c r="H351" t="s">
        <v>3617</v>
      </c>
    </row>
    <row r="352" spans="2:8">
      <c r="B352" s="871">
        <v>46267</v>
      </c>
      <c r="C352" t="s">
        <v>2471</v>
      </c>
      <c r="D352" t="s">
        <v>1410</v>
      </c>
      <c r="E352" t="s">
        <v>3378</v>
      </c>
      <c r="F352" s="853" t="s">
        <v>528</v>
      </c>
      <c r="G352" s="913" t="s">
        <v>1430</v>
      </c>
      <c r="H352" t="s">
        <v>3618</v>
      </c>
    </row>
    <row r="353" spans="2:8">
      <c r="B353" s="871">
        <v>46267</v>
      </c>
      <c r="C353" t="s">
        <v>2471</v>
      </c>
      <c r="D353" t="s">
        <v>1410</v>
      </c>
      <c r="E353" t="s">
        <v>3382</v>
      </c>
      <c r="F353" s="853" t="s">
        <v>526</v>
      </c>
      <c r="G353" s="913">
        <v>109</v>
      </c>
      <c r="H353" t="s">
        <v>3619</v>
      </c>
    </row>
    <row r="354" spans="2:8">
      <c r="B354" s="871">
        <v>46267</v>
      </c>
      <c r="C354" t="s">
        <v>2471</v>
      </c>
      <c r="D354" t="s">
        <v>1410</v>
      </c>
      <c r="E354" t="s">
        <v>3382</v>
      </c>
      <c r="F354" s="853" t="s">
        <v>527</v>
      </c>
      <c r="G354" s="913">
        <v>115</v>
      </c>
      <c r="H354" t="s">
        <v>3620</v>
      </c>
    </row>
    <row r="355" spans="2:8">
      <c r="B355" s="871">
        <v>46267</v>
      </c>
      <c r="C355" t="s">
        <v>2471</v>
      </c>
      <c r="D355" t="s">
        <v>1410</v>
      </c>
      <c r="E355" t="s">
        <v>3382</v>
      </c>
      <c r="F355" s="853" t="s">
        <v>528</v>
      </c>
      <c r="G355" s="913">
        <v>105</v>
      </c>
      <c r="H355" t="s">
        <v>3621</v>
      </c>
    </row>
    <row r="356" spans="2:8">
      <c r="B356" s="871">
        <v>46267</v>
      </c>
      <c r="C356" t="s">
        <v>2471</v>
      </c>
      <c r="D356" t="s">
        <v>1409</v>
      </c>
      <c r="E356" t="s">
        <v>1431</v>
      </c>
      <c r="F356" s="853" t="s">
        <v>526</v>
      </c>
      <c r="H356" t="s">
        <v>3622</v>
      </c>
    </row>
    <row r="357" spans="2:8">
      <c r="B357" s="871">
        <v>46267</v>
      </c>
      <c r="C357" t="s">
        <v>2471</v>
      </c>
      <c r="D357" t="s">
        <v>1409</v>
      </c>
      <c r="E357" t="s">
        <v>1431</v>
      </c>
      <c r="F357" s="853" t="s">
        <v>527</v>
      </c>
      <c r="H357" t="s">
        <v>3623</v>
      </c>
    </row>
    <row r="358" spans="2:8">
      <c r="B358" s="871">
        <v>46267</v>
      </c>
      <c r="C358" t="s">
        <v>2471</v>
      </c>
      <c r="D358" t="s">
        <v>1409</v>
      </c>
      <c r="E358" t="s">
        <v>1431</v>
      </c>
      <c r="F358" s="853" t="s">
        <v>528</v>
      </c>
      <c r="H358" t="s">
        <v>3624</v>
      </c>
    </row>
    <row r="359" spans="2:8">
      <c r="B359" s="871">
        <v>46267</v>
      </c>
      <c r="C359" t="s">
        <v>2471</v>
      </c>
      <c r="D359" t="s">
        <v>1410</v>
      </c>
      <c r="E359" t="s">
        <v>3389</v>
      </c>
      <c r="F359" s="853" t="s">
        <v>526</v>
      </c>
      <c r="G359" s="913">
        <v>2640</v>
      </c>
      <c r="H359" t="s">
        <v>3625</v>
      </c>
    </row>
    <row r="360" spans="2:8">
      <c r="B360" s="871">
        <v>46267</v>
      </c>
      <c r="C360" t="s">
        <v>2471</v>
      </c>
      <c r="D360" t="s">
        <v>1410</v>
      </c>
      <c r="E360" t="s">
        <v>3389</v>
      </c>
      <c r="F360" s="853" t="s">
        <v>527</v>
      </c>
      <c r="G360" s="913">
        <v>2540</v>
      </c>
      <c r="H360" t="s">
        <v>3626</v>
      </c>
    </row>
    <row r="361" spans="2:8">
      <c r="B361" s="871">
        <v>46267</v>
      </c>
      <c r="C361" t="s">
        <v>2471</v>
      </c>
      <c r="D361" t="s">
        <v>1410</v>
      </c>
      <c r="E361" t="s">
        <v>3389</v>
      </c>
      <c r="F361" s="853" t="s">
        <v>528</v>
      </c>
      <c r="G361" s="913">
        <v>2750</v>
      </c>
      <c r="H361" t="s">
        <v>3627</v>
      </c>
    </row>
    <row r="362" spans="2:8">
      <c r="B362" s="871">
        <v>46267</v>
      </c>
      <c r="C362" t="s">
        <v>2471</v>
      </c>
      <c r="D362" t="s">
        <v>1410</v>
      </c>
      <c r="E362" t="s">
        <v>3393</v>
      </c>
      <c r="F362" s="853" t="s">
        <v>526</v>
      </c>
      <c r="G362" s="913" t="s">
        <v>1432</v>
      </c>
      <c r="H362" t="s">
        <v>3628</v>
      </c>
    </row>
    <row r="363" spans="2:8">
      <c r="B363" s="871">
        <v>46267</v>
      </c>
      <c r="C363" t="s">
        <v>2471</v>
      </c>
      <c r="D363" t="s">
        <v>1410</v>
      </c>
      <c r="E363" t="s">
        <v>3393</v>
      </c>
      <c r="F363" s="853" t="s">
        <v>527</v>
      </c>
      <c r="G363" s="913" t="s">
        <v>1432</v>
      </c>
      <c r="H363" t="s">
        <v>3629</v>
      </c>
    </row>
    <row r="364" spans="2:8">
      <c r="B364" s="871">
        <v>46267</v>
      </c>
      <c r="C364" t="s">
        <v>2471</v>
      </c>
      <c r="D364" t="s">
        <v>1410</v>
      </c>
      <c r="E364" t="s">
        <v>3393</v>
      </c>
      <c r="F364" s="853" t="s">
        <v>528</v>
      </c>
      <c r="G364" s="913" t="s">
        <v>1432</v>
      </c>
      <c r="H364" t="s">
        <v>3630</v>
      </c>
    </row>
    <row r="365" spans="2:8">
      <c r="B365" s="871">
        <v>46267</v>
      </c>
      <c r="C365" t="s">
        <v>2471</v>
      </c>
      <c r="D365" t="s">
        <v>1410</v>
      </c>
      <c r="E365" t="s">
        <v>3397</v>
      </c>
      <c r="F365" s="853" t="s">
        <v>526</v>
      </c>
      <c r="G365" s="913" t="s">
        <v>1435</v>
      </c>
      <c r="H365" t="s">
        <v>3631</v>
      </c>
    </row>
    <row r="366" spans="2:8">
      <c r="B366" s="871">
        <v>46267</v>
      </c>
      <c r="C366" t="s">
        <v>2471</v>
      </c>
      <c r="D366" t="s">
        <v>1410</v>
      </c>
      <c r="E366" t="s">
        <v>3397</v>
      </c>
      <c r="F366" s="853" t="s">
        <v>527</v>
      </c>
      <c r="G366" s="913" t="s">
        <v>1435</v>
      </c>
      <c r="H366" t="s">
        <v>3632</v>
      </c>
    </row>
    <row r="367" spans="2:8">
      <c r="B367" s="871">
        <v>46267</v>
      </c>
      <c r="C367" t="s">
        <v>2471</v>
      </c>
      <c r="D367" t="s">
        <v>1410</v>
      </c>
      <c r="E367" t="s">
        <v>3397</v>
      </c>
      <c r="F367" s="853" t="s">
        <v>528</v>
      </c>
      <c r="G367" s="913" t="s">
        <v>1435</v>
      </c>
      <c r="H367" t="s">
        <v>3633</v>
      </c>
    </row>
    <row r="368" spans="2:8">
      <c r="B368" s="871">
        <v>46267</v>
      </c>
      <c r="C368" t="s">
        <v>2471</v>
      </c>
      <c r="D368" t="s">
        <v>1434</v>
      </c>
      <c r="E368" t="s">
        <v>42</v>
      </c>
      <c r="F368" s="853" t="s">
        <v>526</v>
      </c>
      <c r="G368" s="913" t="s">
        <v>1437</v>
      </c>
      <c r="H368" t="s">
        <v>3634</v>
      </c>
    </row>
    <row r="369" spans="2:8">
      <c r="B369" s="871">
        <v>46267</v>
      </c>
      <c r="C369" t="s">
        <v>2471</v>
      </c>
      <c r="D369" t="s">
        <v>1434</v>
      </c>
      <c r="E369" t="s">
        <v>42</v>
      </c>
      <c r="F369" s="853" t="s">
        <v>527</v>
      </c>
      <c r="G369" s="913" t="s">
        <v>1437</v>
      </c>
      <c r="H369" t="s">
        <v>3635</v>
      </c>
    </row>
    <row r="370" spans="2:8">
      <c r="B370" s="871">
        <v>46267</v>
      </c>
      <c r="C370" t="s">
        <v>2471</v>
      </c>
      <c r="D370" t="s">
        <v>1434</v>
      </c>
      <c r="E370" t="s">
        <v>42</v>
      </c>
      <c r="F370" s="853" t="s">
        <v>528</v>
      </c>
      <c r="G370" s="913" t="s">
        <v>1437</v>
      </c>
      <c r="H370" t="s">
        <v>3636</v>
      </c>
    </row>
    <row r="371" spans="2:8">
      <c r="B371" s="871">
        <v>46267</v>
      </c>
      <c r="C371" t="s">
        <v>2471</v>
      </c>
      <c r="D371" t="s">
        <v>1410</v>
      </c>
      <c r="E371" t="s">
        <v>3404</v>
      </c>
      <c r="F371" s="853" t="s">
        <v>526</v>
      </c>
      <c r="G371" s="913" t="s">
        <v>1438</v>
      </c>
      <c r="H371" t="s">
        <v>3637</v>
      </c>
    </row>
    <row r="372" spans="2:8">
      <c r="B372" s="871">
        <v>46267</v>
      </c>
      <c r="C372" t="s">
        <v>2471</v>
      </c>
      <c r="D372" t="s">
        <v>1410</v>
      </c>
      <c r="E372" t="s">
        <v>3404</v>
      </c>
      <c r="F372" s="853" t="s">
        <v>527</v>
      </c>
      <c r="G372" s="913" t="s">
        <v>1419</v>
      </c>
      <c r="H372" t="s">
        <v>3638</v>
      </c>
    </row>
    <row r="373" spans="2:8">
      <c r="B373" s="871">
        <v>46267</v>
      </c>
      <c r="C373" t="s">
        <v>2471</v>
      </c>
      <c r="D373" t="s">
        <v>1410</v>
      </c>
      <c r="E373" t="s">
        <v>3404</v>
      </c>
      <c r="F373" s="853" t="s">
        <v>528</v>
      </c>
      <c r="G373" s="913" t="s">
        <v>1438</v>
      </c>
      <c r="H373" t="s">
        <v>3639</v>
      </c>
    </row>
    <row r="374" spans="2:8">
      <c r="B374" s="871">
        <v>46267</v>
      </c>
      <c r="C374" t="s">
        <v>2471</v>
      </c>
      <c r="D374" t="s">
        <v>1434</v>
      </c>
      <c r="E374" t="s">
        <v>1439</v>
      </c>
      <c r="F374" s="853" t="s">
        <v>526</v>
      </c>
      <c r="G374" s="913" t="s">
        <v>1440</v>
      </c>
      <c r="H374" t="s">
        <v>3640</v>
      </c>
    </row>
    <row r="375" spans="2:8">
      <c r="B375" s="871">
        <v>46267</v>
      </c>
      <c r="C375" t="s">
        <v>2471</v>
      </c>
      <c r="D375" t="s">
        <v>1434</v>
      </c>
      <c r="E375" t="s">
        <v>1439</v>
      </c>
      <c r="F375" s="853" t="s">
        <v>527</v>
      </c>
      <c r="G375" s="913" t="s">
        <v>1440</v>
      </c>
      <c r="H375" t="s">
        <v>3641</v>
      </c>
    </row>
    <row r="376" spans="2:8">
      <c r="B376" s="871">
        <v>46267</v>
      </c>
      <c r="C376" t="s">
        <v>2471</v>
      </c>
      <c r="D376" t="s">
        <v>1434</v>
      </c>
      <c r="E376" t="s">
        <v>1439</v>
      </c>
      <c r="F376" s="853" t="s">
        <v>528</v>
      </c>
      <c r="G376" s="913" t="s">
        <v>1440</v>
      </c>
      <c r="H376" t="s">
        <v>3642</v>
      </c>
    </row>
    <row r="377" spans="2:8">
      <c r="B377" s="871">
        <v>46267</v>
      </c>
      <c r="C377" t="s">
        <v>2471</v>
      </c>
      <c r="D377" t="s">
        <v>1410</v>
      </c>
      <c r="E377" t="s">
        <v>3411</v>
      </c>
      <c r="F377" s="853" t="s">
        <v>526</v>
      </c>
      <c r="G377" s="913">
        <v>40</v>
      </c>
      <c r="H377" t="s">
        <v>3643</v>
      </c>
    </row>
    <row r="378" spans="2:8">
      <c r="B378" s="871">
        <v>46267</v>
      </c>
      <c r="C378" t="s">
        <v>2471</v>
      </c>
      <c r="D378" t="s">
        <v>1410</v>
      </c>
      <c r="E378" t="s">
        <v>3411</v>
      </c>
      <c r="F378" s="853" t="s">
        <v>527</v>
      </c>
      <c r="G378" s="913">
        <v>40</v>
      </c>
      <c r="H378" t="s">
        <v>3644</v>
      </c>
    </row>
    <row r="379" spans="2:8">
      <c r="B379" s="871">
        <v>46267</v>
      </c>
      <c r="C379" t="s">
        <v>2471</v>
      </c>
      <c r="D379" t="s">
        <v>1410</v>
      </c>
      <c r="E379" t="s">
        <v>3411</v>
      </c>
      <c r="F379" s="853" t="s">
        <v>528</v>
      </c>
      <c r="G379" s="913">
        <v>35</v>
      </c>
      <c r="H379" t="s">
        <v>3645</v>
      </c>
    </row>
    <row r="380" spans="2:8">
      <c r="B380" s="871">
        <v>46267</v>
      </c>
      <c r="C380" t="s">
        <v>2471</v>
      </c>
      <c r="D380" t="s">
        <v>1434</v>
      </c>
      <c r="E380" t="s">
        <v>43</v>
      </c>
      <c r="F380" s="853" t="s">
        <v>526</v>
      </c>
      <c r="G380" s="913" t="s">
        <v>9405</v>
      </c>
      <c r="H380" t="s">
        <v>3646</v>
      </c>
    </row>
    <row r="381" spans="2:8">
      <c r="B381" s="871">
        <v>46267</v>
      </c>
      <c r="C381" t="s">
        <v>2471</v>
      </c>
      <c r="D381" t="s">
        <v>1434</v>
      </c>
      <c r="E381" t="s">
        <v>43</v>
      </c>
      <c r="F381" s="853" t="s">
        <v>527</v>
      </c>
      <c r="G381" s="913" t="s">
        <v>9405</v>
      </c>
      <c r="H381" t="s">
        <v>3647</v>
      </c>
    </row>
    <row r="382" spans="2:8">
      <c r="B382" s="871">
        <v>46267</v>
      </c>
      <c r="C382" t="s">
        <v>2471</v>
      </c>
      <c r="D382" t="s">
        <v>1434</v>
      </c>
      <c r="E382" t="s">
        <v>43</v>
      </c>
      <c r="F382" s="853" t="s">
        <v>528</v>
      </c>
      <c r="G382" s="913" t="s">
        <v>9405</v>
      </c>
      <c r="H382" t="s">
        <v>3648</v>
      </c>
    </row>
    <row r="383" spans="2:8">
      <c r="B383" s="871">
        <v>46267</v>
      </c>
      <c r="C383" t="s">
        <v>2471</v>
      </c>
      <c r="D383" t="s">
        <v>1410</v>
      </c>
      <c r="E383" t="s">
        <v>3418</v>
      </c>
      <c r="F383" s="853" t="s">
        <v>526</v>
      </c>
      <c r="G383" s="913">
        <v>88</v>
      </c>
      <c r="H383" t="s">
        <v>3649</v>
      </c>
    </row>
    <row r="384" spans="2:8">
      <c r="B384" s="871">
        <v>46267</v>
      </c>
      <c r="C384" t="s">
        <v>2471</v>
      </c>
      <c r="D384" t="s">
        <v>1410</v>
      </c>
      <c r="E384" t="s">
        <v>3418</v>
      </c>
      <c r="F384" s="853" t="s">
        <v>527</v>
      </c>
      <c r="G384" s="913">
        <v>88</v>
      </c>
      <c r="H384" t="s">
        <v>3650</v>
      </c>
    </row>
    <row r="385" spans="2:8">
      <c r="B385" s="871">
        <v>46267</v>
      </c>
      <c r="C385" t="s">
        <v>2471</v>
      </c>
      <c r="D385" t="s">
        <v>1410</v>
      </c>
      <c r="E385" t="s">
        <v>3418</v>
      </c>
      <c r="F385" s="853" t="s">
        <v>528</v>
      </c>
      <c r="G385" s="913">
        <v>78</v>
      </c>
      <c r="H385" t="s">
        <v>3651</v>
      </c>
    </row>
    <row r="386" spans="2:8">
      <c r="B386" s="871">
        <v>46267</v>
      </c>
      <c r="C386" t="s">
        <v>2471</v>
      </c>
      <c r="D386" t="s">
        <v>1434</v>
      </c>
      <c r="E386" t="s">
        <v>1441</v>
      </c>
      <c r="F386" s="853" t="s">
        <v>526</v>
      </c>
      <c r="H386" t="s">
        <v>3652</v>
      </c>
    </row>
    <row r="387" spans="2:8">
      <c r="B387" s="871">
        <v>46267</v>
      </c>
      <c r="C387" t="s">
        <v>2471</v>
      </c>
      <c r="D387" t="s">
        <v>1434</v>
      </c>
      <c r="E387" t="s">
        <v>1441</v>
      </c>
      <c r="F387" s="853" t="s">
        <v>527</v>
      </c>
      <c r="H387" t="s">
        <v>3653</v>
      </c>
    </row>
    <row r="388" spans="2:8">
      <c r="B388" s="871">
        <v>46267</v>
      </c>
      <c r="C388" t="s">
        <v>2471</v>
      </c>
      <c r="D388" t="s">
        <v>1434</v>
      </c>
      <c r="E388" t="s">
        <v>1441</v>
      </c>
      <c r="F388" s="853" t="s">
        <v>528</v>
      </c>
      <c r="H388" t="s">
        <v>3654</v>
      </c>
    </row>
    <row r="389" spans="2:8">
      <c r="B389" s="871">
        <v>46267</v>
      </c>
      <c r="C389" t="s">
        <v>2471</v>
      </c>
      <c r="D389" t="s">
        <v>1410</v>
      </c>
      <c r="E389" t="s">
        <v>3425</v>
      </c>
      <c r="F389" s="853" t="s">
        <v>526</v>
      </c>
      <c r="G389" s="913" t="s">
        <v>1443</v>
      </c>
      <c r="H389" t="s">
        <v>3655</v>
      </c>
    </row>
    <row r="390" spans="2:8">
      <c r="B390" s="871">
        <v>46267</v>
      </c>
      <c r="C390" t="s">
        <v>2471</v>
      </c>
      <c r="D390" t="s">
        <v>1410</v>
      </c>
      <c r="E390" t="s">
        <v>3425</v>
      </c>
      <c r="F390" s="853" t="s">
        <v>527</v>
      </c>
      <c r="G390" s="913" t="s">
        <v>1443</v>
      </c>
      <c r="H390" t="s">
        <v>3656</v>
      </c>
    </row>
    <row r="391" spans="2:8">
      <c r="B391" s="871">
        <v>46267</v>
      </c>
      <c r="C391" t="s">
        <v>2471</v>
      </c>
      <c r="D391" t="s">
        <v>1410</v>
      </c>
      <c r="E391" t="s">
        <v>3425</v>
      </c>
      <c r="F391" s="853" t="s">
        <v>528</v>
      </c>
      <c r="G391" s="913" t="s">
        <v>1443</v>
      </c>
      <c r="H391" t="s">
        <v>3657</v>
      </c>
    </row>
    <row r="392" spans="2:8">
      <c r="B392" s="871">
        <v>46267</v>
      </c>
      <c r="C392" t="s">
        <v>2471</v>
      </c>
      <c r="D392" t="s">
        <v>1434</v>
      </c>
      <c r="E392" t="s">
        <v>1444</v>
      </c>
      <c r="F392" s="853" t="s">
        <v>526</v>
      </c>
      <c r="H392" t="s">
        <v>3658</v>
      </c>
    </row>
    <row r="393" spans="2:8">
      <c r="B393" s="871">
        <v>46267</v>
      </c>
      <c r="C393" t="s">
        <v>2471</v>
      </c>
      <c r="D393" t="s">
        <v>1434</v>
      </c>
      <c r="E393" t="s">
        <v>1444</v>
      </c>
      <c r="F393" s="853" t="s">
        <v>527</v>
      </c>
      <c r="H393" t="s">
        <v>3659</v>
      </c>
    </row>
    <row r="394" spans="2:8">
      <c r="B394" s="871">
        <v>46267</v>
      </c>
      <c r="C394" t="s">
        <v>2471</v>
      </c>
      <c r="D394" t="s">
        <v>1434</v>
      </c>
      <c r="E394" t="s">
        <v>1444</v>
      </c>
      <c r="F394" s="853" t="s">
        <v>528</v>
      </c>
      <c r="H394" t="s">
        <v>3660</v>
      </c>
    </row>
    <row r="395" spans="2:8">
      <c r="B395" s="871">
        <v>46267</v>
      </c>
      <c r="C395" t="s">
        <v>2471</v>
      </c>
      <c r="D395" t="s">
        <v>1434</v>
      </c>
      <c r="E395" t="s">
        <v>1446</v>
      </c>
      <c r="F395" s="853" t="s">
        <v>526</v>
      </c>
      <c r="G395" s="913">
        <v>100000</v>
      </c>
      <c r="H395" t="s">
        <v>3661</v>
      </c>
    </row>
    <row r="396" spans="2:8">
      <c r="B396" s="871">
        <v>46267</v>
      </c>
      <c r="C396" t="s">
        <v>2471</v>
      </c>
      <c r="D396" t="s">
        <v>1434</v>
      </c>
      <c r="E396" t="s">
        <v>1446</v>
      </c>
      <c r="F396" s="853" t="s">
        <v>527</v>
      </c>
      <c r="H396" t="s">
        <v>3662</v>
      </c>
    </row>
    <row r="397" spans="2:8">
      <c r="B397" s="871">
        <v>46267</v>
      </c>
      <c r="C397" t="s">
        <v>2471</v>
      </c>
      <c r="D397" t="s">
        <v>1434</v>
      </c>
      <c r="E397" t="s">
        <v>1446</v>
      </c>
      <c r="F397" s="853" t="s">
        <v>528</v>
      </c>
      <c r="G397" s="913">
        <v>156073</v>
      </c>
      <c r="H397" t="s">
        <v>3663</v>
      </c>
    </row>
    <row r="398" spans="2:8">
      <c r="B398" s="871">
        <v>46267</v>
      </c>
      <c r="C398" t="s">
        <v>2471</v>
      </c>
      <c r="D398" t="s">
        <v>1410</v>
      </c>
      <c r="E398" t="s">
        <v>3435</v>
      </c>
      <c r="F398" s="853" t="s">
        <v>526</v>
      </c>
      <c r="G398" s="913" t="s">
        <v>1213</v>
      </c>
      <c r="H398" t="s">
        <v>3664</v>
      </c>
    </row>
    <row r="399" spans="2:8">
      <c r="B399" s="871">
        <v>46267</v>
      </c>
      <c r="C399" t="s">
        <v>2471</v>
      </c>
      <c r="D399" t="s">
        <v>1410</v>
      </c>
      <c r="E399" t="s">
        <v>3435</v>
      </c>
      <c r="F399" s="853" t="s">
        <v>527</v>
      </c>
      <c r="G399" s="913" t="s">
        <v>1213</v>
      </c>
      <c r="H399" t="s">
        <v>3665</v>
      </c>
    </row>
    <row r="400" spans="2:8">
      <c r="B400" s="871">
        <v>46267</v>
      </c>
      <c r="C400" t="s">
        <v>2471</v>
      </c>
      <c r="D400" t="s">
        <v>1410</v>
      </c>
      <c r="E400" t="s">
        <v>3435</v>
      </c>
      <c r="F400" s="853" t="s">
        <v>528</v>
      </c>
      <c r="G400" s="913" t="s">
        <v>1213</v>
      </c>
      <c r="H400" t="s">
        <v>3666</v>
      </c>
    </row>
    <row r="401" spans="2:8">
      <c r="B401" s="871">
        <v>46267</v>
      </c>
      <c r="C401" t="s">
        <v>2471</v>
      </c>
      <c r="D401" t="s">
        <v>1434</v>
      </c>
      <c r="E401" t="s">
        <v>3439</v>
      </c>
      <c r="F401" s="853" t="s">
        <v>526</v>
      </c>
      <c r="H401" t="s">
        <v>3667</v>
      </c>
    </row>
    <row r="402" spans="2:8">
      <c r="B402" s="871">
        <v>46267</v>
      </c>
      <c r="C402" t="s">
        <v>2471</v>
      </c>
      <c r="D402" t="s">
        <v>1434</v>
      </c>
      <c r="E402" t="s">
        <v>3439</v>
      </c>
      <c r="F402" s="853" t="s">
        <v>527</v>
      </c>
      <c r="H402" t="s">
        <v>3668</v>
      </c>
    </row>
    <row r="403" spans="2:8">
      <c r="B403" s="871">
        <v>46267</v>
      </c>
      <c r="C403" t="s">
        <v>2471</v>
      </c>
      <c r="D403" t="s">
        <v>1434</v>
      </c>
      <c r="E403" t="s">
        <v>3439</v>
      </c>
      <c r="F403" s="853" t="s">
        <v>528</v>
      </c>
      <c r="H403" t="s">
        <v>3669</v>
      </c>
    </row>
    <row r="404" spans="2:8">
      <c r="B404" s="871">
        <v>46267</v>
      </c>
      <c r="C404" t="s">
        <v>2471</v>
      </c>
      <c r="D404" t="s">
        <v>1410</v>
      </c>
      <c r="E404" t="s">
        <v>3443</v>
      </c>
      <c r="F404" s="853" t="s">
        <v>526</v>
      </c>
      <c r="G404" s="913">
        <v>127</v>
      </c>
      <c r="H404" t="s">
        <v>3670</v>
      </c>
    </row>
    <row r="405" spans="2:8">
      <c r="B405" s="871">
        <v>46267</v>
      </c>
      <c r="C405" t="s">
        <v>2471</v>
      </c>
      <c r="D405" t="s">
        <v>1410</v>
      </c>
      <c r="E405" t="s">
        <v>3443</v>
      </c>
      <c r="F405" s="853" t="s">
        <v>527</v>
      </c>
      <c r="G405" s="913">
        <v>122</v>
      </c>
      <c r="H405" t="s">
        <v>3671</v>
      </c>
    </row>
    <row r="406" spans="2:8">
      <c r="B406" s="871">
        <v>46267</v>
      </c>
      <c r="C406" t="s">
        <v>2471</v>
      </c>
      <c r="D406" t="s">
        <v>1410</v>
      </c>
      <c r="E406" t="s">
        <v>3443</v>
      </c>
      <c r="F406" s="853" t="s">
        <v>528</v>
      </c>
      <c r="G406" s="913">
        <v>132</v>
      </c>
      <c r="H406" t="s">
        <v>3672</v>
      </c>
    </row>
    <row r="407" spans="2:8">
      <c r="B407" s="871">
        <v>46267</v>
      </c>
      <c r="C407" t="s">
        <v>2471</v>
      </c>
      <c r="D407" t="s">
        <v>1434</v>
      </c>
      <c r="E407" t="s">
        <v>3447</v>
      </c>
      <c r="F407" s="853" t="s">
        <v>526</v>
      </c>
      <c r="H407" t="s">
        <v>3673</v>
      </c>
    </row>
    <row r="408" spans="2:8">
      <c r="B408" s="871">
        <v>46267</v>
      </c>
      <c r="C408" t="s">
        <v>2471</v>
      </c>
      <c r="D408" t="s">
        <v>1434</v>
      </c>
      <c r="E408" t="s">
        <v>3447</v>
      </c>
      <c r="F408" s="853" t="s">
        <v>527</v>
      </c>
      <c r="H408" t="s">
        <v>3674</v>
      </c>
    </row>
    <row r="409" spans="2:8">
      <c r="B409" s="871">
        <v>46267</v>
      </c>
      <c r="C409" t="s">
        <v>2471</v>
      </c>
      <c r="D409" t="s">
        <v>1434</v>
      </c>
      <c r="E409" t="s">
        <v>3447</v>
      </c>
      <c r="F409" s="853" t="s">
        <v>528</v>
      </c>
      <c r="H409" t="s">
        <v>3675</v>
      </c>
    </row>
    <row r="410" spans="2:8">
      <c r="B410" s="871">
        <v>46267</v>
      </c>
      <c r="C410" t="s">
        <v>2471</v>
      </c>
      <c r="D410" t="s">
        <v>1410</v>
      </c>
      <c r="E410" t="s">
        <v>3451</v>
      </c>
      <c r="F410" s="853" t="s">
        <v>526</v>
      </c>
      <c r="G410" s="913">
        <v>1410</v>
      </c>
      <c r="H410" t="s">
        <v>3676</v>
      </c>
    </row>
    <row r="411" spans="2:8">
      <c r="B411" s="871">
        <v>46267</v>
      </c>
      <c r="C411" t="s">
        <v>2471</v>
      </c>
      <c r="D411" t="s">
        <v>1410</v>
      </c>
      <c r="E411" t="s">
        <v>3451</v>
      </c>
      <c r="F411" s="853" t="s">
        <v>527</v>
      </c>
      <c r="G411" s="913">
        <v>1415</v>
      </c>
      <c r="H411" t="s">
        <v>3677</v>
      </c>
    </row>
    <row r="412" spans="2:8">
      <c r="B412" s="871">
        <v>46267</v>
      </c>
      <c r="C412" t="s">
        <v>2471</v>
      </c>
      <c r="D412" t="s">
        <v>1410</v>
      </c>
      <c r="E412" t="s">
        <v>3451</v>
      </c>
      <c r="F412" s="853" t="s">
        <v>528</v>
      </c>
      <c r="G412" s="913">
        <v>1396</v>
      </c>
      <c r="H412" t="s">
        <v>3678</v>
      </c>
    </row>
    <row r="413" spans="2:8">
      <c r="B413" s="871">
        <v>46267</v>
      </c>
      <c r="C413" t="s">
        <v>2471</v>
      </c>
      <c r="D413" t="s">
        <v>1434</v>
      </c>
      <c r="E413" t="s">
        <v>3455</v>
      </c>
      <c r="F413" s="853" t="s">
        <v>526</v>
      </c>
      <c r="H413" t="s">
        <v>3679</v>
      </c>
    </row>
    <row r="414" spans="2:8">
      <c r="B414" s="871">
        <v>46267</v>
      </c>
      <c r="C414" t="s">
        <v>2471</v>
      </c>
      <c r="D414" t="s">
        <v>1434</v>
      </c>
      <c r="E414" t="s">
        <v>3455</v>
      </c>
      <c r="F414" s="853" t="s">
        <v>527</v>
      </c>
      <c r="H414" t="s">
        <v>3680</v>
      </c>
    </row>
    <row r="415" spans="2:8">
      <c r="B415" s="871">
        <v>46267</v>
      </c>
      <c r="C415" t="s">
        <v>2471</v>
      </c>
      <c r="D415" t="s">
        <v>1434</v>
      </c>
      <c r="E415" t="s">
        <v>3455</v>
      </c>
      <c r="F415" s="853" t="s">
        <v>528</v>
      </c>
      <c r="H415" t="s">
        <v>3681</v>
      </c>
    </row>
    <row r="416" spans="2:8">
      <c r="B416" s="871">
        <v>46267</v>
      </c>
      <c r="C416" t="s">
        <v>2471</v>
      </c>
      <c r="D416" t="s">
        <v>1410</v>
      </c>
      <c r="E416" t="s">
        <v>3459</v>
      </c>
      <c r="F416" s="853" t="s">
        <v>526</v>
      </c>
      <c r="G416" s="913">
        <v>31</v>
      </c>
      <c r="H416" t="s">
        <v>3682</v>
      </c>
    </row>
    <row r="417" spans="2:8">
      <c r="B417" s="871">
        <v>46267</v>
      </c>
      <c r="C417" t="s">
        <v>2471</v>
      </c>
      <c r="D417" t="s">
        <v>1410</v>
      </c>
      <c r="E417" t="s">
        <v>3459</v>
      </c>
      <c r="F417" s="853" t="s">
        <v>527</v>
      </c>
      <c r="G417" s="913">
        <v>30</v>
      </c>
      <c r="H417" t="s">
        <v>3683</v>
      </c>
    </row>
    <row r="418" spans="2:8">
      <c r="B418" s="871">
        <v>46267</v>
      </c>
      <c r="C418" t="s">
        <v>2471</v>
      </c>
      <c r="D418" t="s">
        <v>1410</v>
      </c>
      <c r="E418" t="s">
        <v>3459</v>
      </c>
      <c r="F418" s="853" t="s">
        <v>528</v>
      </c>
      <c r="G418" s="913">
        <v>28</v>
      </c>
      <c r="H418" t="s">
        <v>3684</v>
      </c>
    </row>
    <row r="419" spans="2:8">
      <c r="B419" s="871">
        <v>46267</v>
      </c>
      <c r="C419" t="s">
        <v>2471</v>
      </c>
      <c r="D419" t="s">
        <v>1434</v>
      </c>
      <c r="E419" t="s">
        <v>3463</v>
      </c>
      <c r="F419" s="853" t="s">
        <v>526</v>
      </c>
      <c r="H419" t="s">
        <v>3685</v>
      </c>
    </row>
    <row r="420" spans="2:8">
      <c r="B420" s="871">
        <v>46267</v>
      </c>
      <c r="C420" t="s">
        <v>2471</v>
      </c>
      <c r="D420" t="s">
        <v>1434</v>
      </c>
      <c r="E420" t="s">
        <v>3463</v>
      </c>
      <c r="F420" s="853" t="s">
        <v>527</v>
      </c>
      <c r="H420" t="s">
        <v>3686</v>
      </c>
    </row>
    <row r="421" spans="2:8">
      <c r="B421" s="871">
        <v>46267</v>
      </c>
      <c r="C421" t="s">
        <v>2471</v>
      </c>
      <c r="D421" t="s">
        <v>1434</v>
      </c>
      <c r="E421" t="s">
        <v>3463</v>
      </c>
      <c r="F421" s="853" t="s">
        <v>528</v>
      </c>
      <c r="H421" t="s">
        <v>3687</v>
      </c>
    </row>
    <row r="422" spans="2:8">
      <c r="B422" s="871">
        <v>46267</v>
      </c>
      <c r="C422" t="s">
        <v>2471</v>
      </c>
      <c r="D422" t="s">
        <v>1410</v>
      </c>
      <c r="E422" t="s">
        <v>3467</v>
      </c>
      <c r="F422" s="853" t="s">
        <v>526</v>
      </c>
      <c r="G422" s="913">
        <v>31</v>
      </c>
      <c r="H422" t="s">
        <v>3688</v>
      </c>
    </row>
    <row r="423" spans="2:8">
      <c r="B423" s="871">
        <v>46267</v>
      </c>
      <c r="C423" t="s">
        <v>2471</v>
      </c>
      <c r="D423" t="s">
        <v>1410</v>
      </c>
      <c r="E423" t="s">
        <v>3467</v>
      </c>
      <c r="F423" s="853" t="s">
        <v>527</v>
      </c>
      <c r="G423" s="913">
        <v>30</v>
      </c>
      <c r="H423" t="s">
        <v>3689</v>
      </c>
    </row>
    <row r="424" spans="2:8">
      <c r="B424" s="871">
        <v>46267</v>
      </c>
      <c r="C424" t="s">
        <v>2471</v>
      </c>
      <c r="D424" t="s">
        <v>1410</v>
      </c>
      <c r="E424" t="s">
        <v>3467</v>
      </c>
      <c r="F424" s="853" t="s">
        <v>528</v>
      </c>
      <c r="G424" s="913">
        <v>28</v>
      </c>
      <c r="H424" t="s">
        <v>3690</v>
      </c>
    </row>
    <row r="425" spans="2:8">
      <c r="B425" s="871">
        <v>46267</v>
      </c>
      <c r="C425" t="s">
        <v>2471</v>
      </c>
      <c r="D425" t="s">
        <v>1434</v>
      </c>
      <c r="E425" t="s">
        <v>3471</v>
      </c>
      <c r="F425" s="853" t="s">
        <v>526</v>
      </c>
      <c r="H425" t="s">
        <v>3691</v>
      </c>
    </row>
    <row r="426" spans="2:8">
      <c r="B426" s="871">
        <v>46267</v>
      </c>
      <c r="C426" t="s">
        <v>2471</v>
      </c>
      <c r="D426" t="s">
        <v>1434</v>
      </c>
      <c r="E426" t="s">
        <v>3471</v>
      </c>
      <c r="F426" s="853" t="s">
        <v>527</v>
      </c>
      <c r="H426" t="s">
        <v>3692</v>
      </c>
    </row>
    <row r="427" spans="2:8">
      <c r="B427" s="871">
        <v>46267</v>
      </c>
      <c r="C427" t="s">
        <v>2471</v>
      </c>
      <c r="D427" t="s">
        <v>1434</v>
      </c>
      <c r="E427" t="s">
        <v>3471</v>
      </c>
      <c r="F427" s="853" t="s">
        <v>528</v>
      </c>
      <c r="H427" t="s">
        <v>3693</v>
      </c>
    </row>
    <row r="428" spans="2:8">
      <c r="B428" s="871">
        <v>46267</v>
      </c>
      <c r="C428" t="s">
        <v>2471</v>
      </c>
      <c r="D428" t="s">
        <v>1410</v>
      </c>
      <c r="E428" t="s">
        <v>3475</v>
      </c>
      <c r="F428" s="853" t="s">
        <v>526</v>
      </c>
      <c r="G428" s="913">
        <v>17</v>
      </c>
      <c r="H428" t="s">
        <v>3694</v>
      </c>
    </row>
    <row r="429" spans="2:8">
      <c r="B429" s="871">
        <v>46267</v>
      </c>
      <c r="C429" t="s">
        <v>2471</v>
      </c>
      <c r="D429" t="s">
        <v>1410</v>
      </c>
      <c r="E429" t="s">
        <v>3475</v>
      </c>
      <c r="F429" s="853" t="s">
        <v>527</v>
      </c>
      <c r="G429" s="913">
        <v>18</v>
      </c>
      <c r="H429" t="s">
        <v>3695</v>
      </c>
    </row>
    <row r="430" spans="2:8">
      <c r="B430" s="871">
        <v>46267</v>
      </c>
      <c r="C430" t="s">
        <v>2471</v>
      </c>
      <c r="D430" t="s">
        <v>1410</v>
      </c>
      <c r="E430" t="s">
        <v>3475</v>
      </c>
      <c r="F430" s="853" t="s">
        <v>528</v>
      </c>
      <c r="G430" s="913">
        <v>17</v>
      </c>
      <c r="H430" t="s">
        <v>3696</v>
      </c>
    </row>
    <row r="431" spans="2:8">
      <c r="B431" s="871">
        <v>46267</v>
      </c>
      <c r="C431" t="s">
        <v>2471</v>
      </c>
      <c r="D431" t="s">
        <v>1434</v>
      </c>
      <c r="E431" t="s">
        <v>3479</v>
      </c>
      <c r="F431" s="853" t="s">
        <v>526</v>
      </c>
      <c r="H431" t="s">
        <v>3697</v>
      </c>
    </row>
    <row r="432" spans="2:8">
      <c r="B432" s="871">
        <v>46267</v>
      </c>
      <c r="C432" t="s">
        <v>2471</v>
      </c>
      <c r="D432" t="s">
        <v>1434</v>
      </c>
      <c r="E432" t="s">
        <v>3479</v>
      </c>
      <c r="F432" s="853" t="s">
        <v>527</v>
      </c>
      <c r="H432" t="s">
        <v>3698</v>
      </c>
    </row>
    <row r="433" spans="2:8">
      <c r="B433" s="871">
        <v>46267</v>
      </c>
      <c r="C433" t="s">
        <v>2471</v>
      </c>
      <c r="D433" t="s">
        <v>1434</v>
      </c>
      <c r="E433" t="s">
        <v>3479</v>
      </c>
      <c r="F433" s="853" t="s">
        <v>528</v>
      </c>
      <c r="H433" t="s">
        <v>3699</v>
      </c>
    </row>
    <row r="434" spans="2:8">
      <c r="B434" s="871">
        <v>46267</v>
      </c>
      <c r="C434" t="s">
        <v>2471</v>
      </c>
      <c r="D434" t="s">
        <v>1410</v>
      </c>
      <c r="E434" t="s">
        <v>3483</v>
      </c>
      <c r="F434" s="853" t="s">
        <v>526</v>
      </c>
      <c r="G434" s="913">
        <v>5</v>
      </c>
      <c r="H434" t="s">
        <v>3700</v>
      </c>
    </row>
    <row r="435" spans="2:8">
      <c r="B435" s="871">
        <v>46267</v>
      </c>
      <c r="C435" t="s">
        <v>2471</v>
      </c>
      <c r="D435" t="s">
        <v>1410</v>
      </c>
      <c r="E435" t="s">
        <v>3483</v>
      </c>
      <c r="F435" s="853" t="s">
        <v>527</v>
      </c>
      <c r="G435" s="913">
        <v>5</v>
      </c>
      <c r="H435" t="s">
        <v>3701</v>
      </c>
    </row>
    <row r="436" spans="2:8">
      <c r="B436" s="871">
        <v>46267</v>
      </c>
      <c r="C436" t="s">
        <v>2471</v>
      </c>
      <c r="D436" t="s">
        <v>1410</v>
      </c>
      <c r="E436" t="s">
        <v>3483</v>
      </c>
      <c r="F436" s="853" t="s">
        <v>528</v>
      </c>
      <c r="G436" s="913">
        <v>5</v>
      </c>
      <c r="H436" t="s">
        <v>3702</v>
      </c>
    </row>
    <row r="437" spans="2:8">
      <c r="B437" s="871">
        <v>46268</v>
      </c>
      <c r="C437" t="s">
        <v>2472</v>
      </c>
      <c r="D437" t="s">
        <v>1375</v>
      </c>
      <c r="E437" t="s">
        <v>1377</v>
      </c>
      <c r="F437" s="853" t="s">
        <v>526</v>
      </c>
      <c r="G437" s="913" t="s">
        <v>1530</v>
      </c>
      <c r="H437" t="s">
        <v>3703</v>
      </c>
    </row>
    <row r="438" spans="2:8">
      <c r="B438" s="871">
        <v>46268</v>
      </c>
      <c r="C438" t="s">
        <v>2472</v>
      </c>
      <c r="D438" t="s">
        <v>1375</v>
      </c>
      <c r="E438" t="s">
        <v>1377</v>
      </c>
      <c r="F438" s="853" t="s">
        <v>527</v>
      </c>
      <c r="G438" s="913" t="s">
        <v>1378</v>
      </c>
      <c r="H438" t="s">
        <v>3704</v>
      </c>
    </row>
    <row r="439" spans="2:8">
      <c r="B439" s="871">
        <v>46268</v>
      </c>
      <c r="C439" t="s">
        <v>2472</v>
      </c>
      <c r="D439" t="s">
        <v>1375</v>
      </c>
      <c r="E439" t="s">
        <v>1377</v>
      </c>
      <c r="F439" s="853" t="s">
        <v>528</v>
      </c>
      <c r="G439" s="913" t="s">
        <v>1378</v>
      </c>
      <c r="H439" t="s">
        <v>3705</v>
      </c>
    </row>
    <row r="440" spans="2:8">
      <c r="B440" s="871">
        <v>46268</v>
      </c>
      <c r="C440" t="s">
        <v>2472</v>
      </c>
      <c r="D440" t="s">
        <v>1376</v>
      </c>
      <c r="E440" t="s">
        <v>1379</v>
      </c>
      <c r="F440" s="853" t="s">
        <v>526</v>
      </c>
      <c r="H440" t="s">
        <v>3706</v>
      </c>
    </row>
    <row r="441" spans="2:8">
      <c r="B441" s="871">
        <v>46268</v>
      </c>
      <c r="C441" t="s">
        <v>2472</v>
      </c>
      <c r="D441" t="s">
        <v>1376</v>
      </c>
      <c r="E441" t="s">
        <v>1379</v>
      </c>
      <c r="F441" s="853" t="s">
        <v>527</v>
      </c>
      <c r="H441" t="s">
        <v>3707</v>
      </c>
    </row>
    <row r="442" spans="2:8">
      <c r="B442" s="871">
        <v>46268</v>
      </c>
      <c r="C442" t="s">
        <v>2472</v>
      </c>
      <c r="D442" t="s">
        <v>1376</v>
      </c>
      <c r="E442" t="s">
        <v>1379</v>
      </c>
      <c r="F442" s="853" t="s">
        <v>528</v>
      </c>
      <c r="H442" t="s">
        <v>3708</v>
      </c>
    </row>
    <row r="443" spans="2:8">
      <c r="B443" s="871">
        <v>46268</v>
      </c>
      <c r="C443" t="s">
        <v>2472</v>
      </c>
      <c r="D443" t="s">
        <v>1375</v>
      </c>
      <c r="E443" t="s">
        <v>1380</v>
      </c>
      <c r="F443" s="853" t="s">
        <v>526</v>
      </c>
      <c r="G443" s="913" t="s">
        <v>1531</v>
      </c>
      <c r="H443" t="s">
        <v>3709</v>
      </c>
    </row>
    <row r="444" spans="2:8">
      <c r="B444" s="871">
        <v>46268</v>
      </c>
      <c r="C444" t="s">
        <v>2472</v>
      </c>
      <c r="D444" t="s">
        <v>1375</v>
      </c>
      <c r="E444" t="s">
        <v>1380</v>
      </c>
      <c r="F444" s="853" t="s">
        <v>527</v>
      </c>
      <c r="G444" s="913" t="s">
        <v>1532</v>
      </c>
      <c r="H444" t="s">
        <v>3710</v>
      </c>
    </row>
    <row r="445" spans="2:8">
      <c r="B445" s="871">
        <v>46268</v>
      </c>
      <c r="C445" t="s">
        <v>2472</v>
      </c>
      <c r="D445" t="s">
        <v>1375</v>
      </c>
      <c r="E445" t="s">
        <v>1380</v>
      </c>
      <c r="F445" s="853" t="s">
        <v>528</v>
      </c>
      <c r="G445" s="913" t="s">
        <v>1532</v>
      </c>
      <c r="H445" t="s">
        <v>3711</v>
      </c>
    </row>
    <row r="446" spans="2:8">
      <c r="B446" s="871">
        <v>46268</v>
      </c>
      <c r="C446" t="s">
        <v>2472</v>
      </c>
      <c r="D446" t="s">
        <v>1376</v>
      </c>
      <c r="E446" t="s">
        <v>1383</v>
      </c>
      <c r="F446" s="853" t="s">
        <v>526</v>
      </c>
      <c r="G446" s="913">
        <v>0.2</v>
      </c>
      <c r="H446" t="s">
        <v>3712</v>
      </c>
    </row>
    <row r="447" spans="2:8">
      <c r="B447" s="871">
        <v>46268</v>
      </c>
      <c r="C447" t="s">
        <v>2472</v>
      </c>
      <c r="D447" t="s">
        <v>1376</v>
      </c>
      <c r="E447" t="s">
        <v>1383</v>
      </c>
      <c r="F447" s="853" t="s">
        <v>527</v>
      </c>
      <c r="G447" s="913">
        <v>0</v>
      </c>
      <c r="H447" t="s">
        <v>3713</v>
      </c>
    </row>
    <row r="448" spans="2:8">
      <c r="B448" s="871">
        <v>46268</v>
      </c>
      <c r="C448" t="s">
        <v>2472</v>
      </c>
      <c r="D448" t="s">
        <v>1376</v>
      </c>
      <c r="E448" t="s">
        <v>1383</v>
      </c>
      <c r="F448" s="853" t="s">
        <v>528</v>
      </c>
      <c r="G448" s="913">
        <v>0</v>
      </c>
      <c r="H448" t="s">
        <v>3714</v>
      </c>
    </row>
    <row r="449" spans="2:8">
      <c r="B449" s="871">
        <v>46268</v>
      </c>
      <c r="C449" t="s">
        <v>2472</v>
      </c>
      <c r="D449" t="s">
        <v>1375</v>
      </c>
      <c r="E449" t="s">
        <v>54</v>
      </c>
      <c r="F449" s="853" t="s">
        <v>526</v>
      </c>
      <c r="H449" t="s">
        <v>3715</v>
      </c>
    </row>
    <row r="450" spans="2:8">
      <c r="B450" s="871">
        <v>46268</v>
      </c>
      <c r="C450" t="s">
        <v>2472</v>
      </c>
      <c r="D450" t="s">
        <v>1375</v>
      </c>
      <c r="E450" t="s">
        <v>54</v>
      </c>
      <c r="F450" s="853" t="s">
        <v>527</v>
      </c>
      <c r="H450" t="s">
        <v>3716</v>
      </c>
    </row>
    <row r="451" spans="2:8">
      <c r="B451" s="871">
        <v>46268</v>
      </c>
      <c r="C451" t="s">
        <v>2472</v>
      </c>
      <c r="D451" t="s">
        <v>1375</v>
      </c>
      <c r="E451" t="s">
        <v>54</v>
      </c>
      <c r="F451" s="853" t="s">
        <v>528</v>
      </c>
      <c r="H451" t="s">
        <v>3717</v>
      </c>
    </row>
    <row r="452" spans="2:8">
      <c r="B452" s="871">
        <v>46268</v>
      </c>
      <c r="C452" t="s">
        <v>2472</v>
      </c>
      <c r="D452" t="s">
        <v>1376</v>
      </c>
      <c r="E452" t="s">
        <v>1384</v>
      </c>
      <c r="F452" s="853" t="s">
        <v>526</v>
      </c>
      <c r="G452" s="913">
        <v>0.5</v>
      </c>
      <c r="H452" t="s">
        <v>3718</v>
      </c>
    </row>
    <row r="453" spans="2:8">
      <c r="B453" s="871">
        <v>46268</v>
      </c>
      <c r="C453" t="s">
        <v>2472</v>
      </c>
      <c r="D453" t="s">
        <v>1376</v>
      </c>
      <c r="E453" t="s">
        <v>1384</v>
      </c>
      <c r="F453" s="853" t="s">
        <v>527</v>
      </c>
      <c r="G453" s="913">
        <v>0.4</v>
      </c>
      <c r="H453" t="s">
        <v>3719</v>
      </c>
    </row>
    <row r="454" spans="2:8">
      <c r="B454" s="871">
        <v>46268</v>
      </c>
      <c r="C454" t="s">
        <v>2472</v>
      </c>
      <c r="D454" t="s">
        <v>1376</v>
      </c>
      <c r="E454" t="s">
        <v>1384</v>
      </c>
      <c r="F454" s="853" t="s">
        <v>528</v>
      </c>
      <c r="G454" s="913">
        <v>0.4</v>
      </c>
      <c r="H454" t="s">
        <v>3720</v>
      </c>
    </row>
    <row r="455" spans="2:8">
      <c r="B455" s="871">
        <v>46268</v>
      </c>
      <c r="C455" t="s">
        <v>2472</v>
      </c>
      <c r="D455" t="s">
        <v>1375</v>
      </c>
      <c r="E455" t="s">
        <v>1385</v>
      </c>
      <c r="F455" s="853" t="s">
        <v>526</v>
      </c>
      <c r="G455" s="913">
        <v>593</v>
      </c>
      <c r="H455" t="s">
        <v>3721</v>
      </c>
    </row>
    <row r="456" spans="2:8">
      <c r="B456" s="871">
        <v>46268</v>
      </c>
      <c r="C456" t="s">
        <v>2472</v>
      </c>
      <c r="D456" t="s">
        <v>1375</v>
      </c>
      <c r="E456" t="s">
        <v>1385</v>
      </c>
      <c r="F456" s="853" t="s">
        <v>527</v>
      </c>
      <c r="G456" s="913">
        <v>1710</v>
      </c>
      <c r="H456" t="s">
        <v>3722</v>
      </c>
    </row>
    <row r="457" spans="2:8">
      <c r="B457" s="871">
        <v>46268</v>
      </c>
      <c r="C457" t="s">
        <v>2472</v>
      </c>
      <c r="D457" t="s">
        <v>1375</v>
      </c>
      <c r="E457" t="s">
        <v>1385</v>
      </c>
      <c r="F457" s="853" t="s">
        <v>528</v>
      </c>
      <c r="G457" s="913">
        <v>3318</v>
      </c>
      <c r="H457" t="s">
        <v>3723</v>
      </c>
    </row>
    <row r="458" spans="2:8">
      <c r="B458" s="871">
        <v>46268</v>
      </c>
      <c r="C458" t="s">
        <v>2472</v>
      </c>
      <c r="D458" t="s">
        <v>1376</v>
      </c>
      <c r="E458" t="s">
        <v>1386</v>
      </c>
      <c r="F458" s="853" t="s">
        <v>526</v>
      </c>
      <c r="G458" s="913">
        <v>0.45</v>
      </c>
      <c r="H458" t="s">
        <v>3724</v>
      </c>
    </row>
    <row r="459" spans="2:8">
      <c r="B459" s="871">
        <v>46268</v>
      </c>
      <c r="C459" t="s">
        <v>2472</v>
      </c>
      <c r="D459" t="s">
        <v>1376</v>
      </c>
      <c r="E459" t="s">
        <v>1386</v>
      </c>
      <c r="F459" s="853" t="s">
        <v>527</v>
      </c>
      <c r="G459" s="913">
        <v>0.5</v>
      </c>
      <c r="H459" t="s">
        <v>3725</v>
      </c>
    </row>
    <row r="460" spans="2:8">
      <c r="B460" s="871">
        <v>46268</v>
      </c>
      <c r="C460" t="s">
        <v>2472</v>
      </c>
      <c r="D460" t="s">
        <v>1376</v>
      </c>
      <c r="E460" t="s">
        <v>1386</v>
      </c>
      <c r="F460" s="853" t="s">
        <v>528</v>
      </c>
      <c r="G460" s="913">
        <v>0.4</v>
      </c>
      <c r="H460" t="s">
        <v>3726</v>
      </c>
    </row>
    <row r="461" spans="2:8">
      <c r="B461" s="871">
        <v>46268</v>
      </c>
      <c r="C461" t="s">
        <v>2472</v>
      </c>
      <c r="D461" t="s">
        <v>1376</v>
      </c>
      <c r="E461" t="s">
        <v>1387</v>
      </c>
      <c r="F461" s="853" t="s">
        <v>526</v>
      </c>
      <c r="G461" s="913">
        <v>8.1999999999999993</v>
      </c>
      <c r="H461" t="s">
        <v>3727</v>
      </c>
    </row>
    <row r="462" spans="2:8">
      <c r="B462" s="871">
        <v>46268</v>
      </c>
      <c r="C462" t="s">
        <v>2472</v>
      </c>
      <c r="D462" t="s">
        <v>1376</v>
      </c>
      <c r="E462" t="s">
        <v>1387</v>
      </c>
      <c r="F462" s="853" t="s">
        <v>527</v>
      </c>
      <c r="G462" s="913">
        <v>8.1</v>
      </c>
      <c r="H462" t="s">
        <v>3728</v>
      </c>
    </row>
    <row r="463" spans="2:8">
      <c r="B463" s="871">
        <v>46268</v>
      </c>
      <c r="C463" t="s">
        <v>2472</v>
      </c>
      <c r="D463" t="s">
        <v>1376</v>
      </c>
      <c r="E463" t="s">
        <v>1387</v>
      </c>
      <c r="F463" s="853" t="s">
        <v>528</v>
      </c>
      <c r="G463" s="913">
        <v>8</v>
      </c>
      <c r="H463" t="s">
        <v>3729</v>
      </c>
    </row>
    <row r="464" spans="2:8">
      <c r="B464" s="871">
        <v>46268</v>
      </c>
      <c r="C464" t="s">
        <v>2472</v>
      </c>
      <c r="D464" t="s">
        <v>1375</v>
      </c>
      <c r="E464" t="s">
        <v>1388</v>
      </c>
      <c r="F464" s="853" t="s">
        <v>526</v>
      </c>
      <c r="H464" t="s">
        <v>3730</v>
      </c>
    </row>
    <row r="465" spans="2:8">
      <c r="B465" s="871">
        <v>46268</v>
      </c>
      <c r="C465" t="s">
        <v>2472</v>
      </c>
      <c r="D465" t="s">
        <v>1375</v>
      </c>
      <c r="E465" t="s">
        <v>1388</v>
      </c>
      <c r="F465" s="853" t="s">
        <v>527</v>
      </c>
      <c r="H465" t="s">
        <v>3731</v>
      </c>
    </row>
    <row r="466" spans="2:8">
      <c r="B466" s="871">
        <v>46268</v>
      </c>
      <c r="C466" t="s">
        <v>2472</v>
      </c>
      <c r="D466" t="s">
        <v>1375</v>
      </c>
      <c r="E466" t="s">
        <v>1388</v>
      </c>
      <c r="F466" s="853" t="s">
        <v>528</v>
      </c>
      <c r="H466" t="s">
        <v>3732</v>
      </c>
    </row>
    <row r="467" spans="2:8">
      <c r="B467" s="871">
        <v>46268</v>
      </c>
      <c r="C467" t="s">
        <v>2472</v>
      </c>
      <c r="D467" t="s">
        <v>1376</v>
      </c>
      <c r="E467" t="s">
        <v>1389</v>
      </c>
      <c r="F467" s="853" t="s">
        <v>526</v>
      </c>
      <c r="G467" s="913">
        <v>63</v>
      </c>
      <c r="H467" t="s">
        <v>3733</v>
      </c>
    </row>
    <row r="468" spans="2:8">
      <c r="B468" s="871">
        <v>46268</v>
      </c>
      <c r="C468" t="s">
        <v>2472</v>
      </c>
      <c r="D468" t="s">
        <v>1376</v>
      </c>
      <c r="E468" t="s">
        <v>1389</v>
      </c>
      <c r="F468" s="853" t="s">
        <v>527</v>
      </c>
      <c r="G468" s="913">
        <v>62.6</v>
      </c>
      <c r="H468" t="s">
        <v>3734</v>
      </c>
    </row>
    <row r="469" spans="2:8">
      <c r="B469" s="871">
        <v>46268</v>
      </c>
      <c r="C469" t="s">
        <v>2472</v>
      </c>
      <c r="D469" t="s">
        <v>1376</v>
      </c>
      <c r="E469" t="s">
        <v>1389</v>
      </c>
      <c r="F469" s="853" t="s">
        <v>528</v>
      </c>
      <c r="G469" s="913">
        <v>62.4</v>
      </c>
      <c r="H469" t="s">
        <v>3735</v>
      </c>
    </row>
    <row r="470" spans="2:8">
      <c r="B470" s="871">
        <v>46268</v>
      </c>
      <c r="C470" t="s">
        <v>2472</v>
      </c>
      <c r="D470" t="s">
        <v>1375</v>
      </c>
      <c r="E470" t="s">
        <v>3266</v>
      </c>
      <c r="F470" s="853" t="s">
        <v>526</v>
      </c>
      <c r="G470" s="913">
        <v>5</v>
      </c>
      <c r="H470" t="s">
        <v>3736</v>
      </c>
    </row>
    <row r="471" spans="2:8">
      <c r="B471" s="871">
        <v>46268</v>
      </c>
      <c r="C471" t="s">
        <v>2472</v>
      </c>
      <c r="D471" t="s">
        <v>1375</v>
      </c>
      <c r="E471" t="s">
        <v>3266</v>
      </c>
      <c r="F471" s="853" t="s">
        <v>527</v>
      </c>
      <c r="G471" s="913">
        <v>4</v>
      </c>
      <c r="H471" t="s">
        <v>3737</v>
      </c>
    </row>
    <row r="472" spans="2:8">
      <c r="B472" s="871">
        <v>46268</v>
      </c>
      <c r="C472" t="s">
        <v>2472</v>
      </c>
      <c r="D472" t="s">
        <v>1375</v>
      </c>
      <c r="E472" t="s">
        <v>3266</v>
      </c>
      <c r="F472" s="853" t="s">
        <v>528</v>
      </c>
      <c r="G472" s="913">
        <v>3</v>
      </c>
      <c r="H472" t="s">
        <v>3738</v>
      </c>
    </row>
    <row r="473" spans="2:8">
      <c r="B473" s="871">
        <v>46268</v>
      </c>
      <c r="C473" t="s">
        <v>2472</v>
      </c>
      <c r="D473" t="s">
        <v>1376</v>
      </c>
      <c r="E473" t="s">
        <v>1390</v>
      </c>
      <c r="F473" s="853" t="s">
        <v>526</v>
      </c>
      <c r="G473" s="913">
        <v>1.6999999999999999E-3</v>
      </c>
      <c r="H473" t="s">
        <v>3739</v>
      </c>
    </row>
    <row r="474" spans="2:8">
      <c r="B474" s="871">
        <v>46268</v>
      </c>
      <c r="C474" t="s">
        <v>2472</v>
      </c>
      <c r="D474" t="s">
        <v>1376</v>
      </c>
      <c r="E474" t="s">
        <v>1390</v>
      </c>
      <c r="F474" s="853" t="s">
        <v>527</v>
      </c>
      <c r="G474" s="913">
        <v>1.6800000000000001E-3</v>
      </c>
      <c r="H474" t="s">
        <v>3740</v>
      </c>
    </row>
    <row r="475" spans="2:8">
      <c r="B475" s="871">
        <v>46268</v>
      </c>
      <c r="C475" t="s">
        <v>2472</v>
      </c>
      <c r="D475" t="s">
        <v>1376</v>
      </c>
      <c r="E475" t="s">
        <v>1390</v>
      </c>
      <c r="F475" s="853" t="s">
        <v>528</v>
      </c>
      <c r="G475" s="913">
        <v>1.8500000000000001E-3</v>
      </c>
      <c r="H475" t="s">
        <v>3741</v>
      </c>
    </row>
    <row r="476" spans="2:8">
      <c r="B476" s="871">
        <v>46268</v>
      </c>
      <c r="C476" t="s">
        <v>2472</v>
      </c>
      <c r="D476" t="s">
        <v>1375</v>
      </c>
      <c r="E476" t="s">
        <v>3273</v>
      </c>
      <c r="F476" s="853" t="s">
        <v>526</v>
      </c>
      <c r="G476" s="913">
        <v>1</v>
      </c>
      <c r="H476" t="s">
        <v>3742</v>
      </c>
    </row>
    <row r="477" spans="2:8">
      <c r="B477" s="871">
        <v>46268</v>
      </c>
      <c r="C477" t="s">
        <v>2472</v>
      </c>
      <c r="D477" t="s">
        <v>1375</v>
      </c>
      <c r="E477" t="s">
        <v>3273</v>
      </c>
      <c r="F477" s="853" t="s">
        <v>527</v>
      </c>
      <c r="G477" s="913">
        <v>1</v>
      </c>
      <c r="H477" t="s">
        <v>3743</v>
      </c>
    </row>
    <row r="478" spans="2:8">
      <c r="B478" s="871">
        <v>46268</v>
      </c>
      <c r="C478" t="s">
        <v>2472</v>
      </c>
      <c r="D478" t="s">
        <v>1375</v>
      </c>
      <c r="E478" t="s">
        <v>3273</v>
      </c>
      <c r="F478" s="853" t="s">
        <v>528</v>
      </c>
      <c r="G478" s="913">
        <v>1</v>
      </c>
      <c r="H478" t="s">
        <v>3744</v>
      </c>
    </row>
    <row r="479" spans="2:8">
      <c r="B479" s="871">
        <v>46268</v>
      </c>
      <c r="C479" t="s">
        <v>2472</v>
      </c>
      <c r="D479" t="s">
        <v>1376</v>
      </c>
      <c r="E479" t="s">
        <v>1391</v>
      </c>
      <c r="F479" s="853" t="s">
        <v>526</v>
      </c>
      <c r="H479" t="s">
        <v>3745</v>
      </c>
    </row>
    <row r="480" spans="2:8">
      <c r="B480" s="871">
        <v>46268</v>
      </c>
      <c r="C480" t="s">
        <v>2472</v>
      </c>
      <c r="D480" t="s">
        <v>1376</v>
      </c>
      <c r="E480" t="s">
        <v>1391</v>
      </c>
      <c r="F480" s="853" t="s">
        <v>527</v>
      </c>
      <c r="H480" t="s">
        <v>3746</v>
      </c>
    </row>
    <row r="481" spans="2:8">
      <c r="B481" s="871">
        <v>46268</v>
      </c>
      <c r="C481" t="s">
        <v>2472</v>
      </c>
      <c r="D481" t="s">
        <v>1376</v>
      </c>
      <c r="E481" t="s">
        <v>1391</v>
      </c>
      <c r="F481" s="853" t="s">
        <v>528</v>
      </c>
      <c r="G481" s="913">
        <v>8477</v>
      </c>
      <c r="H481" t="s">
        <v>3747</v>
      </c>
    </row>
    <row r="482" spans="2:8">
      <c r="B482" s="871">
        <v>46268</v>
      </c>
      <c r="C482" t="s">
        <v>2472</v>
      </c>
      <c r="D482" t="s">
        <v>1375</v>
      </c>
      <c r="E482" t="s">
        <v>3280</v>
      </c>
      <c r="F482" s="853" t="s">
        <v>526</v>
      </c>
      <c r="G482" s="913">
        <v>4</v>
      </c>
      <c r="H482" t="s">
        <v>3748</v>
      </c>
    </row>
    <row r="483" spans="2:8">
      <c r="B483" s="871">
        <v>46268</v>
      </c>
      <c r="C483" t="s">
        <v>2472</v>
      </c>
      <c r="D483" t="s">
        <v>1375</v>
      </c>
      <c r="E483" t="s">
        <v>3280</v>
      </c>
      <c r="F483" s="853" t="s">
        <v>527</v>
      </c>
      <c r="G483" s="913">
        <v>4</v>
      </c>
      <c r="H483" t="s">
        <v>3749</v>
      </c>
    </row>
    <row r="484" spans="2:8">
      <c r="B484" s="871">
        <v>46268</v>
      </c>
      <c r="C484" t="s">
        <v>2472</v>
      </c>
      <c r="D484" t="s">
        <v>1375</v>
      </c>
      <c r="E484" t="s">
        <v>3280</v>
      </c>
      <c r="F484" s="853" t="s">
        <v>528</v>
      </c>
      <c r="G484" s="913">
        <v>3</v>
      </c>
      <c r="H484" t="s">
        <v>3750</v>
      </c>
    </row>
    <row r="485" spans="2:8">
      <c r="B485" s="871">
        <v>46268</v>
      </c>
      <c r="C485" t="s">
        <v>2472</v>
      </c>
      <c r="D485" t="s">
        <v>1376</v>
      </c>
      <c r="E485" t="s">
        <v>1392</v>
      </c>
      <c r="F485" s="853" t="s">
        <v>526</v>
      </c>
      <c r="G485" s="913">
        <v>8477</v>
      </c>
      <c r="H485" t="s">
        <v>3751</v>
      </c>
    </row>
    <row r="486" spans="2:8">
      <c r="B486" s="871">
        <v>46268</v>
      </c>
      <c r="C486" t="s">
        <v>2472</v>
      </c>
      <c r="D486" t="s">
        <v>1376</v>
      </c>
      <c r="E486" t="s">
        <v>1392</v>
      </c>
      <c r="F486" s="853" t="s">
        <v>527</v>
      </c>
      <c r="H486" t="s">
        <v>3752</v>
      </c>
    </row>
    <row r="487" spans="2:8">
      <c r="B487" s="871">
        <v>46268</v>
      </c>
      <c r="C487" t="s">
        <v>2472</v>
      </c>
      <c r="D487" t="s">
        <v>1376</v>
      </c>
      <c r="E487" t="s">
        <v>1392</v>
      </c>
      <c r="F487" s="853" t="s">
        <v>528</v>
      </c>
      <c r="H487" t="s">
        <v>3753</v>
      </c>
    </row>
    <row r="488" spans="2:8">
      <c r="B488" s="871">
        <v>46268</v>
      </c>
      <c r="C488" t="s">
        <v>2472</v>
      </c>
      <c r="D488" t="s">
        <v>1375</v>
      </c>
      <c r="E488" t="s">
        <v>3287</v>
      </c>
      <c r="F488" s="853" t="s">
        <v>526</v>
      </c>
      <c r="G488" s="913">
        <v>4</v>
      </c>
      <c r="H488" t="s">
        <v>3754</v>
      </c>
    </row>
    <row r="489" spans="2:8">
      <c r="B489" s="871">
        <v>46268</v>
      </c>
      <c r="C489" t="s">
        <v>2472</v>
      </c>
      <c r="D489" t="s">
        <v>1375</v>
      </c>
      <c r="E489" t="s">
        <v>3287</v>
      </c>
      <c r="F489" s="853" t="s">
        <v>527</v>
      </c>
      <c r="G489" s="913">
        <v>4</v>
      </c>
      <c r="H489" t="s">
        <v>3755</v>
      </c>
    </row>
    <row r="490" spans="2:8">
      <c r="B490" s="871">
        <v>46268</v>
      </c>
      <c r="C490" t="s">
        <v>2472</v>
      </c>
      <c r="D490" t="s">
        <v>1375</v>
      </c>
      <c r="E490" t="s">
        <v>3287</v>
      </c>
      <c r="F490" s="853" t="s">
        <v>528</v>
      </c>
      <c r="G490" s="913">
        <v>3</v>
      </c>
      <c r="H490" t="s">
        <v>3756</v>
      </c>
    </row>
    <row r="491" spans="2:8">
      <c r="B491" s="871">
        <v>46268</v>
      </c>
      <c r="C491" t="s">
        <v>2472</v>
      </c>
      <c r="D491" t="s">
        <v>1375</v>
      </c>
      <c r="E491" t="s">
        <v>3291</v>
      </c>
      <c r="F491" s="853" t="s">
        <v>526</v>
      </c>
      <c r="G491" s="913">
        <v>1</v>
      </c>
      <c r="H491" t="s">
        <v>3757</v>
      </c>
    </row>
    <row r="492" spans="2:8">
      <c r="B492" s="871">
        <v>46268</v>
      </c>
      <c r="C492" t="s">
        <v>2472</v>
      </c>
      <c r="D492" t="s">
        <v>1375</v>
      </c>
      <c r="E492" t="s">
        <v>3291</v>
      </c>
      <c r="F492" s="853" t="s">
        <v>527</v>
      </c>
      <c r="G492" s="913">
        <v>1</v>
      </c>
      <c r="H492" t="s">
        <v>3758</v>
      </c>
    </row>
    <row r="493" spans="2:8">
      <c r="B493" s="871">
        <v>46268</v>
      </c>
      <c r="C493" t="s">
        <v>2472</v>
      </c>
      <c r="D493" t="s">
        <v>1375</v>
      </c>
      <c r="E493" t="s">
        <v>3291</v>
      </c>
      <c r="F493" s="853" t="s">
        <v>528</v>
      </c>
      <c r="G493" s="913">
        <v>1</v>
      </c>
      <c r="H493" t="s">
        <v>3759</v>
      </c>
    </row>
    <row r="494" spans="2:8">
      <c r="B494" s="871">
        <v>46268</v>
      </c>
      <c r="C494" t="s">
        <v>2472</v>
      </c>
      <c r="D494" t="s">
        <v>1393</v>
      </c>
      <c r="E494" t="s">
        <v>1394</v>
      </c>
      <c r="F494" s="853" t="s">
        <v>526</v>
      </c>
      <c r="G494" s="913" t="s">
        <v>1533</v>
      </c>
      <c r="H494" t="s">
        <v>3760</v>
      </c>
    </row>
    <row r="495" spans="2:8">
      <c r="B495" s="871">
        <v>46268</v>
      </c>
      <c r="C495" t="s">
        <v>2472</v>
      </c>
      <c r="D495" t="s">
        <v>1393</v>
      </c>
      <c r="E495" t="s">
        <v>1394</v>
      </c>
      <c r="F495" s="853" t="s">
        <v>527</v>
      </c>
      <c r="G495" s="913" t="s">
        <v>1534</v>
      </c>
      <c r="H495" t="s">
        <v>3761</v>
      </c>
    </row>
    <row r="496" spans="2:8">
      <c r="B496" s="871">
        <v>46268</v>
      </c>
      <c r="C496" t="s">
        <v>2472</v>
      </c>
      <c r="D496" t="s">
        <v>1393</v>
      </c>
      <c r="E496" t="s">
        <v>1394</v>
      </c>
      <c r="F496" s="853" t="s">
        <v>528</v>
      </c>
      <c r="G496" s="913" t="s">
        <v>1397</v>
      </c>
      <c r="H496" t="s">
        <v>3762</v>
      </c>
    </row>
    <row r="497" spans="2:8">
      <c r="B497" s="871">
        <v>46268</v>
      </c>
      <c r="C497" t="s">
        <v>2472</v>
      </c>
      <c r="D497" t="s">
        <v>1375</v>
      </c>
      <c r="E497" t="s">
        <v>3298</v>
      </c>
      <c r="F497" s="853" t="s">
        <v>526</v>
      </c>
      <c r="G497" s="913">
        <v>3</v>
      </c>
      <c r="H497" t="s">
        <v>3763</v>
      </c>
    </row>
    <row r="498" spans="2:8">
      <c r="B498" s="871">
        <v>46268</v>
      </c>
      <c r="C498" t="s">
        <v>2472</v>
      </c>
      <c r="D498" t="s">
        <v>1375</v>
      </c>
      <c r="E498" t="s">
        <v>3298</v>
      </c>
      <c r="F498" s="853" t="s">
        <v>527</v>
      </c>
      <c r="G498" s="913">
        <v>4</v>
      </c>
      <c r="H498" t="s">
        <v>3764</v>
      </c>
    </row>
    <row r="499" spans="2:8">
      <c r="B499" s="871">
        <v>46268</v>
      </c>
      <c r="C499" t="s">
        <v>2472</v>
      </c>
      <c r="D499" t="s">
        <v>1375</v>
      </c>
      <c r="E499" t="s">
        <v>3298</v>
      </c>
      <c r="F499" s="853" t="s">
        <v>528</v>
      </c>
      <c r="G499" s="913">
        <v>2</v>
      </c>
      <c r="H499" t="s">
        <v>3765</v>
      </c>
    </row>
    <row r="500" spans="2:8">
      <c r="B500" s="871">
        <v>46268</v>
      </c>
      <c r="C500" t="s">
        <v>2472</v>
      </c>
      <c r="D500" t="s">
        <v>1393</v>
      </c>
      <c r="E500" t="s">
        <v>1398</v>
      </c>
      <c r="F500" s="853" t="s">
        <v>526</v>
      </c>
      <c r="G500" s="913">
        <v>12</v>
      </c>
      <c r="H500" t="s">
        <v>3766</v>
      </c>
    </row>
    <row r="501" spans="2:8">
      <c r="B501" s="871">
        <v>46268</v>
      </c>
      <c r="C501" t="s">
        <v>2472</v>
      </c>
      <c r="D501" t="s">
        <v>1393</v>
      </c>
      <c r="E501" t="s">
        <v>1398</v>
      </c>
      <c r="F501" s="853" t="s">
        <v>527</v>
      </c>
      <c r="G501" s="913">
        <v>11</v>
      </c>
      <c r="H501" t="s">
        <v>3767</v>
      </c>
    </row>
    <row r="502" spans="2:8">
      <c r="B502" s="871">
        <v>46268</v>
      </c>
      <c r="C502" t="s">
        <v>2472</v>
      </c>
      <c r="D502" t="s">
        <v>1393</v>
      </c>
      <c r="E502" t="s">
        <v>1398</v>
      </c>
      <c r="F502" s="853" t="s">
        <v>528</v>
      </c>
      <c r="G502" s="913">
        <v>10</v>
      </c>
      <c r="H502" t="s">
        <v>3768</v>
      </c>
    </row>
    <row r="503" spans="2:8">
      <c r="B503" s="871">
        <v>46268</v>
      </c>
      <c r="C503" t="s">
        <v>2472</v>
      </c>
      <c r="D503" t="s">
        <v>1375</v>
      </c>
      <c r="E503" t="s">
        <v>3305</v>
      </c>
      <c r="F503" s="853" t="s">
        <v>526</v>
      </c>
      <c r="G503" s="913">
        <v>4</v>
      </c>
      <c r="H503" t="s">
        <v>3769</v>
      </c>
    </row>
    <row r="504" spans="2:8">
      <c r="B504" s="871">
        <v>46268</v>
      </c>
      <c r="C504" t="s">
        <v>2472</v>
      </c>
      <c r="D504" t="s">
        <v>1375</v>
      </c>
      <c r="E504" t="s">
        <v>3305</v>
      </c>
      <c r="F504" s="853" t="s">
        <v>527</v>
      </c>
      <c r="G504" s="913">
        <v>4</v>
      </c>
      <c r="H504" t="s">
        <v>3770</v>
      </c>
    </row>
    <row r="505" spans="2:8">
      <c r="B505" s="871">
        <v>46268</v>
      </c>
      <c r="C505" t="s">
        <v>2472</v>
      </c>
      <c r="D505" t="s">
        <v>1375</v>
      </c>
      <c r="E505" t="s">
        <v>3305</v>
      </c>
      <c r="F505" s="853" t="s">
        <v>528</v>
      </c>
      <c r="G505" s="913">
        <v>2</v>
      </c>
      <c r="H505" t="s">
        <v>3771</v>
      </c>
    </row>
    <row r="506" spans="2:8">
      <c r="B506" s="871">
        <v>46268</v>
      </c>
      <c r="C506" t="s">
        <v>2472</v>
      </c>
      <c r="D506" t="s">
        <v>1393</v>
      </c>
      <c r="E506" t="s">
        <v>1399</v>
      </c>
      <c r="F506" s="853" t="s">
        <v>526</v>
      </c>
      <c r="G506" s="913">
        <v>13</v>
      </c>
      <c r="H506" t="s">
        <v>3772</v>
      </c>
    </row>
    <row r="507" spans="2:8">
      <c r="B507" s="871">
        <v>46268</v>
      </c>
      <c r="C507" t="s">
        <v>2472</v>
      </c>
      <c r="D507" t="s">
        <v>1393</v>
      </c>
      <c r="E507" t="s">
        <v>1399</v>
      </c>
      <c r="F507" s="853" t="s">
        <v>527</v>
      </c>
      <c r="G507" s="913">
        <v>12</v>
      </c>
      <c r="H507" t="s">
        <v>3773</v>
      </c>
    </row>
    <row r="508" spans="2:8">
      <c r="B508" s="871">
        <v>46268</v>
      </c>
      <c r="C508" t="s">
        <v>2472</v>
      </c>
      <c r="D508" t="s">
        <v>1393</v>
      </c>
      <c r="E508" t="s">
        <v>1399</v>
      </c>
      <c r="F508" s="853" t="s">
        <v>528</v>
      </c>
      <c r="G508" s="913">
        <v>11</v>
      </c>
      <c r="H508" t="s">
        <v>3774</v>
      </c>
    </row>
    <row r="509" spans="2:8">
      <c r="B509" s="871">
        <v>46268</v>
      </c>
      <c r="C509" t="s">
        <v>2472</v>
      </c>
      <c r="D509" t="s">
        <v>1375</v>
      </c>
      <c r="E509" t="s">
        <v>3312</v>
      </c>
      <c r="F509" s="853" t="s">
        <v>526</v>
      </c>
      <c r="G509" s="913">
        <v>3</v>
      </c>
      <c r="H509" t="s">
        <v>3775</v>
      </c>
    </row>
    <row r="510" spans="2:8">
      <c r="B510" s="871">
        <v>46268</v>
      </c>
      <c r="C510" t="s">
        <v>2472</v>
      </c>
      <c r="D510" t="s">
        <v>1375</v>
      </c>
      <c r="E510" t="s">
        <v>3312</v>
      </c>
      <c r="F510" s="853" t="s">
        <v>527</v>
      </c>
      <c r="G510" s="913">
        <v>1</v>
      </c>
      <c r="H510" t="s">
        <v>3776</v>
      </c>
    </row>
    <row r="511" spans="2:8">
      <c r="B511" s="871">
        <v>46268</v>
      </c>
      <c r="C511" t="s">
        <v>2472</v>
      </c>
      <c r="D511" t="s">
        <v>1375</v>
      </c>
      <c r="E511" t="s">
        <v>3312</v>
      </c>
      <c r="F511" s="853" t="s">
        <v>528</v>
      </c>
      <c r="G511" s="913">
        <v>1</v>
      </c>
      <c r="H511" t="s">
        <v>3777</v>
      </c>
    </row>
    <row r="512" spans="2:8">
      <c r="B512" s="871">
        <v>46268</v>
      </c>
      <c r="C512" t="s">
        <v>2472</v>
      </c>
      <c r="D512" t="s">
        <v>1393</v>
      </c>
      <c r="E512" t="s">
        <v>1400</v>
      </c>
      <c r="F512" s="853" t="s">
        <v>526</v>
      </c>
      <c r="G512" s="913">
        <v>17</v>
      </c>
      <c r="H512" t="s">
        <v>3778</v>
      </c>
    </row>
    <row r="513" spans="2:8">
      <c r="B513" s="871">
        <v>46268</v>
      </c>
      <c r="C513" t="s">
        <v>2472</v>
      </c>
      <c r="D513" t="s">
        <v>1393</v>
      </c>
      <c r="E513" t="s">
        <v>1400</v>
      </c>
      <c r="F513" s="853" t="s">
        <v>527</v>
      </c>
      <c r="G513" s="913">
        <v>17</v>
      </c>
      <c r="H513" t="s">
        <v>3779</v>
      </c>
    </row>
    <row r="514" spans="2:8">
      <c r="B514" s="871">
        <v>46268</v>
      </c>
      <c r="C514" t="s">
        <v>2472</v>
      </c>
      <c r="D514" t="s">
        <v>1393</v>
      </c>
      <c r="E514" t="s">
        <v>1400</v>
      </c>
      <c r="F514" s="853" t="s">
        <v>528</v>
      </c>
      <c r="G514" s="913">
        <v>15</v>
      </c>
      <c r="H514" t="s">
        <v>3780</v>
      </c>
    </row>
    <row r="515" spans="2:8">
      <c r="B515" s="871">
        <v>46268</v>
      </c>
      <c r="C515" t="s">
        <v>2472</v>
      </c>
      <c r="D515" t="s">
        <v>1375</v>
      </c>
      <c r="E515" t="s">
        <v>3319</v>
      </c>
      <c r="F515" s="853" t="s">
        <v>526</v>
      </c>
      <c r="G515" s="913">
        <v>3</v>
      </c>
      <c r="H515" t="s">
        <v>3781</v>
      </c>
    </row>
    <row r="516" spans="2:8">
      <c r="B516" s="871">
        <v>46268</v>
      </c>
      <c r="C516" t="s">
        <v>2472</v>
      </c>
      <c r="D516" t="s">
        <v>1375</v>
      </c>
      <c r="E516" t="s">
        <v>3319</v>
      </c>
      <c r="F516" s="853" t="s">
        <v>527</v>
      </c>
      <c r="G516" s="913">
        <v>4</v>
      </c>
      <c r="H516" t="s">
        <v>3782</v>
      </c>
    </row>
    <row r="517" spans="2:8">
      <c r="B517" s="871">
        <v>46268</v>
      </c>
      <c r="C517" t="s">
        <v>2472</v>
      </c>
      <c r="D517" t="s">
        <v>1375</v>
      </c>
      <c r="E517" t="s">
        <v>3319</v>
      </c>
      <c r="F517" s="853" t="s">
        <v>528</v>
      </c>
      <c r="G517" s="913">
        <v>1</v>
      </c>
      <c r="H517" t="s">
        <v>3783</v>
      </c>
    </row>
    <row r="518" spans="2:8">
      <c r="B518" s="871">
        <v>46268</v>
      </c>
      <c r="C518" t="s">
        <v>2472</v>
      </c>
      <c r="D518" t="s">
        <v>1393</v>
      </c>
      <c r="E518" t="s">
        <v>1401</v>
      </c>
      <c r="F518" s="853" t="s">
        <v>526</v>
      </c>
      <c r="G518" s="913">
        <v>6.64</v>
      </c>
      <c r="H518" t="s">
        <v>3784</v>
      </c>
    </row>
    <row r="519" spans="2:8">
      <c r="B519" s="871">
        <v>46268</v>
      </c>
      <c r="C519" t="s">
        <v>2472</v>
      </c>
      <c r="D519" t="s">
        <v>1393</v>
      </c>
      <c r="E519" t="s">
        <v>1401</v>
      </c>
      <c r="F519" s="853" t="s">
        <v>527</v>
      </c>
      <c r="G519" s="913">
        <v>7.31</v>
      </c>
      <c r="H519" t="s">
        <v>3785</v>
      </c>
    </row>
    <row r="520" spans="2:8">
      <c r="B520" s="871">
        <v>46268</v>
      </c>
      <c r="C520" t="s">
        <v>2472</v>
      </c>
      <c r="D520" t="s">
        <v>1393</v>
      </c>
      <c r="E520" t="s">
        <v>1401</v>
      </c>
      <c r="F520" s="853" t="s">
        <v>528</v>
      </c>
      <c r="G520" s="913">
        <v>7.25</v>
      </c>
      <c r="H520" t="s">
        <v>3786</v>
      </c>
    </row>
    <row r="521" spans="2:8">
      <c r="B521" s="871">
        <v>46268</v>
      </c>
      <c r="C521" t="s">
        <v>2472</v>
      </c>
      <c r="D521" t="s">
        <v>1375</v>
      </c>
      <c r="E521" t="s">
        <v>3326</v>
      </c>
      <c r="F521" s="853" t="s">
        <v>526</v>
      </c>
      <c r="G521" s="913" t="s">
        <v>1535</v>
      </c>
      <c r="H521" t="s">
        <v>3787</v>
      </c>
    </row>
    <row r="522" spans="2:8">
      <c r="B522" s="871">
        <v>46268</v>
      </c>
      <c r="C522" t="s">
        <v>2472</v>
      </c>
      <c r="D522" t="s">
        <v>1375</v>
      </c>
      <c r="E522" t="s">
        <v>3326</v>
      </c>
      <c r="F522" s="853" t="s">
        <v>527</v>
      </c>
      <c r="G522" s="913" t="s">
        <v>1535</v>
      </c>
      <c r="H522" t="s">
        <v>3788</v>
      </c>
    </row>
    <row r="523" spans="2:8">
      <c r="B523" s="871">
        <v>46268</v>
      </c>
      <c r="C523" t="s">
        <v>2472</v>
      </c>
      <c r="D523" t="s">
        <v>1375</v>
      </c>
      <c r="E523" t="s">
        <v>3326</v>
      </c>
      <c r="F523" s="853" t="s">
        <v>528</v>
      </c>
      <c r="G523" s="913" t="s">
        <v>1535</v>
      </c>
      <c r="H523" t="s">
        <v>3789</v>
      </c>
    </row>
    <row r="524" spans="2:8">
      <c r="B524" s="871">
        <v>46268</v>
      </c>
      <c r="C524" t="s">
        <v>2472</v>
      </c>
      <c r="D524" t="s">
        <v>1393</v>
      </c>
      <c r="E524" t="s">
        <v>1403</v>
      </c>
      <c r="F524" s="853" t="s">
        <v>526</v>
      </c>
      <c r="G524" s="913">
        <v>760</v>
      </c>
      <c r="H524" t="s">
        <v>3790</v>
      </c>
    </row>
    <row r="525" spans="2:8">
      <c r="B525" s="871">
        <v>46268</v>
      </c>
      <c r="C525" t="s">
        <v>2472</v>
      </c>
      <c r="D525" t="s">
        <v>1393</v>
      </c>
      <c r="E525" t="s">
        <v>1403</v>
      </c>
      <c r="F525" s="853" t="s">
        <v>527</v>
      </c>
      <c r="G525" s="913">
        <v>590</v>
      </c>
      <c r="H525" t="s">
        <v>3791</v>
      </c>
    </row>
    <row r="526" spans="2:8">
      <c r="B526" s="871">
        <v>46268</v>
      </c>
      <c r="C526" t="s">
        <v>2472</v>
      </c>
      <c r="D526" t="s">
        <v>1393</v>
      </c>
      <c r="E526" t="s">
        <v>1403</v>
      </c>
      <c r="F526" s="853" t="s">
        <v>528</v>
      </c>
      <c r="G526" s="913">
        <v>560</v>
      </c>
      <c r="H526" t="s">
        <v>3792</v>
      </c>
    </row>
    <row r="527" spans="2:8">
      <c r="B527" s="871">
        <v>46268</v>
      </c>
      <c r="C527" t="s">
        <v>2472</v>
      </c>
      <c r="D527" t="s">
        <v>1393</v>
      </c>
      <c r="E527" t="s">
        <v>1404</v>
      </c>
      <c r="F527" s="853" t="s">
        <v>526</v>
      </c>
      <c r="G527" s="913">
        <v>5.74</v>
      </c>
      <c r="H527" t="s">
        <v>3793</v>
      </c>
    </row>
    <row r="528" spans="2:8">
      <c r="B528" s="871">
        <v>46268</v>
      </c>
      <c r="C528" t="s">
        <v>2472</v>
      </c>
      <c r="D528" t="s">
        <v>1393</v>
      </c>
      <c r="E528" t="s">
        <v>1404</v>
      </c>
      <c r="F528" s="853" t="s">
        <v>527</v>
      </c>
      <c r="G528" s="913">
        <v>5</v>
      </c>
      <c r="H528" t="s">
        <v>3794</v>
      </c>
    </row>
    <row r="529" spans="2:8">
      <c r="B529" s="871">
        <v>46268</v>
      </c>
      <c r="C529" t="s">
        <v>2472</v>
      </c>
      <c r="D529" t="s">
        <v>1393</v>
      </c>
      <c r="E529" t="s">
        <v>1404</v>
      </c>
      <c r="F529" s="853" t="s">
        <v>528</v>
      </c>
      <c r="G529" s="913">
        <v>3.83</v>
      </c>
      <c r="H529" t="s">
        <v>3795</v>
      </c>
    </row>
    <row r="530" spans="2:8">
      <c r="B530" s="871">
        <v>46268</v>
      </c>
      <c r="C530" t="s">
        <v>2472</v>
      </c>
      <c r="D530" t="s">
        <v>1375</v>
      </c>
      <c r="E530" t="s">
        <v>3336</v>
      </c>
      <c r="F530" s="853" t="s">
        <v>526</v>
      </c>
      <c r="G530" s="913" t="s">
        <v>1406</v>
      </c>
      <c r="H530" t="s">
        <v>3796</v>
      </c>
    </row>
    <row r="531" spans="2:8">
      <c r="B531" s="871">
        <v>46268</v>
      </c>
      <c r="C531" t="s">
        <v>2472</v>
      </c>
      <c r="D531" t="s">
        <v>1375</v>
      </c>
      <c r="E531" t="s">
        <v>3336</v>
      </c>
      <c r="F531" s="853" t="s">
        <v>527</v>
      </c>
      <c r="G531" s="913" t="s">
        <v>1406</v>
      </c>
      <c r="H531" t="s">
        <v>3797</v>
      </c>
    </row>
    <row r="532" spans="2:8">
      <c r="B532" s="871">
        <v>46268</v>
      </c>
      <c r="C532" t="s">
        <v>2472</v>
      </c>
      <c r="D532" t="s">
        <v>1375</v>
      </c>
      <c r="E532" t="s">
        <v>3336</v>
      </c>
      <c r="F532" s="853" t="s">
        <v>528</v>
      </c>
      <c r="G532" s="913" t="s">
        <v>1406</v>
      </c>
      <c r="H532" t="s">
        <v>3798</v>
      </c>
    </row>
    <row r="533" spans="2:8">
      <c r="B533" s="871">
        <v>46268</v>
      </c>
      <c r="C533" t="s">
        <v>2472</v>
      </c>
      <c r="D533" t="s">
        <v>1393</v>
      </c>
      <c r="E533" t="s">
        <v>1407</v>
      </c>
      <c r="F533" s="853" t="s">
        <v>526</v>
      </c>
      <c r="G533" s="913">
        <v>360</v>
      </c>
      <c r="H533" t="s">
        <v>3799</v>
      </c>
    </row>
    <row r="534" spans="2:8">
      <c r="B534" s="871">
        <v>46268</v>
      </c>
      <c r="C534" t="s">
        <v>2472</v>
      </c>
      <c r="D534" t="s">
        <v>1393</v>
      </c>
      <c r="E534" t="s">
        <v>1407</v>
      </c>
      <c r="F534" s="853" t="s">
        <v>527</v>
      </c>
      <c r="G534" s="913">
        <v>400</v>
      </c>
      <c r="H534" t="s">
        <v>3800</v>
      </c>
    </row>
    <row r="535" spans="2:8">
      <c r="B535" s="871">
        <v>46268</v>
      </c>
      <c r="C535" t="s">
        <v>2472</v>
      </c>
      <c r="D535" t="s">
        <v>1393</v>
      </c>
      <c r="E535" t="s">
        <v>1407</v>
      </c>
      <c r="F535" s="853" t="s">
        <v>528</v>
      </c>
      <c r="G535" s="913">
        <v>400</v>
      </c>
      <c r="H535" t="s">
        <v>3801</v>
      </c>
    </row>
    <row r="536" spans="2:8">
      <c r="B536" s="871">
        <v>46268</v>
      </c>
      <c r="C536" t="s">
        <v>2472</v>
      </c>
      <c r="D536" t="s">
        <v>1393</v>
      </c>
      <c r="E536" t="s">
        <v>1408</v>
      </c>
      <c r="F536" s="853" t="s">
        <v>526</v>
      </c>
      <c r="G536" s="913">
        <v>973</v>
      </c>
      <c r="H536" t="s">
        <v>3802</v>
      </c>
    </row>
    <row r="537" spans="2:8">
      <c r="B537" s="871">
        <v>46268</v>
      </c>
      <c r="C537" t="s">
        <v>2472</v>
      </c>
      <c r="D537" t="s">
        <v>1393</v>
      </c>
      <c r="E537" t="s">
        <v>1408</v>
      </c>
      <c r="F537" s="853" t="s">
        <v>527</v>
      </c>
      <c r="G537" s="913">
        <v>966</v>
      </c>
      <c r="H537" t="s">
        <v>3803</v>
      </c>
    </row>
    <row r="538" spans="2:8">
      <c r="B538" s="871">
        <v>46268</v>
      </c>
      <c r="C538" t="s">
        <v>2472</v>
      </c>
      <c r="D538" t="s">
        <v>1393</v>
      </c>
      <c r="E538" t="s">
        <v>1408</v>
      </c>
      <c r="F538" s="853" t="s">
        <v>528</v>
      </c>
      <c r="G538" s="913">
        <v>951</v>
      </c>
      <c r="H538" t="s">
        <v>3804</v>
      </c>
    </row>
    <row r="539" spans="2:8">
      <c r="B539" s="871">
        <v>46268</v>
      </c>
      <c r="C539" t="s">
        <v>2472</v>
      </c>
      <c r="D539" t="s">
        <v>1409</v>
      </c>
      <c r="E539" t="s">
        <v>1411</v>
      </c>
      <c r="F539" s="853" t="s">
        <v>526</v>
      </c>
      <c r="H539" t="s">
        <v>3805</v>
      </c>
    </row>
    <row r="540" spans="2:8">
      <c r="B540" s="871">
        <v>46268</v>
      </c>
      <c r="C540" t="s">
        <v>2472</v>
      </c>
      <c r="D540" t="s">
        <v>1409</v>
      </c>
      <c r="E540" t="s">
        <v>1411</v>
      </c>
      <c r="F540" s="853" t="s">
        <v>527</v>
      </c>
      <c r="H540" t="s">
        <v>3806</v>
      </c>
    </row>
    <row r="541" spans="2:8">
      <c r="B541" s="871">
        <v>46268</v>
      </c>
      <c r="C541" t="s">
        <v>2472</v>
      </c>
      <c r="D541" t="s">
        <v>1409</v>
      </c>
      <c r="E541" t="s">
        <v>1411</v>
      </c>
      <c r="F541" s="853" t="s">
        <v>528</v>
      </c>
      <c r="H541" t="s">
        <v>3807</v>
      </c>
    </row>
    <row r="542" spans="2:8">
      <c r="B542" s="871">
        <v>46268</v>
      </c>
      <c r="C542" t="s">
        <v>2472</v>
      </c>
      <c r="D542" t="s">
        <v>1409</v>
      </c>
      <c r="E542" t="s">
        <v>1413</v>
      </c>
      <c r="F542" s="853" t="s">
        <v>526</v>
      </c>
      <c r="G542" s="913" t="s">
        <v>1414</v>
      </c>
      <c r="H542" t="s">
        <v>3808</v>
      </c>
    </row>
    <row r="543" spans="2:8">
      <c r="B543" s="871">
        <v>46268</v>
      </c>
      <c r="C543" t="s">
        <v>2472</v>
      </c>
      <c r="D543" t="s">
        <v>1409</v>
      </c>
      <c r="E543" t="s">
        <v>1413</v>
      </c>
      <c r="F543" s="853" t="s">
        <v>527</v>
      </c>
      <c r="G543" s="913" t="s">
        <v>1415</v>
      </c>
      <c r="H543" t="s">
        <v>3809</v>
      </c>
    </row>
    <row r="544" spans="2:8">
      <c r="B544" s="871">
        <v>46268</v>
      </c>
      <c r="C544" t="s">
        <v>2472</v>
      </c>
      <c r="D544" t="s">
        <v>1409</v>
      </c>
      <c r="E544" t="s">
        <v>1413</v>
      </c>
      <c r="F544" s="853" t="s">
        <v>528</v>
      </c>
      <c r="G544" s="913" t="s">
        <v>1536</v>
      </c>
      <c r="H544" t="s">
        <v>3810</v>
      </c>
    </row>
    <row r="545" spans="2:8">
      <c r="B545" s="871">
        <v>46268</v>
      </c>
      <c r="C545" t="s">
        <v>2472</v>
      </c>
      <c r="D545" t="s">
        <v>1410</v>
      </c>
      <c r="E545" t="s">
        <v>3352</v>
      </c>
      <c r="F545" s="853" t="s">
        <v>526</v>
      </c>
      <c r="G545" s="913" t="s">
        <v>1418</v>
      </c>
      <c r="H545" t="s">
        <v>3811</v>
      </c>
    </row>
    <row r="546" spans="2:8">
      <c r="B546" s="871">
        <v>46268</v>
      </c>
      <c r="C546" t="s">
        <v>2472</v>
      </c>
      <c r="D546" t="s">
        <v>1410</v>
      </c>
      <c r="E546" t="s">
        <v>3352</v>
      </c>
      <c r="F546" s="853" t="s">
        <v>527</v>
      </c>
      <c r="G546" s="913" t="s">
        <v>1419</v>
      </c>
      <c r="H546" t="s">
        <v>3812</v>
      </c>
    </row>
    <row r="547" spans="2:8">
      <c r="B547" s="871">
        <v>46268</v>
      </c>
      <c r="C547" t="s">
        <v>2472</v>
      </c>
      <c r="D547" t="s">
        <v>1410</v>
      </c>
      <c r="E547" t="s">
        <v>3352</v>
      </c>
      <c r="F547" s="853" t="s">
        <v>528</v>
      </c>
      <c r="G547" s="913" t="s">
        <v>1419</v>
      </c>
      <c r="H547" t="s">
        <v>3813</v>
      </c>
    </row>
    <row r="548" spans="2:8">
      <c r="B548" s="871">
        <v>46268</v>
      </c>
      <c r="C548" t="s">
        <v>2472</v>
      </c>
      <c r="D548" t="s">
        <v>1409</v>
      </c>
      <c r="E548" t="s">
        <v>1420</v>
      </c>
      <c r="F548" s="853" t="s">
        <v>526</v>
      </c>
      <c r="G548" s="913" t="s">
        <v>1421</v>
      </c>
      <c r="H548" t="s">
        <v>3814</v>
      </c>
    </row>
    <row r="549" spans="2:8">
      <c r="B549" s="871">
        <v>46268</v>
      </c>
      <c r="C549" t="s">
        <v>2472</v>
      </c>
      <c r="D549" t="s">
        <v>1409</v>
      </c>
      <c r="E549" t="s">
        <v>1420</v>
      </c>
      <c r="F549" s="853" t="s">
        <v>527</v>
      </c>
      <c r="G549" s="913" t="s">
        <v>1422</v>
      </c>
      <c r="H549" t="s">
        <v>3815</v>
      </c>
    </row>
    <row r="550" spans="2:8">
      <c r="B550" s="871">
        <v>46268</v>
      </c>
      <c r="C550" t="s">
        <v>2472</v>
      </c>
      <c r="D550" t="s">
        <v>1409</v>
      </c>
      <c r="E550" t="s">
        <v>1420</v>
      </c>
      <c r="F550" s="853" t="s">
        <v>528</v>
      </c>
      <c r="G550" s="913" t="s">
        <v>1537</v>
      </c>
      <c r="H550" t="s">
        <v>3816</v>
      </c>
    </row>
    <row r="551" spans="2:8">
      <c r="B551" s="871">
        <v>46268</v>
      </c>
      <c r="C551" t="s">
        <v>2472</v>
      </c>
      <c r="D551" t="s">
        <v>1410</v>
      </c>
      <c r="E551" t="s">
        <v>3359</v>
      </c>
      <c r="F551" s="853" t="s">
        <v>526</v>
      </c>
      <c r="G551" s="913">
        <v>118</v>
      </c>
      <c r="H551" t="s">
        <v>3817</v>
      </c>
    </row>
    <row r="552" spans="2:8">
      <c r="B552" s="871">
        <v>46268</v>
      </c>
      <c r="C552" t="s">
        <v>2472</v>
      </c>
      <c r="D552" t="s">
        <v>1410</v>
      </c>
      <c r="E552" t="s">
        <v>3359</v>
      </c>
      <c r="F552" s="853" t="s">
        <v>527</v>
      </c>
      <c r="G552" s="913">
        <v>120</v>
      </c>
      <c r="H552" t="s">
        <v>3818</v>
      </c>
    </row>
    <row r="553" spans="2:8">
      <c r="B553" s="871">
        <v>46268</v>
      </c>
      <c r="C553" t="s">
        <v>2472</v>
      </c>
      <c r="D553" t="s">
        <v>1410</v>
      </c>
      <c r="E553" t="s">
        <v>3359</v>
      </c>
      <c r="F553" s="853" t="s">
        <v>528</v>
      </c>
      <c r="G553" s="913">
        <v>120</v>
      </c>
      <c r="H553" t="s">
        <v>3819</v>
      </c>
    </row>
    <row r="554" spans="2:8">
      <c r="B554" s="871">
        <v>46268</v>
      </c>
      <c r="C554" t="s">
        <v>2472</v>
      </c>
      <c r="D554" t="s">
        <v>1409</v>
      </c>
      <c r="E554" t="s">
        <v>1424</v>
      </c>
      <c r="F554" s="853" t="s">
        <v>526</v>
      </c>
      <c r="H554" t="s">
        <v>3820</v>
      </c>
    </row>
    <row r="555" spans="2:8">
      <c r="B555" s="871">
        <v>46268</v>
      </c>
      <c r="C555" t="s">
        <v>2472</v>
      </c>
      <c r="D555" t="s">
        <v>1409</v>
      </c>
      <c r="E555" t="s">
        <v>1424</v>
      </c>
      <c r="F555" s="853" t="s">
        <v>527</v>
      </c>
      <c r="H555" t="s">
        <v>3821</v>
      </c>
    </row>
    <row r="556" spans="2:8">
      <c r="B556" s="871">
        <v>46268</v>
      </c>
      <c r="C556" t="s">
        <v>2472</v>
      </c>
      <c r="D556" t="s">
        <v>1409</v>
      </c>
      <c r="E556" t="s">
        <v>1424</v>
      </c>
      <c r="F556" s="853" t="s">
        <v>528</v>
      </c>
      <c r="H556" t="s">
        <v>3822</v>
      </c>
    </row>
    <row r="557" spans="2:8">
      <c r="B557" s="871">
        <v>46268</v>
      </c>
      <c r="C557" t="s">
        <v>2472</v>
      </c>
      <c r="D557" t="s">
        <v>1410</v>
      </c>
      <c r="E557" t="s">
        <v>3366</v>
      </c>
      <c r="F557" s="853" t="s">
        <v>526</v>
      </c>
      <c r="G557" s="913">
        <v>2636</v>
      </c>
      <c r="H557" t="s">
        <v>3823</v>
      </c>
    </row>
    <row r="558" spans="2:8">
      <c r="B558" s="871">
        <v>46268</v>
      </c>
      <c r="C558" t="s">
        <v>2472</v>
      </c>
      <c r="D558" t="s">
        <v>1410</v>
      </c>
      <c r="E558" t="s">
        <v>3366</v>
      </c>
      <c r="F558" s="853" t="s">
        <v>527</v>
      </c>
      <c r="G558" s="913">
        <v>2640</v>
      </c>
      <c r="H558" t="s">
        <v>3824</v>
      </c>
    </row>
    <row r="559" spans="2:8">
      <c r="B559" s="871">
        <v>46268</v>
      </c>
      <c r="C559" t="s">
        <v>2472</v>
      </c>
      <c r="D559" t="s">
        <v>1410</v>
      </c>
      <c r="E559" t="s">
        <v>3366</v>
      </c>
      <c r="F559" s="853" t="s">
        <v>528</v>
      </c>
      <c r="G559" s="913">
        <v>2634</v>
      </c>
      <c r="H559" t="s">
        <v>3825</v>
      </c>
    </row>
    <row r="560" spans="2:8">
      <c r="B560" s="871">
        <v>46268</v>
      </c>
      <c r="C560" t="s">
        <v>2472</v>
      </c>
      <c r="D560" t="s">
        <v>1410</v>
      </c>
      <c r="E560" t="s">
        <v>3370</v>
      </c>
      <c r="F560" s="853" t="s">
        <v>526</v>
      </c>
      <c r="G560" s="913" t="s">
        <v>1427</v>
      </c>
      <c r="H560" t="s">
        <v>3826</v>
      </c>
    </row>
    <row r="561" spans="2:8">
      <c r="B561" s="871">
        <v>46268</v>
      </c>
      <c r="C561" t="s">
        <v>2472</v>
      </c>
      <c r="D561" t="s">
        <v>1410</v>
      </c>
      <c r="E561" t="s">
        <v>3370</v>
      </c>
      <c r="F561" s="853" t="s">
        <v>527</v>
      </c>
      <c r="G561" s="913" t="s">
        <v>1427</v>
      </c>
      <c r="H561" t="s">
        <v>3827</v>
      </c>
    </row>
    <row r="562" spans="2:8">
      <c r="B562" s="871">
        <v>46268</v>
      </c>
      <c r="C562" t="s">
        <v>2472</v>
      </c>
      <c r="D562" t="s">
        <v>1410</v>
      </c>
      <c r="E562" t="s">
        <v>3370</v>
      </c>
      <c r="F562" s="853" t="s">
        <v>528</v>
      </c>
      <c r="G562" s="913" t="s">
        <v>1427</v>
      </c>
      <c r="H562" t="s">
        <v>3828</v>
      </c>
    </row>
    <row r="563" spans="2:8">
      <c r="B563" s="871">
        <v>46268</v>
      </c>
      <c r="C563" t="s">
        <v>2472</v>
      </c>
      <c r="D563" t="s">
        <v>1410</v>
      </c>
      <c r="E563" t="s">
        <v>3374</v>
      </c>
      <c r="F563" s="853" t="s">
        <v>526</v>
      </c>
      <c r="G563" s="913">
        <v>2.15</v>
      </c>
      <c r="H563" t="s">
        <v>3829</v>
      </c>
    </row>
    <row r="564" spans="2:8">
      <c r="B564" s="871">
        <v>46268</v>
      </c>
      <c r="C564" t="s">
        <v>2472</v>
      </c>
      <c r="D564" t="s">
        <v>1410</v>
      </c>
      <c r="E564" t="s">
        <v>3374</v>
      </c>
      <c r="F564" s="853" t="s">
        <v>527</v>
      </c>
      <c r="G564" s="913">
        <v>2.85</v>
      </c>
      <c r="H564" t="s">
        <v>3830</v>
      </c>
    </row>
    <row r="565" spans="2:8">
      <c r="B565" s="871">
        <v>46268</v>
      </c>
      <c r="C565" t="s">
        <v>2472</v>
      </c>
      <c r="D565" t="s">
        <v>1410</v>
      </c>
      <c r="E565" t="s">
        <v>3374</v>
      </c>
      <c r="F565" s="853" t="s">
        <v>528</v>
      </c>
      <c r="G565" s="913">
        <v>2.2000000000000002</v>
      </c>
      <c r="H565" t="s">
        <v>3831</v>
      </c>
    </row>
    <row r="566" spans="2:8">
      <c r="B566" s="871">
        <v>46268</v>
      </c>
      <c r="C566" t="s">
        <v>2472</v>
      </c>
      <c r="D566" t="s">
        <v>1410</v>
      </c>
      <c r="E566" t="s">
        <v>3378</v>
      </c>
      <c r="F566" s="853" t="s">
        <v>526</v>
      </c>
      <c r="G566" s="913" t="s">
        <v>1430</v>
      </c>
      <c r="H566" t="s">
        <v>3832</v>
      </c>
    </row>
    <row r="567" spans="2:8">
      <c r="B567" s="871">
        <v>46268</v>
      </c>
      <c r="C567" t="s">
        <v>2472</v>
      </c>
      <c r="D567" t="s">
        <v>1410</v>
      </c>
      <c r="E567" t="s">
        <v>3378</v>
      </c>
      <c r="F567" s="853" t="s">
        <v>527</v>
      </c>
      <c r="G567" s="913" t="s">
        <v>1430</v>
      </c>
      <c r="H567" t="s">
        <v>3833</v>
      </c>
    </row>
    <row r="568" spans="2:8">
      <c r="B568" s="871">
        <v>46268</v>
      </c>
      <c r="C568" t="s">
        <v>2472</v>
      </c>
      <c r="D568" t="s">
        <v>1410</v>
      </c>
      <c r="E568" t="s">
        <v>3378</v>
      </c>
      <c r="F568" s="853" t="s">
        <v>528</v>
      </c>
      <c r="G568" s="913" t="s">
        <v>1430</v>
      </c>
      <c r="H568" t="s">
        <v>3834</v>
      </c>
    </row>
    <row r="569" spans="2:8">
      <c r="B569" s="871">
        <v>46268</v>
      </c>
      <c r="C569" t="s">
        <v>2472</v>
      </c>
      <c r="D569" t="s">
        <v>1410</v>
      </c>
      <c r="E569" t="s">
        <v>3382</v>
      </c>
      <c r="F569" s="853" t="s">
        <v>526</v>
      </c>
      <c r="G569" s="913">
        <v>109</v>
      </c>
      <c r="H569" t="s">
        <v>3835</v>
      </c>
    </row>
    <row r="570" spans="2:8">
      <c r="B570" s="871">
        <v>46268</v>
      </c>
      <c r="C570" t="s">
        <v>2472</v>
      </c>
      <c r="D570" t="s">
        <v>1410</v>
      </c>
      <c r="E570" t="s">
        <v>3382</v>
      </c>
      <c r="F570" s="853" t="s">
        <v>527</v>
      </c>
      <c r="G570" s="913">
        <v>110</v>
      </c>
      <c r="H570" t="s">
        <v>3836</v>
      </c>
    </row>
    <row r="571" spans="2:8">
      <c r="B571" s="871">
        <v>46268</v>
      </c>
      <c r="C571" t="s">
        <v>2472</v>
      </c>
      <c r="D571" t="s">
        <v>1410</v>
      </c>
      <c r="E571" t="s">
        <v>3382</v>
      </c>
      <c r="F571" s="853" t="s">
        <v>528</v>
      </c>
      <c r="G571" s="913">
        <v>106</v>
      </c>
      <c r="H571" t="s">
        <v>3837</v>
      </c>
    </row>
    <row r="572" spans="2:8">
      <c r="B572" s="871">
        <v>46268</v>
      </c>
      <c r="C572" t="s">
        <v>2472</v>
      </c>
      <c r="D572" t="s">
        <v>1409</v>
      </c>
      <c r="E572" t="s">
        <v>1431</v>
      </c>
      <c r="F572" s="853" t="s">
        <v>526</v>
      </c>
      <c r="H572" t="s">
        <v>3838</v>
      </c>
    </row>
    <row r="573" spans="2:8">
      <c r="B573" s="871">
        <v>46268</v>
      </c>
      <c r="C573" t="s">
        <v>2472</v>
      </c>
      <c r="D573" t="s">
        <v>1409</v>
      </c>
      <c r="E573" t="s">
        <v>1431</v>
      </c>
      <c r="F573" s="853" t="s">
        <v>527</v>
      </c>
      <c r="H573" t="s">
        <v>3839</v>
      </c>
    </row>
    <row r="574" spans="2:8">
      <c r="B574" s="871">
        <v>46268</v>
      </c>
      <c r="C574" t="s">
        <v>2472</v>
      </c>
      <c r="D574" t="s">
        <v>1409</v>
      </c>
      <c r="E574" t="s">
        <v>1431</v>
      </c>
      <c r="F574" s="853" t="s">
        <v>528</v>
      </c>
      <c r="H574" t="s">
        <v>3840</v>
      </c>
    </row>
    <row r="575" spans="2:8">
      <c r="B575" s="871">
        <v>46268</v>
      </c>
      <c r="C575" t="s">
        <v>2472</v>
      </c>
      <c r="D575" t="s">
        <v>1410</v>
      </c>
      <c r="E575" t="s">
        <v>3389</v>
      </c>
      <c r="F575" s="853" t="s">
        <v>526</v>
      </c>
      <c r="G575" s="913">
        <v>2640</v>
      </c>
      <c r="H575" t="s">
        <v>3841</v>
      </c>
    </row>
    <row r="576" spans="2:8">
      <c r="B576" s="871">
        <v>46268</v>
      </c>
      <c r="C576" t="s">
        <v>2472</v>
      </c>
      <c r="D576" t="s">
        <v>1410</v>
      </c>
      <c r="E576" t="s">
        <v>3389</v>
      </c>
      <c r="F576" s="853" t="s">
        <v>527</v>
      </c>
      <c r="G576" s="913">
        <v>2760</v>
      </c>
      <c r="H576" t="s">
        <v>3842</v>
      </c>
    </row>
    <row r="577" spans="2:8">
      <c r="B577" s="871">
        <v>46268</v>
      </c>
      <c r="C577" t="s">
        <v>2472</v>
      </c>
      <c r="D577" t="s">
        <v>1410</v>
      </c>
      <c r="E577" t="s">
        <v>3389</v>
      </c>
      <c r="F577" s="853" t="s">
        <v>528</v>
      </c>
      <c r="G577" s="913">
        <v>2628</v>
      </c>
      <c r="H577" t="s">
        <v>3843</v>
      </c>
    </row>
    <row r="578" spans="2:8">
      <c r="B578" s="871">
        <v>46268</v>
      </c>
      <c r="C578" t="s">
        <v>2472</v>
      </c>
      <c r="D578" t="s">
        <v>1410</v>
      </c>
      <c r="E578" t="s">
        <v>3393</v>
      </c>
      <c r="F578" s="853" t="s">
        <v>526</v>
      </c>
      <c r="G578" s="913" t="s">
        <v>1432</v>
      </c>
      <c r="H578" t="s">
        <v>3844</v>
      </c>
    </row>
    <row r="579" spans="2:8">
      <c r="B579" s="871">
        <v>46268</v>
      </c>
      <c r="C579" t="s">
        <v>2472</v>
      </c>
      <c r="D579" t="s">
        <v>1410</v>
      </c>
      <c r="E579" t="s">
        <v>3393</v>
      </c>
      <c r="F579" s="853" t="s">
        <v>527</v>
      </c>
      <c r="G579" s="913" t="s">
        <v>1432</v>
      </c>
      <c r="H579" t="s">
        <v>3845</v>
      </c>
    </row>
    <row r="580" spans="2:8">
      <c r="B580" s="871">
        <v>46268</v>
      </c>
      <c r="C580" t="s">
        <v>2472</v>
      </c>
      <c r="D580" t="s">
        <v>1410</v>
      </c>
      <c r="E580" t="s">
        <v>3393</v>
      </c>
      <c r="F580" s="853" t="s">
        <v>528</v>
      </c>
      <c r="G580" s="913" t="s">
        <v>1432</v>
      </c>
      <c r="H580" t="s">
        <v>3846</v>
      </c>
    </row>
    <row r="581" spans="2:8">
      <c r="B581" s="871">
        <v>46268</v>
      </c>
      <c r="C581" t="s">
        <v>2472</v>
      </c>
      <c r="D581" t="s">
        <v>1410</v>
      </c>
      <c r="E581" t="s">
        <v>3397</v>
      </c>
      <c r="F581" s="853" t="s">
        <v>526</v>
      </c>
      <c r="G581" s="913" t="s">
        <v>1435</v>
      </c>
      <c r="H581" t="s">
        <v>3847</v>
      </c>
    </row>
    <row r="582" spans="2:8">
      <c r="B582" s="871">
        <v>46268</v>
      </c>
      <c r="C582" t="s">
        <v>2472</v>
      </c>
      <c r="D582" t="s">
        <v>1410</v>
      </c>
      <c r="E582" t="s">
        <v>3397</v>
      </c>
      <c r="F582" s="853" t="s">
        <v>527</v>
      </c>
      <c r="G582" s="913" t="s">
        <v>1435</v>
      </c>
      <c r="H582" t="s">
        <v>3848</v>
      </c>
    </row>
    <row r="583" spans="2:8">
      <c r="B583" s="871">
        <v>46268</v>
      </c>
      <c r="C583" t="s">
        <v>2472</v>
      </c>
      <c r="D583" t="s">
        <v>1410</v>
      </c>
      <c r="E583" t="s">
        <v>3397</v>
      </c>
      <c r="F583" s="853" t="s">
        <v>528</v>
      </c>
      <c r="G583" s="913" t="s">
        <v>1435</v>
      </c>
      <c r="H583" t="s">
        <v>3849</v>
      </c>
    </row>
    <row r="584" spans="2:8">
      <c r="B584" s="871">
        <v>46268</v>
      </c>
      <c r="C584" t="s">
        <v>2472</v>
      </c>
      <c r="D584" t="s">
        <v>1434</v>
      </c>
      <c r="E584" t="s">
        <v>42</v>
      </c>
      <c r="F584" s="853" t="s">
        <v>526</v>
      </c>
      <c r="G584" s="913" t="s">
        <v>1437</v>
      </c>
      <c r="H584" t="s">
        <v>3850</v>
      </c>
    </row>
    <row r="585" spans="2:8">
      <c r="B585" s="871">
        <v>46268</v>
      </c>
      <c r="C585" t="s">
        <v>2472</v>
      </c>
      <c r="D585" t="s">
        <v>1434</v>
      </c>
      <c r="E585" t="s">
        <v>42</v>
      </c>
      <c r="F585" s="853" t="s">
        <v>527</v>
      </c>
      <c r="G585" s="913" t="s">
        <v>1437</v>
      </c>
      <c r="H585" t="s">
        <v>3851</v>
      </c>
    </row>
    <row r="586" spans="2:8">
      <c r="B586" s="871">
        <v>46268</v>
      </c>
      <c r="C586" t="s">
        <v>2472</v>
      </c>
      <c r="D586" t="s">
        <v>1434</v>
      </c>
      <c r="E586" t="s">
        <v>42</v>
      </c>
      <c r="F586" s="853" t="s">
        <v>528</v>
      </c>
      <c r="G586" s="913" t="s">
        <v>70</v>
      </c>
      <c r="H586" t="s">
        <v>3852</v>
      </c>
    </row>
    <row r="587" spans="2:8">
      <c r="B587" s="871">
        <v>46268</v>
      </c>
      <c r="C587" t="s">
        <v>2472</v>
      </c>
      <c r="D587" t="s">
        <v>1410</v>
      </c>
      <c r="E587" t="s">
        <v>3404</v>
      </c>
      <c r="F587" s="853" t="s">
        <v>526</v>
      </c>
      <c r="G587" s="913" t="s">
        <v>1438</v>
      </c>
      <c r="H587" t="s">
        <v>3853</v>
      </c>
    </row>
    <row r="588" spans="2:8">
      <c r="B588" s="871">
        <v>46268</v>
      </c>
      <c r="C588" t="s">
        <v>2472</v>
      </c>
      <c r="D588" t="s">
        <v>1410</v>
      </c>
      <c r="E588" t="s">
        <v>3404</v>
      </c>
      <c r="F588" s="853" t="s">
        <v>527</v>
      </c>
      <c r="G588" s="913" t="s">
        <v>1438</v>
      </c>
      <c r="H588" t="s">
        <v>3854</v>
      </c>
    </row>
    <row r="589" spans="2:8">
      <c r="B589" s="871">
        <v>46268</v>
      </c>
      <c r="C589" t="s">
        <v>2472</v>
      </c>
      <c r="D589" t="s">
        <v>1410</v>
      </c>
      <c r="E589" t="s">
        <v>3404</v>
      </c>
      <c r="F589" s="853" t="s">
        <v>528</v>
      </c>
      <c r="G589" s="913" t="s">
        <v>1438</v>
      </c>
      <c r="H589" t="s">
        <v>3855</v>
      </c>
    </row>
    <row r="590" spans="2:8">
      <c r="B590" s="871">
        <v>46268</v>
      </c>
      <c r="C590" t="s">
        <v>2472</v>
      </c>
      <c r="D590" t="s">
        <v>1434</v>
      </c>
      <c r="E590" t="s">
        <v>1439</v>
      </c>
      <c r="F590" s="853" t="s">
        <v>526</v>
      </c>
      <c r="G590" s="913" t="s">
        <v>1440</v>
      </c>
      <c r="H590" t="s">
        <v>3856</v>
      </c>
    </row>
    <row r="591" spans="2:8">
      <c r="B591" s="871">
        <v>46268</v>
      </c>
      <c r="C591" t="s">
        <v>2472</v>
      </c>
      <c r="D591" t="s">
        <v>1434</v>
      </c>
      <c r="E591" t="s">
        <v>1439</v>
      </c>
      <c r="F591" s="853" t="s">
        <v>527</v>
      </c>
      <c r="G591" s="913" t="s">
        <v>1440</v>
      </c>
      <c r="H591" t="s">
        <v>3857</v>
      </c>
    </row>
    <row r="592" spans="2:8">
      <c r="B592" s="871">
        <v>46268</v>
      </c>
      <c r="C592" t="s">
        <v>2472</v>
      </c>
      <c r="D592" t="s">
        <v>1434</v>
      </c>
      <c r="E592" t="s">
        <v>1439</v>
      </c>
      <c r="F592" s="853" t="s">
        <v>528</v>
      </c>
      <c r="G592" s="913" t="s">
        <v>9408</v>
      </c>
      <c r="H592" t="s">
        <v>3858</v>
      </c>
    </row>
    <row r="593" spans="2:8">
      <c r="B593" s="871">
        <v>46268</v>
      </c>
      <c r="C593" t="s">
        <v>2472</v>
      </c>
      <c r="D593" t="s">
        <v>1410</v>
      </c>
      <c r="E593" t="s">
        <v>3411</v>
      </c>
      <c r="F593" s="853" t="s">
        <v>526</v>
      </c>
      <c r="G593" s="913">
        <v>40</v>
      </c>
      <c r="H593" t="s">
        <v>3859</v>
      </c>
    </row>
    <row r="594" spans="2:8">
      <c r="B594" s="871">
        <v>46268</v>
      </c>
      <c r="C594" t="s">
        <v>2472</v>
      </c>
      <c r="D594" t="s">
        <v>1410</v>
      </c>
      <c r="E594" t="s">
        <v>3411</v>
      </c>
      <c r="F594" s="853" t="s">
        <v>527</v>
      </c>
      <c r="G594" s="913">
        <v>48</v>
      </c>
      <c r="H594" t="s">
        <v>3860</v>
      </c>
    </row>
    <row r="595" spans="2:8">
      <c r="B595" s="871">
        <v>46268</v>
      </c>
      <c r="C595" t="s">
        <v>2472</v>
      </c>
      <c r="D595" t="s">
        <v>1410</v>
      </c>
      <c r="E595" t="s">
        <v>3411</v>
      </c>
      <c r="F595" s="853" t="s">
        <v>528</v>
      </c>
      <c r="G595" s="913">
        <v>46</v>
      </c>
      <c r="H595" t="s">
        <v>3861</v>
      </c>
    </row>
    <row r="596" spans="2:8">
      <c r="B596" s="871">
        <v>46268</v>
      </c>
      <c r="C596" t="s">
        <v>2472</v>
      </c>
      <c r="D596" t="s">
        <v>1434</v>
      </c>
      <c r="E596" t="s">
        <v>43</v>
      </c>
      <c r="F596" s="853" t="s">
        <v>526</v>
      </c>
      <c r="G596" s="913" t="s">
        <v>9405</v>
      </c>
      <c r="H596" t="s">
        <v>3862</v>
      </c>
    </row>
    <row r="597" spans="2:8">
      <c r="B597" s="871">
        <v>46268</v>
      </c>
      <c r="C597" t="s">
        <v>2472</v>
      </c>
      <c r="D597" t="s">
        <v>1434</v>
      </c>
      <c r="E597" t="s">
        <v>43</v>
      </c>
      <c r="F597" s="853" t="s">
        <v>527</v>
      </c>
      <c r="G597" s="913" t="s">
        <v>9405</v>
      </c>
      <c r="H597" t="s">
        <v>3863</v>
      </c>
    </row>
    <row r="598" spans="2:8">
      <c r="B598" s="871">
        <v>46268</v>
      </c>
      <c r="C598" t="s">
        <v>2472</v>
      </c>
      <c r="D598" t="s">
        <v>1434</v>
      </c>
      <c r="E598" t="s">
        <v>43</v>
      </c>
      <c r="F598" s="853" t="s">
        <v>528</v>
      </c>
      <c r="G598" s="913" t="s">
        <v>9409</v>
      </c>
      <c r="H598" t="s">
        <v>3864</v>
      </c>
    </row>
    <row r="599" spans="2:8">
      <c r="B599" s="871">
        <v>46268</v>
      </c>
      <c r="C599" t="s">
        <v>2472</v>
      </c>
      <c r="D599" t="s">
        <v>1410</v>
      </c>
      <c r="E599" t="s">
        <v>3418</v>
      </c>
      <c r="F599" s="853" t="s">
        <v>526</v>
      </c>
      <c r="G599" s="913">
        <v>88</v>
      </c>
      <c r="H599" t="s">
        <v>3865</v>
      </c>
    </row>
    <row r="600" spans="2:8">
      <c r="B600" s="871">
        <v>46268</v>
      </c>
      <c r="C600" t="s">
        <v>2472</v>
      </c>
      <c r="D600" t="s">
        <v>1410</v>
      </c>
      <c r="E600" t="s">
        <v>3418</v>
      </c>
      <c r="F600" s="853" t="s">
        <v>527</v>
      </c>
      <c r="G600" s="913">
        <v>85</v>
      </c>
      <c r="H600" t="s">
        <v>3866</v>
      </c>
    </row>
    <row r="601" spans="2:8">
      <c r="B601" s="871">
        <v>46268</v>
      </c>
      <c r="C601" t="s">
        <v>2472</v>
      </c>
      <c r="D601" t="s">
        <v>1410</v>
      </c>
      <c r="E601" t="s">
        <v>3418</v>
      </c>
      <c r="F601" s="853" t="s">
        <v>528</v>
      </c>
      <c r="G601" s="913">
        <v>81</v>
      </c>
      <c r="H601" t="s">
        <v>3867</v>
      </c>
    </row>
    <row r="602" spans="2:8">
      <c r="B602" s="871">
        <v>46268</v>
      </c>
      <c r="C602" t="s">
        <v>2472</v>
      </c>
      <c r="D602" t="s">
        <v>1434</v>
      </c>
      <c r="E602" t="s">
        <v>1441</v>
      </c>
      <c r="F602" s="853" t="s">
        <v>526</v>
      </c>
      <c r="H602" t="s">
        <v>3868</v>
      </c>
    </row>
    <row r="603" spans="2:8">
      <c r="B603" s="871">
        <v>46268</v>
      </c>
      <c r="C603" t="s">
        <v>2472</v>
      </c>
      <c r="D603" t="s">
        <v>1434</v>
      </c>
      <c r="E603" t="s">
        <v>1441</v>
      </c>
      <c r="F603" s="853" t="s">
        <v>527</v>
      </c>
      <c r="H603" t="s">
        <v>3869</v>
      </c>
    </row>
    <row r="604" spans="2:8">
      <c r="B604" s="871">
        <v>46268</v>
      </c>
      <c r="C604" t="s">
        <v>2472</v>
      </c>
      <c r="D604" t="s">
        <v>1434</v>
      </c>
      <c r="E604" t="s">
        <v>1441</v>
      </c>
      <c r="F604" s="853" t="s">
        <v>528</v>
      </c>
      <c r="H604" t="s">
        <v>3870</v>
      </c>
    </row>
    <row r="605" spans="2:8">
      <c r="B605" s="871">
        <v>46268</v>
      </c>
      <c r="C605" t="s">
        <v>2472</v>
      </c>
      <c r="D605" t="s">
        <v>1410</v>
      </c>
      <c r="E605" t="s">
        <v>3425</v>
      </c>
      <c r="F605" s="853" t="s">
        <v>526</v>
      </c>
      <c r="G605" s="913" t="s">
        <v>1443</v>
      </c>
      <c r="H605" t="s">
        <v>3871</v>
      </c>
    </row>
    <row r="606" spans="2:8">
      <c r="B606" s="871">
        <v>46268</v>
      </c>
      <c r="C606" t="s">
        <v>2472</v>
      </c>
      <c r="D606" t="s">
        <v>1410</v>
      </c>
      <c r="E606" t="s">
        <v>3425</v>
      </c>
      <c r="F606" s="853" t="s">
        <v>527</v>
      </c>
      <c r="G606" s="913" t="s">
        <v>1443</v>
      </c>
      <c r="H606" t="s">
        <v>3872</v>
      </c>
    </row>
    <row r="607" spans="2:8">
      <c r="B607" s="871">
        <v>46268</v>
      </c>
      <c r="C607" t="s">
        <v>2472</v>
      </c>
      <c r="D607" t="s">
        <v>1410</v>
      </c>
      <c r="E607" t="s">
        <v>3425</v>
      </c>
      <c r="F607" s="853" t="s">
        <v>528</v>
      </c>
      <c r="G607" s="913" t="s">
        <v>1443</v>
      </c>
      <c r="H607" t="s">
        <v>3873</v>
      </c>
    </row>
    <row r="608" spans="2:8">
      <c r="B608" s="871">
        <v>46268</v>
      </c>
      <c r="C608" t="s">
        <v>2472</v>
      </c>
      <c r="D608" t="s">
        <v>1434</v>
      </c>
      <c r="E608" t="s">
        <v>1444</v>
      </c>
      <c r="F608" s="853" t="s">
        <v>526</v>
      </c>
      <c r="H608" t="s">
        <v>3874</v>
      </c>
    </row>
    <row r="609" spans="2:8">
      <c r="B609" s="871">
        <v>46268</v>
      </c>
      <c r="C609" t="s">
        <v>2472</v>
      </c>
      <c r="D609" t="s">
        <v>1434</v>
      </c>
      <c r="E609" t="s">
        <v>1444</v>
      </c>
      <c r="F609" s="853" t="s">
        <v>527</v>
      </c>
      <c r="G609" s="913" t="s">
        <v>1538</v>
      </c>
      <c r="H609" t="s">
        <v>3875</v>
      </c>
    </row>
    <row r="610" spans="2:8">
      <c r="B610" s="871">
        <v>46268</v>
      </c>
      <c r="C610" t="s">
        <v>2472</v>
      </c>
      <c r="D610" t="s">
        <v>1434</v>
      </c>
      <c r="E610" t="s">
        <v>1444</v>
      </c>
      <c r="F610" s="853" t="s">
        <v>528</v>
      </c>
      <c r="H610" t="s">
        <v>3876</v>
      </c>
    </row>
    <row r="611" spans="2:8">
      <c r="B611" s="871">
        <v>46268</v>
      </c>
      <c r="C611" t="s">
        <v>2472</v>
      </c>
      <c r="D611" t="s">
        <v>1434</v>
      </c>
      <c r="E611" t="s">
        <v>1446</v>
      </c>
      <c r="F611" s="853" t="s">
        <v>526</v>
      </c>
      <c r="G611" s="913">
        <v>100000</v>
      </c>
      <c r="H611" t="s">
        <v>3877</v>
      </c>
    </row>
    <row r="612" spans="2:8">
      <c r="B612" s="871">
        <v>46268</v>
      </c>
      <c r="C612" t="s">
        <v>2472</v>
      </c>
      <c r="D612" t="s">
        <v>1434</v>
      </c>
      <c r="E612" t="s">
        <v>1446</v>
      </c>
      <c r="F612" s="853" t="s">
        <v>527</v>
      </c>
      <c r="G612" s="913">
        <v>162585</v>
      </c>
      <c r="H612" t="s">
        <v>3878</v>
      </c>
    </row>
    <row r="613" spans="2:8">
      <c r="B613" s="871">
        <v>46268</v>
      </c>
      <c r="C613" t="s">
        <v>2472</v>
      </c>
      <c r="D613" t="s">
        <v>1434</v>
      </c>
      <c r="E613" t="s">
        <v>1446</v>
      </c>
      <c r="F613" s="853" t="s">
        <v>528</v>
      </c>
      <c r="G613" s="913">
        <v>9000</v>
      </c>
      <c r="H613" t="s">
        <v>3879</v>
      </c>
    </row>
    <row r="614" spans="2:8">
      <c r="B614" s="871">
        <v>46268</v>
      </c>
      <c r="C614" t="s">
        <v>2472</v>
      </c>
      <c r="D614" t="s">
        <v>1410</v>
      </c>
      <c r="E614" t="s">
        <v>3435</v>
      </c>
      <c r="F614" s="853" t="s">
        <v>526</v>
      </c>
      <c r="G614" s="913" t="s">
        <v>1213</v>
      </c>
      <c r="H614" t="s">
        <v>3880</v>
      </c>
    </row>
    <row r="615" spans="2:8">
      <c r="B615" s="871">
        <v>46268</v>
      </c>
      <c r="C615" t="s">
        <v>2472</v>
      </c>
      <c r="D615" t="s">
        <v>1410</v>
      </c>
      <c r="E615" t="s">
        <v>3435</v>
      </c>
      <c r="F615" s="853" t="s">
        <v>527</v>
      </c>
      <c r="G615" s="913" t="s">
        <v>1213</v>
      </c>
      <c r="H615" t="s">
        <v>3881</v>
      </c>
    </row>
    <row r="616" spans="2:8">
      <c r="B616" s="871">
        <v>46268</v>
      </c>
      <c r="C616" t="s">
        <v>2472</v>
      </c>
      <c r="D616" t="s">
        <v>1410</v>
      </c>
      <c r="E616" t="s">
        <v>3435</v>
      </c>
      <c r="F616" s="853" t="s">
        <v>528</v>
      </c>
      <c r="G616" s="913" t="s">
        <v>1213</v>
      </c>
      <c r="H616" t="s">
        <v>3882</v>
      </c>
    </row>
    <row r="617" spans="2:8">
      <c r="B617" s="871">
        <v>46268</v>
      </c>
      <c r="C617" t="s">
        <v>2472</v>
      </c>
      <c r="D617" t="s">
        <v>1434</v>
      </c>
      <c r="E617" t="s">
        <v>3439</v>
      </c>
      <c r="F617" s="853" t="s">
        <v>526</v>
      </c>
      <c r="H617" t="s">
        <v>3883</v>
      </c>
    </row>
    <row r="618" spans="2:8">
      <c r="B618" s="871">
        <v>46268</v>
      </c>
      <c r="C618" t="s">
        <v>2472</v>
      </c>
      <c r="D618" t="s">
        <v>1434</v>
      </c>
      <c r="E618" t="s">
        <v>3439</v>
      </c>
      <c r="F618" s="853" t="s">
        <v>527</v>
      </c>
      <c r="H618" t="s">
        <v>3884</v>
      </c>
    </row>
    <row r="619" spans="2:8">
      <c r="B619" s="871">
        <v>46268</v>
      </c>
      <c r="C619" t="s">
        <v>2472</v>
      </c>
      <c r="D619" t="s">
        <v>1434</v>
      </c>
      <c r="E619" t="s">
        <v>3439</v>
      </c>
      <c r="F619" s="853" t="s">
        <v>528</v>
      </c>
      <c r="H619" t="s">
        <v>3885</v>
      </c>
    </row>
    <row r="620" spans="2:8">
      <c r="B620" s="871">
        <v>46268</v>
      </c>
      <c r="C620" t="s">
        <v>2472</v>
      </c>
      <c r="D620" t="s">
        <v>1410</v>
      </c>
      <c r="E620" t="s">
        <v>3443</v>
      </c>
      <c r="F620" s="853" t="s">
        <v>526</v>
      </c>
      <c r="G620" s="913">
        <v>127</v>
      </c>
      <c r="H620" t="s">
        <v>3886</v>
      </c>
    </row>
    <row r="621" spans="2:8">
      <c r="B621" s="871">
        <v>46268</v>
      </c>
      <c r="C621" t="s">
        <v>2472</v>
      </c>
      <c r="D621" t="s">
        <v>1410</v>
      </c>
      <c r="E621" t="s">
        <v>3443</v>
      </c>
      <c r="F621" s="853" t="s">
        <v>527</v>
      </c>
      <c r="G621" s="913">
        <v>122</v>
      </c>
      <c r="H621" t="s">
        <v>3887</v>
      </c>
    </row>
    <row r="622" spans="2:8">
      <c r="B622" s="871">
        <v>46268</v>
      </c>
      <c r="C622" t="s">
        <v>2472</v>
      </c>
      <c r="D622" t="s">
        <v>1410</v>
      </c>
      <c r="E622" t="s">
        <v>3443</v>
      </c>
      <c r="F622" s="853" t="s">
        <v>528</v>
      </c>
      <c r="G622" s="913">
        <v>126</v>
      </c>
      <c r="H622" t="s">
        <v>3888</v>
      </c>
    </row>
    <row r="623" spans="2:8">
      <c r="B623" s="871">
        <v>46268</v>
      </c>
      <c r="C623" t="s">
        <v>2472</v>
      </c>
      <c r="D623" t="s">
        <v>1434</v>
      </c>
      <c r="E623" t="s">
        <v>3447</v>
      </c>
      <c r="F623" s="853" t="s">
        <v>526</v>
      </c>
      <c r="H623" t="s">
        <v>3889</v>
      </c>
    </row>
    <row r="624" spans="2:8">
      <c r="B624" s="871">
        <v>46268</v>
      </c>
      <c r="C624" t="s">
        <v>2472</v>
      </c>
      <c r="D624" t="s">
        <v>1434</v>
      </c>
      <c r="E624" t="s">
        <v>3447</v>
      </c>
      <c r="F624" s="853" t="s">
        <v>527</v>
      </c>
      <c r="H624" t="s">
        <v>3890</v>
      </c>
    </row>
    <row r="625" spans="2:8">
      <c r="B625" s="871">
        <v>46268</v>
      </c>
      <c r="C625" t="s">
        <v>2472</v>
      </c>
      <c r="D625" t="s">
        <v>1434</v>
      </c>
      <c r="E625" t="s">
        <v>3447</v>
      </c>
      <c r="F625" s="853" t="s">
        <v>528</v>
      </c>
      <c r="H625" t="s">
        <v>3891</v>
      </c>
    </row>
    <row r="626" spans="2:8">
      <c r="B626" s="871">
        <v>46268</v>
      </c>
      <c r="C626" t="s">
        <v>2472</v>
      </c>
      <c r="D626" t="s">
        <v>1410</v>
      </c>
      <c r="E626" t="s">
        <v>3451</v>
      </c>
      <c r="F626" s="853" t="s">
        <v>526</v>
      </c>
      <c r="G626" s="913">
        <v>1410</v>
      </c>
      <c r="H626" t="s">
        <v>3892</v>
      </c>
    </row>
    <row r="627" spans="2:8">
      <c r="B627" s="871">
        <v>46268</v>
      </c>
      <c r="C627" t="s">
        <v>2472</v>
      </c>
      <c r="D627" t="s">
        <v>1410</v>
      </c>
      <c r="E627" t="s">
        <v>3451</v>
      </c>
      <c r="F627" s="853" t="s">
        <v>527</v>
      </c>
      <c r="G627" s="913">
        <v>1350</v>
      </c>
      <c r="H627" t="s">
        <v>3893</v>
      </c>
    </row>
    <row r="628" spans="2:8">
      <c r="B628" s="871">
        <v>46268</v>
      </c>
      <c r="C628" t="s">
        <v>2472</v>
      </c>
      <c r="D628" t="s">
        <v>1410</v>
      </c>
      <c r="E628" t="s">
        <v>3451</v>
      </c>
      <c r="F628" s="853" t="s">
        <v>528</v>
      </c>
      <c r="G628" s="913">
        <v>1428</v>
      </c>
      <c r="H628" t="s">
        <v>3894</v>
      </c>
    </row>
    <row r="629" spans="2:8">
      <c r="B629" s="871">
        <v>46268</v>
      </c>
      <c r="C629" t="s">
        <v>2472</v>
      </c>
      <c r="D629" t="s">
        <v>1434</v>
      </c>
      <c r="E629" t="s">
        <v>3455</v>
      </c>
      <c r="F629" s="853" t="s">
        <v>526</v>
      </c>
      <c r="H629" t="s">
        <v>3895</v>
      </c>
    </row>
    <row r="630" spans="2:8">
      <c r="B630" s="871">
        <v>46268</v>
      </c>
      <c r="C630" t="s">
        <v>2472</v>
      </c>
      <c r="D630" t="s">
        <v>1434</v>
      </c>
      <c r="E630" t="s">
        <v>3455</v>
      </c>
      <c r="F630" s="853" t="s">
        <v>527</v>
      </c>
      <c r="H630" t="s">
        <v>3896</v>
      </c>
    </row>
    <row r="631" spans="2:8">
      <c r="B631" s="871">
        <v>46268</v>
      </c>
      <c r="C631" t="s">
        <v>2472</v>
      </c>
      <c r="D631" t="s">
        <v>1434</v>
      </c>
      <c r="E631" t="s">
        <v>3455</v>
      </c>
      <c r="F631" s="853" t="s">
        <v>528</v>
      </c>
      <c r="H631" t="s">
        <v>3897</v>
      </c>
    </row>
    <row r="632" spans="2:8">
      <c r="B632" s="871">
        <v>46268</v>
      </c>
      <c r="C632" t="s">
        <v>2472</v>
      </c>
      <c r="D632" t="s">
        <v>1410</v>
      </c>
      <c r="E632" t="s">
        <v>3459</v>
      </c>
      <c r="F632" s="853" t="s">
        <v>526</v>
      </c>
      <c r="G632" s="913">
        <v>31</v>
      </c>
      <c r="H632" t="s">
        <v>3898</v>
      </c>
    </row>
    <row r="633" spans="2:8">
      <c r="B633" s="871">
        <v>46268</v>
      </c>
      <c r="C633" t="s">
        <v>2472</v>
      </c>
      <c r="D633" t="s">
        <v>1410</v>
      </c>
      <c r="E633" t="s">
        <v>3459</v>
      </c>
      <c r="F633" s="853" t="s">
        <v>527</v>
      </c>
      <c r="G633" s="913">
        <v>28</v>
      </c>
      <c r="H633" t="s">
        <v>3899</v>
      </c>
    </row>
    <row r="634" spans="2:8">
      <c r="B634" s="871">
        <v>46268</v>
      </c>
      <c r="C634" t="s">
        <v>2472</v>
      </c>
      <c r="D634" t="s">
        <v>1410</v>
      </c>
      <c r="E634" t="s">
        <v>3459</v>
      </c>
      <c r="F634" s="853" t="s">
        <v>528</v>
      </c>
      <c r="G634" s="913">
        <v>29</v>
      </c>
      <c r="H634" t="s">
        <v>3900</v>
      </c>
    </row>
    <row r="635" spans="2:8">
      <c r="B635" s="871">
        <v>46268</v>
      </c>
      <c r="C635" t="s">
        <v>2472</v>
      </c>
      <c r="D635" t="s">
        <v>1434</v>
      </c>
      <c r="E635" t="s">
        <v>3463</v>
      </c>
      <c r="F635" s="853" t="s">
        <v>526</v>
      </c>
      <c r="H635" t="s">
        <v>3901</v>
      </c>
    </row>
    <row r="636" spans="2:8">
      <c r="B636" s="871">
        <v>46268</v>
      </c>
      <c r="C636" t="s">
        <v>2472</v>
      </c>
      <c r="D636" t="s">
        <v>1434</v>
      </c>
      <c r="E636" t="s">
        <v>3463</v>
      </c>
      <c r="F636" s="853" t="s">
        <v>527</v>
      </c>
      <c r="H636" t="s">
        <v>3902</v>
      </c>
    </row>
    <row r="637" spans="2:8">
      <c r="B637" s="871">
        <v>46268</v>
      </c>
      <c r="C637" t="s">
        <v>2472</v>
      </c>
      <c r="D637" t="s">
        <v>1434</v>
      </c>
      <c r="E637" t="s">
        <v>3463</v>
      </c>
      <c r="F637" s="853" t="s">
        <v>528</v>
      </c>
      <c r="H637" t="s">
        <v>3903</v>
      </c>
    </row>
    <row r="638" spans="2:8">
      <c r="B638" s="871">
        <v>46268</v>
      </c>
      <c r="C638" t="s">
        <v>2472</v>
      </c>
      <c r="D638" t="s">
        <v>1410</v>
      </c>
      <c r="E638" t="s">
        <v>3467</v>
      </c>
      <c r="F638" s="853" t="s">
        <v>526</v>
      </c>
      <c r="G638" s="913">
        <v>31</v>
      </c>
      <c r="H638" t="s">
        <v>3904</v>
      </c>
    </row>
    <row r="639" spans="2:8">
      <c r="B639" s="871">
        <v>46268</v>
      </c>
      <c r="C639" t="s">
        <v>2472</v>
      </c>
      <c r="D639" t="s">
        <v>1410</v>
      </c>
      <c r="E639" t="s">
        <v>3467</v>
      </c>
      <c r="F639" s="853" t="s">
        <v>527</v>
      </c>
      <c r="G639" s="913">
        <v>28</v>
      </c>
      <c r="H639" t="s">
        <v>3905</v>
      </c>
    </row>
    <row r="640" spans="2:8">
      <c r="B640" s="871">
        <v>46268</v>
      </c>
      <c r="C640" t="s">
        <v>2472</v>
      </c>
      <c r="D640" t="s">
        <v>1410</v>
      </c>
      <c r="E640" t="s">
        <v>3467</v>
      </c>
      <c r="F640" s="853" t="s">
        <v>528</v>
      </c>
      <c r="H640" t="s">
        <v>3906</v>
      </c>
    </row>
    <row r="641" spans="2:8">
      <c r="B641" s="871">
        <v>46268</v>
      </c>
      <c r="C641" t="s">
        <v>2472</v>
      </c>
      <c r="D641" t="s">
        <v>1434</v>
      </c>
      <c r="E641" t="s">
        <v>3471</v>
      </c>
      <c r="F641" s="853" t="s">
        <v>526</v>
      </c>
      <c r="H641" t="s">
        <v>3907</v>
      </c>
    </row>
    <row r="642" spans="2:8">
      <c r="B642" s="871">
        <v>46268</v>
      </c>
      <c r="C642" t="s">
        <v>2472</v>
      </c>
      <c r="D642" t="s">
        <v>1434</v>
      </c>
      <c r="E642" t="s">
        <v>3471</v>
      </c>
      <c r="F642" s="853" t="s">
        <v>527</v>
      </c>
      <c r="H642" t="s">
        <v>3908</v>
      </c>
    </row>
    <row r="643" spans="2:8">
      <c r="B643" s="871">
        <v>46268</v>
      </c>
      <c r="C643" t="s">
        <v>2472</v>
      </c>
      <c r="D643" t="s">
        <v>1434</v>
      </c>
      <c r="E643" t="s">
        <v>3471</v>
      </c>
      <c r="F643" s="853" t="s">
        <v>528</v>
      </c>
      <c r="H643" t="s">
        <v>3909</v>
      </c>
    </row>
    <row r="644" spans="2:8">
      <c r="B644" s="871">
        <v>46268</v>
      </c>
      <c r="C644" t="s">
        <v>2472</v>
      </c>
      <c r="D644" t="s">
        <v>1410</v>
      </c>
      <c r="E644" t="s">
        <v>3475</v>
      </c>
      <c r="F644" s="853" t="s">
        <v>526</v>
      </c>
      <c r="G644" s="913">
        <v>17</v>
      </c>
      <c r="H644" t="s">
        <v>3910</v>
      </c>
    </row>
    <row r="645" spans="2:8">
      <c r="B645" s="871">
        <v>46268</v>
      </c>
      <c r="C645" t="s">
        <v>2472</v>
      </c>
      <c r="D645" t="s">
        <v>1410</v>
      </c>
      <c r="E645" t="s">
        <v>3475</v>
      </c>
      <c r="F645" s="853" t="s">
        <v>527</v>
      </c>
      <c r="G645" s="913">
        <v>18</v>
      </c>
      <c r="H645" t="s">
        <v>3911</v>
      </c>
    </row>
    <row r="646" spans="2:8">
      <c r="B646" s="871">
        <v>46268</v>
      </c>
      <c r="C646" t="s">
        <v>2472</v>
      </c>
      <c r="D646" t="s">
        <v>1410</v>
      </c>
      <c r="E646" t="s">
        <v>3475</v>
      </c>
      <c r="F646" s="853" t="s">
        <v>528</v>
      </c>
      <c r="G646" s="913">
        <v>16</v>
      </c>
      <c r="H646" t="s">
        <v>3912</v>
      </c>
    </row>
    <row r="647" spans="2:8">
      <c r="B647" s="871">
        <v>46268</v>
      </c>
      <c r="C647" t="s">
        <v>2472</v>
      </c>
      <c r="D647" t="s">
        <v>1434</v>
      </c>
      <c r="E647" t="s">
        <v>3479</v>
      </c>
      <c r="F647" s="853" t="s">
        <v>526</v>
      </c>
      <c r="H647" t="s">
        <v>3913</v>
      </c>
    </row>
    <row r="648" spans="2:8">
      <c r="B648" s="871">
        <v>46268</v>
      </c>
      <c r="C648" t="s">
        <v>2472</v>
      </c>
      <c r="D648" t="s">
        <v>1434</v>
      </c>
      <c r="E648" t="s">
        <v>3479</v>
      </c>
      <c r="F648" s="853" t="s">
        <v>527</v>
      </c>
      <c r="H648" t="s">
        <v>3914</v>
      </c>
    </row>
    <row r="649" spans="2:8">
      <c r="B649" s="871">
        <v>46268</v>
      </c>
      <c r="C649" t="s">
        <v>2472</v>
      </c>
      <c r="D649" t="s">
        <v>1434</v>
      </c>
      <c r="E649" t="s">
        <v>3479</v>
      </c>
      <c r="F649" s="853" t="s">
        <v>528</v>
      </c>
      <c r="H649" t="s">
        <v>3915</v>
      </c>
    </row>
    <row r="650" spans="2:8">
      <c r="B650" s="871">
        <v>46268</v>
      </c>
      <c r="C650" t="s">
        <v>2472</v>
      </c>
      <c r="D650" t="s">
        <v>1410</v>
      </c>
      <c r="E650" t="s">
        <v>3483</v>
      </c>
      <c r="F650" s="853" t="s">
        <v>526</v>
      </c>
      <c r="G650" s="913">
        <v>5</v>
      </c>
      <c r="H650" t="s">
        <v>3916</v>
      </c>
    </row>
    <row r="651" spans="2:8">
      <c r="B651" s="871">
        <v>46268</v>
      </c>
      <c r="C651" t="s">
        <v>2472</v>
      </c>
      <c r="D651" t="s">
        <v>1410</v>
      </c>
      <c r="E651" t="s">
        <v>3483</v>
      </c>
      <c r="F651" s="853" t="s">
        <v>527</v>
      </c>
      <c r="G651" s="913">
        <v>5</v>
      </c>
      <c r="H651" t="s">
        <v>3917</v>
      </c>
    </row>
    <row r="652" spans="2:8">
      <c r="B652" s="871">
        <v>46268</v>
      </c>
      <c r="C652" t="s">
        <v>2472</v>
      </c>
      <c r="D652" t="s">
        <v>1410</v>
      </c>
      <c r="E652" t="s">
        <v>3483</v>
      </c>
      <c r="F652" s="853" t="s">
        <v>528</v>
      </c>
      <c r="G652" s="913">
        <v>5</v>
      </c>
      <c r="H652" t="s">
        <v>3918</v>
      </c>
    </row>
    <row r="653" spans="2:8">
      <c r="B653" s="871">
        <v>46269</v>
      </c>
      <c r="C653" t="s">
        <v>2473</v>
      </c>
      <c r="D653" t="s">
        <v>1375</v>
      </c>
      <c r="E653" t="s">
        <v>1377</v>
      </c>
      <c r="F653" s="853" t="s">
        <v>526</v>
      </c>
      <c r="G653" s="913" t="s">
        <v>1578</v>
      </c>
      <c r="H653" t="s">
        <v>3919</v>
      </c>
    </row>
    <row r="654" spans="2:8">
      <c r="B654" s="871">
        <v>46269</v>
      </c>
      <c r="C654" t="s">
        <v>2473</v>
      </c>
      <c r="D654" t="s">
        <v>1375</v>
      </c>
      <c r="E654" t="s">
        <v>1377</v>
      </c>
      <c r="F654" s="853" t="s">
        <v>527</v>
      </c>
      <c r="G654" s="913" t="s">
        <v>1578</v>
      </c>
      <c r="H654" t="s">
        <v>3920</v>
      </c>
    </row>
    <row r="655" spans="2:8">
      <c r="B655" s="871">
        <v>46269</v>
      </c>
      <c r="C655" t="s">
        <v>2473</v>
      </c>
      <c r="D655" t="s">
        <v>1375</v>
      </c>
      <c r="E655" t="s">
        <v>1377</v>
      </c>
      <c r="F655" s="853" t="s">
        <v>528</v>
      </c>
      <c r="G655" s="913" t="s">
        <v>1378</v>
      </c>
      <c r="H655" t="s">
        <v>3921</v>
      </c>
    </row>
    <row r="656" spans="2:8">
      <c r="B656" s="871">
        <v>46269</v>
      </c>
      <c r="C656" t="s">
        <v>2473</v>
      </c>
      <c r="D656" t="s">
        <v>1376</v>
      </c>
      <c r="E656" t="s">
        <v>1379</v>
      </c>
      <c r="F656" s="853" t="s">
        <v>526</v>
      </c>
      <c r="H656" t="s">
        <v>3922</v>
      </c>
    </row>
    <row r="657" spans="2:8">
      <c r="B657" s="871">
        <v>46269</v>
      </c>
      <c r="C657" t="s">
        <v>2473</v>
      </c>
      <c r="D657" t="s">
        <v>1376</v>
      </c>
      <c r="E657" t="s">
        <v>1379</v>
      </c>
      <c r="F657" s="853" t="s">
        <v>527</v>
      </c>
      <c r="H657" t="s">
        <v>3923</v>
      </c>
    </row>
    <row r="658" spans="2:8">
      <c r="B658" s="871">
        <v>46269</v>
      </c>
      <c r="C658" t="s">
        <v>2473</v>
      </c>
      <c r="D658" t="s">
        <v>1376</v>
      </c>
      <c r="E658" t="s">
        <v>1379</v>
      </c>
      <c r="F658" s="853" t="s">
        <v>528</v>
      </c>
      <c r="H658" t="s">
        <v>3924</v>
      </c>
    </row>
    <row r="659" spans="2:8">
      <c r="B659" s="871">
        <v>46269</v>
      </c>
      <c r="C659" t="s">
        <v>2473</v>
      </c>
      <c r="D659" t="s">
        <v>1375</v>
      </c>
      <c r="E659" t="s">
        <v>1380</v>
      </c>
      <c r="F659" s="853" t="s">
        <v>526</v>
      </c>
      <c r="G659" s="913" t="s">
        <v>1579</v>
      </c>
      <c r="H659" t="s">
        <v>3925</v>
      </c>
    </row>
    <row r="660" spans="2:8">
      <c r="B660" s="871">
        <v>46269</v>
      </c>
      <c r="C660" t="s">
        <v>2473</v>
      </c>
      <c r="D660" t="s">
        <v>1375</v>
      </c>
      <c r="E660" t="s">
        <v>1380</v>
      </c>
      <c r="F660" s="853" t="s">
        <v>527</v>
      </c>
      <c r="G660" s="913" t="s">
        <v>1580</v>
      </c>
      <c r="H660" t="s">
        <v>3926</v>
      </c>
    </row>
    <row r="661" spans="2:8">
      <c r="B661" s="871">
        <v>46269</v>
      </c>
      <c r="C661" t="s">
        <v>2473</v>
      </c>
      <c r="D661" t="s">
        <v>1375</v>
      </c>
      <c r="E661" t="s">
        <v>1380</v>
      </c>
      <c r="F661" s="853" t="s">
        <v>528</v>
      </c>
      <c r="G661" s="913" t="s">
        <v>1581</v>
      </c>
      <c r="H661" t="s">
        <v>3927</v>
      </c>
    </row>
    <row r="662" spans="2:8">
      <c r="B662" s="871">
        <v>46269</v>
      </c>
      <c r="C662" t="s">
        <v>2473</v>
      </c>
      <c r="D662" t="s">
        <v>1376</v>
      </c>
      <c r="E662" t="s">
        <v>1383</v>
      </c>
      <c r="F662" s="853" t="s">
        <v>526</v>
      </c>
      <c r="G662" s="913">
        <v>0.2</v>
      </c>
      <c r="H662" t="s">
        <v>3928</v>
      </c>
    </row>
    <row r="663" spans="2:8">
      <c r="B663" s="871">
        <v>46269</v>
      </c>
      <c r="C663" t="s">
        <v>2473</v>
      </c>
      <c r="D663" t="s">
        <v>1376</v>
      </c>
      <c r="E663" t="s">
        <v>1383</v>
      </c>
      <c r="F663" s="853" t="s">
        <v>527</v>
      </c>
      <c r="G663" s="913">
        <v>0.46</v>
      </c>
      <c r="H663" t="s">
        <v>3929</v>
      </c>
    </row>
    <row r="664" spans="2:8">
      <c r="B664" s="871">
        <v>46269</v>
      </c>
      <c r="C664" t="s">
        <v>2473</v>
      </c>
      <c r="D664" t="s">
        <v>1376</v>
      </c>
      <c r="E664" t="s">
        <v>1383</v>
      </c>
      <c r="F664" s="853" t="s">
        <v>528</v>
      </c>
      <c r="G664" s="913">
        <v>0</v>
      </c>
      <c r="H664" t="s">
        <v>3930</v>
      </c>
    </row>
    <row r="665" spans="2:8">
      <c r="B665" s="871">
        <v>46269</v>
      </c>
      <c r="C665" t="s">
        <v>2473</v>
      </c>
      <c r="D665" t="s">
        <v>1375</v>
      </c>
      <c r="E665" t="s">
        <v>54</v>
      </c>
      <c r="F665" s="853" t="s">
        <v>526</v>
      </c>
      <c r="H665" t="s">
        <v>3931</v>
      </c>
    </row>
    <row r="666" spans="2:8">
      <c r="B666" s="871">
        <v>46269</v>
      </c>
      <c r="C666" t="s">
        <v>2473</v>
      </c>
      <c r="D666" t="s">
        <v>1375</v>
      </c>
      <c r="E666" t="s">
        <v>54</v>
      </c>
      <c r="F666" s="853" t="s">
        <v>527</v>
      </c>
      <c r="H666" t="s">
        <v>3932</v>
      </c>
    </row>
    <row r="667" spans="2:8">
      <c r="B667" s="871">
        <v>46269</v>
      </c>
      <c r="C667" t="s">
        <v>2473</v>
      </c>
      <c r="D667" t="s">
        <v>1375</v>
      </c>
      <c r="E667" t="s">
        <v>54</v>
      </c>
      <c r="F667" s="853" t="s">
        <v>528</v>
      </c>
      <c r="H667" t="s">
        <v>3933</v>
      </c>
    </row>
    <row r="668" spans="2:8">
      <c r="B668" s="871">
        <v>46269</v>
      </c>
      <c r="C668" t="s">
        <v>2473</v>
      </c>
      <c r="D668" t="s">
        <v>1376</v>
      </c>
      <c r="E668" t="s">
        <v>1384</v>
      </c>
      <c r="F668" s="853" t="s">
        <v>526</v>
      </c>
      <c r="G668" s="913">
        <v>0.5</v>
      </c>
      <c r="H668" t="s">
        <v>3934</v>
      </c>
    </row>
    <row r="669" spans="2:8">
      <c r="B669" s="871">
        <v>46269</v>
      </c>
      <c r="C669" t="s">
        <v>2473</v>
      </c>
      <c r="D669" t="s">
        <v>1376</v>
      </c>
      <c r="E669" t="s">
        <v>1384</v>
      </c>
      <c r="F669" s="853" t="s">
        <v>527</v>
      </c>
      <c r="G669" s="913">
        <v>0.54</v>
      </c>
      <c r="H669" t="s">
        <v>3935</v>
      </c>
    </row>
    <row r="670" spans="2:8">
      <c r="B670" s="871">
        <v>46269</v>
      </c>
      <c r="C670" t="s">
        <v>2473</v>
      </c>
      <c r="D670" t="s">
        <v>1376</v>
      </c>
      <c r="E670" t="s">
        <v>1384</v>
      </c>
      <c r="F670" s="853" t="s">
        <v>528</v>
      </c>
      <c r="G670" s="913">
        <v>0.4</v>
      </c>
      <c r="H670" t="s">
        <v>3936</v>
      </c>
    </row>
    <row r="671" spans="2:8">
      <c r="B671" s="871">
        <v>46269</v>
      </c>
      <c r="C671" t="s">
        <v>2473</v>
      </c>
      <c r="D671" t="s">
        <v>1375</v>
      </c>
      <c r="E671" t="s">
        <v>1385</v>
      </c>
      <c r="F671" s="853" t="s">
        <v>526</v>
      </c>
      <c r="G671" s="913">
        <v>1225</v>
      </c>
      <c r="H671" t="s">
        <v>3937</v>
      </c>
    </row>
    <row r="672" spans="2:8">
      <c r="B672" s="871">
        <v>46269</v>
      </c>
      <c r="C672" t="s">
        <v>2473</v>
      </c>
      <c r="D672" t="s">
        <v>1375</v>
      </c>
      <c r="E672" t="s">
        <v>1385</v>
      </c>
      <c r="F672" s="853" t="s">
        <v>527</v>
      </c>
      <c r="G672" s="913">
        <v>3005</v>
      </c>
      <c r="H672" t="s">
        <v>3938</v>
      </c>
    </row>
    <row r="673" spans="2:8">
      <c r="B673" s="871">
        <v>46269</v>
      </c>
      <c r="C673" t="s">
        <v>2473</v>
      </c>
      <c r="D673" t="s">
        <v>1375</v>
      </c>
      <c r="E673" t="s">
        <v>1385</v>
      </c>
      <c r="F673" s="853" t="s">
        <v>528</v>
      </c>
      <c r="G673" s="913">
        <v>4243</v>
      </c>
      <c r="H673" t="s">
        <v>3939</v>
      </c>
    </row>
    <row r="674" spans="2:8">
      <c r="B674" s="871">
        <v>46269</v>
      </c>
      <c r="C674" t="s">
        <v>2473</v>
      </c>
      <c r="D674" t="s">
        <v>1376</v>
      </c>
      <c r="E674" t="s">
        <v>1386</v>
      </c>
      <c r="F674" s="853" t="s">
        <v>526</v>
      </c>
      <c r="G674" s="913">
        <v>0.45</v>
      </c>
      <c r="H674" t="s">
        <v>3940</v>
      </c>
    </row>
    <row r="675" spans="2:8">
      <c r="B675" s="871">
        <v>46269</v>
      </c>
      <c r="C675" t="s">
        <v>2473</v>
      </c>
      <c r="D675" t="s">
        <v>1376</v>
      </c>
      <c r="E675" t="s">
        <v>1386</v>
      </c>
      <c r="F675" s="853" t="s">
        <v>527</v>
      </c>
      <c r="G675" s="913">
        <v>0.4</v>
      </c>
      <c r="H675" t="s">
        <v>3941</v>
      </c>
    </row>
    <row r="676" spans="2:8">
      <c r="B676" s="871">
        <v>46269</v>
      </c>
      <c r="C676" t="s">
        <v>2473</v>
      </c>
      <c r="D676" t="s">
        <v>1376</v>
      </c>
      <c r="E676" t="s">
        <v>1386</v>
      </c>
      <c r="F676" s="853" t="s">
        <v>528</v>
      </c>
      <c r="G676" s="913">
        <v>0.4</v>
      </c>
      <c r="H676" t="s">
        <v>3942</v>
      </c>
    </row>
    <row r="677" spans="2:8">
      <c r="B677" s="871">
        <v>46269</v>
      </c>
      <c r="C677" t="s">
        <v>2473</v>
      </c>
      <c r="D677" t="s">
        <v>1376</v>
      </c>
      <c r="E677" t="s">
        <v>1387</v>
      </c>
      <c r="F677" s="853" t="s">
        <v>526</v>
      </c>
      <c r="G677" s="913">
        <v>8.1999999999999993</v>
      </c>
      <c r="H677" t="s">
        <v>3943</v>
      </c>
    </row>
    <row r="678" spans="2:8">
      <c r="B678" s="871">
        <v>46269</v>
      </c>
      <c r="C678" t="s">
        <v>2473</v>
      </c>
      <c r="D678" t="s">
        <v>1376</v>
      </c>
      <c r="E678" t="s">
        <v>1387</v>
      </c>
      <c r="F678" s="853" t="s">
        <v>527</v>
      </c>
      <c r="G678" s="913">
        <v>8.1999999999999993</v>
      </c>
      <c r="H678" t="s">
        <v>3944</v>
      </c>
    </row>
    <row r="679" spans="2:8">
      <c r="B679" s="871">
        <v>46269</v>
      </c>
      <c r="C679" t="s">
        <v>2473</v>
      </c>
      <c r="D679" t="s">
        <v>1376</v>
      </c>
      <c r="E679" t="s">
        <v>1387</v>
      </c>
      <c r="F679" s="853" t="s">
        <v>528</v>
      </c>
      <c r="G679" s="913">
        <v>8.1999999999999993</v>
      </c>
      <c r="H679" t="s">
        <v>3945</v>
      </c>
    </row>
    <row r="680" spans="2:8">
      <c r="B680" s="871">
        <v>46269</v>
      </c>
      <c r="C680" t="s">
        <v>2473</v>
      </c>
      <c r="D680" t="s">
        <v>1375</v>
      </c>
      <c r="E680" t="s">
        <v>1388</v>
      </c>
      <c r="F680" s="853" t="s">
        <v>526</v>
      </c>
      <c r="H680" t="s">
        <v>3946</v>
      </c>
    </row>
    <row r="681" spans="2:8">
      <c r="B681" s="871">
        <v>46269</v>
      </c>
      <c r="C681" t="s">
        <v>2473</v>
      </c>
      <c r="D681" t="s">
        <v>1375</v>
      </c>
      <c r="E681" t="s">
        <v>1388</v>
      </c>
      <c r="F681" s="853" t="s">
        <v>527</v>
      </c>
      <c r="H681" t="s">
        <v>3947</v>
      </c>
    </row>
    <row r="682" spans="2:8">
      <c r="B682" s="871">
        <v>46269</v>
      </c>
      <c r="C682" t="s">
        <v>2473</v>
      </c>
      <c r="D682" t="s">
        <v>1375</v>
      </c>
      <c r="E682" t="s">
        <v>1388</v>
      </c>
      <c r="F682" s="853" t="s">
        <v>528</v>
      </c>
      <c r="H682" t="s">
        <v>3948</v>
      </c>
    </row>
    <row r="683" spans="2:8">
      <c r="B683" s="871">
        <v>46269</v>
      </c>
      <c r="C683" t="s">
        <v>2473</v>
      </c>
      <c r="D683" t="s">
        <v>1376</v>
      </c>
      <c r="E683" t="s">
        <v>1389</v>
      </c>
      <c r="F683" s="853" t="s">
        <v>526</v>
      </c>
      <c r="G683" s="913">
        <v>63</v>
      </c>
      <c r="H683" t="s">
        <v>3949</v>
      </c>
    </row>
    <row r="684" spans="2:8">
      <c r="B684" s="871">
        <v>46269</v>
      </c>
      <c r="C684" t="s">
        <v>2473</v>
      </c>
      <c r="D684" t="s">
        <v>1376</v>
      </c>
      <c r="E684" t="s">
        <v>1389</v>
      </c>
      <c r="F684" s="853" t="s">
        <v>527</v>
      </c>
      <c r="G684" s="913">
        <v>62</v>
      </c>
      <c r="H684" t="s">
        <v>3950</v>
      </c>
    </row>
    <row r="685" spans="2:8">
      <c r="B685" s="871">
        <v>46269</v>
      </c>
      <c r="C685" t="s">
        <v>2473</v>
      </c>
      <c r="D685" t="s">
        <v>1376</v>
      </c>
      <c r="E685" t="s">
        <v>1389</v>
      </c>
      <c r="F685" s="853" t="s">
        <v>528</v>
      </c>
      <c r="G685" s="913">
        <v>62.3</v>
      </c>
      <c r="H685" t="s">
        <v>3951</v>
      </c>
    </row>
    <row r="686" spans="2:8">
      <c r="B686" s="871">
        <v>46269</v>
      </c>
      <c r="C686" t="s">
        <v>2473</v>
      </c>
      <c r="D686" t="s">
        <v>1375</v>
      </c>
      <c r="E686" t="s">
        <v>3266</v>
      </c>
      <c r="F686" s="853" t="s">
        <v>526</v>
      </c>
      <c r="G686" s="913">
        <v>3</v>
      </c>
      <c r="H686" t="s">
        <v>3952</v>
      </c>
    </row>
    <row r="687" spans="2:8">
      <c r="B687" s="871">
        <v>46269</v>
      </c>
      <c r="C687" t="s">
        <v>2473</v>
      </c>
      <c r="D687" t="s">
        <v>1375</v>
      </c>
      <c r="E687" t="s">
        <v>3266</v>
      </c>
      <c r="F687" s="853" t="s">
        <v>527</v>
      </c>
      <c r="G687" s="913">
        <v>4</v>
      </c>
      <c r="H687" t="s">
        <v>3953</v>
      </c>
    </row>
    <row r="688" spans="2:8">
      <c r="B688" s="871">
        <v>46269</v>
      </c>
      <c r="C688" t="s">
        <v>2473</v>
      </c>
      <c r="D688" t="s">
        <v>1375</v>
      </c>
      <c r="E688" t="s">
        <v>3266</v>
      </c>
      <c r="F688" s="853" t="s">
        <v>528</v>
      </c>
      <c r="G688" s="913">
        <v>3</v>
      </c>
      <c r="H688" t="s">
        <v>3954</v>
      </c>
    </row>
    <row r="689" spans="2:8">
      <c r="B689" s="871">
        <v>46269</v>
      </c>
      <c r="C689" t="s">
        <v>2473</v>
      </c>
      <c r="D689" t="s">
        <v>1376</v>
      </c>
      <c r="E689" t="s">
        <v>1390</v>
      </c>
      <c r="F689" s="853" t="s">
        <v>526</v>
      </c>
      <c r="G689" s="913">
        <v>1.6999999999999999E-3</v>
      </c>
      <c r="H689" t="s">
        <v>3955</v>
      </c>
    </row>
    <row r="690" spans="2:8">
      <c r="B690" s="871">
        <v>46269</v>
      </c>
      <c r="C690" t="s">
        <v>2473</v>
      </c>
      <c r="D690" t="s">
        <v>1376</v>
      </c>
      <c r="E690" t="s">
        <v>1390</v>
      </c>
      <c r="F690" s="853" t="s">
        <v>527</v>
      </c>
      <c r="G690" s="913">
        <v>1.3500000000000001E-3</v>
      </c>
      <c r="H690" t="s">
        <v>3956</v>
      </c>
    </row>
    <row r="691" spans="2:8">
      <c r="B691" s="871">
        <v>46269</v>
      </c>
      <c r="C691" t="s">
        <v>2473</v>
      </c>
      <c r="D691" t="s">
        <v>1376</v>
      </c>
      <c r="E691" t="s">
        <v>1390</v>
      </c>
      <c r="F691" s="853" t="s">
        <v>528</v>
      </c>
      <c r="G691" s="913">
        <v>1.57E-3</v>
      </c>
      <c r="H691" t="s">
        <v>3957</v>
      </c>
    </row>
    <row r="692" spans="2:8">
      <c r="B692" s="871">
        <v>46269</v>
      </c>
      <c r="C692" t="s">
        <v>2473</v>
      </c>
      <c r="D692" t="s">
        <v>1375</v>
      </c>
      <c r="E692" t="s">
        <v>3273</v>
      </c>
      <c r="F692" s="853" t="s">
        <v>526</v>
      </c>
      <c r="G692" s="913">
        <v>1</v>
      </c>
      <c r="H692" t="s">
        <v>3958</v>
      </c>
    </row>
    <row r="693" spans="2:8">
      <c r="B693" s="871">
        <v>46269</v>
      </c>
      <c r="C693" t="s">
        <v>2473</v>
      </c>
      <c r="D693" t="s">
        <v>1375</v>
      </c>
      <c r="E693" t="s">
        <v>3273</v>
      </c>
      <c r="F693" s="853" t="s">
        <v>527</v>
      </c>
      <c r="G693" s="913">
        <v>3</v>
      </c>
      <c r="H693" t="s">
        <v>3959</v>
      </c>
    </row>
    <row r="694" spans="2:8">
      <c r="B694" s="871">
        <v>46269</v>
      </c>
      <c r="C694" t="s">
        <v>2473</v>
      </c>
      <c r="D694" t="s">
        <v>1375</v>
      </c>
      <c r="E694" t="s">
        <v>3273</v>
      </c>
      <c r="F694" s="853" t="s">
        <v>528</v>
      </c>
      <c r="G694" s="913">
        <v>3</v>
      </c>
      <c r="H694" t="s">
        <v>3960</v>
      </c>
    </row>
    <row r="695" spans="2:8">
      <c r="B695" s="871">
        <v>46269</v>
      </c>
      <c r="C695" t="s">
        <v>2473</v>
      </c>
      <c r="D695" t="s">
        <v>1376</v>
      </c>
      <c r="E695" t="s">
        <v>1391</v>
      </c>
      <c r="F695" s="853" t="s">
        <v>526</v>
      </c>
      <c r="H695" t="s">
        <v>3961</v>
      </c>
    </row>
    <row r="696" spans="2:8">
      <c r="B696" s="871">
        <v>46269</v>
      </c>
      <c r="C696" t="s">
        <v>2473</v>
      </c>
      <c r="D696" t="s">
        <v>1376</v>
      </c>
      <c r="E696" t="s">
        <v>1391</v>
      </c>
      <c r="F696" s="853" t="s">
        <v>527</v>
      </c>
      <c r="H696" t="s">
        <v>3962</v>
      </c>
    </row>
    <row r="697" spans="2:8">
      <c r="B697" s="871">
        <v>46269</v>
      </c>
      <c r="C697" t="s">
        <v>2473</v>
      </c>
      <c r="D697" t="s">
        <v>1376</v>
      </c>
      <c r="E697" t="s">
        <v>1391</v>
      </c>
      <c r="F697" s="853" t="s">
        <v>528</v>
      </c>
      <c r="G697" s="913">
        <v>8477</v>
      </c>
      <c r="H697" t="s">
        <v>3963</v>
      </c>
    </row>
    <row r="698" spans="2:8">
      <c r="B698" s="871">
        <v>46269</v>
      </c>
      <c r="C698" t="s">
        <v>2473</v>
      </c>
      <c r="D698" t="s">
        <v>1375</v>
      </c>
      <c r="E698" t="s">
        <v>3280</v>
      </c>
      <c r="F698" s="853" t="s">
        <v>526</v>
      </c>
      <c r="G698" s="913">
        <v>3</v>
      </c>
      <c r="H698" t="s">
        <v>3964</v>
      </c>
    </row>
    <row r="699" spans="2:8">
      <c r="B699" s="871">
        <v>46269</v>
      </c>
      <c r="C699" t="s">
        <v>2473</v>
      </c>
      <c r="D699" t="s">
        <v>1375</v>
      </c>
      <c r="E699" t="s">
        <v>3280</v>
      </c>
      <c r="F699" s="853" t="s">
        <v>527</v>
      </c>
      <c r="G699" s="913">
        <v>4</v>
      </c>
      <c r="H699" t="s">
        <v>3965</v>
      </c>
    </row>
    <row r="700" spans="2:8">
      <c r="B700" s="871">
        <v>46269</v>
      </c>
      <c r="C700" t="s">
        <v>2473</v>
      </c>
      <c r="D700" t="s">
        <v>1375</v>
      </c>
      <c r="E700" t="s">
        <v>3280</v>
      </c>
      <c r="F700" s="853" t="s">
        <v>528</v>
      </c>
      <c r="G700" s="913">
        <v>2</v>
      </c>
      <c r="H700" t="s">
        <v>3966</v>
      </c>
    </row>
    <row r="701" spans="2:8">
      <c r="B701" s="871">
        <v>46269</v>
      </c>
      <c r="C701" t="s">
        <v>2473</v>
      </c>
      <c r="D701" t="s">
        <v>1376</v>
      </c>
      <c r="E701" t="s">
        <v>1392</v>
      </c>
      <c r="F701" s="853" t="s">
        <v>526</v>
      </c>
      <c r="G701" s="913">
        <v>8477</v>
      </c>
      <c r="H701" t="s">
        <v>3967</v>
      </c>
    </row>
    <row r="702" spans="2:8">
      <c r="B702" s="871">
        <v>46269</v>
      </c>
      <c r="C702" t="s">
        <v>2473</v>
      </c>
      <c r="D702" t="s">
        <v>1376</v>
      </c>
      <c r="E702" t="s">
        <v>1392</v>
      </c>
      <c r="F702" s="853" t="s">
        <v>527</v>
      </c>
      <c r="H702" t="s">
        <v>3968</v>
      </c>
    </row>
    <row r="703" spans="2:8">
      <c r="B703" s="871">
        <v>46269</v>
      </c>
      <c r="C703" t="s">
        <v>2473</v>
      </c>
      <c r="D703" t="s">
        <v>1376</v>
      </c>
      <c r="E703" t="s">
        <v>1392</v>
      </c>
      <c r="F703" s="853" t="s">
        <v>528</v>
      </c>
      <c r="H703" t="s">
        <v>3969</v>
      </c>
    </row>
    <row r="704" spans="2:8">
      <c r="B704" s="871">
        <v>46269</v>
      </c>
      <c r="C704" t="s">
        <v>2473</v>
      </c>
      <c r="D704" t="s">
        <v>1375</v>
      </c>
      <c r="E704" t="s">
        <v>3287</v>
      </c>
      <c r="F704" s="853" t="s">
        <v>526</v>
      </c>
      <c r="G704" s="913">
        <v>3</v>
      </c>
      <c r="H704" t="s">
        <v>3970</v>
      </c>
    </row>
    <row r="705" spans="2:8">
      <c r="B705" s="871">
        <v>46269</v>
      </c>
      <c r="C705" t="s">
        <v>2473</v>
      </c>
      <c r="D705" t="s">
        <v>1375</v>
      </c>
      <c r="E705" t="s">
        <v>3287</v>
      </c>
      <c r="F705" s="853" t="s">
        <v>527</v>
      </c>
      <c r="G705" s="913">
        <v>2</v>
      </c>
      <c r="H705" t="s">
        <v>3971</v>
      </c>
    </row>
    <row r="706" spans="2:8">
      <c r="B706" s="871">
        <v>46269</v>
      </c>
      <c r="C706" t="s">
        <v>2473</v>
      </c>
      <c r="D706" t="s">
        <v>1375</v>
      </c>
      <c r="E706" t="s">
        <v>3287</v>
      </c>
      <c r="F706" s="853" t="s">
        <v>528</v>
      </c>
      <c r="G706" s="913">
        <v>1</v>
      </c>
      <c r="H706" t="s">
        <v>3972</v>
      </c>
    </row>
    <row r="707" spans="2:8">
      <c r="B707" s="871">
        <v>46269</v>
      </c>
      <c r="C707" t="s">
        <v>2473</v>
      </c>
      <c r="D707" t="s">
        <v>1375</v>
      </c>
      <c r="E707" t="s">
        <v>3291</v>
      </c>
      <c r="F707" s="853" t="s">
        <v>526</v>
      </c>
      <c r="G707" s="913">
        <v>1</v>
      </c>
      <c r="H707" t="s">
        <v>3973</v>
      </c>
    </row>
    <row r="708" spans="2:8">
      <c r="B708" s="871">
        <v>46269</v>
      </c>
      <c r="C708" t="s">
        <v>2473</v>
      </c>
      <c r="D708" t="s">
        <v>1375</v>
      </c>
      <c r="E708" t="s">
        <v>3291</v>
      </c>
      <c r="F708" s="853" t="s">
        <v>527</v>
      </c>
      <c r="G708" s="913">
        <v>3</v>
      </c>
      <c r="H708" t="s">
        <v>3974</v>
      </c>
    </row>
    <row r="709" spans="2:8">
      <c r="B709" s="871">
        <v>46269</v>
      </c>
      <c r="C709" t="s">
        <v>2473</v>
      </c>
      <c r="D709" t="s">
        <v>1375</v>
      </c>
      <c r="E709" t="s">
        <v>3291</v>
      </c>
      <c r="F709" s="853" t="s">
        <v>528</v>
      </c>
      <c r="G709" s="913">
        <v>1</v>
      </c>
      <c r="H709" t="s">
        <v>3975</v>
      </c>
    </row>
    <row r="710" spans="2:8">
      <c r="B710" s="871">
        <v>46269</v>
      </c>
      <c r="C710" t="s">
        <v>2473</v>
      </c>
      <c r="D710" t="s">
        <v>1393</v>
      </c>
      <c r="E710" t="s">
        <v>1394</v>
      </c>
      <c r="F710" s="853" t="s">
        <v>526</v>
      </c>
      <c r="G710" s="913" t="s">
        <v>1533</v>
      </c>
      <c r="H710" t="s">
        <v>3976</v>
      </c>
    </row>
    <row r="711" spans="2:8">
      <c r="B711" s="871">
        <v>46269</v>
      </c>
      <c r="C711" t="s">
        <v>2473</v>
      </c>
      <c r="D711" t="s">
        <v>1393</v>
      </c>
      <c r="E711" t="s">
        <v>1394</v>
      </c>
      <c r="F711" s="853" t="s">
        <v>527</v>
      </c>
      <c r="G711" s="913" t="s">
        <v>1582</v>
      </c>
      <c r="H711" t="s">
        <v>3977</v>
      </c>
    </row>
    <row r="712" spans="2:8">
      <c r="B712" s="871">
        <v>46269</v>
      </c>
      <c r="C712" t="s">
        <v>2473</v>
      </c>
      <c r="D712" t="s">
        <v>1393</v>
      </c>
      <c r="E712" t="s">
        <v>1394</v>
      </c>
      <c r="F712" s="853" t="s">
        <v>528</v>
      </c>
      <c r="G712" s="913" t="s">
        <v>1582</v>
      </c>
      <c r="H712" t="s">
        <v>3978</v>
      </c>
    </row>
    <row r="713" spans="2:8">
      <c r="B713" s="871">
        <v>46269</v>
      </c>
      <c r="C713" t="s">
        <v>2473</v>
      </c>
      <c r="D713" t="s">
        <v>1375</v>
      </c>
      <c r="E713" t="s">
        <v>3298</v>
      </c>
      <c r="F713" s="853" t="s">
        <v>526</v>
      </c>
      <c r="G713" s="913">
        <v>3</v>
      </c>
      <c r="H713" t="s">
        <v>3979</v>
      </c>
    </row>
    <row r="714" spans="2:8">
      <c r="B714" s="871">
        <v>46269</v>
      </c>
      <c r="C714" t="s">
        <v>2473</v>
      </c>
      <c r="D714" t="s">
        <v>1375</v>
      </c>
      <c r="E714" t="s">
        <v>3298</v>
      </c>
      <c r="F714" s="853" t="s">
        <v>527</v>
      </c>
      <c r="G714" s="913">
        <v>4</v>
      </c>
      <c r="H714" t="s">
        <v>3980</v>
      </c>
    </row>
    <row r="715" spans="2:8">
      <c r="B715" s="871">
        <v>46269</v>
      </c>
      <c r="C715" t="s">
        <v>2473</v>
      </c>
      <c r="D715" t="s">
        <v>1375</v>
      </c>
      <c r="E715" t="s">
        <v>3298</v>
      </c>
      <c r="F715" s="853" t="s">
        <v>528</v>
      </c>
      <c r="G715" s="913">
        <v>2</v>
      </c>
      <c r="H715" t="s">
        <v>3981</v>
      </c>
    </row>
    <row r="716" spans="2:8">
      <c r="B716" s="871">
        <v>46269</v>
      </c>
      <c r="C716" t="s">
        <v>2473</v>
      </c>
      <c r="D716" t="s">
        <v>1393</v>
      </c>
      <c r="E716" t="s">
        <v>1398</v>
      </c>
      <c r="F716" s="853" t="s">
        <v>526</v>
      </c>
      <c r="G716" s="913">
        <v>12</v>
      </c>
      <c r="H716" t="s">
        <v>3982</v>
      </c>
    </row>
    <row r="717" spans="2:8">
      <c r="B717" s="871">
        <v>46269</v>
      </c>
      <c r="C717" t="s">
        <v>2473</v>
      </c>
      <c r="D717" t="s">
        <v>1393</v>
      </c>
      <c r="E717" t="s">
        <v>1398</v>
      </c>
      <c r="F717" s="853" t="s">
        <v>527</v>
      </c>
      <c r="G717" s="913">
        <v>11</v>
      </c>
      <c r="H717" t="s">
        <v>3983</v>
      </c>
    </row>
    <row r="718" spans="2:8">
      <c r="B718" s="871">
        <v>46269</v>
      </c>
      <c r="C718" t="s">
        <v>2473</v>
      </c>
      <c r="D718" t="s">
        <v>1393</v>
      </c>
      <c r="E718" t="s">
        <v>1398</v>
      </c>
      <c r="F718" s="853" t="s">
        <v>528</v>
      </c>
      <c r="G718" s="913">
        <v>12</v>
      </c>
      <c r="H718" t="s">
        <v>3984</v>
      </c>
    </row>
    <row r="719" spans="2:8">
      <c r="B719" s="871">
        <v>46269</v>
      </c>
      <c r="C719" t="s">
        <v>2473</v>
      </c>
      <c r="D719" t="s">
        <v>1375</v>
      </c>
      <c r="E719" t="s">
        <v>3305</v>
      </c>
      <c r="F719" s="853" t="s">
        <v>526</v>
      </c>
      <c r="G719" s="913">
        <v>3</v>
      </c>
      <c r="H719" t="s">
        <v>3985</v>
      </c>
    </row>
    <row r="720" spans="2:8">
      <c r="B720" s="871">
        <v>46269</v>
      </c>
      <c r="C720" t="s">
        <v>2473</v>
      </c>
      <c r="D720" t="s">
        <v>1375</v>
      </c>
      <c r="E720" t="s">
        <v>3305</v>
      </c>
      <c r="F720" s="853" t="s">
        <v>527</v>
      </c>
      <c r="G720" s="913">
        <v>3</v>
      </c>
      <c r="H720" t="s">
        <v>3986</v>
      </c>
    </row>
    <row r="721" spans="2:8">
      <c r="B721" s="871">
        <v>46269</v>
      </c>
      <c r="C721" t="s">
        <v>2473</v>
      </c>
      <c r="D721" t="s">
        <v>1375</v>
      </c>
      <c r="E721" t="s">
        <v>3305</v>
      </c>
      <c r="F721" s="853" t="s">
        <v>528</v>
      </c>
      <c r="G721" s="913">
        <v>1</v>
      </c>
      <c r="H721" t="s">
        <v>3987</v>
      </c>
    </row>
    <row r="722" spans="2:8">
      <c r="B722" s="871">
        <v>46269</v>
      </c>
      <c r="C722" t="s">
        <v>2473</v>
      </c>
      <c r="D722" t="s">
        <v>1393</v>
      </c>
      <c r="E722" t="s">
        <v>1399</v>
      </c>
      <c r="F722" s="853" t="s">
        <v>526</v>
      </c>
      <c r="G722" s="913">
        <v>13</v>
      </c>
      <c r="H722" t="s">
        <v>3988</v>
      </c>
    </row>
    <row r="723" spans="2:8">
      <c r="B723" s="871">
        <v>46269</v>
      </c>
      <c r="C723" t="s">
        <v>2473</v>
      </c>
      <c r="D723" t="s">
        <v>1393</v>
      </c>
      <c r="E723" t="s">
        <v>1399</v>
      </c>
      <c r="F723" s="853" t="s">
        <v>527</v>
      </c>
      <c r="G723" s="913">
        <v>12</v>
      </c>
      <c r="H723" t="s">
        <v>3989</v>
      </c>
    </row>
    <row r="724" spans="2:8">
      <c r="B724" s="871">
        <v>46269</v>
      </c>
      <c r="C724" t="s">
        <v>2473</v>
      </c>
      <c r="D724" t="s">
        <v>1393</v>
      </c>
      <c r="E724" t="s">
        <v>1399</v>
      </c>
      <c r="F724" s="853" t="s">
        <v>528</v>
      </c>
      <c r="G724" s="913">
        <v>13</v>
      </c>
      <c r="H724" t="s">
        <v>3990</v>
      </c>
    </row>
    <row r="725" spans="2:8">
      <c r="B725" s="871">
        <v>46269</v>
      </c>
      <c r="C725" t="s">
        <v>2473</v>
      </c>
      <c r="D725" t="s">
        <v>1375</v>
      </c>
      <c r="E725" t="s">
        <v>3312</v>
      </c>
      <c r="F725" s="853" t="s">
        <v>526</v>
      </c>
      <c r="G725" s="913">
        <v>1</v>
      </c>
      <c r="H725" t="s">
        <v>3991</v>
      </c>
    </row>
    <row r="726" spans="2:8">
      <c r="B726" s="871">
        <v>46269</v>
      </c>
      <c r="C726" t="s">
        <v>2473</v>
      </c>
      <c r="D726" t="s">
        <v>1375</v>
      </c>
      <c r="E726" t="s">
        <v>3312</v>
      </c>
      <c r="F726" s="853" t="s">
        <v>527</v>
      </c>
      <c r="G726" s="913">
        <v>1</v>
      </c>
      <c r="H726" t="s">
        <v>3992</v>
      </c>
    </row>
    <row r="727" spans="2:8">
      <c r="B727" s="871">
        <v>46269</v>
      </c>
      <c r="C727" t="s">
        <v>2473</v>
      </c>
      <c r="D727" t="s">
        <v>1375</v>
      </c>
      <c r="E727" t="s">
        <v>3312</v>
      </c>
      <c r="F727" s="853" t="s">
        <v>528</v>
      </c>
      <c r="G727" s="913">
        <v>2</v>
      </c>
      <c r="H727" t="s">
        <v>3993</v>
      </c>
    </row>
    <row r="728" spans="2:8">
      <c r="B728" s="871">
        <v>46269</v>
      </c>
      <c r="C728" t="s">
        <v>2473</v>
      </c>
      <c r="D728" t="s">
        <v>1393</v>
      </c>
      <c r="E728" t="s">
        <v>1400</v>
      </c>
      <c r="F728" s="853" t="s">
        <v>526</v>
      </c>
      <c r="G728" s="913">
        <v>17</v>
      </c>
      <c r="H728" t="s">
        <v>3994</v>
      </c>
    </row>
    <row r="729" spans="2:8">
      <c r="B729" s="871">
        <v>46269</v>
      </c>
      <c r="C729" t="s">
        <v>2473</v>
      </c>
      <c r="D729" t="s">
        <v>1393</v>
      </c>
      <c r="E729" t="s">
        <v>1400</v>
      </c>
      <c r="F729" s="853" t="s">
        <v>527</v>
      </c>
      <c r="G729" s="913">
        <v>16</v>
      </c>
      <c r="H729" t="s">
        <v>3995</v>
      </c>
    </row>
    <row r="730" spans="2:8">
      <c r="B730" s="871">
        <v>46269</v>
      </c>
      <c r="C730" t="s">
        <v>2473</v>
      </c>
      <c r="D730" t="s">
        <v>1393</v>
      </c>
      <c r="E730" t="s">
        <v>1400</v>
      </c>
      <c r="F730" s="853" t="s">
        <v>528</v>
      </c>
      <c r="G730" s="913">
        <v>17</v>
      </c>
      <c r="H730" t="s">
        <v>3996</v>
      </c>
    </row>
    <row r="731" spans="2:8">
      <c r="B731" s="871">
        <v>46269</v>
      </c>
      <c r="C731" t="s">
        <v>2473</v>
      </c>
      <c r="D731" t="s">
        <v>1375</v>
      </c>
      <c r="E731" t="s">
        <v>3319</v>
      </c>
      <c r="F731" s="853" t="s">
        <v>526</v>
      </c>
      <c r="G731" s="913">
        <v>3</v>
      </c>
      <c r="H731" t="s">
        <v>3997</v>
      </c>
    </row>
    <row r="732" spans="2:8">
      <c r="B732" s="871">
        <v>46269</v>
      </c>
      <c r="C732" t="s">
        <v>2473</v>
      </c>
      <c r="D732" t="s">
        <v>1375</v>
      </c>
      <c r="E732" t="s">
        <v>3319</v>
      </c>
      <c r="F732" s="853" t="s">
        <v>527</v>
      </c>
      <c r="G732" s="913">
        <v>2</v>
      </c>
      <c r="H732" t="s">
        <v>3998</v>
      </c>
    </row>
    <row r="733" spans="2:8">
      <c r="B733" s="871">
        <v>46269</v>
      </c>
      <c r="C733" t="s">
        <v>2473</v>
      </c>
      <c r="D733" t="s">
        <v>1375</v>
      </c>
      <c r="E733" t="s">
        <v>3319</v>
      </c>
      <c r="F733" s="853" t="s">
        <v>528</v>
      </c>
      <c r="G733" s="913">
        <v>2</v>
      </c>
      <c r="H733" t="s">
        <v>3999</v>
      </c>
    </row>
    <row r="734" spans="2:8">
      <c r="B734" s="871">
        <v>46269</v>
      </c>
      <c r="C734" t="s">
        <v>2473</v>
      </c>
      <c r="D734" t="s">
        <v>1393</v>
      </c>
      <c r="E734" t="s">
        <v>1401</v>
      </c>
      <c r="F734" s="853" t="s">
        <v>526</v>
      </c>
      <c r="G734" s="913">
        <v>6.64</v>
      </c>
      <c r="H734" t="s">
        <v>4000</v>
      </c>
    </row>
    <row r="735" spans="2:8">
      <c r="B735" s="871">
        <v>46269</v>
      </c>
      <c r="C735" t="s">
        <v>2473</v>
      </c>
      <c r="D735" t="s">
        <v>1393</v>
      </c>
      <c r="E735" t="s">
        <v>1401</v>
      </c>
      <c r="F735" s="853" t="s">
        <v>527</v>
      </c>
      <c r="G735" s="913">
        <v>7.37</v>
      </c>
      <c r="H735" t="s">
        <v>4001</v>
      </c>
    </row>
    <row r="736" spans="2:8">
      <c r="B736" s="871">
        <v>46269</v>
      </c>
      <c r="C736" t="s">
        <v>2473</v>
      </c>
      <c r="D736" t="s">
        <v>1393</v>
      </c>
      <c r="E736" t="s">
        <v>1401</v>
      </c>
      <c r="F736" s="853" t="s">
        <v>528</v>
      </c>
      <c r="G736" s="913">
        <v>6.85</v>
      </c>
      <c r="H736" t="s">
        <v>4002</v>
      </c>
    </row>
    <row r="737" spans="2:8">
      <c r="B737" s="871">
        <v>46269</v>
      </c>
      <c r="C737" t="s">
        <v>2473</v>
      </c>
      <c r="D737" t="s">
        <v>1375</v>
      </c>
      <c r="E737" t="s">
        <v>3326</v>
      </c>
      <c r="F737" s="853" t="s">
        <v>526</v>
      </c>
      <c r="G737" s="913" t="s">
        <v>1583</v>
      </c>
      <c r="H737" t="s">
        <v>4003</v>
      </c>
    </row>
    <row r="738" spans="2:8">
      <c r="B738" s="871">
        <v>46269</v>
      </c>
      <c r="C738" t="s">
        <v>2473</v>
      </c>
      <c r="D738" t="s">
        <v>1375</v>
      </c>
      <c r="E738" t="s">
        <v>3326</v>
      </c>
      <c r="F738" s="853" t="s">
        <v>527</v>
      </c>
      <c r="G738" s="913" t="s">
        <v>1583</v>
      </c>
      <c r="H738" t="s">
        <v>4004</v>
      </c>
    </row>
    <row r="739" spans="2:8">
      <c r="B739" s="871">
        <v>46269</v>
      </c>
      <c r="C739" t="s">
        <v>2473</v>
      </c>
      <c r="D739" t="s">
        <v>1375</v>
      </c>
      <c r="E739" t="s">
        <v>3326</v>
      </c>
      <c r="F739" s="853" t="s">
        <v>528</v>
      </c>
      <c r="G739" s="913" t="s">
        <v>1583</v>
      </c>
      <c r="H739" t="s">
        <v>4005</v>
      </c>
    </row>
    <row r="740" spans="2:8">
      <c r="B740" s="871">
        <v>46269</v>
      </c>
      <c r="C740" t="s">
        <v>2473</v>
      </c>
      <c r="D740" t="s">
        <v>1393</v>
      </c>
      <c r="E740" t="s">
        <v>1403</v>
      </c>
      <c r="F740" s="853" t="s">
        <v>526</v>
      </c>
      <c r="G740" s="913">
        <v>760</v>
      </c>
      <c r="H740" t="s">
        <v>4006</v>
      </c>
    </row>
    <row r="741" spans="2:8">
      <c r="B741" s="871">
        <v>46269</v>
      </c>
      <c r="C741" t="s">
        <v>2473</v>
      </c>
      <c r="D741" t="s">
        <v>1393</v>
      </c>
      <c r="E741" t="s">
        <v>1403</v>
      </c>
      <c r="F741" s="853" t="s">
        <v>527</v>
      </c>
      <c r="G741" s="913">
        <v>580</v>
      </c>
      <c r="H741" t="s">
        <v>4007</v>
      </c>
    </row>
    <row r="742" spans="2:8">
      <c r="B742" s="871">
        <v>46269</v>
      </c>
      <c r="C742" t="s">
        <v>2473</v>
      </c>
      <c r="D742" t="s">
        <v>1393</v>
      </c>
      <c r="E742" t="s">
        <v>1403</v>
      </c>
      <c r="F742" s="853" t="s">
        <v>528</v>
      </c>
      <c r="G742" s="913">
        <v>740</v>
      </c>
      <c r="H742" t="s">
        <v>4008</v>
      </c>
    </row>
    <row r="743" spans="2:8">
      <c r="B743" s="871">
        <v>46269</v>
      </c>
      <c r="C743" t="s">
        <v>2473</v>
      </c>
      <c r="D743" t="s">
        <v>1393</v>
      </c>
      <c r="E743" t="s">
        <v>1404</v>
      </c>
      <c r="F743" s="853" t="s">
        <v>526</v>
      </c>
      <c r="G743" s="913">
        <v>5.74</v>
      </c>
      <c r="H743" t="s">
        <v>4009</v>
      </c>
    </row>
    <row r="744" spans="2:8">
      <c r="B744" s="871">
        <v>46269</v>
      </c>
      <c r="C744" t="s">
        <v>2473</v>
      </c>
      <c r="D744" t="s">
        <v>1393</v>
      </c>
      <c r="E744" t="s">
        <v>1404</v>
      </c>
      <c r="F744" s="853" t="s">
        <v>527</v>
      </c>
      <c r="G744" s="913">
        <v>2.7</v>
      </c>
      <c r="H744" t="s">
        <v>4010</v>
      </c>
    </row>
    <row r="745" spans="2:8">
      <c r="B745" s="871">
        <v>46269</v>
      </c>
      <c r="C745" t="s">
        <v>2473</v>
      </c>
      <c r="D745" t="s">
        <v>1393</v>
      </c>
      <c r="E745" t="s">
        <v>1404</v>
      </c>
      <c r="F745" s="853" t="s">
        <v>528</v>
      </c>
      <c r="G745" s="913">
        <v>4.37</v>
      </c>
      <c r="H745" t="s">
        <v>4011</v>
      </c>
    </row>
    <row r="746" spans="2:8">
      <c r="B746" s="871">
        <v>46269</v>
      </c>
      <c r="C746" t="s">
        <v>2473</v>
      </c>
      <c r="D746" t="s">
        <v>1375</v>
      </c>
      <c r="E746" t="s">
        <v>3336</v>
      </c>
      <c r="F746" s="853" t="s">
        <v>526</v>
      </c>
      <c r="G746" s="913" t="s">
        <v>1406</v>
      </c>
      <c r="H746" t="s">
        <v>4012</v>
      </c>
    </row>
    <row r="747" spans="2:8">
      <c r="B747" s="871">
        <v>46269</v>
      </c>
      <c r="C747" t="s">
        <v>2473</v>
      </c>
      <c r="D747" t="s">
        <v>1375</v>
      </c>
      <c r="E747" t="s">
        <v>3336</v>
      </c>
      <c r="F747" s="853" t="s">
        <v>527</v>
      </c>
      <c r="G747" s="913" t="s">
        <v>1406</v>
      </c>
      <c r="H747" t="s">
        <v>4013</v>
      </c>
    </row>
    <row r="748" spans="2:8">
      <c r="B748" s="871">
        <v>46269</v>
      </c>
      <c r="C748" t="s">
        <v>2473</v>
      </c>
      <c r="D748" t="s">
        <v>1375</v>
      </c>
      <c r="E748" t="s">
        <v>3336</v>
      </c>
      <c r="F748" s="853" t="s">
        <v>528</v>
      </c>
      <c r="G748" s="913" t="s">
        <v>1406</v>
      </c>
      <c r="H748" t="s">
        <v>4014</v>
      </c>
    </row>
    <row r="749" spans="2:8">
      <c r="B749" s="871">
        <v>46269</v>
      </c>
      <c r="C749" t="s">
        <v>2473</v>
      </c>
      <c r="D749" t="s">
        <v>1393</v>
      </c>
      <c r="E749" t="s">
        <v>1407</v>
      </c>
      <c r="F749" s="853" t="s">
        <v>526</v>
      </c>
      <c r="G749" s="913">
        <v>360</v>
      </c>
      <c r="H749" t="s">
        <v>4015</v>
      </c>
    </row>
    <row r="750" spans="2:8">
      <c r="B750" s="871">
        <v>46269</v>
      </c>
      <c r="C750" t="s">
        <v>2473</v>
      </c>
      <c r="D750" t="s">
        <v>1393</v>
      </c>
      <c r="E750" t="s">
        <v>1407</v>
      </c>
      <c r="F750" s="853" t="s">
        <v>527</v>
      </c>
      <c r="G750" s="913">
        <v>400</v>
      </c>
      <c r="H750" t="s">
        <v>4016</v>
      </c>
    </row>
    <row r="751" spans="2:8">
      <c r="B751" s="871">
        <v>46269</v>
      </c>
      <c r="C751" t="s">
        <v>2473</v>
      </c>
      <c r="D751" t="s">
        <v>1393</v>
      </c>
      <c r="E751" t="s">
        <v>1407</v>
      </c>
      <c r="F751" s="853" t="s">
        <v>528</v>
      </c>
      <c r="G751" s="913">
        <v>380</v>
      </c>
      <c r="H751" t="s">
        <v>4017</v>
      </c>
    </row>
    <row r="752" spans="2:8">
      <c r="B752" s="871">
        <v>46269</v>
      </c>
      <c r="C752" t="s">
        <v>2473</v>
      </c>
      <c r="D752" t="s">
        <v>1393</v>
      </c>
      <c r="E752" t="s">
        <v>1408</v>
      </c>
      <c r="F752" s="853" t="s">
        <v>526</v>
      </c>
      <c r="G752" s="913">
        <v>973</v>
      </c>
      <c r="H752" t="s">
        <v>4018</v>
      </c>
    </row>
    <row r="753" spans="2:8">
      <c r="B753" s="871">
        <v>46269</v>
      </c>
      <c r="C753" t="s">
        <v>2473</v>
      </c>
      <c r="D753" t="s">
        <v>1393</v>
      </c>
      <c r="E753" t="s">
        <v>1408</v>
      </c>
      <c r="F753" s="853" t="s">
        <v>527</v>
      </c>
      <c r="G753" s="913">
        <v>975</v>
      </c>
      <c r="H753" t="s">
        <v>4019</v>
      </c>
    </row>
    <row r="754" spans="2:8">
      <c r="B754" s="871">
        <v>46269</v>
      </c>
      <c r="C754" t="s">
        <v>2473</v>
      </c>
      <c r="D754" t="s">
        <v>1393</v>
      </c>
      <c r="E754" t="s">
        <v>1408</v>
      </c>
      <c r="F754" s="853" t="s">
        <v>528</v>
      </c>
      <c r="G754" s="913">
        <v>976</v>
      </c>
      <c r="H754" t="s">
        <v>4020</v>
      </c>
    </row>
    <row r="755" spans="2:8">
      <c r="B755" s="871">
        <v>46269</v>
      </c>
      <c r="C755" t="s">
        <v>2473</v>
      </c>
      <c r="D755" t="s">
        <v>1409</v>
      </c>
      <c r="E755" t="s">
        <v>1411</v>
      </c>
      <c r="F755" s="853" t="s">
        <v>526</v>
      </c>
      <c r="H755" t="s">
        <v>4021</v>
      </c>
    </row>
    <row r="756" spans="2:8">
      <c r="B756" s="871">
        <v>46269</v>
      </c>
      <c r="C756" t="s">
        <v>2473</v>
      </c>
      <c r="D756" t="s">
        <v>1409</v>
      </c>
      <c r="E756" t="s">
        <v>1411</v>
      </c>
      <c r="F756" s="853" t="s">
        <v>527</v>
      </c>
      <c r="H756" t="s">
        <v>4022</v>
      </c>
    </row>
    <row r="757" spans="2:8">
      <c r="B757" s="871">
        <v>46269</v>
      </c>
      <c r="C757" t="s">
        <v>2473</v>
      </c>
      <c r="D757" t="s">
        <v>1409</v>
      </c>
      <c r="E757" t="s">
        <v>1411</v>
      </c>
      <c r="F757" s="853" t="s">
        <v>528</v>
      </c>
      <c r="H757" t="s">
        <v>4023</v>
      </c>
    </row>
    <row r="758" spans="2:8">
      <c r="B758" s="871">
        <v>46269</v>
      </c>
      <c r="C758" t="s">
        <v>2473</v>
      </c>
      <c r="D758" t="s">
        <v>1409</v>
      </c>
      <c r="E758" t="s">
        <v>1413</v>
      </c>
      <c r="F758" s="853" t="s">
        <v>526</v>
      </c>
      <c r="G758" s="913" t="s">
        <v>1414</v>
      </c>
      <c r="H758" t="s">
        <v>4024</v>
      </c>
    </row>
    <row r="759" spans="2:8">
      <c r="B759" s="871">
        <v>46269</v>
      </c>
      <c r="C759" t="s">
        <v>2473</v>
      </c>
      <c r="D759" t="s">
        <v>1409</v>
      </c>
      <c r="E759" t="s">
        <v>1413</v>
      </c>
      <c r="F759" s="853" t="s">
        <v>527</v>
      </c>
      <c r="G759" s="913" t="s">
        <v>1584</v>
      </c>
      <c r="H759" t="s">
        <v>4025</v>
      </c>
    </row>
    <row r="760" spans="2:8">
      <c r="B760" s="871">
        <v>46269</v>
      </c>
      <c r="C760" t="s">
        <v>2473</v>
      </c>
      <c r="D760" t="s">
        <v>1409</v>
      </c>
      <c r="E760" t="s">
        <v>1413</v>
      </c>
      <c r="F760" s="853" t="s">
        <v>528</v>
      </c>
      <c r="G760" s="913" t="s">
        <v>1584</v>
      </c>
      <c r="H760" t="s">
        <v>4026</v>
      </c>
    </row>
    <row r="761" spans="2:8">
      <c r="B761" s="871">
        <v>46269</v>
      </c>
      <c r="C761" t="s">
        <v>2473</v>
      </c>
      <c r="D761" t="s">
        <v>1410</v>
      </c>
      <c r="E761" t="s">
        <v>3352</v>
      </c>
      <c r="F761" s="853" t="s">
        <v>526</v>
      </c>
      <c r="G761" s="913" t="s">
        <v>1418</v>
      </c>
      <c r="H761" t="s">
        <v>4027</v>
      </c>
    </row>
    <row r="762" spans="2:8">
      <c r="B762" s="871">
        <v>46269</v>
      </c>
      <c r="C762" t="s">
        <v>2473</v>
      </c>
      <c r="D762" t="s">
        <v>1410</v>
      </c>
      <c r="E762" t="s">
        <v>3352</v>
      </c>
      <c r="F762" s="853" t="s">
        <v>527</v>
      </c>
      <c r="G762" s="913" t="s">
        <v>1419</v>
      </c>
      <c r="H762" t="s">
        <v>4028</v>
      </c>
    </row>
    <row r="763" spans="2:8">
      <c r="B763" s="871">
        <v>46269</v>
      </c>
      <c r="C763" t="s">
        <v>2473</v>
      </c>
      <c r="D763" t="s">
        <v>1410</v>
      </c>
      <c r="E763" t="s">
        <v>3352</v>
      </c>
      <c r="F763" s="853" t="s">
        <v>528</v>
      </c>
      <c r="G763" s="913" t="s">
        <v>1418</v>
      </c>
      <c r="H763" t="s">
        <v>4029</v>
      </c>
    </row>
    <row r="764" spans="2:8">
      <c r="B764" s="871">
        <v>46269</v>
      </c>
      <c r="C764" t="s">
        <v>2473</v>
      </c>
      <c r="D764" t="s">
        <v>1409</v>
      </c>
      <c r="E764" t="s">
        <v>1420</v>
      </c>
      <c r="F764" s="853" t="s">
        <v>526</v>
      </c>
      <c r="G764" s="913" t="s">
        <v>1421</v>
      </c>
      <c r="H764" t="s">
        <v>4030</v>
      </c>
    </row>
    <row r="765" spans="2:8">
      <c r="B765" s="871">
        <v>46269</v>
      </c>
      <c r="C765" t="s">
        <v>2473</v>
      </c>
      <c r="D765" t="s">
        <v>1409</v>
      </c>
      <c r="E765" t="s">
        <v>1420</v>
      </c>
      <c r="F765" s="853" t="s">
        <v>527</v>
      </c>
      <c r="G765" s="913" t="s">
        <v>1537</v>
      </c>
      <c r="H765" t="s">
        <v>4031</v>
      </c>
    </row>
    <row r="766" spans="2:8">
      <c r="B766" s="871">
        <v>46269</v>
      </c>
      <c r="C766" t="s">
        <v>2473</v>
      </c>
      <c r="D766" t="s">
        <v>1409</v>
      </c>
      <c r="E766" t="s">
        <v>1420</v>
      </c>
      <c r="F766" s="853" t="s">
        <v>528</v>
      </c>
      <c r="G766" s="913" t="s">
        <v>1537</v>
      </c>
      <c r="H766" t="s">
        <v>4032</v>
      </c>
    </row>
    <row r="767" spans="2:8">
      <c r="B767" s="871">
        <v>46269</v>
      </c>
      <c r="C767" t="s">
        <v>2473</v>
      </c>
      <c r="D767" t="s">
        <v>1410</v>
      </c>
      <c r="E767" t="s">
        <v>3359</v>
      </c>
      <c r="F767" s="853" t="s">
        <v>526</v>
      </c>
      <c r="G767" s="913">
        <v>118</v>
      </c>
      <c r="H767" t="s">
        <v>4033</v>
      </c>
    </row>
    <row r="768" spans="2:8">
      <c r="B768" s="871">
        <v>46269</v>
      </c>
      <c r="C768" t="s">
        <v>2473</v>
      </c>
      <c r="D768" t="s">
        <v>1410</v>
      </c>
      <c r="E768" t="s">
        <v>3359</v>
      </c>
      <c r="F768" s="853" t="s">
        <v>527</v>
      </c>
      <c r="G768" s="913">
        <v>120</v>
      </c>
      <c r="H768" t="s">
        <v>4034</v>
      </c>
    </row>
    <row r="769" spans="2:8">
      <c r="B769" s="871">
        <v>46269</v>
      </c>
      <c r="C769" t="s">
        <v>2473</v>
      </c>
      <c r="D769" t="s">
        <v>1410</v>
      </c>
      <c r="E769" t="s">
        <v>3359</v>
      </c>
      <c r="F769" s="853" t="s">
        <v>528</v>
      </c>
      <c r="G769" s="913">
        <v>117</v>
      </c>
      <c r="H769" t="s">
        <v>4035</v>
      </c>
    </row>
    <row r="770" spans="2:8">
      <c r="B770" s="871">
        <v>46269</v>
      </c>
      <c r="C770" t="s">
        <v>2473</v>
      </c>
      <c r="D770" t="s">
        <v>1409</v>
      </c>
      <c r="E770" t="s">
        <v>1424</v>
      </c>
      <c r="F770" s="853" t="s">
        <v>526</v>
      </c>
      <c r="H770" t="s">
        <v>4036</v>
      </c>
    </row>
    <row r="771" spans="2:8">
      <c r="B771" s="871">
        <v>46269</v>
      </c>
      <c r="C771" t="s">
        <v>2473</v>
      </c>
      <c r="D771" t="s">
        <v>1409</v>
      </c>
      <c r="E771" t="s">
        <v>1424</v>
      </c>
      <c r="F771" s="853" t="s">
        <v>527</v>
      </c>
      <c r="H771" t="s">
        <v>4037</v>
      </c>
    </row>
    <row r="772" spans="2:8">
      <c r="B772" s="871">
        <v>46269</v>
      </c>
      <c r="C772" t="s">
        <v>2473</v>
      </c>
      <c r="D772" t="s">
        <v>1409</v>
      </c>
      <c r="E772" t="s">
        <v>1424</v>
      </c>
      <c r="F772" s="853" t="s">
        <v>528</v>
      </c>
      <c r="H772" t="s">
        <v>4038</v>
      </c>
    </row>
    <row r="773" spans="2:8">
      <c r="B773" s="871">
        <v>46269</v>
      </c>
      <c r="C773" t="s">
        <v>2473</v>
      </c>
      <c r="D773" t="s">
        <v>1410</v>
      </c>
      <c r="E773" t="s">
        <v>3366</v>
      </c>
      <c r="F773" s="853" t="s">
        <v>526</v>
      </c>
      <c r="G773" s="913">
        <v>2636</v>
      </c>
      <c r="H773" t="s">
        <v>4039</v>
      </c>
    </row>
    <row r="774" spans="2:8">
      <c r="B774" s="871">
        <v>46269</v>
      </c>
      <c r="C774" t="s">
        <v>2473</v>
      </c>
      <c r="D774" t="s">
        <v>1410</v>
      </c>
      <c r="E774" t="s">
        <v>3366</v>
      </c>
      <c r="F774" s="853" t="s">
        <v>527</v>
      </c>
      <c r="G774" s="913">
        <v>2750</v>
      </c>
      <c r="H774" t="s">
        <v>4040</v>
      </c>
    </row>
    <row r="775" spans="2:8">
      <c r="B775" s="871">
        <v>46269</v>
      </c>
      <c r="C775" t="s">
        <v>2473</v>
      </c>
      <c r="D775" t="s">
        <v>1410</v>
      </c>
      <c r="E775" t="s">
        <v>3366</v>
      </c>
      <c r="F775" s="853" t="s">
        <v>528</v>
      </c>
      <c r="G775" s="913">
        <v>2735</v>
      </c>
      <c r="H775" t="s">
        <v>4041</v>
      </c>
    </row>
    <row r="776" spans="2:8">
      <c r="B776" s="871">
        <v>46269</v>
      </c>
      <c r="C776" t="s">
        <v>2473</v>
      </c>
      <c r="D776" t="s">
        <v>1410</v>
      </c>
      <c r="E776" t="s">
        <v>3370</v>
      </c>
      <c r="F776" s="853" t="s">
        <v>526</v>
      </c>
      <c r="G776" s="913" t="s">
        <v>1427</v>
      </c>
      <c r="H776" t="s">
        <v>4042</v>
      </c>
    </row>
    <row r="777" spans="2:8">
      <c r="B777" s="871">
        <v>46269</v>
      </c>
      <c r="C777" t="s">
        <v>2473</v>
      </c>
      <c r="D777" t="s">
        <v>1410</v>
      </c>
      <c r="E777" t="s">
        <v>3370</v>
      </c>
      <c r="F777" s="853" t="s">
        <v>527</v>
      </c>
      <c r="G777" s="913" t="s">
        <v>1427</v>
      </c>
      <c r="H777" t="s">
        <v>4043</v>
      </c>
    </row>
    <row r="778" spans="2:8">
      <c r="B778" s="871">
        <v>46269</v>
      </c>
      <c r="C778" t="s">
        <v>2473</v>
      </c>
      <c r="D778" t="s">
        <v>1410</v>
      </c>
      <c r="E778" t="s">
        <v>3370</v>
      </c>
      <c r="F778" s="853" t="s">
        <v>528</v>
      </c>
      <c r="G778" s="913" t="s">
        <v>1427</v>
      </c>
      <c r="H778" t="s">
        <v>4044</v>
      </c>
    </row>
    <row r="779" spans="2:8">
      <c r="B779" s="871">
        <v>46269</v>
      </c>
      <c r="C779" t="s">
        <v>2473</v>
      </c>
      <c r="D779" t="s">
        <v>1410</v>
      </c>
      <c r="E779" t="s">
        <v>3374</v>
      </c>
      <c r="F779" s="853" t="s">
        <v>526</v>
      </c>
      <c r="G779" s="913">
        <v>2.15</v>
      </c>
      <c r="H779" t="s">
        <v>4045</v>
      </c>
    </row>
    <row r="780" spans="2:8">
      <c r="B780" s="871">
        <v>46269</v>
      </c>
      <c r="C780" t="s">
        <v>2473</v>
      </c>
      <c r="D780" t="s">
        <v>1410</v>
      </c>
      <c r="E780" t="s">
        <v>3374</v>
      </c>
      <c r="F780" s="853" t="s">
        <v>527</v>
      </c>
      <c r="H780" t="s">
        <v>4046</v>
      </c>
    </row>
    <row r="781" spans="2:8">
      <c r="B781" s="871">
        <v>46269</v>
      </c>
      <c r="C781" t="s">
        <v>2473</v>
      </c>
      <c r="D781" t="s">
        <v>1410</v>
      </c>
      <c r="E781" t="s">
        <v>3374</v>
      </c>
      <c r="F781" s="853" t="s">
        <v>528</v>
      </c>
      <c r="G781" s="913">
        <v>3.67</v>
      </c>
      <c r="H781" t="s">
        <v>4047</v>
      </c>
    </row>
    <row r="782" spans="2:8">
      <c r="B782" s="871">
        <v>46269</v>
      </c>
      <c r="C782" t="s">
        <v>2473</v>
      </c>
      <c r="D782" t="s">
        <v>1410</v>
      </c>
      <c r="E782" t="s">
        <v>3378</v>
      </c>
      <c r="F782" s="853" t="s">
        <v>526</v>
      </c>
      <c r="G782" s="913" t="s">
        <v>1430</v>
      </c>
      <c r="H782" t="s">
        <v>4048</v>
      </c>
    </row>
    <row r="783" spans="2:8">
      <c r="B783" s="871">
        <v>46269</v>
      </c>
      <c r="C783" t="s">
        <v>2473</v>
      </c>
      <c r="D783" t="s">
        <v>1410</v>
      </c>
      <c r="E783" t="s">
        <v>3378</v>
      </c>
      <c r="F783" s="853" t="s">
        <v>527</v>
      </c>
      <c r="G783" s="913" t="s">
        <v>1430</v>
      </c>
      <c r="H783" t="s">
        <v>4049</v>
      </c>
    </row>
    <row r="784" spans="2:8">
      <c r="B784" s="871">
        <v>46269</v>
      </c>
      <c r="C784" t="s">
        <v>2473</v>
      </c>
      <c r="D784" t="s">
        <v>1410</v>
      </c>
      <c r="E784" t="s">
        <v>3378</v>
      </c>
      <c r="F784" s="853" t="s">
        <v>528</v>
      </c>
      <c r="G784" s="913" t="s">
        <v>1430</v>
      </c>
      <c r="H784" t="s">
        <v>4050</v>
      </c>
    </row>
    <row r="785" spans="2:8">
      <c r="B785" s="871">
        <v>46269</v>
      </c>
      <c r="C785" t="s">
        <v>2473</v>
      </c>
      <c r="D785" t="s">
        <v>1410</v>
      </c>
      <c r="E785" t="s">
        <v>3382</v>
      </c>
      <c r="F785" s="853" t="s">
        <v>526</v>
      </c>
      <c r="G785" s="913">
        <v>109</v>
      </c>
      <c r="H785" t="s">
        <v>4051</v>
      </c>
    </row>
    <row r="786" spans="2:8">
      <c r="B786" s="871">
        <v>46269</v>
      </c>
      <c r="C786" t="s">
        <v>2473</v>
      </c>
      <c r="D786" t="s">
        <v>1410</v>
      </c>
      <c r="E786" t="s">
        <v>3382</v>
      </c>
      <c r="F786" s="853" t="s">
        <v>527</v>
      </c>
      <c r="G786" s="913">
        <v>97</v>
      </c>
      <c r="H786" t="s">
        <v>4052</v>
      </c>
    </row>
    <row r="787" spans="2:8">
      <c r="B787" s="871">
        <v>46269</v>
      </c>
      <c r="C787" t="s">
        <v>2473</v>
      </c>
      <c r="D787" t="s">
        <v>1410</v>
      </c>
      <c r="E787" t="s">
        <v>3382</v>
      </c>
      <c r="F787" s="853" t="s">
        <v>528</v>
      </c>
      <c r="G787" s="913">
        <v>97</v>
      </c>
      <c r="H787" t="s">
        <v>4053</v>
      </c>
    </row>
    <row r="788" spans="2:8">
      <c r="B788" s="871">
        <v>46269</v>
      </c>
      <c r="C788" t="s">
        <v>2473</v>
      </c>
      <c r="D788" t="s">
        <v>1409</v>
      </c>
      <c r="E788" t="s">
        <v>1431</v>
      </c>
      <c r="F788" s="853" t="s">
        <v>526</v>
      </c>
      <c r="H788" t="s">
        <v>4054</v>
      </c>
    </row>
    <row r="789" spans="2:8">
      <c r="B789" s="871">
        <v>46269</v>
      </c>
      <c r="C789" t="s">
        <v>2473</v>
      </c>
      <c r="D789" t="s">
        <v>1409</v>
      </c>
      <c r="E789" t="s">
        <v>1431</v>
      </c>
      <c r="F789" s="853" t="s">
        <v>527</v>
      </c>
      <c r="H789" t="s">
        <v>4055</v>
      </c>
    </row>
    <row r="790" spans="2:8">
      <c r="B790" s="871">
        <v>46269</v>
      </c>
      <c r="C790" t="s">
        <v>2473</v>
      </c>
      <c r="D790" t="s">
        <v>1409</v>
      </c>
      <c r="E790" t="s">
        <v>1431</v>
      </c>
      <c r="F790" s="853" t="s">
        <v>528</v>
      </c>
      <c r="H790" t="s">
        <v>4056</v>
      </c>
    </row>
    <row r="791" spans="2:8">
      <c r="B791" s="871">
        <v>46269</v>
      </c>
      <c r="C791" t="s">
        <v>2473</v>
      </c>
      <c r="D791" t="s">
        <v>1410</v>
      </c>
      <c r="E791" t="s">
        <v>3389</v>
      </c>
      <c r="F791" s="853" t="s">
        <v>526</v>
      </c>
      <c r="G791" s="913">
        <v>2640</v>
      </c>
      <c r="H791" t="s">
        <v>4057</v>
      </c>
    </row>
    <row r="792" spans="2:8">
      <c r="B792" s="871">
        <v>46269</v>
      </c>
      <c r="C792" t="s">
        <v>2473</v>
      </c>
      <c r="D792" t="s">
        <v>1410</v>
      </c>
      <c r="E792" t="s">
        <v>3389</v>
      </c>
      <c r="F792" s="853" t="s">
        <v>527</v>
      </c>
      <c r="G792" s="913">
        <v>2740</v>
      </c>
      <c r="H792" t="s">
        <v>4058</v>
      </c>
    </row>
    <row r="793" spans="2:8">
      <c r="B793" s="871">
        <v>46269</v>
      </c>
      <c r="C793" t="s">
        <v>2473</v>
      </c>
      <c r="D793" t="s">
        <v>1410</v>
      </c>
      <c r="E793" t="s">
        <v>3389</v>
      </c>
      <c r="F793" s="853" t="s">
        <v>528</v>
      </c>
      <c r="G793" s="913">
        <v>2725</v>
      </c>
      <c r="H793" t="s">
        <v>4059</v>
      </c>
    </row>
    <row r="794" spans="2:8">
      <c r="B794" s="871">
        <v>46269</v>
      </c>
      <c r="C794" t="s">
        <v>2473</v>
      </c>
      <c r="D794" t="s">
        <v>1410</v>
      </c>
      <c r="E794" t="s">
        <v>3393</v>
      </c>
      <c r="F794" s="853" t="s">
        <v>526</v>
      </c>
      <c r="G794" s="913" t="s">
        <v>1432</v>
      </c>
      <c r="H794" t="s">
        <v>4060</v>
      </c>
    </row>
    <row r="795" spans="2:8">
      <c r="B795" s="871">
        <v>46269</v>
      </c>
      <c r="C795" t="s">
        <v>2473</v>
      </c>
      <c r="D795" t="s">
        <v>1410</v>
      </c>
      <c r="E795" t="s">
        <v>3393</v>
      </c>
      <c r="F795" s="853" t="s">
        <v>527</v>
      </c>
      <c r="G795" s="913" t="s">
        <v>1432</v>
      </c>
      <c r="H795" t="s">
        <v>4061</v>
      </c>
    </row>
    <row r="796" spans="2:8">
      <c r="B796" s="871">
        <v>46269</v>
      </c>
      <c r="C796" t="s">
        <v>2473</v>
      </c>
      <c r="D796" t="s">
        <v>1410</v>
      </c>
      <c r="E796" t="s">
        <v>3393</v>
      </c>
      <c r="F796" s="853" t="s">
        <v>528</v>
      </c>
      <c r="G796" s="913" t="s">
        <v>1432</v>
      </c>
      <c r="H796" t="s">
        <v>4062</v>
      </c>
    </row>
    <row r="797" spans="2:8">
      <c r="B797" s="871">
        <v>46269</v>
      </c>
      <c r="C797" t="s">
        <v>2473</v>
      </c>
      <c r="D797" t="s">
        <v>1410</v>
      </c>
      <c r="E797" t="s">
        <v>3397</v>
      </c>
      <c r="F797" s="853" t="s">
        <v>526</v>
      </c>
      <c r="G797" s="913" t="s">
        <v>1435</v>
      </c>
      <c r="H797" t="s">
        <v>4063</v>
      </c>
    </row>
    <row r="798" spans="2:8">
      <c r="B798" s="871">
        <v>46269</v>
      </c>
      <c r="C798" t="s">
        <v>2473</v>
      </c>
      <c r="D798" t="s">
        <v>1410</v>
      </c>
      <c r="E798" t="s">
        <v>3397</v>
      </c>
      <c r="F798" s="853" t="s">
        <v>527</v>
      </c>
      <c r="G798" s="913" t="s">
        <v>1435</v>
      </c>
      <c r="H798" t="s">
        <v>4064</v>
      </c>
    </row>
    <row r="799" spans="2:8">
      <c r="B799" s="871">
        <v>46269</v>
      </c>
      <c r="C799" t="s">
        <v>2473</v>
      </c>
      <c r="D799" t="s">
        <v>1410</v>
      </c>
      <c r="E799" t="s">
        <v>3397</v>
      </c>
      <c r="F799" s="853" t="s">
        <v>528</v>
      </c>
      <c r="G799" s="913" t="s">
        <v>1438</v>
      </c>
      <c r="H799" t="s">
        <v>4065</v>
      </c>
    </row>
    <row r="800" spans="2:8">
      <c r="B800" s="871">
        <v>46269</v>
      </c>
      <c r="C800" t="s">
        <v>2473</v>
      </c>
      <c r="D800" t="s">
        <v>1434</v>
      </c>
      <c r="E800" t="s">
        <v>42</v>
      </c>
      <c r="F800" s="853" t="s">
        <v>526</v>
      </c>
      <c r="G800" s="913" t="s">
        <v>70</v>
      </c>
      <c r="H800" t="s">
        <v>4066</v>
      </c>
    </row>
    <row r="801" spans="2:8">
      <c r="B801" s="871">
        <v>46269</v>
      </c>
      <c r="C801" t="s">
        <v>2473</v>
      </c>
      <c r="D801" t="s">
        <v>1434</v>
      </c>
      <c r="E801" t="s">
        <v>42</v>
      </c>
      <c r="F801" s="853" t="s">
        <v>527</v>
      </c>
      <c r="G801" s="913" t="s">
        <v>70</v>
      </c>
      <c r="H801" t="s">
        <v>4067</v>
      </c>
    </row>
    <row r="802" spans="2:8">
      <c r="B802" s="871">
        <v>46269</v>
      </c>
      <c r="C802" t="s">
        <v>2473</v>
      </c>
      <c r="D802" t="s">
        <v>1434</v>
      </c>
      <c r="E802" t="s">
        <v>42</v>
      </c>
      <c r="F802" s="853" t="s">
        <v>528</v>
      </c>
      <c r="G802" s="913" t="s">
        <v>70</v>
      </c>
      <c r="H802" t="s">
        <v>4068</v>
      </c>
    </row>
    <row r="803" spans="2:8">
      <c r="B803" s="871">
        <v>46269</v>
      </c>
      <c r="C803" t="s">
        <v>2473</v>
      </c>
      <c r="D803" t="s">
        <v>1410</v>
      </c>
      <c r="E803" t="s">
        <v>3404</v>
      </c>
      <c r="F803" s="853" t="s">
        <v>526</v>
      </c>
      <c r="G803" s="913" t="s">
        <v>1438</v>
      </c>
      <c r="H803" t="s">
        <v>4069</v>
      </c>
    </row>
    <row r="804" spans="2:8">
      <c r="B804" s="871">
        <v>46269</v>
      </c>
      <c r="C804" t="s">
        <v>2473</v>
      </c>
      <c r="D804" t="s">
        <v>1410</v>
      </c>
      <c r="E804" t="s">
        <v>3404</v>
      </c>
      <c r="F804" s="853" t="s">
        <v>527</v>
      </c>
      <c r="G804" s="913" t="s">
        <v>1438</v>
      </c>
      <c r="H804" t="s">
        <v>4070</v>
      </c>
    </row>
    <row r="805" spans="2:8">
      <c r="B805" s="871">
        <v>46269</v>
      </c>
      <c r="C805" t="s">
        <v>2473</v>
      </c>
      <c r="D805" t="s">
        <v>1410</v>
      </c>
      <c r="E805" t="s">
        <v>3404</v>
      </c>
      <c r="F805" s="853" t="s">
        <v>528</v>
      </c>
      <c r="G805" s="913" t="s">
        <v>1585</v>
      </c>
      <c r="H805" t="s">
        <v>4071</v>
      </c>
    </row>
    <row r="806" spans="2:8">
      <c r="B806" s="871">
        <v>46269</v>
      </c>
      <c r="C806" t="s">
        <v>2473</v>
      </c>
      <c r="D806" t="s">
        <v>1434</v>
      </c>
      <c r="E806" t="s">
        <v>1439</v>
      </c>
      <c r="F806" s="853" t="s">
        <v>526</v>
      </c>
      <c r="G806" s="913" t="s">
        <v>9408</v>
      </c>
      <c r="H806" t="s">
        <v>4072</v>
      </c>
    </row>
    <row r="807" spans="2:8">
      <c r="B807" s="871">
        <v>46269</v>
      </c>
      <c r="C807" t="s">
        <v>2473</v>
      </c>
      <c r="D807" t="s">
        <v>1434</v>
      </c>
      <c r="E807" t="s">
        <v>1439</v>
      </c>
      <c r="F807" s="853" t="s">
        <v>527</v>
      </c>
      <c r="G807" s="913" t="s">
        <v>9408</v>
      </c>
      <c r="H807" t="s">
        <v>4073</v>
      </c>
    </row>
    <row r="808" spans="2:8">
      <c r="B808" s="871">
        <v>46269</v>
      </c>
      <c r="C808" t="s">
        <v>2473</v>
      </c>
      <c r="D808" t="s">
        <v>1434</v>
      </c>
      <c r="E808" t="s">
        <v>1439</v>
      </c>
      <c r="F808" s="853" t="s">
        <v>528</v>
      </c>
      <c r="G808" s="913" t="s">
        <v>9408</v>
      </c>
      <c r="H808" t="s">
        <v>4074</v>
      </c>
    </row>
    <row r="809" spans="2:8">
      <c r="B809" s="871">
        <v>46269</v>
      </c>
      <c r="C809" t="s">
        <v>2473</v>
      </c>
      <c r="D809" t="s">
        <v>1410</v>
      </c>
      <c r="E809" t="s">
        <v>3411</v>
      </c>
      <c r="F809" s="853" t="s">
        <v>526</v>
      </c>
      <c r="G809" s="913">
        <v>40</v>
      </c>
      <c r="H809" t="s">
        <v>4075</v>
      </c>
    </row>
    <row r="810" spans="2:8">
      <c r="B810" s="871">
        <v>46269</v>
      </c>
      <c r="C810" t="s">
        <v>2473</v>
      </c>
      <c r="D810" t="s">
        <v>1410</v>
      </c>
      <c r="E810" t="s">
        <v>3411</v>
      </c>
      <c r="F810" s="853" t="s">
        <v>527</v>
      </c>
      <c r="G810" s="913">
        <v>97</v>
      </c>
      <c r="H810" t="s">
        <v>4076</v>
      </c>
    </row>
    <row r="811" spans="2:8">
      <c r="B811" s="871">
        <v>46269</v>
      </c>
      <c r="C811" t="s">
        <v>2473</v>
      </c>
      <c r="D811" t="s">
        <v>1410</v>
      </c>
      <c r="E811" t="s">
        <v>3411</v>
      </c>
      <c r="F811" s="853" t="s">
        <v>528</v>
      </c>
      <c r="G811" s="913">
        <v>97</v>
      </c>
      <c r="H811" t="s">
        <v>4077</v>
      </c>
    </row>
    <row r="812" spans="2:8">
      <c r="B812" s="871">
        <v>46269</v>
      </c>
      <c r="C812" t="s">
        <v>2473</v>
      </c>
      <c r="D812" t="s">
        <v>1434</v>
      </c>
      <c r="E812" t="s">
        <v>43</v>
      </c>
      <c r="F812" s="853" t="s">
        <v>526</v>
      </c>
      <c r="G812" s="913" t="s">
        <v>9409</v>
      </c>
      <c r="H812" t="s">
        <v>4078</v>
      </c>
    </row>
    <row r="813" spans="2:8">
      <c r="B813" s="871">
        <v>46269</v>
      </c>
      <c r="C813" t="s">
        <v>2473</v>
      </c>
      <c r="D813" t="s">
        <v>1434</v>
      </c>
      <c r="E813" t="s">
        <v>43</v>
      </c>
      <c r="F813" s="853" t="s">
        <v>527</v>
      </c>
      <c r="G813" s="913" t="s">
        <v>9409</v>
      </c>
      <c r="H813" t="s">
        <v>4079</v>
      </c>
    </row>
    <row r="814" spans="2:8">
      <c r="B814" s="871">
        <v>46269</v>
      </c>
      <c r="C814" t="s">
        <v>2473</v>
      </c>
      <c r="D814" t="s">
        <v>1434</v>
      </c>
      <c r="E814" t="s">
        <v>43</v>
      </c>
      <c r="F814" s="853" t="s">
        <v>528</v>
      </c>
      <c r="G814" s="913" t="s">
        <v>9409</v>
      </c>
      <c r="H814" t="s">
        <v>4080</v>
      </c>
    </row>
    <row r="815" spans="2:8">
      <c r="B815" s="871">
        <v>46269</v>
      </c>
      <c r="C815" t="s">
        <v>2473</v>
      </c>
      <c r="D815" t="s">
        <v>1410</v>
      </c>
      <c r="E815" t="s">
        <v>3418</v>
      </c>
      <c r="F815" s="853" t="s">
        <v>526</v>
      </c>
      <c r="G815" s="913">
        <v>88</v>
      </c>
      <c r="H815" t="s">
        <v>4081</v>
      </c>
    </row>
    <row r="816" spans="2:8">
      <c r="B816" s="871">
        <v>46269</v>
      </c>
      <c r="C816" t="s">
        <v>2473</v>
      </c>
      <c r="D816" t="s">
        <v>1410</v>
      </c>
      <c r="E816" t="s">
        <v>3418</v>
      </c>
      <c r="F816" s="853" t="s">
        <v>527</v>
      </c>
      <c r="G816" s="913">
        <v>72</v>
      </c>
      <c r="H816" t="s">
        <v>4082</v>
      </c>
    </row>
    <row r="817" spans="2:8">
      <c r="B817" s="871">
        <v>46269</v>
      </c>
      <c r="C817" t="s">
        <v>2473</v>
      </c>
      <c r="D817" t="s">
        <v>1410</v>
      </c>
      <c r="E817" t="s">
        <v>3418</v>
      </c>
      <c r="F817" s="853" t="s">
        <v>528</v>
      </c>
      <c r="G817" s="913">
        <v>71</v>
      </c>
      <c r="H817" t="s">
        <v>4083</v>
      </c>
    </row>
    <row r="818" spans="2:8">
      <c r="B818" s="871">
        <v>46269</v>
      </c>
      <c r="C818" t="s">
        <v>2473</v>
      </c>
      <c r="D818" t="s">
        <v>1434</v>
      </c>
      <c r="E818" t="s">
        <v>1441</v>
      </c>
      <c r="F818" s="853" t="s">
        <v>526</v>
      </c>
      <c r="H818" t="s">
        <v>4084</v>
      </c>
    </row>
    <row r="819" spans="2:8">
      <c r="B819" s="871">
        <v>46269</v>
      </c>
      <c r="C819" t="s">
        <v>2473</v>
      </c>
      <c r="D819" t="s">
        <v>1434</v>
      </c>
      <c r="E819" t="s">
        <v>1441</v>
      </c>
      <c r="F819" s="853" t="s">
        <v>527</v>
      </c>
      <c r="H819" t="s">
        <v>4085</v>
      </c>
    </row>
    <row r="820" spans="2:8">
      <c r="B820" s="871">
        <v>46269</v>
      </c>
      <c r="C820" t="s">
        <v>2473</v>
      </c>
      <c r="D820" t="s">
        <v>1434</v>
      </c>
      <c r="E820" t="s">
        <v>1441</v>
      </c>
      <c r="F820" s="853" t="s">
        <v>528</v>
      </c>
      <c r="G820" s="913" t="s">
        <v>9410</v>
      </c>
      <c r="H820" t="s">
        <v>4086</v>
      </c>
    </row>
    <row r="821" spans="2:8">
      <c r="B821" s="871">
        <v>46269</v>
      </c>
      <c r="C821" t="s">
        <v>2473</v>
      </c>
      <c r="D821" t="s">
        <v>1410</v>
      </c>
      <c r="E821" t="s">
        <v>3425</v>
      </c>
      <c r="F821" s="853" t="s">
        <v>526</v>
      </c>
      <c r="G821" s="913" t="s">
        <v>1443</v>
      </c>
      <c r="H821" t="s">
        <v>4087</v>
      </c>
    </row>
    <row r="822" spans="2:8">
      <c r="B822" s="871">
        <v>46269</v>
      </c>
      <c r="C822" t="s">
        <v>2473</v>
      </c>
      <c r="D822" t="s">
        <v>1410</v>
      </c>
      <c r="E822" t="s">
        <v>3425</v>
      </c>
      <c r="F822" s="853" t="s">
        <v>527</v>
      </c>
      <c r="G822" s="913" t="s">
        <v>1443</v>
      </c>
      <c r="H822" t="s">
        <v>4088</v>
      </c>
    </row>
    <row r="823" spans="2:8">
      <c r="B823" s="871">
        <v>46269</v>
      </c>
      <c r="C823" t="s">
        <v>2473</v>
      </c>
      <c r="D823" t="s">
        <v>1410</v>
      </c>
      <c r="E823" t="s">
        <v>3425</v>
      </c>
      <c r="F823" s="853" t="s">
        <v>528</v>
      </c>
      <c r="G823" s="913" t="s">
        <v>1443</v>
      </c>
      <c r="H823" t="s">
        <v>4089</v>
      </c>
    </row>
    <row r="824" spans="2:8">
      <c r="B824" s="871">
        <v>46269</v>
      </c>
      <c r="C824" t="s">
        <v>2473</v>
      </c>
      <c r="D824" t="s">
        <v>1434</v>
      </c>
      <c r="E824" t="s">
        <v>1444</v>
      </c>
      <c r="F824" s="853" t="s">
        <v>526</v>
      </c>
      <c r="H824" t="s">
        <v>4090</v>
      </c>
    </row>
    <row r="825" spans="2:8">
      <c r="B825" s="871">
        <v>46269</v>
      </c>
      <c r="C825" t="s">
        <v>2473</v>
      </c>
      <c r="D825" t="s">
        <v>1434</v>
      </c>
      <c r="E825" t="s">
        <v>1444</v>
      </c>
      <c r="F825" s="853" t="s">
        <v>527</v>
      </c>
      <c r="H825" t="s">
        <v>4091</v>
      </c>
    </row>
    <row r="826" spans="2:8">
      <c r="B826" s="871">
        <v>46269</v>
      </c>
      <c r="C826" t="s">
        <v>2473</v>
      </c>
      <c r="D826" t="s">
        <v>1434</v>
      </c>
      <c r="E826" t="s">
        <v>1444</v>
      </c>
      <c r="F826" s="853" t="s">
        <v>528</v>
      </c>
      <c r="H826" t="s">
        <v>4092</v>
      </c>
    </row>
    <row r="827" spans="2:8">
      <c r="B827" s="871">
        <v>46269</v>
      </c>
      <c r="C827" t="s">
        <v>2473</v>
      </c>
      <c r="D827" t="s">
        <v>1434</v>
      </c>
      <c r="E827" t="s">
        <v>1446</v>
      </c>
      <c r="F827" s="853" t="s">
        <v>526</v>
      </c>
      <c r="G827" s="913">
        <v>24000</v>
      </c>
      <c r="H827" t="s">
        <v>4093</v>
      </c>
    </row>
    <row r="828" spans="2:8">
      <c r="B828" s="871">
        <v>46269</v>
      </c>
      <c r="C828" t="s">
        <v>2473</v>
      </c>
      <c r="D828" t="s">
        <v>1434</v>
      </c>
      <c r="E828" t="s">
        <v>1446</v>
      </c>
      <c r="F828" s="853" t="s">
        <v>527</v>
      </c>
      <c r="H828" t="s">
        <v>4094</v>
      </c>
    </row>
    <row r="829" spans="2:8">
      <c r="B829" s="871">
        <v>46269</v>
      </c>
      <c r="C829" t="s">
        <v>2473</v>
      </c>
      <c r="D829" t="s">
        <v>1434</v>
      </c>
      <c r="E829" t="s">
        <v>1446</v>
      </c>
      <c r="F829" s="853" t="s">
        <v>528</v>
      </c>
      <c r="G829" s="913">
        <v>48000</v>
      </c>
      <c r="H829" t="s">
        <v>4095</v>
      </c>
    </row>
    <row r="830" spans="2:8">
      <c r="B830" s="871">
        <v>46269</v>
      </c>
      <c r="C830" t="s">
        <v>2473</v>
      </c>
      <c r="D830" t="s">
        <v>1410</v>
      </c>
      <c r="E830" t="s">
        <v>3435</v>
      </c>
      <c r="F830" s="853" t="s">
        <v>526</v>
      </c>
      <c r="G830" s="913" t="s">
        <v>1213</v>
      </c>
      <c r="H830" t="s">
        <v>4096</v>
      </c>
    </row>
    <row r="831" spans="2:8">
      <c r="B831" s="871">
        <v>46269</v>
      </c>
      <c r="C831" t="s">
        <v>2473</v>
      </c>
      <c r="D831" t="s">
        <v>1410</v>
      </c>
      <c r="E831" t="s">
        <v>3435</v>
      </c>
      <c r="F831" s="853" t="s">
        <v>527</v>
      </c>
      <c r="G831" s="913" t="s">
        <v>1586</v>
      </c>
      <c r="H831" t="s">
        <v>4097</v>
      </c>
    </row>
    <row r="832" spans="2:8">
      <c r="B832" s="871">
        <v>46269</v>
      </c>
      <c r="C832" t="s">
        <v>2473</v>
      </c>
      <c r="D832" t="s">
        <v>1410</v>
      </c>
      <c r="E832" t="s">
        <v>3435</v>
      </c>
      <c r="F832" s="853" t="s">
        <v>528</v>
      </c>
      <c r="G832" s="913" t="s">
        <v>1586</v>
      </c>
      <c r="H832" t="s">
        <v>4098</v>
      </c>
    </row>
    <row r="833" spans="2:8">
      <c r="B833" s="871">
        <v>46269</v>
      </c>
      <c r="C833" t="s">
        <v>2473</v>
      </c>
      <c r="D833" t="s">
        <v>1434</v>
      </c>
      <c r="E833" t="s">
        <v>3439</v>
      </c>
      <c r="F833" s="853" t="s">
        <v>526</v>
      </c>
      <c r="H833" t="s">
        <v>4099</v>
      </c>
    </row>
    <row r="834" spans="2:8">
      <c r="B834" s="871">
        <v>46269</v>
      </c>
      <c r="C834" t="s">
        <v>2473</v>
      </c>
      <c r="D834" t="s">
        <v>1434</v>
      </c>
      <c r="E834" t="s">
        <v>3439</v>
      </c>
      <c r="F834" s="853" t="s">
        <v>527</v>
      </c>
      <c r="H834" t="s">
        <v>4100</v>
      </c>
    </row>
    <row r="835" spans="2:8">
      <c r="B835" s="871">
        <v>46269</v>
      </c>
      <c r="C835" t="s">
        <v>2473</v>
      </c>
      <c r="D835" t="s">
        <v>1434</v>
      </c>
      <c r="E835" t="s">
        <v>3439</v>
      </c>
      <c r="F835" s="853" t="s">
        <v>528</v>
      </c>
      <c r="H835" t="s">
        <v>4101</v>
      </c>
    </row>
    <row r="836" spans="2:8">
      <c r="B836" s="871">
        <v>46269</v>
      </c>
      <c r="C836" t="s">
        <v>2473</v>
      </c>
      <c r="D836" t="s">
        <v>1410</v>
      </c>
      <c r="E836" t="s">
        <v>3443</v>
      </c>
      <c r="F836" s="853" t="s">
        <v>526</v>
      </c>
      <c r="G836" s="913">
        <v>127</v>
      </c>
      <c r="H836" t="s">
        <v>4102</v>
      </c>
    </row>
    <row r="837" spans="2:8">
      <c r="B837" s="871">
        <v>46269</v>
      </c>
      <c r="C837" t="s">
        <v>2473</v>
      </c>
      <c r="D837" t="s">
        <v>1410</v>
      </c>
      <c r="E837" t="s">
        <v>3443</v>
      </c>
      <c r="F837" s="853" t="s">
        <v>527</v>
      </c>
      <c r="H837" t="s">
        <v>4103</v>
      </c>
    </row>
    <row r="838" spans="2:8">
      <c r="B838" s="871">
        <v>46269</v>
      </c>
      <c r="C838" t="s">
        <v>2473</v>
      </c>
      <c r="D838" t="s">
        <v>1410</v>
      </c>
      <c r="E838" t="s">
        <v>3443</v>
      </c>
      <c r="F838" s="853" t="s">
        <v>528</v>
      </c>
      <c r="H838" t="s">
        <v>4104</v>
      </c>
    </row>
    <row r="839" spans="2:8">
      <c r="B839" s="871">
        <v>46269</v>
      </c>
      <c r="C839" t="s">
        <v>2473</v>
      </c>
      <c r="D839" t="s">
        <v>1434</v>
      </c>
      <c r="E839" t="s">
        <v>3447</v>
      </c>
      <c r="F839" s="853" t="s">
        <v>526</v>
      </c>
      <c r="H839" t="s">
        <v>4105</v>
      </c>
    </row>
    <row r="840" spans="2:8">
      <c r="B840" s="871">
        <v>46269</v>
      </c>
      <c r="C840" t="s">
        <v>2473</v>
      </c>
      <c r="D840" t="s">
        <v>1434</v>
      </c>
      <c r="E840" t="s">
        <v>3447</v>
      </c>
      <c r="F840" s="853" t="s">
        <v>527</v>
      </c>
      <c r="H840" t="s">
        <v>4106</v>
      </c>
    </row>
    <row r="841" spans="2:8">
      <c r="B841" s="871">
        <v>46269</v>
      </c>
      <c r="C841" t="s">
        <v>2473</v>
      </c>
      <c r="D841" t="s">
        <v>1434</v>
      </c>
      <c r="E841" t="s">
        <v>3447</v>
      </c>
      <c r="F841" s="853" t="s">
        <v>528</v>
      </c>
      <c r="H841" t="s">
        <v>4107</v>
      </c>
    </row>
    <row r="842" spans="2:8">
      <c r="B842" s="871">
        <v>46269</v>
      </c>
      <c r="C842" t="s">
        <v>2473</v>
      </c>
      <c r="D842" t="s">
        <v>1410</v>
      </c>
      <c r="E842" t="s">
        <v>3451</v>
      </c>
      <c r="F842" s="853" t="s">
        <v>526</v>
      </c>
      <c r="G842" s="913">
        <v>1410</v>
      </c>
      <c r="H842" t="s">
        <v>4108</v>
      </c>
    </row>
    <row r="843" spans="2:8">
      <c r="B843" s="871">
        <v>46269</v>
      </c>
      <c r="C843" t="s">
        <v>2473</v>
      </c>
      <c r="D843" t="s">
        <v>1410</v>
      </c>
      <c r="E843" t="s">
        <v>3451</v>
      </c>
      <c r="F843" s="853" t="s">
        <v>527</v>
      </c>
      <c r="H843" t="s">
        <v>4109</v>
      </c>
    </row>
    <row r="844" spans="2:8">
      <c r="B844" s="871">
        <v>46269</v>
      </c>
      <c r="C844" t="s">
        <v>2473</v>
      </c>
      <c r="D844" t="s">
        <v>1410</v>
      </c>
      <c r="E844" t="s">
        <v>3451</v>
      </c>
      <c r="F844" s="853" t="s">
        <v>528</v>
      </c>
      <c r="H844" t="s">
        <v>4110</v>
      </c>
    </row>
    <row r="845" spans="2:8">
      <c r="B845" s="871">
        <v>46269</v>
      </c>
      <c r="C845" t="s">
        <v>2473</v>
      </c>
      <c r="D845" t="s">
        <v>1434</v>
      </c>
      <c r="E845" t="s">
        <v>3455</v>
      </c>
      <c r="F845" s="853" t="s">
        <v>526</v>
      </c>
      <c r="H845" t="s">
        <v>4111</v>
      </c>
    </row>
    <row r="846" spans="2:8">
      <c r="B846" s="871">
        <v>46269</v>
      </c>
      <c r="C846" t="s">
        <v>2473</v>
      </c>
      <c r="D846" t="s">
        <v>1434</v>
      </c>
      <c r="E846" t="s">
        <v>3455</v>
      </c>
      <c r="F846" s="853" t="s">
        <v>527</v>
      </c>
      <c r="H846" t="s">
        <v>4112</v>
      </c>
    </row>
    <row r="847" spans="2:8">
      <c r="B847" s="871">
        <v>46269</v>
      </c>
      <c r="C847" t="s">
        <v>2473</v>
      </c>
      <c r="D847" t="s">
        <v>1434</v>
      </c>
      <c r="E847" t="s">
        <v>3455</v>
      </c>
      <c r="F847" s="853" t="s">
        <v>528</v>
      </c>
      <c r="H847" t="s">
        <v>4113</v>
      </c>
    </row>
    <row r="848" spans="2:8">
      <c r="B848" s="871">
        <v>46269</v>
      </c>
      <c r="C848" t="s">
        <v>2473</v>
      </c>
      <c r="D848" t="s">
        <v>1410</v>
      </c>
      <c r="E848" t="s">
        <v>3459</v>
      </c>
      <c r="F848" s="853" t="s">
        <v>526</v>
      </c>
      <c r="G848" s="913">
        <v>31</v>
      </c>
      <c r="H848" t="s">
        <v>4114</v>
      </c>
    </row>
    <row r="849" spans="2:8">
      <c r="B849" s="871">
        <v>46269</v>
      </c>
      <c r="C849" t="s">
        <v>2473</v>
      </c>
      <c r="D849" t="s">
        <v>1410</v>
      </c>
      <c r="E849" t="s">
        <v>3459</v>
      </c>
      <c r="F849" s="853" t="s">
        <v>527</v>
      </c>
      <c r="G849" s="913">
        <v>25</v>
      </c>
      <c r="H849" t="s">
        <v>4115</v>
      </c>
    </row>
    <row r="850" spans="2:8">
      <c r="B850" s="871">
        <v>46269</v>
      </c>
      <c r="C850" t="s">
        <v>2473</v>
      </c>
      <c r="D850" t="s">
        <v>1410</v>
      </c>
      <c r="E850" t="s">
        <v>3459</v>
      </c>
      <c r="F850" s="853" t="s">
        <v>528</v>
      </c>
      <c r="G850" s="913">
        <v>28</v>
      </c>
      <c r="H850" t="s">
        <v>4116</v>
      </c>
    </row>
    <row r="851" spans="2:8">
      <c r="B851" s="871">
        <v>46269</v>
      </c>
      <c r="C851" t="s">
        <v>2473</v>
      </c>
      <c r="D851" t="s">
        <v>1434</v>
      </c>
      <c r="E851" t="s">
        <v>3463</v>
      </c>
      <c r="F851" s="853" t="s">
        <v>526</v>
      </c>
      <c r="H851" t="s">
        <v>4117</v>
      </c>
    </row>
    <row r="852" spans="2:8">
      <c r="B852" s="871">
        <v>46269</v>
      </c>
      <c r="C852" t="s">
        <v>2473</v>
      </c>
      <c r="D852" t="s">
        <v>1434</v>
      </c>
      <c r="E852" t="s">
        <v>3463</v>
      </c>
      <c r="F852" s="853" t="s">
        <v>527</v>
      </c>
      <c r="H852" t="s">
        <v>4118</v>
      </c>
    </row>
    <row r="853" spans="2:8">
      <c r="B853" s="871">
        <v>46269</v>
      </c>
      <c r="C853" t="s">
        <v>2473</v>
      </c>
      <c r="D853" t="s">
        <v>1434</v>
      </c>
      <c r="E853" t="s">
        <v>3463</v>
      </c>
      <c r="F853" s="853" t="s">
        <v>528</v>
      </c>
      <c r="H853" t="s">
        <v>4119</v>
      </c>
    </row>
    <row r="854" spans="2:8">
      <c r="B854" s="871">
        <v>46269</v>
      </c>
      <c r="C854" t="s">
        <v>2473</v>
      </c>
      <c r="D854" t="s">
        <v>1410</v>
      </c>
      <c r="E854" t="s">
        <v>3467</v>
      </c>
      <c r="F854" s="853" t="s">
        <v>526</v>
      </c>
      <c r="G854" s="913">
        <v>31</v>
      </c>
      <c r="H854" t="s">
        <v>4120</v>
      </c>
    </row>
    <row r="855" spans="2:8">
      <c r="B855" s="871">
        <v>46269</v>
      </c>
      <c r="C855" t="s">
        <v>2473</v>
      </c>
      <c r="D855" t="s">
        <v>1410</v>
      </c>
      <c r="E855" t="s">
        <v>3467</v>
      </c>
      <c r="F855" s="853" t="s">
        <v>527</v>
      </c>
      <c r="G855" s="913">
        <v>25</v>
      </c>
      <c r="H855" t="s">
        <v>4121</v>
      </c>
    </row>
    <row r="856" spans="2:8">
      <c r="B856" s="871">
        <v>46269</v>
      </c>
      <c r="C856" t="s">
        <v>2473</v>
      </c>
      <c r="D856" t="s">
        <v>1410</v>
      </c>
      <c r="E856" t="s">
        <v>3467</v>
      </c>
      <c r="F856" s="853" t="s">
        <v>528</v>
      </c>
      <c r="H856" t="s">
        <v>4122</v>
      </c>
    </row>
    <row r="857" spans="2:8">
      <c r="B857" s="871">
        <v>46269</v>
      </c>
      <c r="C857" t="s">
        <v>2473</v>
      </c>
      <c r="D857" t="s">
        <v>1434</v>
      </c>
      <c r="E857" t="s">
        <v>3471</v>
      </c>
      <c r="F857" s="853" t="s">
        <v>526</v>
      </c>
      <c r="H857" t="s">
        <v>4123</v>
      </c>
    </row>
    <row r="858" spans="2:8">
      <c r="B858" s="871">
        <v>46269</v>
      </c>
      <c r="C858" t="s">
        <v>2473</v>
      </c>
      <c r="D858" t="s">
        <v>1434</v>
      </c>
      <c r="E858" t="s">
        <v>3471</v>
      </c>
      <c r="F858" s="853" t="s">
        <v>527</v>
      </c>
      <c r="H858" t="s">
        <v>4124</v>
      </c>
    </row>
    <row r="859" spans="2:8">
      <c r="B859" s="871">
        <v>46269</v>
      </c>
      <c r="C859" t="s">
        <v>2473</v>
      </c>
      <c r="D859" t="s">
        <v>1434</v>
      </c>
      <c r="E859" t="s">
        <v>3471</v>
      </c>
      <c r="F859" s="853" t="s">
        <v>528</v>
      </c>
      <c r="H859" t="s">
        <v>4125</v>
      </c>
    </row>
    <row r="860" spans="2:8">
      <c r="B860" s="871">
        <v>46269</v>
      </c>
      <c r="C860" t="s">
        <v>2473</v>
      </c>
      <c r="D860" t="s">
        <v>1410</v>
      </c>
      <c r="E860" t="s">
        <v>3475</v>
      </c>
      <c r="F860" s="853" t="s">
        <v>526</v>
      </c>
      <c r="G860" s="913">
        <v>17</v>
      </c>
      <c r="H860" t="s">
        <v>4126</v>
      </c>
    </row>
    <row r="861" spans="2:8">
      <c r="B861" s="871">
        <v>46269</v>
      </c>
      <c r="C861" t="s">
        <v>2473</v>
      </c>
      <c r="D861" t="s">
        <v>1410</v>
      </c>
      <c r="E861" t="s">
        <v>3475</v>
      </c>
      <c r="F861" s="853" t="s">
        <v>527</v>
      </c>
      <c r="G861" s="913">
        <v>14</v>
      </c>
      <c r="H861" t="s">
        <v>4127</v>
      </c>
    </row>
    <row r="862" spans="2:8">
      <c r="B862" s="871">
        <v>46269</v>
      </c>
      <c r="C862" t="s">
        <v>2473</v>
      </c>
      <c r="D862" t="s">
        <v>1410</v>
      </c>
      <c r="E862" t="s">
        <v>3475</v>
      </c>
      <c r="F862" s="853" t="s">
        <v>528</v>
      </c>
      <c r="G862" s="913">
        <v>17</v>
      </c>
      <c r="H862" t="s">
        <v>4128</v>
      </c>
    </row>
    <row r="863" spans="2:8">
      <c r="B863" s="871">
        <v>46269</v>
      </c>
      <c r="C863" t="s">
        <v>2473</v>
      </c>
      <c r="D863" t="s">
        <v>1434</v>
      </c>
      <c r="E863" t="s">
        <v>3479</v>
      </c>
      <c r="F863" s="853" t="s">
        <v>526</v>
      </c>
      <c r="H863" t="s">
        <v>4129</v>
      </c>
    </row>
    <row r="864" spans="2:8">
      <c r="B864" s="871">
        <v>46269</v>
      </c>
      <c r="C864" t="s">
        <v>2473</v>
      </c>
      <c r="D864" t="s">
        <v>1434</v>
      </c>
      <c r="E864" t="s">
        <v>3479</v>
      </c>
      <c r="F864" s="853" t="s">
        <v>527</v>
      </c>
      <c r="H864" t="s">
        <v>4130</v>
      </c>
    </row>
    <row r="865" spans="2:8">
      <c r="B865" s="871">
        <v>46269</v>
      </c>
      <c r="C865" t="s">
        <v>2473</v>
      </c>
      <c r="D865" t="s">
        <v>1434</v>
      </c>
      <c r="E865" t="s">
        <v>3479</v>
      </c>
      <c r="F865" s="853" t="s">
        <v>528</v>
      </c>
      <c r="H865" t="s">
        <v>4131</v>
      </c>
    </row>
    <row r="866" spans="2:8">
      <c r="B866" s="871">
        <v>46269</v>
      </c>
      <c r="C866" t="s">
        <v>2473</v>
      </c>
      <c r="D866" t="s">
        <v>1410</v>
      </c>
      <c r="E866" t="s">
        <v>3483</v>
      </c>
      <c r="F866" s="853" t="s">
        <v>526</v>
      </c>
      <c r="G866" s="913">
        <v>5</v>
      </c>
      <c r="H866" t="s">
        <v>4132</v>
      </c>
    </row>
    <row r="867" spans="2:8">
      <c r="B867" s="871">
        <v>46269</v>
      </c>
      <c r="C867" t="s">
        <v>2473</v>
      </c>
      <c r="D867" t="s">
        <v>1410</v>
      </c>
      <c r="E867" t="s">
        <v>3483</v>
      </c>
      <c r="F867" s="853" t="s">
        <v>527</v>
      </c>
      <c r="G867" s="913">
        <v>5</v>
      </c>
      <c r="H867" t="s">
        <v>4133</v>
      </c>
    </row>
    <row r="868" spans="2:8">
      <c r="B868" s="871">
        <v>46269</v>
      </c>
      <c r="C868" t="s">
        <v>2473</v>
      </c>
      <c r="D868" t="s">
        <v>1410</v>
      </c>
      <c r="E868" t="s">
        <v>3483</v>
      </c>
      <c r="F868" s="853" t="s">
        <v>528</v>
      </c>
      <c r="G868" s="913">
        <v>5</v>
      </c>
      <c r="H868" t="s">
        <v>4134</v>
      </c>
    </row>
    <row r="869" spans="2:8">
      <c r="B869" s="871">
        <v>46270</v>
      </c>
      <c r="C869" t="s">
        <v>2474</v>
      </c>
      <c r="D869" t="s">
        <v>1375</v>
      </c>
      <c r="E869" t="s">
        <v>1377</v>
      </c>
      <c r="F869" s="853" t="s">
        <v>526</v>
      </c>
      <c r="G869" s="913" t="s">
        <v>1622</v>
      </c>
      <c r="H869" t="s">
        <v>4135</v>
      </c>
    </row>
    <row r="870" spans="2:8">
      <c r="B870" s="871">
        <v>46270</v>
      </c>
      <c r="C870" t="s">
        <v>2474</v>
      </c>
      <c r="D870" t="s">
        <v>1375</v>
      </c>
      <c r="E870" t="s">
        <v>1377</v>
      </c>
      <c r="F870" s="853" t="s">
        <v>527</v>
      </c>
      <c r="G870" s="913" t="s">
        <v>1622</v>
      </c>
      <c r="H870" t="s">
        <v>4136</v>
      </c>
    </row>
    <row r="871" spans="2:8">
      <c r="B871" s="871">
        <v>46270</v>
      </c>
      <c r="C871" t="s">
        <v>2474</v>
      </c>
      <c r="D871" t="s">
        <v>1375</v>
      </c>
      <c r="E871" t="s">
        <v>1377</v>
      </c>
      <c r="F871" s="853" t="s">
        <v>528</v>
      </c>
      <c r="G871" s="913" t="s">
        <v>1622</v>
      </c>
      <c r="H871" t="s">
        <v>4137</v>
      </c>
    </row>
    <row r="872" spans="2:8">
      <c r="B872" s="871">
        <v>46270</v>
      </c>
      <c r="C872" t="s">
        <v>2474</v>
      </c>
      <c r="D872" t="s">
        <v>1376</v>
      </c>
      <c r="E872" t="s">
        <v>1379</v>
      </c>
      <c r="F872" s="853" t="s">
        <v>526</v>
      </c>
      <c r="H872" t="s">
        <v>4138</v>
      </c>
    </row>
    <row r="873" spans="2:8">
      <c r="B873" s="871">
        <v>46270</v>
      </c>
      <c r="C873" t="s">
        <v>2474</v>
      </c>
      <c r="D873" t="s">
        <v>1376</v>
      </c>
      <c r="E873" t="s">
        <v>1379</v>
      </c>
      <c r="F873" s="853" t="s">
        <v>527</v>
      </c>
      <c r="H873" t="s">
        <v>4139</v>
      </c>
    </row>
    <row r="874" spans="2:8">
      <c r="B874" s="871">
        <v>46270</v>
      </c>
      <c r="C874" t="s">
        <v>2474</v>
      </c>
      <c r="D874" t="s">
        <v>1376</v>
      </c>
      <c r="E874" t="s">
        <v>1379</v>
      </c>
      <c r="F874" s="853" t="s">
        <v>528</v>
      </c>
      <c r="H874" t="s">
        <v>4140</v>
      </c>
    </row>
    <row r="875" spans="2:8">
      <c r="B875" s="871">
        <v>46270</v>
      </c>
      <c r="C875" t="s">
        <v>2474</v>
      </c>
      <c r="D875" t="s">
        <v>1375</v>
      </c>
      <c r="E875" t="s">
        <v>1380</v>
      </c>
      <c r="F875" s="853" t="s">
        <v>526</v>
      </c>
      <c r="G875" s="913" t="s">
        <v>1623</v>
      </c>
      <c r="H875" t="s">
        <v>4141</v>
      </c>
    </row>
    <row r="876" spans="2:8">
      <c r="B876" s="871">
        <v>46270</v>
      </c>
      <c r="C876" t="s">
        <v>2474</v>
      </c>
      <c r="D876" t="s">
        <v>1375</v>
      </c>
      <c r="E876" t="s">
        <v>1380</v>
      </c>
      <c r="F876" s="853" t="s">
        <v>527</v>
      </c>
      <c r="G876" s="913" t="s">
        <v>1624</v>
      </c>
      <c r="H876" t="s">
        <v>4142</v>
      </c>
    </row>
    <row r="877" spans="2:8">
      <c r="B877" s="871">
        <v>46270</v>
      </c>
      <c r="C877" t="s">
        <v>2474</v>
      </c>
      <c r="D877" t="s">
        <v>1375</v>
      </c>
      <c r="E877" t="s">
        <v>1380</v>
      </c>
      <c r="F877" s="853" t="s">
        <v>528</v>
      </c>
      <c r="G877" s="913" t="s">
        <v>1624</v>
      </c>
      <c r="H877" t="s">
        <v>4143</v>
      </c>
    </row>
    <row r="878" spans="2:8">
      <c r="B878" s="871">
        <v>46270</v>
      </c>
      <c r="C878" t="s">
        <v>2474</v>
      </c>
      <c r="D878" t="s">
        <v>1376</v>
      </c>
      <c r="E878" t="s">
        <v>1383</v>
      </c>
      <c r="F878" s="853" t="s">
        <v>526</v>
      </c>
      <c r="G878" s="913">
        <v>0</v>
      </c>
      <c r="H878" t="s">
        <v>4144</v>
      </c>
    </row>
    <row r="879" spans="2:8">
      <c r="B879" s="871">
        <v>46270</v>
      </c>
      <c r="C879" t="s">
        <v>2474</v>
      </c>
      <c r="D879" t="s">
        <v>1376</v>
      </c>
      <c r="E879" t="s">
        <v>1383</v>
      </c>
      <c r="F879" s="853" t="s">
        <v>527</v>
      </c>
      <c r="G879" s="913">
        <v>0</v>
      </c>
      <c r="H879" t="s">
        <v>4145</v>
      </c>
    </row>
    <row r="880" spans="2:8">
      <c r="B880" s="871">
        <v>46270</v>
      </c>
      <c r="C880" t="s">
        <v>2474</v>
      </c>
      <c r="D880" t="s">
        <v>1376</v>
      </c>
      <c r="E880" t="s">
        <v>1383</v>
      </c>
      <c r="F880" s="853" t="s">
        <v>528</v>
      </c>
      <c r="G880" s="913">
        <v>0</v>
      </c>
      <c r="H880" t="s">
        <v>4146</v>
      </c>
    </row>
    <row r="881" spans="2:8">
      <c r="B881" s="871">
        <v>46270</v>
      </c>
      <c r="C881" t="s">
        <v>2474</v>
      </c>
      <c r="D881" t="s">
        <v>1375</v>
      </c>
      <c r="E881" t="s">
        <v>54</v>
      </c>
      <c r="F881" s="853" t="s">
        <v>526</v>
      </c>
      <c r="H881" t="s">
        <v>4147</v>
      </c>
    </row>
    <row r="882" spans="2:8">
      <c r="B882" s="871">
        <v>46270</v>
      </c>
      <c r="C882" t="s">
        <v>2474</v>
      </c>
      <c r="D882" t="s">
        <v>1375</v>
      </c>
      <c r="E882" t="s">
        <v>54</v>
      </c>
      <c r="F882" s="853" t="s">
        <v>527</v>
      </c>
      <c r="H882" t="s">
        <v>4148</v>
      </c>
    </row>
    <row r="883" spans="2:8">
      <c r="B883" s="871">
        <v>46270</v>
      </c>
      <c r="C883" t="s">
        <v>2474</v>
      </c>
      <c r="D883" t="s">
        <v>1375</v>
      </c>
      <c r="E883" t="s">
        <v>54</v>
      </c>
      <c r="F883" s="853" t="s">
        <v>528</v>
      </c>
      <c r="H883" t="s">
        <v>4149</v>
      </c>
    </row>
    <row r="884" spans="2:8">
      <c r="B884" s="871">
        <v>46270</v>
      </c>
      <c r="C884" t="s">
        <v>2474</v>
      </c>
      <c r="D884" t="s">
        <v>1376</v>
      </c>
      <c r="E884" t="s">
        <v>1384</v>
      </c>
      <c r="F884" s="853" t="s">
        <v>526</v>
      </c>
      <c r="G884" s="913">
        <v>0.64</v>
      </c>
      <c r="H884" t="s">
        <v>4150</v>
      </c>
    </row>
    <row r="885" spans="2:8">
      <c r="B885" s="871">
        <v>46270</v>
      </c>
      <c r="C885" t="s">
        <v>2474</v>
      </c>
      <c r="D885" t="s">
        <v>1376</v>
      </c>
      <c r="E885" t="s">
        <v>1384</v>
      </c>
      <c r="F885" s="853" t="s">
        <v>527</v>
      </c>
      <c r="G885" s="913">
        <v>0.46</v>
      </c>
      <c r="H885" t="s">
        <v>4151</v>
      </c>
    </row>
    <row r="886" spans="2:8">
      <c r="B886" s="871">
        <v>46270</v>
      </c>
      <c r="C886" t="s">
        <v>2474</v>
      </c>
      <c r="D886" t="s">
        <v>1376</v>
      </c>
      <c r="E886" t="s">
        <v>1384</v>
      </c>
      <c r="F886" s="853" t="s">
        <v>528</v>
      </c>
      <c r="G886" s="913">
        <v>0.4</v>
      </c>
      <c r="H886" t="s">
        <v>4152</v>
      </c>
    </row>
    <row r="887" spans="2:8">
      <c r="B887" s="871">
        <v>46270</v>
      </c>
      <c r="C887" t="s">
        <v>2474</v>
      </c>
      <c r="D887" t="s">
        <v>1375</v>
      </c>
      <c r="E887" t="s">
        <v>1385</v>
      </c>
      <c r="F887" s="853" t="s">
        <v>526</v>
      </c>
      <c r="G887" s="913">
        <v>980</v>
      </c>
      <c r="H887" t="s">
        <v>4153</v>
      </c>
    </row>
    <row r="888" spans="2:8">
      <c r="B888" s="871">
        <v>46270</v>
      </c>
      <c r="C888" t="s">
        <v>2474</v>
      </c>
      <c r="D888" t="s">
        <v>1375</v>
      </c>
      <c r="E888" t="s">
        <v>1385</v>
      </c>
      <c r="F888" s="853" t="s">
        <v>527</v>
      </c>
      <c r="G888" s="913">
        <v>1230</v>
      </c>
      <c r="H888" t="s">
        <v>4154</v>
      </c>
    </row>
    <row r="889" spans="2:8">
      <c r="B889" s="871">
        <v>46270</v>
      </c>
      <c r="C889" t="s">
        <v>2474</v>
      </c>
      <c r="D889" t="s">
        <v>1375</v>
      </c>
      <c r="E889" t="s">
        <v>1385</v>
      </c>
      <c r="F889" s="853" t="s">
        <v>528</v>
      </c>
      <c r="G889" s="913">
        <v>3411</v>
      </c>
      <c r="H889" t="s">
        <v>4155</v>
      </c>
    </row>
    <row r="890" spans="2:8">
      <c r="B890" s="871">
        <v>46270</v>
      </c>
      <c r="C890" t="s">
        <v>2474</v>
      </c>
      <c r="D890" t="s">
        <v>1376</v>
      </c>
      <c r="E890" t="s">
        <v>1386</v>
      </c>
      <c r="F890" s="853" t="s">
        <v>526</v>
      </c>
      <c r="G890" s="913">
        <v>0.5</v>
      </c>
      <c r="H890" t="s">
        <v>4156</v>
      </c>
    </row>
    <row r="891" spans="2:8">
      <c r="B891" s="871">
        <v>46270</v>
      </c>
      <c r="C891" t="s">
        <v>2474</v>
      </c>
      <c r="D891" t="s">
        <v>1376</v>
      </c>
      <c r="E891" t="s">
        <v>1386</v>
      </c>
      <c r="F891" s="853" t="s">
        <v>527</v>
      </c>
      <c r="G891" s="913">
        <v>0.38</v>
      </c>
      <c r="H891" t="s">
        <v>4157</v>
      </c>
    </row>
    <row r="892" spans="2:8">
      <c r="B892" s="871">
        <v>46270</v>
      </c>
      <c r="C892" t="s">
        <v>2474</v>
      </c>
      <c r="D892" t="s">
        <v>1376</v>
      </c>
      <c r="E892" t="s">
        <v>1386</v>
      </c>
      <c r="F892" s="853" t="s">
        <v>528</v>
      </c>
      <c r="G892" s="913">
        <v>0.5</v>
      </c>
      <c r="H892" t="s">
        <v>4158</v>
      </c>
    </row>
    <row r="893" spans="2:8">
      <c r="B893" s="871">
        <v>46270</v>
      </c>
      <c r="C893" t="s">
        <v>2474</v>
      </c>
      <c r="D893" t="s">
        <v>1376</v>
      </c>
      <c r="E893" t="s">
        <v>1387</v>
      </c>
      <c r="F893" s="853" t="s">
        <v>526</v>
      </c>
      <c r="G893" s="913">
        <v>8.1999999999999993</v>
      </c>
      <c r="H893" t="s">
        <v>4159</v>
      </c>
    </row>
    <row r="894" spans="2:8">
      <c r="B894" s="871">
        <v>46270</v>
      </c>
      <c r="C894" t="s">
        <v>2474</v>
      </c>
      <c r="D894" t="s">
        <v>1376</v>
      </c>
      <c r="E894" t="s">
        <v>1387</v>
      </c>
      <c r="F894" s="853" t="s">
        <v>527</v>
      </c>
      <c r="G894" s="913">
        <v>8.3000000000000007</v>
      </c>
      <c r="H894" t="s">
        <v>4160</v>
      </c>
    </row>
    <row r="895" spans="2:8">
      <c r="B895" s="871">
        <v>46270</v>
      </c>
      <c r="C895" t="s">
        <v>2474</v>
      </c>
      <c r="D895" t="s">
        <v>1376</v>
      </c>
      <c r="E895" t="s">
        <v>1387</v>
      </c>
      <c r="F895" s="853" t="s">
        <v>528</v>
      </c>
      <c r="H895" t="s">
        <v>4161</v>
      </c>
    </row>
    <row r="896" spans="2:8">
      <c r="B896" s="871">
        <v>46270</v>
      </c>
      <c r="C896" t="s">
        <v>2474</v>
      </c>
      <c r="D896" t="s">
        <v>1375</v>
      </c>
      <c r="E896" t="s">
        <v>1388</v>
      </c>
      <c r="F896" s="853" t="s">
        <v>526</v>
      </c>
      <c r="H896" t="s">
        <v>4162</v>
      </c>
    </row>
    <row r="897" spans="2:8">
      <c r="B897" s="871">
        <v>46270</v>
      </c>
      <c r="C897" t="s">
        <v>2474</v>
      </c>
      <c r="D897" t="s">
        <v>1375</v>
      </c>
      <c r="E897" t="s">
        <v>1388</v>
      </c>
      <c r="F897" s="853" t="s">
        <v>527</v>
      </c>
      <c r="H897" t="s">
        <v>4163</v>
      </c>
    </row>
    <row r="898" spans="2:8">
      <c r="B898" s="871">
        <v>46270</v>
      </c>
      <c r="C898" t="s">
        <v>2474</v>
      </c>
      <c r="D898" t="s">
        <v>1375</v>
      </c>
      <c r="E898" t="s">
        <v>1388</v>
      </c>
      <c r="F898" s="853" t="s">
        <v>528</v>
      </c>
      <c r="H898" t="s">
        <v>4164</v>
      </c>
    </row>
    <row r="899" spans="2:8">
      <c r="B899" s="871">
        <v>46270</v>
      </c>
      <c r="C899" t="s">
        <v>2474</v>
      </c>
      <c r="D899" t="s">
        <v>1376</v>
      </c>
      <c r="E899" t="s">
        <v>1389</v>
      </c>
      <c r="F899" s="853" t="s">
        <v>526</v>
      </c>
      <c r="G899" s="913">
        <v>62.8</v>
      </c>
      <c r="H899" t="s">
        <v>4165</v>
      </c>
    </row>
    <row r="900" spans="2:8">
      <c r="B900" s="871">
        <v>46270</v>
      </c>
      <c r="C900" t="s">
        <v>2474</v>
      </c>
      <c r="D900" t="s">
        <v>1376</v>
      </c>
      <c r="E900" t="s">
        <v>1389</v>
      </c>
      <c r="F900" s="853" t="s">
        <v>527</v>
      </c>
      <c r="G900" s="913">
        <v>64</v>
      </c>
      <c r="H900" t="s">
        <v>4166</v>
      </c>
    </row>
    <row r="901" spans="2:8">
      <c r="B901" s="871">
        <v>46270</v>
      </c>
      <c r="C901" t="s">
        <v>2474</v>
      </c>
      <c r="D901" t="s">
        <v>1376</v>
      </c>
      <c r="E901" t="s">
        <v>1389</v>
      </c>
      <c r="F901" s="853" t="s">
        <v>528</v>
      </c>
      <c r="H901" t="s">
        <v>4167</v>
      </c>
    </row>
    <row r="902" spans="2:8">
      <c r="B902" s="871">
        <v>46270</v>
      </c>
      <c r="C902" t="s">
        <v>2474</v>
      </c>
      <c r="D902" t="s">
        <v>1375</v>
      </c>
      <c r="E902" t="s">
        <v>3266</v>
      </c>
      <c r="F902" s="853" t="s">
        <v>526</v>
      </c>
      <c r="G902" s="913">
        <v>2</v>
      </c>
      <c r="H902" t="s">
        <v>4168</v>
      </c>
    </row>
    <row r="903" spans="2:8">
      <c r="B903" s="871">
        <v>46270</v>
      </c>
      <c r="C903" t="s">
        <v>2474</v>
      </c>
      <c r="D903" t="s">
        <v>1375</v>
      </c>
      <c r="E903" t="s">
        <v>3266</v>
      </c>
      <c r="F903" s="853" t="s">
        <v>527</v>
      </c>
      <c r="G903" s="913">
        <v>1</v>
      </c>
      <c r="H903" t="s">
        <v>4169</v>
      </c>
    </row>
    <row r="904" spans="2:8">
      <c r="B904" s="871">
        <v>46270</v>
      </c>
      <c r="C904" t="s">
        <v>2474</v>
      </c>
      <c r="D904" t="s">
        <v>1375</v>
      </c>
      <c r="E904" t="s">
        <v>3266</v>
      </c>
      <c r="F904" s="853" t="s">
        <v>528</v>
      </c>
      <c r="G904" s="913">
        <v>3</v>
      </c>
      <c r="H904" t="s">
        <v>4170</v>
      </c>
    </row>
    <row r="905" spans="2:8">
      <c r="B905" s="871">
        <v>46270</v>
      </c>
      <c r="C905" t="s">
        <v>2474</v>
      </c>
      <c r="D905" t="s">
        <v>1376</v>
      </c>
      <c r="E905" t="s">
        <v>1390</v>
      </c>
      <c r="F905" s="853" t="s">
        <v>526</v>
      </c>
      <c r="G905" s="913">
        <v>1.74E-3</v>
      </c>
      <c r="H905" t="s">
        <v>4171</v>
      </c>
    </row>
    <row r="906" spans="2:8">
      <c r="B906" s="871">
        <v>46270</v>
      </c>
      <c r="C906" t="s">
        <v>2474</v>
      </c>
      <c r="D906" t="s">
        <v>1376</v>
      </c>
      <c r="E906" t="s">
        <v>1390</v>
      </c>
      <c r="F906" s="853" t="s">
        <v>527</v>
      </c>
      <c r="G906" s="913">
        <v>1.5399999999999999E-3</v>
      </c>
      <c r="H906" t="s">
        <v>4172</v>
      </c>
    </row>
    <row r="907" spans="2:8">
      <c r="B907" s="871">
        <v>46270</v>
      </c>
      <c r="C907" t="s">
        <v>2474</v>
      </c>
      <c r="D907" t="s">
        <v>1376</v>
      </c>
      <c r="E907" t="s">
        <v>1390</v>
      </c>
      <c r="F907" s="853" t="s">
        <v>528</v>
      </c>
      <c r="H907" t="s">
        <v>4173</v>
      </c>
    </row>
    <row r="908" spans="2:8">
      <c r="B908" s="871">
        <v>46270</v>
      </c>
      <c r="C908" t="s">
        <v>2474</v>
      </c>
      <c r="D908" t="s">
        <v>1375</v>
      </c>
      <c r="E908" t="s">
        <v>3273</v>
      </c>
      <c r="F908" s="853" t="s">
        <v>526</v>
      </c>
      <c r="G908" s="913">
        <v>4</v>
      </c>
      <c r="H908" t="s">
        <v>4174</v>
      </c>
    </row>
    <row r="909" spans="2:8">
      <c r="B909" s="871">
        <v>46270</v>
      </c>
      <c r="C909" t="s">
        <v>2474</v>
      </c>
      <c r="D909" t="s">
        <v>1375</v>
      </c>
      <c r="E909" t="s">
        <v>3273</v>
      </c>
      <c r="F909" s="853" t="s">
        <v>527</v>
      </c>
      <c r="G909" s="913">
        <v>1</v>
      </c>
      <c r="H909" t="s">
        <v>4175</v>
      </c>
    </row>
    <row r="910" spans="2:8">
      <c r="B910" s="871">
        <v>46270</v>
      </c>
      <c r="C910" t="s">
        <v>2474</v>
      </c>
      <c r="D910" t="s">
        <v>1375</v>
      </c>
      <c r="E910" t="s">
        <v>3273</v>
      </c>
      <c r="F910" s="853" t="s">
        <v>528</v>
      </c>
      <c r="G910" s="913">
        <v>3</v>
      </c>
      <c r="H910" t="s">
        <v>4176</v>
      </c>
    </row>
    <row r="911" spans="2:8">
      <c r="B911" s="871">
        <v>46270</v>
      </c>
      <c r="C911" t="s">
        <v>2474</v>
      </c>
      <c r="D911" t="s">
        <v>1376</v>
      </c>
      <c r="E911" t="s">
        <v>1391</v>
      </c>
      <c r="F911" s="853" t="s">
        <v>526</v>
      </c>
      <c r="H911" t="s">
        <v>4177</v>
      </c>
    </row>
    <row r="912" spans="2:8">
      <c r="B912" s="871">
        <v>46270</v>
      </c>
      <c r="C912" t="s">
        <v>2474</v>
      </c>
      <c r="D912" t="s">
        <v>1376</v>
      </c>
      <c r="E912" t="s">
        <v>1391</v>
      </c>
      <c r="F912" s="853" t="s">
        <v>527</v>
      </c>
      <c r="H912" t="s">
        <v>4178</v>
      </c>
    </row>
    <row r="913" spans="2:8">
      <c r="B913" s="871">
        <v>46270</v>
      </c>
      <c r="C913" t="s">
        <v>2474</v>
      </c>
      <c r="D913" t="s">
        <v>1376</v>
      </c>
      <c r="E913" t="s">
        <v>1391</v>
      </c>
      <c r="F913" s="853" t="s">
        <v>528</v>
      </c>
      <c r="G913" s="913">
        <v>7279</v>
      </c>
      <c r="H913" t="s">
        <v>4179</v>
      </c>
    </row>
    <row r="914" spans="2:8">
      <c r="B914" s="871">
        <v>46270</v>
      </c>
      <c r="C914" t="s">
        <v>2474</v>
      </c>
      <c r="D914" t="s">
        <v>1375</v>
      </c>
      <c r="E914" t="s">
        <v>3280</v>
      </c>
      <c r="F914" s="853" t="s">
        <v>526</v>
      </c>
      <c r="G914" s="913">
        <v>4</v>
      </c>
      <c r="H914" t="s">
        <v>4180</v>
      </c>
    </row>
    <row r="915" spans="2:8">
      <c r="B915" s="871">
        <v>46270</v>
      </c>
      <c r="C915" t="s">
        <v>2474</v>
      </c>
      <c r="D915" t="s">
        <v>1375</v>
      </c>
      <c r="E915" t="s">
        <v>3280</v>
      </c>
      <c r="F915" s="853" t="s">
        <v>527</v>
      </c>
      <c r="G915" s="913">
        <v>1</v>
      </c>
      <c r="H915" t="s">
        <v>4181</v>
      </c>
    </row>
    <row r="916" spans="2:8">
      <c r="B916" s="871">
        <v>46270</v>
      </c>
      <c r="C916" t="s">
        <v>2474</v>
      </c>
      <c r="D916" t="s">
        <v>1375</v>
      </c>
      <c r="E916" t="s">
        <v>3280</v>
      </c>
      <c r="F916" s="853" t="s">
        <v>528</v>
      </c>
      <c r="G916" s="913">
        <v>1</v>
      </c>
      <c r="H916" t="s">
        <v>4182</v>
      </c>
    </row>
    <row r="917" spans="2:8">
      <c r="B917" s="871">
        <v>46270</v>
      </c>
      <c r="C917" t="s">
        <v>2474</v>
      </c>
      <c r="D917" t="s">
        <v>1376</v>
      </c>
      <c r="E917" t="s">
        <v>1392</v>
      </c>
      <c r="F917" s="853" t="s">
        <v>526</v>
      </c>
      <c r="G917" s="913">
        <v>7279</v>
      </c>
      <c r="H917" t="s">
        <v>4183</v>
      </c>
    </row>
    <row r="918" spans="2:8">
      <c r="B918" s="871">
        <v>46270</v>
      </c>
      <c r="C918" t="s">
        <v>2474</v>
      </c>
      <c r="D918" t="s">
        <v>1376</v>
      </c>
      <c r="E918" t="s">
        <v>1392</v>
      </c>
      <c r="F918" s="853" t="s">
        <v>527</v>
      </c>
      <c r="H918" t="s">
        <v>4184</v>
      </c>
    </row>
    <row r="919" spans="2:8">
      <c r="B919" s="871">
        <v>46270</v>
      </c>
      <c r="C919" t="s">
        <v>2474</v>
      </c>
      <c r="D919" t="s">
        <v>1376</v>
      </c>
      <c r="E919" t="s">
        <v>1392</v>
      </c>
      <c r="F919" s="853" t="s">
        <v>528</v>
      </c>
      <c r="H919" t="s">
        <v>4185</v>
      </c>
    </row>
    <row r="920" spans="2:8">
      <c r="B920" s="871">
        <v>46270</v>
      </c>
      <c r="C920" t="s">
        <v>2474</v>
      </c>
      <c r="D920" t="s">
        <v>1375</v>
      </c>
      <c r="E920" t="s">
        <v>3287</v>
      </c>
      <c r="F920" s="853" t="s">
        <v>526</v>
      </c>
      <c r="G920" s="913">
        <v>3</v>
      </c>
      <c r="H920" t="s">
        <v>4186</v>
      </c>
    </row>
    <row r="921" spans="2:8">
      <c r="B921" s="871">
        <v>46270</v>
      </c>
      <c r="C921" t="s">
        <v>2474</v>
      </c>
      <c r="D921" t="s">
        <v>1375</v>
      </c>
      <c r="E921" t="s">
        <v>3287</v>
      </c>
      <c r="F921" s="853" t="s">
        <v>527</v>
      </c>
      <c r="G921" s="913">
        <v>1</v>
      </c>
      <c r="H921" t="s">
        <v>4187</v>
      </c>
    </row>
    <row r="922" spans="2:8">
      <c r="B922" s="871">
        <v>46270</v>
      </c>
      <c r="C922" t="s">
        <v>2474</v>
      </c>
      <c r="D922" t="s">
        <v>1375</v>
      </c>
      <c r="E922" t="s">
        <v>3287</v>
      </c>
      <c r="F922" s="853" t="s">
        <v>528</v>
      </c>
      <c r="G922" s="913">
        <v>1</v>
      </c>
      <c r="H922" t="s">
        <v>4188</v>
      </c>
    </row>
    <row r="923" spans="2:8">
      <c r="B923" s="871">
        <v>46270</v>
      </c>
      <c r="C923" t="s">
        <v>2474</v>
      </c>
      <c r="D923" t="s">
        <v>1375</v>
      </c>
      <c r="E923" t="s">
        <v>3291</v>
      </c>
      <c r="F923" s="853" t="s">
        <v>526</v>
      </c>
      <c r="G923" s="913">
        <v>2</v>
      </c>
      <c r="H923" t="s">
        <v>4189</v>
      </c>
    </row>
    <row r="924" spans="2:8">
      <c r="B924" s="871">
        <v>46270</v>
      </c>
      <c r="C924" t="s">
        <v>2474</v>
      </c>
      <c r="D924" t="s">
        <v>1375</v>
      </c>
      <c r="E924" t="s">
        <v>3291</v>
      </c>
      <c r="F924" s="853" t="s">
        <v>527</v>
      </c>
      <c r="G924" s="913">
        <v>1</v>
      </c>
      <c r="H924" t="s">
        <v>4190</v>
      </c>
    </row>
    <row r="925" spans="2:8">
      <c r="B925" s="871">
        <v>46270</v>
      </c>
      <c r="C925" t="s">
        <v>2474</v>
      </c>
      <c r="D925" t="s">
        <v>1375</v>
      </c>
      <c r="E925" t="s">
        <v>3291</v>
      </c>
      <c r="F925" s="853" t="s">
        <v>528</v>
      </c>
      <c r="G925" s="913">
        <v>1</v>
      </c>
      <c r="H925" t="s">
        <v>4191</v>
      </c>
    </row>
    <row r="926" spans="2:8">
      <c r="B926" s="871">
        <v>46270</v>
      </c>
      <c r="C926" t="s">
        <v>2474</v>
      </c>
      <c r="D926" t="s">
        <v>1393</v>
      </c>
      <c r="E926" t="s">
        <v>1394</v>
      </c>
      <c r="F926" s="853" t="s">
        <v>526</v>
      </c>
      <c r="G926" s="913" t="s">
        <v>1625</v>
      </c>
      <c r="H926" t="s">
        <v>4192</v>
      </c>
    </row>
    <row r="927" spans="2:8">
      <c r="B927" s="871">
        <v>46270</v>
      </c>
      <c r="C927" t="s">
        <v>2474</v>
      </c>
      <c r="D927" t="s">
        <v>1393</v>
      </c>
      <c r="E927" t="s">
        <v>1394</v>
      </c>
      <c r="F927" s="853" t="s">
        <v>527</v>
      </c>
      <c r="G927" s="913" t="s">
        <v>1396</v>
      </c>
      <c r="H927" t="s">
        <v>4193</v>
      </c>
    </row>
    <row r="928" spans="2:8">
      <c r="B928" s="871">
        <v>46270</v>
      </c>
      <c r="C928" t="s">
        <v>2474</v>
      </c>
      <c r="D928" t="s">
        <v>1393</v>
      </c>
      <c r="E928" t="s">
        <v>1394</v>
      </c>
      <c r="F928" s="853" t="s">
        <v>528</v>
      </c>
      <c r="G928" s="913" t="s">
        <v>1626</v>
      </c>
      <c r="H928" t="s">
        <v>4194</v>
      </c>
    </row>
    <row r="929" spans="2:8">
      <c r="B929" s="871">
        <v>46270</v>
      </c>
      <c r="C929" t="s">
        <v>2474</v>
      </c>
      <c r="D929" t="s">
        <v>1375</v>
      </c>
      <c r="E929" t="s">
        <v>3298</v>
      </c>
      <c r="F929" s="853" t="s">
        <v>526</v>
      </c>
      <c r="G929" s="913">
        <v>4</v>
      </c>
      <c r="H929" t="s">
        <v>4195</v>
      </c>
    </row>
    <row r="930" spans="2:8">
      <c r="B930" s="871">
        <v>46270</v>
      </c>
      <c r="C930" t="s">
        <v>2474</v>
      </c>
      <c r="D930" t="s">
        <v>1375</v>
      </c>
      <c r="E930" t="s">
        <v>3298</v>
      </c>
      <c r="F930" s="853" t="s">
        <v>527</v>
      </c>
      <c r="G930" s="913">
        <v>1</v>
      </c>
      <c r="H930" t="s">
        <v>4196</v>
      </c>
    </row>
    <row r="931" spans="2:8">
      <c r="B931" s="871">
        <v>46270</v>
      </c>
      <c r="C931" t="s">
        <v>2474</v>
      </c>
      <c r="D931" t="s">
        <v>1375</v>
      </c>
      <c r="E931" t="s">
        <v>3298</v>
      </c>
      <c r="F931" s="853" t="s">
        <v>528</v>
      </c>
      <c r="G931" s="913">
        <v>1</v>
      </c>
      <c r="H931" t="s">
        <v>4197</v>
      </c>
    </row>
    <row r="932" spans="2:8">
      <c r="B932" s="871">
        <v>46270</v>
      </c>
      <c r="C932" t="s">
        <v>2474</v>
      </c>
      <c r="D932" t="s">
        <v>1393</v>
      </c>
      <c r="E932" t="s">
        <v>1398</v>
      </c>
      <c r="F932" s="853" t="s">
        <v>526</v>
      </c>
      <c r="G932" s="913">
        <v>11</v>
      </c>
      <c r="H932" t="s">
        <v>4198</v>
      </c>
    </row>
    <row r="933" spans="2:8">
      <c r="B933" s="871">
        <v>46270</v>
      </c>
      <c r="C933" t="s">
        <v>2474</v>
      </c>
      <c r="D933" t="s">
        <v>1393</v>
      </c>
      <c r="E933" t="s">
        <v>1398</v>
      </c>
      <c r="F933" s="853" t="s">
        <v>527</v>
      </c>
      <c r="G933" s="913">
        <v>10</v>
      </c>
      <c r="H933" t="s">
        <v>4199</v>
      </c>
    </row>
    <row r="934" spans="2:8">
      <c r="B934" s="871">
        <v>46270</v>
      </c>
      <c r="C934" t="s">
        <v>2474</v>
      </c>
      <c r="D934" t="s">
        <v>1393</v>
      </c>
      <c r="E934" t="s">
        <v>1398</v>
      </c>
      <c r="F934" s="853" t="s">
        <v>528</v>
      </c>
      <c r="G934" s="913">
        <v>11</v>
      </c>
      <c r="H934" t="s">
        <v>4200</v>
      </c>
    </row>
    <row r="935" spans="2:8">
      <c r="B935" s="871">
        <v>46270</v>
      </c>
      <c r="C935" t="s">
        <v>2474</v>
      </c>
      <c r="D935" t="s">
        <v>1375</v>
      </c>
      <c r="E935" t="s">
        <v>3305</v>
      </c>
      <c r="F935" s="853" t="s">
        <v>526</v>
      </c>
      <c r="G935" s="913">
        <v>3</v>
      </c>
      <c r="H935" t="s">
        <v>4201</v>
      </c>
    </row>
    <row r="936" spans="2:8">
      <c r="B936" s="871">
        <v>46270</v>
      </c>
      <c r="C936" t="s">
        <v>2474</v>
      </c>
      <c r="D936" t="s">
        <v>1375</v>
      </c>
      <c r="E936" t="s">
        <v>3305</v>
      </c>
      <c r="F936" s="853" t="s">
        <v>527</v>
      </c>
      <c r="G936" s="913">
        <v>1</v>
      </c>
      <c r="H936" t="s">
        <v>4202</v>
      </c>
    </row>
    <row r="937" spans="2:8">
      <c r="B937" s="871">
        <v>46270</v>
      </c>
      <c r="C937" t="s">
        <v>2474</v>
      </c>
      <c r="D937" t="s">
        <v>1375</v>
      </c>
      <c r="E937" t="s">
        <v>3305</v>
      </c>
      <c r="F937" s="853" t="s">
        <v>528</v>
      </c>
      <c r="G937" s="913">
        <v>1</v>
      </c>
      <c r="H937" t="s">
        <v>4203</v>
      </c>
    </row>
    <row r="938" spans="2:8">
      <c r="B938" s="871">
        <v>46270</v>
      </c>
      <c r="C938" t="s">
        <v>2474</v>
      </c>
      <c r="D938" t="s">
        <v>1393</v>
      </c>
      <c r="E938" t="s">
        <v>1399</v>
      </c>
      <c r="F938" s="853" t="s">
        <v>526</v>
      </c>
      <c r="G938" s="913">
        <v>12</v>
      </c>
      <c r="H938" t="s">
        <v>4204</v>
      </c>
    </row>
    <row r="939" spans="2:8">
      <c r="B939" s="871">
        <v>46270</v>
      </c>
      <c r="C939" t="s">
        <v>2474</v>
      </c>
      <c r="D939" t="s">
        <v>1393</v>
      </c>
      <c r="E939" t="s">
        <v>1399</v>
      </c>
      <c r="F939" s="853" t="s">
        <v>527</v>
      </c>
      <c r="G939" s="913">
        <v>11</v>
      </c>
      <c r="H939" t="s">
        <v>4205</v>
      </c>
    </row>
    <row r="940" spans="2:8">
      <c r="B940" s="871">
        <v>46270</v>
      </c>
      <c r="C940" t="s">
        <v>2474</v>
      </c>
      <c r="D940" t="s">
        <v>1393</v>
      </c>
      <c r="E940" t="s">
        <v>1399</v>
      </c>
      <c r="F940" s="853" t="s">
        <v>528</v>
      </c>
      <c r="G940" s="913">
        <v>12</v>
      </c>
      <c r="H940" t="s">
        <v>4206</v>
      </c>
    </row>
    <row r="941" spans="2:8">
      <c r="B941" s="871">
        <v>46270</v>
      </c>
      <c r="C941" t="s">
        <v>2474</v>
      </c>
      <c r="D941" t="s">
        <v>1375</v>
      </c>
      <c r="E941" t="s">
        <v>3312</v>
      </c>
      <c r="F941" s="853" t="s">
        <v>526</v>
      </c>
      <c r="G941" s="913">
        <v>2</v>
      </c>
      <c r="H941" t="s">
        <v>4207</v>
      </c>
    </row>
    <row r="942" spans="2:8">
      <c r="B942" s="871">
        <v>46270</v>
      </c>
      <c r="C942" t="s">
        <v>2474</v>
      </c>
      <c r="D942" t="s">
        <v>1375</v>
      </c>
      <c r="E942" t="s">
        <v>3312</v>
      </c>
      <c r="F942" s="853" t="s">
        <v>527</v>
      </c>
      <c r="G942" s="913">
        <v>1</v>
      </c>
      <c r="H942" t="s">
        <v>4208</v>
      </c>
    </row>
    <row r="943" spans="2:8">
      <c r="B943" s="871">
        <v>46270</v>
      </c>
      <c r="C943" t="s">
        <v>2474</v>
      </c>
      <c r="D943" t="s">
        <v>1375</v>
      </c>
      <c r="E943" t="s">
        <v>3312</v>
      </c>
      <c r="F943" s="853" t="s">
        <v>528</v>
      </c>
      <c r="G943" s="913">
        <v>1</v>
      </c>
      <c r="H943" t="s">
        <v>4209</v>
      </c>
    </row>
    <row r="944" spans="2:8">
      <c r="B944" s="871">
        <v>46270</v>
      </c>
      <c r="C944" t="s">
        <v>2474</v>
      </c>
      <c r="D944" t="s">
        <v>1393</v>
      </c>
      <c r="E944" t="s">
        <v>1400</v>
      </c>
      <c r="F944" s="853" t="s">
        <v>526</v>
      </c>
      <c r="G944" s="913">
        <v>17</v>
      </c>
      <c r="H944" t="s">
        <v>4210</v>
      </c>
    </row>
    <row r="945" spans="2:8">
      <c r="B945" s="871">
        <v>46270</v>
      </c>
      <c r="C945" t="s">
        <v>2474</v>
      </c>
      <c r="D945" t="s">
        <v>1393</v>
      </c>
      <c r="E945" t="s">
        <v>1400</v>
      </c>
      <c r="F945" s="853" t="s">
        <v>527</v>
      </c>
      <c r="G945" s="913">
        <v>16</v>
      </c>
      <c r="H945" t="s">
        <v>4211</v>
      </c>
    </row>
    <row r="946" spans="2:8">
      <c r="B946" s="871">
        <v>46270</v>
      </c>
      <c r="C946" t="s">
        <v>2474</v>
      </c>
      <c r="D946" t="s">
        <v>1393</v>
      </c>
      <c r="E946" t="s">
        <v>1400</v>
      </c>
      <c r="F946" s="853" t="s">
        <v>528</v>
      </c>
      <c r="G946" s="913">
        <v>16</v>
      </c>
      <c r="H946" t="s">
        <v>4212</v>
      </c>
    </row>
    <row r="947" spans="2:8">
      <c r="B947" s="871">
        <v>46270</v>
      </c>
      <c r="C947" t="s">
        <v>2474</v>
      </c>
      <c r="D947" t="s">
        <v>1375</v>
      </c>
      <c r="E947" t="s">
        <v>3319</v>
      </c>
      <c r="F947" s="853" t="s">
        <v>526</v>
      </c>
      <c r="G947" s="913">
        <v>3</v>
      </c>
      <c r="H947" t="s">
        <v>4213</v>
      </c>
    </row>
    <row r="948" spans="2:8">
      <c r="B948" s="871">
        <v>46270</v>
      </c>
      <c r="C948" t="s">
        <v>2474</v>
      </c>
      <c r="D948" t="s">
        <v>1375</v>
      </c>
      <c r="E948" t="s">
        <v>3319</v>
      </c>
      <c r="F948" s="853" t="s">
        <v>527</v>
      </c>
      <c r="G948" s="913">
        <v>2</v>
      </c>
      <c r="H948" t="s">
        <v>4214</v>
      </c>
    </row>
    <row r="949" spans="2:8">
      <c r="B949" s="871">
        <v>46270</v>
      </c>
      <c r="C949" t="s">
        <v>2474</v>
      </c>
      <c r="D949" t="s">
        <v>1375</v>
      </c>
      <c r="E949" t="s">
        <v>3319</v>
      </c>
      <c r="F949" s="853" t="s">
        <v>528</v>
      </c>
      <c r="G949" s="913">
        <v>2</v>
      </c>
      <c r="H949" t="s">
        <v>4215</v>
      </c>
    </row>
    <row r="950" spans="2:8">
      <c r="B950" s="871">
        <v>46270</v>
      </c>
      <c r="C950" t="s">
        <v>2474</v>
      </c>
      <c r="D950" t="s">
        <v>1393</v>
      </c>
      <c r="E950" t="s">
        <v>1401</v>
      </c>
      <c r="F950" s="853" t="s">
        <v>526</v>
      </c>
      <c r="G950" s="913">
        <v>7.25</v>
      </c>
      <c r="H950" t="s">
        <v>4216</v>
      </c>
    </row>
    <row r="951" spans="2:8">
      <c r="B951" s="871">
        <v>46270</v>
      </c>
      <c r="C951" t="s">
        <v>2474</v>
      </c>
      <c r="D951" t="s">
        <v>1393</v>
      </c>
      <c r="E951" t="s">
        <v>1401</v>
      </c>
      <c r="F951" s="853" t="s">
        <v>527</v>
      </c>
      <c r="G951" s="913">
        <v>7.3</v>
      </c>
      <c r="H951" t="s">
        <v>4217</v>
      </c>
    </row>
    <row r="952" spans="2:8">
      <c r="B952" s="871">
        <v>46270</v>
      </c>
      <c r="C952" t="s">
        <v>2474</v>
      </c>
      <c r="D952" t="s">
        <v>1393</v>
      </c>
      <c r="E952" t="s">
        <v>1401</v>
      </c>
      <c r="F952" s="853" t="s">
        <v>528</v>
      </c>
      <c r="G952" s="913">
        <v>7.27</v>
      </c>
      <c r="H952" t="s">
        <v>4218</v>
      </c>
    </row>
    <row r="953" spans="2:8">
      <c r="B953" s="871">
        <v>46270</v>
      </c>
      <c r="C953" t="s">
        <v>2474</v>
      </c>
      <c r="D953" t="s">
        <v>1375</v>
      </c>
      <c r="E953" t="s">
        <v>3326</v>
      </c>
      <c r="F953" s="853" t="s">
        <v>526</v>
      </c>
      <c r="G953" s="913" t="s">
        <v>1583</v>
      </c>
      <c r="H953" t="s">
        <v>4219</v>
      </c>
    </row>
    <row r="954" spans="2:8">
      <c r="B954" s="871">
        <v>46270</v>
      </c>
      <c r="C954" t="s">
        <v>2474</v>
      </c>
      <c r="D954" t="s">
        <v>1375</v>
      </c>
      <c r="E954" t="s">
        <v>3326</v>
      </c>
      <c r="F954" s="853" t="s">
        <v>527</v>
      </c>
      <c r="G954" s="913" t="s">
        <v>1583</v>
      </c>
      <c r="H954" t="s">
        <v>4220</v>
      </c>
    </row>
    <row r="955" spans="2:8">
      <c r="B955" s="871">
        <v>46270</v>
      </c>
      <c r="C955" t="s">
        <v>2474</v>
      </c>
      <c r="D955" t="s">
        <v>1375</v>
      </c>
      <c r="E955" t="s">
        <v>3326</v>
      </c>
      <c r="F955" s="853" t="s">
        <v>528</v>
      </c>
      <c r="G955" s="913" t="s">
        <v>1583</v>
      </c>
      <c r="H955" t="s">
        <v>4221</v>
      </c>
    </row>
    <row r="956" spans="2:8">
      <c r="B956" s="871">
        <v>46270</v>
      </c>
      <c r="C956" t="s">
        <v>2474</v>
      </c>
      <c r="D956" t="s">
        <v>1393</v>
      </c>
      <c r="E956" t="s">
        <v>1403</v>
      </c>
      <c r="F956" s="853" t="s">
        <v>526</v>
      </c>
      <c r="G956" s="913">
        <v>600</v>
      </c>
      <c r="H956" t="s">
        <v>4222</v>
      </c>
    </row>
    <row r="957" spans="2:8">
      <c r="B957" s="871">
        <v>46270</v>
      </c>
      <c r="C957" t="s">
        <v>2474</v>
      </c>
      <c r="D957" t="s">
        <v>1393</v>
      </c>
      <c r="E957" t="s">
        <v>1403</v>
      </c>
      <c r="F957" s="853" t="s">
        <v>527</v>
      </c>
      <c r="G957" s="913">
        <v>580</v>
      </c>
      <c r="H957" t="s">
        <v>4223</v>
      </c>
    </row>
    <row r="958" spans="2:8">
      <c r="B958" s="871">
        <v>46270</v>
      </c>
      <c r="C958" t="s">
        <v>2474</v>
      </c>
      <c r="D958" t="s">
        <v>1393</v>
      </c>
      <c r="E958" t="s">
        <v>1403</v>
      </c>
      <c r="F958" s="853" t="s">
        <v>528</v>
      </c>
      <c r="G958" s="913">
        <v>622</v>
      </c>
      <c r="H958" t="s">
        <v>4224</v>
      </c>
    </row>
    <row r="959" spans="2:8">
      <c r="B959" s="871">
        <v>46270</v>
      </c>
      <c r="C959" t="s">
        <v>2474</v>
      </c>
      <c r="D959" t="s">
        <v>1393</v>
      </c>
      <c r="E959" t="s">
        <v>1404</v>
      </c>
      <c r="F959" s="853" t="s">
        <v>526</v>
      </c>
      <c r="G959" s="913">
        <v>3.8</v>
      </c>
      <c r="H959" t="s">
        <v>4225</v>
      </c>
    </row>
    <row r="960" spans="2:8">
      <c r="B960" s="871">
        <v>46270</v>
      </c>
      <c r="C960" t="s">
        <v>2474</v>
      </c>
      <c r="D960" t="s">
        <v>1393</v>
      </c>
      <c r="E960" t="s">
        <v>1404</v>
      </c>
      <c r="F960" s="853" t="s">
        <v>527</v>
      </c>
      <c r="G960" s="913">
        <v>4.7300000000000004</v>
      </c>
      <c r="H960" t="s">
        <v>4226</v>
      </c>
    </row>
    <row r="961" spans="2:8">
      <c r="B961" s="871">
        <v>46270</v>
      </c>
      <c r="C961" t="s">
        <v>2474</v>
      </c>
      <c r="D961" t="s">
        <v>1393</v>
      </c>
      <c r="E961" t="s">
        <v>1404</v>
      </c>
      <c r="F961" s="853" t="s">
        <v>528</v>
      </c>
      <c r="G961" s="913">
        <v>4.8499999999999996</v>
      </c>
      <c r="H961" t="s">
        <v>4227</v>
      </c>
    </row>
    <row r="962" spans="2:8">
      <c r="B962" s="871">
        <v>46270</v>
      </c>
      <c r="C962" t="s">
        <v>2474</v>
      </c>
      <c r="D962" t="s">
        <v>1375</v>
      </c>
      <c r="E962" t="s">
        <v>3336</v>
      </c>
      <c r="F962" s="853" t="s">
        <v>526</v>
      </c>
      <c r="G962" s="913" t="s">
        <v>1406</v>
      </c>
      <c r="H962" t="s">
        <v>4228</v>
      </c>
    </row>
    <row r="963" spans="2:8">
      <c r="B963" s="871">
        <v>46270</v>
      </c>
      <c r="C963" t="s">
        <v>2474</v>
      </c>
      <c r="D963" t="s">
        <v>1375</v>
      </c>
      <c r="E963" t="s">
        <v>3336</v>
      </c>
      <c r="F963" s="853" t="s">
        <v>527</v>
      </c>
      <c r="G963" s="913" t="s">
        <v>1406</v>
      </c>
      <c r="H963" t="s">
        <v>4229</v>
      </c>
    </row>
    <row r="964" spans="2:8">
      <c r="B964" s="871">
        <v>46270</v>
      </c>
      <c r="C964" t="s">
        <v>2474</v>
      </c>
      <c r="D964" t="s">
        <v>1375</v>
      </c>
      <c r="E964" t="s">
        <v>3336</v>
      </c>
      <c r="F964" s="853" t="s">
        <v>528</v>
      </c>
      <c r="G964" s="913" t="s">
        <v>1406</v>
      </c>
      <c r="H964" t="s">
        <v>4230</v>
      </c>
    </row>
    <row r="965" spans="2:8">
      <c r="B965" s="871">
        <v>46270</v>
      </c>
      <c r="C965" t="s">
        <v>2474</v>
      </c>
      <c r="D965" t="s">
        <v>1393</v>
      </c>
      <c r="E965" t="s">
        <v>1407</v>
      </c>
      <c r="F965" s="853" t="s">
        <v>526</v>
      </c>
      <c r="G965" s="913">
        <v>360</v>
      </c>
      <c r="H965" t="s">
        <v>4231</v>
      </c>
    </row>
    <row r="966" spans="2:8">
      <c r="B966" s="871">
        <v>46270</v>
      </c>
      <c r="C966" t="s">
        <v>2474</v>
      </c>
      <c r="D966" t="s">
        <v>1393</v>
      </c>
      <c r="E966" t="s">
        <v>1407</v>
      </c>
      <c r="F966" s="853" t="s">
        <v>527</v>
      </c>
      <c r="G966" s="913">
        <v>412</v>
      </c>
      <c r="H966" t="s">
        <v>4232</v>
      </c>
    </row>
    <row r="967" spans="2:8">
      <c r="B967" s="871">
        <v>46270</v>
      </c>
      <c r="C967" t="s">
        <v>2474</v>
      </c>
      <c r="D967" t="s">
        <v>1393</v>
      </c>
      <c r="E967" t="s">
        <v>1407</v>
      </c>
      <c r="F967" s="853" t="s">
        <v>528</v>
      </c>
      <c r="G967" s="913">
        <v>420</v>
      </c>
      <c r="H967" t="s">
        <v>4233</v>
      </c>
    </row>
    <row r="968" spans="2:8">
      <c r="B968" s="871">
        <v>46270</v>
      </c>
      <c r="C968" t="s">
        <v>2474</v>
      </c>
      <c r="D968" t="s">
        <v>1393</v>
      </c>
      <c r="E968" t="s">
        <v>1408</v>
      </c>
      <c r="F968" s="853" t="s">
        <v>526</v>
      </c>
      <c r="G968" s="913">
        <v>978</v>
      </c>
      <c r="H968" t="s">
        <v>4234</v>
      </c>
    </row>
    <row r="969" spans="2:8">
      <c r="B969" s="871">
        <v>46270</v>
      </c>
      <c r="C969" t="s">
        <v>2474</v>
      </c>
      <c r="D969" t="s">
        <v>1393</v>
      </c>
      <c r="E969" t="s">
        <v>1408</v>
      </c>
      <c r="F969" s="853" t="s">
        <v>527</v>
      </c>
      <c r="G969" s="913">
        <v>964</v>
      </c>
      <c r="H969" t="s">
        <v>4235</v>
      </c>
    </row>
    <row r="970" spans="2:8">
      <c r="B970" s="871">
        <v>46270</v>
      </c>
      <c r="C970" t="s">
        <v>2474</v>
      </c>
      <c r="D970" t="s">
        <v>1393</v>
      </c>
      <c r="E970" t="s">
        <v>1408</v>
      </c>
      <c r="F970" s="853" t="s">
        <v>528</v>
      </c>
      <c r="G970" s="913">
        <v>960</v>
      </c>
      <c r="H970" t="s">
        <v>4236</v>
      </c>
    </row>
    <row r="971" spans="2:8">
      <c r="B971" s="871">
        <v>46270</v>
      </c>
      <c r="C971" t="s">
        <v>2474</v>
      </c>
      <c r="D971" t="s">
        <v>1409</v>
      </c>
      <c r="E971" t="s">
        <v>1411</v>
      </c>
      <c r="F971" s="853" t="s">
        <v>526</v>
      </c>
      <c r="H971" t="s">
        <v>4237</v>
      </c>
    </row>
    <row r="972" spans="2:8">
      <c r="B972" s="871">
        <v>46270</v>
      </c>
      <c r="C972" t="s">
        <v>2474</v>
      </c>
      <c r="D972" t="s">
        <v>1409</v>
      </c>
      <c r="E972" t="s">
        <v>1411</v>
      </c>
      <c r="F972" s="853" t="s">
        <v>527</v>
      </c>
      <c r="H972" t="s">
        <v>4238</v>
      </c>
    </row>
    <row r="973" spans="2:8">
      <c r="B973" s="871">
        <v>46270</v>
      </c>
      <c r="C973" t="s">
        <v>2474</v>
      </c>
      <c r="D973" t="s">
        <v>1409</v>
      </c>
      <c r="E973" t="s">
        <v>1411</v>
      </c>
      <c r="F973" s="853" t="s">
        <v>528</v>
      </c>
      <c r="H973" t="s">
        <v>4239</v>
      </c>
    </row>
    <row r="974" spans="2:8">
      <c r="B974" s="871">
        <v>46270</v>
      </c>
      <c r="C974" t="s">
        <v>2474</v>
      </c>
      <c r="D974" t="s">
        <v>1409</v>
      </c>
      <c r="E974" t="s">
        <v>1413</v>
      </c>
      <c r="F974" s="853" t="s">
        <v>526</v>
      </c>
      <c r="G974" s="913" t="s">
        <v>1414</v>
      </c>
      <c r="H974" t="s">
        <v>4240</v>
      </c>
    </row>
    <row r="975" spans="2:8">
      <c r="B975" s="871">
        <v>46270</v>
      </c>
      <c r="C975" t="s">
        <v>2474</v>
      </c>
      <c r="D975" t="s">
        <v>1409</v>
      </c>
      <c r="E975" t="s">
        <v>1413</v>
      </c>
      <c r="F975" s="853" t="s">
        <v>527</v>
      </c>
      <c r="G975" s="913" t="s">
        <v>1584</v>
      </c>
      <c r="H975" t="s">
        <v>4241</v>
      </c>
    </row>
    <row r="976" spans="2:8">
      <c r="B976" s="871">
        <v>46270</v>
      </c>
      <c r="C976" t="s">
        <v>2474</v>
      </c>
      <c r="D976" t="s">
        <v>1409</v>
      </c>
      <c r="E976" t="s">
        <v>1413</v>
      </c>
      <c r="F976" s="853" t="s">
        <v>528</v>
      </c>
      <c r="G976" s="913" t="s">
        <v>1584</v>
      </c>
      <c r="H976" t="s">
        <v>4242</v>
      </c>
    </row>
    <row r="977" spans="2:8">
      <c r="B977" s="871">
        <v>46270</v>
      </c>
      <c r="C977" t="s">
        <v>2474</v>
      </c>
      <c r="D977" t="s">
        <v>1410</v>
      </c>
      <c r="E977" t="s">
        <v>3352</v>
      </c>
      <c r="F977" s="853" t="s">
        <v>526</v>
      </c>
      <c r="G977" s="913" t="s">
        <v>1418</v>
      </c>
      <c r="H977" t="s">
        <v>4243</v>
      </c>
    </row>
    <row r="978" spans="2:8">
      <c r="B978" s="871">
        <v>46270</v>
      </c>
      <c r="C978" t="s">
        <v>2474</v>
      </c>
      <c r="D978" t="s">
        <v>1410</v>
      </c>
      <c r="E978" t="s">
        <v>3352</v>
      </c>
      <c r="F978" s="853" t="s">
        <v>527</v>
      </c>
      <c r="G978" s="913" t="s">
        <v>1418</v>
      </c>
      <c r="H978" t="s">
        <v>4244</v>
      </c>
    </row>
    <row r="979" spans="2:8">
      <c r="B979" s="871">
        <v>46270</v>
      </c>
      <c r="C979" t="s">
        <v>2474</v>
      </c>
      <c r="D979" t="s">
        <v>1410</v>
      </c>
      <c r="E979" t="s">
        <v>3352</v>
      </c>
      <c r="F979" s="853" t="s">
        <v>528</v>
      </c>
      <c r="G979" s="913" t="s">
        <v>1418</v>
      </c>
      <c r="H979" t="s">
        <v>4245</v>
      </c>
    </row>
    <row r="980" spans="2:8">
      <c r="B980" s="871">
        <v>46270</v>
      </c>
      <c r="C980" t="s">
        <v>2474</v>
      </c>
      <c r="D980" t="s">
        <v>1409</v>
      </c>
      <c r="E980" t="s">
        <v>1420</v>
      </c>
      <c r="F980" s="853" t="s">
        <v>526</v>
      </c>
      <c r="G980" s="913" t="s">
        <v>1421</v>
      </c>
      <c r="H980" t="s">
        <v>4246</v>
      </c>
    </row>
    <row r="981" spans="2:8">
      <c r="B981" s="871">
        <v>46270</v>
      </c>
      <c r="C981" t="s">
        <v>2474</v>
      </c>
      <c r="D981" t="s">
        <v>1409</v>
      </c>
      <c r="E981" t="s">
        <v>1420</v>
      </c>
      <c r="F981" s="853" t="s">
        <v>527</v>
      </c>
      <c r="G981" s="913" t="s">
        <v>1537</v>
      </c>
      <c r="H981" t="s">
        <v>4247</v>
      </c>
    </row>
    <row r="982" spans="2:8">
      <c r="B982" s="871">
        <v>46270</v>
      </c>
      <c r="C982" t="s">
        <v>2474</v>
      </c>
      <c r="D982" t="s">
        <v>1409</v>
      </c>
      <c r="E982" t="s">
        <v>1420</v>
      </c>
      <c r="F982" s="853" t="s">
        <v>528</v>
      </c>
      <c r="G982" s="913" t="s">
        <v>1537</v>
      </c>
      <c r="H982" t="s">
        <v>4248</v>
      </c>
    </row>
    <row r="983" spans="2:8">
      <c r="B983" s="871">
        <v>46270</v>
      </c>
      <c r="C983" t="s">
        <v>2474</v>
      </c>
      <c r="D983" t="s">
        <v>1410</v>
      </c>
      <c r="E983" t="s">
        <v>3359</v>
      </c>
      <c r="F983" s="853" t="s">
        <v>526</v>
      </c>
      <c r="G983" s="913">
        <v>118</v>
      </c>
      <c r="H983" t="s">
        <v>4249</v>
      </c>
    </row>
    <row r="984" spans="2:8">
      <c r="B984" s="871">
        <v>46270</v>
      </c>
      <c r="C984" t="s">
        <v>2474</v>
      </c>
      <c r="D984" t="s">
        <v>1410</v>
      </c>
      <c r="E984" t="s">
        <v>3359</v>
      </c>
      <c r="F984" s="853" t="s">
        <v>527</v>
      </c>
      <c r="G984" s="913">
        <v>118</v>
      </c>
      <c r="H984" t="s">
        <v>4250</v>
      </c>
    </row>
    <row r="985" spans="2:8">
      <c r="B985" s="871">
        <v>46270</v>
      </c>
      <c r="C985" t="s">
        <v>2474</v>
      </c>
      <c r="D985" t="s">
        <v>1410</v>
      </c>
      <c r="E985" t="s">
        <v>3359</v>
      </c>
      <c r="F985" s="853" t="s">
        <v>528</v>
      </c>
      <c r="G985" s="913">
        <v>119</v>
      </c>
      <c r="H985" t="s">
        <v>4251</v>
      </c>
    </row>
    <row r="986" spans="2:8">
      <c r="B986" s="871">
        <v>46270</v>
      </c>
      <c r="C986" t="s">
        <v>2474</v>
      </c>
      <c r="D986" t="s">
        <v>1409</v>
      </c>
      <c r="E986" t="s">
        <v>1424</v>
      </c>
      <c r="F986" s="853" t="s">
        <v>526</v>
      </c>
      <c r="H986" t="s">
        <v>4252</v>
      </c>
    </row>
    <row r="987" spans="2:8">
      <c r="B987" s="871">
        <v>46270</v>
      </c>
      <c r="C987" t="s">
        <v>2474</v>
      </c>
      <c r="D987" t="s">
        <v>1409</v>
      </c>
      <c r="E987" t="s">
        <v>1424</v>
      </c>
      <c r="F987" s="853" t="s">
        <v>527</v>
      </c>
      <c r="H987" t="s">
        <v>4253</v>
      </c>
    </row>
    <row r="988" spans="2:8">
      <c r="B988" s="871">
        <v>46270</v>
      </c>
      <c r="C988" t="s">
        <v>2474</v>
      </c>
      <c r="D988" t="s">
        <v>1409</v>
      </c>
      <c r="E988" t="s">
        <v>1424</v>
      </c>
      <c r="F988" s="853" t="s">
        <v>528</v>
      </c>
      <c r="H988" t="s">
        <v>4254</v>
      </c>
    </row>
    <row r="989" spans="2:8">
      <c r="B989" s="871">
        <v>46270</v>
      </c>
      <c r="C989" t="s">
        <v>2474</v>
      </c>
      <c r="D989" t="s">
        <v>1410</v>
      </c>
      <c r="E989" t="s">
        <v>3366</v>
      </c>
      <c r="F989" s="853" t="s">
        <v>526</v>
      </c>
      <c r="G989" s="913">
        <v>2636</v>
      </c>
      <c r="H989" t="s">
        <v>4255</v>
      </c>
    </row>
    <row r="990" spans="2:8">
      <c r="B990" s="871">
        <v>46270</v>
      </c>
      <c r="C990" t="s">
        <v>2474</v>
      </c>
      <c r="D990" t="s">
        <v>1410</v>
      </c>
      <c r="E990" t="s">
        <v>3366</v>
      </c>
      <c r="F990" s="853" t="s">
        <v>527</v>
      </c>
      <c r="G990" s="913">
        <v>2550</v>
      </c>
      <c r="H990" t="s">
        <v>4256</v>
      </c>
    </row>
    <row r="991" spans="2:8">
      <c r="B991" s="871">
        <v>46270</v>
      </c>
      <c r="C991" t="s">
        <v>2474</v>
      </c>
      <c r="D991" t="s">
        <v>1410</v>
      </c>
      <c r="E991" t="s">
        <v>3366</v>
      </c>
      <c r="F991" s="853" t="s">
        <v>528</v>
      </c>
      <c r="G991" s="913">
        <v>2569</v>
      </c>
      <c r="H991" t="s">
        <v>4257</v>
      </c>
    </row>
    <row r="992" spans="2:8">
      <c r="B992" s="871">
        <v>46270</v>
      </c>
      <c r="C992" t="s">
        <v>2474</v>
      </c>
      <c r="D992" t="s">
        <v>1410</v>
      </c>
      <c r="E992" t="s">
        <v>3370</v>
      </c>
      <c r="F992" s="853" t="s">
        <v>526</v>
      </c>
      <c r="G992" s="913" t="s">
        <v>1427</v>
      </c>
      <c r="H992" t="s">
        <v>4258</v>
      </c>
    </row>
    <row r="993" spans="2:8">
      <c r="B993" s="871">
        <v>46270</v>
      </c>
      <c r="C993" t="s">
        <v>2474</v>
      </c>
      <c r="D993" t="s">
        <v>1410</v>
      </c>
      <c r="E993" t="s">
        <v>3370</v>
      </c>
      <c r="F993" s="853" t="s">
        <v>527</v>
      </c>
      <c r="G993" s="913" t="s">
        <v>1427</v>
      </c>
      <c r="H993" t="s">
        <v>4259</v>
      </c>
    </row>
    <row r="994" spans="2:8">
      <c r="B994" s="871">
        <v>46270</v>
      </c>
      <c r="C994" t="s">
        <v>2474</v>
      </c>
      <c r="D994" t="s">
        <v>1410</v>
      </c>
      <c r="E994" t="s">
        <v>3370</v>
      </c>
      <c r="F994" s="853" t="s">
        <v>528</v>
      </c>
      <c r="G994" s="913" t="s">
        <v>1427</v>
      </c>
      <c r="H994" t="s">
        <v>4260</v>
      </c>
    </row>
    <row r="995" spans="2:8">
      <c r="B995" s="871">
        <v>46270</v>
      </c>
      <c r="C995" t="s">
        <v>2474</v>
      </c>
      <c r="D995" t="s">
        <v>1410</v>
      </c>
      <c r="E995" t="s">
        <v>3374</v>
      </c>
      <c r="F995" s="853" t="s">
        <v>526</v>
      </c>
      <c r="G995" s="913">
        <v>2.15</v>
      </c>
      <c r="H995" t="s">
        <v>4261</v>
      </c>
    </row>
    <row r="996" spans="2:8">
      <c r="B996" s="871">
        <v>46270</v>
      </c>
      <c r="C996" t="s">
        <v>2474</v>
      </c>
      <c r="D996" t="s">
        <v>1410</v>
      </c>
      <c r="E996" t="s">
        <v>3374</v>
      </c>
      <c r="F996" s="853" t="s">
        <v>527</v>
      </c>
      <c r="G996" s="913">
        <v>3.1</v>
      </c>
      <c r="H996" t="s">
        <v>4262</v>
      </c>
    </row>
    <row r="997" spans="2:8">
      <c r="B997" s="871">
        <v>46270</v>
      </c>
      <c r="C997" t="s">
        <v>2474</v>
      </c>
      <c r="D997" t="s">
        <v>1410</v>
      </c>
      <c r="E997" t="s">
        <v>3374</v>
      </c>
      <c r="F997" s="853" t="s">
        <v>528</v>
      </c>
      <c r="G997" s="913">
        <v>2.1</v>
      </c>
      <c r="H997" t="s">
        <v>4263</v>
      </c>
    </row>
    <row r="998" spans="2:8">
      <c r="B998" s="871">
        <v>46270</v>
      </c>
      <c r="C998" t="s">
        <v>2474</v>
      </c>
      <c r="D998" t="s">
        <v>1410</v>
      </c>
      <c r="E998" t="s">
        <v>3378</v>
      </c>
      <c r="F998" s="853" t="s">
        <v>526</v>
      </c>
      <c r="G998" s="913" t="s">
        <v>1430</v>
      </c>
      <c r="H998" t="s">
        <v>4264</v>
      </c>
    </row>
    <row r="999" spans="2:8">
      <c r="B999" s="871">
        <v>46270</v>
      </c>
      <c r="C999" t="s">
        <v>2474</v>
      </c>
      <c r="D999" t="s">
        <v>1410</v>
      </c>
      <c r="E999" t="s">
        <v>3378</v>
      </c>
      <c r="F999" s="853" t="s">
        <v>527</v>
      </c>
      <c r="G999" s="913" t="s">
        <v>1627</v>
      </c>
      <c r="H999" t="s">
        <v>4265</v>
      </c>
    </row>
    <row r="1000" spans="2:8">
      <c r="B1000" s="871">
        <v>46270</v>
      </c>
      <c r="C1000" t="s">
        <v>2474</v>
      </c>
      <c r="D1000" t="s">
        <v>1410</v>
      </c>
      <c r="E1000" t="s">
        <v>3378</v>
      </c>
      <c r="F1000" s="853" t="s">
        <v>528</v>
      </c>
      <c r="G1000" s="913" t="s">
        <v>1627</v>
      </c>
      <c r="H1000" t="s">
        <v>4266</v>
      </c>
    </row>
    <row r="1001" spans="2:8">
      <c r="B1001" s="871">
        <v>46270</v>
      </c>
      <c r="C1001" t="s">
        <v>2474</v>
      </c>
      <c r="D1001" t="s">
        <v>1410</v>
      </c>
      <c r="E1001" t="s">
        <v>3382</v>
      </c>
      <c r="F1001" s="853" t="s">
        <v>526</v>
      </c>
      <c r="G1001" s="913">
        <v>109</v>
      </c>
      <c r="H1001" t="s">
        <v>4267</v>
      </c>
    </row>
    <row r="1002" spans="2:8">
      <c r="B1002" s="871">
        <v>46270</v>
      </c>
      <c r="C1002" t="s">
        <v>2474</v>
      </c>
      <c r="D1002" t="s">
        <v>1410</v>
      </c>
      <c r="E1002" t="s">
        <v>3382</v>
      </c>
      <c r="F1002" s="853" t="s">
        <v>527</v>
      </c>
      <c r="G1002" s="913">
        <v>118</v>
      </c>
      <c r="H1002" t="s">
        <v>4268</v>
      </c>
    </row>
    <row r="1003" spans="2:8">
      <c r="B1003" s="871">
        <v>46270</v>
      </c>
      <c r="C1003" t="s">
        <v>2474</v>
      </c>
      <c r="D1003" t="s">
        <v>1410</v>
      </c>
      <c r="E1003" t="s">
        <v>3382</v>
      </c>
      <c r="F1003" s="853" t="s">
        <v>528</v>
      </c>
      <c r="G1003" s="913">
        <v>115</v>
      </c>
      <c r="H1003" t="s">
        <v>4269</v>
      </c>
    </row>
    <row r="1004" spans="2:8">
      <c r="B1004" s="871">
        <v>46270</v>
      </c>
      <c r="C1004" t="s">
        <v>2474</v>
      </c>
      <c r="D1004" t="s">
        <v>1409</v>
      </c>
      <c r="E1004" t="s">
        <v>1431</v>
      </c>
      <c r="F1004" s="853" t="s">
        <v>526</v>
      </c>
      <c r="H1004" t="s">
        <v>4270</v>
      </c>
    </row>
    <row r="1005" spans="2:8">
      <c r="B1005" s="871">
        <v>46270</v>
      </c>
      <c r="C1005" t="s">
        <v>2474</v>
      </c>
      <c r="D1005" t="s">
        <v>1409</v>
      </c>
      <c r="E1005" t="s">
        <v>1431</v>
      </c>
      <c r="F1005" s="853" t="s">
        <v>527</v>
      </c>
      <c r="H1005" t="s">
        <v>4271</v>
      </c>
    </row>
    <row r="1006" spans="2:8">
      <c r="B1006" s="871">
        <v>46270</v>
      </c>
      <c r="C1006" t="s">
        <v>2474</v>
      </c>
      <c r="D1006" t="s">
        <v>1409</v>
      </c>
      <c r="E1006" t="s">
        <v>1431</v>
      </c>
      <c r="F1006" s="853" t="s">
        <v>528</v>
      </c>
      <c r="H1006" t="s">
        <v>4272</v>
      </c>
    </row>
    <row r="1007" spans="2:8">
      <c r="B1007" s="871">
        <v>46270</v>
      </c>
      <c r="C1007" t="s">
        <v>2474</v>
      </c>
      <c r="D1007" t="s">
        <v>1410</v>
      </c>
      <c r="E1007" t="s">
        <v>3389</v>
      </c>
      <c r="F1007" s="853" t="s">
        <v>526</v>
      </c>
      <c r="G1007" s="913">
        <v>2640</v>
      </c>
      <c r="H1007" t="s">
        <v>4273</v>
      </c>
    </row>
    <row r="1008" spans="2:8">
      <c r="B1008" s="871">
        <v>46270</v>
      </c>
      <c r="C1008" t="s">
        <v>2474</v>
      </c>
      <c r="D1008" t="s">
        <v>1410</v>
      </c>
      <c r="E1008" t="s">
        <v>3389</v>
      </c>
      <c r="F1008" s="853" t="s">
        <v>527</v>
      </c>
      <c r="G1008" s="913">
        <v>2790</v>
      </c>
      <c r="H1008" t="s">
        <v>4274</v>
      </c>
    </row>
    <row r="1009" spans="2:8">
      <c r="B1009" s="871">
        <v>46270</v>
      </c>
      <c r="C1009" t="s">
        <v>2474</v>
      </c>
      <c r="D1009" t="s">
        <v>1410</v>
      </c>
      <c r="E1009" t="s">
        <v>3389</v>
      </c>
      <c r="F1009" s="853" t="s">
        <v>528</v>
      </c>
      <c r="G1009" s="913">
        <v>2985</v>
      </c>
      <c r="H1009" t="s">
        <v>4275</v>
      </c>
    </row>
    <row r="1010" spans="2:8">
      <c r="B1010" s="871">
        <v>46270</v>
      </c>
      <c r="C1010" t="s">
        <v>2474</v>
      </c>
      <c r="D1010" t="s">
        <v>1410</v>
      </c>
      <c r="E1010" t="s">
        <v>3393</v>
      </c>
      <c r="F1010" s="853" t="s">
        <v>526</v>
      </c>
      <c r="G1010" s="913" t="s">
        <v>1432</v>
      </c>
      <c r="H1010" t="s">
        <v>4276</v>
      </c>
    </row>
    <row r="1011" spans="2:8">
      <c r="B1011" s="871">
        <v>46270</v>
      </c>
      <c r="C1011" t="s">
        <v>2474</v>
      </c>
      <c r="D1011" t="s">
        <v>1410</v>
      </c>
      <c r="E1011" t="s">
        <v>3393</v>
      </c>
      <c r="F1011" s="853" t="s">
        <v>527</v>
      </c>
      <c r="G1011" s="913" t="s">
        <v>1432</v>
      </c>
      <c r="H1011" t="s">
        <v>4277</v>
      </c>
    </row>
    <row r="1012" spans="2:8">
      <c r="B1012" s="871">
        <v>46270</v>
      </c>
      <c r="C1012" t="s">
        <v>2474</v>
      </c>
      <c r="D1012" t="s">
        <v>1410</v>
      </c>
      <c r="E1012" t="s">
        <v>3393</v>
      </c>
      <c r="F1012" s="853" t="s">
        <v>528</v>
      </c>
      <c r="G1012" s="913" t="s">
        <v>1432</v>
      </c>
      <c r="H1012" t="s">
        <v>4278</v>
      </c>
    </row>
    <row r="1013" spans="2:8">
      <c r="B1013" s="871">
        <v>46270</v>
      </c>
      <c r="C1013" t="s">
        <v>2474</v>
      </c>
      <c r="D1013" t="s">
        <v>1410</v>
      </c>
      <c r="E1013" t="s">
        <v>3397</v>
      </c>
      <c r="F1013" s="853" t="s">
        <v>526</v>
      </c>
      <c r="G1013" s="913" t="s">
        <v>1435</v>
      </c>
      <c r="H1013" t="s">
        <v>4279</v>
      </c>
    </row>
    <row r="1014" spans="2:8">
      <c r="B1014" s="871">
        <v>46270</v>
      </c>
      <c r="C1014" t="s">
        <v>2474</v>
      </c>
      <c r="D1014" t="s">
        <v>1410</v>
      </c>
      <c r="E1014" t="s">
        <v>3397</v>
      </c>
      <c r="F1014" s="853" t="s">
        <v>527</v>
      </c>
      <c r="G1014" s="913" t="s">
        <v>1435</v>
      </c>
      <c r="H1014" t="s">
        <v>4280</v>
      </c>
    </row>
    <row r="1015" spans="2:8">
      <c r="B1015" s="871">
        <v>46270</v>
      </c>
      <c r="C1015" t="s">
        <v>2474</v>
      </c>
      <c r="D1015" t="s">
        <v>1410</v>
      </c>
      <c r="E1015" t="s">
        <v>3397</v>
      </c>
      <c r="F1015" s="853" t="s">
        <v>528</v>
      </c>
      <c r="G1015" s="913" t="s">
        <v>1435</v>
      </c>
      <c r="H1015" t="s">
        <v>4281</v>
      </c>
    </row>
    <row r="1016" spans="2:8">
      <c r="B1016" s="871">
        <v>46270</v>
      </c>
      <c r="C1016" t="s">
        <v>2474</v>
      </c>
      <c r="D1016" t="s">
        <v>1434</v>
      </c>
      <c r="E1016" t="s">
        <v>42</v>
      </c>
      <c r="F1016" s="853" t="s">
        <v>526</v>
      </c>
      <c r="G1016" s="913" t="s">
        <v>70</v>
      </c>
      <c r="H1016" t="s">
        <v>4282</v>
      </c>
    </row>
    <row r="1017" spans="2:8">
      <c r="B1017" s="871">
        <v>46270</v>
      </c>
      <c r="C1017" t="s">
        <v>2474</v>
      </c>
      <c r="D1017" t="s">
        <v>1434</v>
      </c>
      <c r="E1017" t="s">
        <v>42</v>
      </c>
      <c r="F1017" s="853" t="s">
        <v>527</v>
      </c>
      <c r="G1017" s="913" t="s">
        <v>70</v>
      </c>
      <c r="H1017" t="s">
        <v>4283</v>
      </c>
    </row>
    <row r="1018" spans="2:8">
      <c r="B1018" s="871">
        <v>46270</v>
      </c>
      <c r="C1018" t="s">
        <v>2474</v>
      </c>
      <c r="D1018" t="s">
        <v>1434</v>
      </c>
      <c r="E1018" t="s">
        <v>42</v>
      </c>
      <c r="F1018" s="853" t="s">
        <v>528</v>
      </c>
      <c r="G1018" s="913" t="s">
        <v>70</v>
      </c>
      <c r="H1018" t="s">
        <v>4284</v>
      </c>
    </row>
    <row r="1019" spans="2:8">
      <c r="B1019" s="871">
        <v>46270</v>
      </c>
      <c r="C1019" t="s">
        <v>2474</v>
      </c>
      <c r="D1019" t="s">
        <v>1410</v>
      </c>
      <c r="E1019" t="s">
        <v>3404</v>
      </c>
      <c r="F1019" s="853" t="s">
        <v>526</v>
      </c>
      <c r="G1019" s="913" t="s">
        <v>1438</v>
      </c>
      <c r="H1019" t="s">
        <v>4285</v>
      </c>
    </row>
    <row r="1020" spans="2:8">
      <c r="B1020" s="871">
        <v>46270</v>
      </c>
      <c r="C1020" t="s">
        <v>2474</v>
      </c>
      <c r="D1020" t="s">
        <v>1410</v>
      </c>
      <c r="E1020" t="s">
        <v>3404</v>
      </c>
      <c r="F1020" s="853" t="s">
        <v>527</v>
      </c>
      <c r="G1020" s="913" t="s">
        <v>1585</v>
      </c>
      <c r="H1020" t="s">
        <v>4286</v>
      </c>
    </row>
    <row r="1021" spans="2:8">
      <c r="B1021" s="871">
        <v>46270</v>
      </c>
      <c r="C1021" t="s">
        <v>2474</v>
      </c>
      <c r="D1021" t="s">
        <v>1410</v>
      </c>
      <c r="E1021" t="s">
        <v>3404</v>
      </c>
      <c r="F1021" s="853" t="s">
        <v>528</v>
      </c>
      <c r="G1021" s="913" t="s">
        <v>1585</v>
      </c>
      <c r="H1021" t="s">
        <v>4287</v>
      </c>
    </row>
    <row r="1022" spans="2:8">
      <c r="B1022" s="871">
        <v>46270</v>
      </c>
      <c r="C1022" t="s">
        <v>2474</v>
      </c>
      <c r="D1022" t="s">
        <v>1434</v>
      </c>
      <c r="E1022" t="s">
        <v>1439</v>
      </c>
      <c r="F1022" s="853" t="s">
        <v>526</v>
      </c>
      <c r="G1022" s="913" t="s">
        <v>9408</v>
      </c>
      <c r="H1022" t="s">
        <v>4288</v>
      </c>
    </row>
    <row r="1023" spans="2:8">
      <c r="B1023" s="871">
        <v>46270</v>
      </c>
      <c r="C1023" t="s">
        <v>2474</v>
      </c>
      <c r="D1023" t="s">
        <v>1434</v>
      </c>
      <c r="E1023" t="s">
        <v>1439</v>
      </c>
      <c r="F1023" s="853" t="s">
        <v>527</v>
      </c>
      <c r="G1023" s="913" t="s">
        <v>9408</v>
      </c>
      <c r="H1023" t="s">
        <v>4289</v>
      </c>
    </row>
    <row r="1024" spans="2:8">
      <c r="B1024" s="871">
        <v>46270</v>
      </c>
      <c r="C1024" t="s">
        <v>2474</v>
      </c>
      <c r="D1024" t="s">
        <v>1434</v>
      </c>
      <c r="E1024" t="s">
        <v>1439</v>
      </c>
      <c r="F1024" s="853" t="s">
        <v>528</v>
      </c>
      <c r="G1024" s="913" t="s">
        <v>9408</v>
      </c>
      <c r="H1024" t="s">
        <v>4290</v>
      </c>
    </row>
    <row r="1025" spans="2:8">
      <c r="B1025" s="871">
        <v>46270</v>
      </c>
      <c r="C1025" t="s">
        <v>2474</v>
      </c>
      <c r="D1025" t="s">
        <v>1410</v>
      </c>
      <c r="E1025" t="s">
        <v>3411</v>
      </c>
      <c r="F1025" s="853" t="s">
        <v>526</v>
      </c>
      <c r="G1025" s="913">
        <v>40</v>
      </c>
      <c r="H1025" t="s">
        <v>4291</v>
      </c>
    </row>
    <row r="1026" spans="2:8">
      <c r="B1026" s="871">
        <v>46270</v>
      </c>
      <c r="C1026" t="s">
        <v>2474</v>
      </c>
      <c r="D1026" t="s">
        <v>1410</v>
      </c>
      <c r="E1026" t="s">
        <v>3411</v>
      </c>
      <c r="F1026" s="853" t="s">
        <v>527</v>
      </c>
      <c r="G1026" s="913">
        <v>71</v>
      </c>
      <c r="H1026" t="s">
        <v>4292</v>
      </c>
    </row>
    <row r="1027" spans="2:8">
      <c r="B1027" s="871">
        <v>46270</v>
      </c>
      <c r="C1027" t="s">
        <v>2474</v>
      </c>
      <c r="D1027" t="s">
        <v>1410</v>
      </c>
      <c r="E1027" t="s">
        <v>3411</v>
      </c>
      <c r="F1027" s="853" t="s">
        <v>528</v>
      </c>
      <c r="G1027" s="913">
        <v>68</v>
      </c>
      <c r="H1027" t="s">
        <v>4293</v>
      </c>
    </row>
    <row r="1028" spans="2:8">
      <c r="B1028" s="871">
        <v>46270</v>
      </c>
      <c r="C1028" t="s">
        <v>2474</v>
      </c>
      <c r="D1028" t="s">
        <v>1434</v>
      </c>
      <c r="E1028" t="s">
        <v>43</v>
      </c>
      <c r="F1028" s="853" t="s">
        <v>526</v>
      </c>
      <c r="G1028" s="913" t="s">
        <v>9409</v>
      </c>
      <c r="H1028" t="s">
        <v>4294</v>
      </c>
    </row>
    <row r="1029" spans="2:8">
      <c r="B1029" s="871">
        <v>46270</v>
      </c>
      <c r="C1029" t="s">
        <v>2474</v>
      </c>
      <c r="D1029" t="s">
        <v>1434</v>
      </c>
      <c r="E1029" t="s">
        <v>43</v>
      </c>
      <c r="F1029" s="853" t="s">
        <v>527</v>
      </c>
      <c r="G1029" s="913" t="s">
        <v>9409</v>
      </c>
      <c r="H1029" t="s">
        <v>4295</v>
      </c>
    </row>
    <row r="1030" spans="2:8">
      <c r="B1030" s="871">
        <v>46270</v>
      </c>
      <c r="C1030" t="s">
        <v>2474</v>
      </c>
      <c r="D1030" t="s">
        <v>1434</v>
      </c>
      <c r="E1030" t="s">
        <v>43</v>
      </c>
      <c r="F1030" s="853" t="s">
        <v>528</v>
      </c>
      <c r="G1030" s="913" t="s">
        <v>9409</v>
      </c>
      <c r="H1030" t="s">
        <v>4296</v>
      </c>
    </row>
    <row r="1031" spans="2:8">
      <c r="B1031" s="871">
        <v>46270</v>
      </c>
      <c r="C1031" t="s">
        <v>2474</v>
      </c>
      <c r="D1031" t="s">
        <v>1410</v>
      </c>
      <c r="E1031" t="s">
        <v>3418</v>
      </c>
      <c r="F1031" s="853" t="s">
        <v>526</v>
      </c>
      <c r="G1031" s="913">
        <v>88</v>
      </c>
      <c r="H1031" t="s">
        <v>4297</v>
      </c>
    </row>
    <row r="1032" spans="2:8">
      <c r="B1032" s="871">
        <v>46270</v>
      </c>
      <c r="C1032" t="s">
        <v>2474</v>
      </c>
      <c r="D1032" t="s">
        <v>1410</v>
      </c>
      <c r="E1032" t="s">
        <v>3418</v>
      </c>
      <c r="F1032" s="853" t="s">
        <v>527</v>
      </c>
      <c r="G1032" s="913">
        <v>50</v>
      </c>
      <c r="H1032" t="s">
        <v>4298</v>
      </c>
    </row>
    <row r="1033" spans="2:8">
      <c r="B1033" s="871">
        <v>46270</v>
      </c>
      <c r="C1033" t="s">
        <v>2474</v>
      </c>
      <c r="D1033" t="s">
        <v>1410</v>
      </c>
      <c r="E1033" t="s">
        <v>3418</v>
      </c>
      <c r="F1033" s="853" t="s">
        <v>528</v>
      </c>
      <c r="G1033" s="913">
        <v>48</v>
      </c>
      <c r="H1033" t="s">
        <v>4299</v>
      </c>
    </row>
    <row r="1034" spans="2:8">
      <c r="B1034" s="871">
        <v>46270</v>
      </c>
      <c r="C1034" t="s">
        <v>2474</v>
      </c>
      <c r="D1034" t="s">
        <v>1434</v>
      </c>
      <c r="E1034" t="s">
        <v>1441</v>
      </c>
      <c r="F1034" s="853" t="s">
        <v>526</v>
      </c>
      <c r="G1034" s="913" t="s">
        <v>9410</v>
      </c>
      <c r="H1034" t="s">
        <v>4300</v>
      </c>
    </row>
    <row r="1035" spans="2:8">
      <c r="B1035" s="871">
        <v>46270</v>
      </c>
      <c r="C1035" t="s">
        <v>2474</v>
      </c>
      <c r="D1035" t="s">
        <v>1434</v>
      </c>
      <c r="E1035" t="s">
        <v>1441</v>
      </c>
      <c r="F1035" s="853" t="s">
        <v>527</v>
      </c>
      <c r="G1035" s="913" t="s">
        <v>9410</v>
      </c>
      <c r="H1035" t="s">
        <v>4301</v>
      </c>
    </row>
    <row r="1036" spans="2:8">
      <c r="B1036" s="871">
        <v>46270</v>
      </c>
      <c r="C1036" t="s">
        <v>2474</v>
      </c>
      <c r="D1036" t="s">
        <v>1434</v>
      </c>
      <c r="E1036" t="s">
        <v>1441</v>
      </c>
      <c r="F1036" s="853" t="s">
        <v>528</v>
      </c>
      <c r="G1036" s="913" t="s">
        <v>9410</v>
      </c>
      <c r="H1036" t="s">
        <v>4302</v>
      </c>
    </row>
    <row r="1037" spans="2:8">
      <c r="B1037" s="871">
        <v>46270</v>
      </c>
      <c r="C1037" t="s">
        <v>2474</v>
      </c>
      <c r="D1037" t="s">
        <v>1410</v>
      </c>
      <c r="E1037" t="s">
        <v>3425</v>
      </c>
      <c r="F1037" s="853" t="s">
        <v>526</v>
      </c>
      <c r="G1037" s="913" t="s">
        <v>1443</v>
      </c>
      <c r="H1037" t="s">
        <v>4303</v>
      </c>
    </row>
    <row r="1038" spans="2:8">
      <c r="B1038" s="871">
        <v>46270</v>
      </c>
      <c r="C1038" t="s">
        <v>2474</v>
      </c>
      <c r="D1038" t="s">
        <v>1410</v>
      </c>
      <c r="E1038" t="s">
        <v>3425</v>
      </c>
      <c r="F1038" s="853" t="s">
        <v>527</v>
      </c>
      <c r="G1038" s="913" t="s">
        <v>1443</v>
      </c>
      <c r="H1038" t="s">
        <v>4304</v>
      </c>
    </row>
    <row r="1039" spans="2:8">
      <c r="B1039" s="871">
        <v>46270</v>
      </c>
      <c r="C1039" t="s">
        <v>2474</v>
      </c>
      <c r="D1039" t="s">
        <v>1410</v>
      </c>
      <c r="E1039" t="s">
        <v>3425</v>
      </c>
      <c r="F1039" s="853" t="s">
        <v>528</v>
      </c>
      <c r="G1039" s="913" t="s">
        <v>1443</v>
      </c>
      <c r="H1039" t="s">
        <v>4305</v>
      </c>
    </row>
    <row r="1040" spans="2:8">
      <c r="B1040" s="871">
        <v>46270</v>
      </c>
      <c r="C1040" t="s">
        <v>2474</v>
      </c>
      <c r="D1040" t="s">
        <v>1434</v>
      </c>
      <c r="E1040" t="s">
        <v>1444</v>
      </c>
      <c r="F1040" s="853" t="s">
        <v>526</v>
      </c>
      <c r="H1040" t="s">
        <v>4306</v>
      </c>
    </row>
    <row r="1041" spans="2:8">
      <c r="B1041" s="871">
        <v>46270</v>
      </c>
      <c r="C1041" t="s">
        <v>2474</v>
      </c>
      <c r="D1041" t="s">
        <v>1434</v>
      </c>
      <c r="E1041" t="s">
        <v>1444</v>
      </c>
      <c r="F1041" s="853" t="s">
        <v>527</v>
      </c>
      <c r="H1041" t="s">
        <v>4307</v>
      </c>
    </row>
    <row r="1042" spans="2:8">
      <c r="B1042" s="871">
        <v>46270</v>
      </c>
      <c r="C1042" t="s">
        <v>2474</v>
      </c>
      <c r="D1042" t="s">
        <v>1434</v>
      </c>
      <c r="E1042" t="s">
        <v>1444</v>
      </c>
      <c r="F1042" s="853" t="s">
        <v>528</v>
      </c>
      <c r="H1042" t="s">
        <v>4308</v>
      </c>
    </row>
    <row r="1043" spans="2:8">
      <c r="B1043" s="871">
        <v>46270</v>
      </c>
      <c r="C1043" t="s">
        <v>2474</v>
      </c>
      <c r="D1043" t="s">
        <v>1434</v>
      </c>
      <c r="E1043" t="s">
        <v>1446</v>
      </c>
      <c r="F1043" s="853" t="s">
        <v>526</v>
      </c>
      <c r="G1043" s="913">
        <v>48000</v>
      </c>
      <c r="H1043" t="s">
        <v>4309</v>
      </c>
    </row>
    <row r="1044" spans="2:8">
      <c r="B1044" s="871">
        <v>46270</v>
      </c>
      <c r="C1044" t="s">
        <v>2474</v>
      </c>
      <c r="D1044" t="s">
        <v>1434</v>
      </c>
      <c r="E1044" t="s">
        <v>1446</v>
      </c>
      <c r="F1044" s="853" t="s">
        <v>527</v>
      </c>
      <c r="G1044" s="913">
        <v>48000</v>
      </c>
      <c r="H1044" t="s">
        <v>4310</v>
      </c>
    </row>
    <row r="1045" spans="2:8">
      <c r="B1045" s="871">
        <v>46270</v>
      </c>
      <c r="C1045" t="s">
        <v>2474</v>
      </c>
      <c r="D1045" t="s">
        <v>1434</v>
      </c>
      <c r="E1045" t="s">
        <v>1446</v>
      </c>
      <c r="F1045" s="853" t="s">
        <v>528</v>
      </c>
      <c r="G1045" s="913">
        <v>48000</v>
      </c>
      <c r="H1045" t="s">
        <v>4311</v>
      </c>
    </row>
    <row r="1046" spans="2:8">
      <c r="B1046" s="871">
        <v>46270</v>
      </c>
      <c r="C1046" t="s">
        <v>2474</v>
      </c>
      <c r="D1046" t="s">
        <v>1410</v>
      </c>
      <c r="E1046" t="s">
        <v>3435</v>
      </c>
      <c r="F1046" s="853" t="s">
        <v>526</v>
      </c>
      <c r="G1046" s="913" t="s">
        <v>1213</v>
      </c>
      <c r="H1046" t="s">
        <v>4312</v>
      </c>
    </row>
    <row r="1047" spans="2:8">
      <c r="B1047" s="871">
        <v>46270</v>
      </c>
      <c r="C1047" t="s">
        <v>2474</v>
      </c>
      <c r="D1047" t="s">
        <v>1410</v>
      </c>
      <c r="E1047" t="s">
        <v>3435</v>
      </c>
      <c r="F1047" s="853" t="s">
        <v>527</v>
      </c>
      <c r="G1047" s="913" t="s">
        <v>1586</v>
      </c>
      <c r="H1047" t="s">
        <v>4313</v>
      </c>
    </row>
    <row r="1048" spans="2:8">
      <c r="B1048" s="871">
        <v>46270</v>
      </c>
      <c r="C1048" t="s">
        <v>2474</v>
      </c>
      <c r="D1048" t="s">
        <v>1410</v>
      </c>
      <c r="E1048" t="s">
        <v>3435</v>
      </c>
      <c r="F1048" s="853" t="s">
        <v>528</v>
      </c>
      <c r="G1048" s="913" t="s">
        <v>1586</v>
      </c>
      <c r="H1048" t="s">
        <v>4314</v>
      </c>
    </row>
    <row r="1049" spans="2:8">
      <c r="B1049" s="871">
        <v>46270</v>
      </c>
      <c r="C1049" t="s">
        <v>2474</v>
      </c>
      <c r="D1049" t="s">
        <v>1434</v>
      </c>
      <c r="E1049" t="s">
        <v>3439</v>
      </c>
      <c r="F1049" s="853" t="s">
        <v>526</v>
      </c>
      <c r="H1049" t="s">
        <v>4315</v>
      </c>
    </row>
    <row r="1050" spans="2:8">
      <c r="B1050" s="871">
        <v>46270</v>
      </c>
      <c r="C1050" t="s">
        <v>2474</v>
      </c>
      <c r="D1050" t="s">
        <v>1434</v>
      </c>
      <c r="E1050" t="s">
        <v>3439</v>
      </c>
      <c r="F1050" s="853" t="s">
        <v>527</v>
      </c>
      <c r="H1050" t="s">
        <v>4316</v>
      </c>
    </row>
    <row r="1051" spans="2:8">
      <c r="B1051" s="871">
        <v>46270</v>
      </c>
      <c r="C1051" t="s">
        <v>2474</v>
      </c>
      <c r="D1051" t="s">
        <v>1434</v>
      </c>
      <c r="E1051" t="s">
        <v>3439</v>
      </c>
      <c r="F1051" s="853" t="s">
        <v>528</v>
      </c>
      <c r="H1051" t="s">
        <v>4317</v>
      </c>
    </row>
    <row r="1052" spans="2:8">
      <c r="B1052" s="871">
        <v>46270</v>
      </c>
      <c r="C1052" t="s">
        <v>2474</v>
      </c>
      <c r="D1052" t="s">
        <v>1410</v>
      </c>
      <c r="E1052" t="s">
        <v>3443</v>
      </c>
      <c r="F1052" s="853" t="s">
        <v>526</v>
      </c>
      <c r="G1052" s="913">
        <v>127</v>
      </c>
      <c r="H1052" t="s">
        <v>4318</v>
      </c>
    </row>
    <row r="1053" spans="2:8">
      <c r="B1053" s="871">
        <v>46270</v>
      </c>
      <c r="C1053" t="s">
        <v>2474</v>
      </c>
      <c r="D1053" t="s">
        <v>1410</v>
      </c>
      <c r="E1053" t="s">
        <v>3443</v>
      </c>
      <c r="F1053" s="853" t="s">
        <v>527</v>
      </c>
      <c r="H1053" t="s">
        <v>4319</v>
      </c>
    </row>
    <row r="1054" spans="2:8">
      <c r="B1054" s="871">
        <v>46270</v>
      </c>
      <c r="C1054" t="s">
        <v>2474</v>
      </c>
      <c r="D1054" t="s">
        <v>1410</v>
      </c>
      <c r="E1054" t="s">
        <v>3443</v>
      </c>
      <c r="F1054" s="853" t="s">
        <v>528</v>
      </c>
      <c r="H1054" t="s">
        <v>4320</v>
      </c>
    </row>
    <row r="1055" spans="2:8">
      <c r="B1055" s="871">
        <v>46270</v>
      </c>
      <c r="C1055" t="s">
        <v>2474</v>
      </c>
      <c r="D1055" t="s">
        <v>1434</v>
      </c>
      <c r="E1055" t="s">
        <v>3447</v>
      </c>
      <c r="F1055" s="853" t="s">
        <v>526</v>
      </c>
      <c r="H1055" t="s">
        <v>4321</v>
      </c>
    </row>
    <row r="1056" spans="2:8">
      <c r="B1056" s="871">
        <v>46270</v>
      </c>
      <c r="C1056" t="s">
        <v>2474</v>
      </c>
      <c r="D1056" t="s">
        <v>1434</v>
      </c>
      <c r="E1056" t="s">
        <v>3447</v>
      </c>
      <c r="F1056" s="853" t="s">
        <v>527</v>
      </c>
      <c r="H1056" t="s">
        <v>4322</v>
      </c>
    </row>
    <row r="1057" spans="2:8">
      <c r="B1057" s="871">
        <v>46270</v>
      </c>
      <c r="C1057" t="s">
        <v>2474</v>
      </c>
      <c r="D1057" t="s">
        <v>1434</v>
      </c>
      <c r="E1057" t="s">
        <v>3447</v>
      </c>
      <c r="F1057" s="853" t="s">
        <v>528</v>
      </c>
      <c r="H1057" t="s">
        <v>4323</v>
      </c>
    </row>
    <row r="1058" spans="2:8">
      <c r="B1058" s="871">
        <v>46270</v>
      </c>
      <c r="C1058" t="s">
        <v>2474</v>
      </c>
      <c r="D1058" t="s">
        <v>1410</v>
      </c>
      <c r="E1058" t="s">
        <v>3451</v>
      </c>
      <c r="F1058" s="853" t="s">
        <v>526</v>
      </c>
      <c r="G1058" s="913">
        <v>1410</v>
      </c>
      <c r="H1058" t="s">
        <v>4324</v>
      </c>
    </row>
    <row r="1059" spans="2:8">
      <c r="B1059" s="871">
        <v>46270</v>
      </c>
      <c r="C1059" t="s">
        <v>2474</v>
      </c>
      <c r="D1059" t="s">
        <v>1410</v>
      </c>
      <c r="E1059" t="s">
        <v>3451</v>
      </c>
      <c r="F1059" s="853" t="s">
        <v>527</v>
      </c>
      <c r="H1059" t="s">
        <v>4325</v>
      </c>
    </row>
    <row r="1060" spans="2:8">
      <c r="B1060" s="871">
        <v>46270</v>
      </c>
      <c r="C1060" t="s">
        <v>2474</v>
      </c>
      <c r="D1060" t="s">
        <v>1410</v>
      </c>
      <c r="E1060" t="s">
        <v>3451</v>
      </c>
      <c r="F1060" s="853" t="s">
        <v>528</v>
      </c>
      <c r="H1060" t="s">
        <v>4326</v>
      </c>
    </row>
    <row r="1061" spans="2:8">
      <c r="B1061" s="871">
        <v>46270</v>
      </c>
      <c r="C1061" t="s">
        <v>2474</v>
      </c>
      <c r="D1061" t="s">
        <v>1434</v>
      </c>
      <c r="E1061" t="s">
        <v>3455</v>
      </c>
      <c r="F1061" s="853" t="s">
        <v>526</v>
      </c>
      <c r="H1061" t="s">
        <v>4327</v>
      </c>
    </row>
    <row r="1062" spans="2:8">
      <c r="B1062" s="871">
        <v>46270</v>
      </c>
      <c r="C1062" t="s">
        <v>2474</v>
      </c>
      <c r="D1062" t="s">
        <v>1434</v>
      </c>
      <c r="E1062" t="s">
        <v>3455</v>
      </c>
      <c r="F1062" s="853" t="s">
        <v>527</v>
      </c>
      <c r="H1062" t="s">
        <v>4328</v>
      </c>
    </row>
    <row r="1063" spans="2:8">
      <c r="B1063" s="871">
        <v>46270</v>
      </c>
      <c r="C1063" t="s">
        <v>2474</v>
      </c>
      <c r="D1063" t="s">
        <v>1434</v>
      </c>
      <c r="E1063" t="s">
        <v>3455</v>
      </c>
      <c r="F1063" s="853" t="s">
        <v>528</v>
      </c>
      <c r="H1063" t="s">
        <v>4329</v>
      </c>
    </row>
    <row r="1064" spans="2:8">
      <c r="B1064" s="871">
        <v>46270</v>
      </c>
      <c r="C1064" t="s">
        <v>2474</v>
      </c>
      <c r="D1064" t="s">
        <v>1410</v>
      </c>
      <c r="E1064" t="s">
        <v>3459</v>
      </c>
      <c r="F1064" s="853" t="s">
        <v>526</v>
      </c>
      <c r="G1064" s="913">
        <v>31</v>
      </c>
      <c r="H1064" t="s">
        <v>4330</v>
      </c>
    </row>
    <row r="1065" spans="2:8">
      <c r="B1065" s="871">
        <v>46270</v>
      </c>
      <c r="C1065" t="s">
        <v>2474</v>
      </c>
      <c r="D1065" t="s">
        <v>1410</v>
      </c>
      <c r="E1065" t="s">
        <v>3459</v>
      </c>
      <c r="F1065" s="853" t="s">
        <v>527</v>
      </c>
      <c r="G1065" s="913">
        <v>25</v>
      </c>
      <c r="H1065" t="s">
        <v>4331</v>
      </c>
    </row>
    <row r="1066" spans="2:8">
      <c r="B1066" s="871">
        <v>46270</v>
      </c>
      <c r="C1066" t="s">
        <v>2474</v>
      </c>
      <c r="D1066" t="s">
        <v>1410</v>
      </c>
      <c r="E1066" t="s">
        <v>3459</v>
      </c>
      <c r="F1066" s="853" t="s">
        <v>528</v>
      </c>
      <c r="G1066" s="913">
        <v>28</v>
      </c>
      <c r="H1066" t="s">
        <v>4332</v>
      </c>
    </row>
    <row r="1067" spans="2:8">
      <c r="B1067" s="871">
        <v>46270</v>
      </c>
      <c r="C1067" t="s">
        <v>2474</v>
      </c>
      <c r="D1067" t="s">
        <v>1434</v>
      </c>
      <c r="E1067" t="s">
        <v>3463</v>
      </c>
      <c r="F1067" s="853" t="s">
        <v>526</v>
      </c>
      <c r="H1067" t="s">
        <v>4333</v>
      </c>
    </row>
    <row r="1068" spans="2:8">
      <c r="B1068" s="871">
        <v>46270</v>
      </c>
      <c r="C1068" t="s">
        <v>2474</v>
      </c>
      <c r="D1068" t="s">
        <v>1434</v>
      </c>
      <c r="E1068" t="s">
        <v>3463</v>
      </c>
      <c r="F1068" s="853" t="s">
        <v>527</v>
      </c>
      <c r="H1068" t="s">
        <v>4334</v>
      </c>
    </row>
    <row r="1069" spans="2:8">
      <c r="B1069" s="871">
        <v>46270</v>
      </c>
      <c r="C1069" t="s">
        <v>2474</v>
      </c>
      <c r="D1069" t="s">
        <v>1434</v>
      </c>
      <c r="E1069" t="s">
        <v>3463</v>
      </c>
      <c r="F1069" s="853" t="s">
        <v>528</v>
      </c>
      <c r="H1069" t="s">
        <v>4335</v>
      </c>
    </row>
    <row r="1070" spans="2:8">
      <c r="B1070" s="871">
        <v>46270</v>
      </c>
      <c r="C1070" t="s">
        <v>2474</v>
      </c>
      <c r="D1070" t="s">
        <v>1410</v>
      </c>
      <c r="E1070" t="s">
        <v>3467</v>
      </c>
      <c r="F1070" s="853" t="s">
        <v>526</v>
      </c>
      <c r="G1070" s="913">
        <v>31</v>
      </c>
      <c r="H1070" t="s">
        <v>4336</v>
      </c>
    </row>
    <row r="1071" spans="2:8">
      <c r="B1071" s="871">
        <v>46270</v>
      </c>
      <c r="C1071" t="s">
        <v>2474</v>
      </c>
      <c r="D1071" t="s">
        <v>1410</v>
      </c>
      <c r="E1071" t="s">
        <v>3467</v>
      </c>
      <c r="F1071" s="853" t="s">
        <v>527</v>
      </c>
      <c r="G1071" s="913">
        <v>25</v>
      </c>
      <c r="H1071" t="s">
        <v>4337</v>
      </c>
    </row>
    <row r="1072" spans="2:8">
      <c r="B1072" s="871">
        <v>46270</v>
      </c>
      <c r="C1072" t="s">
        <v>2474</v>
      </c>
      <c r="D1072" t="s">
        <v>1410</v>
      </c>
      <c r="E1072" t="s">
        <v>3467</v>
      </c>
      <c r="F1072" s="853" t="s">
        <v>528</v>
      </c>
      <c r="H1072" t="s">
        <v>4338</v>
      </c>
    </row>
    <row r="1073" spans="2:8">
      <c r="B1073" s="871">
        <v>46270</v>
      </c>
      <c r="C1073" t="s">
        <v>2474</v>
      </c>
      <c r="D1073" t="s">
        <v>1434</v>
      </c>
      <c r="E1073" t="s">
        <v>3471</v>
      </c>
      <c r="F1073" s="853" t="s">
        <v>526</v>
      </c>
      <c r="H1073" t="s">
        <v>4339</v>
      </c>
    </row>
    <row r="1074" spans="2:8">
      <c r="B1074" s="871">
        <v>46270</v>
      </c>
      <c r="C1074" t="s">
        <v>2474</v>
      </c>
      <c r="D1074" t="s">
        <v>1434</v>
      </c>
      <c r="E1074" t="s">
        <v>3471</v>
      </c>
      <c r="F1074" s="853" t="s">
        <v>527</v>
      </c>
      <c r="H1074" t="s">
        <v>4340</v>
      </c>
    </row>
    <row r="1075" spans="2:8">
      <c r="B1075" s="871">
        <v>46270</v>
      </c>
      <c r="C1075" t="s">
        <v>2474</v>
      </c>
      <c r="D1075" t="s">
        <v>1434</v>
      </c>
      <c r="E1075" t="s">
        <v>3471</v>
      </c>
      <c r="F1075" s="853" t="s">
        <v>528</v>
      </c>
      <c r="H1075" t="s">
        <v>4341</v>
      </c>
    </row>
    <row r="1076" spans="2:8">
      <c r="B1076" s="871">
        <v>46270</v>
      </c>
      <c r="C1076" t="s">
        <v>2474</v>
      </c>
      <c r="D1076" t="s">
        <v>1410</v>
      </c>
      <c r="E1076" t="s">
        <v>3475</v>
      </c>
      <c r="F1076" s="853" t="s">
        <v>526</v>
      </c>
      <c r="G1076" s="913">
        <v>17</v>
      </c>
      <c r="H1076" t="s">
        <v>4342</v>
      </c>
    </row>
    <row r="1077" spans="2:8">
      <c r="B1077" s="871">
        <v>46270</v>
      </c>
      <c r="C1077" t="s">
        <v>2474</v>
      </c>
      <c r="D1077" t="s">
        <v>1410</v>
      </c>
      <c r="E1077" t="s">
        <v>3475</v>
      </c>
      <c r="F1077" s="853" t="s">
        <v>527</v>
      </c>
      <c r="G1077" s="913">
        <v>15</v>
      </c>
      <c r="H1077" t="s">
        <v>4343</v>
      </c>
    </row>
    <row r="1078" spans="2:8">
      <c r="B1078" s="871">
        <v>46270</v>
      </c>
      <c r="C1078" t="s">
        <v>2474</v>
      </c>
      <c r="D1078" t="s">
        <v>1410</v>
      </c>
      <c r="E1078" t="s">
        <v>3475</v>
      </c>
      <c r="F1078" s="853" t="s">
        <v>528</v>
      </c>
      <c r="G1078" s="913">
        <v>17</v>
      </c>
      <c r="H1078" t="s">
        <v>4344</v>
      </c>
    </row>
    <row r="1079" spans="2:8">
      <c r="B1079" s="871">
        <v>46270</v>
      </c>
      <c r="C1079" t="s">
        <v>2474</v>
      </c>
      <c r="D1079" t="s">
        <v>1434</v>
      </c>
      <c r="E1079" t="s">
        <v>3479</v>
      </c>
      <c r="F1079" s="853" t="s">
        <v>526</v>
      </c>
      <c r="H1079" t="s">
        <v>4345</v>
      </c>
    </row>
    <row r="1080" spans="2:8">
      <c r="B1080" s="871">
        <v>46270</v>
      </c>
      <c r="C1080" t="s">
        <v>2474</v>
      </c>
      <c r="D1080" t="s">
        <v>1434</v>
      </c>
      <c r="E1080" t="s">
        <v>3479</v>
      </c>
      <c r="F1080" s="853" t="s">
        <v>527</v>
      </c>
      <c r="H1080" t="s">
        <v>4346</v>
      </c>
    </row>
    <row r="1081" spans="2:8">
      <c r="B1081" s="871">
        <v>46270</v>
      </c>
      <c r="C1081" t="s">
        <v>2474</v>
      </c>
      <c r="D1081" t="s">
        <v>1434</v>
      </c>
      <c r="E1081" t="s">
        <v>3479</v>
      </c>
      <c r="F1081" s="853" t="s">
        <v>528</v>
      </c>
      <c r="H1081" t="s">
        <v>4347</v>
      </c>
    </row>
    <row r="1082" spans="2:8">
      <c r="B1082" s="871">
        <v>46270</v>
      </c>
      <c r="C1082" t="s">
        <v>2474</v>
      </c>
      <c r="D1082" t="s">
        <v>1410</v>
      </c>
      <c r="E1082" t="s">
        <v>3483</v>
      </c>
      <c r="F1082" s="853" t="s">
        <v>526</v>
      </c>
      <c r="G1082" s="913">
        <v>5</v>
      </c>
      <c r="H1082" t="s">
        <v>4348</v>
      </c>
    </row>
    <row r="1083" spans="2:8">
      <c r="B1083" s="871">
        <v>46270</v>
      </c>
      <c r="C1083" t="s">
        <v>2474</v>
      </c>
      <c r="D1083" t="s">
        <v>1410</v>
      </c>
      <c r="E1083" t="s">
        <v>3483</v>
      </c>
      <c r="F1083" s="853" t="s">
        <v>527</v>
      </c>
      <c r="G1083" s="913">
        <v>5</v>
      </c>
      <c r="H1083" t="s">
        <v>4349</v>
      </c>
    </row>
    <row r="1084" spans="2:8">
      <c r="B1084" s="871">
        <v>46270</v>
      </c>
      <c r="C1084" t="s">
        <v>2474</v>
      </c>
      <c r="D1084" t="s">
        <v>1410</v>
      </c>
      <c r="E1084" t="s">
        <v>3483</v>
      </c>
      <c r="F1084" s="853" t="s">
        <v>528</v>
      </c>
      <c r="G1084" s="913">
        <v>5</v>
      </c>
      <c r="H1084" t="s">
        <v>4350</v>
      </c>
    </row>
    <row r="1085" spans="2:8">
      <c r="B1085" s="871">
        <v>46271</v>
      </c>
      <c r="C1085" t="s">
        <v>2475</v>
      </c>
      <c r="D1085" t="s">
        <v>1375</v>
      </c>
      <c r="E1085" t="s">
        <v>1377</v>
      </c>
      <c r="F1085" s="853" t="s">
        <v>526</v>
      </c>
      <c r="G1085" s="913" t="s">
        <v>1622</v>
      </c>
      <c r="H1085" t="s">
        <v>4351</v>
      </c>
    </row>
    <row r="1086" spans="2:8">
      <c r="B1086" s="871">
        <v>46271</v>
      </c>
      <c r="C1086" t="s">
        <v>2475</v>
      </c>
      <c r="D1086" t="s">
        <v>1375</v>
      </c>
      <c r="E1086" t="s">
        <v>1377</v>
      </c>
      <c r="F1086" s="853" t="s">
        <v>527</v>
      </c>
      <c r="G1086" s="913" t="s">
        <v>1622</v>
      </c>
      <c r="H1086" t="s">
        <v>4352</v>
      </c>
    </row>
    <row r="1087" spans="2:8">
      <c r="B1087" s="871">
        <v>46271</v>
      </c>
      <c r="C1087" t="s">
        <v>2475</v>
      </c>
      <c r="D1087" t="s">
        <v>1375</v>
      </c>
      <c r="E1087" t="s">
        <v>1377</v>
      </c>
      <c r="F1087" s="853" t="s">
        <v>528</v>
      </c>
      <c r="G1087" s="913" t="s">
        <v>1622</v>
      </c>
      <c r="H1087" t="s">
        <v>4353</v>
      </c>
    </row>
    <row r="1088" spans="2:8">
      <c r="B1088" s="871">
        <v>46271</v>
      </c>
      <c r="C1088" t="s">
        <v>2475</v>
      </c>
      <c r="D1088" t="s">
        <v>1376</v>
      </c>
      <c r="E1088" t="s">
        <v>1379</v>
      </c>
      <c r="F1088" s="853" t="s">
        <v>526</v>
      </c>
      <c r="H1088" t="s">
        <v>4354</v>
      </c>
    </row>
    <row r="1089" spans="2:8">
      <c r="B1089" s="871">
        <v>46271</v>
      </c>
      <c r="C1089" t="s">
        <v>2475</v>
      </c>
      <c r="D1089" t="s">
        <v>1376</v>
      </c>
      <c r="E1089" t="s">
        <v>1379</v>
      </c>
      <c r="F1089" s="853" t="s">
        <v>527</v>
      </c>
      <c r="H1089" t="s">
        <v>4355</v>
      </c>
    </row>
    <row r="1090" spans="2:8">
      <c r="B1090" s="871">
        <v>46271</v>
      </c>
      <c r="C1090" t="s">
        <v>2475</v>
      </c>
      <c r="D1090" t="s">
        <v>1376</v>
      </c>
      <c r="E1090" t="s">
        <v>1379</v>
      </c>
      <c r="F1090" s="853" t="s">
        <v>528</v>
      </c>
      <c r="H1090" t="s">
        <v>4356</v>
      </c>
    </row>
    <row r="1091" spans="2:8">
      <c r="B1091" s="871">
        <v>46271</v>
      </c>
      <c r="C1091" t="s">
        <v>2475</v>
      </c>
      <c r="D1091" t="s">
        <v>1375</v>
      </c>
      <c r="E1091" t="s">
        <v>1380</v>
      </c>
      <c r="F1091" s="853" t="s">
        <v>526</v>
      </c>
      <c r="G1091" s="913" t="s">
        <v>1660</v>
      </c>
      <c r="H1091" t="s">
        <v>4357</v>
      </c>
    </row>
    <row r="1092" spans="2:8">
      <c r="B1092" s="871">
        <v>46271</v>
      </c>
      <c r="C1092" t="s">
        <v>2475</v>
      </c>
      <c r="D1092" t="s">
        <v>1375</v>
      </c>
      <c r="E1092" t="s">
        <v>1380</v>
      </c>
      <c r="F1092" s="853" t="s">
        <v>527</v>
      </c>
      <c r="G1092" s="913" t="s">
        <v>1624</v>
      </c>
      <c r="H1092" t="s">
        <v>4358</v>
      </c>
    </row>
    <row r="1093" spans="2:8">
      <c r="B1093" s="871">
        <v>46271</v>
      </c>
      <c r="C1093" t="s">
        <v>2475</v>
      </c>
      <c r="D1093" t="s">
        <v>1375</v>
      </c>
      <c r="E1093" t="s">
        <v>1380</v>
      </c>
      <c r="F1093" s="853" t="s">
        <v>528</v>
      </c>
      <c r="G1093" s="913" t="s">
        <v>1624</v>
      </c>
      <c r="H1093" t="s">
        <v>4359</v>
      </c>
    </row>
    <row r="1094" spans="2:8">
      <c r="B1094" s="871">
        <v>46271</v>
      </c>
      <c r="C1094" t="s">
        <v>2475</v>
      </c>
      <c r="D1094" t="s">
        <v>1376</v>
      </c>
      <c r="E1094" t="s">
        <v>1383</v>
      </c>
      <c r="F1094" s="853" t="s">
        <v>526</v>
      </c>
      <c r="G1094" s="913">
        <v>0</v>
      </c>
      <c r="H1094" t="s">
        <v>4360</v>
      </c>
    </row>
    <row r="1095" spans="2:8">
      <c r="B1095" s="871">
        <v>46271</v>
      </c>
      <c r="C1095" t="s">
        <v>2475</v>
      </c>
      <c r="D1095" t="s">
        <v>1376</v>
      </c>
      <c r="E1095" t="s">
        <v>1383</v>
      </c>
      <c r="F1095" s="853" t="s">
        <v>527</v>
      </c>
      <c r="G1095" s="913">
        <v>0</v>
      </c>
      <c r="H1095" t="s">
        <v>4361</v>
      </c>
    </row>
    <row r="1096" spans="2:8">
      <c r="B1096" s="871">
        <v>46271</v>
      </c>
      <c r="C1096" t="s">
        <v>2475</v>
      </c>
      <c r="D1096" t="s">
        <v>1376</v>
      </c>
      <c r="E1096" t="s">
        <v>1383</v>
      </c>
      <c r="F1096" s="853" t="s">
        <v>528</v>
      </c>
      <c r="G1096" s="913">
        <v>0</v>
      </c>
      <c r="H1096" t="s">
        <v>4362</v>
      </c>
    </row>
    <row r="1097" spans="2:8">
      <c r="B1097" s="871">
        <v>46271</v>
      </c>
      <c r="C1097" t="s">
        <v>2475</v>
      </c>
      <c r="D1097" t="s">
        <v>1375</v>
      </c>
      <c r="E1097" t="s">
        <v>54</v>
      </c>
      <c r="F1097" s="853" t="s">
        <v>526</v>
      </c>
      <c r="H1097" t="s">
        <v>4363</v>
      </c>
    </row>
    <row r="1098" spans="2:8">
      <c r="B1098" s="871">
        <v>46271</v>
      </c>
      <c r="C1098" t="s">
        <v>2475</v>
      </c>
      <c r="D1098" t="s">
        <v>1375</v>
      </c>
      <c r="E1098" t="s">
        <v>54</v>
      </c>
      <c r="F1098" s="853" t="s">
        <v>527</v>
      </c>
      <c r="H1098" t="s">
        <v>4364</v>
      </c>
    </row>
    <row r="1099" spans="2:8">
      <c r="B1099" s="871">
        <v>46271</v>
      </c>
      <c r="C1099" t="s">
        <v>2475</v>
      </c>
      <c r="D1099" t="s">
        <v>1375</v>
      </c>
      <c r="E1099" t="s">
        <v>54</v>
      </c>
      <c r="F1099" s="853" t="s">
        <v>528</v>
      </c>
      <c r="H1099" t="s">
        <v>4365</v>
      </c>
    </row>
    <row r="1100" spans="2:8">
      <c r="B1100" s="871">
        <v>46271</v>
      </c>
      <c r="C1100" t="s">
        <v>2475</v>
      </c>
      <c r="D1100" t="s">
        <v>1376</v>
      </c>
      <c r="E1100" t="s">
        <v>1384</v>
      </c>
      <c r="F1100" s="853" t="s">
        <v>526</v>
      </c>
      <c r="G1100" s="913">
        <v>0.4</v>
      </c>
      <c r="H1100" t="s">
        <v>4366</v>
      </c>
    </row>
    <row r="1101" spans="2:8">
      <c r="B1101" s="871">
        <v>46271</v>
      </c>
      <c r="C1101" t="s">
        <v>2475</v>
      </c>
      <c r="D1101" t="s">
        <v>1376</v>
      </c>
      <c r="E1101" t="s">
        <v>1384</v>
      </c>
      <c r="F1101" s="853" t="s">
        <v>527</v>
      </c>
      <c r="H1101" t="s">
        <v>4367</v>
      </c>
    </row>
    <row r="1102" spans="2:8">
      <c r="B1102" s="871">
        <v>46271</v>
      </c>
      <c r="C1102" t="s">
        <v>2475</v>
      </c>
      <c r="D1102" t="s">
        <v>1376</v>
      </c>
      <c r="E1102" t="s">
        <v>1384</v>
      </c>
      <c r="F1102" s="853" t="s">
        <v>528</v>
      </c>
      <c r="G1102" s="913">
        <v>0.4</v>
      </c>
      <c r="H1102" t="s">
        <v>4368</v>
      </c>
    </row>
    <row r="1103" spans="2:8">
      <c r="B1103" s="871">
        <v>46271</v>
      </c>
      <c r="C1103" t="s">
        <v>2475</v>
      </c>
      <c r="D1103" t="s">
        <v>1375</v>
      </c>
      <c r="E1103" t="s">
        <v>1385</v>
      </c>
      <c r="F1103" s="853" t="s">
        <v>526</v>
      </c>
      <c r="G1103" s="913">
        <v>1209</v>
      </c>
      <c r="H1103" t="s">
        <v>4369</v>
      </c>
    </row>
    <row r="1104" spans="2:8">
      <c r="B1104" s="871">
        <v>46271</v>
      </c>
      <c r="C1104" t="s">
        <v>2475</v>
      </c>
      <c r="D1104" t="s">
        <v>1375</v>
      </c>
      <c r="E1104" t="s">
        <v>1385</v>
      </c>
      <c r="F1104" s="853" t="s">
        <v>527</v>
      </c>
      <c r="G1104" s="913">
        <v>1209</v>
      </c>
      <c r="H1104" t="s">
        <v>4370</v>
      </c>
    </row>
    <row r="1105" spans="2:8">
      <c r="B1105" s="871">
        <v>46271</v>
      </c>
      <c r="C1105" t="s">
        <v>2475</v>
      </c>
      <c r="D1105" t="s">
        <v>1375</v>
      </c>
      <c r="E1105" t="s">
        <v>1385</v>
      </c>
      <c r="F1105" s="853" t="s">
        <v>528</v>
      </c>
      <c r="G1105" s="913">
        <v>4183</v>
      </c>
      <c r="H1105" t="s">
        <v>4371</v>
      </c>
    </row>
    <row r="1106" spans="2:8">
      <c r="B1106" s="871">
        <v>46271</v>
      </c>
      <c r="C1106" t="s">
        <v>2475</v>
      </c>
      <c r="D1106" t="s">
        <v>1376</v>
      </c>
      <c r="E1106" t="s">
        <v>1386</v>
      </c>
      <c r="F1106" s="853" t="s">
        <v>526</v>
      </c>
      <c r="G1106" s="913">
        <v>0.34</v>
      </c>
      <c r="H1106" t="s">
        <v>4372</v>
      </c>
    </row>
    <row r="1107" spans="2:8">
      <c r="B1107" s="871">
        <v>46271</v>
      </c>
      <c r="C1107" t="s">
        <v>2475</v>
      </c>
      <c r="D1107" t="s">
        <v>1376</v>
      </c>
      <c r="E1107" t="s">
        <v>1386</v>
      </c>
      <c r="F1107" s="853" t="s">
        <v>527</v>
      </c>
      <c r="H1107" t="s">
        <v>4373</v>
      </c>
    </row>
    <row r="1108" spans="2:8">
      <c r="B1108" s="871">
        <v>46271</v>
      </c>
      <c r="C1108" t="s">
        <v>2475</v>
      </c>
      <c r="D1108" t="s">
        <v>1376</v>
      </c>
      <c r="E1108" t="s">
        <v>1386</v>
      </c>
      <c r="F1108" s="853" t="s">
        <v>528</v>
      </c>
      <c r="G1108" s="913">
        <v>0.5</v>
      </c>
      <c r="H1108" t="s">
        <v>4374</v>
      </c>
    </row>
    <row r="1109" spans="2:8">
      <c r="B1109" s="871">
        <v>46271</v>
      </c>
      <c r="C1109" t="s">
        <v>2475</v>
      </c>
      <c r="D1109" t="s">
        <v>1376</v>
      </c>
      <c r="E1109" t="s">
        <v>1387</v>
      </c>
      <c r="F1109" s="853" t="s">
        <v>526</v>
      </c>
      <c r="G1109" s="913">
        <v>8.3000000000000007</v>
      </c>
      <c r="H1109" t="s">
        <v>4375</v>
      </c>
    </row>
    <row r="1110" spans="2:8">
      <c r="B1110" s="871">
        <v>46271</v>
      </c>
      <c r="C1110" t="s">
        <v>2475</v>
      </c>
      <c r="D1110" t="s">
        <v>1376</v>
      </c>
      <c r="E1110" t="s">
        <v>1387</v>
      </c>
      <c r="F1110" s="853" t="s">
        <v>527</v>
      </c>
      <c r="H1110" t="s">
        <v>4376</v>
      </c>
    </row>
    <row r="1111" spans="2:8">
      <c r="B1111" s="871">
        <v>46271</v>
      </c>
      <c r="C1111" t="s">
        <v>2475</v>
      </c>
      <c r="D1111" t="s">
        <v>1376</v>
      </c>
      <c r="E1111" t="s">
        <v>1387</v>
      </c>
      <c r="F1111" s="853" t="s">
        <v>528</v>
      </c>
      <c r="G1111" s="913">
        <v>8.1</v>
      </c>
      <c r="H1111" t="s">
        <v>4377</v>
      </c>
    </row>
    <row r="1112" spans="2:8">
      <c r="B1112" s="871">
        <v>46271</v>
      </c>
      <c r="C1112" t="s">
        <v>2475</v>
      </c>
      <c r="D1112" t="s">
        <v>1375</v>
      </c>
      <c r="E1112" t="s">
        <v>1388</v>
      </c>
      <c r="F1112" s="853" t="s">
        <v>526</v>
      </c>
      <c r="H1112" t="s">
        <v>4378</v>
      </c>
    </row>
    <row r="1113" spans="2:8">
      <c r="B1113" s="871">
        <v>46271</v>
      </c>
      <c r="C1113" t="s">
        <v>2475</v>
      </c>
      <c r="D1113" t="s">
        <v>1375</v>
      </c>
      <c r="E1113" t="s">
        <v>1388</v>
      </c>
      <c r="F1113" s="853" t="s">
        <v>527</v>
      </c>
      <c r="H1113" t="s">
        <v>4379</v>
      </c>
    </row>
    <row r="1114" spans="2:8">
      <c r="B1114" s="871">
        <v>46271</v>
      </c>
      <c r="C1114" t="s">
        <v>2475</v>
      </c>
      <c r="D1114" t="s">
        <v>1375</v>
      </c>
      <c r="E1114" t="s">
        <v>1388</v>
      </c>
      <c r="F1114" s="853" t="s">
        <v>528</v>
      </c>
      <c r="H1114" t="s">
        <v>4380</v>
      </c>
    </row>
    <row r="1115" spans="2:8">
      <c r="B1115" s="871">
        <v>46271</v>
      </c>
      <c r="C1115" t="s">
        <v>2475</v>
      </c>
      <c r="D1115" t="s">
        <v>1376</v>
      </c>
      <c r="E1115" t="s">
        <v>1389</v>
      </c>
      <c r="F1115" s="853" t="s">
        <v>526</v>
      </c>
      <c r="G1115" s="913">
        <v>61</v>
      </c>
      <c r="H1115" t="s">
        <v>4381</v>
      </c>
    </row>
    <row r="1116" spans="2:8">
      <c r="B1116" s="871">
        <v>46271</v>
      </c>
      <c r="C1116" t="s">
        <v>2475</v>
      </c>
      <c r="D1116" t="s">
        <v>1376</v>
      </c>
      <c r="E1116" t="s">
        <v>1389</v>
      </c>
      <c r="F1116" s="853" t="s">
        <v>527</v>
      </c>
      <c r="H1116" t="s">
        <v>4382</v>
      </c>
    </row>
    <row r="1117" spans="2:8">
      <c r="B1117" s="871">
        <v>46271</v>
      </c>
      <c r="C1117" t="s">
        <v>2475</v>
      </c>
      <c r="D1117" t="s">
        <v>1376</v>
      </c>
      <c r="E1117" t="s">
        <v>1389</v>
      </c>
      <c r="F1117" s="853" t="s">
        <v>528</v>
      </c>
      <c r="H1117" t="s">
        <v>4383</v>
      </c>
    </row>
    <row r="1118" spans="2:8">
      <c r="B1118" s="871">
        <v>46271</v>
      </c>
      <c r="C1118" t="s">
        <v>2475</v>
      </c>
      <c r="D1118" t="s">
        <v>1375</v>
      </c>
      <c r="E1118" t="s">
        <v>3266</v>
      </c>
      <c r="F1118" s="853" t="s">
        <v>526</v>
      </c>
      <c r="G1118" s="913">
        <v>1</v>
      </c>
      <c r="H1118" t="s">
        <v>4384</v>
      </c>
    </row>
    <row r="1119" spans="2:8">
      <c r="B1119" s="871">
        <v>46271</v>
      </c>
      <c r="C1119" t="s">
        <v>2475</v>
      </c>
      <c r="D1119" t="s">
        <v>1375</v>
      </c>
      <c r="E1119" t="s">
        <v>3266</v>
      </c>
      <c r="F1119" s="853" t="s">
        <v>527</v>
      </c>
      <c r="G1119" s="913">
        <v>4</v>
      </c>
      <c r="H1119" t="s">
        <v>4385</v>
      </c>
    </row>
    <row r="1120" spans="2:8">
      <c r="B1120" s="871">
        <v>46271</v>
      </c>
      <c r="C1120" t="s">
        <v>2475</v>
      </c>
      <c r="D1120" t="s">
        <v>1375</v>
      </c>
      <c r="E1120" t="s">
        <v>3266</v>
      </c>
      <c r="F1120" s="853" t="s">
        <v>528</v>
      </c>
      <c r="G1120" s="913">
        <v>2</v>
      </c>
      <c r="H1120" t="s">
        <v>4386</v>
      </c>
    </row>
    <row r="1121" spans="2:8">
      <c r="B1121" s="871">
        <v>46271</v>
      </c>
      <c r="C1121" t="s">
        <v>2475</v>
      </c>
      <c r="D1121" t="s">
        <v>1376</v>
      </c>
      <c r="E1121" t="s">
        <v>1390</v>
      </c>
      <c r="F1121" s="853" t="s">
        <v>526</v>
      </c>
      <c r="G1121" s="913">
        <v>1.5200000000000001E-3</v>
      </c>
      <c r="H1121" t="s">
        <v>4387</v>
      </c>
    </row>
    <row r="1122" spans="2:8">
      <c r="B1122" s="871">
        <v>46271</v>
      </c>
      <c r="C1122" t="s">
        <v>2475</v>
      </c>
      <c r="D1122" t="s">
        <v>1376</v>
      </c>
      <c r="E1122" t="s">
        <v>1390</v>
      </c>
      <c r="F1122" s="853" t="s">
        <v>527</v>
      </c>
      <c r="H1122" t="s">
        <v>4388</v>
      </c>
    </row>
    <row r="1123" spans="2:8">
      <c r="B1123" s="871">
        <v>46271</v>
      </c>
      <c r="C1123" t="s">
        <v>2475</v>
      </c>
      <c r="D1123" t="s">
        <v>1376</v>
      </c>
      <c r="E1123" t="s">
        <v>1390</v>
      </c>
      <c r="F1123" s="853" t="s">
        <v>528</v>
      </c>
      <c r="G1123" s="913">
        <v>1.5399999999999999E-3</v>
      </c>
      <c r="H1123" t="s">
        <v>4389</v>
      </c>
    </row>
    <row r="1124" spans="2:8">
      <c r="B1124" s="871">
        <v>46271</v>
      </c>
      <c r="C1124" t="s">
        <v>2475</v>
      </c>
      <c r="D1124" t="s">
        <v>1375</v>
      </c>
      <c r="E1124" t="s">
        <v>3273</v>
      </c>
      <c r="F1124" s="853" t="s">
        <v>526</v>
      </c>
      <c r="G1124" s="913">
        <v>3</v>
      </c>
      <c r="H1124" t="s">
        <v>4390</v>
      </c>
    </row>
    <row r="1125" spans="2:8">
      <c r="B1125" s="871">
        <v>46271</v>
      </c>
      <c r="C1125" t="s">
        <v>2475</v>
      </c>
      <c r="D1125" t="s">
        <v>1375</v>
      </c>
      <c r="E1125" t="s">
        <v>3273</v>
      </c>
      <c r="F1125" s="853" t="s">
        <v>527</v>
      </c>
      <c r="G1125" s="913">
        <v>4</v>
      </c>
      <c r="H1125" t="s">
        <v>4391</v>
      </c>
    </row>
    <row r="1126" spans="2:8">
      <c r="B1126" s="871">
        <v>46271</v>
      </c>
      <c r="C1126" t="s">
        <v>2475</v>
      </c>
      <c r="D1126" t="s">
        <v>1375</v>
      </c>
      <c r="E1126" t="s">
        <v>3273</v>
      </c>
      <c r="F1126" s="853" t="s">
        <v>528</v>
      </c>
      <c r="G1126" s="913">
        <v>3</v>
      </c>
      <c r="H1126" t="s">
        <v>4392</v>
      </c>
    </row>
    <row r="1127" spans="2:8">
      <c r="B1127" s="871">
        <v>46271</v>
      </c>
      <c r="C1127" t="s">
        <v>2475</v>
      </c>
      <c r="D1127" t="s">
        <v>1376</v>
      </c>
      <c r="E1127" t="s">
        <v>1391</v>
      </c>
      <c r="F1127" s="853" t="s">
        <v>526</v>
      </c>
      <c r="H1127" t="s">
        <v>4393</v>
      </c>
    </row>
    <row r="1128" spans="2:8">
      <c r="B1128" s="871">
        <v>46271</v>
      </c>
      <c r="C1128" t="s">
        <v>2475</v>
      </c>
      <c r="D1128" t="s">
        <v>1376</v>
      </c>
      <c r="E1128" t="s">
        <v>1391</v>
      </c>
      <c r="F1128" s="853" t="s">
        <v>527</v>
      </c>
      <c r="H1128" t="s">
        <v>4394</v>
      </c>
    </row>
    <row r="1129" spans="2:8">
      <c r="B1129" s="871">
        <v>46271</v>
      </c>
      <c r="C1129" t="s">
        <v>2475</v>
      </c>
      <c r="D1129" t="s">
        <v>1376</v>
      </c>
      <c r="E1129" t="s">
        <v>1391</v>
      </c>
      <c r="F1129" s="853" t="s">
        <v>528</v>
      </c>
      <c r="G1129" s="913">
        <v>7279</v>
      </c>
      <c r="H1129" t="s">
        <v>4395</v>
      </c>
    </row>
    <row r="1130" spans="2:8">
      <c r="B1130" s="871">
        <v>46271</v>
      </c>
      <c r="C1130" t="s">
        <v>2475</v>
      </c>
      <c r="D1130" t="s">
        <v>1375</v>
      </c>
      <c r="E1130" t="s">
        <v>3280</v>
      </c>
      <c r="F1130" s="853" t="s">
        <v>526</v>
      </c>
      <c r="G1130" s="913">
        <v>3</v>
      </c>
      <c r="H1130" t="s">
        <v>4396</v>
      </c>
    </row>
    <row r="1131" spans="2:8">
      <c r="B1131" s="871">
        <v>46271</v>
      </c>
      <c r="C1131" t="s">
        <v>2475</v>
      </c>
      <c r="D1131" t="s">
        <v>1375</v>
      </c>
      <c r="E1131" t="s">
        <v>3280</v>
      </c>
      <c r="F1131" s="853" t="s">
        <v>527</v>
      </c>
      <c r="G1131" s="913">
        <v>4</v>
      </c>
      <c r="H1131" t="s">
        <v>4397</v>
      </c>
    </row>
    <row r="1132" spans="2:8">
      <c r="B1132" s="871">
        <v>46271</v>
      </c>
      <c r="C1132" t="s">
        <v>2475</v>
      </c>
      <c r="D1132" t="s">
        <v>1375</v>
      </c>
      <c r="E1132" t="s">
        <v>3280</v>
      </c>
      <c r="F1132" s="853" t="s">
        <v>528</v>
      </c>
      <c r="G1132" s="913">
        <v>2</v>
      </c>
      <c r="H1132" t="s">
        <v>4398</v>
      </c>
    </row>
    <row r="1133" spans="2:8">
      <c r="B1133" s="871">
        <v>46271</v>
      </c>
      <c r="C1133" t="s">
        <v>2475</v>
      </c>
      <c r="D1133" t="s">
        <v>1376</v>
      </c>
      <c r="E1133" t="s">
        <v>1392</v>
      </c>
      <c r="F1133" s="853" t="s">
        <v>526</v>
      </c>
      <c r="G1133" s="913">
        <v>7279</v>
      </c>
      <c r="H1133" t="s">
        <v>4399</v>
      </c>
    </row>
    <row r="1134" spans="2:8">
      <c r="B1134" s="871">
        <v>46271</v>
      </c>
      <c r="C1134" t="s">
        <v>2475</v>
      </c>
      <c r="D1134" t="s">
        <v>1376</v>
      </c>
      <c r="E1134" t="s">
        <v>1392</v>
      </c>
      <c r="F1134" s="853" t="s">
        <v>527</v>
      </c>
      <c r="H1134" t="s">
        <v>4400</v>
      </c>
    </row>
    <row r="1135" spans="2:8">
      <c r="B1135" s="871">
        <v>46271</v>
      </c>
      <c r="C1135" t="s">
        <v>2475</v>
      </c>
      <c r="D1135" t="s">
        <v>1376</v>
      </c>
      <c r="E1135" t="s">
        <v>1392</v>
      </c>
      <c r="F1135" s="853" t="s">
        <v>528</v>
      </c>
      <c r="H1135" t="s">
        <v>4401</v>
      </c>
    </row>
    <row r="1136" spans="2:8">
      <c r="B1136" s="871">
        <v>46271</v>
      </c>
      <c r="C1136" t="s">
        <v>2475</v>
      </c>
      <c r="D1136" t="s">
        <v>1375</v>
      </c>
      <c r="E1136" t="s">
        <v>3287</v>
      </c>
      <c r="F1136" s="853" t="s">
        <v>526</v>
      </c>
      <c r="G1136" s="913">
        <v>2</v>
      </c>
      <c r="H1136" t="s">
        <v>4402</v>
      </c>
    </row>
    <row r="1137" spans="2:8">
      <c r="B1137" s="871">
        <v>46271</v>
      </c>
      <c r="C1137" t="s">
        <v>2475</v>
      </c>
      <c r="D1137" t="s">
        <v>1375</v>
      </c>
      <c r="E1137" t="s">
        <v>3287</v>
      </c>
      <c r="F1137" s="853" t="s">
        <v>527</v>
      </c>
      <c r="G1137" s="913">
        <v>2</v>
      </c>
      <c r="H1137" t="s">
        <v>4403</v>
      </c>
    </row>
    <row r="1138" spans="2:8">
      <c r="B1138" s="871">
        <v>46271</v>
      </c>
      <c r="C1138" t="s">
        <v>2475</v>
      </c>
      <c r="D1138" t="s">
        <v>1375</v>
      </c>
      <c r="E1138" t="s">
        <v>3287</v>
      </c>
      <c r="F1138" s="853" t="s">
        <v>528</v>
      </c>
      <c r="G1138" s="913">
        <v>1</v>
      </c>
      <c r="H1138" t="s">
        <v>4404</v>
      </c>
    </row>
    <row r="1139" spans="2:8">
      <c r="B1139" s="871">
        <v>46271</v>
      </c>
      <c r="C1139" t="s">
        <v>2475</v>
      </c>
      <c r="D1139" t="s">
        <v>1375</v>
      </c>
      <c r="E1139" t="s">
        <v>3291</v>
      </c>
      <c r="F1139" s="853" t="s">
        <v>526</v>
      </c>
      <c r="G1139" s="913">
        <v>1</v>
      </c>
      <c r="H1139" t="s">
        <v>4405</v>
      </c>
    </row>
    <row r="1140" spans="2:8">
      <c r="B1140" s="871">
        <v>46271</v>
      </c>
      <c r="C1140" t="s">
        <v>2475</v>
      </c>
      <c r="D1140" t="s">
        <v>1375</v>
      </c>
      <c r="E1140" t="s">
        <v>3291</v>
      </c>
      <c r="F1140" s="853" t="s">
        <v>527</v>
      </c>
      <c r="G1140" s="913">
        <v>1</v>
      </c>
      <c r="H1140" t="s">
        <v>4406</v>
      </c>
    </row>
    <row r="1141" spans="2:8">
      <c r="B1141" s="871">
        <v>46271</v>
      </c>
      <c r="C1141" t="s">
        <v>2475</v>
      </c>
      <c r="D1141" t="s">
        <v>1375</v>
      </c>
      <c r="E1141" t="s">
        <v>3291</v>
      </c>
      <c r="F1141" s="853" t="s">
        <v>528</v>
      </c>
      <c r="G1141" s="913">
        <v>1</v>
      </c>
      <c r="H1141" t="s">
        <v>4407</v>
      </c>
    </row>
    <row r="1142" spans="2:8">
      <c r="B1142" s="871">
        <v>46271</v>
      </c>
      <c r="C1142" t="s">
        <v>2475</v>
      </c>
      <c r="D1142" t="s">
        <v>1393</v>
      </c>
      <c r="E1142" t="s">
        <v>1394</v>
      </c>
      <c r="F1142" s="853" t="s">
        <v>526</v>
      </c>
      <c r="G1142" s="913" t="s">
        <v>1661</v>
      </c>
      <c r="H1142" t="s">
        <v>4408</v>
      </c>
    </row>
    <row r="1143" spans="2:8">
      <c r="B1143" s="871">
        <v>46271</v>
      </c>
      <c r="C1143" t="s">
        <v>2475</v>
      </c>
      <c r="D1143" t="s">
        <v>1393</v>
      </c>
      <c r="E1143" t="s">
        <v>1394</v>
      </c>
      <c r="F1143" s="853" t="s">
        <v>527</v>
      </c>
      <c r="G1143" s="913" t="s">
        <v>1396</v>
      </c>
      <c r="H1143" t="s">
        <v>4409</v>
      </c>
    </row>
    <row r="1144" spans="2:8">
      <c r="B1144" s="871">
        <v>46271</v>
      </c>
      <c r="C1144" t="s">
        <v>2475</v>
      </c>
      <c r="D1144" t="s">
        <v>1393</v>
      </c>
      <c r="E1144" t="s">
        <v>1394</v>
      </c>
      <c r="F1144" s="853" t="s">
        <v>528</v>
      </c>
      <c r="G1144" s="913" t="s">
        <v>1662</v>
      </c>
      <c r="H1144" t="s">
        <v>4410</v>
      </c>
    </row>
    <row r="1145" spans="2:8">
      <c r="B1145" s="871">
        <v>46271</v>
      </c>
      <c r="C1145" t="s">
        <v>2475</v>
      </c>
      <c r="D1145" t="s">
        <v>1375</v>
      </c>
      <c r="E1145" t="s">
        <v>3298</v>
      </c>
      <c r="F1145" s="853" t="s">
        <v>526</v>
      </c>
      <c r="G1145" s="913">
        <v>4</v>
      </c>
      <c r="H1145" t="s">
        <v>4411</v>
      </c>
    </row>
    <row r="1146" spans="2:8">
      <c r="B1146" s="871">
        <v>46271</v>
      </c>
      <c r="C1146" t="s">
        <v>2475</v>
      </c>
      <c r="D1146" t="s">
        <v>1375</v>
      </c>
      <c r="E1146" t="s">
        <v>3298</v>
      </c>
      <c r="F1146" s="853" t="s">
        <v>527</v>
      </c>
      <c r="G1146" s="913">
        <v>3</v>
      </c>
      <c r="H1146" t="s">
        <v>4412</v>
      </c>
    </row>
    <row r="1147" spans="2:8">
      <c r="B1147" s="871">
        <v>46271</v>
      </c>
      <c r="C1147" t="s">
        <v>2475</v>
      </c>
      <c r="D1147" t="s">
        <v>1375</v>
      </c>
      <c r="E1147" t="s">
        <v>3298</v>
      </c>
      <c r="F1147" s="853" t="s">
        <v>528</v>
      </c>
      <c r="G1147" s="913">
        <v>2</v>
      </c>
      <c r="H1147" t="s">
        <v>4413</v>
      </c>
    </row>
    <row r="1148" spans="2:8">
      <c r="B1148" s="871">
        <v>46271</v>
      </c>
      <c r="C1148" t="s">
        <v>2475</v>
      </c>
      <c r="D1148" t="s">
        <v>1393</v>
      </c>
      <c r="E1148" t="s">
        <v>1398</v>
      </c>
      <c r="F1148" s="853" t="s">
        <v>526</v>
      </c>
      <c r="G1148" s="913">
        <v>11</v>
      </c>
      <c r="H1148" t="s">
        <v>4414</v>
      </c>
    </row>
    <row r="1149" spans="2:8">
      <c r="B1149" s="871">
        <v>46271</v>
      </c>
      <c r="C1149" t="s">
        <v>2475</v>
      </c>
      <c r="D1149" t="s">
        <v>1393</v>
      </c>
      <c r="E1149" t="s">
        <v>1398</v>
      </c>
      <c r="F1149" s="853" t="s">
        <v>527</v>
      </c>
      <c r="G1149" s="913">
        <v>10</v>
      </c>
      <c r="H1149" t="s">
        <v>4415</v>
      </c>
    </row>
    <row r="1150" spans="2:8">
      <c r="B1150" s="871">
        <v>46271</v>
      </c>
      <c r="C1150" t="s">
        <v>2475</v>
      </c>
      <c r="D1150" t="s">
        <v>1393</v>
      </c>
      <c r="E1150" t="s">
        <v>1398</v>
      </c>
      <c r="F1150" s="853" t="s">
        <v>528</v>
      </c>
      <c r="G1150" s="913">
        <v>11</v>
      </c>
      <c r="H1150" t="s">
        <v>4416</v>
      </c>
    </row>
    <row r="1151" spans="2:8">
      <c r="B1151" s="871">
        <v>46271</v>
      </c>
      <c r="C1151" t="s">
        <v>2475</v>
      </c>
      <c r="D1151" t="s">
        <v>1375</v>
      </c>
      <c r="E1151" t="s">
        <v>3305</v>
      </c>
      <c r="F1151" s="853" t="s">
        <v>526</v>
      </c>
      <c r="G1151" s="913">
        <v>4</v>
      </c>
      <c r="H1151" t="s">
        <v>4417</v>
      </c>
    </row>
    <row r="1152" spans="2:8">
      <c r="B1152" s="871">
        <v>46271</v>
      </c>
      <c r="C1152" t="s">
        <v>2475</v>
      </c>
      <c r="D1152" t="s">
        <v>1375</v>
      </c>
      <c r="E1152" t="s">
        <v>3305</v>
      </c>
      <c r="F1152" s="853" t="s">
        <v>527</v>
      </c>
      <c r="G1152" s="913">
        <v>3</v>
      </c>
      <c r="H1152" t="s">
        <v>4418</v>
      </c>
    </row>
    <row r="1153" spans="2:8">
      <c r="B1153" s="871">
        <v>46271</v>
      </c>
      <c r="C1153" t="s">
        <v>2475</v>
      </c>
      <c r="D1153" t="s">
        <v>1375</v>
      </c>
      <c r="E1153" t="s">
        <v>3305</v>
      </c>
      <c r="F1153" s="853" t="s">
        <v>528</v>
      </c>
      <c r="G1153" s="913">
        <v>2</v>
      </c>
      <c r="H1153" t="s">
        <v>4419</v>
      </c>
    </row>
    <row r="1154" spans="2:8">
      <c r="B1154" s="871">
        <v>46271</v>
      </c>
      <c r="C1154" t="s">
        <v>2475</v>
      </c>
      <c r="D1154" t="s">
        <v>1393</v>
      </c>
      <c r="E1154" t="s">
        <v>1399</v>
      </c>
      <c r="F1154" s="853" t="s">
        <v>526</v>
      </c>
      <c r="G1154" s="913">
        <v>12</v>
      </c>
      <c r="H1154" t="s">
        <v>4420</v>
      </c>
    </row>
    <row r="1155" spans="2:8">
      <c r="B1155" s="871">
        <v>46271</v>
      </c>
      <c r="C1155" t="s">
        <v>2475</v>
      </c>
      <c r="D1155" t="s">
        <v>1393</v>
      </c>
      <c r="E1155" t="s">
        <v>1399</v>
      </c>
      <c r="F1155" s="853" t="s">
        <v>527</v>
      </c>
      <c r="G1155" s="913">
        <v>11</v>
      </c>
      <c r="H1155" t="s">
        <v>4421</v>
      </c>
    </row>
    <row r="1156" spans="2:8">
      <c r="B1156" s="871">
        <v>46271</v>
      </c>
      <c r="C1156" t="s">
        <v>2475</v>
      </c>
      <c r="D1156" t="s">
        <v>1393</v>
      </c>
      <c r="E1156" t="s">
        <v>1399</v>
      </c>
      <c r="F1156" s="853" t="s">
        <v>528</v>
      </c>
      <c r="G1156" s="913">
        <v>12</v>
      </c>
      <c r="H1156" t="s">
        <v>4422</v>
      </c>
    </row>
    <row r="1157" spans="2:8">
      <c r="B1157" s="871">
        <v>46271</v>
      </c>
      <c r="C1157" t="s">
        <v>2475</v>
      </c>
      <c r="D1157" t="s">
        <v>1375</v>
      </c>
      <c r="E1157" t="s">
        <v>3312</v>
      </c>
      <c r="F1157" s="853" t="s">
        <v>526</v>
      </c>
      <c r="G1157" s="913">
        <v>1</v>
      </c>
      <c r="H1157" t="s">
        <v>4423</v>
      </c>
    </row>
    <row r="1158" spans="2:8">
      <c r="B1158" s="871">
        <v>46271</v>
      </c>
      <c r="C1158" t="s">
        <v>2475</v>
      </c>
      <c r="D1158" t="s">
        <v>1375</v>
      </c>
      <c r="E1158" t="s">
        <v>3312</v>
      </c>
      <c r="F1158" s="853" t="s">
        <v>527</v>
      </c>
      <c r="G1158" s="913">
        <v>1</v>
      </c>
      <c r="H1158" t="s">
        <v>4424</v>
      </c>
    </row>
    <row r="1159" spans="2:8">
      <c r="B1159" s="871">
        <v>46271</v>
      </c>
      <c r="C1159" t="s">
        <v>2475</v>
      </c>
      <c r="D1159" t="s">
        <v>1375</v>
      </c>
      <c r="E1159" t="s">
        <v>3312</v>
      </c>
      <c r="F1159" s="853" t="s">
        <v>528</v>
      </c>
      <c r="G1159" s="913">
        <v>1</v>
      </c>
      <c r="H1159" t="s">
        <v>4425</v>
      </c>
    </row>
    <row r="1160" spans="2:8">
      <c r="B1160" s="871">
        <v>46271</v>
      </c>
      <c r="C1160" t="s">
        <v>2475</v>
      </c>
      <c r="D1160" t="s">
        <v>1393</v>
      </c>
      <c r="E1160" t="s">
        <v>1400</v>
      </c>
      <c r="F1160" s="853" t="s">
        <v>526</v>
      </c>
      <c r="G1160" s="913">
        <v>17</v>
      </c>
      <c r="H1160" t="s">
        <v>4426</v>
      </c>
    </row>
    <row r="1161" spans="2:8">
      <c r="B1161" s="871">
        <v>46271</v>
      </c>
      <c r="C1161" t="s">
        <v>2475</v>
      </c>
      <c r="D1161" t="s">
        <v>1393</v>
      </c>
      <c r="E1161" t="s">
        <v>1400</v>
      </c>
      <c r="F1161" s="853" t="s">
        <v>527</v>
      </c>
      <c r="G1161" s="913">
        <v>16</v>
      </c>
      <c r="H1161" t="s">
        <v>4427</v>
      </c>
    </row>
    <row r="1162" spans="2:8">
      <c r="B1162" s="871">
        <v>46271</v>
      </c>
      <c r="C1162" t="s">
        <v>2475</v>
      </c>
      <c r="D1162" t="s">
        <v>1393</v>
      </c>
      <c r="E1162" t="s">
        <v>1400</v>
      </c>
      <c r="F1162" s="853" t="s">
        <v>528</v>
      </c>
      <c r="G1162" s="913">
        <v>16</v>
      </c>
      <c r="H1162" t="s">
        <v>4428</v>
      </c>
    </row>
    <row r="1163" spans="2:8">
      <c r="B1163" s="871">
        <v>46271</v>
      </c>
      <c r="C1163" t="s">
        <v>2475</v>
      </c>
      <c r="D1163" t="s">
        <v>1375</v>
      </c>
      <c r="E1163" t="s">
        <v>3319</v>
      </c>
      <c r="F1163" s="853" t="s">
        <v>526</v>
      </c>
      <c r="G1163" s="913">
        <v>2</v>
      </c>
      <c r="H1163" t="s">
        <v>4429</v>
      </c>
    </row>
    <row r="1164" spans="2:8">
      <c r="B1164" s="871">
        <v>46271</v>
      </c>
      <c r="C1164" t="s">
        <v>2475</v>
      </c>
      <c r="D1164" t="s">
        <v>1375</v>
      </c>
      <c r="E1164" t="s">
        <v>3319</v>
      </c>
      <c r="F1164" s="853" t="s">
        <v>527</v>
      </c>
      <c r="G1164" s="913">
        <v>2</v>
      </c>
      <c r="H1164" t="s">
        <v>4430</v>
      </c>
    </row>
    <row r="1165" spans="2:8">
      <c r="B1165" s="871">
        <v>46271</v>
      </c>
      <c r="C1165" t="s">
        <v>2475</v>
      </c>
      <c r="D1165" t="s">
        <v>1375</v>
      </c>
      <c r="E1165" t="s">
        <v>3319</v>
      </c>
      <c r="F1165" s="853" t="s">
        <v>528</v>
      </c>
      <c r="G1165" s="913">
        <v>5</v>
      </c>
      <c r="H1165" t="s">
        <v>4431</v>
      </c>
    </row>
    <row r="1166" spans="2:8">
      <c r="B1166" s="871">
        <v>46271</v>
      </c>
      <c r="C1166" t="s">
        <v>2475</v>
      </c>
      <c r="D1166" t="s">
        <v>1393</v>
      </c>
      <c r="E1166" t="s">
        <v>1401</v>
      </c>
      <c r="F1166" s="853" t="s">
        <v>526</v>
      </c>
      <c r="G1166" s="913">
        <v>7.1</v>
      </c>
      <c r="H1166" t="s">
        <v>4432</v>
      </c>
    </row>
    <row r="1167" spans="2:8">
      <c r="B1167" s="871">
        <v>46271</v>
      </c>
      <c r="C1167" t="s">
        <v>2475</v>
      </c>
      <c r="D1167" t="s">
        <v>1393</v>
      </c>
      <c r="E1167" t="s">
        <v>1401</v>
      </c>
      <c r="F1167" s="853" t="s">
        <v>527</v>
      </c>
      <c r="G1167" s="913">
        <v>7.3</v>
      </c>
      <c r="H1167" t="s">
        <v>4433</v>
      </c>
    </row>
    <row r="1168" spans="2:8">
      <c r="B1168" s="871">
        <v>46271</v>
      </c>
      <c r="C1168" t="s">
        <v>2475</v>
      </c>
      <c r="D1168" t="s">
        <v>1393</v>
      </c>
      <c r="E1168" t="s">
        <v>1401</v>
      </c>
      <c r="F1168" s="853" t="s">
        <v>528</v>
      </c>
      <c r="G1168" s="913">
        <v>7.26</v>
      </c>
      <c r="H1168" t="s">
        <v>4434</v>
      </c>
    </row>
    <row r="1169" spans="2:8">
      <c r="B1169" s="871">
        <v>46271</v>
      </c>
      <c r="C1169" t="s">
        <v>2475</v>
      </c>
      <c r="D1169" t="s">
        <v>1375</v>
      </c>
      <c r="E1169" t="s">
        <v>3326</v>
      </c>
      <c r="F1169" s="853" t="s">
        <v>526</v>
      </c>
      <c r="G1169" s="913" t="s">
        <v>1583</v>
      </c>
      <c r="H1169" t="s">
        <v>4435</v>
      </c>
    </row>
    <row r="1170" spans="2:8">
      <c r="B1170" s="871">
        <v>46271</v>
      </c>
      <c r="C1170" t="s">
        <v>2475</v>
      </c>
      <c r="D1170" t="s">
        <v>1375</v>
      </c>
      <c r="E1170" t="s">
        <v>3326</v>
      </c>
      <c r="F1170" s="853" t="s">
        <v>527</v>
      </c>
      <c r="G1170" s="913" t="s">
        <v>1583</v>
      </c>
      <c r="H1170" t="s">
        <v>4436</v>
      </c>
    </row>
    <row r="1171" spans="2:8">
      <c r="B1171" s="871">
        <v>46271</v>
      </c>
      <c r="C1171" t="s">
        <v>2475</v>
      </c>
      <c r="D1171" t="s">
        <v>1375</v>
      </c>
      <c r="E1171" t="s">
        <v>3326</v>
      </c>
      <c r="F1171" s="853" t="s">
        <v>528</v>
      </c>
      <c r="G1171" s="913" t="s">
        <v>1583</v>
      </c>
      <c r="H1171" t="s">
        <v>4437</v>
      </c>
    </row>
    <row r="1172" spans="2:8">
      <c r="B1172" s="871">
        <v>46271</v>
      </c>
      <c r="C1172" t="s">
        <v>2475</v>
      </c>
      <c r="D1172" t="s">
        <v>1393</v>
      </c>
      <c r="E1172" t="s">
        <v>1403</v>
      </c>
      <c r="F1172" s="853" t="s">
        <v>526</v>
      </c>
      <c r="G1172" s="913">
        <v>660</v>
      </c>
      <c r="H1172" t="s">
        <v>4438</v>
      </c>
    </row>
    <row r="1173" spans="2:8">
      <c r="B1173" s="871">
        <v>46271</v>
      </c>
      <c r="C1173" t="s">
        <v>2475</v>
      </c>
      <c r="D1173" t="s">
        <v>1393</v>
      </c>
      <c r="E1173" t="s">
        <v>1403</v>
      </c>
      <c r="F1173" s="853" t="s">
        <v>527</v>
      </c>
      <c r="G1173" s="913">
        <v>580</v>
      </c>
      <c r="H1173" t="s">
        <v>4439</v>
      </c>
    </row>
    <row r="1174" spans="2:8">
      <c r="B1174" s="871">
        <v>46271</v>
      </c>
      <c r="C1174" t="s">
        <v>2475</v>
      </c>
      <c r="D1174" t="s">
        <v>1393</v>
      </c>
      <c r="E1174" t="s">
        <v>1403</v>
      </c>
      <c r="F1174" s="853" t="s">
        <v>528</v>
      </c>
      <c r="G1174" s="913">
        <v>660</v>
      </c>
      <c r="H1174" t="s">
        <v>4440</v>
      </c>
    </row>
    <row r="1175" spans="2:8">
      <c r="B1175" s="871">
        <v>46271</v>
      </c>
      <c r="C1175" t="s">
        <v>2475</v>
      </c>
      <c r="D1175" t="s">
        <v>1393</v>
      </c>
      <c r="E1175" t="s">
        <v>1404</v>
      </c>
      <c r="F1175" s="853" t="s">
        <v>526</v>
      </c>
      <c r="G1175" s="913">
        <v>3.3</v>
      </c>
      <c r="H1175" t="s">
        <v>4441</v>
      </c>
    </row>
    <row r="1176" spans="2:8">
      <c r="B1176" s="871">
        <v>46271</v>
      </c>
      <c r="C1176" t="s">
        <v>2475</v>
      </c>
      <c r="D1176" t="s">
        <v>1393</v>
      </c>
      <c r="E1176" t="s">
        <v>1404</v>
      </c>
      <c r="F1176" s="853" t="s">
        <v>527</v>
      </c>
      <c r="G1176" s="913">
        <v>4.7300000000000004</v>
      </c>
      <c r="H1176" t="s">
        <v>4442</v>
      </c>
    </row>
    <row r="1177" spans="2:8">
      <c r="B1177" s="871">
        <v>46271</v>
      </c>
      <c r="C1177" t="s">
        <v>2475</v>
      </c>
      <c r="D1177" t="s">
        <v>1393</v>
      </c>
      <c r="E1177" t="s">
        <v>1404</v>
      </c>
      <c r="F1177" s="853" t="s">
        <v>528</v>
      </c>
      <c r="G1177" s="913">
        <v>3.59</v>
      </c>
      <c r="H1177" t="s">
        <v>4443</v>
      </c>
    </row>
    <row r="1178" spans="2:8">
      <c r="B1178" s="871">
        <v>46271</v>
      </c>
      <c r="C1178" t="s">
        <v>2475</v>
      </c>
      <c r="D1178" t="s">
        <v>1375</v>
      </c>
      <c r="E1178" t="s">
        <v>3336</v>
      </c>
      <c r="F1178" s="853" t="s">
        <v>526</v>
      </c>
      <c r="G1178" s="913" t="s">
        <v>1406</v>
      </c>
      <c r="H1178" t="s">
        <v>4444</v>
      </c>
    </row>
    <row r="1179" spans="2:8">
      <c r="B1179" s="871">
        <v>46271</v>
      </c>
      <c r="C1179" t="s">
        <v>2475</v>
      </c>
      <c r="D1179" t="s">
        <v>1375</v>
      </c>
      <c r="E1179" t="s">
        <v>3336</v>
      </c>
      <c r="F1179" s="853" t="s">
        <v>527</v>
      </c>
      <c r="G1179" s="913" t="s">
        <v>1406</v>
      </c>
      <c r="H1179" t="s">
        <v>4445</v>
      </c>
    </row>
    <row r="1180" spans="2:8">
      <c r="B1180" s="871">
        <v>46271</v>
      </c>
      <c r="C1180" t="s">
        <v>2475</v>
      </c>
      <c r="D1180" t="s">
        <v>1375</v>
      </c>
      <c r="E1180" t="s">
        <v>3336</v>
      </c>
      <c r="F1180" s="853" t="s">
        <v>528</v>
      </c>
      <c r="G1180" s="913" t="s">
        <v>1406</v>
      </c>
      <c r="H1180" t="s">
        <v>4446</v>
      </c>
    </row>
    <row r="1181" spans="2:8">
      <c r="B1181" s="871">
        <v>46271</v>
      </c>
      <c r="C1181" t="s">
        <v>2475</v>
      </c>
      <c r="D1181" t="s">
        <v>1393</v>
      </c>
      <c r="E1181" t="s">
        <v>1407</v>
      </c>
      <c r="F1181" s="853" t="s">
        <v>526</v>
      </c>
      <c r="G1181" s="913">
        <v>400</v>
      </c>
      <c r="H1181" t="s">
        <v>4447</v>
      </c>
    </row>
    <row r="1182" spans="2:8">
      <c r="B1182" s="871">
        <v>46271</v>
      </c>
      <c r="C1182" t="s">
        <v>2475</v>
      </c>
      <c r="D1182" t="s">
        <v>1393</v>
      </c>
      <c r="E1182" t="s">
        <v>1407</v>
      </c>
      <c r="F1182" s="853" t="s">
        <v>527</v>
      </c>
      <c r="G1182" s="913">
        <v>412</v>
      </c>
      <c r="H1182" t="s">
        <v>4448</v>
      </c>
    </row>
    <row r="1183" spans="2:8">
      <c r="B1183" s="871">
        <v>46271</v>
      </c>
      <c r="C1183" t="s">
        <v>2475</v>
      </c>
      <c r="D1183" t="s">
        <v>1393</v>
      </c>
      <c r="E1183" t="s">
        <v>1407</v>
      </c>
      <c r="F1183" s="853" t="s">
        <v>528</v>
      </c>
      <c r="G1183" s="913">
        <v>420</v>
      </c>
      <c r="H1183" t="s">
        <v>4449</v>
      </c>
    </row>
    <row r="1184" spans="2:8">
      <c r="B1184" s="871">
        <v>46271</v>
      </c>
      <c r="C1184" t="s">
        <v>2475</v>
      </c>
      <c r="D1184" t="s">
        <v>1393</v>
      </c>
      <c r="E1184" t="s">
        <v>1408</v>
      </c>
      <c r="F1184" s="853" t="s">
        <v>526</v>
      </c>
      <c r="G1184" s="913">
        <v>978</v>
      </c>
      <c r="H1184" t="s">
        <v>4450</v>
      </c>
    </row>
    <row r="1185" spans="2:8">
      <c r="B1185" s="871">
        <v>46271</v>
      </c>
      <c r="C1185" t="s">
        <v>2475</v>
      </c>
      <c r="D1185" t="s">
        <v>1393</v>
      </c>
      <c r="E1185" t="s">
        <v>1408</v>
      </c>
      <c r="F1185" s="853" t="s">
        <v>527</v>
      </c>
      <c r="G1185" s="913">
        <v>964</v>
      </c>
      <c r="H1185" t="s">
        <v>4451</v>
      </c>
    </row>
    <row r="1186" spans="2:8">
      <c r="B1186" s="871">
        <v>46271</v>
      </c>
      <c r="C1186" t="s">
        <v>2475</v>
      </c>
      <c r="D1186" t="s">
        <v>1393</v>
      </c>
      <c r="E1186" t="s">
        <v>1408</v>
      </c>
      <c r="F1186" s="853" t="s">
        <v>528</v>
      </c>
      <c r="G1186" s="913">
        <v>1025</v>
      </c>
      <c r="H1186" t="s">
        <v>4452</v>
      </c>
    </row>
    <row r="1187" spans="2:8">
      <c r="B1187" s="871">
        <v>46271</v>
      </c>
      <c r="C1187" t="s">
        <v>2475</v>
      </c>
      <c r="D1187" t="s">
        <v>1409</v>
      </c>
      <c r="E1187" t="s">
        <v>1411</v>
      </c>
      <c r="F1187" s="853" t="s">
        <v>526</v>
      </c>
      <c r="H1187" t="s">
        <v>4453</v>
      </c>
    </row>
    <row r="1188" spans="2:8">
      <c r="B1188" s="871">
        <v>46271</v>
      </c>
      <c r="C1188" t="s">
        <v>2475</v>
      </c>
      <c r="D1188" t="s">
        <v>1409</v>
      </c>
      <c r="E1188" t="s">
        <v>1411</v>
      </c>
      <c r="F1188" s="853" t="s">
        <v>527</v>
      </c>
      <c r="H1188" t="s">
        <v>4454</v>
      </c>
    </row>
    <row r="1189" spans="2:8">
      <c r="B1189" s="871">
        <v>46271</v>
      </c>
      <c r="C1189" t="s">
        <v>2475</v>
      </c>
      <c r="D1189" t="s">
        <v>1409</v>
      </c>
      <c r="E1189" t="s">
        <v>1411</v>
      </c>
      <c r="F1189" s="853" t="s">
        <v>528</v>
      </c>
      <c r="H1189" t="s">
        <v>4455</v>
      </c>
    </row>
    <row r="1190" spans="2:8">
      <c r="B1190" s="871">
        <v>46271</v>
      </c>
      <c r="C1190" t="s">
        <v>2475</v>
      </c>
      <c r="D1190" t="s">
        <v>1409</v>
      </c>
      <c r="E1190" t="s">
        <v>1413</v>
      </c>
      <c r="F1190" s="853" t="s">
        <v>526</v>
      </c>
      <c r="G1190" s="913" t="s">
        <v>1414</v>
      </c>
      <c r="H1190" t="s">
        <v>4456</v>
      </c>
    </row>
    <row r="1191" spans="2:8">
      <c r="B1191" s="871">
        <v>46271</v>
      </c>
      <c r="C1191" t="s">
        <v>2475</v>
      </c>
      <c r="D1191" t="s">
        <v>1409</v>
      </c>
      <c r="E1191" t="s">
        <v>1413</v>
      </c>
      <c r="F1191" s="853" t="s">
        <v>527</v>
      </c>
      <c r="G1191" s="913" t="s">
        <v>1584</v>
      </c>
      <c r="H1191" t="s">
        <v>4457</v>
      </c>
    </row>
    <row r="1192" spans="2:8">
      <c r="B1192" s="871">
        <v>46271</v>
      </c>
      <c r="C1192" t="s">
        <v>2475</v>
      </c>
      <c r="D1192" t="s">
        <v>1409</v>
      </c>
      <c r="E1192" t="s">
        <v>1413</v>
      </c>
      <c r="F1192" s="853" t="s">
        <v>528</v>
      </c>
      <c r="G1192" s="913" t="s">
        <v>1584</v>
      </c>
      <c r="H1192" t="s">
        <v>4458</v>
      </c>
    </row>
    <row r="1193" spans="2:8">
      <c r="B1193" s="871">
        <v>46271</v>
      </c>
      <c r="C1193" t="s">
        <v>2475</v>
      </c>
      <c r="D1193" t="s">
        <v>1410</v>
      </c>
      <c r="E1193" t="s">
        <v>3352</v>
      </c>
      <c r="F1193" s="853" t="s">
        <v>526</v>
      </c>
      <c r="G1193" s="913" t="s">
        <v>1418</v>
      </c>
      <c r="H1193" t="s">
        <v>4459</v>
      </c>
    </row>
    <row r="1194" spans="2:8">
      <c r="B1194" s="871">
        <v>46271</v>
      </c>
      <c r="C1194" t="s">
        <v>2475</v>
      </c>
      <c r="D1194" t="s">
        <v>1410</v>
      </c>
      <c r="E1194" t="s">
        <v>3352</v>
      </c>
      <c r="F1194" s="853" t="s">
        <v>527</v>
      </c>
      <c r="G1194" s="913" t="s">
        <v>1418</v>
      </c>
      <c r="H1194" t="s">
        <v>4460</v>
      </c>
    </row>
    <row r="1195" spans="2:8">
      <c r="B1195" s="871">
        <v>46271</v>
      </c>
      <c r="C1195" t="s">
        <v>2475</v>
      </c>
      <c r="D1195" t="s">
        <v>1410</v>
      </c>
      <c r="E1195" t="s">
        <v>3352</v>
      </c>
      <c r="F1195" s="853" t="s">
        <v>528</v>
      </c>
      <c r="G1195" s="913" t="s">
        <v>1418</v>
      </c>
      <c r="H1195" t="s">
        <v>4461</v>
      </c>
    </row>
    <row r="1196" spans="2:8">
      <c r="B1196" s="871">
        <v>46271</v>
      </c>
      <c r="C1196" t="s">
        <v>2475</v>
      </c>
      <c r="D1196" t="s">
        <v>1409</v>
      </c>
      <c r="E1196" t="s">
        <v>1420</v>
      </c>
      <c r="F1196" s="853" t="s">
        <v>526</v>
      </c>
      <c r="G1196" s="913" t="s">
        <v>1421</v>
      </c>
      <c r="H1196" t="s">
        <v>4462</v>
      </c>
    </row>
    <row r="1197" spans="2:8">
      <c r="B1197" s="871">
        <v>46271</v>
      </c>
      <c r="C1197" t="s">
        <v>2475</v>
      </c>
      <c r="D1197" t="s">
        <v>1409</v>
      </c>
      <c r="E1197" t="s">
        <v>1420</v>
      </c>
      <c r="F1197" s="853" t="s">
        <v>527</v>
      </c>
      <c r="G1197" s="913" t="s">
        <v>1537</v>
      </c>
      <c r="H1197" t="s">
        <v>4463</v>
      </c>
    </row>
    <row r="1198" spans="2:8">
      <c r="B1198" s="871">
        <v>46271</v>
      </c>
      <c r="C1198" t="s">
        <v>2475</v>
      </c>
      <c r="D1198" t="s">
        <v>1409</v>
      </c>
      <c r="E1198" t="s">
        <v>1420</v>
      </c>
      <c r="F1198" s="853" t="s">
        <v>528</v>
      </c>
      <c r="G1198" s="913" t="s">
        <v>1537</v>
      </c>
      <c r="H1198" t="s">
        <v>4464</v>
      </c>
    </row>
    <row r="1199" spans="2:8">
      <c r="B1199" s="871">
        <v>46271</v>
      </c>
      <c r="C1199" t="s">
        <v>2475</v>
      </c>
      <c r="D1199" t="s">
        <v>1410</v>
      </c>
      <c r="E1199" t="s">
        <v>3359</v>
      </c>
      <c r="F1199" s="853" t="s">
        <v>526</v>
      </c>
      <c r="G1199" s="913">
        <v>116</v>
      </c>
      <c r="H1199" t="s">
        <v>4465</v>
      </c>
    </row>
    <row r="1200" spans="2:8">
      <c r="B1200" s="871">
        <v>46271</v>
      </c>
      <c r="C1200" t="s">
        <v>2475</v>
      </c>
      <c r="D1200" t="s">
        <v>1410</v>
      </c>
      <c r="E1200" t="s">
        <v>3359</v>
      </c>
      <c r="F1200" s="853" t="s">
        <v>527</v>
      </c>
      <c r="G1200" s="913">
        <v>118</v>
      </c>
      <c r="H1200" t="s">
        <v>4466</v>
      </c>
    </row>
    <row r="1201" spans="2:8">
      <c r="B1201" s="871">
        <v>46271</v>
      </c>
      <c r="C1201" t="s">
        <v>2475</v>
      </c>
      <c r="D1201" t="s">
        <v>1410</v>
      </c>
      <c r="E1201" t="s">
        <v>3359</v>
      </c>
      <c r="F1201" s="853" t="s">
        <v>528</v>
      </c>
      <c r="G1201" s="913">
        <v>119</v>
      </c>
      <c r="H1201" t="s">
        <v>4467</v>
      </c>
    </row>
    <row r="1202" spans="2:8">
      <c r="B1202" s="871">
        <v>46271</v>
      </c>
      <c r="C1202" t="s">
        <v>2475</v>
      </c>
      <c r="D1202" t="s">
        <v>1409</v>
      </c>
      <c r="E1202" t="s">
        <v>1424</v>
      </c>
      <c r="F1202" s="853" t="s">
        <v>526</v>
      </c>
      <c r="H1202" t="s">
        <v>4468</v>
      </c>
    </row>
    <row r="1203" spans="2:8">
      <c r="B1203" s="871">
        <v>46271</v>
      </c>
      <c r="C1203" t="s">
        <v>2475</v>
      </c>
      <c r="D1203" t="s">
        <v>1409</v>
      </c>
      <c r="E1203" t="s">
        <v>1424</v>
      </c>
      <c r="F1203" s="853" t="s">
        <v>527</v>
      </c>
      <c r="H1203" t="s">
        <v>4469</v>
      </c>
    </row>
    <row r="1204" spans="2:8">
      <c r="B1204" s="871">
        <v>46271</v>
      </c>
      <c r="C1204" t="s">
        <v>2475</v>
      </c>
      <c r="D1204" t="s">
        <v>1409</v>
      </c>
      <c r="E1204" t="s">
        <v>1424</v>
      </c>
      <c r="F1204" s="853" t="s">
        <v>528</v>
      </c>
      <c r="H1204" t="s">
        <v>4470</v>
      </c>
    </row>
    <row r="1205" spans="2:8">
      <c r="B1205" s="871">
        <v>46271</v>
      </c>
      <c r="C1205" t="s">
        <v>2475</v>
      </c>
      <c r="D1205" t="s">
        <v>1410</v>
      </c>
      <c r="E1205" t="s">
        <v>3366</v>
      </c>
      <c r="F1205" s="853" t="s">
        <v>526</v>
      </c>
      <c r="G1205" s="913">
        <v>2613</v>
      </c>
      <c r="H1205" t="s">
        <v>4471</v>
      </c>
    </row>
    <row r="1206" spans="2:8">
      <c r="B1206" s="871">
        <v>46271</v>
      </c>
      <c r="C1206" t="s">
        <v>2475</v>
      </c>
      <c r="D1206" t="s">
        <v>1410</v>
      </c>
      <c r="E1206" t="s">
        <v>3366</v>
      </c>
      <c r="F1206" s="853" t="s">
        <v>527</v>
      </c>
      <c r="G1206" s="913">
        <v>2550</v>
      </c>
      <c r="H1206" t="s">
        <v>4472</v>
      </c>
    </row>
    <row r="1207" spans="2:8">
      <c r="B1207" s="871">
        <v>46271</v>
      </c>
      <c r="C1207" t="s">
        <v>2475</v>
      </c>
      <c r="D1207" t="s">
        <v>1410</v>
      </c>
      <c r="E1207" t="s">
        <v>3366</v>
      </c>
      <c r="F1207" s="853" t="s">
        <v>528</v>
      </c>
      <c r="G1207" s="913">
        <v>2585</v>
      </c>
      <c r="H1207" t="s">
        <v>4473</v>
      </c>
    </row>
    <row r="1208" spans="2:8">
      <c r="B1208" s="871">
        <v>46271</v>
      </c>
      <c r="C1208" t="s">
        <v>2475</v>
      </c>
      <c r="D1208" t="s">
        <v>1410</v>
      </c>
      <c r="E1208" t="s">
        <v>3370</v>
      </c>
      <c r="F1208" s="853" t="s">
        <v>526</v>
      </c>
      <c r="G1208" s="913" t="s">
        <v>1427</v>
      </c>
      <c r="H1208" t="s">
        <v>4474</v>
      </c>
    </row>
    <row r="1209" spans="2:8">
      <c r="B1209" s="871">
        <v>46271</v>
      </c>
      <c r="C1209" t="s">
        <v>2475</v>
      </c>
      <c r="D1209" t="s">
        <v>1410</v>
      </c>
      <c r="E1209" t="s">
        <v>3370</v>
      </c>
      <c r="F1209" s="853" t="s">
        <v>527</v>
      </c>
      <c r="G1209" s="913" t="s">
        <v>1427</v>
      </c>
      <c r="H1209" t="s">
        <v>4475</v>
      </c>
    </row>
    <row r="1210" spans="2:8">
      <c r="B1210" s="871">
        <v>46271</v>
      </c>
      <c r="C1210" t="s">
        <v>2475</v>
      </c>
      <c r="D1210" t="s">
        <v>1410</v>
      </c>
      <c r="E1210" t="s">
        <v>3370</v>
      </c>
      <c r="F1210" s="853" t="s">
        <v>528</v>
      </c>
      <c r="G1210" s="913" t="s">
        <v>1427</v>
      </c>
      <c r="H1210" t="s">
        <v>4476</v>
      </c>
    </row>
    <row r="1211" spans="2:8">
      <c r="B1211" s="871">
        <v>46271</v>
      </c>
      <c r="C1211" t="s">
        <v>2475</v>
      </c>
      <c r="D1211" t="s">
        <v>1410</v>
      </c>
      <c r="E1211" t="s">
        <v>3374</v>
      </c>
      <c r="F1211" s="853" t="s">
        <v>526</v>
      </c>
      <c r="G1211" s="913">
        <v>2.2999999999999998</v>
      </c>
      <c r="H1211" t="s">
        <v>4477</v>
      </c>
    </row>
    <row r="1212" spans="2:8">
      <c r="B1212" s="871">
        <v>46271</v>
      </c>
      <c r="C1212" t="s">
        <v>2475</v>
      </c>
      <c r="D1212" t="s">
        <v>1410</v>
      </c>
      <c r="E1212" t="s">
        <v>3374</v>
      </c>
      <c r="F1212" s="853" t="s">
        <v>527</v>
      </c>
      <c r="G1212" s="913">
        <v>3.1</v>
      </c>
      <c r="H1212" t="s">
        <v>4478</v>
      </c>
    </row>
    <row r="1213" spans="2:8">
      <c r="B1213" s="871">
        <v>46271</v>
      </c>
      <c r="C1213" t="s">
        <v>2475</v>
      </c>
      <c r="D1213" t="s">
        <v>1410</v>
      </c>
      <c r="E1213" t="s">
        <v>3374</v>
      </c>
      <c r="F1213" s="853" t="s">
        <v>528</v>
      </c>
      <c r="G1213" s="913">
        <v>1.93</v>
      </c>
      <c r="H1213" t="s">
        <v>4479</v>
      </c>
    </row>
    <row r="1214" spans="2:8">
      <c r="B1214" s="871">
        <v>46271</v>
      </c>
      <c r="C1214" t="s">
        <v>2475</v>
      </c>
      <c r="D1214" t="s">
        <v>1410</v>
      </c>
      <c r="E1214" t="s">
        <v>3378</v>
      </c>
      <c r="F1214" s="853" t="s">
        <v>526</v>
      </c>
      <c r="G1214" s="913" t="s">
        <v>1627</v>
      </c>
      <c r="H1214" t="s">
        <v>4480</v>
      </c>
    </row>
    <row r="1215" spans="2:8">
      <c r="B1215" s="871">
        <v>46271</v>
      </c>
      <c r="C1215" t="s">
        <v>2475</v>
      </c>
      <c r="D1215" t="s">
        <v>1410</v>
      </c>
      <c r="E1215" t="s">
        <v>3378</v>
      </c>
      <c r="F1215" s="853" t="s">
        <v>527</v>
      </c>
      <c r="G1215" s="913" t="s">
        <v>1627</v>
      </c>
      <c r="H1215" t="s">
        <v>4481</v>
      </c>
    </row>
    <row r="1216" spans="2:8">
      <c r="B1216" s="871">
        <v>46271</v>
      </c>
      <c r="C1216" t="s">
        <v>2475</v>
      </c>
      <c r="D1216" t="s">
        <v>1410</v>
      </c>
      <c r="E1216" t="s">
        <v>3378</v>
      </c>
      <c r="F1216" s="853" t="s">
        <v>528</v>
      </c>
      <c r="G1216" s="913" t="s">
        <v>1627</v>
      </c>
      <c r="H1216" t="s">
        <v>4482</v>
      </c>
    </row>
    <row r="1217" spans="2:8">
      <c r="B1217" s="871">
        <v>46271</v>
      </c>
      <c r="C1217" t="s">
        <v>2475</v>
      </c>
      <c r="D1217" t="s">
        <v>1410</v>
      </c>
      <c r="E1217" t="s">
        <v>3382</v>
      </c>
      <c r="F1217" s="853" t="s">
        <v>526</v>
      </c>
      <c r="G1217" s="913">
        <v>113</v>
      </c>
      <c r="H1217" t="s">
        <v>4483</v>
      </c>
    </row>
    <row r="1218" spans="2:8">
      <c r="B1218" s="871">
        <v>46271</v>
      </c>
      <c r="C1218" t="s">
        <v>2475</v>
      </c>
      <c r="D1218" t="s">
        <v>1410</v>
      </c>
      <c r="E1218" t="s">
        <v>3382</v>
      </c>
      <c r="F1218" s="853" t="s">
        <v>527</v>
      </c>
      <c r="G1218" s="913">
        <v>118</v>
      </c>
      <c r="H1218" t="s">
        <v>4484</v>
      </c>
    </row>
    <row r="1219" spans="2:8">
      <c r="B1219" s="871">
        <v>46271</v>
      </c>
      <c r="C1219" t="s">
        <v>2475</v>
      </c>
      <c r="D1219" t="s">
        <v>1410</v>
      </c>
      <c r="E1219" t="s">
        <v>3382</v>
      </c>
      <c r="F1219" s="853" t="s">
        <v>528</v>
      </c>
      <c r="G1219" s="913">
        <v>124</v>
      </c>
      <c r="H1219" t="s">
        <v>4485</v>
      </c>
    </row>
    <row r="1220" spans="2:8">
      <c r="B1220" s="871">
        <v>46271</v>
      </c>
      <c r="C1220" t="s">
        <v>2475</v>
      </c>
      <c r="D1220" t="s">
        <v>1409</v>
      </c>
      <c r="E1220" t="s">
        <v>1431</v>
      </c>
      <c r="F1220" s="853" t="s">
        <v>526</v>
      </c>
      <c r="H1220" t="s">
        <v>4486</v>
      </c>
    </row>
    <row r="1221" spans="2:8">
      <c r="B1221" s="871">
        <v>46271</v>
      </c>
      <c r="C1221" t="s">
        <v>2475</v>
      </c>
      <c r="D1221" t="s">
        <v>1409</v>
      </c>
      <c r="E1221" t="s">
        <v>1431</v>
      </c>
      <c r="F1221" s="853" t="s">
        <v>527</v>
      </c>
      <c r="H1221" t="s">
        <v>4487</v>
      </c>
    </row>
    <row r="1222" spans="2:8">
      <c r="B1222" s="871">
        <v>46271</v>
      </c>
      <c r="C1222" t="s">
        <v>2475</v>
      </c>
      <c r="D1222" t="s">
        <v>1409</v>
      </c>
      <c r="E1222" t="s">
        <v>1431</v>
      </c>
      <c r="F1222" s="853" t="s">
        <v>528</v>
      </c>
      <c r="H1222" t="s">
        <v>4488</v>
      </c>
    </row>
    <row r="1223" spans="2:8">
      <c r="B1223" s="871">
        <v>46271</v>
      </c>
      <c r="C1223" t="s">
        <v>2475</v>
      </c>
      <c r="D1223" t="s">
        <v>1410</v>
      </c>
      <c r="E1223" t="s">
        <v>3389</v>
      </c>
      <c r="F1223" s="853" t="s">
        <v>526</v>
      </c>
      <c r="G1223" s="913">
        <v>2994</v>
      </c>
      <c r="H1223" t="s">
        <v>4489</v>
      </c>
    </row>
    <row r="1224" spans="2:8">
      <c r="B1224" s="871">
        <v>46271</v>
      </c>
      <c r="C1224" t="s">
        <v>2475</v>
      </c>
      <c r="D1224" t="s">
        <v>1410</v>
      </c>
      <c r="E1224" t="s">
        <v>3389</v>
      </c>
      <c r="F1224" s="853" t="s">
        <v>527</v>
      </c>
      <c r="G1224" s="913">
        <v>2790</v>
      </c>
      <c r="H1224" t="s">
        <v>4490</v>
      </c>
    </row>
    <row r="1225" spans="2:8">
      <c r="B1225" s="871">
        <v>46271</v>
      </c>
      <c r="C1225" t="s">
        <v>2475</v>
      </c>
      <c r="D1225" t="s">
        <v>1410</v>
      </c>
      <c r="E1225" t="s">
        <v>3389</v>
      </c>
      <c r="F1225" s="853" t="s">
        <v>528</v>
      </c>
      <c r="G1225" s="913">
        <v>2867</v>
      </c>
      <c r="H1225" t="s">
        <v>4491</v>
      </c>
    </row>
    <row r="1226" spans="2:8">
      <c r="B1226" s="871">
        <v>46271</v>
      </c>
      <c r="C1226" t="s">
        <v>2475</v>
      </c>
      <c r="D1226" t="s">
        <v>1410</v>
      </c>
      <c r="E1226" t="s">
        <v>3393</v>
      </c>
      <c r="F1226" s="853" t="s">
        <v>526</v>
      </c>
      <c r="G1226" s="913" t="s">
        <v>1663</v>
      </c>
      <c r="H1226" t="s">
        <v>4492</v>
      </c>
    </row>
    <row r="1227" spans="2:8">
      <c r="B1227" s="871">
        <v>46271</v>
      </c>
      <c r="C1227" t="s">
        <v>2475</v>
      </c>
      <c r="D1227" t="s">
        <v>1410</v>
      </c>
      <c r="E1227" t="s">
        <v>3393</v>
      </c>
      <c r="F1227" s="853" t="s">
        <v>527</v>
      </c>
      <c r="G1227" s="913" t="s">
        <v>1432</v>
      </c>
      <c r="H1227" t="s">
        <v>4493</v>
      </c>
    </row>
    <row r="1228" spans="2:8">
      <c r="B1228" s="871">
        <v>46271</v>
      </c>
      <c r="C1228" t="s">
        <v>2475</v>
      </c>
      <c r="D1228" t="s">
        <v>1410</v>
      </c>
      <c r="E1228" t="s">
        <v>3393</v>
      </c>
      <c r="F1228" s="853" t="s">
        <v>528</v>
      </c>
      <c r="G1228" s="913" t="s">
        <v>1432</v>
      </c>
      <c r="H1228" t="s">
        <v>4494</v>
      </c>
    </row>
    <row r="1229" spans="2:8">
      <c r="B1229" s="871">
        <v>46271</v>
      </c>
      <c r="C1229" t="s">
        <v>2475</v>
      </c>
      <c r="D1229" t="s">
        <v>1410</v>
      </c>
      <c r="E1229" t="s">
        <v>3397</v>
      </c>
      <c r="F1229" s="853" t="s">
        <v>526</v>
      </c>
      <c r="G1229" s="913" t="s">
        <v>1435</v>
      </c>
      <c r="H1229" t="s">
        <v>4495</v>
      </c>
    </row>
    <row r="1230" spans="2:8">
      <c r="B1230" s="871">
        <v>46271</v>
      </c>
      <c r="C1230" t="s">
        <v>2475</v>
      </c>
      <c r="D1230" t="s">
        <v>1410</v>
      </c>
      <c r="E1230" t="s">
        <v>3397</v>
      </c>
      <c r="F1230" s="853" t="s">
        <v>527</v>
      </c>
      <c r="G1230" s="913" t="s">
        <v>1435</v>
      </c>
      <c r="H1230" t="s">
        <v>4496</v>
      </c>
    </row>
    <row r="1231" spans="2:8">
      <c r="B1231" s="871">
        <v>46271</v>
      </c>
      <c r="C1231" t="s">
        <v>2475</v>
      </c>
      <c r="D1231" t="s">
        <v>1410</v>
      </c>
      <c r="E1231" t="s">
        <v>3397</v>
      </c>
      <c r="F1231" s="853" t="s">
        <v>528</v>
      </c>
      <c r="G1231" s="913" t="s">
        <v>1438</v>
      </c>
      <c r="H1231" t="s">
        <v>4497</v>
      </c>
    </row>
    <row r="1232" spans="2:8">
      <c r="B1232" s="871">
        <v>46271</v>
      </c>
      <c r="C1232" t="s">
        <v>2475</v>
      </c>
      <c r="D1232" t="s">
        <v>1434</v>
      </c>
      <c r="E1232" t="s">
        <v>42</v>
      </c>
      <c r="F1232" s="853" t="s">
        <v>526</v>
      </c>
      <c r="G1232" s="913" t="s">
        <v>70</v>
      </c>
      <c r="H1232" t="s">
        <v>4498</v>
      </c>
    </row>
    <row r="1233" spans="2:8">
      <c r="B1233" s="871">
        <v>46271</v>
      </c>
      <c r="C1233" t="s">
        <v>2475</v>
      </c>
      <c r="D1233" t="s">
        <v>1434</v>
      </c>
      <c r="E1233" t="s">
        <v>42</v>
      </c>
      <c r="F1233" s="853" t="s">
        <v>527</v>
      </c>
      <c r="G1233" s="913" t="s">
        <v>70</v>
      </c>
      <c r="H1233" t="s">
        <v>4499</v>
      </c>
    </row>
    <row r="1234" spans="2:8">
      <c r="B1234" s="871">
        <v>46271</v>
      </c>
      <c r="C1234" t="s">
        <v>2475</v>
      </c>
      <c r="D1234" t="s">
        <v>1434</v>
      </c>
      <c r="E1234" t="s">
        <v>42</v>
      </c>
      <c r="F1234" s="853" t="s">
        <v>528</v>
      </c>
      <c r="G1234" s="913" t="s">
        <v>70</v>
      </c>
      <c r="H1234" t="s">
        <v>4500</v>
      </c>
    </row>
    <row r="1235" spans="2:8">
      <c r="B1235" s="871">
        <v>46271</v>
      </c>
      <c r="C1235" t="s">
        <v>2475</v>
      </c>
      <c r="D1235" t="s">
        <v>1410</v>
      </c>
      <c r="E1235" t="s">
        <v>3404</v>
      </c>
      <c r="F1235" s="853" t="s">
        <v>526</v>
      </c>
      <c r="G1235" s="913" t="s">
        <v>1585</v>
      </c>
      <c r="H1235" t="s">
        <v>4501</v>
      </c>
    </row>
    <row r="1236" spans="2:8">
      <c r="B1236" s="871">
        <v>46271</v>
      </c>
      <c r="C1236" t="s">
        <v>2475</v>
      </c>
      <c r="D1236" t="s">
        <v>1410</v>
      </c>
      <c r="E1236" t="s">
        <v>3404</v>
      </c>
      <c r="F1236" s="853" t="s">
        <v>527</v>
      </c>
      <c r="G1236" s="913" t="s">
        <v>1585</v>
      </c>
      <c r="H1236" t="s">
        <v>4502</v>
      </c>
    </row>
    <row r="1237" spans="2:8">
      <c r="B1237" s="871">
        <v>46271</v>
      </c>
      <c r="C1237" t="s">
        <v>2475</v>
      </c>
      <c r="D1237" t="s">
        <v>1410</v>
      </c>
      <c r="E1237" t="s">
        <v>3404</v>
      </c>
      <c r="F1237" s="853" t="s">
        <v>528</v>
      </c>
      <c r="G1237" s="913" t="s">
        <v>1585</v>
      </c>
      <c r="H1237" t="s">
        <v>4503</v>
      </c>
    </row>
    <row r="1238" spans="2:8">
      <c r="B1238" s="871">
        <v>46271</v>
      </c>
      <c r="C1238" t="s">
        <v>2475</v>
      </c>
      <c r="D1238" t="s">
        <v>1434</v>
      </c>
      <c r="E1238" t="s">
        <v>1439</v>
      </c>
      <c r="F1238" s="853" t="s">
        <v>526</v>
      </c>
      <c r="G1238" s="913" t="s">
        <v>9408</v>
      </c>
      <c r="H1238" t="s">
        <v>4504</v>
      </c>
    </row>
    <row r="1239" spans="2:8">
      <c r="B1239" s="871">
        <v>46271</v>
      </c>
      <c r="C1239" t="s">
        <v>2475</v>
      </c>
      <c r="D1239" t="s">
        <v>1434</v>
      </c>
      <c r="E1239" t="s">
        <v>1439</v>
      </c>
      <c r="F1239" s="853" t="s">
        <v>527</v>
      </c>
      <c r="G1239" s="913" t="s">
        <v>9408</v>
      </c>
      <c r="H1239" t="s">
        <v>4505</v>
      </c>
    </row>
    <row r="1240" spans="2:8">
      <c r="B1240" s="871">
        <v>46271</v>
      </c>
      <c r="C1240" t="s">
        <v>2475</v>
      </c>
      <c r="D1240" t="s">
        <v>1434</v>
      </c>
      <c r="E1240" t="s">
        <v>1439</v>
      </c>
      <c r="F1240" s="853" t="s">
        <v>528</v>
      </c>
      <c r="G1240" s="913" t="s">
        <v>9408</v>
      </c>
      <c r="H1240" t="s">
        <v>4506</v>
      </c>
    </row>
    <row r="1241" spans="2:8">
      <c r="B1241" s="871">
        <v>46271</v>
      </c>
      <c r="C1241" t="s">
        <v>2475</v>
      </c>
      <c r="D1241" t="s">
        <v>1410</v>
      </c>
      <c r="E1241" t="s">
        <v>3411</v>
      </c>
      <c r="F1241" s="853" t="s">
        <v>526</v>
      </c>
      <c r="G1241" s="913">
        <v>64</v>
      </c>
      <c r="H1241" t="s">
        <v>4507</v>
      </c>
    </row>
    <row r="1242" spans="2:8">
      <c r="B1242" s="871">
        <v>46271</v>
      </c>
      <c r="C1242" t="s">
        <v>2475</v>
      </c>
      <c r="D1242" t="s">
        <v>1410</v>
      </c>
      <c r="E1242" t="s">
        <v>3411</v>
      </c>
      <c r="F1242" s="853" t="s">
        <v>527</v>
      </c>
      <c r="G1242" s="913">
        <v>71</v>
      </c>
      <c r="H1242" t="s">
        <v>4508</v>
      </c>
    </row>
    <row r="1243" spans="2:8">
      <c r="B1243" s="871">
        <v>46271</v>
      </c>
      <c r="C1243" t="s">
        <v>2475</v>
      </c>
      <c r="D1243" t="s">
        <v>1410</v>
      </c>
      <c r="E1243" t="s">
        <v>3411</v>
      </c>
      <c r="F1243" s="853" t="s">
        <v>528</v>
      </c>
      <c r="G1243" s="913">
        <v>94</v>
      </c>
      <c r="H1243" t="s">
        <v>4509</v>
      </c>
    </row>
    <row r="1244" spans="2:8">
      <c r="B1244" s="871">
        <v>46271</v>
      </c>
      <c r="C1244" t="s">
        <v>2475</v>
      </c>
      <c r="D1244" t="s">
        <v>1434</v>
      </c>
      <c r="E1244" t="s">
        <v>43</v>
      </c>
      <c r="F1244" s="853" t="s">
        <v>526</v>
      </c>
      <c r="G1244" s="913" t="s">
        <v>9409</v>
      </c>
      <c r="H1244" t="s">
        <v>4510</v>
      </c>
    </row>
    <row r="1245" spans="2:8">
      <c r="B1245" s="871">
        <v>46271</v>
      </c>
      <c r="C1245" t="s">
        <v>2475</v>
      </c>
      <c r="D1245" t="s">
        <v>1434</v>
      </c>
      <c r="E1245" t="s">
        <v>43</v>
      </c>
      <c r="F1245" s="853" t="s">
        <v>527</v>
      </c>
      <c r="G1245" s="913" t="s">
        <v>9409</v>
      </c>
      <c r="H1245" t="s">
        <v>4511</v>
      </c>
    </row>
    <row r="1246" spans="2:8">
      <c r="B1246" s="871">
        <v>46271</v>
      </c>
      <c r="C1246" t="s">
        <v>2475</v>
      </c>
      <c r="D1246" t="s">
        <v>1434</v>
      </c>
      <c r="E1246" t="s">
        <v>43</v>
      </c>
      <c r="F1246" s="853" t="s">
        <v>528</v>
      </c>
      <c r="G1246" s="913" t="s">
        <v>9409</v>
      </c>
      <c r="H1246" t="s">
        <v>4512</v>
      </c>
    </row>
    <row r="1247" spans="2:8">
      <c r="B1247" s="871">
        <v>46271</v>
      </c>
      <c r="C1247" t="s">
        <v>2475</v>
      </c>
      <c r="D1247" t="s">
        <v>1410</v>
      </c>
      <c r="E1247" t="s">
        <v>3418</v>
      </c>
      <c r="F1247" s="853" t="s">
        <v>526</v>
      </c>
      <c r="G1247" s="913">
        <v>43</v>
      </c>
      <c r="H1247" t="s">
        <v>4513</v>
      </c>
    </row>
    <row r="1248" spans="2:8">
      <c r="B1248" s="871">
        <v>46271</v>
      </c>
      <c r="C1248" t="s">
        <v>2475</v>
      </c>
      <c r="D1248" t="s">
        <v>1410</v>
      </c>
      <c r="E1248" t="s">
        <v>3418</v>
      </c>
      <c r="F1248" s="853" t="s">
        <v>527</v>
      </c>
      <c r="G1248" s="913">
        <v>50</v>
      </c>
      <c r="H1248" t="s">
        <v>4514</v>
      </c>
    </row>
    <row r="1249" spans="2:8">
      <c r="B1249" s="871">
        <v>46271</v>
      </c>
      <c r="C1249" t="s">
        <v>2475</v>
      </c>
      <c r="D1249" t="s">
        <v>1410</v>
      </c>
      <c r="E1249" t="s">
        <v>3418</v>
      </c>
      <c r="F1249" s="853" t="s">
        <v>528</v>
      </c>
      <c r="G1249" s="913">
        <v>51</v>
      </c>
      <c r="H1249" t="s">
        <v>4515</v>
      </c>
    </row>
    <row r="1250" spans="2:8">
      <c r="B1250" s="871">
        <v>46271</v>
      </c>
      <c r="C1250" t="s">
        <v>2475</v>
      </c>
      <c r="D1250" t="s">
        <v>1434</v>
      </c>
      <c r="E1250" t="s">
        <v>1441</v>
      </c>
      <c r="F1250" s="853" t="s">
        <v>526</v>
      </c>
      <c r="G1250" s="913" t="s">
        <v>9410</v>
      </c>
      <c r="H1250" t="s">
        <v>4516</v>
      </c>
    </row>
    <row r="1251" spans="2:8">
      <c r="B1251" s="871">
        <v>46271</v>
      </c>
      <c r="C1251" t="s">
        <v>2475</v>
      </c>
      <c r="D1251" t="s">
        <v>1434</v>
      </c>
      <c r="E1251" t="s">
        <v>1441</v>
      </c>
      <c r="F1251" s="853" t="s">
        <v>527</v>
      </c>
      <c r="G1251" s="913" t="s">
        <v>9410</v>
      </c>
      <c r="H1251" t="s">
        <v>4517</v>
      </c>
    </row>
    <row r="1252" spans="2:8">
      <c r="B1252" s="871">
        <v>46271</v>
      </c>
      <c r="C1252" t="s">
        <v>2475</v>
      </c>
      <c r="D1252" t="s">
        <v>1434</v>
      </c>
      <c r="E1252" t="s">
        <v>1441</v>
      </c>
      <c r="F1252" s="853" t="s">
        <v>528</v>
      </c>
      <c r="G1252" s="913" t="s">
        <v>9410</v>
      </c>
      <c r="H1252" t="s">
        <v>4518</v>
      </c>
    </row>
    <row r="1253" spans="2:8">
      <c r="B1253" s="871">
        <v>46271</v>
      </c>
      <c r="C1253" t="s">
        <v>2475</v>
      </c>
      <c r="D1253" t="s">
        <v>1410</v>
      </c>
      <c r="E1253" t="s">
        <v>3425</v>
      </c>
      <c r="F1253" s="853" t="s">
        <v>526</v>
      </c>
      <c r="G1253" s="913" t="s">
        <v>1443</v>
      </c>
      <c r="H1253" t="s">
        <v>4519</v>
      </c>
    </row>
    <row r="1254" spans="2:8">
      <c r="B1254" s="871">
        <v>46271</v>
      </c>
      <c r="C1254" t="s">
        <v>2475</v>
      </c>
      <c r="D1254" t="s">
        <v>1410</v>
      </c>
      <c r="E1254" t="s">
        <v>3425</v>
      </c>
      <c r="F1254" s="853" t="s">
        <v>527</v>
      </c>
      <c r="G1254" s="913" t="s">
        <v>1443</v>
      </c>
      <c r="H1254" t="s">
        <v>4520</v>
      </c>
    </row>
    <row r="1255" spans="2:8">
      <c r="B1255" s="871">
        <v>46271</v>
      </c>
      <c r="C1255" t="s">
        <v>2475</v>
      </c>
      <c r="D1255" t="s">
        <v>1410</v>
      </c>
      <c r="E1255" t="s">
        <v>3425</v>
      </c>
      <c r="F1255" s="853" t="s">
        <v>528</v>
      </c>
      <c r="G1255" s="913" t="s">
        <v>1443</v>
      </c>
      <c r="H1255" t="s">
        <v>4521</v>
      </c>
    </row>
    <row r="1256" spans="2:8">
      <c r="B1256" s="871">
        <v>46271</v>
      </c>
      <c r="C1256" t="s">
        <v>2475</v>
      </c>
      <c r="D1256" t="s">
        <v>1434</v>
      </c>
      <c r="E1256" t="s">
        <v>1444</v>
      </c>
      <c r="F1256" s="853" t="s">
        <v>526</v>
      </c>
      <c r="H1256" t="s">
        <v>4522</v>
      </c>
    </row>
    <row r="1257" spans="2:8">
      <c r="B1257" s="871">
        <v>46271</v>
      </c>
      <c r="C1257" t="s">
        <v>2475</v>
      </c>
      <c r="D1257" t="s">
        <v>1434</v>
      </c>
      <c r="E1257" t="s">
        <v>1444</v>
      </c>
      <c r="F1257" s="853" t="s">
        <v>527</v>
      </c>
      <c r="H1257" t="s">
        <v>4523</v>
      </c>
    </row>
    <row r="1258" spans="2:8">
      <c r="B1258" s="871">
        <v>46271</v>
      </c>
      <c r="C1258" t="s">
        <v>2475</v>
      </c>
      <c r="D1258" t="s">
        <v>1434</v>
      </c>
      <c r="E1258" t="s">
        <v>1444</v>
      </c>
      <c r="F1258" s="853" t="s">
        <v>528</v>
      </c>
      <c r="H1258" t="s">
        <v>4524</v>
      </c>
    </row>
    <row r="1259" spans="2:8">
      <c r="B1259" s="871">
        <v>46271</v>
      </c>
      <c r="C1259" t="s">
        <v>2475</v>
      </c>
      <c r="D1259" t="s">
        <v>1434</v>
      </c>
      <c r="E1259" t="s">
        <v>1446</v>
      </c>
      <c r="F1259" s="853" t="s">
        <v>526</v>
      </c>
      <c r="G1259" s="913">
        <v>48000</v>
      </c>
      <c r="H1259" t="s">
        <v>4525</v>
      </c>
    </row>
    <row r="1260" spans="2:8">
      <c r="B1260" s="871">
        <v>46271</v>
      </c>
      <c r="C1260" t="s">
        <v>2475</v>
      </c>
      <c r="D1260" t="s">
        <v>1434</v>
      </c>
      <c r="E1260" t="s">
        <v>1446</v>
      </c>
      <c r="F1260" s="853" t="s">
        <v>527</v>
      </c>
      <c r="G1260" s="913">
        <v>48000</v>
      </c>
      <c r="H1260" t="s">
        <v>4526</v>
      </c>
    </row>
    <row r="1261" spans="2:8">
      <c r="B1261" s="871">
        <v>46271</v>
      </c>
      <c r="C1261" t="s">
        <v>2475</v>
      </c>
      <c r="D1261" t="s">
        <v>1434</v>
      </c>
      <c r="E1261" t="s">
        <v>1446</v>
      </c>
      <c r="F1261" s="853" t="s">
        <v>528</v>
      </c>
      <c r="G1261" s="913">
        <v>48000</v>
      </c>
      <c r="H1261" t="s">
        <v>4527</v>
      </c>
    </row>
    <row r="1262" spans="2:8">
      <c r="B1262" s="871">
        <v>46271</v>
      </c>
      <c r="C1262" t="s">
        <v>2475</v>
      </c>
      <c r="D1262" t="s">
        <v>1410</v>
      </c>
      <c r="E1262" t="s">
        <v>3435</v>
      </c>
      <c r="F1262" s="853" t="s">
        <v>526</v>
      </c>
      <c r="G1262" s="913" t="s">
        <v>1586</v>
      </c>
      <c r="H1262" t="s">
        <v>4528</v>
      </c>
    </row>
    <row r="1263" spans="2:8">
      <c r="B1263" s="871">
        <v>46271</v>
      </c>
      <c r="C1263" t="s">
        <v>2475</v>
      </c>
      <c r="D1263" t="s">
        <v>1410</v>
      </c>
      <c r="E1263" t="s">
        <v>3435</v>
      </c>
      <c r="F1263" s="853" t="s">
        <v>527</v>
      </c>
      <c r="G1263" s="913" t="s">
        <v>1586</v>
      </c>
      <c r="H1263" t="s">
        <v>4529</v>
      </c>
    </row>
    <row r="1264" spans="2:8">
      <c r="B1264" s="871">
        <v>46271</v>
      </c>
      <c r="C1264" t="s">
        <v>2475</v>
      </c>
      <c r="D1264" t="s">
        <v>1410</v>
      </c>
      <c r="E1264" t="s">
        <v>3435</v>
      </c>
      <c r="F1264" s="853" t="s">
        <v>528</v>
      </c>
      <c r="G1264" s="913" t="s">
        <v>1586</v>
      </c>
      <c r="H1264" t="s">
        <v>4530</v>
      </c>
    </row>
    <row r="1265" spans="2:8">
      <c r="B1265" s="871">
        <v>46271</v>
      </c>
      <c r="C1265" t="s">
        <v>2475</v>
      </c>
      <c r="D1265" t="s">
        <v>1434</v>
      </c>
      <c r="E1265" t="s">
        <v>3439</v>
      </c>
      <c r="F1265" s="853" t="s">
        <v>526</v>
      </c>
      <c r="H1265" t="s">
        <v>4531</v>
      </c>
    </row>
    <row r="1266" spans="2:8">
      <c r="B1266" s="871">
        <v>46271</v>
      </c>
      <c r="C1266" t="s">
        <v>2475</v>
      </c>
      <c r="D1266" t="s">
        <v>1434</v>
      </c>
      <c r="E1266" t="s">
        <v>3439</v>
      </c>
      <c r="F1266" s="853" t="s">
        <v>527</v>
      </c>
      <c r="H1266" t="s">
        <v>4532</v>
      </c>
    </row>
    <row r="1267" spans="2:8">
      <c r="B1267" s="871">
        <v>46271</v>
      </c>
      <c r="C1267" t="s">
        <v>2475</v>
      </c>
      <c r="D1267" t="s">
        <v>1434</v>
      </c>
      <c r="E1267" t="s">
        <v>3439</v>
      </c>
      <c r="F1267" s="853" t="s">
        <v>528</v>
      </c>
      <c r="H1267" t="s">
        <v>4533</v>
      </c>
    </row>
    <row r="1268" spans="2:8">
      <c r="B1268" s="871">
        <v>46271</v>
      </c>
      <c r="C1268" t="s">
        <v>2475</v>
      </c>
      <c r="D1268" t="s">
        <v>1410</v>
      </c>
      <c r="E1268" t="s">
        <v>3443</v>
      </c>
      <c r="F1268" s="853" t="s">
        <v>526</v>
      </c>
      <c r="H1268" t="s">
        <v>4534</v>
      </c>
    </row>
    <row r="1269" spans="2:8">
      <c r="B1269" s="871">
        <v>46271</v>
      </c>
      <c r="C1269" t="s">
        <v>2475</v>
      </c>
      <c r="D1269" t="s">
        <v>1410</v>
      </c>
      <c r="E1269" t="s">
        <v>3443</v>
      </c>
      <c r="F1269" s="853" t="s">
        <v>527</v>
      </c>
      <c r="H1269" t="s">
        <v>4535</v>
      </c>
    </row>
    <row r="1270" spans="2:8">
      <c r="B1270" s="871">
        <v>46271</v>
      </c>
      <c r="C1270" t="s">
        <v>2475</v>
      </c>
      <c r="D1270" t="s">
        <v>1410</v>
      </c>
      <c r="E1270" t="s">
        <v>3443</v>
      </c>
      <c r="F1270" s="853" t="s">
        <v>528</v>
      </c>
      <c r="H1270" t="s">
        <v>4536</v>
      </c>
    </row>
    <row r="1271" spans="2:8">
      <c r="B1271" s="871">
        <v>46271</v>
      </c>
      <c r="C1271" t="s">
        <v>2475</v>
      </c>
      <c r="D1271" t="s">
        <v>1434</v>
      </c>
      <c r="E1271" t="s">
        <v>3447</v>
      </c>
      <c r="F1271" s="853" t="s">
        <v>526</v>
      </c>
      <c r="H1271" t="s">
        <v>4537</v>
      </c>
    </row>
    <row r="1272" spans="2:8">
      <c r="B1272" s="871">
        <v>46271</v>
      </c>
      <c r="C1272" t="s">
        <v>2475</v>
      </c>
      <c r="D1272" t="s">
        <v>1434</v>
      </c>
      <c r="E1272" t="s">
        <v>3447</v>
      </c>
      <c r="F1272" s="853" t="s">
        <v>527</v>
      </c>
      <c r="H1272" t="s">
        <v>4538</v>
      </c>
    </row>
    <row r="1273" spans="2:8">
      <c r="B1273" s="871">
        <v>46271</v>
      </c>
      <c r="C1273" t="s">
        <v>2475</v>
      </c>
      <c r="D1273" t="s">
        <v>1434</v>
      </c>
      <c r="E1273" t="s">
        <v>3447</v>
      </c>
      <c r="F1273" s="853" t="s">
        <v>528</v>
      </c>
      <c r="H1273" t="s">
        <v>4539</v>
      </c>
    </row>
    <row r="1274" spans="2:8">
      <c r="B1274" s="871">
        <v>46271</v>
      </c>
      <c r="C1274" t="s">
        <v>2475</v>
      </c>
      <c r="D1274" t="s">
        <v>1410</v>
      </c>
      <c r="E1274" t="s">
        <v>3451</v>
      </c>
      <c r="F1274" s="853" t="s">
        <v>526</v>
      </c>
      <c r="H1274" t="s">
        <v>4540</v>
      </c>
    </row>
    <row r="1275" spans="2:8">
      <c r="B1275" s="871">
        <v>46271</v>
      </c>
      <c r="C1275" t="s">
        <v>2475</v>
      </c>
      <c r="D1275" t="s">
        <v>1410</v>
      </c>
      <c r="E1275" t="s">
        <v>3451</v>
      </c>
      <c r="F1275" s="853" t="s">
        <v>527</v>
      </c>
      <c r="H1275" t="s">
        <v>4541</v>
      </c>
    </row>
    <row r="1276" spans="2:8">
      <c r="B1276" s="871">
        <v>46271</v>
      </c>
      <c r="C1276" t="s">
        <v>2475</v>
      </c>
      <c r="D1276" t="s">
        <v>1410</v>
      </c>
      <c r="E1276" t="s">
        <v>3451</v>
      </c>
      <c r="F1276" s="853" t="s">
        <v>528</v>
      </c>
      <c r="H1276" t="s">
        <v>4542</v>
      </c>
    </row>
    <row r="1277" spans="2:8">
      <c r="B1277" s="871">
        <v>46271</v>
      </c>
      <c r="C1277" t="s">
        <v>2475</v>
      </c>
      <c r="D1277" t="s">
        <v>1434</v>
      </c>
      <c r="E1277" t="s">
        <v>3455</v>
      </c>
      <c r="F1277" s="853" t="s">
        <v>526</v>
      </c>
      <c r="H1277" t="s">
        <v>4543</v>
      </c>
    </row>
    <row r="1278" spans="2:8">
      <c r="B1278" s="871">
        <v>46271</v>
      </c>
      <c r="C1278" t="s">
        <v>2475</v>
      </c>
      <c r="D1278" t="s">
        <v>1434</v>
      </c>
      <c r="E1278" t="s">
        <v>3455</v>
      </c>
      <c r="F1278" s="853" t="s">
        <v>527</v>
      </c>
      <c r="H1278" t="s">
        <v>4544</v>
      </c>
    </row>
    <row r="1279" spans="2:8">
      <c r="B1279" s="871">
        <v>46271</v>
      </c>
      <c r="C1279" t="s">
        <v>2475</v>
      </c>
      <c r="D1279" t="s">
        <v>1434</v>
      </c>
      <c r="E1279" t="s">
        <v>3455</v>
      </c>
      <c r="F1279" s="853" t="s">
        <v>528</v>
      </c>
      <c r="H1279" t="s">
        <v>4545</v>
      </c>
    </row>
    <row r="1280" spans="2:8">
      <c r="B1280" s="871">
        <v>46271</v>
      </c>
      <c r="C1280" t="s">
        <v>2475</v>
      </c>
      <c r="D1280" t="s">
        <v>1410</v>
      </c>
      <c r="E1280" t="s">
        <v>3459</v>
      </c>
      <c r="F1280" s="853" t="s">
        <v>526</v>
      </c>
      <c r="G1280" s="913">
        <v>28</v>
      </c>
      <c r="H1280" t="s">
        <v>4546</v>
      </c>
    </row>
    <row r="1281" spans="2:8">
      <c r="B1281" s="871">
        <v>46271</v>
      </c>
      <c r="C1281" t="s">
        <v>2475</v>
      </c>
      <c r="D1281" t="s">
        <v>1410</v>
      </c>
      <c r="E1281" t="s">
        <v>3459</v>
      </c>
      <c r="F1281" s="853" t="s">
        <v>527</v>
      </c>
      <c r="G1281" s="913">
        <v>25</v>
      </c>
      <c r="H1281" t="s">
        <v>4547</v>
      </c>
    </row>
    <row r="1282" spans="2:8">
      <c r="B1282" s="871">
        <v>46271</v>
      </c>
      <c r="C1282" t="s">
        <v>2475</v>
      </c>
      <c r="D1282" t="s">
        <v>1410</v>
      </c>
      <c r="E1282" t="s">
        <v>3459</v>
      </c>
      <c r="F1282" s="853" t="s">
        <v>528</v>
      </c>
      <c r="G1282" s="913">
        <v>29</v>
      </c>
      <c r="H1282" t="s">
        <v>4548</v>
      </c>
    </row>
    <row r="1283" spans="2:8">
      <c r="B1283" s="871">
        <v>46271</v>
      </c>
      <c r="C1283" t="s">
        <v>2475</v>
      </c>
      <c r="D1283" t="s">
        <v>1434</v>
      </c>
      <c r="E1283" t="s">
        <v>3463</v>
      </c>
      <c r="F1283" s="853" t="s">
        <v>526</v>
      </c>
      <c r="H1283" t="s">
        <v>4549</v>
      </c>
    </row>
    <row r="1284" spans="2:8">
      <c r="B1284" s="871">
        <v>46271</v>
      </c>
      <c r="C1284" t="s">
        <v>2475</v>
      </c>
      <c r="D1284" t="s">
        <v>1434</v>
      </c>
      <c r="E1284" t="s">
        <v>3463</v>
      </c>
      <c r="F1284" s="853" t="s">
        <v>527</v>
      </c>
      <c r="H1284" t="s">
        <v>4550</v>
      </c>
    </row>
    <row r="1285" spans="2:8">
      <c r="B1285" s="871">
        <v>46271</v>
      </c>
      <c r="C1285" t="s">
        <v>2475</v>
      </c>
      <c r="D1285" t="s">
        <v>1434</v>
      </c>
      <c r="E1285" t="s">
        <v>3463</v>
      </c>
      <c r="F1285" s="853" t="s">
        <v>528</v>
      </c>
      <c r="H1285" t="s">
        <v>4551</v>
      </c>
    </row>
    <row r="1286" spans="2:8">
      <c r="B1286" s="871">
        <v>46271</v>
      </c>
      <c r="C1286" t="s">
        <v>2475</v>
      </c>
      <c r="D1286" t="s">
        <v>1410</v>
      </c>
      <c r="E1286" t="s">
        <v>3467</v>
      </c>
      <c r="F1286" s="853" t="s">
        <v>526</v>
      </c>
      <c r="G1286" s="913">
        <v>28</v>
      </c>
      <c r="H1286" t="s">
        <v>4552</v>
      </c>
    </row>
    <row r="1287" spans="2:8">
      <c r="B1287" s="871">
        <v>46271</v>
      </c>
      <c r="C1287" t="s">
        <v>2475</v>
      </c>
      <c r="D1287" t="s">
        <v>1410</v>
      </c>
      <c r="E1287" t="s">
        <v>3467</v>
      </c>
      <c r="F1287" s="853" t="s">
        <v>527</v>
      </c>
      <c r="G1287" s="913">
        <v>25</v>
      </c>
      <c r="H1287" t="s">
        <v>4553</v>
      </c>
    </row>
    <row r="1288" spans="2:8">
      <c r="B1288" s="871">
        <v>46271</v>
      </c>
      <c r="C1288" t="s">
        <v>2475</v>
      </c>
      <c r="D1288" t="s">
        <v>1410</v>
      </c>
      <c r="E1288" t="s">
        <v>3467</v>
      </c>
      <c r="F1288" s="853" t="s">
        <v>528</v>
      </c>
      <c r="H1288" t="s">
        <v>4554</v>
      </c>
    </row>
    <row r="1289" spans="2:8">
      <c r="B1289" s="871">
        <v>46271</v>
      </c>
      <c r="C1289" t="s">
        <v>2475</v>
      </c>
      <c r="D1289" t="s">
        <v>1434</v>
      </c>
      <c r="E1289" t="s">
        <v>3471</v>
      </c>
      <c r="F1289" s="853" t="s">
        <v>526</v>
      </c>
      <c r="H1289" t="s">
        <v>4555</v>
      </c>
    </row>
    <row r="1290" spans="2:8">
      <c r="B1290" s="871">
        <v>46271</v>
      </c>
      <c r="C1290" t="s">
        <v>2475</v>
      </c>
      <c r="D1290" t="s">
        <v>1434</v>
      </c>
      <c r="E1290" t="s">
        <v>3471</v>
      </c>
      <c r="F1290" s="853" t="s">
        <v>527</v>
      </c>
      <c r="H1290" t="s">
        <v>4556</v>
      </c>
    </row>
    <row r="1291" spans="2:8">
      <c r="B1291" s="871">
        <v>46271</v>
      </c>
      <c r="C1291" t="s">
        <v>2475</v>
      </c>
      <c r="D1291" t="s">
        <v>1434</v>
      </c>
      <c r="E1291" t="s">
        <v>3471</v>
      </c>
      <c r="F1291" s="853" t="s">
        <v>528</v>
      </c>
      <c r="H1291" t="s">
        <v>4557</v>
      </c>
    </row>
    <row r="1292" spans="2:8">
      <c r="B1292" s="871">
        <v>46271</v>
      </c>
      <c r="C1292" t="s">
        <v>2475</v>
      </c>
      <c r="D1292" t="s">
        <v>1410</v>
      </c>
      <c r="E1292" t="s">
        <v>3475</v>
      </c>
      <c r="F1292" s="853" t="s">
        <v>526</v>
      </c>
      <c r="G1292" s="913">
        <v>19</v>
      </c>
      <c r="H1292" t="s">
        <v>4558</v>
      </c>
    </row>
    <row r="1293" spans="2:8">
      <c r="B1293" s="871">
        <v>46271</v>
      </c>
      <c r="C1293" t="s">
        <v>2475</v>
      </c>
      <c r="D1293" t="s">
        <v>1410</v>
      </c>
      <c r="E1293" t="s">
        <v>3475</v>
      </c>
      <c r="F1293" s="853" t="s">
        <v>527</v>
      </c>
      <c r="G1293" s="913">
        <v>15</v>
      </c>
      <c r="H1293" t="s">
        <v>4559</v>
      </c>
    </row>
    <row r="1294" spans="2:8">
      <c r="B1294" s="871">
        <v>46271</v>
      </c>
      <c r="C1294" t="s">
        <v>2475</v>
      </c>
      <c r="D1294" t="s">
        <v>1410</v>
      </c>
      <c r="E1294" t="s">
        <v>3475</v>
      </c>
      <c r="F1294" s="853" t="s">
        <v>528</v>
      </c>
      <c r="G1294" s="913">
        <v>19</v>
      </c>
      <c r="H1294" t="s">
        <v>4560</v>
      </c>
    </row>
    <row r="1295" spans="2:8">
      <c r="B1295" s="871">
        <v>46271</v>
      </c>
      <c r="C1295" t="s">
        <v>2475</v>
      </c>
      <c r="D1295" t="s">
        <v>1434</v>
      </c>
      <c r="E1295" t="s">
        <v>3479</v>
      </c>
      <c r="F1295" s="853" t="s">
        <v>526</v>
      </c>
      <c r="H1295" t="s">
        <v>4561</v>
      </c>
    </row>
    <row r="1296" spans="2:8">
      <c r="B1296" s="871">
        <v>46271</v>
      </c>
      <c r="C1296" t="s">
        <v>2475</v>
      </c>
      <c r="D1296" t="s">
        <v>1434</v>
      </c>
      <c r="E1296" t="s">
        <v>3479</v>
      </c>
      <c r="F1296" s="853" t="s">
        <v>527</v>
      </c>
      <c r="H1296" t="s">
        <v>4562</v>
      </c>
    </row>
    <row r="1297" spans="2:8">
      <c r="B1297" s="871">
        <v>46271</v>
      </c>
      <c r="C1297" t="s">
        <v>2475</v>
      </c>
      <c r="D1297" t="s">
        <v>1434</v>
      </c>
      <c r="E1297" t="s">
        <v>3479</v>
      </c>
      <c r="F1297" s="853" t="s">
        <v>528</v>
      </c>
      <c r="H1297" t="s">
        <v>4563</v>
      </c>
    </row>
    <row r="1298" spans="2:8">
      <c r="B1298" s="871">
        <v>46271</v>
      </c>
      <c r="C1298" t="s">
        <v>2475</v>
      </c>
      <c r="D1298" t="s">
        <v>1410</v>
      </c>
      <c r="E1298" t="s">
        <v>3483</v>
      </c>
      <c r="F1298" s="853" t="s">
        <v>526</v>
      </c>
      <c r="G1298" s="913">
        <v>5</v>
      </c>
      <c r="H1298" t="s">
        <v>4564</v>
      </c>
    </row>
    <row r="1299" spans="2:8">
      <c r="B1299" s="871">
        <v>46271</v>
      </c>
      <c r="C1299" t="s">
        <v>2475</v>
      </c>
      <c r="D1299" t="s">
        <v>1410</v>
      </c>
      <c r="E1299" t="s">
        <v>3483</v>
      </c>
      <c r="F1299" s="853" t="s">
        <v>527</v>
      </c>
      <c r="G1299" s="913">
        <v>5</v>
      </c>
      <c r="H1299" t="s">
        <v>4565</v>
      </c>
    </row>
    <row r="1300" spans="2:8">
      <c r="B1300" s="871">
        <v>46271</v>
      </c>
      <c r="C1300" t="s">
        <v>2475</v>
      </c>
      <c r="D1300" t="s">
        <v>1410</v>
      </c>
      <c r="E1300" t="s">
        <v>3483</v>
      </c>
      <c r="F1300" s="853" t="s">
        <v>528</v>
      </c>
      <c r="G1300" s="913">
        <v>5</v>
      </c>
      <c r="H1300" t="s">
        <v>4566</v>
      </c>
    </row>
    <row r="1301" spans="2:8">
      <c r="B1301" s="871">
        <v>46272</v>
      </c>
      <c r="C1301" t="s">
        <v>2476</v>
      </c>
      <c r="D1301" t="s">
        <v>1375</v>
      </c>
      <c r="E1301" t="s">
        <v>1377</v>
      </c>
      <c r="F1301" s="853" t="s">
        <v>526</v>
      </c>
      <c r="G1301" s="913" t="s">
        <v>1622</v>
      </c>
      <c r="H1301" t="s">
        <v>4567</v>
      </c>
    </row>
    <row r="1302" spans="2:8">
      <c r="B1302" s="871">
        <v>46272</v>
      </c>
      <c r="C1302" t="s">
        <v>2476</v>
      </c>
      <c r="D1302" t="s">
        <v>1375</v>
      </c>
      <c r="E1302" t="s">
        <v>1377</v>
      </c>
      <c r="F1302" s="853" t="s">
        <v>527</v>
      </c>
      <c r="G1302" s="913" t="s">
        <v>1622</v>
      </c>
      <c r="H1302" t="s">
        <v>4568</v>
      </c>
    </row>
    <row r="1303" spans="2:8">
      <c r="B1303" s="871">
        <v>46272</v>
      </c>
      <c r="C1303" t="s">
        <v>2476</v>
      </c>
      <c r="D1303" t="s">
        <v>1375</v>
      </c>
      <c r="E1303" t="s">
        <v>1377</v>
      </c>
      <c r="F1303" s="853" t="s">
        <v>528</v>
      </c>
      <c r="G1303" s="913" t="s">
        <v>1699</v>
      </c>
      <c r="H1303" t="s">
        <v>4569</v>
      </c>
    </row>
    <row r="1304" spans="2:8">
      <c r="B1304" s="871">
        <v>46272</v>
      </c>
      <c r="C1304" t="s">
        <v>2476</v>
      </c>
      <c r="D1304" t="s">
        <v>1376</v>
      </c>
      <c r="E1304" t="s">
        <v>1379</v>
      </c>
      <c r="F1304" s="853" t="s">
        <v>526</v>
      </c>
      <c r="H1304" t="s">
        <v>4570</v>
      </c>
    </row>
    <row r="1305" spans="2:8">
      <c r="B1305" s="871">
        <v>46272</v>
      </c>
      <c r="C1305" t="s">
        <v>2476</v>
      </c>
      <c r="D1305" t="s">
        <v>1376</v>
      </c>
      <c r="E1305" t="s">
        <v>1379</v>
      </c>
      <c r="F1305" s="853" t="s">
        <v>527</v>
      </c>
      <c r="H1305" t="s">
        <v>4571</v>
      </c>
    </row>
    <row r="1306" spans="2:8">
      <c r="B1306" s="871">
        <v>46272</v>
      </c>
      <c r="C1306" t="s">
        <v>2476</v>
      </c>
      <c r="D1306" t="s">
        <v>1376</v>
      </c>
      <c r="E1306" t="s">
        <v>1379</v>
      </c>
      <c r="F1306" s="853" t="s">
        <v>528</v>
      </c>
      <c r="H1306" t="s">
        <v>4572</v>
      </c>
    </row>
    <row r="1307" spans="2:8">
      <c r="B1307" s="871">
        <v>46272</v>
      </c>
      <c r="C1307" t="s">
        <v>2476</v>
      </c>
      <c r="D1307" t="s">
        <v>1375</v>
      </c>
      <c r="E1307" t="s">
        <v>1380</v>
      </c>
      <c r="F1307" s="853" t="s">
        <v>526</v>
      </c>
      <c r="G1307" s="913" t="s">
        <v>1660</v>
      </c>
      <c r="H1307" t="s">
        <v>4573</v>
      </c>
    </row>
    <row r="1308" spans="2:8">
      <c r="B1308" s="871">
        <v>46272</v>
      </c>
      <c r="C1308" t="s">
        <v>2476</v>
      </c>
      <c r="D1308" t="s">
        <v>1375</v>
      </c>
      <c r="E1308" t="s">
        <v>1380</v>
      </c>
      <c r="F1308" s="853" t="s">
        <v>527</v>
      </c>
      <c r="G1308" s="913" t="s">
        <v>1381</v>
      </c>
      <c r="H1308" t="s">
        <v>4574</v>
      </c>
    </row>
    <row r="1309" spans="2:8">
      <c r="B1309" s="871">
        <v>46272</v>
      </c>
      <c r="C1309" t="s">
        <v>2476</v>
      </c>
      <c r="D1309" t="s">
        <v>1375</v>
      </c>
      <c r="E1309" t="s">
        <v>1380</v>
      </c>
      <c r="F1309" s="853" t="s">
        <v>528</v>
      </c>
      <c r="G1309" s="913" t="s">
        <v>1700</v>
      </c>
      <c r="H1309" t="s">
        <v>4575</v>
      </c>
    </row>
    <row r="1310" spans="2:8">
      <c r="B1310" s="871">
        <v>46272</v>
      </c>
      <c r="C1310" t="s">
        <v>2476</v>
      </c>
      <c r="D1310" t="s">
        <v>1376</v>
      </c>
      <c r="E1310" t="s">
        <v>1383</v>
      </c>
      <c r="F1310" s="853" t="s">
        <v>526</v>
      </c>
      <c r="G1310" s="913">
        <v>0</v>
      </c>
      <c r="H1310" t="s">
        <v>4576</v>
      </c>
    </row>
    <row r="1311" spans="2:8">
      <c r="B1311" s="871">
        <v>46272</v>
      </c>
      <c r="C1311" t="s">
        <v>2476</v>
      </c>
      <c r="D1311" t="s">
        <v>1376</v>
      </c>
      <c r="E1311" t="s">
        <v>1383</v>
      </c>
      <c r="F1311" s="853" t="s">
        <v>527</v>
      </c>
      <c r="G1311" s="913">
        <v>0</v>
      </c>
      <c r="H1311" t="s">
        <v>4577</v>
      </c>
    </row>
    <row r="1312" spans="2:8">
      <c r="B1312" s="871">
        <v>46272</v>
      </c>
      <c r="C1312" t="s">
        <v>2476</v>
      </c>
      <c r="D1312" t="s">
        <v>1376</v>
      </c>
      <c r="E1312" t="s">
        <v>1383</v>
      </c>
      <c r="F1312" s="853" t="s">
        <v>528</v>
      </c>
      <c r="G1312" s="913">
        <v>0</v>
      </c>
      <c r="H1312" t="s">
        <v>4578</v>
      </c>
    </row>
    <row r="1313" spans="2:8">
      <c r="B1313" s="871">
        <v>46272</v>
      </c>
      <c r="C1313" t="s">
        <v>2476</v>
      </c>
      <c r="D1313" t="s">
        <v>1375</v>
      </c>
      <c r="E1313" t="s">
        <v>54</v>
      </c>
      <c r="F1313" s="853" t="s">
        <v>526</v>
      </c>
      <c r="H1313" t="s">
        <v>4579</v>
      </c>
    </row>
    <row r="1314" spans="2:8">
      <c r="B1314" s="871">
        <v>46272</v>
      </c>
      <c r="C1314" t="s">
        <v>2476</v>
      </c>
      <c r="D1314" t="s">
        <v>1375</v>
      </c>
      <c r="E1314" t="s">
        <v>54</v>
      </c>
      <c r="F1314" s="853" t="s">
        <v>527</v>
      </c>
      <c r="H1314" t="s">
        <v>4580</v>
      </c>
    </row>
    <row r="1315" spans="2:8">
      <c r="B1315" s="871">
        <v>46272</v>
      </c>
      <c r="C1315" t="s">
        <v>2476</v>
      </c>
      <c r="D1315" t="s">
        <v>1375</v>
      </c>
      <c r="E1315" t="s">
        <v>54</v>
      </c>
      <c r="F1315" s="853" t="s">
        <v>528</v>
      </c>
      <c r="H1315" t="s">
        <v>4581</v>
      </c>
    </row>
    <row r="1316" spans="2:8">
      <c r="B1316" s="871">
        <v>46272</v>
      </c>
      <c r="C1316" t="s">
        <v>2476</v>
      </c>
      <c r="D1316" t="s">
        <v>1376</v>
      </c>
      <c r="E1316" t="s">
        <v>1384</v>
      </c>
      <c r="F1316" s="853" t="s">
        <v>526</v>
      </c>
      <c r="G1316" s="913">
        <v>0.5</v>
      </c>
      <c r="H1316" t="s">
        <v>4582</v>
      </c>
    </row>
    <row r="1317" spans="2:8">
      <c r="B1317" s="871">
        <v>46272</v>
      </c>
      <c r="C1317" t="s">
        <v>2476</v>
      </c>
      <c r="D1317" t="s">
        <v>1376</v>
      </c>
      <c r="E1317" t="s">
        <v>1384</v>
      </c>
      <c r="F1317" s="853" t="s">
        <v>527</v>
      </c>
      <c r="G1317" s="913">
        <v>0.55000000000000004</v>
      </c>
      <c r="H1317" t="s">
        <v>4583</v>
      </c>
    </row>
    <row r="1318" spans="2:8">
      <c r="B1318" s="871">
        <v>46272</v>
      </c>
      <c r="C1318" t="s">
        <v>2476</v>
      </c>
      <c r="D1318" t="s">
        <v>1376</v>
      </c>
      <c r="E1318" t="s">
        <v>1384</v>
      </c>
      <c r="F1318" s="853" t="s">
        <v>528</v>
      </c>
      <c r="G1318" s="913">
        <v>0.4</v>
      </c>
      <c r="H1318" t="s">
        <v>4584</v>
      </c>
    </row>
    <row r="1319" spans="2:8">
      <c r="B1319" s="871">
        <v>46272</v>
      </c>
      <c r="C1319" t="s">
        <v>2476</v>
      </c>
      <c r="D1319" t="s">
        <v>1375</v>
      </c>
      <c r="E1319" t="s">
        <v>1385</v>
      </c>
      <c r="F1319" s="853" t="s">
        <v>526</v>
      </c>
      <c r="G1319" s="913">
        <v>990</v>
      </c>
      <c r="H1319" t="s">
        <v>4585</v>
      </c>
    </row>
    <row r="1320" spans="2:8">
      <c r="B1320" s="871">
        <v>46272</v>
      </c>
      <c r="C1320" t="s">
        <v>2476</v>
      </c>
      <c r="D1320" t="s">
        <v>1375</v>
      </c>
      <c r="E1320" t="s">
        <v>1385</v>
      </c>
      <c r="F1320" s="853" t="s">
        <v>527</v>
      </c>
      <c r="G1320" s="913">
        <v>2010</v>
      </c>
      <c r="H1320" t="s">
        <v>4586</v>
      </c>
    </row>
    <row r="1321" spans="2:8">
      <c r="B1321" s="871">
        <v>46272</v>
      </c>
      <c r="C1321" t="s">
        <v>2476</v>
      </c>
      <c r="D1321" t="s">
        <v>1375</v>
      </c>
      <c r="E1321" t="s">
        <v>1385</v>
      </c>
      <c r="F1321" s="853" t="s">
        <v>528</v>
      </c>
      <c r="G1321" s="913">
        <v>3814</v>
      </c>
      <c r="H1321" t="s">
        <v>4587</v>
      </c>
    </row>
    <row r="1322" spans="2:8">
      <c r="B1322" s="871">
        <v>46272</v>
      </c>
      <c r="C1322" t="s">
        <v>2476</v>
      </c>
      <c r="D1322" t="s">
        <v>1376</v>
      </c>
      <c r="E1322" t="s">
        <v>1386</v>
      </c>
      <c r="F1322" s="853" t="s">
        <v>526</v>
      </c>
      <c r="G1322" s="913">
        <v>0.5</v>
      </c>
      <c r="H1322" t="s">
        <v>4588</v>
      </c>
    </row>
    <row r="1323" spans="2:8">
      <c r="B1323" s="871">
        <v>46272</v>
      </c>
      <c r="C1323" t="s">
        <v>2476</v>
      </c>
      <c r="D1323" t="s">
        <v>1376</v>
      </c>
      <c r="E1323" t="s">
        <v>1386</v>
      </c>
      <c r="F1323" s="853" t="s">
        <v>527</v>
      </c>
      <c r="G1323" s="913">
        <v>0.5</v>
      </c>
      <c r="H1323" t="s">
        <v>4589</v>
      </c>
    </row>
    <row r="1324" spans="2:8">
      <c r="B1324" s="871">
        <v>46272</v>
      </c>
      <c r="C1324" t="s">
        <v>2476</v>
      </c>
      <c r="D1324" t="s">
        <v>1376</v>
      </c>
      <c r="E1324" t="s">
        <v>1386</v>
      </c>
      <c r="F1324" s="853" t="s">
        <v>528</v>
      </c>
      <c r="G1324" s="913">
        <v>0.5</v>
      </c>
      <c r="H1324" t="s">
        <v>4590</v>
      </c>
    </row>
    <row r="1325" spans="2:8">
      <c r="B1325" s="871">
        <v>46272</v>
      </c>
      <c r="C1325" t="s">
        <v>2476</v>
      </c>
      <c r="D1325" t="s">
        <v>1376</v>
      </c>
      <c r="E1325" t="s">
        <v>1387</v>
      </c>
      <c r="F1325" s="853" t="s">
        <v>526</v>
      </c>
      <c r="G1325" s="913">
        <v>8.1999999999999993</v>
      </c>
      <c r="H1325" t="s">
        <v>4591</v>
      </c>
    </row>
    <row r="1326" spans="2:8">
      <c r="B1326" s="871">
        <v>46272</v>
      </c>
      <c r="C1326" t="s">
        <v>2476</v>
      </c>
      <c r="D1326" t="s">
        <v>1376</v>
      </c>
      <c r="E1326" t="s">
        <v>1387</v>
      </c>
      <c r="F1326" s="853" t="s">
        <v>527</v>
      </c>
      <c r="G1326" s="913">
        <v>8.1999999999999993</v>
      </c>
      <c r="H1326" t="s">
        <v>4592</v>
      </c>
    </row>
    <row r="1327" spans="2:8">
      <c r="B1327" s="871">
        <v>46272</v>
      </c>
      <c r="C1327" t="s">
        <v>2476</v>
      </c>
      <c r="D1327" t="s">
        <v>1376</v>
      </c>
      <c r="E1327" t="s">
        <v>1387</v>
      </c>
      <c r="F1327" s="853" t="s">
        <v>528</v>
      </c>
      <c r="G1327" s="913">
        <v>8.1</v>
      </c>
      <c r="H1327" t="s">
        <v>4593</v>
      </c>
    </row>
    <row r="1328" spans="2:8">
      <c r="B1328" s="871">
        <v>46272</v>
      </c>
      <c r="C1328" t="s">
        <v>2476</v>
      </c>
      <c r="D1328" t="s">
        <v>1375</v>
      </c>
      <c r="E1328" t="s">
        <v>1388</v>
      </c>
      <c r="F1328" s="853" t="s">
        <v>526</v>
      </c>
      <c r="H1328" t="s">
        <v>4594</v>
      </c>
    </row>
    <row r="1329" spans="2:8">
      <c r="B1329" s="871">
        <v>46272</v>
      </c>
      <c r="C1329" t="s">
        <v>2476</v>
      </c>
      <c r="D1329" t="s">
        <v>1375</v>
      </c>
      <c r="E1329" t="s">
        <v>1388</v>
      </c>
      <c r="F1329" s="853" t="s">
        <v>527</v>
      </c>
      <c r="H1329" t="s">
        <v>4595</v>
      </c>
    </row>
    <row r="1330" spans="2:8">
      <c r="B1330" s="871">
        <v>46272</v>
      </c>
      <c r="C1330" t="s">
        <v>2476</v>
      </c>
      <c r="D1330" t="s">
        <v>1375</v>
      </c>
      <c r="E1330" t="s">
        <v>1388</v>
      </c>
      <c r="F1330" s="853" t="s">
        <v>528</v>
      </c>
      <c r="H1330" t="s">
        <v>4596</v>
      </c>
    </row>
    <row r="1331" spans="2:8">
      <c r="B1331" s="871">
        <v>46272</v>
      </c>
      <c r="C1331" t="s">
        <v>2476</v>
      </c>
      <c r="D1331" t="s">
        <v>1376</v>
      </c>
      <c r="E1331" t="s">
        <v>1389</v>
      </c>
      <c r="F1331" s="853" t="s">
        <v>526</v>
      </c>
      <c r="G1331" s="913">
        <v>63.5</v>
      </c>
      <c r="H1331" t="s">
        <v>4597</v>
      </c>
    </row>
    <row r="1332" spans="2:8">
      <c r="B1332" s="871">
        <v>46272</v>
      </c>
      <c r="C1332" t="s">
        <v>2476</v>
      </c>
      <c r="D1332" t="s">
        <v>1376</v>
      </c>
      <c r="E1332" t="s">
        <v>1389</v>
      </c>
      <c r="F1332" s="853" t="s">
        <v>527</v>
      </c>
      <c r="G1332" s="913">
        <v>64.599999999999994</v>
      </c>
      <c r="H1332" t="s">
        <v>4598</v>
      </c>
    </row>
    <row r="1333" spans="2:8">
      <c r="B1333" s="871">
        <v>46272</v>
      </c>
      <c r="C1333" t="s">
        <v>2476</v>
      </c>
      <c r="D1333" t="s">
        <v>1376</v>
      </c>
      <c r="E1333" t="s">
        <v>1389</v>
      </c>
      <c r="F1333" s="853" t="s">
        <v>528</v>
      </c>
      <c r="G1333" s="913">
        <v>67</v>
      </c>
      <c r="H1333" t="s">
        <v>4599</v>
      </c>
    </row>
    <row r="1334" spans="2:8">
      <c r="B1334" s="871">
        <v>46272</v>
      </c>
      <c r="C1334" t="s">
        <v>2476</v>
      </c>
      <c r="D1334" t="s">
        <v>1375</v>
      </c>
      <c r="E1334" t="s">
        <v>3266</v>
      </c>
      <c r="F1334" s="853" t="s">
        <v>526</v>
      </c>
      <c r="G1334" s="913">
        <v>1</v>
      </c>
      <c r="H1334" t="s">
        <v>4600</v>
      </c>
    </row>
    <row r="1335" spans="2:8">
      <c r="B1335" s="871">
        <v>46272</v>
      </c>
      <c r="C1335" t="s">
        <v>2476</v>
      </c>
      <c r="D1335" t="s">
        <v>1375</v>
      </c>
      <c r="E1335" t="s">
        <v>3266</v>
      </c>
      <c r="F1335" s="853" t="s">
        <v>527</v>
      </c>
      <c r="G1335" s="913">
        <v>3</v>
      </c>
      <c r="H1335" t="s">
        <v>4601</v>
      </c>
    </row>
    <row r="1336" spans="2:8">
      <c r="B1336" s="871">
        <v>46272</v>
      </c>
      <c r="C1336" t="s">
        <v>2476</v>
      </c>
      <c r="D1336" t="s">
        <v>1375</v>
      </c>
      <c r="E1336" t="s">
        <v>3266</v>
      </c>
      <c r="F1336" s="853" t="s">
        <v>528</v>
      </c>
      <c r="G1336" s="913">
        <v>3</v>
      </c>
      <c r="H1336" t="s">
        <v>4602</v>
      </c>
    </row>
    <row r="1337" spans="2:8">
      <c r="B1337" s="871">
        <v>46272</v>
      </c>
      <c r="C1337" t="s">
        <v>2476</v>
      </c>
      <c r="D1337" t="s">
        <v>1376</v>
      </c>
      <c r="E1337" t="s">
        <v>1390</v>
      </c>
      <c r="F1337" s="853" t="s">
        <v>526</v>
      </c>
      <c r="G1337" s="913">
        <v>1.4599999999999999E-3</v>
      </c>
      <c r="H1337" t="s">
        <v>4603</v>
      </c>
    </row>
    <row r="1338" spans="2:8">
      <c r="B1338" s="871">
        <v>46272</v>
      </c>
      <c r="C1338" t="s">
        <v>2476</v>
      </c>
      <c r="D1338" t="s">
        <v>1376</v>
      </c>
      <c r="E1338" t="s">
        <v>1390</v>
      </c>
      <c r="F1338" s="853" t="s">
        <v>527</v>
      </c>
      <c r="G1338" s="913">
        <v>2.9499999999999999E-3</v>
      </c>
      <c r="H1338" t="s">
        <v>4604</v>
      </c>
    </row>
    <row r="1339" spans="2:8">
      <c r="B1339" s="871">
        <v>46272</v>
      </c>
      <c r="C1339" t="s">
        <v>2476</v>
      </c>
      <c r="D1339" t="s">
        <v>1376</v>
      </c>
      <c r="E1339" t="s">
        <v>1390</v>
      </c>
      <c r="F1339" s="853" t="s">
        <v>528</v>
      </c>
      <c r="G1339" s="913">
        <v>1.6999999999999999E-3</v>
      </c>
      <c r="H1339" t="s">
        <v>4605</v>
      </c>
    </row>
    <row r="1340" spans="2:8">
      <c r="B1340" s="871">
        <v>46272</v>
      </c>
      <c r="C1340" t="s">
        <v>2476</v>
      </c>
      <c r="D1340" t="s">
        <v>1375</v>
      </c>
      <c r="E1340" t="s">
        <v>3273</v>
      </c>
      <c r="F1340" s="853" t="s">
        <v>526</v>
      </c>
      <c r="G1340" s="913">
        <v>1</v>
      </c>
      <c r="H1340" t="s">
        <v>4606</v>
      </c>
    </row>
    <row r="1341" spans="2:8">
      <c r="B1341" s="871">
        <v>46272</v>
      </c>
      <c r="C1341" t="s">
        <v>2476</v>
      </c>
      <c r="D1341" t="s">
        <v>1375</v>
      </c>
      <c r="E1341" t="s">
        <v>3273</v>
      </c>
      <c r="F1341" s="853" t="s">
        <v>527</v>
      </c>
      <c r="G1341" s="913">
        <v>3</v>
      </c>
      <c r="H1341" t="s">
        <v>4607</v>
      </c>
    </row>
    <row r="1342" spans="2:8">
      <c r="B1342" s="871">
        <v>46272</v>
      </c>
      <c r="C1342" t="s">
        <v>2476</v>
      </c>
      <c r="D1342" t="s">
        <v>1375</v>
      </c>
      <c r="E1342" t="s">
        <v>3273</v>
      </c>
      <c r="F1342" s="853" t="s">
        <v>528</v>
      </c>
      <c r="G1342" s="913">
        <v>3</v>
      </c>
      <c r="H1342" t="s">
        <v>4608</v>
      </c>
    </row>
    <row r="1343" spans="2:8">
      <c r="B1343" s="871">
        <v>46272</v>
      </c>
      <c r="C1343" t="s">
        <v>2476</v>
      </c>
      <c r="D1343" t="s">
        <v>1376</v>
      </c>
      <c r="E1343" t="s">
        <v>1391</v>
      </c>
      <c r="F1343" s="853" t="s">
        <v>526</v>
      </c>
      <c r="H1343" t="s">
        <v>4609</v>
      </c>
    </row>
    <row r="1344" spans="2:8">
      <c r="B1344" s="871">
        <v>46272</v>
      </c>
      <c r="C1344" t="s">
        <v>2476</v>
      </c>
      <c r="D1344" t="s">
        <v>1376</v>
      </c>
      <c r="E1344" t="s">
        <v>1391</v>
      </c>
      <c r="F1344" s="853" t="s">
        <v>527</v>
      </c>
      <c r="H1344" t="s">
        <v>4610</v>
      </c>
    </row>
    <row r="1345" spans="2:8">
      <c r="B1345" s="871">
        <v>46272</v>
      </c>
      <c r="C1345" t="s">
        <v>2476</v>
      </c>
      <c r="D1345" t="s">
        <v>1376</v>
      </c>
      <c r="E1345" t="s">
        <v>1391</v>
      </c>
      <c r="F1345" s="853" t="s">
        <v>528</v>
      </c>
      <c r="G1345" s="913">
        <v>6869</v>
      </c>
      <c r="H1345" t="s">
        <v>4611</v>
      </c>
    </row>
    <row r="1346" spans="2:8">
      <c r="B1346" s="871">
        <v>46272</v>
      </c>
      <c r="C1346" t="s">
        <v>2476</v>
      </c>
      <c r="D1346" t="s">
        <v>1375</v>
      </c>
      <c r="E1346" t="s">
        <v>3280</v>
      </c>
      <c r="F1346" s="853" t="s">
        <v>526</v>
      </c>
      <c r="G1346" s="913">
        <v>1</v>
      </c>
      <c r="H1346" t="s">
        <v>4612</v>
      </c>
    </row>
    <row r="1347" spans="2:8">
      <c r="B1347" s="871">
        <v>46272</v>
      </c>
      <c r="C1347" t="s">
        <v>2476</v>
      </c>
      <c r="D1347" t="s">
        <v>1375</v>
      </c>
      <c r="E1347" t="s">
        <v>3280</v>
      </c>
      <c r="F1347" s="853" t="s">
        <v>527</v>
      </c>
      <c r="G1347" s="913">
        <v>3</v>
      </c>
      <c r="H1347" t="s">
        <v>4613</v>
      </c>
    </row>
    <row r="1348" spans="2:8">
      <c r="B1348" s="871">
        <v>46272</v>
      </c>
      <c r="C1348" t="s">
        <v>2476</v>
      </c>
      <c r="D1348" t="s">
        <v>1375</v>
      </c>
      <c r="E1348" t="s">
        <v>3280</v>
      </c>
      <c r="F1348" s="853" t="s">
        <v>528</v>
      </c>
      <c r="G1348" s="913">
        <v>3</v>
      </c>
      <c r="H1348" t="s">
        <v>4614</v>
      </c>
    </row>
    <row r="1349" spans="2:8">
      <c r="B1349" s="871">
        <v>46272</v>
      </c>
      <c r="C1349" t="s">
        <v>2476</v>
      </c>
      <c r="D1349" t="s">
        <v>1376</v>
      </c>
      <c r="E1349" t="s">
        <v>1392</v>
      </c>
      <c r="F1349" s="853" t="s">
        <v>526</v>
      </c>
      <c r="G1349" s="913">
        <v>6869</v>
      </c>
      <c r="H1349" t="s">
        <v>4615</v>
      </c>
    </row>
    <row r="1350" spans="2:8">
      <c r="B1350" s="871">
        <v>46272</v>
      </c>
      <c r="C1350" t="s">
        <v>2476</v>
      </c>
      <c r="D1350" t="s">
        <v>1376</v>
      </c>
      <c r="E1350" t="s">
        <v>1392</v>
      </c>
      <c r="F1350" s="853" t="s">
        <v>527</v>
      </c>
      <c r="H1350" t="s">
        <v>4616</v>
      </c>
    </row>
    <row r="1351" spans="2:8">
      <c r="B1351" s="871">
        <v>46272</v>
      </c>
      <c r="C1351" t="s">
        <v>2476</v>
      </c>
      <c r="D1351" t="s">
        <v>1376</v>
      </c>
      <c r="E1351" t="s">
        <v>1392</v>
      </c>
      <c r="F1351" s="853" t="s">
        <v>528</v>
      </c>
      <c r="H1351" t="s">
        <v>4617</v>
      </c>
    </row>
    <row r="1352" spans="2:8">
      <c r="B1352" s="871">
        <v>46272</v>
      </c>
      <c r="C1352" t="s">
        <v>2476</v>
      </c>
      <c r="D1352" t="s">
        <v>1375</v>
      </c>
      <c r="E1352" t="s">
        <v>3287</v>
      </c>
      <c r="F1352" s="853" t="s">
        <v>526</v>
      </c>
      <c r="G1352" s="913">
        <v>1</v>
      </c>
      <c r="H1352" t="s">
        <v>4618</v>
      </c>
    </row>
    <row r="1353" spans="2:8">
      <c r="B1353" s="871">
        <v>46272</v>
      </c>
      <c r="C1353" t="s">
        <v>2476</v>
      </c>
      <c r="D1353" t="s">
        <v>1375</v>
      </c>
      <c r="E1353" t="s">
        <v>3287</v>
      </c>
      <c r="F1353" s="853" t="s">
        <v>527</v>
      </c>
      <c r="G1353" s="913">
        <v>1</v>
      </c>
      <c r="H1353" t="s">
        <v>4619</v>
      </c>
    </row>
    <row r="1354" spans="2:8">
      <c r="B1354" s="871">
        <v>46272</v>
      </c>
      <c r="C1354" t="s">
        <v>2476</v>
      </c>
      <c r="D1354" t="s">
        <v>1375</v>
      </c>
      <c r="E1354" t="s">
        <v>3287</v>
      </c>
      <c r="F1354" s="853" t="s">
        <v>528</v>
      </c>
      <c r="G1354" s="913">
        <v>1</v>
      </c>
      <c r="H1354" t="s">
        <v>4620</v>
      </c>
    </row>
    <row r="1355" spans="2:8">
      <c r="B1355" s="871">
        <v>46272</v>
      </c>
      <c r="C1355" t="s">
        <v>2476</v>
      </c>
      <c r="D1355" t="s">
        <v>1375</v>
      </c>
      <c r="E1355" t="s">
        <v>3291</v>
      </c>
      <c r="F1355" s="853" t="s">
        <v>526</v>
      </c>
      <c r="G1355" s="913">
        <v>1</v>
      </c>
      <c r="H1355" t="s">
        <v>4621</v>
      </c>
    </row>
    <row r="1356" spans="2:8">
      <c r="B1356" s="871">
        <v>46272</v>
      </c>
      <c r="C1356" t="s">
        <v>2476</v>
      </c>
      <c r="D1356" t="s">
        <v>1375</v>
      </c>
      <c r="E1356" t="s">
        <v>3291</v>
      </c>
      <c r="F1356" s="853" t="s">
        <v>527</v>
      </c>
      <c r="G1356" s="913">
        <v>1</v>
      </c>
      <c r="H1356" t="s">
        <v>4622</v>
      </c>
    </row>
    <row r="1357" spans="2:8">
      <c r="B1357" s="871">
        <v>46272</v>
      </c>
      <c r="C1357" t="s">
        <v>2476</v>
      </c>
      <c r="D1357" t="s">
        <v>1375</v>
      </c>
      <c r="E1357" t="s">
        <v>3291</v>
      </c>
      <c r="F1357" s="853" t="s">
        <v>528</v>
      </c>
      <c r="G1357" s="913">
        <v>1</v>
      </c>
      <c r="H1357" t="s">
        <v>4623</v>
      </c>
    </row>
    <row r="1358" spans="2:8">
      <c r="B1358" s="871">
        <v>46272</v>
      </c>
      <c r="C1358" t="s">
        <v>2476</v>
      </c>
      <c r="D1358" t="s">
        <v>1393</v>
      </c>
      <c r="E1358" t="s">
        <v>1394</v>
      </c>
      <c r="F1358" s="853" t="s">
        <v>526</v>
      </c>
      <c r="G1358" s="913">
        <v>1.4</v>
      </c>
      <c r="H1358" t="s">
        <v>4624</v>
      </c>
    </row>
    <row r="1359" spans="2:8">
      <c r="B1359" s="871">
        <v>46272</v>
      </c>
      <c r="C1359" t="s">
        <v>2476</v>
      </c>
      <c r="D1359" t="s">
        <v>1393</v>
      </c>
      <c r="E1359" t="s">
        <v>1394</v>
      </c>
      <c r="F1359" s="853" t="s">
        <v>527</v>
      </c>
      <c r="G1359" s="913" t="s">
        <v>1701</v>
      </c>
      <c r="H1359" t="s">
        <v>4625</v>
      </c>
    </row>
    <row r="1360" spans="2:8">
      <c r="B1360" s="871">
        <v>46272</v>
      </c>
      <c r="C1360" t="s">
        <v>2476</v>
      </c>
      <c r="D1360" t="s">
        <v>1393</v>
      </c>
      <c r="E1360" t="s">
        <v>1394</v>
      </c>
      <c r="F1360" s="853" t="s">
        <v>528</v>
      </c>
      <c r="G1360" s="913" t="s">
        <v>1582</v>
      </c>
      <c r="H1360" t="s">
        <v>4626</v>
      </c>
    </row>
    <row r="1361" spans="2:8">
      <c r="B1361" s="871">
        <v>46272</v>
      </c>
      <c r="C1361" t="s">
        <v>2476</v>
      </c>
      <c r="D1361" t="s">
        <v>1375</v>
      </c>
      <c r="E1361" t="s">
        <v>3298</v>
      </c>
      <c r="F1361" s="853" t="s">
        <v>526</v>
      </c>
      <c r="G1361" s="913">
        <v>1</v>
      </c>
      <c r="H1361" t="s">
        <v>4627</v>
      </c>
    </row>
    <row r="1362" spans="2:8">
      <c r="B1362" s="871">
        <v>46272</v>
      </c>
      <c r="C1362" t="s">
        <v>2476</v>
      </c>
      <c r="D1362" t="s">
        <v>1375</v>
      </c>
      <c r="E1362" t="s">
        <v>3298</v>
      </c>
      <c r="F1362" s="853" t="s">
        <v>527</v>
      </c>
      <c r="G1362" s="913">
        <v>1</v>
      </c>
      <c r="H1362" t="s">
        <v>4628</v>
      </c>
    </row>
    <row r="1363" spans="2:8">
      <c r="B1363" s="871">
        <v>46272</v>
      </c>
      <c r="C1363" t="s">
        <v>2476</v>
      </c>
      <c r="D1363" t="s">
        <v>1375</v>
      </c>
      <c r="E1363" t="s">
        <v>3298</v>
      </c>
      <c r="F1363" s="853" t="s">
        <v>528</v>
      </c>
      <c r="G1363" s="913">
        <v>1</v>
      </c>
      <c r="H1363" t="s">
        <v>4629</v>
      </c>
    </row>
    <row r="1364" spans="2:8">
      <c r="B1364" s="871">
        <v>46272</v>
      </c>
      <c r="C1364" t="s">
        <v>2476</v>
      </c>
      <c r="D1364" t="s">
        <v>1393</v>
      </c>
      <c r="E1364" t="s">
        <v>1398</v>
      </c>
      <c r="F1364" s="853" t="s">
        <v>526</v>
      </c>
      <c r="G1364" s="913">
        <v>10</v>
      </c>
      <c r="H1364" t="s">
        <v>4630</v>
      </c>
    </row>
    <row r="1365" spans="2:8">
      <c r="B1365" s="871">
        <v>46272</v>
      </c>
      <c r="C1365" t="s">
        <v>2476</v>
      </c>
      <c r="D1365" t="s">
        <v>1393</v>
      </c>
      <c r="E1365" t="s">
        <v>1398</v>
      </c>
      <c r="F1365" s="853" t="s">
        <v>527</v>
      </c>
      <c r="G1365" s="913">
        <v>10</v>
      </c>
      <c r="H1365" t="s">
        <v>4631</v>
      </c>
    </row>
    <row r="1366" spans="2:8">
      <c r="B1366" s="871">
        <v>46272</v>
      </c>
      <c r="C1366" t="s">
        <v>2476</v>
      </c>
      <c r="D1366" t="s">
        <v>1393</v>
      </c>
      <c r="E1366" t="s">
        <v>1398</v>
      </c>
      <c r="F1366" s="853" t="s">
        <v>528</v>
      </c>
      <c r="G1366" s="913">
        <v>11</v>
      </c>
      <c r="H1366" t="s">
        <v>4632</v>
      </c>
    </row>
    <row r="1367" spans="2:8">
      <c r="B1367" s="871">
        <v>46272</v>
      </c>
      <c r="C1367" t="s">
        <v>2476</v>
      </c>
      <c r="D1367" t="s">
        <v>1375</v>
      </c>
      <c r="E1367" t="s">
        <v>3305</v>
      </c>
      <c r="F1367" s="853" t="s">
        <v>526</v>
      </c>
      <c r="G1367" s="913">
        <v>2</v>
      </c>
      <c r="H1367" t="s">
        <v>4633</v>
      </c>
    </row>
    <row r="1368" spans="2:8">
      <c r="B1368" s="871">
        <v>46272</v>
      </c>
      <c r="C1368" t="s">
        <v>2476</v>
      </c>
      <c r="D1368" t="s">
        <v>1375</v>
      </c>
      <c r="E1368" t="s">
        <v>3305</v>
      </c>
      <c r="F1368" s="853" t="s">
        <v>527</v>
      </c>
      <c r="G1368" s="913">
        <v>1</v>
      </c>
      <c r="H1368" t="s">
        <v>4634</v>
      </c>
    </row>
    <row r="1369" spans="2:8">
      <c r="B1369" s="871">
        <v>46272</v>
      </c>
      <c r="C1369" t="s">
        <v>2476</v>
      </c>
      <c r="D1369" t="s">
        <v>1375</v>
      </c>
      <c r="E1369" t="s">
        <v>3305</v>
      </c>
      <c r="F1369" s="853" t="s">
        <v>528</v>
      </c>
      <c r="G1369" s="913">
        <v>1</v>
      </c>
      <c r="H1369" t="s">
        <v>4635</v>
      </c>
    </row>
    <row r="1370" spans="2:8">
      <c r="B1370" s="871">
        <v>46272</v>
      </c>
      <c r="C1370" t="s">
        <v>2476</v>
      </c>
      <c r="D1370" t="s">
        <v>1393</v>
      </c>
      <c r="E1370" t="s">
        <v>1399</v>
      </c>
      <c r="F1370" s="853" t="s">
        <v>526</v>
      </c>
      <c r="G1370" s="913">
        <v>11</v>
      </c>
      <c r="H1370" t="s">
        <v>4636</v>
      </c>
    </row>
    <row r="1371" spans="2:8">
      <c r="B1371" s="871">
        <v>46272</v>
      </c>
      <c r="C1371" t="s">
        <v>2476</v>
      </c>
      <c r="D1371" t="s">
        <v>1393</v>
      </c>
      <c r="E1371" t="s">
        <v>1399</v>
      </c>
      <c r="F1371" s="853" t="s">
        <v>527</v>
      </c>
      <c r="G1371" s="913">
        <v>11</v>
      </c>
      <c r="H1371" t="s">
        <v>4637</v>
      </c>
    </row>
    <row r="1372" spans="2:8">
      <c r="B1372" s="871">
        <v>46272</v>
      </c>
      <c r="C1372" t="s">
        <v>2476</v>
      </c>
      <c r="D1372" t="s">
        <v>1393</v>
      </c>
      <c r="E1372" t="s">
        <v>1399</v>
      </c>
      <c r="F1372" s="853" t="s">
        <v>528</v>
      </c>
      <c r="G1372" s="913">
        <v>12</v>
      </c>
      <c r="H1372" t="s">
        <v>4638</v>
      </c>
    </row>
    <row r="1373" spans="2:8">
      <c r="B1373" s="871">
        <v>46272</v>
      </c>
      <c r="C1373" t="s">
        <v>2476</v>
      </c>
      <c r="D1373" t="s">
        <v>1375</v>
      </c>
      <c r="E1373" t="s">
        <v>3312</v>
      </c>
      <c r="F1373" s="853" t="s">
        <v>526</v>
      </c>
      <c r="G1373" s="913">
        <v>2</v>
      </c>
      <c r="H1373" t="s">
        <v>4639</v>
      </c>
    </row>
    <row r="1374" spans="2:8">
      <c r="B1374" s="871">
        <v>46272</v>
      </c>
      <c r="C1374" t="s">
        <v>2476</v>
      </c>
      <c r="D1374" t="s">
        <v>1375</v>
      </c>
      <c r="E1374" t="s">
        <v>3312</v>
      </c>
      <c r="F1374" s="853" t="s">
        <v>527</v>
      </c>
      <c r="G1374" s="913">
        <v>1</v>
      </c>
      <c r="H1374" t="s">
        <v>4640</v>
      </c>
    </row>
    <row r="1375" spans="2:8">
      <c r="B1375" s="871">
        <v>46272</v>
      </c>
      <c r="C1375" t="s">
        <v>2476</v>
      </c>
      <c r="D1375" t="s">
        <v>1375</v>
      </c>
      <c r="E1375" t="s">
        <v>3312</v>
      </c>
      <c r="F1375" s="853" t="s">
        <v>528</v>
      </c>
      <c r="G1375" s="913">
        <v>1</v>
      </c>
      <c r="H1375" t="s">
        <v>4641</v>
      </c>
    </row>
    <row r="1376" spans="2:8">
      <c r="B1376" s="871">
        <v>46272</v>
      </c>
      <c r="C1376" t="s">
        <v>2476</v>
      </c>
      <c r="D1376" t="s">
        <v>1393</v>
      </c>
      <c r="E1376" t="s">
        <v>1400</v>
      </c>
      <c r="F1376" s="853" t="s">
        <v>526</v>
      </c>
      <c r="G1376" s="913">
        <v>17</v>
      </c>
      <c r="H1376" t="s">
        <v>4642</v>
      </c>
    </row>
    <row r="1377" spans="2:8">
      <c r="B1377" s="871">
        <v>46272</v>
      </c>
      <c r="C1377" t="s">
        <v>2476</v>
      </c>
      <c r="D1377" t="s">
        <v>1393</v>
      </c>
      <c r="E1377" t="s">
        <v>1400</v>
      </c>
      <c r="F1377" s="853" t="s">
        <v>527</v>
      </c>
      <c r="G1377" s="913">
        <v>15</v>
      </c>
      <c r="H1377" t="s">
        <v>4643</v>
      </c>
    </row>
    <row r="1378" spans="2:8">
      <c r="B1378" s="871">
        <v>46272</v>
      </c>
      <c r="C1378" t="s">
        <v>2476</v>
      </c>
      <c r="D1378" t="s">
        <v>1393</v>
      </c>
      <c r="E1378" t="s">
        <v>1400</v>
      </c>
      <c r="F1378" s="853" t="s">
        <v>528</v>
      </c>
      <c r="G1378" s="913">
        <v>16</v>
      </c>
      <c r="H1378" t="s">
        <v>4644</v>
      </c>
    </row>
    <row r="1379" spans="2:8">
      <c r="B1379" s="871">
        <v>46272</v>
      </c>
      <c r="C1379" t="s">
        <v>2476</v>
      </c>
      <c r="D1379" t="s">
        <v>1375</v>
      </c>
      <c r="E1379" t="s">
        <v>3319</v>
      </c>
      <c r="F1379" s="853" t="s">
        <v>526</v>
      </c>
      <c r="G1379" s="913">
        <v>3</v>
      </c>
      <c r="H1379" t="s">
        <v>4645</v>
      </c>
    </row>
    <row r="1380" spans="2:8">
      <c r="B1380" s="871">
        <v>46272</v>
      </c>
      <c r="C1380" t="s">
        <v>2476</v>
      </c>
      <c r="D1380" t="s">
        <v>1375</v>
      </c>
      <c r="E1380" t="s">
        <v>3319</v>
      </c>
      <c r="F1380" s="853" t="s">
        <v>527</v>
      </c>
      <c r="G1380" s="913">
        <v>1</v>
      </c>
      <c r="H1380" t="s">
        <v>4646</v>
      </c>
    </row>
    <row r="1381" spans="2:8">
      <c r="B1381" s="871">
        <v>46272</v>
      </c>
      <c r="C1381" t="s">
        <v>2476</v>
      </c>
      <c r="D1381" t="s">
        <v>1375</v>
      </c>
      <c r="E1381" t="s">
        <v>3319</v>
      </c>
      <c r="F1381" s="853" t="s">
        <v>528</v>
      </c>
      <c r="G1381" s="913">
        <v>1</v>
      </c>
      <c r="H1381" t="s">
        <v>4647</v>
      </c>
    </row>
    <row r="1382" spans="2:8">
      <c r="B1382" s="871">
        <v>46272</v>
      </c>
      <c r="C1382" t="s">
        <v>2476</v>
      </c>
      <c r="D1382" t="s">
        <v>1393</v>
      </c>
      <c r="E1382" t="s">
        <v>1401</v>
      </c>
      <c r="F1382" s="853" t="s">
        <v>526</v>
      </c>
      <c r="G1382" s="913">
        <v>7.38</v>
      </c>
      <c r="H1382" t="s">
        <v>4648</v>
      </c>
    </row>
    <row r="1383" spans="2:8">
      <c r="B1383" s="871">
        <v>46272</v>
      </c>
      <c r="C1383" t="s">
        <v>2476</v>
      </c>
      <c r="D1383" t="s">
        <v>1393</v>
      </c>
      <c r="E1383" t="s">
        <v>1401</v>
      </c>
      <c r="F1383" s="853" t="s">
        <v>527</v>
      </c>
      <c r="G1383" s="913">
        <v>7.27</v>
      </c>
      <c r="H1383" t="s">
        <v>4649</v>
      </c>
    </row>
    <row r="1384" spans="2:8">
      <c r="B1384" s="871">
        <v>46272</v>
      </c>
      <c r="C1384" t="s">
        <v>2476</v>
      </c>
      <c r="D1384" t="s">
        <v>1393</v>
      </c>
      <c r="E1384" t="s">
        <v>1401</v>
      </c>
      <c r="F1384" s="853" t="s">
        <v>528</v>
      </c>
      <c r="G1384" s="913">
        <v>7.2</v>
      </c>
      <c r="H1384" t="s">
        <v>4650</v>
      </c>
    </row>
    <row r="1385" spans="2:8">
      <c r="B1385" s="871">
        <v>46272</v>
      </c>
      <c r="C1385" t="s">
        <v>2476</v>
      </c>
      <c r="D1385" t="s">
        <v>1375</v>
      </c>
      <c r="E1385" t="s">
        <v>3326</v>
      </c>
      <c r="F1385" s="853" t="s">
        <v>526</v>
      </c>
      <c r="G1385" s="913" t="s">
        <v>1583</v>
      </c>
      <c r="H1385" t="s">
        <v>4651</v>
      </c>
    </row>
    <row r="1386" spans="2:8">
      <c r="B1386" s="871">
        <v>46272</v>
      </c>
      <c r="C1386" t="s">
        <v>2476</v>
      </c>
      <c r="D1386" t="s">
        <v>1375</v>
      </c>
      <c r="E1386" t="s">
        <v>3326</v>
      </c>
      <c r="F1386" s="853" t="s">
        <v>527</v>
      </c>
      <c r="G1386" s="913" t="s">
        <v>1583</v>
      </c>
      <c r="H1386" t="s">
        <v>4652</v>
      </c>
    </row>
    <row r="1387" spans="2:8">
      <c r="B1387" s="871">
        <v>46272</v>
      </c>
      <c r="C1387" t="s">
        <v>2476</v>
      </c>
      <c r="D1387" t="s">
        <v>1375</v>
      </c>
      <c r="E1387" t="s">
        <v>3326</v>
      </c>
      <c r="F1387" s="853" t="s">
        <v>528</v>
      </c>
      <c r="G1387" s="913" t="s">
        <v>1583</v>
      </c>
      <c r="H1387" t="s">
        <v>4653</v>
      </c>
    </row>
    <row r="1388" spans="2:8">
      <c r="B1388" s="871">
        <v>46272</v>
      </c>
      <c r="C1388" t="s">
        <v>2476</v>
      </c>
      <c r="D1388" t="s">
        <v>1393</v>
      </c>
      <c r="E1388" t="s">
        <v>1403</v>
      </c>
      <c r="F1388" s="853" t="s">
        <v>526</v>
      </c>
      <c r="G1388" s="913">
        <v>630</v>
      </c>
      <c r="H1388" t="s">
        <v>4654</v>
      </c>
    </row>
    <row r="1389" spans="2:8">
      <c r="B1389" s="871">
        <v>46272</v>
      </c>
      <c r="C1389" t="s">
        <v>2476</v>
      </c>
      <c r="D1389" t="s">
        <v>1393</v>
      </c>
      <c r="E1389" t="s">
        <v>1403</v>
      </c>
      <c r="F1389" s="853" t="s">
        <v>527</v>
      </c>
      <c r="G1389" s="913">
        <v>600</v>
      </c>
      <c r="H1389" t="s">
        <v>4655</v>
      </c>
    </row>
    <row r="1390" spans="2:8">
      <c r="B1390" s="871">
        <v>46272</v>
      </c>
      <c r="C1390" t="s">
        <v>2476</v>
      </c>
      <c r="D1390" t="s">
        <v>1393</v>
      </c>
      <c r="E1390" t="s">
        <v>1403</v>
      </c>
      <c r="F1390" s="853" t="s">
        <v>528</v>
      </c>
      <c r="G1390" s="913">
        <v>614</v>
      </c>
      <c r="H1390" t="s">
        <v>4656</v>
      </c>
    </row>
    <row r="1391" spans="2:8">
      <c r="B1391" s="871">
        <v>46272</v>
      </c>
      <c r="C1391" t="s">
        <v>2476</v>
      </c>
      <c r="D1391" t="s">
        <v>1393</v>
      </c>
      <c r="E1391" t="s">
        <v>1404</v>
      </c>
      <c r="F1391" s="853" t="s">
        <v>526</v>
      </c>
      <c r="G1391" s="913">
        <v>3.4</v>
      </c>
      <c r="H1391" t="s">
        <v>4657</v>
      </c>
    </row>
    <row r="1392" spans="2:8">
      <c r="B1392" s="871">
        <v>46272</v>
      </c>
      <c r="C1392" t="s">
        <v>2476</v>
      </c>
      <c r="D1392" t="s">
        <v>1393</v>
      </c>
      <c r="E1392" t="s">
        <v>1404</v>
      </c>
      <c r="F1392" s="853" t="s">
        <v>527</v>
      </c>
      <c r="G1392" s="913">
        <v>5.82</v>
      </c>
      <c r="H1392" t="s">
        <v>4658</v>
      </c>
    </row>
    <row r="1393" spans="2:8">
      <c r="B1393" s="871">
        <v>46272</v>
      </c>
      <c r="C1393" t="s">
        <v>2476</v>
      </c>
      <c r="D1393" t="s">
        <v>1393</v>
      </c>
      <c r="E1393" t="s">
        <v>1404</v>
      </c>
      <c r="F1393" s="853" t="s">
        <v>528</v>
      </c>
      <c r="G1393" s="913">
        <v>4.8499999999999996</v>
      </c>
      <c r="H1393" t="s">
        <v>4659</v>
      </c>
    </row>
    <row r="1394" spans="2:8">
      <c r="B1394" s="871">
        <v>46272</v>
      </c>
      <c r="C1394" t="s">
        <v>2476</v>
      </c>
      <c r="D1394" t="s">
        <v>1375</v>
      </c>
      <c r="E1394" t="s">
        <v>3336</v>
      </c>
      <c r="F1394" s="853" t="s">
        <v>526</v>
      </c>
      <c r="G1394" s="913" t="s">
        <v>1406</v>
      </c>
      <c r="H1394" t="s">
        <v>4660</v>
      </c>
    </row>
    <row r="1395" spans="2:8">
      <c r="B1395" s="871">
        <v>46272</v>
      </c>
      <c r="C1395" t="s">
        <v>2476</v>
      </c>
      <c r="D1395" t="s">
        <v>1375</v>
      </c>
      <c r="E1395" t="s">
        <v>3336</v>
      </c>
      <c r="F1395" s="853" t="s">
        <v>527</v>
      </c>
      <c r="G1395" s="913" t="s">
        <v>1406</v>
      </c>
      <c r="H1395" t="s">
        <v>4661</v>
      </c>
    </row>
    <row r="1396" spans="2:8">
      <c r="B1396" s="871">
        <v>46272</v>
      </c>
      <c r="C1396" t="s">
        <v>2476</v>
      </c>
      <c r="D1396" t="s">
        <v>1375</v>
      </c>
      <c r="E1396" t="s">
        <v>3336</v>
      </c>
      <c r="F1396" s="853" t="s">
        <v>528</v>
      </c>
      <c r="G1396" s="913" t="s">
        <v>1406</v>
      </c>
      <c r="H1396" t="s">
        <v>4662</v>
      </c>
    </row>
    <row r="1397" spans="2:8">
      <c r="B1397" s="871">
        <v>46272</v>
      </c>
      <c r="C1397" t="s">
        <v>2476</v>
      </c>
      <c r="D1397" t="s">
        <v>1393</v>
      </c>
      <c r="E1397" t="s">
        <v>1407</v>
      </c>
      <c r="F1397" s="853" t="s">
        <v>526</v>
      </c>
      <c r="G1397" s="913">
        <v>360</v>
      </c>
      <c r="H1397" t="s">
        <v>4663</v>
      </c>
    </row>
    <row r="1398" spans="2:8">
      <c r="B1398" s="871">
        <v>46272</v>
      </c>
      <c r="C1398" t="s">
        <v>2476</v>
      </c>
      <c r="D1398" t="s">
        <v>1393</v>
      </c>
      <c r="E1398" t="s">
        <v>1407</v>
      </c>
      <c r="F1398" s="853" t="s">
        <v>527</v>
      </c>
      <c r="G1398" s="913">
        <v>390</v>
      </c>
      <c r="H1398" t="s">
        <v>4664</v>
      </c>
    </row>
    <row r="1399" spans="2:8">
      <c r="B1399" s="871">
        <v>46272</v>
      </c>
      <c r="C1399" t="s">
        <v>2476</v>
      </c>
      <c r="D1399" t="s">
        <v>1393</v>
      </c>
      <c r="E1399" t="s">
        <v>1407</v>
      </c>
      <c r="F1399" s="853" t="s">
        <v>528</v>
      </c>
      <c r="G1399" s="913">
        <v>390</v>
      </c>
      <c r="H1399" t="s">
        <v>4665</v>
      </c>
    </row>
    <row r="1400" spans="2:8">
      <c r="B1400" s="871">
        <v>46272</v>
      </c>
      <c r="C1400" t="s">
        <v>2476</v>
      </c>
      <c r="D1400" t="s">
        <v>1393</v>
      </c>
      <c r="E1400" t="s">
        <v>1408</v>
      </c>
      <c r="F1400" s="853" t="s">
        <v>526</v>
      </c>
      <c r="G1400" s="913">
        <v>1023</v>
      </c>
      <c r="H1400" t="s">
        <v>4666</v>
      </c>
    </row>
    <row r="1401" spans="2:8">
      <c r="B1401" s="871">
        <v>46272</v>
      </c>
      <c r="C1401" t="s">
        <v>2476</v>
      </c>
      <c r="D1401" t="s">
        <v>1393</v>
      </c>
      <c r="E1401" t="s">
        <v>1408</v>
      </c>
      <c r="F1401" s="853" t="s">
        <v>527</v>
      </c>
      <c r="G1401" s="913">
        <v>1069</v>
      </c>
      <c r="H1401" t="s">
        <v>4667</v>
      </c>
    </row>
    <row r="1402" spans="2:8">
      <c r="B1402" s="871">
        <v>46272</v>
      </c>
      <c r="C1402" t="s">
        <v>2476</v>
      </c>
      <c r="D1402" t="s">
        <v>1393</v>
      </c>
      <c r="E1402" t="s">
        <v>1408</v>
      </c>
      <c r="F1402" s="853" t="s">
        <v>528</v>
      </c>
      <c r="G1402" s="913">
        <v>1068</v>
      </c>
      <c r="H1402" t="s">
        <v>4668</v>
      </c>
    </row>
    <row r="1403" spans="2:8">
      <c r="B1403" s="871">
        <v>46272</v>
      </c>
      <c r="C1403" t="s">
        <v>2476</v>
      </c>
      <c r="D1403" t="s">
        <v>1409</v>
      </c>
      <c r="E1403" t="s">
        <v>1411</v>
      </c>
      <c r="F1403" s="853" t="s">
        <v>526</v>
      </c>
      <c r="H1403" t="s">
        <v>4669</v>
      </c>
    </row>
    <row r="1404" spans="2:8">
      <c r="B1404" s="871">
        <v>46272</v>
      </c>
      <c r="C1404" t="s">
        <v>2476</v>
      </c>
      <c r="D1404" t="s">
        <v>1409</v>
      </c>
      <c r="E1404" t="s">
        <v>1411</v>
      </c>
      <c r="F1404" s="853" t="s">
        <v>527</v>
      </c>
      <c r="H1404" t="s">
        <v>4670</v>
      </c>
    </row>
    <row r="1405" spans="2:8">
      <c r="B1405" s="871">
        <v>46272</v>
      </c>
      <c r="C1405" t="s">
        <v>2476</v>
      </c>
      <c r="D1405" t="s">
        <v>1409</v>
      </c>
      <c r="E1405" t="s">
        <v>1411</v>
      </c>
      <c r="F1405" s="853" t="s">
        <v>528</v>
      </c>
      <c r="H1405" t="s">
        <v>4671</v>
      </c>
    </row>
    <row r="1406" spans="2:8">
      <c r="B1406" s="871">
        <v>46272</v>
      </c>
      <c r="C1406" t="s">
        <v>2476</v>
      </c>
      <c r="D1406" t="s">
        <v>1409</v>
      </c>
      <c r="E1406" t="s">
        <v>1413</v>
      </c>
      <c r="F1406" s="853" t="s">
        <v>526</v>
      </c>
      <c r="G1406" s="913" t="s">
        <v>1414</v>
      </c>
      <c r="H1406" t="s">
        <v>4672</v>
      </c>
    </row>
    <row r="1407" spans="2:8">
      <c r="B1407" s="871">
        <v>46272</v>
      </c>
      <c r="C1407" t="s">
        <v>2476</v>
      </c>
      <c r="D1407" t="s">
        <v>1409</v>
      </c>
      <c r="E1407" t="s">
        <v>1413</v>
      </c>
      <c r="F1407" s="853" t="s">
        <v>527</v>
      </c>
      <c r="G1407" s="913" t="s">
        <v>1584</v>
      </c>
      <c r="H1407" t="s">
        <v>4673</v>
      </c>
    </row>
    <row r="1408" spans="2:8">
      <c r="B1408" s="871">
        <v>46272</v>
      </c>
      <c r="C1408" t="s">
        <v>2476</v>
      </c>
      <c r="D1408" t="s">
        <v>1409</v>
      </c>
      <c r="E1408" t="s">
        <v>1413</v>
      </c>
      <c r="F1408" s="853" t="s">
        <v>528</v>
      </c>
      <c r="G1408" s="913" t="s">
        <v>1584</v>
      </c>
      <c r="H1408" t="s">
        <v>4674</v>
      </c>
    </row>
    <row r="1409" spans="2:8">
      <c r="B1409" s="871">
        <v>46272</v>
      </c>
      <c r="C1409" t="s">
        <v>2476</v>
      </c>
      <c r="D1409" t="s">
        <v>1410</v>
      </c>
      <c r="E1409" t="s">
        <v>3352</v>
      </c>
      <c r="F1409" s="853" t="s">
        <v>526</v>
      </c>
      <c r="G1409" s="913" t="s">
        <v>1418</v>
      </c>
      <c r="H1409" t="s">
        <v>4675</v>
      </c>
    </row>
    <row r="1410" spans="2:8">
      <c r="B1410" s="871">
        <v>46272</v>
      </c>
      <c r="C1410" t="s">
        <v>2476</v>
      </c>
      <c r="D1410" t="s">
        <v>1410</v>
      </c>
      <c r="E1410" t="s">
        <v>3352</v>
      </c>
      <c r="F1410" s="853" t="s">
        <v>527</v>
      </c>
      <c r="G1410" s="913" t="s">
        <v>1418</v>
      </c>
      <c r="H1410" t="s">
        <v>4676</v>
      </c>
    </row>
    <row r="1411" spans="2:8">
      <c r="B1411" s="871">
        <v>46272</v>
      </c>
      <c r="C1411" t="s">
        <v>2476</v>
      </c>
      <c r="D1411" t="s">
        <v>1410</v>
      </c>
      <c r="E1411" t="s">
        <v>3352</v>
      </c>
      <c r="F1411" s="853" t="s">
        <v>528</v>
      </c>
      <c r="G1411" s="913" t="s">
        <v>1418</v>
      </c>
      <c r="H1411" t="s">
        <v>4677</v>
      </c>
    </row>
    <row r="1412" spans="2:8">
      <c r="B1412" s="871">
        <v>46272</v>
      </c>
      <c r="C1412" t="s">
        <v>2476</v>
      </c>
      <c r="D1412" t="s">
        <v>1409</v>
      </c>
      <c r="E1412" t="s">
        <v>1420</v>
      </c>
      <c r="F1412" s="853" t="s">
        <v>526</v>
      </c>
      <c r="G1412" s="913" t="s">
        <v>1421</v>
      </c>
      <c r="H1412" t="s">
        <v>4678</v>
      </c>
    </row>
    <row r="1413" spans="2:8">
      <c r="B1413" s="871">
        <v>46272</v>
      </c>
      <c r="C1413" t="s">
        <v>2476</v>
      </c>
      <c r="D1413" t="s">
        <v>1409</v>
      </c>
      <c r="E1413" t="s">
        <v>1420</v>
      </c>
      <c r="F1413" s="853" t="s">
        <v>527</v>
      </c>
      <c r="G1413" s="913" t="s">
        <v>1537</v>
      </c>
      <c r="H1413" t="s">
        <v>4679</v>
      </c>
    </row>
    <row r="1414" spans="2:8">
      <c r="B1414" s="871">
        <v>46272</v>
      </c>
      <c r="C1414" t="s">
        <v>2476</v>
      </c>
      <c r="D1414" t="s">
        <v>1409</v>
      </c>
      <c r="E1414" t="s">
        <v>1420</v>
      </c>
      <c r="F1414" s="853" t="s">
        <v>528</v>
      </c>
      <c r="G1414" s="913" t="s">
        <v>1537</v>
      </c>
      <c r="H1414" t="s">
        <v>4680</v>
      </c>
    </row>
    <row r="1415" spans="2:8">
      <c r="B1415" s="871">
        <v>46272</v>
      </c>
      <c r="C1415" t="s">
        <v>2476</v>
      </c>
      <c r="D1415" t="s">
        <v>1410</v>
      </c>
      <c r="E1415" t="s">
        <v>3359</v>
      </c>
      <c r="F1415" s="853" t="s">
        <v>526</v>
      </c>
      <c r="G1415" s="913">
        <v>116</v>
      </c>
      <c r="H1415" t="s">
        <v>4681</v>
      </c>
    </row>
    <row r="1416" spans="2:8">
      <c r="B1416" s="871">
        <v>46272</v>
      </c>
      <c r="C1416" t="s">
        <v>2476</v>
      </c>
      <c r="D1416" t="s">
        <v>1410</v>
      </c>
      <c r="E1416" t="s">
        <v>3359</v>
      </c>
      <c r="F1416" s="853" t="s">
        <v>527</v>
      </c>
      <c r="G1416" s="913">
        <v>119</v>
      </c>
      <c r="H1416" t="s">
        <v>4682</v>
      </c>
    </row>
    <row r="1417" spans="2:8">
      <c r="B1417" s="871">
        <v>46272</v>
      </c>
      <c r="C1417" t="s">
        <v>2476</v>
      </c>
      <c r="D1417" t="s">
        <v>1410</v>
      </c>
      <c r="E1417" t="s">
        <v>3359</v>
      </c>
      <c r="F1417" s="853" t="s">
        <v>528</v>
      </c>
      <c r="G1417" s="913">
        <v>120</v>
      </c>
      <c r="H1417" t="s">
        <v>4683</v>
      </c>
    </row>
    <row r="1418" spans="2:8">
      <c r="B1418" s="871">
        <v>46272</v>
      </c>
      <c r="C1418" t="s">
        <v>2476</v>
      </c>
      <c r="D1418" t="s">
        <v>1409</v>
      </c>
      <c r="E1418" t="s">
        <v>1424</v>
      </c>
      <c r="F1418" s="853" t="s">
        <v>526</v>
      </c>
      <c r="H1418" t="s">
        <v>4684</v>
      </c>
    </row>
    <row r="1419" spans="2:8">
      <c r="B1419" s="871">
        <v>46272</v>
      </c>
      <c r="C1419" t="s">
        <v>2476</v>
      </c>
      <c r="D1419" t="s">
        <v>1409</v>
      </c>
      <c r="E1419" t="s">
        <v>1424</v>
      </c>
      <c r="F1419" s="853" t="s">
        <v>527</v>
      </c>
      <c r="H1419" t="s">
        <v>4685</v>
      </c>
    </row>
    <row r="1420" spans="2:8">
      <c r="B1420" s="871">
        <v>46272</v>
      </c>
      <c r="C1420" t="s">
        <v>2476</v>
      </c>
      <c r="D1420" t="s">
        <v>1409</v>
      </c>
      <c r="E1420" t="s">
        <v>1424</v>
      </c>
      <c r="F1420" s="853" t="s">
        <v>528</v>
      </c>
      <c r="H1420" t="s">
        <v>4686</v>
      </c>
    </row>
    <row r="1421" spans="2:8">
      <c r="B1421" s="871">
        <v>46272</v>
      </c>
      <c r="C1421" t="s">
        <v>2476</v>
      </c>
      <c r="D1421" t="s">
        <v>1410</v>
      </c>
      <c r="E1421" t="s">
        <v>3366</v>
      </c>
      <c r="F1421" s="853" t="s">
        <v>526</v>
      </c>
      <c r="G1421" s="913">
        <v>2613</v>
      </c>
      <c r="H1421" t="s">
        <v>4687</v>
      </c>
    </row>
    <row r="1422" spans="2:8">
      <c r="B1422" s="871">
        <v>46272</v>
      </c>
      <c r="C1422" t="s">
        <v>2476</v>
      </c>
      <c r="D1422" t="s">
        <v>1410</v>
      </c>
      <c r="E1422" t="s">
        <v>3366</v>
      </c>
      <c r="F1422" s="853" t="s">
        <v>527</v>
      </c>
      <c r="G1422" s="913">
        <v>2570</v>
      </c>
      <c r="H1422" t="s">
        <v>4688</v>
      </c>
    </row>
    <row r="1423" spans="2:8">
      <c r="B1423" s="871">
        <v>46272</v>
      </c>
      <c r="C1423" t="s">
        <v>2476</v>
      </c>
      <c r="D1423" t="s">
        <v>1410</v>
      </c>
      <c r="E1423" t="s">
        <v>3366</v>
      </c>
      <c r="F1423" s="853" t="s">
        <v>528</v>
      </c>
      <c r="G1423" s="913">
        <v>2574</v>
      </c>
      <c r="H1423" t="s">
        <v>4689</v>
      </c>
    </row>
    <row r="1424" spans="2:8">
      <c r="B1424" s="871">
        <v>46272</v>
      </c>
      <c r="C1424" t="s">
        <v>2476</v>
      </c>
      <c r="D1424" t="s">
        <v>1410</v>
      </c>
      <c r="E1424" t="s">
        <v>3370</v>
      </c>
      <c r="F1424" s="853" t="s">
        <v>526</v>
      </c>
      <c r="G1424" s="913" t="s">
        <v>1427</v>
      </c>
      <c r="H1424" t="s">
        <v>4690</v>
      </c>
    </row>
    <row r="1425" spans="2:8">
      <c r="B1425" s="871">
        <v>46272</v>
      </c>
      <c r="C1425" t="s">
        <v>2476</v>
      </c>
      <c r="D1425" t="s">
        <v>1410</v>
      </c>
      <c r="E1425" t="s">
        <v>3370</v>
      </c>
      <c r="F1425" s="853" t="s">
        <v>527</v>
      </c>
      <c r="G1425" s="913" t="s">
        <v>1427</v>
      </c>
      <c r="H1425" t="s">
        <v>4691</v>
      </c>
    </row>
    <row r="1426" spans="2:8">
      <c r="B1426" s="871">
        <v>46272</v>
      </c>
      <c r="C1426" t="s">
        <v>2476</v>
      </c>
      <c r="D1426" t="s">
        <v>1410</v>
      </c>
      <c r="E1426" t="s">
        <v>3370</v>
      </c>
      <c r="F1426" s="853" t="s">
        <v>528</v>
      </c>
      <c r="G1426" s="913" t="s">
        <v>1427</v>
      </c>
      <c r="H1426" t="s">
        <v>4692</v>
      </c>
    </row>
    <row r="1427" spans="2:8">
      <c r="B1427" s="871">
        <v>46272</v>
      </c>
      <c r="C1427" t="s">
        <v>2476</v>
      </c>
      <c r="D1427" t="s">
        <v>1410</v>
      </c>
      <c r="E1427" t="s">
        <v>3374</v>
      </c>
      <c r="F1427" s="853" t="s">
        <v>526</v>
      </c>
      <c r="G1427" s="913">
        <v>2.2999999999999998</v>
      </c>
      <c r="H1427" t="s">
        <v>4693</v>
      </c>
    </row>
    <row r="1428" spans="2:8">
      <c r="B1428" s="871">
        <v>46272</v>
      </c>
      <c r="C1428" t="s">
        <v>2476</v>
      </c>
      <c r="D1428" t="s">
        <v>1410</v>
      </c>
      <c r="E1428" t="s">
        <v>3374</v>
      </c>
      <c r="F1428" s="853" t="s">
        <v>527</v>
      </c>
      <c r="G1428" s="913">
        <v>3</v>
      </c>
      <c r="H1428" t="s">
        <v>4694</v>
      </c>
    </row>
    <row r="1429" spans="2:8">
      <c r="B1429" s="871">
        <v>46272</v>
      </c>
      <c r="C1429" t="s">
        <v>2476</v>
      </c>
      <c r="D1429" t="s">
        <v>1410</v>
      </c>
      <c r="E1429" t="s">
        <v>3374</v>
      </c>
      <c r="F1429" s="853" t="s">
        <v>528</v>
      </c>
      <c r="G1429" s="913">
        <v>2.5</v>
      </c>
      <c r="H1429" t="s">
        <v>4695</v>
      </c>
    </row>
    <row r="1430" spans="2:8">
      <c r="B1430" s="871">
        <v>46272</v>
      </c>
      <c r="C1430" t="s">
        <v>2476</v>
      </c>
      <c r="D1430" t="s">
        <v>1410</v>
      </c>
      <c r="E1430" t="s">
        <v>3378</v>
      </c>
      <c r="F1430" s="853" t="s">
        <v>526</v>
      </c>
      <c r="G1430" s="913" t="s">
        <v>1627</v>
      </c>
      <c r="H1430" t="s">
        <v>4696</v>
      </c>
    </row>
    <row r="1431" spans="2:8">
      <c r="B1431" s="871">
        <v>46272</v>
      </c>
      <c r="C1431" t="s">
        <v>2476</v>
      </c>
      <c r="D1431" t="s">
        <v>1410</v>
      </c>
      <c r="E1431" t="s">
        <v>3378</v>
      </c>
      <c r="F1431" s="853" t="s">
        <v>527</v>
      </c>
      <c r="G1431" s="913" t="s">
        <v>1627</v>
      </c>
      <c r="H1431" t="s">
        <v>4697</v>
      </c>
    </row>
    <row r="1432" spans="2:8">
      <c r="B1432" s="871">
        <v>46272</v>
      </c>
      <c r="C1432" t="s">
        <v>2476</v>
      </c>
      <c r="D1432" t="s">
        <v>1410</v>
      </c>
      <c r="E1432" t="s">
        <v>3378</v>
      </c>
      <c r="F1432" s="853" t="s">
        <v>528</v>
      </c>
      <c r="G1432" s="913" t="s">
        <v>1430</v>
      </c>
      <c r="H1432" t="s">
        <v>4698</v>
      </c>
    </row>
    <row r="1433" spans="2:8">
      <c r="B1433" s="871">
        <v>46272</v>
      </c>
      <c r="C1433" t="s">
        <v>2476</v>
      </c>
      <c r="D1433" t="s">
        <v>1410</v>
      </c>
      <c r="E1433" t="s">
        <v>3382</v>
      </c>
      <c r="F1433" s="853" t="s">
        <v>526</v>
      </c>
      <c r="G1433" s="913">
        <v>113</v>
      </c>
      <c r="H1433" t="s">
        <v>4699</v>
      </c>
    </row>
    <row r="1434" spans="2:8">
      <c r="B1434" s="871">
        <v>46272</v>
      </c>
      <c r="C1434" t="s">
        <v>2476</v>
      </c>
      <c r="D1434" t="s">
        <v>1410</v>
      </c>
      <c r="E1434" t="s">
        <v>3382</v>
      </c>
      <c r="F1434" s="853" t="s">
        <v>527</v>
      </c>
      <c r="G1434" s="913">
        <v>116</v>
      </c>
      <c r="H1434" t="s">
        <v>4700</v>
      </c>
    </row>
    <row r="1435" spans="2:8">
      <c r="B1435" s="871">
        <v>46272</v>
      </c>
      <c r="C1435" t="s">
        <v>2476</v>
      </c>
      <c r="D1435" t="s">
        <v>1410</v>
      </c>
      <c r="E1435" t="s">
        <v>3382</v>
      </c>
      <c r="F1435" s="853" t="s">
        <v>528</v>
      </c>
      <c r="G1435" s="913">
        <v>113</v>
      </c>
      <c r="H1435" t="s">
        <v>4701</v>
      </c>
    </row>
    <row r="1436" spans="2:8">
      <c r="B1436" s="871">
        <v>46272</v>
      </c>
      <c r="C1436" t="s">
        <v>2476</v>
      </c>
      <c r="D1436" t="s">
        <v>1409</v>
      </c>
      <c r="E1436" t="s">
        <v>1431</v>
      </c>
      <c r="F1436" s="853" t="s">
        <v>526</v>
      </c>
      <c r="H1436" t="s">
        <v>4702</v>
      </c>
    </row>
    <row r="1437" spans="2:8">
      <c r="B1437" s="871">
        <v>46272</v>
      </c>
      <c r="C1437" t="s">
        <v>2476</v>
      </c>
      <c r="D1437" t="s">
        <v>1409</v>
      </c>
      <c r="E1437" t="s">
        <v>1431</v>
      </c>
      <c r="F1437" s="853" t="s">
        <v>527</v>
      </c>
      <c r="H1437" t="s">
        <v>4703</v>
      </c>
    </row>
    <row r="1438" spans="2:8">
      <c r="B1438" s="871">
        <v>46272</v>
      </c>
      <c r="C1438" t="s">
        <v>2476</v>
      </c>
      <c r="D1438" t="s">
        <v>1409</v>
      </c>
      <c r="E1438" t="s">
        <v>1431</v>
      </c>
      <c r="F1438" s="853" t="s">
        <v>528</v>
      </c>
      <c r="H1438" t="s">
        <v>4704</v>
      </c>
    </row>
    <row r="1439" spans="2:8">
      <c r="B1439" s="871">
        <v>46272</v>
      </c>
      <c r="C1439" t="s">
        <v>2476</v>
      </c>
      <c r="D1439" t="s">
        <v>1410</v>
      </c>
      <c r="E1439" t="s">
        <v>3389</v>
      </c>
      <c r="F1439" s="853" t="s">
        <v>526</v>
      </c>
      <c r="G1439" s="913">
        <v>2994</v>
      </c>
      <c r="H1439" t="s">
        <v>4705</v>
      </c>
    </row>
    <row r="1440" spans="2:8">
      <c r="B1440" s="871">
        <v>46272</v>
      </c>
      <c r="C1440" t="s">
        <v>2476</v>
      </c>
      <c r="D1440" t="s">
        <v>1410</v>
      </c>
      <c r="E1440" t="s">
        <v>3389</v>
      </c>
      <c r="F1440" s="853" t="s">
        <v>527</v>
      </c>
      <c r="G1440" s="913">
        <v>2560</v>
      </c>
      <c r="H1440" t="s">
        <v>4706</v>
      </c>
    </row>
    <row r="1441" spans="2:8">
      <c r="B1441" s="871">
        <v>46272</v>
      </c>
      <c r="C1441" t="s">
        <v>2476</v>
      </c>
      <c r="D1441" t="s">
        <v>1410</v>
      </c>
      <c r="E1441" t="s">
        <v>3389</v>
      </c>
      <c r="F1441" s="853" t="s">
        <v>528</v>
      </c>
      <c r="G1441" s="913">
        <v>2585</v>
      </c>
      <c r="H1441" t="s">
        <v>4707</v>
      </c>
    </row>
    <row r="1442" spans="2:8">
      <c r="B1442" s="871">
        <v>46272</v>
      </c>
      <c r="C1442" t="s">
        <v>2476</v>
      </c>
      <c r="D1442" t="s">
        <v>1410</v>
      </c>
      <c r="E1442" t="s">
        <v>3393</v>
      </c>
      <c r="F1442" s="853" t="s">
        <v>526</v>
      </c>
      <c r="G1442" s="913" t="s">
        <v>1663</v>
      </c>
      <c r="H1442" t="s">
        <v>4708</v>
      </c>
    </row>
    <row r="1443" spans="2:8">
      <c r="B1443" s="871">
        <v>46272</v>
      </c>
      <c r="C1443" t="s">
        <v>2476</v>
      </c>
      <c r="D1443" t="s">
        <v>1410</v>
      </c>
      <c r="E1443" t="s">
        <v>3393</v>
      </c>
      <c r="F1443" s="853" t="s">
        <v>527</v>
      </c>
      <c r="G1443" s="913" t="s">
        <v>1432</v>
      </c>
      <c r="H1443" t="s">
        <v>4709</v>
      </c>
    </row>
    <row r="1444" spans="2:8">
      <c r="B1444" s="871">
        <v>46272</v>
      </c>
      <c r="C1444" t="s">
        <v>2476</v>
      </c>
      <c r="D1444" t="s">
        <v>1410</v>
      </c>
      <c r="E1444" t="s">
        <v>3393</v>
      </c>
      <c r="F1444" s="853" t="s">
        <v>528</v>
      </c>
      <c r="G1444" s="913" t="s">
        <v>1432</v>
      </c>
      <c r="H1444" t="s">
        <v>4710</v>
      </c>
    </row>
    <row r="1445" spans="2:8">
      <c r="B1445" s="871">
        <v>46272</v>
      </c>
      <c r="C1445" t="s">
        <v>2476</v>
      </c>
      <c r="D1445" t="s">
        <v>1410</v>
      </c>
      <c r="E1445" t="s">
        <v>3397</v>
      </c>
      <c r="F1445" s="853" t="s">
        <v>526</v>
      </c>
      <c r="G1445" s="913" t="s">
        <v>1435</v>
      </c>
      <c r="H1445" t="s">
        <v>4711</v>
      </c>
    </row>
    <row r="1446" spans="2:8">
      <c r="B1446" s="871">
        <v>46272</v>
      </c>
      <c r="C1446" t="s">
        <v>2476</v>
      </c>
      <c r="D1446" t="s">
        <v>1410</v>
      </c>
      <c r="E1446" t="s">
        <v>3397</v>
      </c>
      <c r="F1446" s="853" t="s">
        <v>527</v>
      </c>
      <c r="G1446" s="913" t="s">
        <v>1438</v>
      </c>
      <c r="H1446" t="s">
        <v>4712</v>
      </c>
    </row>
    <row r="1447" spans="2:8">
      <c r="B1447" s="871">
        <v>46272</v>
      </c>
      <c r="C1447" t="s">
        <v>2476</v>
      </c>
      <c r="D1447" t="s">
        <v>1410</v>
      </c>
      <c r="E1447" t="s">
        <v>3397</v>
      </c>
      <c r="F1447" s="853" t="s">
        <v>528</v>
      </c>
      <c r="G1447" s="913" t="s">
        <v>1438</v>
      </c>
      <c r="H1447" t="s">
        <v>4713</v>
      </c>
    </row>
    <row r="1448" spans="2:8">
      <c r="B1448" s="871">
        <v>46272</v>
      </c>
      <c r="C1448" t="s">
        <v>2476</v>
      </c>
      <c r="D1448" t="s">
        <v>1434</v>
      </c>
      <c r="E1448" t="s">
        <v>42</v>
      </c>
      <c r="F1448" s="853" t="s">
        <v>526</v>
      </c>
      <c r="G1448" s="913" t="s">
        <v>70</v>
      </c>
      <c r="H1448" t="s">
        <v>4714</v>
      </c>
    </row>
    <row r="1449" spans="2:8">
      <c r="B1449" s="871">
        <v>46272</v>
      </c>
      <c r="C1449" t="s">
        <v>2476</v>
      </c>
      <c r="D1449" t="s">
        <v>1434</v>
      </c>
      <c r="E1449" t="s">
        <v>42</v>
      </c>
      <c r="F1449" s="853" t="s">
        <v>527</v>
      </c>
      <c r="G1449" s="913" t="s">
        <v>70</v>
      </c>
      <c r="H1449" t="s">
        <v>4715</v>
      </c>
    </row>
    <row r="1450" spans="2:8">
      <c r="B1450" s="871">
        <v>46272</v>
      </c>
      <c r="C1450" t="s">
        <v>2476</v>
      </c>
      <c r="D1450" t="s">
        <v>1434</v>
      </c>
      <c r="E1450" t="s">
        <v>42</v>
      </c>
      <c r="F1450" s="853" t="s">
        <v>528</v>
      </c>
      <c r="G1450" s="913" t="s">
        <v>70</v>
      </c>
      <c r="H1450" t="s">
        <v>4716</v>
      </c>
    </row>
    <row r="1451" spans="2:8">
      <c r="B1451" s="871">
        <v>46272</v>
      </c>
      <c r="C1451" t="s">
        <v>2476</v>
      </c>
      <c r="D1451" t="s">
        <v>1410</v>
      </c>
      <c r="E1451" t="s">
        <v>3404</v>
      </c>
      <c r="F1451" s="853" t="s">
        <v>526</v>
      </c>
      <c r="G1451" s="913" t="s">
        <v>1585</v>
      </c>
      <c r="H1451" t="s">
        <v>4717</v>
      </c>
    </row>
    <row r="1452" spans="2:8">
      <c r="B1452" s="871">
        <v>46272</v>
      </c>
      <c r="C1452" t="s">
        <v>2476</v>
      </c>
      <c r="D1452" t="s">
        <v>1410</v>
      </c>
      <c r="E1452" t="s">
        <v>3404</v>
      </c>
      <c r="F1452" s="853" t="s">
        <v>527</v>
      </c>
      <c r="G1452" s="913" t="s">
        <v>1585</v>
      </c>
      <c r="H1452" t="s">
        <v>4718</v>
      </c>
    </row>
    <row r="1453" spans="2:8">
      <c r="B1453" s="871">
        <v>46272</v>
      </c>
      <c r="C1453" t="s">
        <v>2476</v>
      </c>
      <c r="D1453" t="s">
        <v>1410</v>
      </c>
      <c r="E1453" t="s">
        <v>3404</v>
      </c>
      <c r="F1453" s="853" t="s">
        <v>528</v>
      </c>
      <c r="G1453" s="913" t="s">
        <v>1585</v>
      </c>
      <c r="H1453" t="s">
        <v>4719</v>
      </c>
    </row>
    <row r="1454" spans="2:8">
      <c r="B1454" s="871">
        <v>46272</v>
      </c>
      <c r="C1454" t="s">
        <v>2476</v>
      </c>
      <c r="D1454" t="s">
        <v>1434</v>
      </c>
      <c r="E1454" t="s">
        <v>1439</v>
      </c>
      <c r="F1454" s="853" t="s">
        <v>526</v>
      </c>
      <c r="G1454" s="913" t="s">
        <v>9408</v>
      </c>
      <c r="H1454" t="s">
        <v>4720</v>
      </c>
    </row>
    <row r="1455" spans="2:8">
      <c r="B1455" s="871">
        <v>46272</v>
      </c>
      <c r="C1455" t="s">
        <v>2476</v>
      </c>
      <c r="D1455" t="s">
        <v>1434</v>
      </c>
      <c r="E1455" t="s">
        <v>1439</v>
      </c>
      <c r="F1455" s="853" t="s">
        <v>527</v>
      </c>
      <c r="G1455" s="913" t="s">
        <v>9408</v>
      </c>
      <c r="H1455" t="s">
        <v>4721</v>
      </c>
    </row>
    <row r="1456" spans="2:8">
      <c r="B1456" s="871">
        <v>46272</v>
      </c>
      <c r="C1456" t="s">
        <v>2476</v>
      </c>
      <c r="D1456" t="s">
        <v>1434</v>
      </c>
      <c r="E1456" t="s">
        <v>1439</v>
      </c>
      <c r="F1456" s="853" t="s">
        <v>528</v>
      </c>
      <c r="G1456" s="913" t="s">
        <v>9408</v>
      </c>
      <c r="H1456" t="s">
        <v>4722</v>
      </c>
    </row>
    <row r="1457" spans="2:8">
      <c r="B1457" s="871">
        <v>46272</v>
      </c>
      <c r="C1457" t="s">
        <v>2476</v>
      </c>
      <c r="D1457" t="s">
        <v>1410</v>
      </c>
      <c r="E1457" t="s">
        <v>3411</v>
      </c>
      <c r="F1457" s="853" t="s">
        <v>526</v>
      </c>
      <c r="G1457" s="913">
        <v>64</v>
      </c>
      <c r="H1457" t="s">
        <v>4723</v>
      </c>
    </row>
    <row r="1458" spans="2:8">
      <c r="B1458" s="871">
        <v>46272</v>
      </c>
      <c r="C1458" t="s">
        <v>2476</v>
      </c>
      <c r="D1458" t="s">
        <v>1410</v>
      </c>
      <c r="E1458" t="s">
        <v>3411</v>
      </c>
      <c r="F1458" s="853" t="s">
        <v>527</v>
      </c>
      <c r="G1458" s="913">
        <v>68</v>
      </c>
      <c r="H1458" t="s">
        <v>4724</v>
      </c>
    </row>
    <row r="1459" spans="2:8">
      <c r="B1459" s="871">
        <v>46272</v>
      </c>
      <c r="C1459" t="s">
        <v>2476</v>
      </c>
      <c r="D1459" t="s">
        <v>1410</v>
      </c>
      <c r="E1459" t="s">
        <v>3411</v>
      </c>
      <c r="F1459" s="853" t="s">
        <v>528</v>
      </c>
      <c r="G1459" s="913">
        <v>70</v>
      </c>
      <c r="H1459" t="s">
        <v>4725</v>
      </c>
    </row>
    <row r="1460" spans="2:8">
      <c r="B1460" s="871">
        <v>46272</v>
      </c>
      <c r="C1460" t="s">
        <v>2476</v>
      </c>
      <c r="D1460" t="s">
        <v>1434</v>
      </c>
      <c r="E1460" t="s">
        <v>43</v>
      </c>
      <c r="F1460" s="853" t="s">
        <v>526</v>
      </c>
      <c r="G1460" s="913" t="s">
        <v>9409</v>
      </c>
      <c r="H1460" t="s">
        <v>4726</v>
      </c>
    </row>
    <row r="1461" spans="2:8">
      <c r="B1461" s="871">
        <v>46272</v>
      </c>
      <c r="C1461" t="s">
        <v>2476</v>
      </c>
      <c r="D1461" t="s">
        <v>1434</v>
      </c>
      <c r="E1461" t="s">
        <v>43</v>
      </c>
      <c r="F1461" s="853" t="s">
        <v>527</v>
      </c>
      <c r="G1461" s="913" t="s">
        <v>9409</v>
      </c>
      <c r="H1461" t="s">
        <v>4727</v>
      </c>
    </row>
    <row r="1462" spans="2:8">
      <c r="B1462" s="871">
        <v>46272</v>
      </c>
      <c r="C1462" t="s">
        <v>2476</v>
      </c>
      <c r="D1462" t="s">
        <v>1434</v>
      </c>
      <c r="E1462" t="s">
        <v>43</v>
      </c>
      <c r="F1462" s="853" t="s">
        <v>528</v>
      </c>
      <c r="G1462" s="913" t="s">
        <v>9409</v>
      </c>
      <c r="H1462" t="s">
        <v>4728</v>
      </c>
    </row>
    <row r="1463" spans="2:8">
      <c r="B1463" s="871">
        <v>46272</v>
      </c>
      <c r="C1463" t="s">
        <v>2476</v>
      </c>
      <c r="D1463" t="s">
        <v>1410</v>
      </c>
      <c r="E1463" t="s">
        <v>3418</v>
      </c>
      <c r="F1463" s="853" t="s">
        <v>526</v>
      </c>
      <c r="G1463" s="913">
        <v>43</v>
      </c>
      <c r="H1463" t="s">
        <v>4729</v>
      </c>
    </row>
    <row r="1464" spans="2:8">
      <c r="B1464" s="871">
        <v>46272</v>
      </c>
      <c r="C1464" t="s">
        <v>2476</v>
      </c>
      <c r="D1464" t="s">
        <v>1410</v>
      </c>
      <c r="E1464" t="s">
        <v>3418</v>
      </c>
      <c r="F1464" s="853" t="s">
        <v>527</v>
      </c>
      <c r="G1464" s="913">
        <v>69</v>
      </c>
      <c r="H1464" t="s">
        <v>4730</v>
      </c>
    </row>
    <row r="1465" spans="2:8">
      <c r="B1465" s="871">
        <v>46272</v>
      </c>
      <c r="C1465" t="s">
        <v>2476</v>
      </c>
      <c r="D1465" t="s">
        <v>1410</v>
      </c>
      <c r="E1465" t="s">
        <v>3418</v>
      </c>
      <c r="F1465" s="853" t="s">
        <v>528</v>
      </c>
      <c r="G1465" s="913">
        <v>73</v>
      </c>
      <c r="H1465" t="s">
        <v>4731</v>
      </c>
    </row>
    <row r="1466" spans="2:8">
      <c r="B1466" s="871">
        <v>46272</v>
      </c>
      <c r="C1466" t="s">
        <v>2476</v>
      </c>
      <c r="D1466" t="s">
        <v>1434</v>
      </c>
      <c r="E1466" t="s">
        <v>1441</v>
      </c>
      <c r="F1466" s="853" t="s">
        <v>526</v>
      </c>
      <c r="G1466" s="913" t="s">
        <v>9411</v>
      </c>
      <c r="H1466" t="s">
        <v>4732</v>
      </c>
    </row>
    <row r="1467" spans="2:8">
      <c r="B1467" s="871">
        <v>46272</v>
      </c>
      <c r="C1467" t="s">
        <v>2476</v>
      </c>
      <c r="D1467" t="s">
        <v>1434</v>
      </c>
      <c r="E1467" t="s">
        <v>1441</v>
      </c>
      <c r="F1467" s="853" t="s">
        <v>527</v>
      </c>
      <c r="G1467" s="913" t="s">
        <v>9411</v>
      </c>
      <c r="H1467" t="s">
        <v>4733</v>
      </c>
    </row>
    <row r="1468" spans="2:8">
      <c r="B1468" s="871">
        <v>46272</v>
      </c>
      <c r="C1468" t="s">
        <v>2476</v>
      </c>
      <c r="D1468" t="s">
        <v>1434</v>
      </c>
      <c r="E1468" t="s">
        <v>1441</v>
      </c>
      <c r="F1468" s="853" t="s">
        <v>528</v>
      </c>
      <c r="G1468" s="913" t="s">
        <v>9411</v>
      </c>
      <c r="H1468" t="s">
        <v>4734</v>
      </c>
    </row>
    <row r="1469" spans="2:8">
      <c r="B1469" s="871">
        <v>46272</v>
      </c>
      <c r="C1469" t="s">
        <v>2476</v>
      </c>
      <c r="D1469" t="s">
        <v>1410</v>
      </c>
      <c r="E1469" t="s">
        <v>3425</v>
      </c>
      <c r="F1469" s="853" t="s">
        <v>526</v>
      </c>
      <c r="G1469" s="913" t="s">
        <v>1443</v>
      </c>
      <c r="H1469" t="s">
        <v>4735</v>
      </c>
    </row>
    <row r="1470" spans="2:8">
      <c r="B1470" s="871">
        <v>46272</v>
      </c>
      <c r="C1470" t="s">
        <v>2476</v>
      </c>
      <c r="D1470" t="s">
        <v>1410</v>
      </c>
      <c r="E1470" t="s">
        <v>3425</v>
      </c>
      <c r="F1470" s="853" t="s">
        <v>527</v>
      </c>
      <c r="G1470" s="913" t="s">
        <v>1443</v>
      </c>
      <c r="H1470" t="s">
        <v>4736</v>
      </c>
    </row>
    <row r="1471" spans="2:8">
      <c r="B1471" s="871">
        <v>46272</v>
      </c>
      <c r="C1471" t="s">
        <v>2476</v>
      </c>
      <c r="D1471" t="s">
        <v>1410</v>
      </c>
      <c r="E1471" t="s">
        <v>3425</v>
      </c>
      <c r="F1471" s="853" t="s">
        <v>528</v>
      </c>
      <c r="G1471" s="913" t="s">
        <v>1443</v>
      </c>
      <c r="H1471" t="s">
        <v>4737</v>
      </c>
    </row>
    <row r="1472" spans="2:8">
      <c r="B1472" s="871">
        <v>46272</v>
      </c>
      <c r="C1472" t="s">
        <v>2476</v>
      </c>
      <c r="D1472" t="s">
        <v>1434</v>
      </c>
      <c r="E1472" t="s">
        <v>1444</v>
      </c>
      <c r="F1472" s="853" t="s">
        <v>526</v>
      </c>
      <c r="H1472" t="s">
        <v>4738</v>
      </c>
    </row>
    <row r="1473" spans="2:8">
      <c r="B1473" s="871">
        <v>46272</v>
      </c>
      <c r="C1473" t="s">
        <v>2476</v>
      </c>
      <c r="D1473" t="s">
        <v>1434</v>
      </c>
      <c r="E1473" t="s">
        <v>1444</v>
      </c>
      <c r="F1473" s="853" t="s">
        <v>527</v>
      </c>
      <c r="H1473" t="s">
        <v>4739</v>
      </c>
    </row>
    <row r="1474" spans="2:8">
      <c r="B1474" s="871">
        <v>46272</v>
      </c>
      <c r="C1474" t="s">
        <v>2476</v>
      </c>
      <c r="D1474" t="s">
        <v>1434</v>
      </c>
      <c r="E1474" t="s">
        <v>1444</v>
      </c>
      <c r="F1474" s="853" t="s">
        <v>528</v>
      </c>
      <c r="H1474" t="s">
        <v>4740</v>
      </c>
    </row>
    <row r="1475" spans="2:8">
      <c r="B1475" s="871">
        <v>46272</v>
      </c>
      <c r="C1475" t="s">
        <v>2476</v>
      </c>
      <c r="D1475" t="s">
        <v>1434</v>
      </c>
      <c r="E1475" t="s">
        <v>1446</v>
      </c>
      <c r="F1475" s="853" t="s">
        <v>526</v>
      </c>
      <c r="G1475" s="913">
        <v>55000</v>
      </c>
      <c r="H1475" t="s">
        <v>4741</v>
      </c>
    </row>
    <row r="1476" spans="2:8">
      <c r="B1476" s="871">
        <v>46272</v>
      </c>
      <c r="C1476" t="s">
        <v>2476</v>
      </c>
      <c r="D1476" t="s">
        <v>1434</v>
      </c>
      <c r="E1476" t="s">
        <v>1446</v>
      </c>
      <c r="F1476" s="853" t="s">
        <v>527</v>
      </c>
      <c r="G1476" s="913">
        <v>70000</v>
      </c>
      <c r="H1476" t="s">
        <v>4742</v>
      </c>
    </row>
    <row r="1477" spans="2:8">
      <c r="B1477" s="871">
        <v>46272</v>
      </c>
      <c r="C1477" t="s">
        <v>2476</v>
      </c>
      <c r="D1477" t="s">
        <v>1434</v>
      </c>
      <c r="E1477" t="s">
        <v>1446</v>
      </c>
      <c r="F1477" s="853" t="s">
        <v>528</v>
      </c>
      <c r="H1477" t="s">
        <v>4743</v>
      </c>
    </row>
    <row r="1478" spans="2:8">
      <c r="B1478" s="871">
        <v>46272</v>
      </c>
      <c r="C1478" t="s">
        <v>2476</v>
      </c>
      <c r="D1478" t="s">
        <v>1410</v>
      </c>
      <c r="E1478" t="s">
        <v>3435</v>
      </c>
      <c r="F1478" s="853" t="s">
        <v>526</v>
      </c>
      <c r="G1478" s="913" t="s">
        <v>1586</v>
      </c>
      <c r="H1478" t="s">
        <v>4744</v>
      </c>
    </row>
    <row r="1479" spans="2:8">
      <c r="B1479" s="871">
        <v>46272</v>
      </c>
      <c r="C1479" t="s">
        <v>2476</v>
      </c>
      <c r="D1479" t="s">
        <v>1410</v>
      </c>
      <c r="E1479" t="s">
        <v>3435</v>
      </c>
      <c r="F1479" s="853" t="s">
        <v>527</v>
      </c>
      <c r="G1479" s="913" t="s">
        <v>1586</v>
      </c>
      <c r="H1479" t="s">
        <v>4745</v>
      </c>
    </row>
    <row r="1480" spans="2:8">
      <c r="B1480" s="871">
        <v>46272</v>
      </c>
      <c r="C1480" t="s">
        <v>2476</v>
      </c>
      <c r="D1480" t="s">
        <v>1410</v>
      </c>
      <c r="E1480" t="s">
        <v>3435</v>
      </c>
      <c r="F1480" s="853" t="s">
        <v>528</v>
      </c>
      <c r="G1480" s="913" t="s">
        <v>1586</v>
      </c>
      <c r="H1480" t="s">
        <v>4746</v>
      </c>
    </row>
    <row r="1481" spans="2:8">
      <c r="B1481" s="871">
        <v>46272</v>
      </c>
      <c r="C1481" t="s">
        <v>2476</v>
      </c>
      <c r="D1481" t="s">
        <v>1434</v>
      </c>
      <c r="E1481" t="s">
        <v>3439</v>
      </c>
      <c r="F1481" s="853" t="s">
        <v>526</v>
      </c>
      <c r="H1481" t="s">
        <v>4747</v>
      </c>
    </row>
    <row r="1482" spans="2:8">
      <c r="B1482" s="871">
        <v>46272</v>
      </c>
      <c r="C1482" t="s">
        <v>2476</v>
      </c>
      <c r="D1482" t="s">
        <v>1434</v>
      </c>
      <c r="E1482" t="s">
        <v>3439</v>
      </c>
      <c r="F1482" s="853" t="s">
        <v>527</v>
      </c>
      <c r="H1482" t="s">
        <v>4748</v>
      </c>
    </row>
    <row r="1483" spans="2:8">
      <c r="B1483" s="871">
        <v>46272</v>
      </c>
      <c r="C1483" t="s">
        <v>2476</v>
      </c>
      <c r="D1483" t="s">
        <v>1434</v>
      </c>
      <c r="E1483" t="s">
        <v>3439</v>
      </c>
      <c r="F1483" s="853" t="s">
        <v>528</v>
      </c>
      <c r="H1483" t="s">
        <v>4749</v>
      </c>
    </row>
    <row r="1484" spans="2:8">
      <c r="B1484" s="871">
        <v>46272</v>
      </c>
      <c r="C1484" t="s">
        <v>2476</v>
      </c>
      <c r="D1484" t="s">
        <v>1410</v>
      </c>
      <c r="E1484" t="s">
        <v>3443</v>
      </c>
      <c r="F1484" s="853" t="s">
        <v>526</v>
      </c>
      <c r="H1484" t="s">
        <v>4750</v>
      </c>
    </row>
    <row r="1485" spans="2:8">
      <c r="B1485" s="871">
        <v>46272</v>
      </c>
      <c r="C1485" t="s">
        <v>2476</v>
      </c>
      <c r="D1485" t="s">
        <v>1410</v>
      </c>
      <c r="E1485" t="s">
        <v>3443</v>
      </c>
      <c r="F1485" s="853" t="s">
        <v>527</v>
      </c>
      <c r="H1485" t="s">
        <v>4751</v>
      </c>
    </row>
    <row r="1486" spans="2:8">
      <c r="B1486" s="871">
        <v>46272</v>
      </c>
      <c r="C1486" t="s">
        <v>2476</v>
      </c>
      <c r="D1486" t="s">
        <v>1410</v>
      </c>
      <c r="E1486" t="s">
        <v>3443</v>
      </c>
      <c r="F1486" s="853" t="s">
        <v>528</v>
      </c>
      <c r="H1486" t="s">
        <v>4752</v>
      </c>
    </row>
    <row r="1487" spans="2:8">
      <c r="B1487" s="871">
        <v>46272</v>
      </c>
      <c r="C1487" t="s">
        <v>2476</v>
      </c>
      <c r="D1487" t="s">
        <v>1434</v>
      </c>
      <c r="E1487" t="s">
        <v>3447</v>
      </c>
      <c r="F1487" s="853" t="s">
        <v>526</v>
      </c>
      <c r="H1487" t="s">
        <v>4753</v>
      </c>
    </row>
    <row r="1488" spans="2:8">
      <c r="B1488" s="871">
        <v>46272</v>
      </c>
      <c r="C1488" t="s">
        <v>2476</v>
      </c>
      <c r="D1488" t="s">
        <v>1434</v>
      </c>
      <c r="E1488" t="s">
        <v>3447</v>
      </c>
      <c r="F1488" s="853" t="s">
        <v>527</v>
      </c>
      <c r="H1488" t="s">
        <v>4754</v>
      </c>
    </row>
    <row r="1489" spans="2:8">
      <c r="B1489" s="871">
        <v>46272</v>
      </c>
      <c r="C1489" t="s">
        <v>2476</v>
      </c>
      <c r="D1489" t="s">
        <v>1434</v>
      </c>
      <c r="E1489" t="s">
        <v>3447</v>
      </c>
      <c r="F1489" s="853" t="s">
        <v>528</v>
      </c>
      <c r="H1489" t="s">
        <v>4755</v>
      </c>
    </row>
    <row r="1490" spans="2:8">
      <c r="B1490" s="871">
        <v>46272</v>
      </c>
      <c r="C1490" t="s">
        <v>2476</v>
      </c>
      <c r="D1490" t="s">
        <v>1410</v>
      </c>
      <c r="E1490" t="s">
        <v>3451</v>
      </c>
      <c r="F1490" s="853" t="s">
        <v>526</v>
      </c>
      <c r="H1490" t="s">
        <v>4756</v>
      </c>
    </row>
    <row r="1491" spans="2:8">
      <c r="B1491" s="871">
        <v>46272</v>
      </c>
      <c r="C1491" t="s">
        <v>2476</v>
      </c>
      <c r="D1491" t="s">
        <v>1410</v>
      </c>
      <c r="E1491" t="s">
        <v>3451</v>
      </c>
      <c r="F1491" s="853" t="s">
        <v>527</v>
      </c>
      <c r="H1491" t="s">
        <v>4757</v>
      </c>
    </row>
    <row r="1492" spans="2:8">
      <c r="B1492" s="871">
        <v>46272</v>
      </c>
      <c r="C1492" t="s">
        <v>2476</v>
      </c>
      <c r="D1492" t="s">
        <v>1410</v>
      </c>
      <c r="E1492" t="s">
        <v>3451</v>
      </c>
      <c r="F1492" s="853" t="s">
        <v>528</v>
      </c>
      <c r="H1492" t="s">
        <v>4758</v>
      </c>
    </row>
    <row r="1493" spans="2:8">
      <c r="B1493" s="871">
        <v>46272</v>
      </c>
      <c r="C1493" t="s">
        <v>2476</v>
      </c>
      <c r="D1493" t="s">
        <v>1434</v>
      </c>
      <c r="E1493" t="s">
        <v>3455</v>
      </c>
      <c r="F1493" s="853" t="s">
        <v>526</v>
      </c>
      <c r="H1493" t="s">
        <v>4759</v>
      </c>
    </row>
    <row r="1494" spans="2:8">
      <c r="B1494" s="871">
        <v>46272</v>
      </c>
      <c r="C1494" t="s">
        <v>2476</v>
      </c>
      <c r="D1494" t="s">
        <v>1434</v>
      </c>
      <c r="E1494" t="s">
        <v>3455</v>
      </c>
      <c r="F1494" s="853" t="s">
        <v>527</v>
      </c>
      <c r="H1494" t="s">
        <v>4760</v>
      </c>
    </row>
    <row r="1495" spans="2:8">
      <c r="B1495" s="871">
        <v>46272</v>
      </c>
      <c r="C1495" t="s">
        <v>2476</v>
      </c>
      <c r="D1495" t="s">
        <v>1434</v>
      </c>
      <c r="E1495" t="s">
        <v>3455</v>
      </c>
      <c r="F1495" s="853" t="s">
        <v>528</v>
      </c>
      <c r="G1495" s="913" t="s">
        <v>1702</v>
      </c>
      <c r="H1495" t="s">
        <v>4761</v>
      </c>
    </row>
    <row r="1496" spans="2:8">
      <c r="B1496" s="871">
        <v>46272</v>
      </c>
      <c r="C1496" t="s">
        <v>2476</v>
      </c>
      <c r="D1496" t="s">
        <v>1410</v>
      </c>
      <c r="E1496" t="s">
        <v>3459</v>
      </c>
      <c r="F1496" s="853" t="s">
        <v>526</v>
      </c>
      <c r="G1496" s="913">
        <v>28</v>
      </c>
      <c r="H1496" t="s">
        <v>4762</v>
      </c>
    </row>
    <row r="1497" spans="2:8">
      <c r="B1497" s="871">
        <v>46272</v>
      </c>
      <c r="C1497" t="s">
        <v>2476</v>
      </c>
      <c r="D1497" t="s">
        <v>1410</v>
      </c>
      <c r="E1497" t="s">
        <v>3459</v>
      </c>
      <c r="F1497" s="853" t="s">
        <v>527</v>
      </c>
      <c r="G1497" s="913">
        <v>27</v>
      </c>
      <c r="H1497" t="s">
        <v>4763</v>
      </c>
    </row>
    <row r="1498" spans="2:8">
      <c r="B1498" s="871">
        <v>46272</v>
      </c>
      <c r="C1498" t="s">
        <v>2476</v>
      </c>
      <c r="D1498" t="s">
        <v>1410</v>
      </c>
      <c r="E1498" t="s">
        <v>3459</v>
      </c>
      <c r="F1498" s="853" t="s">
        <v>528</v>
      </c>
      <c r="G1498" s="913">
        <v>27</v>
      </c>
      <c r="H1498" t="s">
        <v>4764</v>
      </c>
    </row>
    <row r="1499" spans="2:8">
      <c r="B1499" s="871">
        <v>46272</v>
      </c>
      <c r="C1499" t="s">
        <v>2476</v>
      </c>
      <c r="D1499" t="s">
        <v>1434</v>
      </c>
      <c r="E1499" t="s">
        <v>3463</v>
      </c>
      <c r="F1499" s="853" t="s">
        <v>526</v>
      </c>
      <c r="H1499" t="s">
        <v>4765</v>
      </c>
    </row>
    <row r="1500" spans="2:8">
      <c r="B1500" s="871">
        <v>46272</v>
      </c>
      <c r="C1500" t="s">
        <v>2476</v>
      </c>
      <c r="D1500" t="s">
        <v>1434</v>
      </c>
      <c r="E1500" t="s">
        <v>3463</v>
      </c>
      <c r="F1500" s="853" t="s">
        <v>527</v>
      </c>
      <c r="H1500" t="s">
        <v>4766</v>
      </c>
    </row>
    <row r="1501" spans="2:8">
      <c r="B1501" s="871">
        <v>46272</v>
      </c>
      <c r="C1501" t="s">
        <v>2476</v>
      </c>
      <c r="D1501" t="s">
        <v>1434</v>
      </c>
      <c r="E1501" t="s">
        <v>3463</v>
      </c>
      <c r="F1501" s="853" t="s">
        <v>528</v>
      </c>
      <c r="H1501" t="s">
        <v>4767</v>
      </c>
    </row>
    <row r="1502" spans="2:8">
      <c r="B1502" s="871">
        <v>46272</v>
      </c>
      <c r="C1502" t="s">
        <v>2476</v>
      </c>
      <c r="D1502" t="s">
        <v>1410</v>
      </c>
      <c r="E1502" t="s">
        <v>3467</v>
      </c>
      <c r="F1502" s="853" t="s">
        <v>526</v>
      </c>
      <c r="G1502" s="913">
        <v>28</v>
      </c>
      <c r="H1502" t="s">
        <v>4768</v>
      </c>
    </row>
    <row r="1503" spans="2:8">
      <c r="B1503" s="871">
        <v>46272</v>
      </c>
      <c r="C1503" t="s">
        <v>2476</v>
      </c>
      <c r="D1503" t="s">
        <v>1410</v>
      </c>
      <c r="E1503" t="s">
        <v>3467</v>
      </c>
      <c r="F1503" s="853" t="s">
        <v>527</v>
      </c>
      <c r="G1503" s="913">
        <v>27</v>
      </c>
      <c r="H1503" t="s">
        <v>4769</v>
      </c>
    </row>
    <row r="1504" spans="2:8">
      <c r="B1504" s="871">
        <v>46272</v>
      </c>
      <c r="C1504" t="s">
        <v>2476</v>
      </c>
      <c r="D1504" t="s">
        <v>1410</v>
      </c>
      <c r="E1504" t="s">
        <v>3467</v>
      </c>
      <c r="F1504" s="853" t="s">
        <v>528</v>
      </c>
      <c r="H1504" t="s">
        <v>4770</v>
      </c>
    </row>
    <row r="1505" spans="2:8">
      <c r="B1505" s="871">
        <v>46272</v>
      </c>
      <c r="C1505" t="s">
        <v>2476</v>
      </c>
      <c r="D1505" t="s">
        <v>1434</v>
      </c>
      <c r="E1505" t="s">
        <v>3471</v>
      </c>
      <c r="F1505" s="853" t="s">
        <v>526</v>
      </c>
      <c r="H1505" t="s">
        <v>4771</v>
      </c>
    </row>
    <row r="1506" spans="2:8">
      <c r="B1506" s="871">
        <v>46272</v>
      </c>
      <c r="C1506" t="s">
        <v>2476</v>
      </c>
      <c r="D1506" t="s">
        <v>1434</v>
      </c>
      <c r="E1506" t="s">
        <v>3471</v>
      </c>
      <c r="F1506" s="853" t="s">
        <v>527</v>
      </c>
      <c r="H1506" t="s">
        <v>4772</v>
      </c>
    </row>
    <row r="1507" spans="2:8">
      <c r="B1507" s="871">
        <v>46272</v>
      </c>
      <c r="C1507" t="s">
        <v>2476</v>
      </c>
      <c r="D1507" t="s">
        <v>1434</v>
      </c>
      <c r="E1507" t="s">
        <v>3471</v>
      </c>
      <c r="F1507" s="853" t="s">
        <v>528</v>
      </c>
      <c r="H1507" t="s">
        <v>4773</v>
      </c>
    </row>
    <row r="1508" spans="2:8">
      <c r="B1508" s="871">
        <v>46272</v>
      </c>
      <c r="C1508" t="s">
        <v>2476</v>
      </c>
      <c r="D1508" t="s">
        <v>1410</v>
      </c>
      <c r="E1508" t="s">
        <v>3475</v>
      </c>
      <c r="F1508" s="853" t="s">
        <v>526</v>
      </c>
      <c r="G1508" s="913">
        <v>19</v>
      </c>
      <c r="H1508" t="s">
        <v>4774</v>
      </c>
    </row>
    <row r="1509" spans="2:8">
      <c r="B1509" s="871">
        <v>46272</v>
      </c>
      <c r="C1509" t="s">
        <v>2476</v>
      </c>
      <c r="D1509" t="s">
        <v>1410</v>
      </c>
      <c r="E1509" t="s">
        <v>3475</v>
      </c>
      <c r="F1509" s="853" t="s">
        <v>527</v>
      </c>
      <c r="G1509" s="913">
        <v>18</v>
      </c>
      <c r="H1509" t="s">
        <v>4775</v>
      </c>
    </row>
    <row r="1510" spans="2:8">
      <c r="B1510" s="871">
        <v>46272</v>
      </c>
      <c r="C1510" t="s">
        <v>2476</v>
      </c>
      <c r="D1510" t="s">
        <v>1410</v>
      </c>
      <c r="E1510" t="s">
        <v>3475</v>
      </c>
      <c r="F1510" s="853" t="s">
        <v>528</v>
      </c>
      <c r="G1510" s="913">
        <v>18</v>
      </c>
      <c r="H1510" t="s">
        <v>4776</v>
      </c>
    </row>
    <row r="1511" spans="2:8">
      <c r="B1511" s="871">
        <v>46272</v>
      </c>
      <c r="C1511" t="s">
        <v>2476</v>
      </c>
      <c r="D1511" t="s">
        <v>1434</v>
      </c>
      <c r="E1511" t="s">
        <v>3479</v>
      </c>
      <c r="F1511" s="853" t="s">
        <v>526</v>
      </c>
      <c r="H1511" t="s">
        <v>4777</v>
      </c>
    </row>
    <row r="1512" spans="2:8">
      <c r="B1512" s="871">
        <v>46272</v>
      </c>
      <c r="C1512" t="s">
        <v>2476</v>
      </c>
      <c r="D1512" t="s">
        <v>1434</v>
      </c>
      <c r="E1512" t="s">
        <v>3479</v>
      </c>
      <c r="F1512" s="853" t="s">
        <v>527</v>
      </c>
      <c r="H1512" t="s">
        <v>4778</v>
      </c>
    </row>
    <row r="1513" spans="2:8">
      <c r="B1513" s="871">
        <v>46272</v>
      </c>
      <c r="C1513" t="s">
        <v>2476</v>
      </c>
      <c r="D1513" t="s">
        <v>1434</v>
      </c>
      <c r="E1513" t="s">
        <v>3479</v>
      </c>
      <c r="F1513" s="853" t="s">
        <v>528</v>
      </c>
      <c r="G1513" s="913">
        <v>84300</v>
      </c>
      <c r="H1513" t="s">
        <v>4779</v>
      </c>
    </row>
    <row r="1514" spans="2:8">
      <c r="B1514" s="871">
        <v>46272</v>
      </c>
      <c r="C1514" t="s">
        <v>2476</v>
      </c>
      <c r="D1514" t="s">
        <v>1410</v>
      </c>
      <c r="E1514" t="s">
        <v>3483</v>
      </c>
      <c r="F1514" s="853" t="s">
        <v>526</v>
      </c>
      <c r="G1514" s="913">
        <v>5</v>
      </c>
      <c r="H1514" t="s">
        <v>4780</v>
      </c>
    </row>
    <row r="1515" spans="2:8">
      <c r="B1515" s="871">
        <v>46272</v>
      </c>
      <c r="C1515" t="s">
        <v>2476</v>
      </c>
      <c r="D1515" t="s">
        <v>1410</v>
      </c>
      <c r="E1515" t="s">
        <v>3483</v>
      </c>
      <c r="F1515" s="853" t="s">
        <v>527</v>
      </c>
      <c r="G1515" s="913">
        <v>5</v>
      </c>
      <c r="H1515" t="s">
        <v>4781</v>
      </c>
    </row>
    <row r="1516" spans="2:8">
      <c r="B1516" s="871">
        <v>46272</v>
      </c>
      <c r="C1516" t="s">
        <v>2476</v>
      </c>
      <c r="D1516" t="s">
        <v>1410</v>
      </c>
      <c r="E1516" t="s">
        <v>3483</v>
      </c>
      <c r="F1516" s="853" t="s">
        <v>528</v>
      </c>
      <c r="G1516" s="913">
        <v>5</v>
      </c>
      <c r="H1516" t="s">
        <v>4782</v>
      </c>
    </row>
    <row r="1517" spans="2:8">
      <c r="B1517" s="871">
        <v>46273</v>
      </c>
      <c r="C1517" t="s">
        <v>2477</v>
      </c>
      <c r="D1517" t="s">
        <v>1375</v>
      </c>
      <c r="E1517" t="s">
        <v>1377</v>
      </c>
      <c r="F1517" s="853" t="s">
        <v>526</v>
      </c>
      <c r="G1517" s="913" t="s">
        <v>1622</v>
      </c>
      <c r="H1517" t="s">
        <v>4783</v>
      </c>
    </row>
    <row r="1518" spans="2:8">
      <c r="B1518" s="871">
        <v>46273</v>
      </c>
      <c r="C1518" t="s">
        <v>2477</v>
      </c>
      <c r="D1518" t="s">
        <v>1375</v>
      </c>
      <c r="E1518" t="s">
        <v>1377</v>
      </c>
      <c r="F1518" s="853" t="s">
        <v>527</v>
      </c>
      <c r="G1518" s="913" t="s">
        <v>1530</v>
      </c>
      <c r="H1518" t="s">
        <v>4784</v>
      </c>
    </row>
    <row r="1519" spans="2:8">
      <c r="B1519" s="871">
        <v>46273</v>
      </c>
      <c r="C1519" t="s">
        <v>2477</v>
      </c>
      <c r="D1519" t="s">
        <v>1375</v>
      </c>
      <c r="E1519" t="s">
        <v>1377</v>
      </c>
      <c r="F1519" s="853" t="s">
        <v>528</v>
      </c>
      <c r="G1519" s="913" t="s">
        <v>1378</v>
      </c>
      <c r="H1519" t="s">
        <v>4785</v>
      </c>
    </row>
    <row r="1520" spans="2:8">
      <c r="B1520" s="871">
        <v>46273</v>
      </c>
      <c r="C1520" t="s">
        <v>2477</v>
      </c>
      <c r="D1520" t="s">
        <v>1376</v>
      </c>
      <c r="E1520" t="s">
        <v>1379</v>
      </c>
      <c r="F1520" s="853" t="s">
        <v>526</v>
      </c>
      <c r="H1520" t="s">
        <v>4786</v>
      </c>
    </row>
    <row r="1521" spans="2:8">
      <c r="B1521" s="871">
        <v>46273</v>
      </c>
      <c r="C1521" t="s">
        <v>2477</v>
      </c>
      <c r="D1521" t="s">
        <v>1376</v>
      </c>
      <c r="E1521" t="s">
        <v>1379</v>
      </c>
      <c r="F1521" s="853" t="s">
        <v>527</v>
      </c>
      <c r="H1521" t="s">
        <v>4787</v>
      </c>
    </row>
    <row r="1522" spans="2:8">
      <c r="B1522" s="871">
        <v>46273</v>
      </c>
      <c r="C1522" t="s">
        <v>2477</v>
      </c>
      <c r="D1522" t="s">
        <v>1376</v>
      </c>
      <c r="E1522" t="s">
        <v>1379</v>
      </c>
      <c r="F1522" s="853" t="s">
        <v>528</v>
      </c>
      <c r="H1522" t="s">
        <v>4788</v>
      </c>
    </row>
    <row r="1523" spans="2:8">
      <c r="B1523" s="871">
        <v>46273</v>
      </c>
      <c r="C1523" t="s">
        <v>2477</v>
      </c>
      <c r="D1523" t="s">
        <v>1375</v>
      </c>
      <c r="E1523" t="s">
        <v>1380</v>
      </c>
      <c r="F1523" s="853" t="s">
        <v>526</v>
      </c>
      <c r="G1523" s="913" t="s">
        <v>1739</v>
      </c>
      <c r="H1523" t="s">
        <v>4789</v>
      </c>
    </row>
    <row r="1524" spans="2:8">
      <c r="B1524" s="871">
        <v>46273</v>
      </c>
      <c r="C1524" t="s">
        <v>2477</v>
      </c>
      <c r="D1524" t="s">
        <v>1375</v>
      </c>
      <c r="E1524" t="s">
        <v>1380</v>
      </c>
      <c r="F1524" s="853" t="s">
        <v>527</v>
      </c>
      <c r="H1524" t="s">
        <v>4790</v>
      </c>
    </row>
    <row r="1525" spans="2:8">
      <c r="B1525" s="871">
        <v>46273</v>
      </c>
      <c r="C1525" t="s">
        <v>2477</v>
      </c>
      <c r="D1525" t="s">
        <v>1375</v>
      </c>
      <c r="E1525" t="s">
        <v>1380</v>
      </c>
      <c r="F1525" s="853" t="s">
        <v>528</v>
      </c>
      <c r="G1525" s="913" t="s">
        <v>1740</v>
      </c>
      <c r="H1525" t="s">
        <v>4791</v>
      </c>
    </row>
    <row r="1526" spans="2:8">
      <c r="B1526" s="871">
        <v>46273</v>
      </c>
      <c r="C1526" t="s">
        <v>2477</v>
      </c>
      <c r="D1526" t="s">
        <v>1376</v>
      </c>
      <c r="E1526" t="s">
        <v>1383</v>
      </c>
      <c r="F1526" s="853" t="s">
        <v>526</v>
      </c>
      <c r="G1526" s="913">
        <v>0</v>
      </c>
      <c r="H1526" t="s">
        <v>4792</v>
      </c>
    </row>
    <row r="1527" spans="2:8">
      <c r="B1527" s="871">
        <v>46273</v>
      </c>
      <c r="C1527" t="s">
        <v>2477</v>
      </c>
      <c r="D1527" t="s">
        <v>1376</v>
      </c>
      <c r="E1527" t="s">
        <v>1383</v>
      </c>
      <c r="F1527" s="853" t="s">
        <v>527</v>
      </c>
      <c r="H1527" t="s">
        <v>4793</v>
      </c>
    </row>
    <row r="1528" spans="2:8">
      <c r="B1528" s="871">
        <v>46273</v>
      </c>
      <c r="C1528" t="s">
        <v>2477</v>
      </c>
      <c r="D1528" t="s">
        <v>1376</v>
      </c>
      <c r="E1528" t="s">
        <v>1383</v>
      </c>
      <c r="F1528" s="853" t="s">
        <v>528</v>
      </c>
      <c r="G1528" s="913">
        <v>0</v>
      </c>
      <c r="H1528" t="s">
        <v>4794</v>
      </c>
    </row>
    <row r="1529" spans="2:8">
      <c r="B1529" s="871">
        <v>46273</v>
      </c>
      <c r="C1529" t="s">
        <v>2477</v>
      </c>
      <c r="D1529" t="s">
        <v>1375</v>
      </c>
      <c r="E1529" t="s">
        <v>54</v>
      </c>
      <c r="F1529" s="853" t="s">
        <v>526</v>
      </c>
      <c r="H1529" t="s">
        <v>4795</v>
      </c>
    </row>
    <row r="1530" spans="2:8">
      <c r="B1530" s="871">
        <v>46273</v>
      </c>
      <c r="C1530" t="s">
        <v>2477</v>
      </c>
      <c r="D1530" t="s">
        <v>1375</v>
      </c>
      <c r="E1530" t="s">
        <v>54</v>
      </c>
      <c r="F1530" s="853" t="s">
        <v>527</v>
      </c>
      <c r="H1530" t="s">
        <v>4796</v>
      </c>
    </row>
    <row r="1531" spans="2:8">
      <c r="B1531" s="871">
        <v>46273</v>
      </c>
      <c r="C1531" t="s">
        <v>2477</v>
      </c>
      <c r="D1531" t="s">
        <v>1375</v>
      </c>
      <c r="E1531" t="s">
        <v>54</v>
      </c>
      <c r="F1531" s="853" t="s">
        <v>528</v>
      </c>
      <c r="H1531" t="s">
        <v>4797</v>
      </c>
    </row>
    <row r="1532" spans="2:8">
      <c r="B1532" s="871">
        <v>46273</v>
      </c>
      <c r="C1532" t="s">
        <v>2477</v>
      </c>
      <c r="D1532" t="s">
        <v>1376</v>
      </c>
      <c r="E1532" t="s">
        <v>1384</v>
      </c>
      <c r="F1532" s="853" t="s">
        <v>526</v>
      </c>
      <c r="G1532" s="913">
        <v>0.4</v>
      </c>
      <c r="H1532" t="s">
        <v>4798</v>
      </c>
    </row>
    <row r="1533" spans="2:8">
      <c r="B1533" s="871">
        <v>46273</v>
      </c>
      <c r="C1533" t="s">
        <v>2477</v>
      </c>
      <c r="D1533" t="s">
        <v>1376</v>
      </c>
      <c r="E1533" t="s">
        <v>1384</v>
      </c>
      <c r="F1533" s="853" t="s">
        <v>527</v>
      </c>
      <c r="H1533" t="s">
        <v>4799</v>
      </c>
    </row>
    <row r="1534" spans="2:8">
      <c r="B1534" s="871">
        <v>46273</v>
      </c>
      <c r="C1534" t="s">
        <v>2477</v>
      </c>
      <c r="D1534" t="s">
        <v>1376</v>
      </c>
      <c r="E1534" t="s">
        <v>1384</v>
      </c>
      <c r="F1534" s="853" t="s">
        <v>528</v>
      </c>
      <c r="G1534" s="913">
        <v>0.46</v>
      </c>
      <c r="H1534" t="s">
        <v>4800</v>
      </c>
    </row>
    <row r="1535" spans="2:8">
      <c r="B1535" s="871">
        <v>46273</v>
      </c>
      <c r="C1535" t="s">
        <v>2477</v>
      </c>
      <c r="D1535" t="s">
        <v>1375</v>
      </c>
      <c r="E1535" t="s">
        <v>1385</v>
      </c>
      <c r="F1535" s="853" t="s">
        <v>526</v>
      </c>
      <c r="G1535" s="913">
        <v>644</v>
      </c>
      <c r="H1535" t="s">
        <v>4801</v>
      </c>
    </row>
    <row r="1536" spans="2:8">
      <c r="B1536" s="871">
        <v>46273</v>
      </c>
      <c r="C1536" t="s">
        <v>2477</v>
      </c>
      <c r="D1536" t="s">
        <v>1375</v>
      </c>
      <c r="E1536" t="s">
        <v>1385</v>
      </c>
      <c r="F1536" s="853" t="s">
        <v>527</v>
      </c>
      <c r="G1536" s="913">
        <v>1040</v>
      </c>
      <c r="H1536" t="s">
        <v>4802</v>
      </c>
    </row>
    <row r="1537" spans="2:8">
      <c r="B1537" s="871">
        <v>46273</v>
      </c>
      <c r="C1537" t="s">
        <v>2477</v>
      </c>
      <c r="D1537" t="s">
        <v>1375</v>
      </c>
      <c r="E1537" t="s">
        <v>1385</v>
      </c>
      <c r="F1537" s="853" t="s">
        <v>528</v>
      </c>
      <c r="G1537" s="913">
        <v>3401</v>
      </c>
      <c r="H1537" t="s">
        <v>4803</v>
      </c>
    </row>
    <row r="1538" spans="2:8">
      <c r="B1538" s="871">
        <v>46273</v>
      </c>
      <c r="C1538" t="s">
        <v>2477</v>
      </c>
      <c r="D1538" t="s">
        <v>1376</v>
      </c>
      <c r="E1538" t="s">
        <v>1386</v>
      </c>
      <c r="F1538" s="853" t="s">
        <v>526</v>
      </c>
      <c r="G1538" s="913">
        <v>0.5</v>
      </c>
      <c r="H1538" t="s">
        <v>4804</v>
      </c>
    </row>
    <row r="1539" spans="2:8">
      <c r="B1539" s="871">
        <v>46273</v>
      </c>
      <c r="C1539" t="s">
        <v>2477</v>
      </c>
      <c r="D1539" t="s">
        <v>1376</v>
      </c>
      <c r="E1539" t="s">
        <v>1386</v>
      </c>
      <c r="F1539" s="853" t="s">
        <v>527</v>
      </c>
      <c r="H1539" t="s">
        <v>4805</v>
      </c>
    </row>
    <row r="1540" spans="2:8">
      <c r="B1540" s="871">
        <v>46273</v>
      </c>
      <c r="C1540" t="s">
        <v>2477</v>
      </c>
      <c r="D1540" t="s">
        <v>1376</v>
      </c>
      <c r="E1540" t="s">
        <v>1386</v>
      </c>
      <c r="F1540" s="853" t="s">
        <v>528</v>
      </c>
      <c r="G1540" s="913">
        <v>0.3</v>
      </c>
      <c r="H1540" t="s">
        <v>4806</v>
      </c>
    </row>
    <row r="1541" spans="2:8">
      <c r="B1541" s="871">
        <v>46273</v>
      </c>
      <c r="C1541" t="s">
        <v>2477</v>
      </c>
      <c r="D1541" t="s">
        <v>1376</v>
      </c>
      <c r="E1541" t="s">
        <v>1387</v>
      </c>
      <c r="F1541" s="853" t="s">
        <v>526</v>
      </c>
      <c r="G1541" s="913">
        <v>8.1999999999999993</v>
      </c>
      <c r="H1541" t="s">
        <v>4807</v>
      </c>
    </row>
    <row r="1542" spans="2:8">
      <c r="B1542" s="871">
        <v>46273</v>
      </c>
      <c r="C1542" t="s">
        <v>2477</v>
      </c>
      <c r="D1542" t="s">
        <v>1376</v>
      </c>
      <c r="E1542" t="s">
        <v>1387</v>
      </c>
      <c r="F1542" s="853" t="s">
        <v>527</v>
      </c>
      <c r="H1542" t="s">
        <v>4808</v>
      </c>
    </row>
    <row r="1543" spans="2:8">
      <c r="B1543" s="871">
        <v>46273</v>
      </c>
      <c r="C1543" t="s">
        <v>2477</v>
      </c>
      <c r="D1543" t="s">
        <v>1376</v>
      </c>
      <c r="E1543" t="s">
        <v>1387</v>
      </c>
      <c r="F1543" s="853" t="s">
        <v>528</v>
      </c>
      <c r="G1543" s="913">
        <v>8.1</v>
      </c>
      <c r="H1543" t="s">
        <v>4809</v>
      </c>
    </row>
    <row r="1544" spans="2:8">
      <c r="B1544" s="871">
        <v>46273</v>
      </c>
      <c r="C1544" t="s">
        <v>2477</v>
      </c>
      <c r="D1544" t="s">
        <v>1375</v>
      </c>
      <c r="E1544" t="s">
        <v>1388</v>
      </c>
      <c r="F1544" s="853" t="s">
        <v>526</v>
      </c>
      <c r="H1544" t="s">
        <v>4810</v>
      </c>
    </row>
    <row r="1545" spans="2:8">
      <c r="B1545" s="871">
        <v>46273</v>
      </c>
      <c r="C1545" t="s">
        <v>2477</v>
      </c>
      <c r="D1545" t="s">
        <v>1375</v>
      </c>
      <c r="E1545" t="s">
        <v>1388</v>
      </c>
      <c r="F1545" s="853" t="s">
        <v>527</v>
      </c>
      <c r="H1545" t="s">
        <v>4811</v>
      </c>
    </row>
    <row r="1546" spans="2:8">
      <c r="B1546" s="871">
        <v>46273</v>
      </c>
      <c r="C1546" t="s">
        <v>2477</v>
      </c>
      <c r="D1546" t="s">
        <v>1375</v>
      </c>
      <c r="E1546" t="s">
        <v>1388</v>
      </c>
      <c r="F1546" s="853" t="s">
        <v>528</v>
      </c>
      <c r="H1546" t="s">
        <v>4812</v>
      </c>
    </row>
    <row r="1547" spans="2:8">
      <c r="B1547" s="871">
        <v>46273</v>
      </c>
      <c r="C1547" t="s">
        <v>2477</v>
      </c>
      <c r="D1547" t="s">
        <v>1376</v>
      </c>
      <c r="E1547" t="s">
        <v>1389</v>
      </c>
      <c r="F1547" s="853" t="s">
        <v>526</v>
      </c>
      <c r="G1547" s="913">
        <v>64.2</v>
      </c>
      <c r="H1547" t="s">
        <v>4813</v>
      </c>
    </row>
    <row r="1548" spans="2:8">
      <c r="B1548" s="871">
        <v>46273</v>
      </c>
      <c r="C1548" t="s">
        <v>2477</v>
      </c>
      <c r="D1548" t="s">
        <v>1376</v>
      </c>
      <c r="E1548" t="s">
        <v>1389</v>
      </c>
      <c r="F1548" s="853" t="s">
        <v>527</v>
      </c>
      <c r="H1548" t="s">
        <v>4814</v>
      </c>
    </row>
    <row r="1549" spans="2:8">
      <c r="B1549" s="871">
        <v>46273</v>
      </c>
      <c r="C1549" t="s">
        <v>2477</v>
      </c>
      <c r="D1549" t="s">
        <v>1376</v>
      </c>
      <c r="E1549" t="s">
        <v>1389</v>
      </c>
      <c r="F1549" s="853" t="s">
        <v>528</v>
      </c>
      <c r="G1549" s="913">
        <v>60.6</v>
      </c>
      <c r="H1549" t="s">
        <v>4815</v>
      </c>
    </row>
    <row r="1550" spans="2:8">
      <c r="B1550" s="871">
        <v>46273</v>
      </c>
      <c r="C1550" t="s">
        <v>2477</v>
      </c>
      <c r="D1550" t="s">
        <v>1375</v>
      </c>
      <c r="E1550" t="s">
        <v>3266</v>
      </c>
      <c r="F1550" s="853" t="s">
        <v>526</v>
      </c>
      <c r="G1550" s="913">
        <v>2</v>
      </c>
      <c r="H1550" t="s">
        <v>4816</v>
      </c>
    </row>
    <row r="1551" spans="2:8">
      <c r="B1551" s="871">
        <v>46273</v>
      </c>
      <c r="C1551" t="s">
        <v>2477</v>
      </c>
      <c r="D1551" t="s">
        <v>1375</v>
      </c>
      <c r="E1551" t="s">
        <v>3266</v>
      </c>
      <c r="F1551" s="853" t="s">
        <v>527</v>
      </c>
      <c r="G1551" s="913">
        <v>2</v>
      </c>
      <c r="H1551" t="s">
        <v>4817</v>
      </c>
    </row>
    <row r="1552" spans="2:8">
      <c r="B1552" s="871">
        <v>46273</v>
      </c>
      <c r="C1552" t="s">
        <v>2477</v>
      </c>
      <c r="D1552" t="s">
        <v>1375</v>
      </c>
      <c r="E1552" t="s">
        <v>3266</v>
      </c>
      <c r="F1552" s="853" t="s">
        <v>528</v>
      </c>
      <c r="G1552" s="913">
        <v>2</v>
      </c>
      <c r="H1552" t="s">
        <v>4818</v>
      </c>
    </row>
    <row r="1553" spans="2:8">
      <c r="B1553" s="871">
        <v>46273</v>
      </c>
      <c r="C1553" t="s">
        <v>2477</v>
      </c>
      <c r="D1553" t="s">
        <v>1376</v>
      </c>
      <c r="E1553" t="s">
        <v>1390</v>
      </c>
      <c r="F1553" s="853" t="s">
        <v>526</v>
      </c>
      <c r="G1553" s="913">
        <v>2.7799999999999999E-3</v>
      </c>
      <c r="H1553" t="s">
        <v>4819</v>
      </c>
    </row>
    <row r="1554" spans="2:8">
      <c r="B1554" s="871">
        <v>46273</v>
      </c>
      <c r="C1554" t="s">
        <v>2477</v>
      </c>
      <c r="D1554" t="s">
        <v>1376</v>
      </c>
      <c r="E1554" t="s">
        <v>1390</v>
      </c>
      <c r="F1554" s="853" t="s">
        <v>527</v>
      </c>
      <c r="H1554" t="s">
        <v>4820</v>
      </c>
    </row>
    <row r="1555" spans="2:8">
      <c r="B1555" s="871">
        <v>46273</v>
      </c>
      <c r="C1555" t="s">
        <v>2477</v>
      </c>
      <c r="D1555" t="s">
        <v>1376</v>
      </c>
      <c r="E1555" t="s">
        <v>1390</v>
      </c>
      <c r="F1555" s="853" t="s">
        <v>528</v>
      </c>
      <c r="G1555" s="913">
        <v>2.1099999999999999E-3</v>
      </c>
      <c r="H1555" t="s">
        <v>4821</v>
      </c>
    </row>
    <row r="1556" spans="2:8">
      <c r="B1556" s="871">
        <v>46273</v>
      </c>
      <c r="C1556" t="s">
        <v>2477</v>
      </c>
      <c r="D1556" t="s">
        <v>1375</v>
      </c>
      <c r="E1556" t="s">
        <v>3273</v>
      </c>
      <c r="F1556" s="853" t="s">
        <v>526</v>
      </c>
      <c r="G1556" s="913">
        <v>2</v>
      </c>
      <c r="H1556" t="s">
        <v>4822</v>
      </c>
    </row>
    <row r="1557" spans="2:8">
      <c r="B1557" s="871">
        <v>46273</v>
      </c>
      <c r="C1557" t="s">
        <v>2477</v>
      </c>
      <c r="D1557" t="s">
        <v>1375</v>
      </c>
      <c r="E1557" t="s">
        <v>3273</v>
      </c>
      <c r="F1557" s="853" t="s">
        <v>527</v>
      </c>
      <c r="G1557" s="913">
        <v>4</v>
      </c>
      <c r="H1557" t="s">
        <v>4823</v>
      </c>
    </row>
    <row r="1558" spans="2:8">
      <c r="B1558" s="871">
        <v>46273</v>
      </c>
      <c r="C1558" t="s">
        <v>2477</v>
      </c>
      <c r="D1558" t="s">
        <v>1375</v>
      </c>
      <c r="E1558" t="s">
        <v>3273</v>
      </c>
      <c r="F1558" s="853" t="s">
        <v>528</v>
      </c>
      <c r="G1558" s="913">
        <v>3</v>
      </c>
      <c r="H1558" t="s">
        <v>4824</v>
      </c>
    </row>
    <row r="1559" spans="2:8">
      <c r="B1559" s="871">
        <v>46273</v>
      </c>
      <c r="C1559" t="s">
        <v>2477</v>
      </c>
      <c r="D1559" t="s">
        <v>1376</v>
      </c>
      <c r="E1559" t="s">
        <v>1391</v>
      </c>
      <c r="F1559" s="853" t="s">
        <v>526</v>
      </c>
      <c r="H1559" t="s">
        <v>4825</v>
      </c>
    </row>
    <row r="1560" spans="2:8">
      <c r="B1560" s="871">
        <v>46273</v>
      </c>
      <c r="C1560" t="s">
        <v>2477</v>
      </c>
      <c r="D1560" t="s">
        <v>1376</v>
      </c>
      <c r="E1560" t="s">
        <v>1391</v>
      </c>
      <c r="F1560" s="853" t="s">
        <v>527</v>
      </c>
      <c r="H1560" t="s">
        <v>4826</v>
      </c>
    </row>
    <row r="1561" spans="2:8">
      <c r="B1561" s="871">
        <v>46273</v>
      </c>
      <c r="C1561" t="s">
        <v>2477</v>
      </c>
      <c r="D1561" t="s">
        <v>1376</v>
      </c>
      <c r="E1561" t="s">
        <v>1391</v>
      </c>
      <c r="F1561" s="853" t="s">
        <v>528</v>
      </c>
      <c r="G1561" s="913">
        <v>7879</v>
      </c>
      <c r="H1561" t="s">
        <v>4827</v>
      </c>
    </row>
    <row r="1562" spans="2:8">
      <c r="B1562" s="871">
        <v>46273</v>
      </c>
      <c r="C1562" t="s">
        <v>2477</v>
      </c>
      <c r="D1562" t="s">
        <v>1375</v>
      </c>
      <c r="E1562" t="s">
        <v>3280</v>
      </c>
      <c r="F1562" s="853" t="s">
        <v>526</v>
      </c>
      <c r="G1562" s="913">
        <v>3</v>
      </c>
      <c r="H1562" t="s">
        <v>4828</v>
      </c>
    </row>
    <row r="1563" spans="2:8">
      <c r="B1563" s="871">
        <v>46273</v>
      </c>
      <c r="C1563" t="s">
        <v>2477</v>
      </c>
      <c r="D1563" t="s">
        <v>1375</v>
      </c>
      <c r="E1563" t="s">
        <v>3280</v>
      </c>
      <c r="F1563" s="853" t="s">
        <v>527</v>
      </c>
      <c r="G1563" s="913">
        <v>2</v>
      </c>
      <c r="H1563" t="s">
        <v>4829</v>
      </c>
    </row>
    <row r="1564" spans="2:8">
      <c r="B1564" s="871">
        <v>46273</v>
      </c>
      <c r="C1564" t="s">
        <v>2477</v>
      </c>
      <c r="D1564" t="s">
        <v>1375</v>
      </c>
      <c r="E1564" t="s">
        <v>3280</v>
      </c>
      <c r="F1564" s="853" t="s">
        <v>528</v>
      </c>
      <c r="G1564" s="913">
        <v>2</v>
      </c>
      <c r="H1564" t="s">
        <v>4830</v>
      </c>
    </row>
    <row r="1565" spans="2:8">
      <c r="B1565" s="871">
        <v>46273</v>
      </c>
      <c r="C1565" t="s">
        <v>2477</v>
      </c>
      <c r="D1565" t="s">
        <v>1376</v>
      </c>
      <c r="E1565" t="s">
        <v>1392</v>
      </c>
      <c r="F1565" s="853" t="s">
        <v>526</v>
      </c>
      <c r="G1565" s="913">
        <v>7879</v>
      </c>
      <c r="H1565" t="s">
        <v>4831</v>
      </c>
    </row>
    <row r="1566" spans="2:8">
      <c r="B1566" s="871">
        <v>46273</v>
      </c>
      <c r="C1566" t="s">
        <v>2477</v>
      </c>
      <c r="D1566" t="s">
        <v>1376</v>
      </c>
      <c r="E1566" t="s">
        <v>1392</v>
      </c>
      <c r="F1566" s="853" t="s">
        <v>527</v>
      </c>
      <c r="H1566" t="s">
        <v>4832</v>
      </c>
    </row>
    <row r="1567" spans="2:8">
      <c r="B1567" s="871">
        <v>46273</v>
      </c>
      <c r="C1567" t="s">
        <v>2477</v>
      </c>
      <c r="D1567" t="s">
        <v>1376</v>
      </c>
      <c r="E1567" t="s">
        <v>1392</v>
      </c>
      <c r="F1567" s="853" t="s">
        <v>528</v>
      </c>
      <c r="H1567" t="s">
        <v>4833</v>
      </c>
    </row>
    <row r="1568" spans="2:8">
      <c r="B1568" s="871">
        <v>46273</v>
      </c>
      <c r="C1568" t="s">
        <v>2477</v>
      </c>
      <c r="D1568" t="s">
        <v>1375</v>
      </c>
      <c r="E1568" t="s">
        <v>3287</v>
      </c>
      <c r="F1568" s="853" t="s">
        <v>526</v>
      </c>
      <c r="G1568" s="913">
        <v>1</v>
      </c>
      <c r="H1568" t="s">
        <v>4834</v>
      </c>
    </row>
    <row r="1569" spans="2:8">
      <c r="B1569" s="871">
        <v>46273</v>
      </c>
      <c r="C1569" t="s">
        <v>2477</v>
      </c>
      <c r="D1569" t="s">
        <v>1375</v>
      </c>
      <c r="E1569" t="s">
        <v>3287</v>
      </c>
      <c r="F1569" s="853" t="s">
        <v>527</v>
      </c>
      <c r="G1569" s="913">
        <v>1</v>
      </c>
      <c r="H1569" t="s">
        <v>4835</v>
      </c>
    </row>
    <row r="1570" spans="2:8">
      <c r="B1570" s="871">
        <v>46273</v>
      </c>
      <c r="C1570" t="s">
        <v>2477</v>
      </c>
      <c r="D1570" t="s">
        <v>1375</v>
      </c>
      <c r="E1570" t="s">
        <v>3287</v>
      </c>
      <c r="F1570" s="853" t="s">
        <v>528</v>
      </c>
      <c r="G1570" s="913">
        <v>1</v>
      </c>
      <c r="H1570" t="s">
        <v>4836</v>
      </c>
    </row>
    <row r="1571" spans="2:8">
      <c r="B1571" s="871">
        <v>46273</v>
      </c>
      <c r="C1571" t="s">
        <v>2477</v>
      </c>
      <c r="D1571" t="s">
        <v>1375</v>
      </c>
      <c r="E1571" t="s">
        <v>3291</v>
      </c>
      <c r="F1571" s="853" t="s">
        <v>526</v>
      </c>
      <c r="G1571" s="913">
        <v>1</v>
      </c>
      <c r="H1571" t="s">
        <v>4837</v>
      </c>
    </row>
    <row r="1572" spans="2:8">
      <c r="B1572" s="871">
        <v>46273</v>
      </c>
      <c r="C1572" t="s">
        <v>2477</v>
      </c>
      <c r="D1572" t="s">
        <v>1375</v>
      </c>
      <c r="E1572" t="s">
        <v>3291</v>
      </c>
      <c r="F1572" s="853" t="s">
        <v>527</v>
      </c>
      <c r="G1572" s="913">
        <v>1</v>
      </c>
      <c r="H1572" t="s">
        <v>4838</v>
      </c>
    </row>
    <row r="1573" spans="2:8">
      <c r="B1573" s="871">
        <v>46273</v>
      </c>
      <c r="C1573" t="s">
        <v>2477</v>
      </c>
      <c r="D1573" t="s">
        <v>1375</v>
      </c>
      <c r="E1573" t="s">
        <v>3291</v>
      </c>
      <c r="F1573" s="853" t="s">
        <v>528</v>
      </c>
      <c r="G1573" s="913">
        <v>2</v>
      </c>
      <c r="H1573" t="s">
        <v>4839</v>
      </c>
    </row>
    <row r="1574" spans="2:8">
      <c r="B1574" s="871">
        <v>46273</v>
      </c>
      <c r="C1574" t="s">
        <v>2477</v>
      </c>
      <c r="D1574" t="s">
        <v>1393</v>
      </c>
      <c r="E1574" t="s">
        <v>1394</v>
      </c>
      <c r="F1574" s="853" t="s">
        <v>526</v>
      </c>
      <c r="G1574" s="913" t="s">
        <v>1741</v>
      </c>
      <c r="H1574" t="s">
        <v>4840</v>
      </c>
    </row>
    <row r="1575" spans="2:8">
      <c r="B1575" s="871">
        <v>46273</v>
      </c>
      <c r="C1575" t="s">
        <v>2477</v>
      </c>
      <c r="D1575" t="s">
        <v>1393</v>
      </c>
      <c r="E1575" t="s">
        <v>1394</v>
      </c>
      <c r="F1575" s="853" t="s">
        <v>527</v>
      </c>
      <c r="H1575" t="s">
        <v>4841</v>
      </c>
    </row>
    <row r="1576" spans="2:8">
      <c r="B1576" s="871">
        <v>46273</v>
      </c>
      <c r="C1576" t="s">
        <v>2477</v>
      </c>
      <c r="D1576" t="s">
        <v>1393</v>
      </c>
      <c r="E1576" t="s">
        <v>1394</v>
      </c>
      <c r="F1576" s="853" t="s">
        <v>528</v>
      </c>
      <c r="G1576" s="913" t="s">
        <v>1742</v>
      </c>
      <c r="H1576" t="s">
        <v>4842</v>
      </c>
    </row>
    <row r="1577" spans="2:8">
      <c r="B1577" s="871">
        <v>46273</v>
      </c>
      <c r="C1577" t="s">
        <v>2477</v>
      </c>
      <c r="D1577" t="s">
        <v>1375</v>
      </c>
      <c r="E1577" t="s">
        <v>3298</v>
      </c>
      <c r="F1577" s="853" t="s">
        <v>526</v>
      </c>
      <c r="G1577" s="913">
        <v>3</v>
      </c>
      <c r="H1577" t="s">
        <v>4843</v>
      </c>
    </row>
    <row r="1578" spans="2:8">
      <c r="B1578" s="871">
        <v>46273</v>
      </c>
      <c r="C1578" t="s">
        <v>2477</v>
      </c>
      <c r="D1578" t="s">
        <v>1375</v>
      </c>
      <c r="E1578" t="s">
        <v>3298</v>
      </c>
      <c r="F1578" s="853" t="s">
        <v>527</v>
      </c>
      <c r="G1578" s="913">
        <v>2</v>
      </c>
      <c r="H1578" t="s">
        <v>4844</v>
      </c>
    </row>
    <row r="1579" spans="2:8">
      <c r="B1579" s="871">
        <v>46273</v>
      </c>
      <c r="C1579" t="s">
        <v>2477</v>
      </c>
      <c r="D1579" t="s">
        <v>1375</v>
      </c>
      <c r="E1579" t="s">
        <v>3298</v>
      </c>
      <c r="F1579" s="853" t="s">
        <v>528</v>
      </c>
      <c r="G1579" s="913">
        <v>2</v>
      </c>
      <c r="H1579" t="s">
        <v>4845</v>
      </c>
    </row>
    <row r="1580" spans="2:8">
      <c r="B1580" s="871">
        <v>46273</v>
      </c>
      <c r="C1580" t="s">
        <v>2477</v>
      </c>
      <c r="D1580" t="s">
        <v>1393</v>
      </c>
      <c r="E1580" t="s">
        <v>1398</v>
      </c>
      <c r="F1580" s="853" t="s">
        <v>526</v>
      </c>
      <c r="G1580" s="913">
        <v>11</v>
      </c>
      <c r="H1580" t="s">
        <v>4846</v>
      </c>
    </row>
    <row r="1581" spans="2:8">
      <c r="B1581" s="871">
        <v>46273</v>
      </c>
      <c r="C1581" t="s">
        <v>2477</v>
      </c>
      <c r="D1581" t="s">
        <v>1393</v>
      </c>
      <c r="E1581" t="s">
        <v>1398</v>
      </c>
      <c r="F1581" s="853" t="s">
        <v>527</v>
      </c>
      <c r="H1581" t="s">
        <v>4847</v>
      </c>
    </row>
    <row r="1582" spans="2:8">
      <c r="B1582" s="871">
        <v>46273</v>
      </c>
      <c r="C1582" t="s">
        <v>2477</v>
      </c>
      <c r="D1582" t="s">
        <v>1393</v>
      </c>
      <c r="E1582" t="s">
        <v>1398</v>
      </c>
      <c r="F1582" s="853" t="s">
        <v>528</v>
      </c>
      <c r="G1582" s="913">
        <v>11</v>
      </c>
      <c r="H1582" t="s">
        <v>4848</v>
      </c>
    </row>
    <row r="1583" spans="2:8">
      <c r="B1583" s="871">
        <v>46273</v>
      </c>
      <c r="C1583" t="s">
        <v>2477</v>
      </c>
      <c r="D1583" t="s">
        <v>1375</v>
      </c>
      <c r="E1583" t="s">
        <v>3305</v>
      </c>
      <c r="F1583" s="853" t="s">
        <v>526</v>
      </c>
      <c r="G1583" s="913">
        <v>4</v>
      </c>
      <c r="H1583" t="s">
        <v>4849</v>
      </c>
    </row>
    <row r="1584" spans="2:8">
      <c r="B1584" s="871">
        <v>46273</v>
      </c>
      <c r="C1584" t="s">
        <v>2477</v>
      </c>
      <c r="D1584" t="s">
        <v>1375</v>
      </c>
      <c r="E1584" t="s">
        <v>3305</v>
      </c>
      <c r="F1584" s="853" t="s">
        <v>527</v>
      </c>
      <c r="G1584" s="913">
        <v>3</v>
      </c>
      <c r="H1584" t="s">
        <v>4850</v>
      </c>
    </row>
    <row r="1585" spans="2:8">
      <c r="B1585" s="871">
        <v>46273</v>
      </c>
      <c r="C1585" t="s">
        <v>2477</v>
      </c>
      <c r="D1585" t="s">
        <v>1375</v>
      </c>
      <c r="E1585" t="s">
        <v>3305</v>
      </c>
      <c r="F1585" s="853" t="s">
        <v>528</v>
      </c>
      <c r="G1585" s="913">
        <v>1</v>
      </c>
      <c r="H1585" t="s">
        <v>4851</v>
      </c>
    </row>
    <row r="1586" spans="2:8">
      <c r="B1586" s="871">
        <v>46273</v>
      </c>
      <c r="C1586" t="s">
        <v>2477</v>
      </c>
      <c r="D1586" t="s">
        <v>1393</v>
      </c>
      <c r="E1586" t="s">
        <v>1399</v>
      </c>
      <c r="F1586" s="853" t="s">
        <v>526</v>
      </c>
      <c r="G1586" s="913">
        <v>12</v>
      </c>
      <c r="H1586" t="s">
        <v>4852</v>
      </c>
    </row>
    <row r="1587" spans="2:8">
      <c r="B1587" s="871">
        <v>46273</v>
      </c>
      <c r="C1587" t="s">
        <v>2477</v>
      </c>
      <c r="D1587" t="s">
        <v>1393</v>
      </c>
      <c r="E1587" t="s">
        <v>1399</v>
      </c>
      <c r="F1587" s="853" t="s">
        <v>527</v>
      </c>
      <c r="H1587" t="s">
        <v>4853</v>
      </c>
    </row>
    <row r="1588" spans="2:8">
      <c r="B1588" s="871">
        <v>46273</v>
      </c>
      <c r="C1588" t="s">
        <v>2477</v>
      </c>
      <c r="D1588" t="s">
        <v>1393</v>
      </c>
      <c r="E1588" t="s">
        <v>1399</v>
      </c>
      <c r="F1588" s="853" t="s">
        <v>528</v>
      </c>
      <c r="G1588" s="913">
        <v>12</v>
      </c>
      <c r="H1588" t="s">
        <v>4854</v>
      </c>
    </row>
    <row r="1589" spans="2:8">
      <c r="B1589" s="871">
        <v>46273</v>
      </c>
      <c r="C1589" t="s">
        <v>2477</v>
      </c>
      <c r="D1589" t="s">
        <v>1375</v>
      </c>
      <c r="E1589" t="s">
        <v>3312</v>
      </c>
      <c r="F1589" s="853" t="s">
        <v>526</v>
      </c>
      <c r="G1589" s="913">
        <v>2</v>
      </c>
      <c r="H1589" t="s">
        <v>4855</v>
      </c>
    </row>
    <row r="1590" spans="2:8">
      <c r="B1590" s="871">
        <v>46273</v>
      </c>
      <c r="C1590" t="s">
        <v>2477</v>
      </c>
      <c r="D1590" t="s">
        <v>1375</v>
      </c>
      <c r="E1590" t="s">
        <v>3312</v>
      </c>
      <c r="F1590" s="853" t="s">
        <v>527</v>
      </c>
      <c r="G1590" s="913">
        <v>1</v>
      </c>
      <c r="H1590" t="s">
        <v>4856</v>
      </c>
    </row>
    <row r="1591" spans="2:8">
      <c r="B1591" s="871">
        <v>46273</v>
      </c>
      <c r="C1591" t="s">
        <v>2477</v>
      </c>
      <c r="D1591" t="s">
        <v>1375</v>
      </c>
      <c r="E1591" t="s">
        <v>3312</v>
      </c>
      <c r="F1591" s="853" t="s">
        <v>528</v>
      </c>
      <c r="G1591" s="913">
        <v>1</v>
      </c>
      <c r="H1591" t="s">
        <v>4857</v>
      </c>
    </row>
    <row r="1592" spans="2:8">
      <c r="B1592" s="871">
        <v>46273</v>
      </c>
      <c r="C1592" t="s">
        <v>2477</v>
      </c>
      <c r="D1592" t="s">
        <v>1393</v>
      </c>
      <c r="E1592" t="s">
        <v>1400</v>
      </c>
      <c r="F1592" s="853" t="s">
        <v>526</v>
      </c>
      <c r="G1592" s="913">
        <v>17</v>
      </c>
      <c r="H1592" t="s">
        <v>4858</v>
      </c>
    </row>
    <row r="1593" spans="2:8">
      <c r="B1593" s="871">
        <v>46273</v>
      </c>
      <c r="C1593" t="s">
        <v>2477</v>
      </c>
      <c r="D1593" t="s">
        <v>1393</v>
      </c>
      <c r="E1593" t="s">
        <v>1400</v>
      </c>
      <c r="F1593" s="853" t="s">
        <v>527</v>
      </c>
      <c r="H1593" t="s">
        <v>4859</v>
      </c>
    </row>
    <row r="1594" spans="2:8">
      <c r="B1594" s="871">
        <v>46273</v>
      </c>
      <c r="C1594" t="s">
        <v>2477</v>
      </c>
      <c r="D1594" t="s">
        <v>1393</v>
      </c>
      <c r="E1594" t="s">
        <v>1400</v>
      </c>
      <c r="F1594" s="853" t="s">
        <v>528</v>
      </c>
      <c r="G1594" s="913">
        <v>16</v>
      </c>
      <c r="H1594" t="s">
        <v>4860</v>
      </c>
    </row>
    <row r="1595" spans="2:8">
      <c r="B1595" s="871">
        <v>46273</v>
      </c>
      <c r="C1595" t="s">
        <v>2477</v>
      </c>
      <c r="D1595" t="s">
        <v>1375</v>
      </c>
      <c r="E1595" t="s">
        <v>3319</v>
      </c>
      <c r="F1595" s="853" t="s">
        <v>526</v>
      </c>
      <c r="G1595" s="913">
        <v>2</v>
      </c>
      <c r="H1595" t="s">
        <v>4861</v>
      </c>
    </row>
    <row r="1596" spans="2:8">
      <c r="B1596" s="871">
        <v>46273</v>
      </c>
      <c r="C1596" t="s">
        <v>2477</v>
      </c>
      <c r="D1596" t="s">
        <v>1375</v>
      </c>
      <c r="E1596" t="s">
        <v>3319</v>
      </c>
      <c r="F1596" s="853" t="s">
        <v>527</v>
      </c>
      <c r="G1596" s="913">
        <v>3</v>
      </c>
      <c r="H1596" t="s">
        <v>4862</v>
      </c>
    </row>
    <row r="1597" spans="2:8">
      <c r="B1597" s="871">
        <v>46273</v>
      </c>
      <c r="C1597" t="s">
        <v>2477</v>
      </c>
      <c r="D1597" t="s">
        <v>1375</v>
      </c>
      <c r="E1597" t="s">
        <v>3319</v>
      </c>
      <c r="F1597" s="853" t="s">
        <v>528</v>
      </c>
      <c r="G1597" s="913">
        <v>2</v>
      </c>
      <c r="H1597" t="s">
        <v>4863</v>
      </c>
    </row>
    <row r="1598" spans="2:8">
      <c r="B1598" s="871">
        <v>46273</v>
      </c>
      <c r="C1598" t="s">
        <v>2477</v>
      </c>
      <c r="D1598" t="s">
        <v>1393</v>
      </c>
      <c r="E1598" t="s">
        <v>1401</v>
      </c>
      <c r="F1598" s="853" t="s">
        <v>526</v>
      </c>
      <c r="G1598" s="913">
        <v>7.07</v>
      </c>
      <c r="H1598" t="s">
        <v>4864</v>
      </c>
    </row>
    <row r="1599" spans="2:8">
      <c r="B1599" s="871">
        <v>46273</v>
      </c>
      <c r="C1599" t="s">
        <v>2477</v>
      </c>
      <c r="D1599" t="s">
        <v>1393</v>
      </c>
      <c r="E1599" t="s">
        <v>1401</v>
      </c>
      <c r="F1599" s="853" t="s">
        <v>527</v>
      </c>
      <c r="H1599" t="s">
        <v>4865</v>
      </c>
    </row>
    <row r="1600" spans="2:8">
      <c r="B1600" s="871">
        <v>46273</v>
      </c>
      <c r="C1600" t="s">
        <v>2477</v>
      </c>
      <c r="D1600" t="s">
        <v>1393</v>
      </c>
      <c r="E1600" t="s">
        <v>1401</v>
      </c>
      <c r="F1600" s="853" t="s">
        <v>528</v>
      </c>
      <c r="G1600" s="913">
        <v>7.19</v>
      </c>
      <c r="H1600" t="s">
        <v>4866</v>
      </c>
    </row>
    <row r="1601" spans="2:8">
      <c r="B1601" s="871">
        <v>46273</v>
      </c>
      <c r="C1601" t="s">
        <v>2477</v>
      </c>
      <c r="D1601" t="s">
        <v>1375</v>
      </c>
      <c r="E1601" t="s">
        <v>3326</v>
      </c>
      <c r="F1601" s="853" t="s">
        <v>526</v>
      </c>
      <c r="G1601" s="913" t="s">
        <v>1583</v>
      </c>
      <c r="H1601" t="s">
        <v>4867</v>
      </c>
    </row>
    <row r="1602" spans="2:8">
      <c r="B1602" s="871">
        <v>46273</v>
      </c>
      <c r="C1602" t="s">
        <v>2477</v>
      </c>
      <c r="D1602" t="s">
        <v>1375</v>
      </c>
      <c r="E1602" t="s">
        <v>3326</v>
      </c>
      <c r="F1602" s="853" t="s">
        <v>527</v>
      </c>
      <c r="G1602" s="913" t="s">
        <v>1583</v>
      </c>
      <c r="H1602" t="s">
        <v>4868</v>
      </c>
    </row>
    <row r="1603" spans="2:8">
      <c r="B1603" s="871">
        <v>46273</v>
      </c>
      <c r="C1603" t="s">
        <v>2477</v>
      </c>
      <c r="D1603" t="s">
        <v>1375</v>
      </c>
      <c r="E1603" t="s">
        <v>3326</v>
      </c>
      <c r="F1603" s="853" t="s">
        <v>528</v>
      </c>
      <c r="G1603" s="913" t="s">
        <v>1583</v>
      </c>
      <c r="H1603" t="s">
        <v>4869</v>
      </c>
    </row>
    <row r="1604" spans="2:8">
      <c r="B1604" s="871">
        <v>46273</v>
      </c>
      <c r="C1604" t="s">
        <v>2477</v>
      </c>
      <c r="D1604" t="s">
        <v>1393</v>
      </c>
      <c r="E1604" t="s">
        <v>1403</v>
      </c>
      <c r="F1604" s="853" t="s">
        <v>526</v>
      </c>
      <c r="G1604" s="913">
        <v>720</v>
      </c>
      <c r="H1604" t="s">
        <v>4870</v>
      </c>
    </row>
    <row r="1605" spans="2:8">
      <c r="B1605" s="871">
        <v>46273</v>
      </c>
      <c r="C1605" t="s">
        <v>2477</v>
      </c>
      <c r="D1605" t="s">
        <v>1393</v>
      </c>
      <c r="E1605" t="s">
        <v>1403</v>
      </c>
      <c r="F1605" s="853" t="s">
        <v>527</v>
      </c>
      <c r="H1605" t="s">
        <v>4871</v>
      </c>
    </row>
    <row r="1606" spans="2:8">
      <c r="B1606" s="871">
        <v>46273</v>
      </c>
      <c r="C1606" t="s">
        <v>2477</v>
      </c>
      <c r="D1606" t="s">
        <v>1393</v>
      </c>
      <c r="E1606" t="s">
        <v>1403</v>
      </c>
      <c r="F1606" s="853" t="s">
        <v>528</v>
      </c>
      <c r="G1606" s="913">
        <v>660</v>
      </c>
      <c r="H1606" t="s">
        <v>4872</v>
      </c>
    </row>
    <row r="1607" spans="2:8">
      <c r="B1607" s="871">
        <v>46273</v>
      </c>
      <c r="C1607" t="s">
        <v>2477</v>
      </c>
      <c r="D1607" t="s">
        <v>1393</v>
      </c>
      <c r="E1607" t="s">
        <v>1404</v>
      </c>
      <c r="F1607" s="853" t="s">
        <v>526</v>
      </c>
      <c r="G1607" s="913">
        <v>2.29</v>
      </c>
      <c r="H1607" t="s">
        <v>4873</v>
      </c>
    </row>
    <row r="1608" spans="2:8">
      <c r="B1608" s="871">
        <v>46273</v>
      </c>
      <c r="C1608" t="s">
        <v>2477</v>
      </c>
      <c r="D1608" t="s">
        <v>1393</v>
      </c>
      <c r="E1608" t="s">
        <v>1404</v>
      </c>
      <c r="F1608" s="853" t="s">
        <v>527</v>
      </c>
      <c r="H1608" t="s">
        <v>4874</v>
      </c>
    </row>
    <row r="1609" spans="2:8">
      <c r="B1609" s="871">
        <v>46273</v>
      </c>
      <c r="C1609" t="s">
        <v>2477</v>
      </c>
      <c r="D1609" t="s">
        <v>1393</v>
      </c>
      <c r="E1609" t="s">
        <v>1404</v>
      </c>
      <c r="F1609" s="853" t="s">
        <v>528</v>
      </c>
      <c r="G1609" s="913">
        <v>6.22</v>
      </c>
      <c r="H1609" t="s">
        <v>4875</v>
      </c>
    </row>
    <row r="1610" spans="2:8">
      <c r="B1610" s="871">
        <v>46273</v>
      </c>
      <c r="C1610" t="s">
        <v>2477</v>
      </c>
      <c r="D1610" t="s">
        <v>1375</v>
      </c>
      <c r="E1610" t="s">
        <v>3336</v>
      </c>
      <c r="F1610" s="853" t="s">
        <v>526</v>
      </c>
      <c r="G1610" s="913" t="s">
        <v>1406</v>
      </c>
      <c r="H1610" t="s">
        <v>4876</v>
      </c>
    </row>
    <row r="1611" spans="2:8">
      <c r="B1611" s="871">
        <v>46273</v>
      </c>
      <c r="C1611" t="s">
        <v>2477</v>
      </c>
      <c r="D1611" t="s">
        <v>1375</v>
      </c>
      <c r="E1611" t="s">
        <v>3336</v>
      </c>
      <c r="F1611" s="853" t="s">
        <v>527</v>
      </c>
      <c r="G1611" s="913" t="s">
        <v>1406</v>
      </c>
      <c r="H1611" t="s">
        <v>4877</v>
      </c>
    </row>
    <row r="1612" spans="2:8">
      <c r="B1612" s="871">
        <v>46273</v>
      </c>
      <c r="C1612" t="s">
        <v>2477</v>
      </c>
      <c r="D1612" t="s">
        <v>1375</v>
      </c>
      <c r="E1612" t="s">
        <v>3336</v>
      </c>
      <c r="F1612" s="853" t="s">
        <v>528</v>
      </c>
      <c r="G1612" s="913" t="s">
        <v>1406</v>
      </c>
      <c r="H1612" t="s">
        <v>4878</v>
      </c>
    </row>
    <row r="1613" spans="2:8">
      <c r="B1613" s="871">
        <v>46273</v>
      </c>
      <c r="C1613" t="s">
        <v>2477</v>
      </c>
      <c r="D1613" t="s">
        <v>1393</v>
      </c>
      <c r="E1613" t="s">
        <v>1407</v>
      </c>
      <c r="F1613" s="853" t="s">
        <v>526</v>
      </c>
      <c r="G1613" s="913">
        <v>363</v>
      </c>
      <c r="H1613" t="s">
        <v>4879</v>
      </c>
    </row>
    <row r="1614" spans="2:8">
      <c r="B1614" s="871">
        <v>46273</v>
      </c>
      <c r="C1614" t="s">
        <v>2477</v>
      </c>
      <c r="D1614" t="s">
        <v>1393</v>
      </c>
      <c r="E1614" t="s">
        <v>1407</v>
      </c>
      <c r="F1614" s="853" t="s">
        <v>527</v>
      </c>
      <c r="H1614" t="s">
        <v>4880</v>
      </c>
    </row>
    <row r="1615" spans="2:8">
      <c r="B1615" s="871">
        <v>46273</v>
      </c>
      <c r="C1615" t="s">
        <v>2477</v>
      </c>
      <c r="D1615" t="s">
        <v>1393</v>
      </c>
      <c r="E1615" t="s">
        <v>1407</v>
      </c>
      <c r="F1615" s="853" t="s">
        <v>528</v>
      </c>
      <c r="G1615" s="913">
        <v>410</v>
      </c>
      <c r="H1615" t="s">
        <v>4881</v>
      </c>
    </row>
    <row r="1616" spans="2:8">
      <c r="B1616" s="871">
        <v>46273</v>
      </c>
      <c r="C1616" t="s">
        <v>2477</v>
      </c>
      <c r="D1616" t="s">
        <v>1393</v>
      </c>
      <c r="E1616" t="s">
        <v>1408</v>
      </c>
      <c r="F1616" s="853" t="s">
        <v>526</v>
      </c>
      <c r="G1616" s="913">
        <v>1023</v>
      </c>
      <c r="H1616" t="s">
        <v>4882</v>
      </c>
    </row>
    <row r="1617" spans="2:8">
      <c r="B1617" s="871">
        <v>46273</v>
      </c>
      <c r="C1617" t="s">
        <v>2477</v>
      </c>
      <c r="D1617" t="s">
        <v>1393</v>
      </c>
      <c r="E1617" t="s">
        <v>1408</v>
      </c>
      <c r="F1617" s="853" t="s">
        <v>527</v>
      </c>
      <c r="H1617" t="s">
        <v>4883</v>
      </c>
    </row>
    <row r="1618" spans="2:8">
      <c r="B1618" s="871">
        <v>46273</v>
      </c>
      <c r="C1618" t="s">
        <v>2477</v>
      </c>
      <c r="D1618" t="s">
        <v>1393</v>
      </c>
      <c r="E1618" t="s">
        <v>1408</v>
      </c>
      <c r="F1618" s="853" t="s">
        <v>528</v>
      </c>
      <c r="G1618" s="913">
        <v>1085</v>
      </c>
      <c r="H1618" t="s">
        <v>4884</v>
      </c>
    </row>
    <row r="1619" spans="2:8">
      <c r="B1619" s="871">
        <v>46273</v>
      </c>
      <c r="C1619" t="s">
        <v>2477</v>
      </c>
      <c r="D1619" t="s">
        <v>1409</v>
      </c>
      <c r="E1619" t="s">
        <v>1411</v>
      </c>
      <c r="F1619" s="853" t="s">
        <v>526</v>
      </c>
      <c r="H1619" t="s">
        <v>4885</v>
      </c>
    </row>
    <row r="1620" spans="2:8">
      <c r="B1620" s="871">
        <v>46273</v>
      </c>
      <c r="C1620" t="s">
        <v>2477</v>
      </c>
      <c r="D1620" t="s">
        <v>1409</v>
      </c>
      <c r="E1620" t="s">
        <v>1411</v>
      </c>
      <c r="F1620" s="853" t="s">
        <v>527</v>
      </c>
      <c r="H1620" t="s">
        <v>4886</v>
      </c>
    </row>
    <row r="1621" spans="2:8">
      <c r="B1621" s="871">
        <v>46273</v>
      </c>
      <c r="C1621" t="s">
        <v>2477</v>
      </c>
      <c r="D1621" t="s">
        <v>1409</v>
      </c>
      <c r="E1621" t="s">
        <v>1411</v>
      </c>
      <c r="F1621" s="853" t="s">
        <v>528</v>
      </c>
      <c r="H1621" t="s">
        <v>4887</v>
      </c>
    </row>
    <row r="1622" spans="2:8">
      <c r="B1622" s="871">
        <v>46273</v>
      </c>
      <c r="C1622" t="s">
        <v>2477</v>
      </c>
      <c r="D1622" t="s">
        <v>1409</v>
      </c>
      <c r="E1622" t="s">
        <v>1413</v>
      </c>
      <c r="F1622" s="853" t="s">
        <v>526</v>
      </c>
      <c r="G1622" s="913" t="s">
        <v>1414</v>
      </c>
      <c r="H1622" t="s">
        <v>4888</v>
      </c>
    </row>
    <row r="1623" spans="2:8">
      <c r="B1623" s="871">
        <v>46273</v>
      </c>
      <c r="C1623" t="s">
        <v>2477</v>
      </c>
      <c r="D1623" t="s">
        <v>1409</v>
      </c>
      <c r="E1623" t="s">
        <v>1413</v>
      </c>
      <c r="F1623" s="853" t="s">
        <v>527</v>
      </c>
      <c r="G1623" s="913" t="s">
        <v>1584</v>
      </c>
      <c r="H1623" t="s">
        <v>4889</v>
      </c>
    </row>
    <row r="1624" spans="2:8">
      <c r="B1624" s="871">
        <v>46273</v>
      </c>
      <c r="C1624" t="s">
        <v>2477</v>
      </c>
      <c r="D1624" t="s">
        <v>1409</v>
      </c>
      <c r="E1624" t="s">
        <v>1413</v>
      </c>
      <c r="F1624" s="853" t="s">
        <v>528</v>
      </c>
      <c r="G1624" s="913" t="s">
        <v>1743</v>
      </c>
      <c r="H1624" t="s">
        <v>4890</v>
      </c>
    </row>
    <row r="1625" spans="2:8">
      <c r="B1625" s="871">
        <v>46273</v>
      </c>
      <c r="C1625" t="s">
        <v>2477</v>
      </c>
      <c r="D1625" t="s">
        <v>1410</v>
      </c>
      <c r="E1625" t="s">
        <v>3352</v>
      </c>
      <c r="F1625" s="853" t="s">
        <v>526</v>
      </c>
      <c r="G1625" s="913" t="s">
        <v>1418</v>
      </c>
      <c r="H1625" t="s">
        <v>4891</v>
      </c>
    </row>
    <row r="1626" spans="2:8">
      <c r="B1626" s="871">
        <v>46273</v>
      </c>
      <c r="C1626" t="s">
        <v>2477</v>
      </c>
      <c r="D1626" t="s">
        <v>1410</v>
      </c>
      <c r="E1626" t="s">
        <v>3352</v>
      </c>
      <c r="F1626" s="853" t="s">
        <v>527</v>
      </c>
      <c r="G1626" s="913" t="s">
        <v>1418</v>
      </c>
      <c r="H1626" t="s">
        <v>4892</v>
      </c>
    </row>
    <row r="1627" spans="2:8">
      <c r="B1627" s="871">
        <v>46273</v>
      </c>
      <c r="C1627" t="s">
        <v>2477</v>
      </c>
      <c r="D1627" t="s">
        <v>1410</v>
      </c>
      <c r="E1627" t="s">
        <v>3352</v>
      </c>
      <c r="F1627" s="853" t="s">
        <v>528</v>
      </c>
      <c r="G1627" s="913" t="s">
        <v>1418</v>
      </c>
      <c r="H1627" t="s">
        <v>4893</v>
      </c>
    </row>
    <row r="1628" spans="2:8">
      <c r="B1628" s="871">
        <v>46273</v>
      </c>
      <c r="C1628" t="s">
        <v>2477</v>
      </c>
      <c r="D1628" t="s">
        <v>1409</v>
      </c>
      <c r="E1628" t="s">
        <v>1420</v>
      </c>
      <c r="F1628" s="853" t="s">
        <v>526</v>
      </c>
      <c r="G1628" s="913" t="s">
        <v>1421</v>
      </c>
      <c r="H1628" t="s">
        <v>4894</v>
      </c>
    </row>
    <row r="1629" spans="2:8">
      <c r="B1629" s="871">
        <v>46273</v>
      </c>
      <c r="C1629" t="s">
        <v>2477</v>
      </c>
      <c r="D1629" t="s">
        <v>1409</v>
      </c>
      <c r="E1629" t="s">
        <v>1420</v>
      </c>
      <c r="F1629" s="853" t="s">
        <v>527</v>
      </c>
      <c r="G1629" s="913" t="s">
        <v>1537</v>
      </c>
      <c r="H1629" t="s">
        <v>4895</v>
      </c>
    </row>
    <row r="1630" spans="2:8">
      <c r="B1630" s="871">
        <v>46273</v>
      </c>
      <c r="C1630" t="s">
        <v>2477</v>
      </c>
      <c r="D1630" t="s">
        <v>1409</v>
      </c>
      <c r="E1630" t="s">
        <v>1420</v>
      </c>
      <c r="F1630" s="853" t="s">
        <v>528</v>
      </c>
      <c r="G1630" s="913" t="s">
        <v>1422</v>
      </c>
      <c r="H1630" t="s">
        <v>4896</v>
      </c>
    </row>
    <row r="1631" spans="2:8">
      <c r="B1631" s="871">
        <v>46273</v>
      </c>
      <c r="C1631" t="s">
        <v>2477</v>
      </c>
      <c r="D1631" t="s">
        <v>1410</v>
      </c>
      <c r="E1631" t="s">
        <v>3359</v>
      </c>
      <c r="F1631" s="853" t="s">
        <v>526</v>
      </c>
      <c r="G1631" s="913">
        <v>116</v>
      </c>
      <c r="H1631" t="s">
        <v>4897</v>
      </c>
    </row>
    <row r="1632" spans="2:8">
      <c r="B1632" s="871">
        <v>46273</v>
      </c>
      <c r="C1632" t="s">
        <v>2477</v>
      </c>
      <c r="D1632" t="s">
        <v>1410</v>
      </c>
      <c r="E1632" t="s">
        <v>3359</v>
      </c>
      <c r="F1632" s="853" t="s">
        <v>527</v>
      </c>
      <c r="G1632" s="913">
        <v>119</v>
      </c>
      <c r="H1632" t="s">
        <v>4898</v>
      </c>
    </row>
    <row r="1633" spans="2:8">
      <c r="B1633" s="871">
        <v>46273</v>
      </c>
      <c r="C1633" t="s">
        <v>2477</v>
      </c>
      <c r="D1633" t="s">
        <v>1410</v>
      </c>
      <c r="E1633" t="s">
        <v>3359</v>
      </c>
      <c r="F1633" s="853" t="s">
        <v>528</v>
      </c>
      <c r="G1633" s="913">
        <v>121</v>
      </c>
      <c r="H1633" t="s">
        <v>4899</v>
      </c>
    </row>
    <row r="1634" spans="2:8">
      <c r="B1634" s="871">
        <v>46273</v>
      </c>
      <c r="C1634" t="s">
        <v>2477</v>
      </c>
      <c r="D1634" t="s">
        <v>1409</v>
      </c>
      <c r="E1634" t="s">
        <v>1424</v>
      </c>
      <c r="F1634" s="853" t="s">
        <v>526</v>
      </c>
      <c r="H1634" t="s">
        <v>4900</v>
      </c>
    </row>
    <row r="1635" spans="2:8">
      <c r="B1635" s="871">
        <v>46273</v>
      </c>
      <c r="C1635" t="s">
        <v>2477</v>
      </c>
      <c r="D1635" t="s">
        <v>1409</v>
      </c>
      <c r="E1635" t="s">
        <v>1424</v>
      </c>
      <c r="F1635" s="853" t="s">
        <v>527</v>
      </c>
      <c r="H1635" t="s">
        <v>4901</v>
      </c>
    </row>
    <row r="1636" spans="2:8">
      <c r="B1636" s="871">
        <v>46273</v>
      </c>
      <c r="C1636" t="s">
        <v>2477</v>
      </c>
      <c r="D1636" t="s">
        <v>1409</v>
      </c>
      <c r="E1636" t="s">
        <v>1424</v>
      </c>
      <c r="F1636" s="853" t="s">
        <v>528</v>
      </c>
      <c r="H1636" t="s">
        <v>4902</v>
      </c>
    </row>
    <row r="1637" spans="2:8">
      <c r="B1637" s="871">
        <v>46273</v>
      </c>
      <c r="C1637" t="s">
        <v>2477</v>
      </c>
      <c r="D1637" t="s">
        <v>1410</v>
      </c>
      <c r="E1637" t="s">
        <v>3366</v>
      </c>
      <c r="F1637" s="853" t="s">
        <v>526</v>
      </c>
      <c r="G1637" s="913">
        <v>2613</v>
      </c>
      <c r="H1637" t="s">
        <v>4903</v>
      </c>
    </row>
    <row r="1638" spans="2:8">
      <c r="B1638" s="871">
        <v>46273</v>
      </c>
      <c r="C1638" t="s">
        <v>2477</v>
      </c>
      <c r="D1638" t="s">
        <v>1410</v>
      </c>
      <c r="E1638" t="s">
        <v>3366</v>
      </c>
      <c r="F1638" s="853" t="s">
        <v>527</v>
      </c>
      <c r="G1638" s="913">
        <v>2570</v>
      </c>
      <c r="H1638" t="s">
        <v>4904</v>
      </c>
    </row>
    <row r="1639" spans="2:8">
      <c r="B1639" s="871">
        <v>46273</v>
      </c>
      <c r="C1639" t="s">
        <v>2477</v>
      </c>
      <c r="D1639" t="s">
        <v>1410</v>
      </c>
      <c r="E1639" t="s">
        <v>3366</v>
      </c>
      <c r="F1639" s="853" t="s">
        <v>528</v>
      </c>
      <c r="G1639" s="913">
        <v>2540</v>
      </c>
      <c r="H1639" t="s">
        <v>4905</v>
      </c>
    </row>
    <row r="1640" spans="2:8">
      <c r="B1640" s="871">
        <v>46273</v>
      </c>
      <c r="C1640" t="s">
        <v>2477</v>
      </c>
      <c r="D1640" t="s">
        <v>1410</v>
      </c>
      <c r="E1640" t="s">
        <v>3370</v>
      </c>
      <c r="F1640" s="853" t="s">
        <v>526</v>
      </c>
      <c r="G1640" s="913" t="s">
        <v>1427</v>
      </c>
      <c r="H1640" t="s">
        <v>4906</v>
      </c>
    </row>
    <row r="1641" spans="2:8">
      <c r="B1641" s="871">
        <v>46273</v>
      </c>
      <c r="C1641" t="s">
        <v>2477</v>
      </c>
      <c r="D1641" t="s">
        <v>1410</v>
      </c>
      <c r="E1641" t="s">
        <v>3370</v>
      </c>
      <c r="F1641" s="853" t="s">
        <v>527</v>
      </c>
      <c r="G1641" s="913" t="s">
        <v>1427</v>
      </c>
      <c r="H1641" t="s">
        <v>4907</v>
      </c>
    </row>
    <row r="1642" spans="2:8">
      <c r="B1642" s="871">
        <v>46273</v>
      </c>
      <c r="C1642" t="s">
        <v>2477</v>
      </c>
      <c r="D1642" t="s">
        <v>1410</v>
      </c>
      <c r="E1642" t="s">
        <v>3370</v>
      </c>
      <c r="F1642" s="853" t="s">
        <v>528</v>
      </c>
      <c r="G1642" s="913" t="s">
        <v>1427</v>
      </c>
      <c r="H1642" t="s">
        <v>4908</v>
      </c>
    </row>
    <row r="1643" spans="2:8">
      <c r="B1643" s="871">
        <v>46273</v>
      </c>
      <c r="C1643" t="s">
        <v>2477</v>
      </c>
      <c r="D1643" t="s">
        <v>1410</v>
      </c>
      <c r="E1643" t="s">
        <v>3374</v>
      </c>
      <c r="F1643" s="853" t="s">
        <v>526</v>
      </c>
      <c r="G1643" s="913">
        <v>2.2999999999999998</v>
      </c>
      <c r="H1643" t="s">
        <v>4909</v>
      </c>
    </row>
    <row r="1644" spans="2:8">
      <c r="B1644" s="871">
        <v>46273</v>
      </c>
      <c r="C1644" t="s">
        <v>2477</v>
      </c>
      <c r="D1644" t="s">
        <v>1410</v>
      </c>
      <c r="E1644" t="s">
        <v>3374</v>
      </c>
      <c r="F1644" s="853" t="s">
        <v>527</v>
      </c>
      <c r="G1644" s="913">
        <v>3</v>
      </c>
      <c r="H1644" t="s">
        <v>4910</v>
      </c>
    </row>
    <row r="1645" spans="2:8">
      <c r="B1645" s="871">
        <v>46273</v>
      </c>
      <c r="C1645" t="s">
        <v>2477</v>
      </c>
      <c r="D1645" t="s">
        <v>1410</v>
      </c>
      <c r="E1645" t="s">
        <v>3374</v>
      </c>
      <c r="F1645" s="853" t="s">
        <v>528</v>
      </c>
      <c r="G1645" s="913">
        <v>2.5299999999999998</v>
      </c>
      <c r="H1645" t="s">
        <v>4911</v>
      </c>
    </row>
    <row r="1646" spans="2:8">
      <c r="B1646" s="871">
        <v>46273</v>
      </c>
      <c r="C1646" t="s">
        <v>2477</v>
      </c>
      <c r="D1646" t="s">
        <v>1410</v>
      </c>
      <c r="E1646" t="s">
        <v>3378</v>
      </c>
      <c r="F1646" s="853" t="s">
        <v>526</v>
      </c>
      <c r="G1646" s="913" t="s">
        <v>1627</v>
      </c>
      <c r="H1646" t="s">
        <v>4912</v>
      </c>
    </row>
    <row r="1647" spans="2:8">
      <c r="B1647" s="871">
        <v>46273</v>
      </c>
      <c r="C1647" t="s">
        <v>2477</v>
      </c>
      <c r="D1647" t="s">
        <v>1410</v>
      </c>
      <c r="E1647" t="s">
        <v>3378</v>
      </c>
      <c r="F1647" s="853" t="s">
        <v>527</v>
      </c>
      <c r="G1647" s="913" t="s">
        <v>1627</v>
      </c>
      <c r="H1647" t="s">
        <v>4913</v>
      </c>
    </row>
    <row r="1648" spans="2:8">
      <c r="B1648" s="871">
        <v>46273</v>
      </c>
      <c r="C1648" t="s">
        <v>2477</v>
      </c>
      <c r="D1648" t="s">
        <v>1410</v>
      </c>
      <c r="E1648" t="s">
        <v>3378</v>
      </c>
      <c r="F1648" s="853" t="s">
        <v>528</v>
      </c>
      <c r="G1648" s="913" t="s">
        <v>1430</v>
      </c>
      <c r="H1648" t="s">
        <v>4914</v>
      </c>
    </row>
    <row r="1649" spans="2:8">
      <c r="B1649" s="871">
        <v>46273</v>
      </c>
      <c r="C1649" t="s">
        <v>2477</v>
      </c>
      <c r="D1649" t="s">
        <v>1410</v>
      </c>
      <c r="E1649" t="s">
        <v>3382</v>
      </c>
      <c r="F1649" s="853" t="s">
        <v>526</v>
      </c>
      <c r="G1649" s="913">
        <v>113</v>
      </c>
      <c r="H1649" t="s">
        <v>4915</v>
      </c>
    </row>
    <row r="1650" spans="2:8">
      <c r="B1650" s="871">
        <v>46273</v>
      </c>
      <c r="C1650" t="s">
        <v>2477</v>
      </c>
      <c r="D1650" t="s">
        <v>1410</v>
      </c>
      <c r="E1650" t="s">
        <v>3382</v>
      </c>
      <c r="F1650" s="853" t="s">
        <v>527</v>
      </c>
      <c r="G1650" s="913">
        <v>116</v>
      </c>
      <c r="H1650" t="s">
        <v>4916</v>
      </c>
    </row>
    <row r="1651" spans="2:8">
      <c r="B1651" s="871">
        <v>46273</v>
      </c>
      <c r="C1651" t="s">
        <v>2477</v>
      </c>
      <c r="D1651" t="s">
        <v>1410</v>
      </c>
      <c r="E1651" t="s">
        <v>3382</v>
      </c>
      <c r="F1651" s="853" t="s">
        <v>528</v>
      </c>
      <c r="G1651" s="913">
        <v>109</v>
      </c>
      <c r="H1651" t="s">
        <v>4917</v>
      </c>
    </row>
    <row r="1652" spans="2:8">
      <c r="B1652" s="871">
        <v>46273</v>
      </c>
      <c r="C1652" t="s">
        <v>2477</v>
      </c>
      <c r="D1652" t="s">
        <v>1409</v>
      </c>
      <c r="E1652" t="s">
        <v>1431</v>
      </c>
      <c r="F1652" s="853" t="s">
        <v>526</v>
      </c>
      <c r="H1652" t="s">
        <v>4918</v>
      </c>
    </row>
    <row r="1653" spans="2:8">
      <c r="B1653" s="871">
        <v>46273</v>
      </c>
      <c r="C1653" t="s">
        <v>2477</v>
      </c>
      <c r="D1653" t="s">
        <v>1409</v>
      </c>
      <c r="E1653" t="s">
        <v>1431</v>
      </c>
      <c r="F1653" s="853" t="s">
        <v>527</v>
      </c>
      <c r="H1653" t="s">
        <v>4919</v>
      </c>
    </row>
    <row r="1654" spans="2:8">
      <c r="B1654" s="871">
        <v>46273</v>
      </c>
      <c r="C1654" t="s">
        <v>2477</v>
      </c>
      <c r="D1654" t="s">
        <v>1409</v>
      </c>
      <c r="E1654" t="s">
        <v>1431</v>
      </c>
      <c r="F1654" s="853" t="s">
        <v>528</v>
      </c>
      <c r="H1654" t="s">
        <v>4920</v>
      </c>
    </row>
    <row r="1655" spans="2:8">
      <c r="B1655" s="871">
        <v>46273</v>
      </c>
      <c r="C1655" t="s">
        <v>2477</v>
      </c>
      <c r="D1655" t="s">
        <v>1410</v>
      </c>
      <c r="E1655" t="s">
        <v>3389</v>
      </c>
      <c r="F1655" s="853" t="s">
        <v>526</v>
      </c>
      <c r="G1655" s="913">
        <v>2994</v>
      </c>
      <c r="H1655" t="s">
        <v>4921</v>
      </c>
    </row>
    <row r="1656" spans="2:8">
      <c r="B1656" s="871">
        <v>46273</v>
      </c>
      <c r="C1656" t="s">
        <v>2477</v>
      </c>
      <c r="D1656" t="s">
        <v>1410</v>
      </c>
      <c r="E1656" t="s">
        <v>3389</v>
      </c>
      <c r="F1656" s="853" t="s">
        <v>527</v>
      </c>
      <c r="G1656" s="913">
        <v>2560</v>
      </c>
      <c r="H1656" t="s">
        <v>4922</v>
      </c>
    </row>
    <row r="1657" spans="2:8">
      <c r="B1657" s="871">
        <v>46273</v>
      </c>
      <c r="C1657" t="s">
        <v>2477</v>
      </c>
      <c r="D1657" t="s">
        <v>1410</v>
      </c>
      <c r="E1657" t="s">
        <v>3389</v>
      </c>
      <c r="F1657" s="853" t="s">
        <v>528</v>
      </c>
      <c r="G1657" s="913">
        <v>2624</v>
      </c>
      <c r="H1657" t="s">
        <v>4923</v>
      </c>
    </row>
    <row r="1658" spans="2:8">
      <c r="B1658" s="871">
        <v>46273</v>
      </c>
      <c r="C1658" t="s">
        <v>2477</v>
      </c>
      <c r="D1658" t="s">
        <v>1410</v>
      </c>
      <c r="E1658" t="s">
        <v>3393</v>
      </c>
      <c r="F1658" s="853" t="s">
        <v>526</v>
      </c>
      <c r="G1658" s="913" t="s">
        <v>1663</v>
      </c>
      <c r="H1658" t="s">
        <v>4924</v>
      </c>
    </row>
    <row r="1659" spans="2:8">
      <c r="B1659" s="871">
        <v>46273</v>
      </c>
      <c r="C1659" t="s">
        <v>2477</v>
      </c>
      <c r="D1659" t="s">
        <v>1410</v>
      </c>
      <c r="E1659" t="s">
        <v>3393</v>
      </c>
      <c r="F1659" s="853" t="s">
        <v>527</v>
      </c>
      <c r="G1659" s="913" t="s">
        <v>1432</v>
      </c>
      <c r="H1659" t="s">
        <v>4925</v>
      </c>
    </row>
    <row r="1660" spans="2:8">
      <c r="B1660" s="871">
        <v>46273</v>
      </c>
      <c r="C1660" t="s">
        <v>2477</v>
      </c>
      <c r="D1660" t="s">
        <v>1410</v>
      </c>
      <c r="E1660" t="s">
        <v>3393</v>
      </c>
      <c r="F1660" s="853" t="s">
        <v>528</v>
      </c>
      <c r="G1660" s="913" t="s">
        <v>1432</v>
      </c>
      <c r="H1660" t="s">
        <v>4926</v>
      </c>
    </row>
    <row r="1661" spans="2:8">
      <c r="B1661" s="871">
        <v>46273</v>
      </c>
      <c r="C1661" t="s">
        <v>2477</v>
      </c>
      <c r="D1661" t="s">
        <v>1410</v>
      </c>
      <c r="E1661" t="s">
        <v>3397</v>
      </c>
      <c r="F1661" s="853" t="s">
        <v>526</v>
      </c>
      <c r="G1661" s="913" t="s">
        <v>1435</v>
      </c>
      <c r="H1661" t="s">
        <v>4927</v>
      </c>
    </row>
    <row r="1662" spans="2:8">
      <c r="B1662" s="871">
        <v>46273</v>
      </c>
      <c r="C1662" t="s">
        <v>2477</v>
      </c>
      <c r="D1662" t="s">
        <v>1410</v>
      </c>
      <c r="E1662" t="s">
        <v>3397</v>
      </c>
      <c r="F1662" s="853" t="s">
        <v>527</v>
      </c>
      <c r="G1662" s="913" t="s">
        <v>1438</v>
      </c>
      <c r="H1662" t="s">
        <v>4928</v>
      </c>
    </row>
    <row r="1663" spans="2:8">
      <c r="B1663" s="871">
        <v>46273</v>
      </c>
      <c r="C1663" t="s">
        <v>2477</v>
      </c>
      <c r="D1663" t="s">
        <v>1410</v>
      </c>
      <c r="E1663" t="s">
        <v>3397</v>
      </c>
      <c r="F1663" s="853" t="s">
        <v>528</v>
      </c>
      <c r="G1663" s="913" t="s">
        <v>1438</v>
      </c>
      <c r="H1663" t="s">
        <v>4929</v>
      </c>
    </row>
    <row r="1664" spans="2:8">
      <c r="B1664" s="871">
        <v>46273</v>
      </c>
      <c r="C1664" t="s">
        <v>2477</v>
      </c>
      <c r="D1664" t="s">
        <v>1434</v>
      </c>
      <c r="E1664" t="s">
        <v>42</v>
      </c>
      <c r="F1664" s="853" t="s">
        <v>526</v>
      </c>
      <c r="G1664" s="913" t="s">
        <v>70</v>
      </c>
      <c r="H1664" t="s">
        <v>4930</v>
      </c>
    </row>
    <row r="1665" spans="2:8">
      <c r="B1665" s="871">
        <v>46273</v>
      </c>
      <c r="C1665" t="s">
        <v>2477</v>
      </c>
      <c r="D1665" t="s">
        <v>1434</v>
      </c>
      <c r="E1665" t="s">
        <v>42</v>
      </c>
      <c r="F1665" s="853" t="s">
        <v>527</v>
      </c>
      <c r="G1665" s="913" t="s">
        <v>70</v>
      </c>
      <c r="H1665" t="s">
        <v>4931</v>
      </c>
    </row>
    <row r="1666" spans="2:8">
      <c r="B1666" s="871">
        <v>46273</v>
      </c>
      <c r="C1666" t="s">
        <v>2477</v>
      </c>
      <c r="D1666" t="s">
        <v>1434</v>
      </c>
      <c r="E1666" t="s">
        <v>42</v>
      </c>
      <c r="F1666" s="853" t="s">
        <v>528</v>
      </c>
      <c r="G1666" s="913" t="s">
        <v>70</v>
      </c>
      <c r="H1666" t="s">
        <v>4932</v>
      </c>
    </row>
    <row r="1667" spans="2:8">
      <c r="B1667" s="871">
        <v>46273</v>
      </c>
      <c r="C1667" t="s">
        <v>2477</v>
      </c>
      <c r="D1667" t="s">
        <v>1410</v>
      </c>
      <c r="E1667" t="s">
        <v>3404</v>
      </c>
      <c r="F1667" s="853" t="s">
        <v>526</v>
      </c>
      <c r="G1667" s="913" t="s">
        <v>1585</v>
      </c>
      <c r="H1667" t="s">
        <v>4933</v>
      </c>
    </row>
    <row r="1668" spans="2:8">
      <c r="B1668" s="871">
        <v>46273</v>
      </c>
      <c r="C1668" t="s">
        <v>2477</v>
      </c>
      <c r="D1668" t="s">
        <v>1410</v>
      </c>
      <c r="E1668" t="s">
        <v>3404</v>
      </c>
      <c r="F1668" s="853" t="s">
        <v>527</v>
      </c>
      <c r="G1668" s="913" t="s">
        <v>1585</v>
      </c>
      <c r="H1668" t="s">
        <v>4934</v>
      </c>
    </row>
    <row r="1669" spans="2:8">
      <c r="B1669" s="871">
        <v>46273</v>
      </c>
      <c r="C1669" t="s">
        <v>2477</v>
      </c>
      <c r="D1669" t="s">
        <v>1410</v>
      </c>
      <c r="E1669" t="s">
        <v>3404</v>
      </c>
      <c r="F1669" s="853" t="s">
        <v>528</v>
      </c>
      <c r="G1669" s="913" t="s">
        <v>1585</v>
      </c>
      <c r="H1669" t="s">
        <v>4935</v>
      </c>
    </row>
    <row r="1670" spans="2:8">
      <c r="B1670" s="871">
        <v>46273</v>
      </c>
      <c r="C1670" t="s">
        <v>2477</v>
      </c>
      <c r="D1670" t="s">
        <v>1434</v>
      </c>
      <c r="E1670" t="s">
        <v>1439</v>
      </c>
      <c r="F1670" s="853" t="s">
        <v>526</v>
      </c>
      <c r="G1670" s="913" t="s">
        <v>9408</v>
      </c>
      <c r="H1670" t="s">
        <v>4936</v>
      </c>
    </row>
    <row r="1671" spans="2:8">
      <c r="B1671" s="871">
        <v>46273</v>
      </c>
      <c r="C1671" t="s">
        <v>2477</v>
      </c>
      <c r="D1671" t="s">
        <v>1434</v>
      </c>
      <c r="E1671" t="s">
        <v>1439</v>
      </c>
      <c r="F1671" s="853" t="s">
        <v>527</v>
      </c>
      <c r="G1671" s="913" t="s">
        <v>9408</v>
      </c>
      <c r="H1671" t="s">
        <v>4937</v>
      </c>
    </row>
    <row r="1672" spans="2:8">
      <c r="B1672" s="871">
        <v>46273</v>
      </c>
      <c r="C1672" t="s">
        <v>2477</v>
      </c>
      <c r="D1672" t="s">
        <v>1434</v>
      </c>
      <c r="E1672" t="s">
        <v>1439</v>
      </c>
      <c r="F1672" s="853" t="s">
        <v>528</v>
      </c>
      <c r="G1672" s="913" t="s">
        <v>9408</v>
      </c>
      <c r="H1672" t="s">
        <v>4938</v>
      </c>
    </row>
    <row r="1673" spans="2:8">
      <c r="B1673" s="871">
        <v>46273</v>
      </c>
      <c r="C1673" t="s">
        <v>2477</v>
      </c>
      <c r="D1673" t="s">
        <v>1410</v>
      </c>
      <c r="E1673" t="s">
        <v>3411</v>
      </c>
      <c r="F1673" s="853" t="s">
        <v>526</v>
      </c>
      <c r="G1673" s="913">
        <v>64</v>
      </c>
      <c r="H1673" t="s">
        <v>4939</v>
      </c>
    </row>
    <row r="1674" spans="2:8">
      <c r="B1674" s="871">
        <v>46273</v>
      </c>
      <c r="C1674" t="s">
        <v>2477</v>
      </c>
      <c r="D1674" t="s">
        <v>1410</v>
      </c>
      <c r="E1674" t="s">
        <v>3411</v>
      </c>
      <c r="F1674" s="853" t="s">
        <v>527</v>
      </c>
      <c r="G1674" s="913">
        <v>68</v>
      </c>
      <c r="H1674" t="s">
        <v>4940</v>
      </c>
    </row>
    <row r="1675" spans="2:8">
      <c r="B1675" s="871">
        <v>46273</v>
      </c>
      <c r="C1675" t="s">
        <v>2477</v>
      </c>
      <c r="D1675" t="s">
        <v>1410</v>
      </c>
      <c r="E1675" t="s">
        <v>3411</v>
      </c>
      <c r="F1675" s="853" t="s">
        <v>528</v>
      </c>
      <c r="G1675" s="913">
        <v>69</v>
      </c>
      <c r="H1675" t="s">
        <v>4941</v>
      </c>
    </row>
    <row r="1676" spans="2:8">
      <c r="B1676" s="871">
        <v>46273</v>
      </c>
      <c r="C1676" t="s">
        <v>2477</v>
      </c>
      <c r="D1676" t="s">
        <v>1434</v>
      </c>
      <c r="E1676" t="s">
        <v>43</v>
      </c>
      <c r="F1676" s="853" t="s">
        <v>526</v>
      </c>
      <c r="G1676" s="913" t="s">
        <v>9409</v>
      </c>
      <c r="H1676" t="s">
        <v>4942</v>
      </c>
    </row>
    <row r="1677" spans="2:8">
      <c r="B1677" s="871">
        <v>46273</v>
      </c>
      <c r="C1677" t="s">
        <v>2477</v>
      </c>
      <c r="D1677" t="s">
        <v>1434</v>
      </c>
      <c r="E1677" t="s">
        <v>43</v>
      </c>
      <c r="F1677" s="853" t="s">
        <v>527</v>
      </c>
      <c r="G1677" s="913" t="s">
        <v>9409</v>
      </c>
      <c r="H1677" t="s">
        <v>4943</v>
      </c>
    </row>
    <row r="1678" spans="2:8">
      <c r="B1678" s="871">
        <v>46273</v>
      </c>
      <c r="C1678" t="s">
        <v>2477</v>
      </c>
      <c r="D1678" t="s">
        <v>1434</v>
      </c>
      <c r="E1678" t="s">
        <v>43</v>
      </c>
      <c r="F1678" s="853" t="s">
        <v>528</v>
      </c>
      <c r="G1678" s="913" t="s">
        <v>9409</v>
      </c>
      <c r="H1678" t="s">
        <v>4944</v>
      </c>
    </row>
    <row r="1679" spans="2:8">
      <c r="B1679" s="871">
        <v>46273</v>
      </c>
      <c r="C1679" t="s">
        <v>2477</v>
      </c>
      <c r="D1679" t="s">
        <v>1410</v>
      </c>
      <c r="E1679" t="s">
        <v>3418</v>
      </c>
      <c r="F1679" s="853" t="s">
        <v>526</v>
      </c>
      <c r="G1679" s="913">
        <v>43</v>
      </c>
      <c r="H1679" t="s">
        <v>4945</v>
      </c>
    </row>
    <row r="1680" spans="2:8">
      <c r="B1680" s="871">
        <v>46273</v>
      </c>
      <c r="C1680" t="s">
        <v>2477</v>
      </c>
      <c r="D1680" t="s">
        <v>1410</v>
      </c>
      <c r="E1680" t="s">
        <v>3418</v>
      </c>
      <c r="F1680" s="853" t="s">
        <v>527</v>
      </c>
      <c r="G1680" s="913">
        <v>69</v>
      </c>
      <c r="H1680" t="s">
        <v>4946</v>
      </c>
    </row>
    <row r="1681" spans="2:8">
      <c r="B1681" s="871">
        <v>46273</v>
      </c>
      <c r="C1681" t="s">
        <v>2477</v>
      </c>
      <c r="D1681" t="s">
        <v>1410</v>
      </c>
      <c r="E1681" t="s">
        <v>3418</v>
      </c>
      <c r="F1681" s="853" t="s">
        <v>528</v>
      </c>
      <c r="G1681" s="913">
        <v>72</v>
      </c>
      <c r="H1681" t="s">
        <v>4947</v>
      </c>
    </row>
    <row r="1682" spans="2:8">
      <c r="B1682" s="871">
        <v>46273</v>
      </c>
      <c r="C1682" t="s">
        <v>2477</v>
      </c>
      <c r="D1682" t="s">
        <v>1434</v>
      </c>
      <c r="E1682" t="s">
        <v>1441</v>
      </c>
      <c r="F1682" s="853" t="s">
        <v>526</v>
      </c>
      <c r="G1682" s="913" t="s">
        <v>9411</v>
      </c>
      <c r="H1682" t="s">
        <v>4948</v>
      </c>
    </row>
    <row r="1683" spans="2:8">
      <c r="B1683" s="871">
        <v>46273</v>
      </c>
      <c r="C1683" t="s">
        <v>2477</v>
      </c>
      <c r="D1683" t="s">
        <v>1434</v>
      </c>
      <c r="E1683" t="s">
        <v>1441</v>
      </c>
      <c r="F1683" s="853" t="s">
        <v>527</v>
      </c>
      <c r="G1683" s="913" t="s">
        <v>9411</v>
      </c>
      <c r="H1683" t="s">
        <v>4949</v>
      </c>
    </row>
    <row r="1684" spans="2:8">
      <c r="B1684" s="871">
        <v>46273</v>
      </c>
      <c r="C1684" t="s">
        <v>2477</v>
      </c>
      <c r="D1684" t="s">
        <v>1434</v>
      </c>
      <c r="E1684" t="s">
        <v>1441</v>
      </c>
      <c r="F1684" s="853" t="s">
        <v>528</v>
      </c>
      <c r="G1684" s="913" t="s">
        <v>9411</v>
      </c>
      <c r="H1684" t="s">
        <v>4950</v>
      </c>
    </row>
    <row r="1685" spans="2:8">
      <c r="B1685" s="871">
        <v>46273</v>
      </c>
      <c r="C1685" t="s">
        <v>2477</v>
      </c>
      <c r="D1685" t="s">
        <v>1410</v>
      </c>
      <c r="E1685" t="s">
        <v>3425</v>
      </c>
      <c r="F1685" s="853" t="s">
        <v>526</v>
      </c>
      <c r="G1685" s="913" t="s">
        <v>1443</v>
      </c>
      <c r="H1685" t="s">
        <v>4951</v>
      </c>
    </row>
    <row r="1686" spans="2:8">
      <c r="B1686" s="871">
        <v>46273</v>
      </c>
      <c r="C1686" t="s">
        <v>2477</v>
      </c>
      <c r="D1686" t="s">
        <v>1410</v>
      </c>
      <c r="E1686" t="s">
        <v>3425</v>
      </c>
      <c r="F1686" s="853" t="s">
        <v>527</v>
      </c>
      <c r="G1686" s="913" t="s">
        <v>1443</v>
      </c>
      <c r="H1686" t="s">
        <v>4952</v>
      </c>
    </row>
    <row r="1687" spans="2:8">
      <c r="B1687" s="871">
        <v>46273</v>
      </c>
      <c r="C1687" t="s">
        <v>2477</v>
      </c>
      <c r="D1687" t="s">
        <v>1410</v>
      </c>
      <c r="E1687" t="s">
        <v>3425</v>
      </c>
      <c r="F1687" s="853" t="s">
        <v>528</v>
      </c>
      <c r="G1687" s="913" t="s">
        <v>1443</v>
      </c>
      <c r="H1687" t="s">
        <v>4953</v>
      </c>
    </row>
    <row r="1688" spans="2:8">
      <c r="B1688" s="871">
        <v>46273</v>
      </c>
      <c r="C1688" t="s">
        <v>2477</v>
      </c>
      <c r="D1688" t="s">
        <v>1434</v>
      </c>
      <c r="E1688" t="s">
        <v>1444</v>
      </c>
      <c r="F1688" s="853" t="s">
        <v>526</v>
      </c>
      <c r="H1688" t="s">
        <v>4954</v>
      </c>
    </row>
    <row r="1689" spans="2:8">
      <c r="B1689" s="871">
        <v>46273</v>
      </c>
      <c r="C1689" t="s">
        <v>2477</v>
      </c>
      <c r="D1689" t="s">
        <v>1434</v>
      </c>
      <c r="E1689" t="s">
        <v>1444</v>
      </c>
      <c r="F1689" s="853" t="s">
        <v>527</v>
      </c>
      <c r="H1689" t="s">
        <v>4955</v>
      </c>
    </row>
    <row r="1690" spans="2:8">
      <c r="B1690" s="871">
        <v>46273</v>
      </c>
      <c r="C1690" t="s">
        <v>2477</v>
      </c>
      <c r="D1690" t="s">
        <v>1434</v>
      </c>
      <c r="E1690" t="s">
        <v>1444</v>
      </c>
      <c r="F1690" s="853" t="s">
        <v>528</v>
      </c>
      <c r="H1690" t="s">
        <v>4956</v>
      </c>
    </row>
    <row r="1691" spans="2:8">
      <c r="B1691" s="871">
        <v>46273</v>
      </c>
      <c r="C1691" t="s">
        <v>2477</v>
      </c>
      <c r="D1691" t="s">
        <v>1434</v>
      </c>
      <c r="E1691" t="s">
        <v>1446</v>
      </c>
      <c r="F1691" s="853" t="s">
        <v>526</v>
      </c>
      <c r="G1691" s="913">
        <v>55000</v>
      </c>
      <c r="H1691" t="s">
        <v>4957</v>
      </c>
    </row>
    <row r="1692" spans="2:8">
      <c r="B1692" s="871">
        <v>46273</v>
      </c>
      <c r="C1692" t="s">
        <v>2477</v>
      </c>
      <c r="D1692" t="s">
        <v>1434</v>
      </c>
      <c r="E1692" t="s">
        <v>1446</v>
      </c>
      <c r="F1692" s="853" t="s">
        <v>527</v>
      </c>
      <c r="G1692" s="913">
        <v>70000</v>
      </c>
      <c r="H1692" t="s">
        <v>4958</v>
      </c>
    </row>
    <row r="1693" spans="2:8">
      <c r="B1693" s="871">
        <v>46273</v>
      </c>
      <c r="C1693" t="s">
        <v>2477</v>
      </c>
      <c r="D1693" t="s">
        <v>1434</v>
      </c>
      <c r="E1693" t="s">
        <v>1446</v>
      </c>
      <c r="F1693" s="853" t="s">
        <v>528</v>
      </c>
      <c r="G1693" s="913">
        <v>137000</v>
      </c>
      <c r="H1693" t="s">
        <v>4959</v>
      </c>
    </row>
    <row r="1694" spans="2:8">
      <c r="B1694" s="871">
        <v>46273</v>
      </c>
      <c r="C1694" t="s">
        <v>2477</v>
      </c>
      <c r="D1694" t="s">
        <v>1410</v>
      </c>
      <c r="E1694" t="s">
        <v>3435</v>
      </c>
      <c r="F1694" s="853" t="s">
        <v>526</v>
      </c>
      <c r="G1694" s="913" t="s">
        <v>1586</v>
      </c>
      <c r="H1694" t="s">
        <v>4960</v>
      </c>
    </row>
    <row r="1695" spans="2:8">
      <c r="B1695" s="871">
        <v>46273</v>
      </c>
      <c r="C1695" t="s">
        <v>2477</v>
      </c>
      <c r="D1695" t="s">
        <v>1410</v>
      </c>
      <c r="E1695" t="s">
        <v>3435</v>
      </c>
      <c r="F1695" s="853" t="s">
        <v>527</v>
      </c>
      <c r="G1695" s="913" t="s">
        <v>1586</v>
      </c>
      <c r="H1695" t="s">
        <v>4961</v>
      </c>
    </row>
    <row r="1696" spans="2:8">
      <c r="B1696" s="871">
        <v>46273</v>
      </c>
      <c r="C1696" t="s">
        <v>2477</v>
      </c>
      <c r="D1696" t="s">
        <v>1410</v>
      </c>
      <c r="E1696" t="s">
        <v>3435</v>
      </c>
      <c r="F1696" s="853" t="s">
        <v>528</v>
      </c>
      <c r="G1696" s="913" t="s">
        <v>1213</v>
      </c>
      <c r="H1696" t="s">
        <v>4962</v>
      </c>
    </row>
    <row r="1697" spans="2:8">
      <c r="B1697" s="871">
        <v>46273</v>
      </c>
      <c r="C1697" t="s">
        <v>2477</v>
      </c>
      <c r="D1697" t="s">
        <v>1434</v>
      </c>
      <c r="E1697" t="s">
        <v>3439</v>
      </c>
      <c r="F1697" s="853" t="s">
        <v>526</v>
      </c>
      <c r="H1697" t="s">
        <v>4963</v>
      </c>
    </row>
    <row r="1698" spans="2:8">
      <c r="B1698" s="871">
        <v>46273</v>
      </c>
      <c r="C1698" t="s">
        <v>2477</v>
      </c>
      <c r="D1698" t="s">
        <v>1434</v>
      </c>
      <c r="E1698" t="s">
        <v>3439</v>
      </c>
      <c r="F1698" s="853" t="s">
        <v>527</v>
      </c>
      <c r="H1698" t="s">
        <v>4964</v>
      </c>
    </row>
    <row r="1699" spans="2:8">
      <c r="B1699" s="871">
        <v>46273</v>
      </c>
      <c r="C1699" t="s">
        <v>2477</v>
      </c>
      <c r="D1699" t="s">
        <v>1434</v>
      </c>
      <c r="E1699" t="s">
        <v>3439</v>
      </c>
      <c r="F1699" s="853" t="s">
        <v>528</v>
      </c>
      <c r="H1699" t="s">
        <v>4965</v>
      </c>
    </row>
    <row r="1700" spans="2:8">
      <c r="B1700" s="871">
        <v>46273</v>
      </c>
      <c r="C1700" t="s">
        <v>2477</v>
      </c>
      <c r="D1700" t="s">
        <v>1410</v>
      </c>
      <c r="E1700" t="s">
        <v>3443</v>
      </c>
      <c r="F1700" s="853" t="s">
        <v>526</v>
      </c>
      <c r="H1700" t="s">
        <v>4966</v>
      </c>
    </row>
    <row r="1701" spans="2:8">
      <c r="B1701" s="871">
        <v>46273</v>
      </c>
      <c r="C1701" t="s">
        <v>2477</v>
      </c>
      <c r="D1701" t="s">
        <v>1410</v>
      </c>
      <c r="E1701" t="s">
        <v>3443</v>
      </c>
      <c r="F1701" s="853" t="s">
        <v>527</v>
      </c>
      <c r="H1701" t="s">
        <v>4967</v>
      </c>
    </row>
    <row r="1702" spans="2:8">
      <c r="B1702" s="871">
        <v>46273</v>
      </c>
      <c r="C1702" t="s">
        <v>2477</v>
      </c>
      <c r="D1702" t="s">
        <v>1410</v>
      </c>
      <c r="E1702" t="s">
        <v>3443</v>
      </c>
      <c r="F1702" s="853" t="s">
        <v>528</v>
      </c>
      <c r="G1702" s="913">
        <v>135</v>
      </c>
      <c r="H1702" t="s">
        <v>4968</v>
      </c>
    </row>
    <row r="1703" spans="2:8">
      <c r="B1703" s="871">
        <v>46273</v>
      </c>
      <c r="C1703" t="s">
        <v>2477</v>
      </c>
      <c r="D1703" t="s">
        <v>1434</v>
      </c>
      <c r="E1703" t="s">
        <v>3447</v>
      </c>
      <c r="F1703" s="853" t="s">
        <v>526</v>
      </c>
      <c r="H1703" t="s">
        <v>4969</v>
      </c>
    </row>
    <row r="1704" spans="2:8">
      <c r="B1704" s="871">
        <v>46273</v>
      </c>
      <c r="C1704" t="s">
        <v>2477</v>
      </c>
      <c r="D1704" t="s">
        <v>1434</v>
      </c>
      <c r="E1704" t="s">
        <v>3447</v>
      </c>
      <c r="F1704" s="853" t="s">
        <v>527</v>
      </c>
      <c r="H1704" t="s">
        <v>4970</v>
      </c>
    </row>
    <row r="1705" spans="2:8">
      <c r="B1705" s="871">
        <v>46273</v>
      </c>
      <c r="C1705" t="s">
        <v>2477</v>
      </c>
      <c r="D1705" t="s">
        <v>1434</v>
      </c>
      <c r="E1705" t="s">
        <v>3447</v>
      </c>
      <c r="F1705" s="853" t="s">
        <v>528</v>
      </c>
      <c r="H1705" t="s">
        <v>4971</v>
      </c>
    </row>
    <row r="1706" spans="2:8">
      <c r="B1706" s="871">
        <v>46273</v>
      </c>
      <c r="C1706" t="s">
        <v>2477</v>
      </c>
      <c r="D1706" t="s">
        <v>1410</v>
      </c>
      <c r="E1706" t="s">
        <v>3451</v>
      </c>
      <c r="F1706" s="853" t="s">
        <v>526</v>
      </c>
      <c r="H1706" t="s">
        <v>4972</v>
      </c>
    </row>
    <row r="1707" spans="2:8">
      <c r="B1707" s="871">
        <v>46273</v>
      </c>
      <c r="C1707" t="s">
        <v>2477</v>
      </c>
      <c r="D1707" t="s">
        <v>1410</v>
      </c>
      <c r="E1707" t="s">
        <v>3451</v>
      </c>
      <c r="F1707" s="853" t="s">
        <v>527</v>
      </c>
      <c r="H1707" t="s">
        <v>4973</v>
      </c>
    </row>
    <row r="1708" spans="2:8">
      <c r="B1708" s="871">
        <v>46273</v>
      </c>
      <c r="C1708" t="s">
        <v>2477</v>
      </c>
      <c r="D1708" t="s">
        <v>1410</v>
      </c>
      <c r="E1708" t="s">
        <v>3451</v>
      </c>
      <c r="F1708" s="853" t="s">
        <v>528</v>
      </c>
      <c r="G1708" s="913">
        <v>1307</v>
      </c>
      <c r="H1708" t="s">
        <v>4974</v>
      </c>
    </row>
    <row r="1709" spans="2:8">
      <c r="B1709" s="871">
        <v>46273</v>
      </c>
      <c r="C1709" t="s">
        <v>2477</v>
      </c>
      <c r="D1709" t="s">
        <v>1434</v>
      </c>
      <c r="E1709" t="s">
        <v>3455</v>
      </c>
      <c r="F1709" s="853" t="s">
        <v>526</v>
      </c>
      <c r="H1709" t="s">
        <v>4975</v>
      </c>
    </row>
    <row r="1710" spans="2:8">
      <c r="B1710" s="871">
        <v>46273</v>
      </c>
      <c r="C1710" t="s">
        <v>2477</v>
      </c>
      <c r="D1710" t="s">
        <v>1434</v>
      </c>
      <c r="E1710" t="s">
        <v>3455</v>
      </c>
      <c r="F1710" s="853" t="s">
        <v>527</v>
      </c>
      <c r="H1710" t="s">
        <v>4976</v>
      </c>
    </row>
    <row r="1711" spans="2:8">
      <c r="B1711" s="871">
        <v>46273</v>
      </c>
      <c r="C1711" t="s">
        <v>2477</v>
      </c>
      <c r="D1711" t="s">
        <v>1434</v>
      </c>
      <c r="E1711" t="s">
        <v>3455</v>
      </c>
      <c r="F1711" s="853" t="s">
        <v>528</v>
      </c>
      <c r="G1711" s="913" t="s">
        <v>1702</v>
      </c>
      <c r="H1711" t="s">
        <v>4977</v>
      </c>
    </row>
    <row r="1712" spans="2:8">
      <c r="B1712" s="871">
        <v>46273</v>
      </c>
      <c r="C1712" t="s">
        <v>2477</v>
      </c>
      <c r="D1712" t="s">
        <v>1410</v>
      </c>
      <c r="E1712" t="s">
        <v>3459</v>
      </c>
      <c r="F1712" s="853" t="s">
        <v>526</v>
      </c>
      <c r="G1712" s="913">
        <v>28</v>
      </c>
      <c r="H1712" t="s">
        <v>4978</v>
      </c>
    </row>
    <row r="1713" spans="2:8">
      <c r="B1713" s="871">
        <v>46273</v>
      </c>
      <c r="C1713" t="s">
        <v>2477</v>
      </c>
      <c r="D1713" t="s">
        <v>1410</v>
      </c>
      <c r="E1713" t="s">
        <v>3459</v>
      </c>
      <c r="F1713" s="853" t="s">
        <v>527</v>
      </c>
      <c r="G1713" s="913">
        <v>27</v>
      </c>
      <c r="H1713" t="s">
        <v>4979</v>
      </c>
    </row>
    <row r="1714" spans="2:8">
      <c r="B1714" s="871">
        <v>46273</v>
      </c>
      <c r="C1714" t="s">
        <v>2477</v>
      </c>
      <c r="D1714" t="s">
        <v>1410</v>
      </c>
      <c r="E1714" t="s">
        <v>3459</v>
      </c>
      <c r="F1714" s="853" t="s">
        <v>528</v>
      </c>
      <c r="G1714" s="913">
        <v>29</v>
      </c>
      <c r="H1714" t="s">
        <v>4980</v>
      </c>
    </row>
    <row r="1715" spans="2:8">
      <c r="B1715" s="871">
        <v>46273</v>
      </c>
      <c r="C1715" t="s">
        <v>2477</v>
      </c>
      <c r="D1715" t="s">
        <v>1434</v>
      </c>
      <c r="E1715" t="s">
        <v>3463</v>
      </c>
      <c r="F1715" s="853" t="s">
        <v>526</v>
      </c>
      <c r="H1715" t="s">
        <v>4981</v>
      </c>
    </row>
    <row r="1716" spans="2:8">
      <c r="B1716" s="871">
        <v>46273</v>
      </c>
      <c r="C1716" t="s">
        <v>2477</v>
      </c>
      <c r="D1716" t="s">
        <v>1434</v>
      </c>
      <c r="E1716" t="s">
        <v>3463</v>
      </c>
      <c r="F1716" s="853" t="s">
        <v>527</v>
      </c>
      <c r="H1716" t="s">
        <v>4982</v>
      </c>
    </row>
    <row r="1717" spans="2:8">
      <c r="B1717" s="871">
        <v>46273</v>
      </c>
      <c r="C1717" t="s">
        <v>2477</v>
      </c>
      <c r="D1717" t="s">
        <v>1434</v>
      </c>
      <c r="E1717" t="s">
        <v>3463</v>
      </c>
      <c r="F1717" s="853" t="s">
        <v>528</v>
      </c>
      <c r="H1717" t="s">
        <v>4983</v>
      </c>
    </row>
    <row r="1718" spans="2:8">
      <c r="B1718" s="871">
        <v>46273</v>
      </c>
      <c r="C1718" t="s">
        <v>2477</v>
      </c>
      <c r="D1718" t="s">
        <v>1410</v>
      </c>
      <c r="E1718" t="s">
        <v>3467</v>
      </c>
      <c r="F1718" s="853" t="s">
        <v>526</v>
      </c>
      <c r="G1718" s="913">
        <v>28</v>
      </c>
      <c r="H1718" t="s">
        <v>4984</v>
      </c>
    </row>
    <row r="1719" spans="2:8">
      <c r="B1719" s="871">
        <v>46273</v>
      </c>
      <c r="C1719" t="s">
        <v>2477</v>
      </c>
      <c r="D1719" t="s">
        <v>1410</v>
      </c>
      <c r="E1719" t="s">
        <v>3467</v>
      </c>
      <c r="F1719" s="853" t="s">
        <v>527</v>
      </c>
      <c r="G1719" s="913">
        <v>27</v>
      </c>
      <c r="H1719" t="s">
        <v>4985</v>
      </c>
    </row>
    <row r="1720" spans="2:8">
      <c r="B1720" s="871">
        <v>46273</v>
      </c>
      <c r="C1720" t="s">
        <v>2477</v>
      </c>
      <c r="D1720" t="s">
        <v>1410</v>
      </c>
      <c r="E1720" t="s">
        <v>3467</v>
      </c>
      <c r="F1720" s="853" t="s">
        <v>528</v>
      </c>
      <c r="H1720" t="s">
        <v>4986</v>
      </c>
    </row>
    <row r="1721" spans="2:8">
      <c r="B1721" s="871">
        <v>46273</v>
      </c>
      <c r="C1721" t="s">
        <v>2477</v>
      </c>
      <c r="D1721" t="s">
        <v>1434</v>
      </c>
      <c r="E1721" t="s">
        <v>3471</v>
      </c>
      <c r="F1721" s="853" t="s">
        <v>526</v>
      </c>
      <c r="H1721" t="s">
        <v>4987</v>
      </c>
    </row>
    <row r="1722" spans="2:8">
      <c r="B1722" s="871">
        <v>46273</v>
      </c>
      <c r="C1722" t="s">
        <v>2477</v>
      </c>
      <c r="D1722" t="s">
        <v>1434</v>
      </c>
      <c r="E1722" t="s">
        <v>3471</v>
      </c>
      <c r="F1722" s="853" t="s">
        <v>527</v>
      </c>
      <c r="H1722" t="s">
        <v>4988</v>
      </c>
    </row>
    <row r="1723" spans="2:8">
      <c r="B1723" s="871">
        <v>46273</v>
      </c>
      <c r="C1723" t="s">
        <v>2477</v>
      </c>
      <c r="D1723" t="s">
        <v>1434</v>
      </c>
      <c r="E1723" t="s">
        <v>3471</v>
      </c>
      <c r="F1723" s="853" t="s">
        <v>528</v>
      </c>
      <c r="H1723" t="s">
        <v>4989</v>
      </c>
    </row>
    <row r="1724" spans="2:8">
      <c r="B1724" s="871">
        <v>46273</v>
      </c>
      <c r="C1724" t="s">
        <v>2477</v>
      </c>
      <c r="D1724" t="s">
        <v>1410</v>
      </c>
      <c r="E1724" t="s">
        <v>3475</v>
      </c>
      <c r="F1724" s="853" t="s">
        <v>526</v>
      </c>
      <c r="G1724" s="913">
        <v>19</v>
      </c>
      <c r="H1724" t="s">
        <v>4990</v>
      </c>
    </row>
    <row r="1725" spans="2:8">
      <c r="B1725" s="871">
        <v>46273</v>
      </c>
      <c r="C1725" t="s">
        <v>2477</v>
      </c>
      <c r="D1725" t="s">
        <v>1410</v>
      </c>
      <c r="E1725" t="s">
        <v>3475</v>
      </c>
      <c r="F1725" s="853" t="s">
        <v>527</v>
      </c>
      <c r="G1725" s="913">
        <v>18</v>
      </c>
      <c r="H1725" t="s">
        <v>4991</v>
      </c>
    </row>
    <row r="1726" spans="2:8">
      <c r="B1726" s="871">
        <v>46273</v>
      </c>
      <c r="C1726" t="s">
        <v>2477</v>
      </c>
      <c r="D1726" t="s">
        <v>1410</v>
      </c>
      <c r="E1726" t="s">
        <v>3475</v>
      </c>
      <c r="F1726" s="853" t="s">
        <v>528</v>
      </c>
      <c r="G1726" s="913">
        <v>17</v>
      </c>
      <c r="H1726" t="s">
        <v>4992</v>
      </c>
    </row>
    <row r="1727" spans="2:8">
      <c r="B1727" s="871">
        <v>46273</v>
      </c>
      <c r="C1727" t="s">
        <v>2477</v>
      </c>
      <c r="D1727" t="s">
        <v>1434</v>
      </c>
      <c r="E1727" t="s">
        <v>3479</v>
      </c>
      <c r="F1727" s="853" t="s">
        <v>526</v>
      </c>
      <c r="H1727" t="s">
        <v>4993</v>
      </c>
    </row>
    <row r="1728" spans="2:8">
      <c r="B1728" s="871">
        <v>46273</v>
      </c>
      <c r="C1728" t="s">
        <v>2477</v>
      </c>
      <c r="D1728" t="s">
        <v>1434</v>
      </c>
      <c r="E1728" t="s">
        <v>3479</v>
      </c>
      <c r="F1728" s="853" t="s">
        <v>527</v>
      </c>
      <c r="H1728" t="s">
        <v>4994</v>
      </c>
    </row>
    <row r="1729" spans="2:8">
      <c r="B1729" s="871">
        <v>46273</v>
      </c>
      <c r="C1729" t="s">
        <v>2477</v>
      </c>
      <c r="D1729" t="s">
        <v>1434</v>
      </c>
      <c r="E1729" t="s">
        <v>3479</v>
      </c>
      <c r="F1729" s="853" t="s">
        <v>528</v>
      </c>
      <c r="G1729" s="913">
        <v>134500</v>
      </c>
      <c r="H1729" t="s">
        <v>4995</v>
      </c>
    </row>
    <row r="1730" spans="2:8">
      <c r="B1730" s="871">
        <v>46273</v>
      </c>
      <c r="C1730" t="s">
        <v>2477</v>
      </c>
      <c r="D1730" t="s">
        <v>1410</v>
      </c>
      <c r="E1730" t="s">
        <v>3483</v>
      </c>
      <c r="F1730" s="853" t="s">
        <v>526</v>
      </c>
      <c r="G1730" s="913">
        <v>5</v>
      </c>
      <c r="H1730" t="s">
        <v>4996</v>
      </c>
    </row>
    <row r="1731" spans="2:8">
      <c r="B1731" s="871">
        <v>46273</v>
      </c>
      <c r="C1731" t="s">
        <v>2477</v>
      </c>
      <c r="D1731" t="s">
        <v>1410</v>
      </c>
      <c r="E1731" t="s">
        <v>3483</v>
      </c>
      <c r="F1731" s="853" t="s">
        <v>527</v>
      </c>
      <c r="G1731" s="913">
        <v>5</v>
      </c>
      <c r="H1731" t="s">
        <v>4997</v>
      </c>
    </row>
    <row r="1732" spans="2:8">
      <c r="B1732" s="871">
        <v>46273</v>
      </c>
      <c r="C1732" t="s">
        <v>2477</v>
      </c>
      <c r="D1732" t="s">
        <v>1410</v>
      </c>
      <c r="E1732" t="s">
        <v>3483</v>
      </c>
      <c r="F1732" s="853" t="s">
        <v>528</v>
      </c>
      <c r="G1732" s="913">
        <v>5</v>
      </c>
      <c r="H1732" t="s">
        <v>4998</v>
      </c>
    </row>
    <row r="1733" spans="2:8">
      <c r="B1733" s="871">
        <v>46274</v>
      </c>
      <c r="C1733" t="s">
        <v>2478</v>
      </c>
      <c r="D1733" t="s">
        <v>1375</v>
      </c>
      <c r="E1733" t="s">
        <v>1377</v>
      </c>
      <c r="F1733" s="853" t="s">
        <v>526</v>
      </c>
      <c r="G1733" s="913" t="s">
        <v>1622</v>
      </c>
      <c r="H1733" t="s">
        <v>4999</v>
      </c>
    </row>
    <row r="1734" spans="2:8">
      <c r="B1734" s="871">
        <v>46274</v>
      </c>
      <c r="C1734" t="s">
        <v>2478</v>
      </c>
      <c r="D1734" t="s">
        <v>1375</v>
      </c>
      <c r="E1734" t="s">
        <v>1377</v>
      </c>
      <c r="F1734" s="853" t="s">
        <v>527</v>
      </c>
      <c r="G1734" s="913" t="s">
        <v>1622</v>
      </c>
      <c r="H1734" t="s">
        <v>5000</v>
      </c>
    </row>
    <row r="1735" spans="2:8">
      <c r="B1735" s="871">
        <v>46274</v>
      </c>
      <c r="C1735" t="s">
        <v>2478</v>
      </c>
      <c r="D1735" t="s">
        <v>1375</v>
      </c>
      <c r="E1735" t="s">
        <v>1377</v>
      </c>
      <c r="F1735" s="853" t="s">
        <v>528</v>
      </c>
      <c r="G1735" s="913" t="s">
        <v>1778</v>
      </c>
      <c r="H1735" t="s">
        <v>5001</v>
      </c>
    </row>
    <row r="1736" spans="2:8">
      <c r="B1736" s="871">
        <v>46274</v>
      </c>
      <c r="C1736" t="s">
        <v>2478</v>
      </c>
      <c r="D1736" t="s">
        <v>1376</v>
      </c>
      <c r="E1736" t="s">
        <v>1379</v>
      </c>
      <c r="F1736" s="853" t="s">
        <v>526</v>
      </c>
      <c r="H1736" t="s">
        <v>5002</v>
      </c>
    </row>
    <row r="1737" spans="2:8">
      <c r="B1737" s="871">
        <v>46274</v>
      </c>
      <c r="C1737" t="s">
        <v>2478</v>
      </c>
      <c r="D1737" t="s">
        <v>1376</v>
      </c>
      <c r="E1737" t="s">
        <v>1379</v>
      </c>
      <c r="F1737" s="853" t="s">
        <v>527</v>
      </c>
      <c r="H1737" t="s">
        <v>5003</v>
      </c>
    </row>
    <row r="1738" spans="2:8">
      <c r="B1738" s="871">
        <v>46274</v>
      </c>
      <c r="C1738" t="s">
        <v>2478</v>
      </c>
      <c r="D1738" t="s">
        <v>1376</v>
      </c>
      <c r="E1738" t="s">
        <v>1379</v>
      </c>
      <c r="F1738" s="853" t="s">
        <v>528</v>
      </c>
      <c r="H1738" t="s">
        <v>5004</v>
      </c>
    </row>
    <row r="1739" spans="2:8">
      <c r="B1739" s="871">
        <v>46274</v>
      </c>
      <c r="C1739" t="s">
        <v>2478</v>
      </c>
      <c r="D1739" t="s">
        <v>1375</v>
      </c>
      <c r="E1739" t="s">
        <v>1380</v>
      </c>
      <c r="F1739" s="853" t="s">
        <v>526</v>
      </c>
      <c r="G1739" s="913" t="s">
        <v>1739</v>
      </c>
      <c r="H1739" t="s">
        <v>5005</v>
      </c>
    </row>
    <row r="1740" spans="2:8">
      <c r="B1740" s="871">
        <v>46274</v>
      </c>
      <c r="C1740" t="s">
        <v>2478</v>
      </c>
      <c r="D1740" t="s">
        <v>1375</v>
      </c>
      <c r="E1740" t="s">
        <v>1380</v>
      </c>
      <c r="F1740" s="853" t="s">
        <v>527</v>
      </c>
      <c r="G1740" s="913" t="s">
        <v>1779</v>
      </c>
      <c r="H1740" t="s">
        <v>5006</v>
      </c>
    </row>
    <row r="1741" spans="2:8">
      <c r="B1741" s="871">
        <v>46274</v>
      </c>
      <c r="C1741" t="s">
        <v>2478</v>
      </c>
      <c r="D1741" t="s">
        <v>1375</v>
      </c>
      <c r="E1741" t="s">
        <v>1380</v>
      </c>
      <c r="F1741" s="853" t="s">
        <v>528</v>
      </c>
      <c r="G1741" s="913" t="s">
        <v>1780</v>
      </c>
      <c r="H1741" t="s">
        <v>5007</v>
      </c>
    </row>
    <row r="1742" spans="2:8">
      <c r="B1742" s="871">
        <v>46274</v>
      </c>
      <c r="C1742" t="s">
        <v>2478</v>
      </c>
      <c r="D1742" t="s">
        <v>1376</v>
      </c>
      <c r="E1742" t="s">
        <v>1383</v>
      </c>
      <c r="F1742" s="853" t="s">
        <v>526</v>
      </c>
      <c r="G1742" s="913">
        <v>0</v>
      </c>
      <c r="H1742" t="s">
        <v>5008</v>
      </c>
    </row>
    <row r="1743" spans="2:8">
      <c r="B1743" s="871">
        <v>46274</v>
      </c>
      <c r="C1743" t="s">
        <v>2478</v>
      </c>
      <c r="D1743" t="s">
        <v>1376</v>
      </c>
      <c r="E1743" t="s">
        <v>1383</v>
      </c>
      <c r="F1743" s="853" t="s">
        <v>527</v>
      </c>
      <c r="G1743" s="913">
        <v>0</v>
      </c>
      <c r="H1743" t="s">
        <v>5009</v>
      </c>
    </row>
    <row r="1744" spans="2:8">
      <c r="B1744" s="871">
        <v>46274</v>
      </c>
      <c r="C1744" t="s">
        <v>2478</v>
      </c>
      <c r="D1744" t="s">
        <v>1376</v>
      </c>
      <c r="E1744" t="s">
        <v>1383</v>
      </c>
      <c r="F1744" s="853" t="s">
        <v>528</v>
      </c>
      <c r="G1744" s="913">
        <v>0</v>
      </c>
      <c r="H1744" t="s">
        <v>5010</v>
      </c>
    </row>
    <row r="1745" spans="2:8">
      <c r="B1745" s="871">
        <v>46274</v>
      </c>
      <c r="C1745" t="s">
        <v>2478</v>
      </c>
      <c r="D1745" t="s">
        <v>1375</v>
      </c>
      <c r="E1745" t="s">
        <v>54</v>
      </c>
      <c r="F1745" s="853" t="s">
        <v>526</v>
      </c>
      <c r="H1745" t="s">
        <v>5011</v>
      </c>
    </row>
    <row r="1746" spans="2:8">
      <c r="B1746" s="871">
        <v>46274</v>
      </c>
      <c r="C1746" t="s">
        <v>2478</v>
      </c>
      <c r="D1746" t="s">
        <v>1375</v>
      </c>
      <c r="E1746" t="s">
        <v>54</v>
      </c>
      <c r="F1746" s="853" t="s">
        <v>527</v>
      </c>
      <c r="H1746" t="s">
        <v>5012</v>
      </c>
    </row>
    <row r="1747" spans="2:8">
      <c r="B1747" s="871">
        <v>46274</v>
      </c>
      <c r="C1747" t="s">
        <v>2478</v>
      </c>
      <c r="D1747" t="s">
        <v>1375</v>
      </c>
      <c r="E1747" t="s">
        <v>54</v>
      </c>
      <c r="F1747" s="853" t="s">
        <v>528</v>
      </c>
      <c r="H1747" t="s">
        <v>5013</v>
      </c>
    </row>
    <row r="1748" spans="2:8">
      <c r="B1748" s="871">
        <v>46274</v>
      </c>
      <c r="C1748" t="s">
        <v>2478</v>
      </c>
      <c r="D1748" t="s">
        <v>1376</v>
      </c>
      <c r="E1748" t="s">
        <v>1384</v>
      </c>
      <c r="F1748" s="853" t="s">
        <v>526</v>
      </c>
      <c r="G1748" s="913">
        <v>0.4</v>
      </c>
      <c r="H1748" t="s">
        <v>5014</v>
      </c>
    </row>
    <row r="1749" spans="2:8">
      <c r="B1749" s="871">
        <v>46274</v>
      </c>
      <c r="C1749" t="s">
        <v>2478</v>
      </c>
      <c r="D1749" t="s">
        <v>1376</v>
      </c>
      <c r="E1749" t="s">
        <v>1384</v>
      </c>
      <c r="F1749" s="853" t="s">
        <v>527</v>
      </c>
      <c r="G1749" s="913">
        <v>0.48</v>
      </c>
      <c r="H1749" t="s">
        <v>5015</v>
      </c>
    </row>
    <row r="1750" spans="2:8">
      <c r="B1750" s="871">
        <v>46274</v>
      </c>
      <c r="C1750" t="s">
        <v>2478</v>
      </c>
      <c r="D1750" t="s">
        <v>1376</v>
      </c>
      <c r="E1750" t="s">
        <v>1384</v>
      </c>
      <c r="F1750" s="853" t="s">
        <v>528</v>
      </c>
      <c r="G1750" s="913">
        <v>0.54</v>
      </c>
      <c r="H1750" t="s">
        <v>5016</v>
      </c>
    </row>
    <row r="1751" spans="2:8">
      <c r="B1751" s="871">
        <v>46274</v>
      </c>
      <c r="C1751" t="s">
        <v>2478</v>
      </c>
      <c r="D1751" t="s">
        <v>1375</v>
      </c>
      <c r="E1751" t="s">
        <v>1385</v>
      </c>
      <c r="F1751" s="853" t="s">
        <v>526</v>
      </c>
      <c r="G1751" s="913">
        <v>520</v>
      </c>
      <c r="H1751" t="s">
        <v>5017</v>
      </c>
    </row>
    <row r="1752" spans="2:8">
      <c r="B1752" s="871">
        <v>46274</v>
      </c>
      <c r="C1752" t="s">
        <v>2478</v>
      </c>
      <c r="D1752" t="s">
        <v>1375</v>
      </c>
      <c r="E1752" t="s">
        <v>1385</v>
      </c>
      <c r="F1752" s="853" t="s">
        <v>527</v>
      </c>
      <c r="G1752" s="913">
        <v>644</v>
      </c>
      <c r="H1752" t="s">
        <v>5018</v>
      </c>
    </row>
    <row r="1753" spans="2:8">
      <c r="B1753" s="871">
        <v>46274</v>
      </c>
      <c r="C1753" t="s">
        <v>2478</v>
      </c>
      <c r="D1753" t="s">
        <v>1375</v>
      </c>
      <c r="E1753" t="s">
        <v>1385</v>
      </c>
      <c r="F1753" s="853" t="s">
        <v>528</v>
      </c>
      <c r="G1753" s="913">
        <v>3119</v>
      </c>
      <c r="H1753" t="s">
        <v>5019</v>
      </c>
    </row>
    <row r="1754" spans="2:8">
      <c r="B1754" s="871">
        <v>46274</v>
      </c>
      <c r="C1754" t="s">
        <v>2478</v>
      </c>
      <c r="D1754" t="s">
        <v>1376</v>
      </c>
      <c r="E1754" t="s">
        <v>1386</v>
      </c>
      <c r="F1754" s="853" t="s">
        <v>526</v>
      </c>
      <c r="G1754" s="913">
        <v>0.5</v>
      </c>
      <c r="H1754" t="s">
        <v>5020</v>
      </c>
    </row>
    <row r="1755" spans="2:8">
      <c r="B1755" s="871">
        <v>46274</v>
      </c>
      <c r="C1755" t="s">
        <v>2478</v>
      </c>
      <c r="D1755" t="s">
        <v>1376</v>
      </c>
      <c r="E1755" t="s">
        <v>1386</v>
      </c>
      <c r="F1755" s="853" t="s">
        <v>527</v>
      </c>
      <c r="G1755" s="913">
        <v>0.42</v>
      </c>
      <c r="H1755" t="s">
        <v>5021</v>
      </c>
    </row>
    <row r="1756" spans="2:8">
      <c r="B1756" s="871">
        <v>46274</v>
      </c>
      <c r="C1756" t="s">
        <v>2478</v>
      </c>
      <c r="D1756" t="s">
        <v>1376</v>
      </c>
      <c r="E1756" t="s">
        <v>1386</v>
      </c>
      <c r="F1756" s="853" t="s">
        <v>528</v>
      </c>
      <c r="G1756" s="913">
        <v>0.48</v>
      </c>
      <c r="H1756" t="s">
        <v>5022</v>
      </c>
    </row>
    <row r="1757" spans="2:8">
      <c r="B1757" s="871">
        <v>46274</v>
      </c>
      <c r="C1757" t="s">
        <v>2478</v>
      </c>
      <c r="D1757" t="s">
        <v>1376</v>
      </c>
      <c r="E1757" t="s">
        <v>1387</v>
      </c>
      <c r="F1757" s="853" t="s">
        <v>526</v>
      </c>
      <c r="G1757" s="913">
        <v>8.1999999999999993</v>
      </c>
      <c r="H1757" t="s">
        <v>5023</v>
      </c>
    </row>
    <row r="1758" spans="2:8">
      <c r="B1758" s="871">
        <v>46274</v>
      </c>
      <c r="C1758" t="s">
        <v>2478</v>
      </c>
      <c r="D1758" t="s">
        <v>1376</v>
      </c>
      <c r="E1758" t="s">
        <v>1387</v>
      </c>
      <c r="F1758" s="853" t="s">
        <v>527</v>
      </c>
      <c r="G1758" s="913">
        <v>8.3000000000000007</v>
      </c>
      <c r="H1758" t="s">
        <v>5024</v>
      </c>
    </row>
    <row r="1759" spans="2:8">
      <c r="B1759" s="871">
        <v>46274</v>
      </c>
      <c r="C1759" t="s">
        <v>2478</v>
      </c>
      <c r="D1759" t="s">
        <v>1376</v>
      </c>
      <c r="E1759" t="s">
        <v>1387</v>
      </c>
      <c r="F1759" s="853" t="s">
        <v>528</v>
      </c>
      <c r="G1759" s="913">
        <v>8.4</v>
      </c>
      <c r="H1759" t="s">
        <v>5025</v>
      </c>
    </row>
    <row r="1760" spans="2:8">
      <c r="B1760" s="871">
        <v>46274</v>
      </c>
      <c r="C1760" t="s">
        <v>2478</v>
      </c>
      <c r="D1760" t="s">
        <v>1375</v>
      </c>
      <c r="E1760" t="s">
        <v>1388</v>
      </c>
      <c r="F1760" s="853" t="s">
        <v>526</v>
      </c>
      <c r="H1760" t="s">
        <v>5026</v>
      </c>
    </row>
    <row r="1761" spans="2:8">
      <c r="B1761" s="871">
        <v>46274</v>
      </c>
      <c r="C1761" t="s">
        <v>2478</v>
      </c>
      <c r="D1761" t="s">
        <v>1375</v>
      </c>
      <c r="E1761" t="s">
        <v>1388</v>
      </c>
      <c r="F1761" s="853" t="s">
        <v>527</v>
      </c>
      <c r="H1761" t="s">
        <v>5027</v>
      </c>
    </row>
    <row r="1762" spans="2:8">
      <c r="B1762" s="871">
        <v>46274</v>
      </c>
      <c r="C1762" t="s">
        <v>2478</v>
      </c>
      <c r="D1762" t="s">
        <v>1375</v>
      </c>
      <c r="E1762" t="s">
        <v>1388</v>
      </c>
      <c r="F1762" s="853" t="s">
        <v>528</v>
      </c>
      <c r="H1762" t="s">
        <v>5028</v>
      </c>
    </row>
    <row r="1763" spans="2:8">
      <c r="B1763" s="871">
        <v>46274</v>
      </c>
      <c r="C1763" t="s">
        <v>2478</v>
      </c>
      <c r="D1763" t="s">
        <v>1376</v>
      </c>
      <c r="E1763" t="s">
        <v>1389</v>
      </c>
      <c r="F1763" s="853" t="s">
        <v>526</v>
      </c>
      <c r="G1763" s="913">
        <v>63.5</v>
      </c>
      <c r="H1763" t="s">
        <v>5029</v>
      </c>
    </row>
    <row r="1764" spans="2:8">
      <c r="B1764" s="871">
        <v>46274</v>
      </c>
      <c r="C1764" t="s">
        <v>2478</v>
      </c>
      <c r="D1764" t="s">
        <v>1376</v>
      </c>
      <c r="E1764" t="s">
        <v>1389</v>
      </c>
      <c r="F1764" s="853" t="s">
        <v>527</v>
      </c>
      <c r="G1764" s="913">
        <v>65.5</v>
      </c>
      <c r="H1764" t="s">
        <v>5030</v>
      </c>
    </row>
    <row r="1765" spans="2:8">
      <c r="B1765" s="871">
        <v>46274</v>
      </c>
      <c r="C1765" t="s">
        <v>2478</v>
      </c>
      <c r="D1765" t="s">
        <v>1376</v>
      </c>
      <c r="E1765" t="s">
        <v>1389</v>
      </c>
      <c r="F1765" s="853" t="s">
        <v>528</v>
      </c>
      <c r="G1765" s="913">
        <v>60</v>
      </c>
      <c r="H1765" t="s">
        <v>5031</v>
      </c>
    </row>
    <row r="1766" spans="2:8">
      <c r="B1766" s="871">
        <v>46274</v>
      </c>
      <c r="C1766" t="s">
        <v>2478</v>
      </c>
      <c r="D1766" t="s">
        <v>1375</v>
      </c>
      <c r="E1766" t="s">
        <v>3266</v>
      </c>
      <c r="F1766" s="853" t="s">
        <v>526</v>
      </c>
      <c r="G1766" s="913">
        <v>3</v>
      </c>
      <c r="H1766" t="s">
        <v>5032</v>
      </c>
    </row>
    <row r="1767" spans="2:8">
      <c r="B1767" s="871">
        <v>46274</v>
      </c>
      <c r="C1767" t="s">
        <v>2478</v>
      </c>
      <c r="D1767" t="s">
        <v>1375</v>
      </c>
      <c r="E1767" t="s">
        <v>3266</v>
      </c>
      <c r="F1767" s="853" t="s">
        <v>527</v>
      </c>
      <c r="G1767" s="913">
        <v>4</v>
      </c>
      <c r="H1767" t="s">
        <v>5033</v>
      </c>
    </row>
    <row r="1768" spans="2:8">
      <c r="B1768" s="871">
        <v>46274</v>
      </c>
      <c r="C1768" t="s">
        <v>2478</v>
      </c>
      <c r="D1768" t="s">
        <v>1375</v>
      </c>
      <c r="E1768" t="s">
        <v>3266</v>
      </c>
      <c r="F1768" s="853" t="s">
        <v>528</v>
      </c>
      <c r="G1768" s="913">
        <v>3</v>
      </c>
      <c r="H1768" t="s">
        <v>5034</v>
      </c>
    </row>
    <row r="1769" spans="2:8">
      <c r="B1769" s="871">
        <v>46274</v>
      </c>
      <c r="C1769" t="s">
        <v>2478</v>
      </c>
      <c r="D1769" t="s">
        <v>1376</v>
      </c>
      <c r="E1769" t="s">
        <v>1390</v>
      </c>
      <c r="F1769" s="853" t="s">
        <v>526</v>
      </c>
      <c r="G1769" s="913">
        <v>1.82E-3</v>
      </c>
      <c r="H1769" t="s">
        <v>5035</v>
      </c>
    </row>
    <row r="1770" spans="2:8">
      <c r="B1770" s="871">
        <v>46274</v>
      </c>
      <c r="C1770" t="s">
        <v>2478</v>
      </c>
      <c r="D1770" t="s">
        <v>1376</v>
      </c>
      <c r="E1770" t="s">
        <v>1390</v>
      </c>
      <c r="F1770" s="853" t="s">
        <v>527</v>
      </c>
      <c r="G1770" s="913">
        <v>1.6000000000000001E-3</v>
      </c>
      <c r="H1770" t="s">
        <v>5036</v>
      </c>
    </row>
    <row r="1771" spans="2:8">
      <c r="B1771" s="871">
        <v>46274</v>
      </c>
      <c r="C1771" t="s">
        <v>2478</v>
      </c>
      <c r="D1771" t="s">
        <v>1376</v>
      </c>
      <c r="E1771" t="s">
        <v>1390</v>
      </c>
      <c r="F1771" s="853" t="s">
        <v>528</v>
      </c>
      <c r="G1771" s="913">
        <v>1.41E-3</v>
      </c>
      <c r="H1771" t="s">
        <v>5037</v>
      </c>
    </row>
    <row r="1772" spans="2:8">
      <c r="B1772" s="871">
        <v>46274</v>
      </c>
      <c r="C1772" t="s">
        <v>2478</v>
      </c>
      <c r="D1772" t="s">
        <v>1375</v>
      </c>
      <c r="E1772" t="s">
        <v>3273</v>
      </c>
      <c r="F1772" s="853" t="s">
        <v>526</v>
      </c>
      <c r="G1772" s="913">
        <v>2</v>
      </c>
      <c r="H1772" t="s">
        <v>5038</v>
      </c>
    </row>
    <row r="1773" spans="2:8">
      <c r="B1773" s="871">
        <v>46274</v>
      </c>
      <c r="C1773" t="s">
        <v>2478</v>
      </c>
      <c r="D1773" t="s">
        <v>1375</v>
      </c>
      <c r="E1773" t="s">
        <v>3273</v>
      </c>
      <c r="F1773" s="853" t="s">
        <v>527</v>
      </c>
      <c r="G1773" s="913">
        <v>3</v>
      </c>
      <c r="H1773" t="s">
        <v>5039</v>
      </c>
    </row>
    <row r="1774" spans="2:8">
      <c r="B1774" s="871">
        <v>46274</v>
      </c>
      <c r="C1774" t="s">
        <v>2478</v>
      </c>
      <c r="D1774" t="s">
        <v>1375</v>
      </c>
      <c r="E1774" t="s">
        <v>3273</v>
      </c>
      <c r="F1774" s="853" t="s">
        <v>528</v>
      </c>
      <c r="G1774" s="913">
        <v>2</v>
      </c>
      <c r="H1774" t="s">
        <v>5040</v>
      </c>
    </row>
    <row r="1775" spans="2:8">
      <c r="B1775" s="871">
        <v>46274</v>
      </c>
      <c r="C1775" t="s">
        <v>2478</v>
      </c>
      <c r="D1775" t="s">
        <v>1376</v>
      </c>
      <c r="E1775" t="s">
        <v>1391</v>
      </c>
      <c r="F1775" s="853" t="s">
        <v>526</v>
      </c>
      <c r="H1775" t="s">
        <v>5041</v>
      </c>
    </row>
    <row r="1776" spans="2:8">
      <c r="B1776" s="871">
        <v>46274</v>
      </c>
      <c r="C1776" t="s">
        <v>2478</v>
      </c>
      <c r="D1776" t="s">
        <v>1376</v>
      </c>
      <c r="E1776" t="s">
        <v>1391</v>
      </c>
      <c r="F1776" s="853" t="s">
        <v>527</v>
      </c>
      <c r="H1776" t="s">
        <v>5042</v>
      </c>
    </row>
    <row r="1777" spans="2:8">
      <c r="B1777" s="871">
        <v>46274</v>
      </c>
      <c r="C1777" t="s">
        <v>2478</v>
      </c>
      <c r="D1777" t="s">
        <v>1376</v>
      </c>
      <c r="E1777" t="s">
        <v>1391</v>
      </c>
      <c r="F1777" s="853" t="s">
        <v>528</v>
      </c>
      <c r="G1777" s="913">
        <v>8230</v>
      </c>
      <c r="H1777" t="s">
        <v>5043</v>
      </c>
    </row>
    <row r="1778" spans="2:8">
      <c r="B1778" s="871">
        <v>46274</v>
      </c>
      <c r="C1778" t="s">
        <v>2478</v>
      </c>
      <c r="D1778" t="s">
        <v>1375</v>
      </c>
      <c r="E1778" t="s">
        <v>3280</v>
      </c>
      <c r="F1778" s="853" t="s">
        <v>526</v>
      </c>
      <c r="G1778" s="913">
        <v>3</v>
      </c>
      <c r="H1778" t="s">
        <v>5044</v>
      </c>
    </row>
    <row r="1779" spans="2:8">
      <c r="B1779" s="871">
        <v>46274</v>
      </c>
      <c r="C1779" t="s">
        <v>2478</v>
      </c>
      <c r="D1779" t="s">
        <v>1375</v>
      </c>
      <c r="E1779" t="s">
        <v>3280</v>
      </c>
      <c r="F1779" s="853" t="s">
        <v>527</v>
      </c>
      <c r="G1779" s="913">
        <v>3</v>
      </c>
      <c r="H1779" t="s">
        <v>5045</v>
      </c>
    </row>
    <row r="1780" spans="2:8">
      <c r="B1780" s="871">
        <v>46274</v>
      </c>
      <c r="C1780" t="s">
        <v>2478</v>
      </c>
      <c r="D1780" t="s">
        <v>1375</v>
      </c>
      <c r="E1780" t="s">
        <v>3280</v>
      </c>
      <c r="F1780" s="853" t="s">
        <v>528</v>
      </c>
      <c r="G1780" s="913">
        <v>3</v>
      </c>
      <c r="H1780" t="s">
        <v>5046</v>
      </c>
    </row>
    <row r="1781" spans="2:8">
      <c r="B1781" s="871">
        <v>46274</v>
      </c>
      <c r="C1781" t="s">
        <v>2478</v>
      </c>
      <c r="D1781" t="s">
        <v>1376</v>
      </c>
      <c r="E1781" t="s">
        <v>1392</v>
      </c>
      <c r="F1781" s="853" t="s">
        <v>526</v>
      </c>
      <c r="G1781" s="913">
        <v>8230</v>
      </c>
      <c r="H1781" t="s">
        <v>5047</v>
      </c>
    </row>
    <row r="1782" spans="2:8">
      <c r="B1782" s="871">
        <v>46274</v>
      </c>
      <c r="C1782" t="s">
        <v>2478</v>
      </c>
      <c r="D1782" t="s">
        <v>1376</v>
      </c>
      <c r="E1782" t="s">
        <v>1392</v>
      </c>
      <c r="F1782" s="853" t="s">
        <v>527</v>
      </c>
      <c r="H1782" t="s">
        <v>5048</v>
      </c>
    </row>
    <row r="1783" spans="2:8">
      <c r="B1783" s="871">
        <v>46274</v>
      </c>
      <c r="C1783" t="s">
        <v>2478</v>
      </c>
      <c r="D1783" t="s">
        <v>1376</v>
      </c>
      <c r="E1783" t="s">
        <v>1392</v>
      </c>
      <c r="F1783" s="853" t="s">
        <v>528</v>
      </c>
      <c r="H1783" t="s">
        <v>5049</v>
      </c>
    </row>
    <row r="1784" spans="2:8">
      <c r="B1784" s="871">
        <v>46274</v>
      </c>
      <c r="C1784" t="s">
        <v>2478</v>
      </c>
      <c r="D1784" t="s">
        <v>1375</v>
      </c>
      <c r="E1784" t="s">
        <v>3287</v>
      </c>
      <c r="F1784" s="853" t="s">
        <v>526</v>
      </c>
      <c r="G1784" s="913">
        <v>2</v>
      </c>
      <c r="H1784" t="s">
        <v>5050</v>
      </c>
    </row>
    <row r="1785" spans="2:8">
      <c r="B1785" s="871">
        <v>46274</v>
      </c>
      <c r="C1785" t="s">
        <v>2478</v>
      </c>
      <c r="D1785" t="s">
        <v>1375</v>
      </c>
      <c r="E1785" t="s">
        <v>3287</v>
      </c>
      <c r="F1785" s="853" t="s">
        <v>527</v>
      </c>
      <c r="G1785" s="913">
        <v>1</v>
      </c>
      <c r="H1785" t="s">
        <v>5051</v>
      </c>
    </row>
    <row r="1786" spans="2:8">
      <c r="B1786" s="871">
        <v>46274</v>
      </c>
      <c r="C1786" t="s">
        <v>2478</v>
      </c>
      <c r="D1786" t="s">
        <v>1375</v>
      </c>
      <c r="E1786" t="s">
        <v>3287</v>
      </c>
      <c r="F1786" s="853" t="s">
        <v>528</v>
      </c>
      <c r="G1786" s="913">
        <v>1</v>
      </c>
      <c r="H1786" t="s">
        <v>5052</v>
      </c>
    </row>
    <row r="1787" spans="2:8">
      <c r="B1787" s="871">
        <v>46274</v>
      </c>
      <c r="C1787" t="s">
        <v>2478</v>
      </c>
      <c r="D1787" t="s">
        <v>1376</v>
      </c>
      <c r="E1787" t="s">
        <v>453</v>
      </c>
      <c r="F1787" s="853" t="s">
        <v>526</v>
      </c>
      <c r="H1787" t="s">
        <v>5053</v>
      </c>
    </row>
    <row r="1788" spans="2:8">
      <c r="B1788" s="871">
        <v>46274</v>
      </c>
      <c r="C1788" t="s">
        <v>2478</v>
      </c>
      <c r="D1788" t="s">
        <v>1376</v>
      </c>
      <c r="E1788" t="s">
        <v>453</v>
      </c>
      <c r="F1788" s="853" t="s">
        <v>527</v>
      </c>
      <c r="H1788" t="s">
        <v>5054</v>
      </c>
    </row>
    <row r="1789" spans="2:8">
      <c r="B1789" s="871">
        <v>46274</v>
      </c>
      <c r="C1789" t="s">
        <v>2478</v>
      </c>
      <c r="D1789" t="s">
        <v>1376</v>
      </c>
      <c r="E1789" t="s">
        <v>453</v>
      </c>
      <c r="F1789" s="853" t="s">
        <v>528</v>
      </c>
      <c r="H1789" t="s">
        <v>5055</v>
      </c>
    </row>
    <row r="1790" spans="2:8">
      <c r="B1790" s="871">
        <v>46274</v>
      </c>
      <c r="C1790" t="s">
        <v>2478</v>
      </c>
      <c r="D1790" t="s">
        <v>1375</v>
      </c>
      <c r="E1790" t="s">
        <v>3291</v>
      </c>
      <c r="F1790" s="853" t="s">
        <v>526</v>
      </c>
      <c r="G1790" s="913">
        <v>1</v>
      </c>
      <c r="H1790" t="s">
        <v>5056</v>
      </c>
    </row>
    <row r="1791" spans="2:8">
      <c r="B1791" s="871">
        <v>46274</v>
      </c>
      <c r="C1791" t="s">
        <v>2478</v>
      </c>
      <c r="D1791" t="s">
        <v>1375</v>
      </c>
      <c r="E1791" t="s">
        <v>3291</v>
      </c>
      <c r="F1791" s="853" t="s">
        <v>527</v>
      </c>
      <c r="G1791" s="913">
        <v>4</v>
      </c>
      <c r="H1791" t="s">
        <v>5057</v>
      </c>
    </row>
    <row r="1792" spans="2:8">
      <c r="B1792" s="871">
        <v>46274</v>
      </c>
      <c r="C1792" t="s">
        <v>2478</v>
      </c>
      <c r="D1792" t="s">
        <v>1375</v>
      </c>
      <c r="E1792" t="s">
        <v>3291</v>
      </c>
      <c r="F1792" s="853" t="s">
        <v>528</v>
      </c>
      <c r="G1792" s="913">
        <v>2</v>
      </c>
      <c r="H1792" t="s">
        <v>5058</v>
      </c>
    </row>
    <row r="1793" spans="2:8">
      <c r="B1793" s="871">
        <v>46274</v>
      </c>
      <c r="C1793" t="s">
        <v>2478</v>
      </c>
      <c r="D1793" t="s">
        <v>1376</v>
      </c>
      <c r="E1793" t="s">
        <v>1394</v>
      </c>
      <c r="F1793" s="853" t="s">
        <v>526</v>
      </c>
      <c r="G1793" s="913" t="s">
        <v>1781</v>
      </c>
      <c r="H1793" t="s">
        <v>5059</v>
      </c>
    </row>
    <row r="1794" spans="2:8">
      <c r="B1794" s="871">
        <v>46274</v>
      </c>
      <c r="C1794" t="s">
        <v>2478</v>
      </c>
      <c r="D1794" t="s">
        <v>1376</v>
      </c>
      <c r="E1794" t="s">
        <v>1394</v>
      </c>
      <c r="F1794" s="853" t="s">
        <v>527</v>
      </c>
      <c r="G1794" s="913" t="s">
        <v>1782</v>
      </c>
      <c r="H1794" t="s">
        <v>5060</v>
      </c>
    </row>
    <row r="1795" spans="2:8">
      <c r="B1795" s="871">
        <v>46274</v>
      </c>
      <c r="C1795" t="s">
        <v>2478</v>
      </c>
      <c r="D1795" t="s">
        <v>1376</v>
      </c>
      <c r="E1795" t="s">
        <v>1394</v>
      </c>
      <c r="F1795" s="853" t="s">
        <v>528</v>
      </c>
      <c r="G1795" s="913" t="s">
        <v>1783</v>
      </c>
      <c r="H1795" t="s">
        <v>5061</v>
      </c>
    </row>
    <row r="1796" spans="2:8">
      <c r="B1796" s="871">
        <v>46274</v>
      </c>
      <c r="C1796" t="s">
        <v>2478</v>
      </c>
      <c r="D1796" t="s">
        <v>1375</v>
      </c>
      <c r="E1796" t="s">
        <v>3298</v>
      </c>
      <c r="F1796" s="853" t="s">
        <v>526</v>
      </c>
      <c r="G1796" s="913">
        <v>3</v>
      </c>
      <c r="H1796" t="s">
        <v>5062</v>
      </c>
    </row>
    <row r="1797" spans="2:8">
      <c r="B1797" s="871">
        <v>46274</v>
      </c>
      <c r="C1797" t="s">
        <v>2478</v>
      </c>
      <c r="D1797" t="s">
        <v>1375</v>
      </c>
      <c r="E1797" t="s">
        <v>3298</v>
      </c>
      <c r="F1797" s="853" t="s">
        <v>527</v>
      </c>
      <c r="G1797" s="913">
        <v>1</v>
      </c>
      <c r="H1797" t="s">
        <v>5063</v>
      </c>
    </row>
    <row r="1798" spans="2:8">
      <c r="B1798" s="871">
        <v>46274</v>
      </c>
      <c r="C1798" t="s">
        <v>2478</v>
      </c>
      <c r="D1798" t="s">
        <v>1375</v>
      </c>
      <c r="E1798" t="s">
        <v>3298</v>
      </c>
      <c r="F1798" s="853" t="s">
        <v>528</v>
      </c>
      <c r="G1798" s="913">
        <v>2</v>
      </c>
      <c r="H1798" t="s">
        <v>5064</v>
      </c>
    </row>
    <row r="1799" spans="2:8">
      <c r="B1799" s="871">
        <v>46274</v>
      </c>
      <c r="C1799" t="s">
        <v>2478</v>
      </c>
      <c r="D1799" t="s">
        <v>1376</v>
      </c>
      <c r="E1799" t="s">
        <v>1398</v>
      </c>
      <c r="F1799" s="853" t="s">
        <v>526</v>
      </c>
      <c r="G1799" s="913">
        <v>11</v>
      </c>
      <c r="H1799" t="s">
        <v>5065</v>
      </c>
    </row>
    <row r="1800" spans="2:8">
      <c r="B1800" s="871">
        <v>46274</v>
      </c>
      <c r="C1800" t="s">
        <v>2478</v>
      </c>
      <c r="D1800" t="s">
        <v>1376</v>
      </c>
      <c r="E1800" t="s">
        <v>1398</v>
      </c>
      <c r="F1800" s="853" t="s">
        <v>527</v>
      </c>
      <c r="G1800" s="913">
        <v>11</v>
      </c>
      <c r="H1800" t="s">
        <v>5066</v>
      </c>
    </row>
    <row r="1801" spans="2:8">
      <c r="B1801" s="871">
        <v>46274</v>
      </c>
      <c r="C1801" t="s">
        <v>2478</v>
      </c>
      <c r="D1801" t="s">
        <v>1376</v>
      </c>
      <c r="E1801" t="s">
        <v>1398</v>
      </c>
      <c r="F1801" s="853" t="s">
        <v>528</v>
      </c>
      <c r="G1801" s="913">
        <v>12</v>
      </c>
      <c r="H1801" t="s">
        <v>5067</v>
      </c>
    </row>
    <row r="1802" spans="2:8">
      <c r="B1802" s="871">
        <v>46274</v>
      </c>
      <c r="C1802" t="s">
        <v>2478</v>
      </c>
      <c r="D1802" t="s">
        <v>1375</v>
      </c>
      <c r="E1802" t="s">
        <v>3305</v>
      </c>
      <c r="F1802" s="853" t="s">
        <v>526</v>
      </c>
      <c r="G1802" s="913">
        <v>4</v>
      </c>
      <c r="H1802" t="s">
        <v>5068</v>
      </c>
    </row>
    <row r="1803" spans="2:8">
      <c r="B1803" s="871">
        <v>46274</v>
      </c>
      <c r="C1803" t="s">
        <v>2478</v>
      </c>
      <c r="D1803" t="s">
        <v>1375</v>
      </c>
      <c r="E1803" t="s">
        <v>3305</v>
      </c>
      <c r="F1803" s="853" t="s">
        <v>527</v>
      </c>
      <c r="G1803" s="913">
        <v>1</v>
      </c>
      <c r="H1803" t="s">
        <v>5069</v>
      </c>
    </row>
    <row r="1804" spans="2:8">
      <c r="B1804" s="871">
        <v>46274</v>
      </c>
      <c r="C1804" t="s">
        <v>2478</v>
      </c>
      <c r="D1804" t="s">
        <v>1375</v>
      </c>
      <c r="E1804" t="s">
        <v>3305</v>
      </c>
      <c r="F1804" s="853" t="s">
        <v>528</v>
      </c>
      <c r="G1804" s="913">
        <v>2</v>
      </c>
      <c r="H1804" t="s">
        <v>5070</v>
      </c>
    </row>
    <row r="1805" spans="2:8">
      <c r="B1805" s="871">
        <v>46274</v>
      </c>
      <c r="C1805" t="s">
        <v>2478</v>
      </c>
      <c r="D1805" t="s">
        <v>1376</v>
      </c>
      <c r="E1805" t="s">
        <v>1399</v>
      </c>
      <c r="F1805" s="853" t="s">
        <v>526</v>
      </c>
      <c r="G1805" s="913">
        <v>12</v>
      </c>
      <c r="H1805" t="s">
        <v>5071</v>
      </c>
    </row>
    <row r="1806" spans="2:8">
      <c r="B1806" s="871">
        <v>46274</v>
      </c>
      <c r="C1806" t="s">
        <v>2478</v>
      </c>
      <c r="D1806" t="s">
        <v>1376</v>
      </c>
      <c r="E1806" t="s">
        <v>1399</v>
      </c>
      <c r="F1806" s="853" t="s">
        <v>527</v>
      </c>
      <c r="G1806" s="913">
        <v>12</v>
      </c>
      <c r="H1806" t="s">
        <v>5072</v>
      </c>
    </row>
    <row r="1807" spans="2:8">
      <c r="B1807" s="871">
        <v>46274</v>
      </c>
      <c r="C1807" t="s">
        <v>2478</v>
      </c>
      <c r="D1807" t="s">
        <v>1376</v>
      </c>
      <c r="E1807" t="s">
        <v>1399</v>
      </c>
      <c r="F1807" s="853" t="s">
        <v>528</v>
      </c>
      <c r="G1807" s="913">
        <v>13</v>
      </c>
      <c r="H1807" t="s">
        <v>5073</v>
      </c>
    </row>
    <row r="1808" spans="2:8">
      <c r="B1808" s="871">
        <v>46274</v>
      </c>
      <c r="C1808" t="s">
        <v>2478</v>
      </c>
      <c r="D1808" t="s">
        <v>1375</v>
      </c>
      <c r="E1808" t="s">
        <v>3312</v>
      </c>
      <c r="F1808" s="853" t="s">
        <v>526</v>
      </c>
      <c r="G1808" s="913">
        <v>1</v>
      </c>
      <c r="H1808" t="s">
        <v>5074</v>
      </c>
    </row>
    <row r="1809" spans="2:8">
      <c r="B1809" s="871">
        <v>46274</v>
      </c>
      <c r="C1809" t="s">
        <v>2478</v>
      </c>
      <c r="D1809" t="s">
        <v>1375</v>
      </c>
      <c r="E1809" t="s">
        <v>3312</v>
      </c>
      <c r="F1809" s="853" t="s">
        <v>527</v>
      </c>
      <c r="G1809" s="913">
        <v>1</v>
      </c>
      <c r="H1809" t="s">
        <v>5075</v>
      </c>
    </row>
    <row r="1810" spans="2:8">
      <c r="B1810" s="871">
        <v>46274</v>
      </c>
      <c r="C1810" t="s">
        <v>2478</v>
      </c>
      <c r="D1810" t="s">
        <v>1375</v>
      </c>
      <c r="E1810" t="s">
        <v>3312</v>
      </c>
      <c r="F1810" s="853" t="s">
        <v>528</v>
      </c>
      <c r="G1810" s="913">
        <v>1</v>
      </c>
      <c r="H1810" t="s">
        <v>5076</v>
      </c>
    </row>
    <row r="1811" spans="2:8">
      <c r="B1811" s="871">
        <v>46274</v>
      </c>
      <c r="C1811" t="s">
        <v>2478</v>
      </c>
      <c r="D1811" t="s">
        <v>1376</v>
      </c>
      <c r="E1811" t="s">
        <v>1400</v>
      </c>
      <c r="F1811" s="853" t="s">
        <v>526</v>
      </c>
      <c r="G1811" s="913">
        <v>16</v>
      </c>
      <c r="H1811" t="s">
        <v>5077</v>
      </c>
    </row>
    <row r="1812" spans="2:8">
      <c r="B1812" s="871">
        <v>46274</v>
      </c>
      <c r="C1812" t="s">
        <v>2478</v>
      </c>
      <c r="D1812" t="s">
        <v>1376</v>
      </c>
      <c r="E1812" t="s">
        <v>1400</v>
      </c>
      <c r="F1812" s="853" t="s">
        <v>527</v>
      </c>
      <c r="G1812" s="913">
        <v>16</v>
      </c>
      <c r="H1812" t="s">
        <v>5078</v>
      </c>
    </row>
    <row r="1813" spans="2:8">
      <c r="B1813" s="871">
        <v>46274</v>
      </c>
      <c r="C1813" t="s">
        <v>2478</v>
      </c>
      <c r="D1813" t="s">
        <v>1376</v>
      </c>
      <c r="E1813" t="s">
        <v>1400</v>
      </c>
      <c r="F1813" s="853" t="s">
        <v>528</v>
      </c>
      <c r="G1813" s="913">
        <v>17</v>
      </c>
      <c r="H1813" t="s">
        <v>5079</v>
      </c>
    </row>
    <row r="1814" spans="2:8">
      <c r="B1814" s="871">
        <v>46274</v>
      </c>
      <c r="C1814" t="s">
        <v>2478</v>
      </c>
      <c r="D1814" t="s">
        <v>1375</v>
      </c>
      <c r="E1814" t="s">
        <v>3319</v>
      </c>
      <c r="F1814" s="853" t="s">
        <v>526</v>
      </c>
      <c r="G1814" s="913">
        <v>4</v>
      </c>
      <c r="H1814" t="s">
        <v>5080</v>
      </c>
    </row>
    <row r="1815" spans="2:8">
      <c r="B1815" s="871">
        <v>46274</v>
      </c>
      <c r="C1815" t="s">
        <v>2478</v>
      </c>
      <c r="D1815" t="s">
        <v>1375</v>
      </c>
      <c r="E1815" t="s">
        <v>3319</v>
      </c>
      <c r="F1815" s="853" t="s">
        <v>527</v>
      </c>
      <c r="G1815" s="913">
        <v>2</v>
      </c>
      <c r="H1815" t="s">
        <v>5081</v>
      </c>
    </row>
    <row r="1816" spans="2:8">
      <c r="B1816" s="871">
        <v>46274</v>
      </c>
      <c r="C1816" t="s">
        <v>2478</v>
      </c>
      <c r="D1816" t="s">
        <v>1375</v>
      </c>
      <c r="E1816" t="s">
        <v>3319</v>
      </c>
      <c r="F1816" s="853" t="s">
        <v>528</v>
      </c>
      <c r="G1816" s="913">
        <v>2</v>
      </c>
      <c r="H1816" t="s">
        <v>5082</v>
      </c>
    </row>
    <row r="1817" spans="2:8">
      <c r="B1817" s="871">
        <v>46274</v>
      </c>
      <c r="C1817" t="s">
        <v>2478</v>
      </c>
      <c r="D1817" t="s">
        <v>1376</v>
      </c>
      <c r="E1817" t="s">
        <v>1401</v>
      </c>
      <c r="F1817" s="853" t="s">
        <v>526</v>
      </c>
      <c r="G1817" s="913">
        <v>7.13</v>
      </c>
      <c r="H1817" t="s">
        <v>5083</v>
      </c>
    </row>
    <row r="1818" spans="2:8">
      <c r="B1818" s="871">
        <v>46274</v>
      </c>
      <c r="C1818" t="s">
        <v>2478</v>
      </c>
      <c r="D1818" t="s">
        <v>1376</v>
      </c>
      <c r="E1818" t="s">
        <v>1401</v>
      </c>
      <c r="F1818" s="853" t="s">
        <v>527</v>
      </c>
      <c r="G1818" s="913">
        <v>7.05</v>
      </c>
      <c r="H1818" t="s">
        <v>5084</v>
      </c>
    </row>
    <row r="1819" spans="2:8">
      <c r="B1819" s="871">
        <v>46274</v>
      </c>
      <c r="C1819" t="s">
        <v>2478</v>
      </c>
      <c r="D1819" t="s">
        <v>1376</v>
      </c>
      <c r="E1819" t="s">
        <v>1401</v>
      </c>
      <c r="F1819" s="853" t="s">
        <v>528</v>
      </c>
      <c r="G1819" s="913">
        <v>7.28</v>
      </c>
      <c r="H1819" t="s">
        <v>5085</v>
      </c>
    </row>
    <row r="1820" spans="2:8">
      <c r="B1820" s="871">
        <v>46274</v>
      </c>
      <c r="C1820" t="s">
        <v>2478</v>
      </c>
      <c r="D1820" t="s">
        <v>1375</v>
      </c>
      <c r="E1820" t="s">
        <v>3326</v>
      </c>
      <c r="F1820" s="853" t="s">
        <v>526</v>
      </c>
      <c r="G1820" s="913" t="s">
        <v>1535</v>
      </c>
      <c r="H1820" t="s">
        <v>5086</v>
      </c>
    </row>
    <row r="1821" spans="2:8">
      <c r="B1821" s="871">
        <v>46274</v>
      </c>
      <c r="C1821" t="s">
        <v>2478</v>
      </c>
      <c r="D1821" t="s">
        <v>1375</v>
      </c>
      <c r="E1821" t="s">
        <v>3326</v>
      </c>
      <c r="F1821" s="853" t="s">
        <v>527</v>
      </c>
      <c r="G1821" s="913" t="s">
        <v>1535</v>
      </c>
      <c r="H1821" t="s">
        <v>5087</v>
      </c>
    </row>
    <row r="1822" spans="2:8">
      <c r="B1822" s="871">
        <v>46274</v>
      </c>
      <c r="C1822" t="s">
        <v>2478</v>
      </c>
      <c r="D1822" t="s">
        <v>1375</v>
      </c>
      <c r="E1822" t="s">
        <v>3326</v>
      </c>
      <c r="F1822" s="853" t="s">
        <v>528</v>
      </c>
      <c r="G1822" s="913" t="s">
        <v>1535</v>
      </c>
      <c r="H1822" t="s">
        <v>5088</v>
      </c>
    </row>
    <row r="1823" spans="2:8">
      <c r="B1823" s="871">
        <v>46274</v>
      </c>
      <c r="C1823" t="s">
        <v>2478</v>
      </c>
      <c r="D1823" t="s">
        <v>1376</v>
      </c>
      <c r="E1823" t="s">
        <v>1403</v>
      </c>
      <c r="F1823" s="853" t="s">
        <v>526</v>
      </c>
      <c r="G1823" s="913">
        <v>680</v>
      </c>
      <c r="H1823" t="s">
        <v>5089</v>
      </c>
    </row>
    <row r="1824" spans="2:8">
      <c r="B1824" s="871">
        <v>46274</v>
      </c>
      <c r="C1824" t="s">
        <v>2478</v>
      </c>
      <c r="D1824" t="s">
        <v>1376</v>
      </c>
      <c r="E1824" t="s">
        <v>1403</v>
      </c>
      <c r="F1824" s="853" t="s">
        <v>527</v>
      </c>
      <c r="G1824" s="913">
        <v>650</v>
      </c>
      <c r="H1824" t="s">
        <v>5090</v>
      </c>
    </row>
    <row r="1825" spans="2:8">
      <c r="B1825" s="871">
        <v>46274</v>
      </c>
      <c r="C1825" t="s">
        <v>2478</v>
      </c>
      <c r="D1825" t="s">
        <v>1376</v>
      </c>
      <c r="E1825" t="s">
        <v>1403</v>
      </c>
      <c r="F1825" s="853" t="s">
        <v>528</v>
      </c>
      <c r="G1825" s="913">
        <v>574</v>
      </c>
      <c r="H1825" t="s">
        <v>5091</v>
      </c>
    </row>
    <row r="1826" spans="2:8">
      <c r="B1826" s="871">
        <v>46274</v>
      </c>
      <c r="C1826" t="s">
        <v>2478</v>
      </c>
      <c r="D1826" t="s">
        <v>1376</v>
      </c>
      <c r="E1826" t="s">
        <v>1404</v>
      </c>
      <c r="F1826" s="853" t="s">
        <v>526</v>
      </c>
      <c r="G1826" s="913">
        <v>4.28</v>
      </c>
      <c r="H1826" t="s">
        <v>5092</v>
      </c>
    </row>
    <row r="1827" spans="2:8">
      <c r="B1827" s="871">
        <v>46274</v>
      </c>
      <c r="C1827" t="s">
        <v>2478</v>
      </c>
      <c r="D1827" t="s">
        <v>1376</v>
      </c>
      <c r="E1827" t="s">
        <v>1404</v>
      </c>
      <c r="F1827" s="853" t="s">
        <v>527</v>
      </c>
      <c r="G1827" s="913">
        <v>3.82</v>
      </c>
      <c r="H1827" t="s">
        <v>5093</v>
      </c>
    </row>
    <row r="1828" spans="2:8">
      <c r="B1828" s="871">
        <v>46274</v>
      </c>
      <c r="C1828" t="s">
        <v>2478</v>
      </c>
      <c r="D1828" t="s">
        <v>1376</v>
      </c>
      <c r="E1828" t="s">
        <v>1404</v>
      </c>
      <c r="F1828" s="853" t="s">
        <v>528</v>
      </c>
      <c r="G1828" s="913">
        <v>4.0599999999999996</v>
      </c>
      <c r="H1828" t="s">
        <v>5094</v>
      </c>
    </row>
    <row r="1829" spans="2:8">
      <c r="B1829" s="871">
        <v>46274</v>
      </c>
      <c r="C1829" t="s">
        <v>2478</v>
      </c>
      <c r="D1829" t="s">
        <v>1375</v>
      </c>
      <c r="E1829" t="s">
        <v>3336</v>
      </c>
      <c r="F1829" s="853" t="s">
        <v>526</v>
      </c>
      <c r="G1829" s="913" t="s">
        <v>1406</v>
      </c>
      <c r="H1829" t="s">
        <v>5095</v>
      </c>
    </row>
    <row r="1830" spans="2:8">
      <c r="B1830" s="871">
        <v>46274</v>
      </c>
      <c r="C1830" t="s">
        <v>2478</v>
      </c>
      <c r="D1830" t="s">
        <v>1375</v>
      </c>
      <c r="E1830" t="s">
        <v>3336</v>
      </c>
      <c r="F1830" s="853" t="s">
        <v>527</v>
      </c>
      <c r="G1830" s="913" t="s">
        <v>1406</v>
      </c>
      <c r="H1830" t="s">
        <v>5096</v>
      </c>
    </row>
    <row r="1831" spans="2:8">
      <c r="B1831" s="871">
        <v>46274</v>
      </c>
      <c r="C1831" t="s">
        <v>2478</v>
      </c>
      <c r="D1831" t="s">
        <v>1375</v>
      </c>
      <c r="E1831" t="s">
        <v>3336</v>
      </c>
      <c r="F1831" s="853" t="s">
        <v>528</v>
      </c>
      <c r="G1831" s="913" t="s">
        <v>1406</v>
      </c>
      <c r="H1831" t="s">
        <v>5097</v>
      </c>
    </row>
    <row r="1832" spans="2:8">
      <c r="B1832" s="871">
        <v>46274</v>
      </c>
      <c r="C1832" t="s">
        <v>2478</v>
      </c>
      <c r="D1832" t="s">
        <v>1376</v>
      </c>
      <c r="E1832" t="s">
        <v>1407</v>
      </c>
      <c r="F1832" s="853" t="s">
        <v>526</v>
      </c>
      <c r="G1832" s="913">
        <v>415</v>
      </c>
      <c r="H1832" t="s">
        <v>5098</v>
      </c>
    </row>
    <row r="1833" spans="2:8">
      <c r="B1833" s="871">
        <v>46274</v>
      </c>
      <c r="C1833" t="s">
        <v>2478</v>
      </c>
      <c r="D1833" t="s">
        <v>1376</v>
      </c>
      <c r="E1833" t="s">
        <v>1407</v>
      </c>
      <c r="F1833" s="853" t="s">
        <v>527</v>
      </c>
      <c r="G1833" s="913">
        <v>380</v>
      </c>
      <c r="H1833" t="s">
        <v>5099</v>
      </c>
    </row>
    <row r="1834" spans="2:8">
      <c r="B1834" s="871">
        <v>46274</v>
      </c>
      <c r="C1834" t="s">
        <v>2478</v>
      </c>
      <c r="D1834" t="s">
        <v>1376</v>
      </c>
      <c r="E1834" t="s">
        <v>1407</v>
      </c>
      <c r="F1834" s="853" t="s">
        <v>528</v>
      </c>
      <c r="G1834" s="913">
        <v>422</v>
      </c>
      <c r="H1834" t="s">
        <v>5100</v>
      </c>
    </row>
    <row r="1835" spans="2:8">
      <c r="B1835" s="871">
        <v>46274</v>
      </c>
      <c r="C1835" t="s">
        <v>2478</v>
      </c>
      <c r="D1835" t="s">
        <v>1376</v>
      </c>
      <c r="E1835" t="s">
        <v>1408</v>
      </c>
      <c r="F1835" s="853" t="s">
        <v>526</v>
      </c>
      <c r="G1835" s="913">
        <v>1025</v>
      </c>
      <c r="H1835" t="s">
        <v>5101</v>
      </c>
    </row>
    <row r="1836" spans="2:8">
      <c r="B1836" s="871">
        <v>46274</v>
      </c>
      <c r="C1836" t="s">
        <v>2478</v>
      </c>
      <c r="D1836" t="s">
        <v>1376</v>
      </c>
      <c r="E1836" t="s">
        <v>1408</v>
      </c>
      <c r="F1836" s="853" t="s">
        <v>527</v>
      </c>
      <c r="G1836" s="913">
        <v>1022</v>
      </c>
      <c r="H1836" t="s">
        <v>5102</v>
      </c>
    </row>
    <row r="1837" spans="2:8">
      <c r="B1837" s="871">
        <v>46274</v>
      </c>
      <c r="C1837" t="s">
        <v>2478</v>
      </c>
      <c r="D1837" t="s">
        <v>1376</v>
      </c>
      <c r="E1837" t="s">
        <v>1408</v>
      </c>
      <c r="F1837" s="853" t="s">
        <v>528</v>
      </c>
      <c r="G1837" s="913">
        <v>1028</v>
      </c>
      <c r="H1837" t="s">
        <v>5103</v>
      </c>
    </row>
    <row r="1838" spans="2:8">
      <c r="B1838" s="871">
        <v>46274</v>
      </c>
      <c r="C1838" t="s">
        <v>2478</v>
      </c>
      <c r="D1838" t="s">
        <v>1409</v>
      </c>
      <c r="E1838" t="s">
        <v>1411</v>
      </c>
      <c r="F1838" s="853" t="s">
        <v>526</v>
      </c>
      <c r="H1838" t="s">
        <v>5104</v>
      </c>
    </row>
    <row r="1839" spans="2:8">
      <c r="B1839" s="871">
        <v>46274</v>
      </c>
      <c r="C1839" t="s">
        <v>2478</v>
      </c>
      <c r="D1839" t="s">
        <v>1409</v>
      </c>
      <c r="E1839" t="s">
        <v>1411</v>
      </c>
      <c r="F1839" s="853" t="s">
        <v>527</v>
      </c>
      <c r="H1839" t="s">
        <v>5105</v>
      </c>
    </row>
    <row r="1840" spans="2:8">
      <c r="B1840" s="871">
        <v>46274</v>
      </c>
      <c r="C1840" t="s">
        <v>2478</v>
      </c>
      <c r="D1840" t="s">
        <v>1409</v>
      </c>
      <c r="E1840" t="s">
        <v>1411</v>
      </c>
      <c r="F1840" s="853" t="s">
        <v>528</v>
      </c>
      <c r="H1840" t="s">
        <v>5106</v>
      </c>
    </row>
    <row r="1841" spans="2:8">
      <c r="B1841" s="871">
        <v>46274</v>
      </c>
      <c r="C1841" t="s">
        <v>2478</v>
      </c>
      <c r="D1841" t="s">
        <v>1409</v>
      </c>
      <c r="E1841" t="s">
        <v>1413</v>
      </c>
      <c r="F1841" s="853" t="s">
        <v>526</v>
      </c>
      <c r="G1841" s="913" t="s">
        <v>1414</v>
      </c>
      <c r="H1841" t="s">
        <v>5107</v>
      </c>
    </row>
    <row r="1842" spans="2:8">
      <c r="B1842" s="871">
        <v>46274</v>
      </c>
      <c r="C1842" t="s">
        <v>2478</v>
      </c>
      <c r="D1842" t="s">
        <v>1409</v>
      </c>
      <c r="E1842" t="s">
        <v>1413</v>
      </c>
      <c r="F1842" s="853" t="s">
        <v>527</v>
      </c>
      <c r="G1842" s="913" t="s">
        <v>1584</v>
      </c>
      <c r="H1842" t="s">
        <v>5108</v>
      </c>
    </row>
    <row r="1843" spans="2:8">
      <c r="B1843" s="871">
        <v>46274</v>
      </c>
      <c r="C1843" t="s">
        <v>2478</v>
      </c>
      <c r="D1843" t="s">
        <v>1409</v>
      </c>
      <c r="E1843" t="s">
        <v>1413</v>
      </c>
      <c r="F1843" s="853" t="s">
        <v>528</v>
      </c>
      <c r="G1843" s="913" t="s">
        <v>1743</v>
      </c>
      <c r="H1843" t="s">
        <v>5109</v>
      </c>
    </row>
    <row r="1844" spans="2:8">
      <c r="B1844" s="871">
        <v>46274</v>
      </c>
      <c r="C1844" t="s">
        <v>2478</v>
      </c>
      <c r="D1844" t="s">
        <v>1410</v>
      </c>
      <c r="E1844" t="s">
        <v>3352</v>
      </c>
      <c r="F1844" s="853" t="s">
        <v>526</v>
      </c>
      <c r="G1844" s="913" t="s">
        <v>1418</v>
      </c>
      <c r="H1844" t="s">
        <v>5110</v>
      </c>
    </row>
    <row r="1845" spans="2:8">
      <c r="B1845" s="871">
        <v>46274</v>
      </c>
      <c r="C1845" t="s">
        <v>2478</v>
      </c>
      <c r="D1845" t="s">
        <v>1410</v>
      </c>
      <c r="E1845" t="s">
        <v>3352</v>
      </c>
      <c r="F1845" s="853" t="s">
        <v>527</v>
      </c>
      <c r="G1845" s="913" t="s">
        <v>1418</v>
      </c>
      <c r="H1845" t="s">
        <v>5111</v>
      </c>
    </row>
    <row r="1846" spans="2:8">
      <c r="B1846" s="871">
        <v>46274</v>
      </c>
      <c r="C1846" t="s">
        <v>2478</v>
      </c>
      <c r="D1846" t="s">
        <v>1410</v>
      </c>
      <c r="E1846" t="s">
        <v>3352</v>
      </c>
      <c r="F1846" s="853" t="s">
        <v>528</v>
      </c>
      <c r="G1846" s="913" t="s">
        <v>1418</v>
      </c>
      <c r="H1846" t="s">
        <v>5112</v>
      </c>
    </row>
    <row r="1847" spans="2:8">
      <c r="B1847" s="871">
        <v>46274</v>
      </c>
      <c r="C1847" t="s">
        <v>2478</v>
      </c>
      <c r="D1847" t="s">
        <v>1409</v>
      </c>
      <c r="E1847" t="s">
        <v>1420</v>
      </c>
      <c r="F1847" s="853" t="s">
        <v>526</v>
      </c>
      <c r="G1847" s="913" t="s">
        <v>1421</v>
      </c>
      <c r="H1847" t="s">
        <v>5113</v>
      </c>
    </row>
    <row r="1848" spans="2:8">
      <c r="B1848" s="871">
        <v>46274</v>
      </c>
      <c r="C1848" t="s">
        <v>2478</v>
      </c>
      <c r="D1848" t="s">
        <v>1409</v>
      </c>
      <c r="E1848" t="s">
        <v>1420</v>
      </c>
      <c r="F1848" s="853" t="s">
        <v>527</v>
      </c>
      <c r="G1848" s="913" t="s">
        <v>1537</v>
      </c>
      <c r="H1848" t="s">
        <v>5114</v>
      </c>
    </row>
    <row r="1849" spans="2:8">
      <c r="B1849" s="871">
        <v>46274</v>
      </c>
      <c r="C1849" t="s">
        <v>2478</v>
      </c>
      <c r="D1849" t="s">
        <v>1409</v>
      </c>
      <c r="E1849" t="s">
        <v>1420</v>
      </c>
      <c r="F1849" s="853" t="s">
        <v>528</v>
      </c>
      <c r="G1849" s="913" t="s">
        <v>1422</v>
      </c>
      <c r="H1849" t="s">
        <v>5115</v>
      </c>
    </row>
    <row r="1850" spans="2:8">
      <c r="B1850" s="871">
        <v>46274</v>
      </c>
      <c r="C1850" t="s">
        <v>2478</v>
      </c>
      <c r="D1850" t="s">
        <v>1410</v>
      </c>
      <c r="E1850" t="s">
        <v>3359</v>
      </c>
      <c r="F1850" s="853" t="s">
        <v>526</v>
      </c>
      <c r="G1850" s="913">
        <v>116</v>
      </c>
      <c r="H1850" t="s">
        <v>5116</v>
      </c>
    </row>
    <row r="1851" spans="2:8">
      <c r="B1851" s="871">
        <v>46274</v>
      </c>
      <c r="C1851" t="s">
        <v>2478</v>
      </c>
      <c r="D1851" t="s">
        <v>1410</v>
      </c>
      <c r="E1851" t="s">
        <v>3359</v>
      </c>
      <c r="F1851" s="853" t="s">
        <v>527</v>
      </c>
      <c r="G1851" s="913">
        <v>121</v>
      </c>
      <c r="H1851" t="s">
        <v>5117</v>
      </c>
    </row>
    <row r="1852" spans="2:8">
      <c r="B1852" s="871">
        <v>46274</v>
      </c>
      <c r="C1852" t="s">
        <v>2478</v>
      </c>
      <c r="D1852" t="s">
        <v>1410</v>
      </c>
      <c r="E1852" t="s">
        <v>3359</v>
      </c>
      <c r="F1852" s="853" t="s">
        <v>528</v>
      </c>
      <c r="G1852" s="913">
        <v>121</v>
      </c>
      <c r="H1852" t="s">
        <v>5118</v>
      </c>
    </row>
    <row r="1853" spans="2:8">
      <c r="B1853" s="871">
        <v>46274</v>
      </c>
      <c r="C1853" t="s">
        <v>2478</v>
      </c>
      <c r="D1853" t="s">
        <v>1409</v>
      </c>
      <c r="E1853" t="s">
        <v>1424</v>
      </c>
      <c r="F1853" s="853" t="s">
        <v>526</v>
      </c>
      <c r="H1853" t="s">
        <v>5119</v>
      </c>
    </row>
    <row r="1854" spans="2:8">
      <c r="B1854" s="871">
        <v>46274</v>
      </c>
      <c r="C1854" t="s">
        <v>2478</v>
      </c>
      <c r="D1854" t="s">
        <v>1409</v>
      </c>
      <c r="E1854" t="s">
        <v>1424</v>
      </c>
      <c r="F1854" s="853" t="s">
        <v>527</v>
      </c>
      <c r="H1854" t="s">
        <v>5120</v>
      </c>
    </row>
    <row r="1855" spans="2:8">
      <c r="B1855" s="871">
        <v>46274</v>
      </c>
      <c r="C1855" t="s">
        <v>2478</v>
      </c>
      <c r="D1855" t="s">
        <v>1409</v>
      </c>
      <c r="E1855" t="s">
        <v>1424</v>
      </c>
      <c r="F1855" s="853" t="s">
        <v>528</v>
      </c>
      <c r="H1855" t="s">
        <v>5121</v>
      </c>
    </row>
    <row r="1856" spans="2:8">
      <c r="B1856" s="871">
        <v>46274</v>
      </c>
      <c r="C1856" t="s">
        <v>2478</v>
      </c>
      <c r="D1856" t="s">
        <v>1410</v>
      </c>
      <c r="E1856" t="s">
        <v>3366</v>
      </c>
      <c r="F1856" s="853" t="s">
        <v>526</v>
      </c>
      <c r="G1856" s="913">
        <v>2613</v>
      </c>
      <c r="H1856" t="s">
        <v>5122</v>
      </c>
    </row>
    <row r="1857" spans="2:8">
      <c r="B1857" s="871">
        <v>46274</v>
      </c>
      <c r="C1857" t="s">
        <v>2478</v>
      </c>
      <c r="D1857" t="s">
        <v>1410</v>
      </c>
      <c r="E1857" t="s">
        <v>3366</v>
      </c>
      <c r="F1857" s="853" t="s">
        <v>527</v>
      </c>
      <c r="G1857" s="913">
        <v>2570</v>
      </c>
      <c r="H1857" t="s">
        <v>5123</v>
      </c>
    </row>
    <row r="1858" spans="2:8">
      <c r="B1858" s="871">
        <v>46274</v>
      </c>
      <c r="C1858" t="s">
        <v>2478</v>
      </c>
      <c r="D1858" t="s">
        <v>1410</v>
      </c>
      <c r="E1858" t="s">
        <v>3366</v>
      </c>
      <c r="F1858" s="853" t="s">
        <v>528</v>
      </c>
      <c r="G1858" s="913">
        <v>2610</v>
      </c>
      <c r="H1858" t="s">
        <v>5124</v>
      </c>
    </row>
    <row r="1859" spans="2:8">
      <c r="B1859" s="871">
        <v>46274</v>
      </c>
      <c r="C1859" t="s">
        <v>2478</v>
      </c>
      <c r="D1859" t="s">
        <v>1410</v>
      </c>
      <c r="E1859" t="s">
        <v>3370</v>
      </c>
      <c r="F1859" s="853" t="s">
        <v>526</v>
      </c>
      <c r="G1859" s="913" t="s">
        <v>1427</v>
      </c>
      <c r="H1859" t="s">
        <v>5125</v>
      </c>
    </row>
    <row r="1860" spans="2:8">
      <c r="B1860" s="871">
        <v>46274</v>
      </c>
      <c r="C1860" t="s">
        <v>2478</v>
      </c>
      <c r="D1860" t="s">
        <v>1410</v>
      </c>
      <c r="E1860" t="s">
        <v>3370</v>
      </c>
      <c r="F1860" s="853" t="s">
        <v>527</v>
      </c>
      <c r="G1860" s="913" t="s">
        <v>1427</v>
      </c>
      <c r="H1860" t="s">
        <v>5126</v>
      </c>
    </row>
    <row r="1861" spans="2:8">
      <c r="B1861" s="871">
        <v>46274</v>
      </c>
      <c r="C1861" t="s">
        <v>2478</v>
      </c>
      <c r="D1861" t="s">
        <v>1410</v>
      </c>
      <c r="E1861" t="s">
        <v>3370</v>
      </c>
      <c r="F1861" s="853" t="s">
        <v>528</v>
      </c>
      <c r="G1861" s="913" t="s">
        <v>1427</v>
      </c>
      <c r="H1861" t="s">
        <v>5127</v>
      </c>
    </row>
    <row r="1862" spans="2:8">
      <c r="B1862" s="871">
        <v>46274</v>
      </c>
      <c r="C1862" t="s">
        <v>2478</v>
      </c>
      <c r="D1862" t="s">
        <v>1410</v>
      </c>
      <c r="E1862" t="s">
        <v>3374</v>
      </c>
      <c r="F1862" s="853" t="s">
        <v>526</v>
      </c>
      <c r="G1862" s="913">
        <v>2.2999999999999998</v>
      </c>
      <c r="H1862" t="s">
        <v>5128</v>
      </c>
    </row>
    <row r="1863" spans="2:8">
      <c r="B1863" s="871">
        <v>46274</v>
      </c>
      <c r="C1863" t="s">
        <v>2478</v>
      </c>
      <c r="D1863" t="s">
        <v>1410</v>
      </c>
      <c r="E1863" t="s">
        <v>3374</v>
      </c>
      <c r="F1863" s="853" t="s">
        <v>527</v>
      </c>
      <c r="G1863" s="913">
        <v>3.2</v>
      </c>
      <c r="H1863" t="s">
        <v>5129</v>
      </c>
    </row>
    <row r="1864" spans="2:8">
      <c r="B1864" s="871">
        <v>46274</v>
      </c>
      <c r="C1864" t="s">
        <v>2478</v>
      </c>
      <c r="D1864" t="s">
        <v>1410</v>
      </c>
      <c r="E1864" t="s">
        <v>3374</v>
      </c>
      <c r="F1864" s="853" t="s">
        <v>528</v>
      </c>
      <c r="G1864" s="913">
        <v>3.1</v>
      </c>
      <c r="H1864" t="s">
        <v>5130</v>
      </c>
    </row>
    <row r="1865" spans="2:8">
      <c r="B1865" s="871">
        <v>46274</v>
      </c>
      <c r="C1865" t="s">
        <v>2478</v>
      </c>
      <c r="D1865" t="s">
        <v>1410</v>
      </c>
      <c r="E1865" t="s">
        <v>3378</v>
      </c>
      <c r="F1865" s="853" t="s">
        <v>526</v>
      </c>
      <c r="G1865" s="913" t="s">
        <v>1627</v>
      </c>
      <c r="H1865" t="s">
        <v>5131</v>
      </c>
    </row>
    <row r="1866" spans="2:8">
      <c r="B1866" s="871">
        <v>46274</v>
      </c>
      <c r="C1866" t="s">
        <v>2478</v>
      </c>
      <c r="D1866" t="s">
        <v>1410</v>
      </c>
      <c r="E1866" t="s">
        <v>3378</v>
      </c>
      <c r="F1866" s="853" t="s">
        <v>527</v>
      </c>
      <c r="G1866" s="913" t="s">
        <v>1627</v>
      </c>
      <c r="H1866" t="s">
        <v>5132</v>
      </c>
    </row>
    <row r="1867" spans="2:8">
      <c r="B1867" s="871">
        <v>46274</v>
      </c>
      <c r="C1867" t="s">
        <v>2478</v>
      </c>
      <c r="D1867" t="s">
        <v>1410</v>
      </c>
      <c r="E1867" t="s">
        <v>3378</v>
      </c>
      <c r="F1867" s="853" t="s">
        <v>528</v>
      </c>
      <c r="G1867" s="913" t="s">
        <v>1627</v>
      </c>
      <c r="H1867" t="s">
        <v>5133</v>
      </c>
    </row>
    <row r="1868" spans="2:8">
      <c r="B1868" s="871">
        <v>46274</v>
      </c>
      <c r="C1868" t="s">
        <v>2478</v>
      </c>
      <c r="D1868" t="s">
        <v>1410</v>
      </c>
      <c r="E1868" t="s">
        <v>3382</v>
      </c>
      <c r="F1868" s="853" t="s">
        <v>526</v>
      </c>
      <c r="G1868" s="913">
        <v>113</v>
      </c>
      <c r="H1868" t="s">
        <v>5134</v>
      </c>
    </row>
    <row r="1869" spans="2:8">
      <c r="B1869" s="871">
        <v>46274</v>
      </c>
      <c r="C1869" t="s">
        <v>2478</v>
      </c>
      <c r="D1869" t="s">
        <v>1410</v>
      </c>
      <c r="E1869" t="s">
        <v>3382</v>
      </c>
      <c r="F1869" s="853" t="s">
        <v>527</v>
      </c>
      <c r="G1869" s="913">
        <v>92</v>
      </c>
      <c r="H1869" t="s">
        <v>5135</v>
      </c>
    </row>
    <row r="1870" spans="2:8">
      <c r="B1870" s="871">
        <v>46274</v>
      </c>
      <c r="C1870" t="s">
        <v>2478</v>
      </c>
      <c r="D1870" t="s">
        <v>1410</v>
      </c>
      <c r="E1870" t="s">
        <v>3382</v>
      </c>
      <c r="F1870" s="853" t="s">
        <v>528</v>
      </c>
      <c r="G1870" s="913">
        <v>95</v>
      </c>
      <c r="H1870" t="s">
        <v>5136</v>
      </c>
    </row>
    <row r="1871" spans="2:8">
      <c r="B1871" s="871">
        <v>46274</v>
      </c>
      <c r="C1871" t="s">
        <v>2478</v>
      </c>
      <c r="D1871" t="s">
        <v>1409</v>
      </c>
      <c r="E1871" t="s">
        <v>1431</v>
      </c>
      <c r="F1871" s="853" t="s">
        <v>526</v>
      </c>
      <c r="H1871" t="s">
        <v>5137</v>
      </c>
    </row>
    <row r="1872" spans="2:8">
      <c r="B1872" s="871">
        <v>46274</v>
      </c>
      <c r="C1872" t="s">
        <v>2478</v>
      </c>
      <c r="D1872" t="s">
        <v>1409</v>
      </c>
      <c r="E1872" t="s">
        <v>1431</v>
      </c>
      <c r="F1872" s="853" t="s">
        <v>527</v>
      </c>
      <c r="H1872" t="s">
        <v>5138</v>
      </c>
    </row>
    <row r="1873" spans="2:8">
      <c r="B1873" s="871">
        <v>46274</v>
      </c>
      <c r="C1873" t="s">
        <v>2478</v>
      </c>
      <c r="D1873" t="s">
        <v>1409</v>
      </c>
      <c r="E1873" t="s">
        <v>1431</v>
      </c>
      <c r="F1873" s="853" t="s">
        <v>528</v>
      </c>
      <c r="H1873" t="s">
        <v>5139</v>
      </c>
    </row>
    <row r="1874" spans="2:8">
      <c r="B1874" s="871">
        <v>46274</v>
      </c>
      <c r="C1874" t="s">
        <v>2478</v>
      </c>
      <c r="D1874" t="s">
        <v>1410</v>
      </c>
      <c r="E1874" t="s">
        <v>3389</v>
      </c>
      <c r="F1874" s="853" t="s">
        <v>526</v>
      </c>
      <c r="G1874" s="913">
        <v>2994</v>
      </c>
      <c r="H1874" t="s">
        <v>5140</v>
      </c>
    </row>
    <row r="1875" spans="2:8">
      <c r="B1875" s="871">
        <v>46274</v>
      </c>
      <c r="C1875" t="s">
        <v>2478</v>
      </c>
      <c r="D1875" t="s">
        <v>1410</v>
      </c>
      <c r="E1875" t="s">
        <v>3389</v>
      </c>
      <c r="F1875" s="853" t="s">
        <v>527</v>
      </c>
      <c r="G1875" s="913">
        <v>3100</v>
      </c>
      <c r="H1875" t="s">
        <v>5141</v>
      </c>
    </row>
    <row r="1876" spans="2:8">
      <c r="B1876" s="871">
        <v>46274</v>
      </c>
      <c r="C1876" t="s">
        <v>2478</v>
      </c>
      <c r="D1876" t="s">
        <v>1410</v>
      </c>
      <c r="E1876" t="s">
        <v>3389</v>
      </c>
      <c r="F1876" s="853" t="s">
        <v>528</v>
      </c>
      <c r="G1876" s="913">
        <v>3130</v>
      </c>
      <c r="H1876" t="s">
        <v>5142</v>
      </c>
    </row>
    <row r="1877" spans="2:8">
      <c r="B1877" s="871">
        <v>46274</v>
      </c>
      <c r="C1877" t="s">
        <v>2478</v>
      </c>
      <c r="D1877" t="s">
        <v>1410</v>
      </c>
      <c r="E1877" t="s">
        <v>3393</v>
      </c>
      <c r="F1877" s="853" t="s">
        <v>526</v>
      </c>
      <c r="G1877" s="913" t="s">
        <v>1663</v>
      </c>
      <c r="H1877" t="s">
        <v>5143</v>
      </c>
    </row>
    <row r="1878" spans="2:8">
      <c r="B1878" s="871">
        <v>46274</v>
      </c>
      <c r="C1878" t="s">
        <v>2478</v>
      </c>
      <c r="D1878" t="s">
        <v>1410</v>
      </c>
      <c r="E1878" t="s">
        <v>3393</v>
      </c>
      <c r="F1878" s="853" t="s">
        <v>527</v>
      </c>
      <c r="G1878" s="913" t="s">
        <v>1432</v>
      </c>
      <c r="H1878" t="s">
        <v>5144</v>
      </c>
    </row>
    <row r="1879" spans="2:8">
      <c r="B1879" s="871">
        <v>46274</v>
      </c>
      <c r="C1879" t="s">
        <v>2478</v>
      </c>
      <c r="D1879" t="s">
        <v>1410</v>
      </c>
      <c r="E1879" t="s">
        <v>3393</v>
      </c>
      <c r="F1879" s="853" t="s">
        <v>528</v>
      </c>
      <c r="G1879" s="913" t="s">
        <v>1432</v>
      </c>
      <c r="H1879" t="s">
        <v>5145</v>
      </c>
    </row>
    <row r="1880" spans="2:8">
      <c r="B1880" s="871">
        <v>46274</v>
      </c>
      <c r="C1880" t="s">
        <v>2478</v>
      </c>
      <c r="D1880" t="s">
        <v>1410</v>
      </c>
      <c r="E1880" t="s">
        <v>3397</v>
      </c>
      <c r="F1880" s="853" t="s">
        <v>526</v>
      </c>
      <c r="G1880" s="913" t="s">
        <v>1435</v>
      </c>
      <c r="H1880" t="s">
        <v>5146</v>
      </c>
    </row>
    <row r="1881" spans="2:8">
      <c r="B1881" s="871">
        <v>46274</v>
      </c>
      <c r="C1881" t="s">
        <v>2478</v>
      </c>
      <c r="D1881" t="s">
        <v>1410</v>
      </c>
      <c r="E1881" t="s">
        <v>3397</v>
      </c>
      <c r="F1881" s="853" t="s">
        <v>527</v>
      </c>
      <c r="G1881" s="913" t="s">
        <v>1438</v>
      </c>
      <c r="H1881" t="s">
        <v>5147</v>
      </c>
    </row>
    <row r="1882" spans="2:8">
      <c r="B1882" s="871">
        <v>46274</v>
      </c>
      <c r="C1882" t="s">
        <v>2478</v>
      </c>
      <c r="D1882" t="s">
        <v>1410</v>
      </c>
      <c r="E1882" t="s">
        <v>3397</v>
      </c>
      <c r="F1882" s="853" t="s">
        <v>528</v>
      </c>
      <c r="G1882" s="913" t="s">
        <v>1438</v>
      </c>
      <c r="H1882" t="s">
        <v>5148</v>
      </c>
    </row>
    <row r="1883" spans="2:8">
      <c r="B1883" s="871">
        <v>46274</v>
      </c>
      <c r="C1883" t="s">
        <v>2478</v>
      </c>
      <c r="D1883" t="s">
        <v>1434</v>
      </c>
      <c r="E1883" t="s">
        <v>42</v>
      </c>
      <c r="F1883" s="853" t="s">
        <v>526</v>
      </c>
      <c r="G1883" s="913" t="s">
        <v>70</v>
      </c>
      <c r="H1883" t="s">
        <v>5149</v>
      </c>
    </row>
    <row r="1884" spans="2:8">
      <c r="B1884" s="871">
        <v>46274</v>
      </c>
      <c r="C1884" t="s">
        <v>2478</v>
      </c>
      <c r="D1884" t="s">
        <v>1434</v>
      </c>
      <c r="E1884" t="s">
        <v>42</v>
      </c>
      <c r="F1884" s="853" t="s">
        <v>527</v>
      </c>
      <c r="G1884" s="913" t="s">
        <v>70</v>
      </c>
      <c r="H1884" t="s">
        <v>5150</v>
      </c>
    </row>
    <row r="1885" spans="2:8">
      <c r="B1885" s="871">
        <v>46274</v>
      </c>
      <c r="C1885" t="s">
        <v>2478</v>
      </c>
      <c r="D1885" t="s">
        <v>1434</v>
      </c>
      <c r="E1885" t="s">
        <v>42</v>
      </c>
      <c r="F1885" s="853" t="s">
        <v>528</v>
      </c>
      <c r="G1885" s="913" t="s">
        <v>70</v>
      </c>
      <c r="H1885" t="s">
        <v>5151</v>
      </c>
    </row>
    <row r="1886" spans="2:8">
      <c r="B1886" s="871">
        <v>46274</v>
      </c>
      <c r="C1886" t="s">
        <v>2478</v>
      </c>
      <c r="D1886" t="s">
        <v>1410</v>
      </c>
      <c r="E1886" t="s">
        <v>3404</v>
      </c>
      <c r="F1886" s="853" t="s">
        <v>526</v>
      </c>
      <c r="G1886" s="913" t="s">
        <v>1585</v>
      </c>
      <c r="H1886" t="s">
        <v>5152</v>
      </c>
    </row>
    <row r="1887" spans="2:8">
      <c r="B1887" s="871">
        <v>46274</v>
      </c>
      <c r="C1887" t="s">
        <v>2478</v>
      </c>
      <c r="D1887" t="s">
        <v>1410</v>
      </c>
      <c r="E1887" t="s">
        <v>3404</v>
      </c>
      <c r="F1887" s="853" t="s">
        <v>527</v>
      </c>
      <c r="G1887" s="913" t="s">
        <v>1435</v>
      </c>
      <c r="H1887" t="s">
        <v>5153</v>
      </c>
    </row>
    <row r="1888" spans="2:8">
      <c r="B1888" s="871">
        <v>46274</v>
      </c>
      <c r="C1888" t="s">
        <v>2478</v>
      </c>
      <c r="D1888" t="s">
        <v>1410</v>
      </c>
      <c r="E1888" t="s">
        <v>3404</v>
      </c>
      <c r="F1888" s="853" t="s">
        <v>528</v>
      </c>
      <c r="G1888" s="913" t="s">
        <v>1435</v>
      </c>
      <c r="H1888" t="s">
        <v>5154</v>
      </c>
    </row>
    <row r="1889" spans="2:8">
      <c r="B1889" s="871">
        <v>46274</v>
      </c>
      <c r="C1889" t="s">
        <v>2478</v>
      </c>
      <c r="D1889" t="s">
        <v>1434</v>
      </c>
      <c r="E1889" t="s">
        <v>1439</v>
      </c>
      <c r="F1889" s="853" t="s">
        <v>526</v>
      </c>
      <c r="G1889" s="913" t="s">
        <v>9408</v>
      </c>
      <c r="H1889" t="s">
        <v>5155</v>
      </c>
    </row>
    <row r="1890" spans="2:8">
      <c r="B1890" s="871">
        <v>46274</v>
      </c>
      <c r="C1890" t="s">
        <v>2478</v>
      </c>
      <c r="D1890" t="s">
        <v>1434</v>
      </c>
      <c r="E1890" t="s">
        <v>1439</v>
      </c>
      <c r="F1890" s="853" t="s">
        <v>527</v>
      </c>
      <c r="G1890" s="913" t="s">
        <v>9408</v>
      </c>
      <c r="H1890" t="s">
        <v>5156</v>
      </c>
    </row>
    <row r="1891" spans="2:8">
      <c r="B1891" s="871">
        <v>46274</v>
      </c>
      <c r="C1891" t="s">
        <v>2478</v>
      </c>
      <c r="D1891" t="s">
        <v>1434</v>
      </c>
      <c r="E1891" t="s">
        <v>1439</v>
      </c>
      <c r="F1891" s="853" t="s">
        <v>528</v>
      </c>
      <c r="G1891" s="913" t="s">
        <v>9408</v>
      </c>
      <c r="H1891" t="s">
        <v>5157</v>
      </c>
    </row>
    <row r="1892" spans="2:8">
      <c r="B1892" s="871">
        <v>46274</v>
      </c>
      <c r="C1892" t="s">
        <v>2478</v>
      </c>
      <c r="D1892" t="s">
        <v>1410</v>
      </c>
      <c r="E1892" t="s">
        <v>3411</v>
      </c>
      <c r="F1892" s="853" t="s">
        <v>526</v>
      </c>
      <c r="G1892" s="913">
        <v>64</v>
      </c>
      <c r="H1892" t="s">
        <v>5158</v>
      </c>
    </row>
    <row r="1893" spans="2:8">
      <c r="B1893" s="871">
        <v>46274</v>
      </c>
      <c r="C1893" t="s">
        <v>2478</v>
      </c>
      <c r="D1893" t="s">
        <v>1410</v>
      </c>
      <c r="E1893" t="s">
        <v>3411</v>
      </c>
      <c r="F1893" s="853" t="s">
        <v>527</v>
      </c>
      <c r="G1893" s="913">
        <v>55</v>
      </c>
      <c r="H1893" t="s">
        <v>5159</v>
      </c>
    </row>
    <row r="1894" spans="2:8">
      <c r="B1894" s="871">
        <v>46274</v>
      </c>
      <c r="C1894" t="s">
        <v>2478</v>
      </c>
      <c r="D1894" t="s">
        <v>1410</v>
      </c>
      <c r="E1894" t="s">
        <v>3411</v>
      </c>
      <c r="F1894" s="853" t="s">
        <v>528</v>
      </c>
      <c r="G1894" s="913">
        <v>61</v>
      </c>
      <c r="H1894" t="s">
        <v>5160</v>
      </c>
    </row>
    <row r="1895" spans="2:8">
      <c r="B1895" s="871">
        <v>46274</v>
      </c>
      <c r="C1895" t="s">
        <v>2478</v>
      </c>
      <c r="D1895" t="s">
        <v>1434</v>
      </c>
      <c r="E1895" t="s">
        <v>43</v>
      </c>
      <c r="F1895" s="853" t="s">
        <v>526</v>
      </c>
      <c r="G1895" s="913" t="s">
        <v>9409</v>
      </c>
      <c r="H1895" t="s">
        <v>5161</v>
      </c>
    </row>
    <row r="1896" spans="2:8">
      <c r="B1896" s="871">
        <v>46274</v>
      </c>
      <c r="C1896" t="s">
        <v>2478</v>
      </c>
      <c r="D1896" t="s">
        <v>1434</v>
      </c>
      <c r="E1896" t="s">
        <v>43</v>
      </c>
      <c r="F1896" s="853" t="s">
        <v>527</v>
      </c>
      <c r="G1896" s="913" t="s">
        <v>9409</v>
      </c>
      <c r="H1896" t="s">
        <v>5162</v>
      </c>
    </row>
    <row r="1897" spans="2:8">
      <c r="B1897" s="871">
        <v>46274</v>
      </c>
      <c r="C1897" t="s">
        <v>2478</v>
      </c>
      <c r="D1897" t="s">
        <v>1434</v>
      </c>
      <c r="E1897" t="s">
        <v>43</v>
      </c>
      <c r="F1897" s="853" t="s">
        <v>528</v>
      </c>
      <c r="G1897" s="913" t="s">
        <v>9409</v>
      </c>
      <c r="H1897" t="s">
        <v>5163</v>
      </c>
    </row>
    <row r="1898" spans="2:8">
      <c r="B1898" s="871">
        <v>46274</v>
      </c>
      <c r="C1898" t="s">
        <v>2478</v>
      </c>
      <c r="D1898" t="s">
        <v>1410</v>
      </c>
      <c r="E1898" t="s">
        <v>3418</v>
      </c>
      <c r="F1898" s="853" t="s">
        <v>526</v>
      </c>
      <c r="G1898" s="913">
        <v>43</v>
      </c>
      <c r="H1898" t="s">
        <v>5164</v>
      </c>
    </row>
    <row r="1899" spans="2:8">
      <c r="B1899" s="871">
        <v>46274</v>
      </c>
      <c r="C1899" t="s">
        <v>2478</v>
      </c>
      <c r="D1899" t="s">
        <v>1410</v>
      </c>
      <c r="E1899" t="s">
        <v>3418</v>
      </c>
      <c r="F1899" s="853" t="s">
        <v>527</v>
      </c>
      <c r="G1899" s="913">
        <v>69</v>
      </c>
      <c r="H1899" t="s">
        <v>5165</v>
      </c>
    </row>
    <row r="1900" spans="2:8">
      <c r="B1900" s="871">
        <v>46274</v>
      </c>
      <c r="C1900" t="s">
        <v>2478</v>
      </c>
      <c r="D1900" t="s">
        <v>1410</v>
      </c>
      <c r="E1900" t="s">
        <v>3418</v>
      </c>
      <c r="F1900" s="853" t="s">
        <v>528</v>
      </c>
      <c r="G1900" s="913">
        <v>69</v>
      </c>
      <c r="H1900" t="s">
        <v>5166</v>
      </c>
    </row>
    <row r="1901" spans="2:8">
      <c r="B1901" s="871">
        <v>46274</v>
      </c>
      <c r="C1901" t="s">
        <v>2478</v>
      </c>
      <c r="D1901" t="s">
        <v>1434</v>
      </c>
      <c r="E1901" t="s">
        <v>1441</v>
      </c>
      <c r="F1901" s="853" t="s">
        <v>526</v>
      </c>
      <c r="G1901" s="913" t="s">
        <v>9411</v>
      </c>
      <c r="H1901" t="s">
        <v>5167</v>
      </c>
    </row>
    <row r="1902" spans="2:8">
      <c r="B1902" s="871">
        <v>46274</v>
      </c>
      <c r="C1902" t="s">
        <v>2478</v>
      </c>
      <c r="D1902" t="s">
        <v>1434</v>
      </c>
      <c r="E1902" t="s">
        <v>1441</v>
      </c>
      <c r="F1902" s="853" t="s">
        <v>527</v>
      </c>
      <c r="G1902" s="913" t="s">
        <v>9411</v>
      </c>
      <c r="H1902" t="s">
        <v>5168</v>
      </c>
    </row>
    <row r="1903" spans="2:8">
      <c r="B1903" s="871">
        <v>46274</v>
      </c>
      <c r="C1903" t="s">
        <v>2478</v>
      </c>
      <c r="D1903" t="s">
        <v>1434</v>
      </c>
      <c r="E1903" t="s">
        <v>1441</v>
      </c>
      <c r="F1903" s="853" t="s">
        <v>528</v>
      </c>
      <c r="G1903" s="913" t="s">
        <v>9411</v>
      </c>
      <c r="H1903" t="s">
        <v>5169</v>
      </c>
    </row>
    <row r="1904" spans="2:8">
      <c r="B1904" s="871">
        <v>46274</v>
      </c>
      <c r="C1904" t="s">
        <v>2478</v>
      </c>
      <c r="D1904" t="s">
        <v>1410</v>
      </c>
      <c r="E1904" t="s">
        <v>3425</v>
      </c>
      <c r="F1904" s="853" t="s">
        <v>526</v>
      </c>
      <c r="G1904" s="913" t="s">
        <v>1443</v>
      </c>
      <c r="H1904" t="s">
        <v>5170</v>
      </c>
    </row>
    <row r="1905" spans="2:8">
      <c r="B1905" s="871">
        <v>46274</v>
      </c>
      <c r="C1905" t="s">
        <v>2478</v>
      </c>
      <c r="D1905" t="s">
        <v>1410</v>
      </c>
      <c r="E1905" t="s">
        <v>3425</v>
      </c>
      <c r="F1905" s="853" t="s">
        <v>527</v>
      </c>
      <c r="G1905" s="913" t="s">
        <v>1443</v>
      </c>
      <c r="H1905" t="s">
        <v>5171</v>
      </c>
    </row>
    <row r="1906" spans="2:8">
      <c r="B1906" s="871">
        <v>46274</v>
      </c>
      <c r="C1906" t="s">
        <v>2478</v>
      </c>
      <c r="D1906" t="s">
        <v>1410</v>
      </c>
      <c r="E1906" t="s">
        <v>3425</v>
      </c>
      <c r="F1906" s="853" t="s">
        <v>528</v>
      </c>
      <c r="G1906" s="913" t="s">
        <v>1443</v>
      </c>
      <c r="H1906" t="s">
        <v>5172</v>
      </c>
    </row>
    <row r="1907" spans="2:8">
      <c r="B1907" s="871">
        <v>46274</v>
      </c>
      <c r="C1907" t="s">
        <v>2478</v>
      </c>
      <c r="D1907" t="s">
        <v>1434</v>
      </c>
      <c r="E1907" t="s">
        <v>1444</v>
      </c>
      <c r="F1907" s="853" t="s">
        <v>526</v>
      </c>
      <c r="H1907" t="s">
        <v>5173</v>
      </c>
    </row>
    <row r="1908" spans="2:8">
      <c r="B1908" s="871">
        <v>46274</v>
      </c>
      <c r="C1908" t="s">
        <v>2478</v>
      </c>
      <c r="D1908" t="s">
        <v>1434</v>
      </c>
      <c r="E1908" t="s">
        <v>1444</v>
      </c>
      <c r="F1908" s="853" t="s">
        <v>527</v>
      </c>
      <c r="H1908" t="s">
        <v>5174</v>
      </c>
    </row>
    <row r="1909" spans="2:8">
      <c r="B1909" s="871">
        <v>46274</v>
      </c>
      <c r="C1909" t="s">
        <v>2478</v>
      </c>
      <c r="D1909" t="s">
        <v>1434</v>
      </c>
      <c r="E1909" t="s">
        <v>1444</v>
      </c>
      <c r="F1909" s="853" t="s">
        <v>528</v>
      </c>
      <c r="G1909" s="913" t="s">
        <v>1784</v>
      </c>
      <c r="H1909" t="s">
        <v>5175</v>
      </c>
    </row>
    <row r="1910" spans="2:8">
      <c r="B1910" s="871">
        <v>46274</v>
      </c>
      <c r="C1910" t="s">
        <v>2478</v>
      </c>
      <c r="D1910" t="s">
        <v>1434</v>
      </c>
      <c r="E1910" t="s">
        <v>1446</v>
      </c>
      <c r="F1910" s="853" t="s">
        <v>526</v>
      </c>
      <c r="G1910" s="913">
        <v>152400</v>
      </c>
      <c r="H1910" t="s">
        <v>5176</v>
      </c>
    </row>
    <row r="1911" spans="2:8">
      <c r="B1911" s="871">
        <v>46274</v>
      </c>
      <c r="C1911" t="s">
        <v>2478</v>
      </c>
      <c r="D1911" t="s">
        <v>1434</v>
      </c>
      <c r="E1911" t="s">
        <v>1446</v>
      </c>
      <c r="F1911" s="853" t="s">
        <v>527</v>
      </c>
      <c r="G1911" s="913">
        <v>164800</v>
      </c>
      <c r="H1911" t="s">
        <v>5177</v>
      </c>
    </row>
    <row r="1912" spans="2:8">
      <c r="B1912" s="871">
        <v>46274</v>
      </c>
      <c r="C1912" t="s">
        <v>2478</v>
      </c>
      <c r="D1912" t="s">
        <v>1434</v>
      </c>
      <c r="E1912" t="s">
        <v>1446</v>
      </c>
      <c r="F1912" s="853" t="s">
        <v>528</v>
      </c>
      <c r="G1912" s="913">
        <v>170687</v>
      </c>
      <c r="H1912" t="s">
        <v>5178</v>
      </c>
    </row>
    <row r="1913" spans="2:8">
      <c r="B1913" s="871">
        <v>46274</v>
      </c>
      <c r="C1913" t="s">
        <v>2478</v>
      </c>
      <c r="D1913" t="s">
        <v>1410</v>
      </c>
      <c r="E1913" t="s">
        <v>3435</v>
      </c>
      <c r="F1913" s="853" t="s">
        <v>526</v>
      </c>
      <c r="G1913" s="913" t="s">
        <v>1586</v>
      </c>
      <c r="H1913" t="s">
        <v>5179</v>
      </c>
    </row>
    <row r="1914" spans="2:8">
      <c r="B1914" s="871">
        <v>46274</v>
      </c>
      <c r="C1914" t="s">
        <v>2478</v>
      </c>
      <c r="D1914" t="s">
        <v>1410</v>
      </c>
      <c r="E1914" t="s">
        <v>3435</v>
      </c>
      <c r="F1914" s="853" t="s">
        <v>527</v>
      </c>
      <c r="G1914" s="913" t="s">
        <v>1213</v>
      </c>
      <c r="H1914" t="s">
        <v>5180</v>
      </c>
    </row>
    <row r="1915" spans="2:8">
      <c r="B1915" s="871">
        <v>46274</v>
      </c>
      <c r="C1915" t="s">
        <v>2478</v>
      </c>
      <c r="D1915" t="s">
        <v>1410</v>
      </c>
      <c r="E1915" t="s">
        <v>3435</v>
      </c>
      <c r="F1915" s="853" t="s">
        <v>528</v>
      </c>
      <c r="G1915" s="913" t="s">
        <v>1213</v>
      </c>
      <c r="H1915" t="s">
        <v>5181</v>
      </c>
    </row>
    <row r="1916" spans="2:8">
      <c r="B1916" s="871">
        <v>46274</v>
      </c>
      <c r="C1916" t="s">
        <v>2478</v>
      </c>
      <c r="D1916" t="s">
        <v>1434</v>
      </c>
      <c r="E1916" t="s">
        <v>3439</v>
      </c>
      <c r="F1916" s="853" t="s">
        <v>526</v>
      </c>
      <c r="H1916" t="s">
        <v>5182</v>
      </c>
    </row>
    <row r="1917" spans="2:8">
      <c r="B1917" s="871">
        <v>46274</v>
      </c>
      <c r="C1917" t="s">
        <v>2478</v>
      </c>
      <c r="D1917" t="s">
        <v>1434</v>
      </c>
      <c r="E1917" t="s">
        <v>3439</v>
      </c>
      <c r="F1917" s="853" t="s">
        <v>527</v>
      </c>
      <c r="H1917" t="s">
        <v>5183</v>
      </c>
    </row>
    <row r="1918" spans="2:8">
      <c r="B1918" s="871">
        <v>46274</v>
      </c>
      <c r="C1918" t="s">
        <v>2478</v>
      </c>
      <c r="D1918" t="s">
        <v>1434</v>
      </c>
      <c r="E1918" t="s">
        <v>3439</v>
      </c>
      <c r="F1918" s="853" t="s">
        <v>528</v>
      </c>
      <c r="G1918" s="913" t="s">
        <v>1785</v>
      </c>
      <c r="H1918" t="s">
        <v>5184</v>
      </c>
    </row>
    <row r="1919" spans="2:8">
      <c r="B1919" s="871">
        <v>46274</v>
      </c>
      <c r="C1919" t="s">
        <v>2478</v>
      </c>
      <c r="D1919" t="s">
        <v>1410</v>
      </c>
      <c r="E1919" t="s">
        <v>3443</v>
      </c>
      <c r="F1919" s="853" t="s">
        <v>526</v>
      </c>
      <c r="H1919" t="s">
        <v>5185</v>
      </c>
    </row>
    <row r="1920" spans="2:8">
      <c r="B1920" s="871">
        <v>46274</v>
      </c>
      <c r="C1920" t="s">
        <v>2478</v>
      </c>
      <c r="D1920" t="s">
        <v>1410</v>
      </c>
      <c r="E1920" t="s">
        <v>3443</v>
      </c>
      <c r="F1920" s="853" t="s">
        <v>527</v>
      </c>
      <c r="G1920" s="913">
        <v>135</v>
      </c>
      <c r="H1920" t="s">
        <v>5186</v>
      </c>
    </row>
    <row r="1921" spans="2:8">
      <c r="B1921" s="871">
        <v>46274</v>
      </c>
      <c r="C1921" t="s">
        <v>2478</v>
      </c>
      <c r="D1921" t="s">
        <v>1410</v>
      </c>
      <c r="E1921" t="s">
        <v>3443</v>
      </c>
      <c r="F1921" s="853" t="s">
        <v>528</v>
      </c>
      <c r="G1921" s="913">
        <v>136</v>
      </c>
      <c r="H1921" t="s">
        <v>5187</v>
      </c>
    </row>
    <row r="1922" spans="2:8">
      <c r="B1922" s="871">
        <v>46274</v>
      </c>
      <c r="C1922" t="s">
        <v>2478</v>
      </c>
      <c r="D1922" t="s">
        <v>1434</v>
      </c>
      <c r="E1922" t="s">
        <v>3447</v>
      </c>
      <c r="F1922" s="853" t="s">
        <v>526</v>
      </c>
      <c r="H1922" t="s">
        <v>5188</v>
      </c>
    </row>
    <row r="1923" spans="2:8">
      <c r="B1923" s="871">
        <v>46274</v>
      </c>
      <c r="C1923" t="s">
        <v>2478</v>
      </c>
      <c r="D1923" t="s">
        <v>1434</v>
      </c>
      <c r="E1923" t="s">
        <v>3447</v>
      </c>
      <c r="F1923" s="853" t="s">
        <v>527</v>
      </c>
      <c r="H1923" t="s">
        <v>5189</v>
      </c>
    </row>
    <row r="1924" spans="2:8">
      <c r="B1924" s="871">
        <v>46274</v>
      </c>
      <c r="C1924" t="s">
        <v>2478</v>
      </c>
      <c r="D1924" t="s">
        <v>1434</v>
      </c>
      <c r="E1924" t="s">
        <v>3447</v>
      </c>
      <c r="F1924" s="853" t="s">
        <v>528</v>
      </c>
      <c r="G1924" s="913" t="s">
        <v>1440</v>
      </c>
      <c r="H1924" t="s">
        <v>5190</v>
      </c>
    </row>
    <row r="1925" spans="2:8">
      <c r="B1925" s="871">
        <v>46274</v>
      </c>
      <c r="C1925" t="s">
        <v>2478</v>
      </c>
      <c r="D1925" t="s">
        <v>1410</v>
      </c>
      <c r="E1925" t="s">
        <v>3451</v>
      </c>
      <c r="F1925" s="853" t="s">
        <v>526</v>
      </c>
      <c r="H1925" t="s">
        <v>5191</v>
      </c>
    </row>
    <row r="1926" spans="2:8">
      <c r="B1926" s="871">
        <v>46274</v>
      </c>
      <c r="C1926" t="s">
        <v>2478</v>
      </c>
      <c r="D1926" t="s">
        <v>1410</v>
      </c>
      <c r="E1926" t="s">
        <v>3451</v>
      </c>
      <c r="F1926" s="853" t="s">
        <v>527</v>
      </c>
      <c r="G1926" s="913">
        <v>1307</v>
      </c>
      <c r="H1926" t="s">
        <v>5192</v>
      </c>
    </row>
    <row r="1927" spans="2:8">
      <c r="B1927" s="871">
        <v>46274</v>
      </c>
      <c r="C1927" t="s">
        <v>2478</v>
      </c>
      <c r="D1927" t="s">
        <v>1410</v>
      </c>
      <c r="E1927" t="s">
        <v>3451</v>
      </c>
      <c r="F1927" s="853" t="s">
        <v>528</v>
      </c>
      <c r="G1927" s="913">
        <v>1310</v>
      </c>
      <c r="H1927" t="s">
        <v>5193</v>
      </c>
    </row>
    <row r="1928" spans="2:8">
      <c r="B1928" s="871">
        <v>46274</v>
      </c>
      <c r="C1928" t="s">
        <v>2478</v>
      </c>
      <c r="D1928" t="s">
        <v>1434</v>
      </c>
      <c r="E1928" t="s">
        <v>3455</v>
      </c>
      <c r="F1928" s="853" t="s">
        <v>526</v>
      </c>
      <c r="H1928" t="s">
        <v>5194</v>
      </c>
    </row>
    <row r="1929" spans="2:8">
      <c r="B1929" s="871">
        <v>46274</v>
      </c>
      <c r="C1929" t="s">
        <v>2478</v>
      </c>
      <c r="D1929" t="s">
        <v>1434</v>
      </c>
      <c r="E1929" t="s">
        <v>3455</v>
      </c>
      <c r="F1929" s="853" t="s">
        <v>527</v>
      </c>
      <c r="H1929" t="s">
        <v>5195</v>
      </c>
    </row>
    <row r="1930" spans="2:8">
      <c r="B1930" s="871">
        <v>46274</v>
      </c>
      <c r="C1930" t="s">
        <v>2478</v>
      </c>
      <c r="D1930" t="s">
        <v>1434</v>
      </c>
      <c r="E1930" t="s">
        <v>3455</v>
      </c>
      <c r="F1930" s="853" t="s">
        <v>528</v>
      </c>
      <c r="G1930" s="913" t="s">
        <v>1786</v>
      </c>
      <c r="H1930" t="s">
        <v>5196</v>
      </c>
    </row>
    <row r="1931" spans="2:8">
      <c r="B1931" s="871">
        <v>46274</v>
      </c>
      <c r="C1931" t="s">
        <v>2478</v>
      </c>
      <c r="D1931" t="s">
        <v>1410</v>
      </c>
      <c r="E1931" t="s">
        <v>3459</v>
      </c>
      <c r="F1931" s="853" t="s">
        <v>526</v>
      </c>
      <c r="G1931" s="913">
        <v>28</v>
      </c>
      <c r="H1931" t="s">
        <v>5197</v>
      </c>
    </row>
    <row r="1932" spans="2:8">
      <c r="B1932" s="871">
        <v>46274</v>
      </c>
      <c r="C1932" t="s">
        <v>2478</v>
      </c>
      <c r="D1932" t="s">
        <v>1410</v>
      </c>
      <c r="E1932" t="s">
        <v>3459</v>
      </c>
      <c r="F1932" s="853" t="s">
        <v>527</v>
      </c>
      <c r="G1932" s="913">
        <v>27</v>
      </c>
      <c r="H1932" t="s">
        <v>5198</v>
      </c>
    </row>
    <row r="1933" spans="2:8">
      <c r="B1933" s="871">
        <v>46274</v>
      </c>
      <c r="C1933" t="s">
        <v>2478</v>
      </c>
      <c r="D1933" t="s">
        <v>1410</v>
      </c>
      <c r="E1933" t="s">
        <v>3459</v>
      </c>
      <c r="F1933" s="853" t="s">
        <v>528</v>
      </c>
      <c r="G1933" s="913">
        <v>26</v>
      </c>
      <c r="H1933" t="s">
        <v>5199</v>
      </c>
    </row>
    <row r="1934" spans="2:8">
      <c r="B1934" s="871">
        <v>46274</v>
      </c>
      <c r="C1934" t="s">
        <v>2478</v>
      </c>
      <c r="D1934" t="s">
        <v>1434</v>
      </c>
      <c r="E1934" t="s">
        <v>3463</v>
      </c>
      <c r="F1934" s="853" t="s">
        <v>526</v>
      </c>
      <c r="H1934" t="s">
        <v>5200</v>
      </c>
    </row>
    <row r="1935" spans="2:8">
      <c r="B1935" s="871">
        <v>46274</v>
      </c>
      <c r="C1935" t="s">
        <v>2478</v>
      </c>
      <c r="D1935" t="s">
        <v>1434</v>
      </c>
      <c r="E1935" t="s">
        <v>3463</v>
      </c>
      <c r="F1935" s="853" t="s">
        <v>527</v>
      </c>
      <c r="H1935" t="s">
        <v>5201</v>
      </c>
    </row>
    <row r="1936" spans="2:8">
      <c r="B1936" s="871">
        <v>46274</v>
      </c>
      <c r="C1936" t="s">
        <v>2478</v>
      </c>
      <c r="D1936" t="s">
        <v>1434</v>
      </c>
      <c r="E1936" t="s">
        <v>3463</v>
      </c>
      <c r="F1936" s="853" t="s">
        <v>528</v>
      </c>
      <c r="H1936" t="s">
        <v>5202</v>
      </c>
    </row>
    <row r="1937" spans="2:8">
      <c r="B1937" s="871">
        <v>46274</v>
      </c>
      <c r="C1937" t="s">
        <v>2478</v>
      </c>
      <c r="D1937" t="s">
        <v>1410</v>
      </c>
      <c r="E1937" t="s">
        <v>3467</v>
      </c>
      <c r="F1937" s="853" t="s">
        <v>526</v>
      </c>
      <c r="G1937" s="913">
        <v>28</v>
      </c>
      <c r="H1937" t="s">
        <v>5203</v>
      </c>
    </row>
    <row r="1938" spans="2:8">
      <c r="B1938" s="871">
        <v>46274</v>
      </c>
      <c r="C1938" t="s">
        <v>2478</v>
      </c>
      <c r="D1938" t="s">
        <v>1410</v>
      </c>
      <c r="E1938" t="s">
        <v>3467</v>
      </c>
      <c r="F1938" s="853" t="s">
        <v>527</v>
      </c>
      <c r="G1938" s="913">
        <v>27</v>
      </c>
      <c r="H1938" t="s">
        <v>5204</v>
      </c>
    </row>
    <row r="1939" spans="2:8">
      <c r="B1939" s="871">
        <v>46274</v>
      </c>
      <c r="C1939" t="s">
        <v>2478</v>
      </c>
      <c r="D1939" t="s">
        <v>1410</v>
      </c>
      <c r="E1939" t="s">
        <v>3467</v>
      </c>
      <c r="F1939" s="853" t="s">
        <v>528</v>
      </c>
      <c r="G1939" s="913">
        <v>26</v>
      </c>
      <c r="H1939" t="s">
        <v>5205</v>
      </c>
    </row>
    <row r="1940" spans="2:8">
      <c r="B1940" s="871">
        <v>46274</v>
      </c>
      <c r="C1940" t="s">
        <v>2478</v>
      </c>
      <c r="D1940" t="s">
        <v>1434</v>
      </c>
      <c r="E1940" t="s">
        <v>3471</v>
      </c>
      <c r="F1940" s="853" t="s">
        <v>526</v>
      </c>
      <c r="H1940" t="s">
        <v>5206</v>
      </c>
    </row>
    <row r="1941" spans="2:8">
      <c r="B1941" s="871">
        <v>46274</v>
      </c>
      <c r="C1941" t="s">
        <v>2478</v>
      </c>
      <c r="D1941" t="s">
        <v>1434</v>
      </c>
      <c r="E1941" t="s">
        <v>3471</v>
      </c>
      <c r="F1941" s="853" t="s">
        <v>527</v>
      </c>
      <c r="H1941" t="s">
        <v>5207</v>
      </c>
    </row>
    <row r="1942" spans="2:8">
      <c r="B1942" s="871">
        <v>46274</v>
      </c>
      <c r="C1942" t="s">
        <v>2478</v>
      </c>
      <c r="D1942" t="s">
        <v>1434</v>
      </c>
      <c r="E1942" t="s">
        <v>3471</v>
      </c>
      <c r="F1942" s="853" t="s">
        <v>528</v>
      </c>
      <c r="H1942" t="s">
        <v>5208</v>
      </c>
    </row>
    <row r="1943" spans="2:8">
      <c r="B1943" s="871">
        <v>46274</v>
      </c>
      <c r="C1943" t="s">
        <v>2478</v>
      </c>
      <c r="D1943" t="s">
        <v>1410</v>
      </c>
      <c r="E1943" t="s">
        <v>3475</v>
      </c>
      <c r="F1943" s="853" t="s">
        <v>526</v>
      </c>
      <c r="G1943" s="913">
        <v>19</v>
      </c>
      <c r="H1943" t="s">
        <v>5209</v>
      </c>
    </row>
    <row r="1944" spans="2:8">
      <c r="B1944" s="871">
        <v>46274</v>
      </c>
      <c r="C1944" t="s">
        <v>2478</v>
      </c>
      <c r="D1944" t="s">
        <v>1410</v>
      </c>
      <c r="E1944" t="s">
        <v>3475</v>
      </c>
      <c r="F1944" s="853" t="s">
        <v>527</v>
      </c>
      <c r="G1944" s="913">
        <v>17</v>
      </c>
      <c r="H1944" t="s">
        <v>5210</v>
      </c>
    </row>
    <row r="1945" spans="2:8">
      <c r="B1945" s="871">
        <v>46274</v>
      </c>
      <c r="C1945" t="s">
        <v>2478</v>
      </c>
      <c r="D1945" t="s">
        <v>1410</v>
      </c>
      <c r="E1945" t="s">
        <v>3475</v>
      </c>
      <c r="F1945" s="853" t="s">
        <v>528</v>
      </c>
      <c r="G1945" s="913">
        <v>15</v>
      </c>
      <c r="H1945" t="s">
        <v>5211</v>
      </c>
    </row>
    <row r="1946" spans="2:8">
      <c r="B1946" s="871">
        <v>46274</v>
      </c>
      <c r="C1946" t="s">
        <v>2478</v>
      </c>
      <c r="D1946" t="s">
        <v>1434</v>
      </c>
      <c r="E1946" t="s">
        <v>3479</v>
      </c>
      <c r="F1946" s="853" t="s">
        <v>526</v>
      </c>
      <c r="H1946" t="s">
        <v>5212</v>
      </c>
    </row>
    <row r="1947" spans="2:8">
      <c r="B1947" s="871">
        <v>46274</v>
      </c>
      <c r="C1947" t="s">
        <v>2478</v>
      </c>
      <c r="D1947" t="s">
        <v>1434</v>
      </c>
      <c r="E1947" t="s">
        <v>3479</v>
      </c>
      <c r="F1947" s="853" t="s">
        <v>527</v>
      </c>
      <c r="H1947" t="s">
        <v>5213</v>
      </c>
    </row>
    <row r="1948" spans="2:8">
      <c r="B1948" s="871">
        <v>46274</v>
      </c>
      <c r="C1948" t="s">
        <v>2478</v>
      </c>
      <c r="D1948" t="s">
        <v>1434</v>
      </c>
      <c r="E1948" t="s">
        <v>3479</v>
      </c>
      <c r="F1948" s="853" t="s">
        <v>528</v>
      </c>
      <c r="H1948" t="s">
        <v>5214</v>
      </c>
    </row>
    <row r="1949" spans="2:8">
      <c r="B1949" s="871">
        <v>46274</v>
      </c>
      <c r="C1949" t="s">
        <v>2478</v>
      </c>
      <c r="D1949" t="s">
        <v>1410</v>
      </c>
      <c r="E1949" t="s">
        <v>3483</v>
      </c>
      <c r="F1949" s="853" t="s">
        <v>526</v>
      </c>
      <c r="G1949" s="913">
        <v>5</v>
      </c>
      <c r="H1949" t="s">
        <v>5215</v>
      </c>
    </row>
    <row r="1950" spans="2:8">
      <c r="B1950" s="871">
        <v>46274</v>
      </c>
      <c r="C1950" t="s">
        <v>2478</v>
      </c>
      <c r="D1950" t="s">
        <v>1410</v>
      </c>
      <c r="E1950" t="s">
        <v>3483</v>
      </c>
      <c r="F1950" s="853" t="s">
        <v>527</v>
      </c>
      <c r="G1950" s="913">
        <v>5</v>
      </c>
      <c r="H1950" t="s">
        <v>5216</v>
      </c>
    </row>
    <row r="1951" spans="2:8">
      <c r="B1951" s="871">
        <v>46274</v>
      </c>
      <c r="C1951" t="s">
        <v>2478</v>
      </c>
      <c r="D1951" t="s">
        <v>1410</v>
      </c>
      <c r="E1951" t="s">
        <v>3483</v>
      </c>
      <c r="F1951" s="853" t="s">
        <v>528</v>
      </c>
      <c r="G1951" s="913">
        <v>5</v>
      </c>
      <c r="H1951" t="s">
        <v>5217</v>
      </c>
    </row>
    <row r="1952" spans="2:8">
      <c r="B1952" s="871">
        <v>46275</v>
      </c>
      <c r="C1952" t="s">
        <v>2479</v>
      </c>
      <c r="D1952" t="s">
        <v>1375</v>
      </c>
      <c r="E1952" t="s">
        <v>1377</v>
      </c>
      <c r="F1952" s="853" t="s">
        <v>526</v>
      </c>
      <c r="G1952" s="913" t="s">
        <v>1622</v>
      </c>
      <c r="H1952" t="s">
        <v>5218</v>
      </c>
    </row>
    <row r="1953" spans="2:8">
      <c r="B1953" s="871">
        <v>46275</v>
      </c>
      <c r="C1953" t="s">
        <v>2479</v>
      </c>
      <c r="D1953" t="s">
        <v>1375</v>
      </c>
      <c r="E1953" t="s">
        <v>1377</v>
      </c>
      <c r="F1953" s="853" t="s">
        <v>527</v>
      </c>
      <c r="G1953" s="913" t="s">
        <v>1622</v>
      </c>
      <c r="H1953" t="s">
        <v>5219</v>
      </c>
    </row>
    <row r="1954" spans="2:8">
      <c r="B1954" s="871">
        <v>46275</v>
      </c>
      <c r="C1954" t="s">
        <v>2479</v>
      </c>
      <c r="D1954" t="s">
        <v>1375</v>
      </c>
      <c r="E1954" t="s">
        <v>1377</v>
      </c>
      <c r="F1954" s="853" t="s">
        <v>528</v>
      </c>
      <c r="G1954" s="913" t="s">
        <v>1622</v>
      </c>
      <c r="H1954" t="s">
        <v>5220</v>
      </c>
    </row>
    <row r="1955" spans="2:8">
      <c r="B1955" s="871">
        <v>46275</v>
      </c>
      <c r="C1955" t="s">
        <v>2479</v>
      </c>
      <c r="D1955" t="s">
        <v>1376</v>
      </c>
      <c r="E1955" t="s">
        <v>1379</v>
      </c>
      <c r="F1955" s="853" t="s">
        <v>526</v>
      </c>
      <c r="H1955" t="s">
        <v>5221</v>
      </c>
    </row>
    <row r="1956" spans="2:8">
      <c r="B1956" s="871">
        <v>46275</v>
      </c>
      <c r="C1956" t="s">
        <v>2479</v>
      </c>
      <c r="D1956" t="s">
        <v>1376</v>
      </c>
      <c r="E1956" t="s">
        <v>1379</v>
      </c>
      <c r="F1956" s="853" t="s">
        <v>527</v>
      </c>
      <c r="H1956" t="s">
        <v>5222</v>
      </c>
    </row>
    <row r="1957" spans="2:8">
      <c r="B1957" s="871">
        <v>46275</v>
      </c>
      <c r="C1957" t="s">
        <v>2479</v>
      </c>
      <c r="D1957" t="s">
        <v>1376</v>
      </c>
      <c r="E1957" t="s">
        <v>1379</v>
      </c>
      <c r="F1957" s="853" t="s">
        <v>528</v>
      </c>
      <c r="H1957" t="s">
        <v>5223</v>
      </c>
    </row>
    <row r="1958" spans="2:8">
      <c r="B1958" s="871">
        <v>46275</v>
      </c>
      <c r="C1958" t="s">
        <v>2479</v>
      </c>
      <c r="D1958" t="s">
        <v>1375</v>
      </c>
      <c r="E1958" t="s">
        <v>1380</v>
      </c>
      <c r="F1958" s="853" t="s">
        <v>526</v>
      </c>
      <c r="G1958" s="913" t="s">
        <v>1739</v>
      </c>
      <c r="H1958" t="s">
        <v>5224</v>
      </c>
    </row>
    <row r="1959" spans="2:8">
      <c r="B1959" s="871">
        <v>46275</v>
      </c>
      <c r="C1959" t="s">
        <v>2479</v>
      </c>
      <c r="D1959" t="s">
        <v>1375</v>
      </c>
      <c r="E1959" t="s">
        <v>1380</v>
      </c>
      <c r="F1959" s="853" t="s">
        <v>527</v>
      </c>
      <c r="G1959" s="913" t="s">
        <v>1739</v>
      </c>
      <c r="H1959" t="s">
        <v>5225</v>
      </c>
    </row>
    <row r="1960" spans="2:8">
      <c r="B1960" s="871">
        <v>46275</v>
      </c>
      <c r="C1960" t="s">
        <v>2479</v>
      </c>
      <c r="D1960" t="s">
        <v>1375</v>
      </c>
      <c r="E1960" t="s">
        <v>1380</v>
      </c>
      <c r="F1960" s="853" t="s">
        <v>528</v>
      </c>
      <c r="G1960" s="913" t="s">
        <v>1804</v>
      </c>
      <c r="H1960" t="s">
        <v>5226</v>
      </c>
    </row>
    <row r="1961" spans="2:8">
      <c r="B1961" s="871">
        <v>46275</v>
      </c>
      <c r="C1961" t="s">
        <v>2479</v>
      </c>
      <c r="D1961" t="s">
        <v>1376</v>
      </c>
      <c r="E1961" t="s">
        <v>1383</v>
      </c>
      <c r="F1961" s="853" t="s">
        <v>526</v>
      </c>
      <c r="G1961" s="913">
        <v>0</v>
      </c>
      <c r="H1961" t="s">
        <v>5227</v>
      </c>
    </row>
    <row r="1962" spans="2:8">
      <c r="B1962" s="871">
        <v>46275</v>
      </c>
      <c r="C1962" t="s">
        <v>2479</v>
      </c>
      <c r="D1962" t="s">
        <v>1376</v>
      </c>
      <c r="E1962" t="s">
        <v>1383</v>
      </c>
      <c r="F1962" s="853" t="s">
        <v>527</v>
      </c>
      <c r="H1962" t="s">
        <v>5228</v>
      </c>
    </row>
    <row r="1963" spans="2:8">
      <c r="B1963" s="871">
        <v>46275</v>
      </c>
      <c r="C1963" t="s">
        <v>2479</v>
      </c>
      <c r="D1963" t="s">
        <v>1376</v>
      </c>
      <c r="E1963" t="s">
        <v>1383</v>
      </c>
      <c r="F1963" s="853" t="s">
        <v>528</v>
      </c>
      <c r="G1963" s="913">
        <v>0</v>
      </c>
      <c r="H1963" t="s">
        <v>5229</v>
      </c>
    </row>
    <row r="1964" spans="2:8">
      <c r="B1964" s="871">
        <v>46275</v>
      </c>
      <c r="C1964" t="s">
        <v>2479</v>
      </c>
      <c r="D1964" t="s">
        <v>1375</v>
      </c>
      <c r="E1964" t="s">
        <v>54</v>
      </c>
      <c r="F1964" s="853" t="s">
        <v>526</v>
      </c>
      <c r="H1964" t="s">
        <v>5230</v>
      </c>
    </row>
    <row r="1965" spans="2:8">
      <c r="B1965" s="871">
        <v>46275</v>
      </c>
      <c r="C1965" t="s">
        <v>2479</v>
      </c>
      <c r="D1965" t="s">
        <v>1375</v>
      </c>
      <c r="E1965" t="s">
        <v>54</v>
      </c>
      <c r="F1965" s="853" t="s">
        <v>527</v>
      </c>
      <c r="H1965" t="s">
        <v>5231</v>
      </c>
    </row>
    <row r="1966" spans="2:8">
      <c r="B1966" s="871">
        <v>46275</v>
      </c>
      <c r="C1966" t="s">
        <v>2479</v>
      </c>
      <c r="D1966" t="s">
        <v>1375</v>
      </c>
      <c r="E1966" t="s">
        <v>54</v>
      </c>
      <c r="F1966" s="853" t="s">
        <v>528</v>
      </c>
      <c r="H1966" t="s">
        <v>5232</v>
      </c>
    </row>
    <row r="1967" spans="2:8">
      <c r="B1967" s="871">
        <v>46275</v>
      </c>
      <c r="C1967" t="s">
        <v>2479</v>
      </c>
      <c r="D1967" t="s">
        <v>1376</v>
      </c>
      <c r="E1967" t="s">
        <v>1384</v>
      </c>
      <c r="F1967" s="853" t="s">
        <v>526</v>
      </c>
      <c r="G1967" s="913">
        <v>0.4</v>
      </c>
      <c r="H1967" t="s">
        <v>5233</v>
      </c>
    </row>
    <row r="1968" spans="2:8">
      <c r="B1968" s="871">
        <v>46275</v>
      </c>
      <c r="C1968" t="s">
        <v>2479</v>
      </c>
      <c r="D1968" t="s">
        <v>1376</v>
      </c>
      <c r="E1968" t="s">
        <v>1384</v>
      </c>
      <c r="F1968" s="853" t="s">
        <v>527</v>
      </c>
      <c r="H1968" t="s">
        <v>5234</v>
      </c>
    </row>
    <row r="1969" spans="2:8">
      <c r="B1969" s="871">
        <v>46275</v>
      </c>
      <c r="C1969" t="s">
        <v>2479</v>
      </c>
      <c r="D1969" t="s">
        <v>1376</v>
      </c>
      <c r="E1969" t="s">
        <v>1384</v>
      </c>
      <c r="F1969" s="853" t="s">
        <v>528</v>
      </c>
      <c r="G1969" s="913">
        <v>0.4</v>
      </c>
      <c r="H1969" t="s">
        <v>5235</v>
      </c>
    </row>
    <row r="1970" spans="2:8">
      <c r="B1970" s="871">
        <v>46275</v>
      </c>
      <c r="C1970" t="s">
        <v>2479</v>
      </c>
      <c r="D1970" t="s">
        <v>1375</v>
      </c>
      <c r="E1970" t="s">
        <v>1385</v>
      </c>
      <c r="F1970" s="853" t="s">
        <v>526</v>
      </c>
      <c r="G1970" s="913">
        <v>546</v>
      </c>
      <c r="H1970" t="s">
        <v>5236</v>
      </c>
    </row>
    <row r="1971" spans="2:8">
      <c r="B1971" s="871">
        <v>46275</v>
      </c>
      <c r="C1971" t="s">
        <v>2479</v>
      </c>
      <c r="D1971" t="s">
        <v>1375</v>
      </c>
      <c r="E1971" t="s">
        <v>1385</v>
      </c>
      <c r="F1971" s="853" t="s">
        <v>527</v>
      </c>
      <c r="G1971" s="913">
        <v>1533</v>
      </c>
      <c r="H1971" t="s">
        <v>5237</v>
      </c>
    </row>
    <row r="1972" spans="2:8">
      <c r="B1972" s="871">
        <v>46275</v>
      </c>
      <c r="C1972" t="s">
        <v>2479</v>
      </c>
      <c r="D1972" t="s">
        <v>1375</v>
      </c>
      <c r="E1972" t="s">
        <v>1385</v>
      </c>
      <c r="F1972" s="853" t="s">
        <v>528</v>
      </c>
      <c r="G1972" s="913">
        <v>3381</v>
      </c>
      <c r="H1972" t="s">
        <v>5238</v>
      </c>
    </row>
    <row r="1973" spans="2:8">
      <c r="B1973" s="871">
        <v>46275</v>
      </c>
      <c r="C1973" t="s">
        <v>2479</v>
      </c>
      <c r="D1973" t="s">
        <v>1376</v>
      </c>
      <c r="E1973" t="s">
        <v>1386</v>
      </c>
      <c r="F1973" s="853" t="s">
        <v>526</v>
      </c>
      <c r="G1973" s="913">
        <v>0.46</v>
      </c>
      <c r="H1973" t="s">
        <v>5239</v>
      </c>
    </row>
    <row r="1974" spans="2:8">
      <c r="B1974" s="871">
        <v>46275</v>
      </c>
      <c r="C1974" t="s">
        <v>2479</v>
      </c>
      <c r="D1974" t="s">
        <v>1376</v>
      </c>
      <c r="E1974" t="s">
        <v>1386</v>
      </c>
      <c r="F1974" s="853" t="s">
        <v>527</v>
      </c>
      <c r="H1974" t="s">
        <v>5240</v>
      </c>
    </row>
    <row r="1975" spans="2:8">
      <c r="B1975" s="871">
        <v>46275</v>
      </c>
      <c r="C1975" t="s">
        <v>2479</v>
      </c>
      <c r="D1975" t="s">
        <v>1376</v>
      </c>
      <c r="E1975" t="s">
        <v>1386</v>
      </c>
      <c r="F1975" s="853" t="s">
        <v>528</v>
      </c>
      <c r="G1975" s="913">
        <v>0.44</v>
      </c>
      <c r="H1975" t="s">
        <v>5241</v>
      </c>
    </row>
    <row r="1976" spans="2:8">
      <c r="B1976" s="871">
        <v>46275</v>
      </c>
      <c r="C1976" t="s">
        <v>2479</v>
      </c>
      <c r="D1976" t="s">
        <v>1376</v>
      </c>
      <c r="E1976" t="s">
        <v>1387</v>
      </c>
      <c r="F1976" s="853" t="s">
        <v>526</v>
      </c>
      <c r="G1976" s="913">
        <v>8.4</v>
      </c>
      <c r="H1976" t="s">
        <v>5242</v>
      </c>
    </row>
    <row r="1977" spans="2:8">
      <c r="B1977" s="871">
        <v>46275</v>
      </c>
      <c r="C1977" t="s">
        <v>2479</v>
      </c>
      <c r="D1977" t="s">
        <v>1376</v>
      </c>
      <c r="E1977" t="s">
        <v>1387</v>
      </c>
      <c r="F1977" s="853" t="s">
        <v>527</v>
      </c>
      <c r="H1977" t="s">
        <v>5243</v>
      </c>
    </row>
    <row r="1978" spans="2:8">
      <c r="B1978" s="871">
        <v>46275</v>
      </c>
      <c r="C1978" t="s">
        <v>2479</v>
      </c>
      <c r="D1978" t="s">
        <v>1376</v>
      </c>
      <c r="E1978" t="s">
        <v>1387</v>
      </c>
      <c r="F1978" s="853" t="s">
        <v>528</v>
      </c>
      <c r="G1978" s="913">
        <v>8.1</v>
      </c>
      <c r="H1978" t="s">
        <v>5244</v>
      </c>
    </row>
    <row r="1979" spans="2:8">
      <c r="B1979" s="871">
        <v>46275</v>
      </c>
      <c r="C1979" t="s">
        <v>2479</v>
      </c>
      <c r="D1979" t="s">
        <v>1375</v>
      </c>
      <c r="E1979" t="s">
        <v>1388</v>
      </c>
      <c r="F1979" s="853" t="s">
        <v>526</v>
      </c>
      <c r="H1979" t="s">
        <v>5245</v>
      </c>
    </row>
    <row r="1980" spans="2:8">
      <c r="B1980" s="871">
        <v>46275</v>
      </c>
      <c r="C1980" t="s">
        <v>2479</v>
      </c>
      <c r="D1980" t="s">
        <v>1375</v>
      </c>
      <c r="E1980" t="s">
        <v>1388</v>
      </c>
      <c r="F1980" s="853" t="s">
        <v>527</v>
      </c>
      <c r="H1980" t="s">
        <v>5246</v>
      </c>
    </row>
    <row r="1981" spans="2:8">
      <c r="B1981" s="871">
        <v>46275</v>
      </c>
      <c r="C1981" t="s">
        <v>2479</v>
      </c>
      <c r="D1981" t="s">
        <v>1375</v>
      </c>
      <c r="E1981" t="s">
        <v>1388</v>
      </c>
      <c r="F1981" s="853" t="s">
        <v>528</v>
      </c>
      <c r="H1981" t="s">
        <v>5247</v>
      </c>
    </row>
    <row r="1982" spans="2:8">
      <c r="B1982" s="871">
        <v>46275</v>
      </c>
      <c r="C1982" t="s">
        <v>2479</v>
      </c>
      <c r="D1982" t="s">
        <v>1376</v>
      </c>
      <c r="E1982" t="s">
        <v>1389</v>
      </c>
      <c r="F1982" s="853" t="s">
        <v>526</v>
      </c>
      <c r="G1982" s="913">
        <v>62.1</v>
      </c>
      <c r="H1982" t="s">
        <v>5248</v>
      </c>
    </row>
    <row r="1983" spans="2:8">
      <c r="B1983" s="871">
        <v>46275</v>
      </c>
      <c r="C1983" t="s">
        <v>2479</v>
      </c>
      <c r="D1983" t="s">
        <v>1376</v>
      </c>
      <c r="E1983" t="s">
        <v>1389</v>
      </c>
      <c r="F1983" s="853" t="s">
        <v>527</v>
      </c>
      <c r="H1983" t="s">
        <v>5249</v>
      </c>
    </row>
    <row r="1984" spans="2:8">
      <c r="B1984" s="871">
        <v>46275</v>
      </c>
      <c r="C1984" t="s">
        <v>2479</v>
      </c>
      <c r="D1984" t="s">
        <v>1376</v>
      </c>
      <c r="E1984" t="s">
        <v>1389</v>
      </c>
      <c r="F1984" s="853" t="s">
        <v>528</v>
      </c>
      <c r="G1984" s="913">
        <v>60.2</v>
      </c>
      <c r="H1984" t="s">
        <v>5250</v>
      </c>
    </row>
    <row r="1985" spans="2:8">
      <c r="B1985" s="871">
        <v>46275</v>
      </c>
      <c r="C1985" t="s">
        <v>2479</v>
      </c>
      <c r="D1985" t="s">
        <v>1375</v>
      </c>
      <c r="E1985" t="s">
        <v>3266</v>
      </c>
      <c r="F1985" s="853" t="s">
        <v>526</v>
      </c>
      <c r="G1985" s="913">
        <v>2</v>
      </c>
      <c r="H1985" t="s">
        <v>5251</v>
      </c>
    </row>
    <row r="1986" spans="2:8">
      <c r="B1986" s="871">
        <v>46275</v>
      </c>
      <c r="C1986" t="s">
        <v>2479</v>
      </c>
      <c r="D1986" t="s">
        <v>1375</v>
      </c>
      <c r="E1986" t="s">
        <v>3266</v>
      </c>
      <c r="F1986" s="853" t="s">
        <v>527</v>
      </c>
      <c r="G1986" s="913">
        <v>2</v>
      </c>
      <c r="H1986" t="s">
        <v>5252</v>
      </c>
    </row>
    <row r="1987" spans="2:8">
      <c r="B1987" s="871">
        <v>46275</v>
      </c>
      <c r="C1987" t="s">
        <v>2479</v>
      </c>
      <c r="D1987" t="s">
        <v>1375</v>
      </c>
      <c r="E1987" t="s">
        <v>3266</v>
      </c>
      <c r="F1987" s="853" t="s">
        <v>528</v>
      </c>
      <c r="G1987" s="913">
        <v>1</v>
      </c>
      <c r="H1987" t="s">
        <v>5253</v>
      </c>
    </row>
    <row r="1988" spans="2:8">
      <c r="B1988" s="871">
        <v>46275</v>
      </c>
      <c r="C1988" t="s">
        <v>2479</v>
      </c>
      <c r="D1988" t="s">
        <v>1376</v>
      </c>
      <c r="E1988" t="s">
        <v>1390</v>
      </c>
      <c r="F1988" s="853" t="s">
        <v>526</v>
      </c>
      <c r="G1988" s="913">
        <v>1.47E-3</v>
      </c>
      <c r="H1988" t="s">
        <v>5254</v>
      </c>
    </row>
    <row r="1989" spans="2:8">
      <c r="B1989" s="871">
        <v>46275</v>
      </c>
      <c r="C1989" t="s">
        <v>2479</v>
      </c>
      <c r="D1989" t="s">
        <v>1376</v>
      </c>
      <c r="E1989" t="s">
        <v>1390</v>
      </c>
      <c r="F1989" s="853" t="s">
        <v>527</v>
      </c>
      <c r="H1989" t="s">
        <v>5255</v>
      </c>
    </row>
    <row r="1990" spans="2:8">
      <c r="B1990" s="871">
        <v>46275</v>
      </c>
      <c r="C1990" t="s">
        <v>2479</v>
      </c>
      <c r="D1990" t="s">
        <v>1376</v>
      </c>
      <c r="E1990" t="s">
        <v>1390</v>
      </c>
      <c r="F1990" s="853" t="s">
        <v>528</v>
      </c>
      <c r="G1990" s="913">
        <v>1.83E-3</v>
      </c>
      <c r="H1990" t="s">
        <v>5256</v>
      </c>
    </row>
    <row r="1991" spans="2:8">
      <c r="B1991" s="871">
        <v>46275</v>
      </c>
      <c r="C1991" t="s">
        <v>2479</v>
      </c>
      <c r="D1991" t="s">
        <v>1375</v>
      </c>
      <c r="E1991" t="s">
        <v>3273</v>
      </c>
      <c r="F1991" s="853" t="s">
        <v>526</v>
      </c>
      <c r="G1991" s="913">
        <v>2</v>
      </c>
      <c r="H1991" t="s">
        <v>5257</v>
      </c>
    </row>
    <row r="1992" spans="2:8">
      <c r="B1992" s="871">
        <v>46275</v>
      </c>
      <c r="C1992" t="s">
        <v>2479</v>
      </c>
      <c r="D1992" t="s">
        <v>1375</v>
      </c>
      <c r="E1992" t="s">
        <v>3273</v>
      </c>
      <c r="F1992" s="853" t="s">
        <v>527</v>
      </c>
      <c r="G1992" s="913">
        <v>3</v>
      </c>
      <c r="H1992" t="s">
        <v>5258</v>
      </c>
    </row>
    <row r="1993" spans="2:8">
      <c r="B1993" s="871">
        <v>46275</v>
      </c>
      <c r="C1993" t="s">
        <v>2479</v>
      </c>
      <c r="D1993" t="s">
        <v>1375</v>
      </c>
      <c r="E1993" t="s">
        <v>3273</v>
      </c>
      <c r="F1993" s="853" t="s">
        <v>528</v>
      </c>
      <c r="G1993" s="913">
        <v>1</v>
      </c>
      <c r="H1993" t="s">
        <v>5259</v>
      </c>
    </row>
    <row r="1994" spans="2:8">
      <c r="B1994" s="871">
        <v>46275</v>
      </c>
      <c r="C1994" t="s">
        <v>2479</v>
      </c>
      <c r="D1994" t="s">
        <v>1376</v>
      </c>
      <c r="E1994" t="s">
        <v>1391</v>
      </c>
      <c r="F1994" s="853" t="s">
        <v>526</v>
      </c>
      <c r="H1994" t="s">
        <v>5260</v>
      </c>
    </row>
    <row r="1995" spans="2:8">
      <c r="B1995" s="871">
        <v>46275</v>
      </c>
      <c r="C1995" t="s">
        <v>2479</v>
      </c>
      <c r="D1995" t="s">
        <v>1376</v>
      </c>
      <c r="E1995" t="s">
        <v>1391</v>
      </c>
      <c r="F1995" s="853" t="s">
        <v>527</v>
      </c>
      <c r="H1995" t="s">
        <v>5261</v>
      </c>
    </row>
    <row r="1996" spans="2:8">
      <c r="B1996" s="871">
        <v>46275</v>
      </c>
      <c r="C1996" t="s">
        <v>2479</v>
      </c>
      <c r="D1996" t="s">
        <v>1376</v>
      </c>
      <c r="E1996" t="s">
        <v>1391</v>
      </c>
      <c r="F1996" s="853" t="s">
        <v>528</v>
      </c>
      <c r="G1996" s="913">
        <v>7502</v>
      </c>
      <c r="H1996" t="s">
        <v>5262</v>
      </c>
    </row>
    <row r="1997" spans="2:8">
      <c r="B1997" s="871">
        <v>46275</v>
      </c>
      <c r="C1997" t="s">
        <v>2479</v>
      </c>
      <c r="D1997" t="s">
        <v>1375</v>
      </c>
      <c r="E1997" t="s">
        <v>3280</v>
      </c>
      <c r="F1997" s="853" t="s">
        <v>526</v>
      </c>
      <c r="G1997" s="913">
        <v>2</v>
      </c>
      <c r="H1997" t="s">
        <v>5263</v>
      </c>
    </row>
    <row r="1998" spans="2:8">
      <c r="B1998" s="871">
        <v>46275</v>
      </c>
      <c r="C1998" t="s">
        <v>2479</v>
      </c>
      <c r="D1998" t="s">
        <v>1375</v>
      </c>
      <c r="E1998" t="s">
        <v>3280</v>
      </c>
      <c r="F1998" s="853" t="s">
        <v>527</v>
      </c>
      <c r="G1998" s="913">
        <v>2</v>
      </c>
      <c r="H1998" t="s">
        <v>5264</v>
      </c>
    </row>
    <row r="1999" spans="2:8">
      <c r="B1999" s="871">
        <v>46275</v>
      </c>
      <c r="C1999" t="s">
        <v>2479</v>
      </c>
      <c r="D1999" t="s">
        <v>1375</v>
      </c>
      <c r="E1999" t="s">
        <v>3280</v>
      </c>
      <c r="F1999" s="853" t="s">
        <v>528</v>
      </c>
      <c r="G1999" s="913">
        <v>1</v>
      </c>
      <c r="H1999" t="s">
        <v>5265</v>
      </c>
    </row>
    <row r="2000" spans="2:8">
      <c r="B2000" s="871">
        <v>46275</v>
      </c>
      <c r="C2000" t="s">
        <v>2479</v>
      </c>
      <c r="D2000" t="s">
        <v>1376</v>
      </c>
      <c r="E2000" t="s">
        <v>1392</v>
      </c>
      <c r="F2000" s="853" t="s">
        <v>526</v>
      </c>
      <c r="G2000" s="913">
        <v>7502</v>
      </c>
      <c r="H2000" t="s">
        <v>5266</v>
      </c>
    </row>
    <row r="2001" spans="2:8">
      <c r="B2001" s="871">
        <v>46275</v>
      </c>
      <c r="C2001" t="s">
        <v>2479</v>
      </c>
      <c r="D2001" t="s">
        <v>1376</v>
      </c>
      <c r="E2001" t="s">
        <v>1392</v>
      </c>
      <c r="F2001" s="853" t="s">
        <v>527</v>
      </c>
      <c r="H2001" t="s">
        <v>5267</v>
      </c>
    </row>
    <row r="2002" spans="2:8">
      <c r="B2002" s="871">
        <v>46275</v>
      </c>
      <c r="C2002" t="s">
        <v>2479</v>
      </c>
      <c r="D2002" t="s">
        <v>1376</v>
      </c>
      <c r="E2002" t="s">
        <v>1392</v>
      </c>
      <c r="F2002" s="853" t="s">
        <v>528</v>
      </c>
      <c r="H2002" t="s">
        <v>5268</v>
      </c>
    </row>
    <row r="2003" spans="2:8">
      <c r="B2003" s="871">
        <v>46275</v>
      </c>
      <c r="C2003" t="s">
        <v>2479</v>
      </c>
      <c r="D2003" t="s">
        <v>1375</v>
      </c>
      <c r="E2003" t="s">
        <v>3287</v>
      </c>
      <c r="F2003" s="853" t="s">
        <v>526</v>
      </c>
      <c r="G2003" s="913">
        <v>1</v>
      </c>
      <c r="H2003" t="s">
        <v>5269</v>
      </c>
    </row>
    <row r="2004" spans="2:8">
      <c r="B2004" s="871">
        <v>46275</v>
      </c>
      <c r="C2004" t="s">
        <v>2479</v>
      </c>
      <c r="D2004" t="s">
        <v>1375</v>
      </c>
      <c r="E2004" t="s">
        <v>3287</v>
      </c>
      <c r="F2004" s="853" t="s">
        <v>527</v>
      </c>
      <c r="G2004" s="913">
        <v>1</v>
      </c>
      <c r="H2004" t="s">
        <v>5270</v>
      </c>
    </row>
    <row r="2005" spans="2:8">
      <c r="B2005" s="871">
        <v>46275</v>
      </c>
      <c r="C2005" t="s">
        <v>2479</v>
      </c>
      <c r="D2005" t="s">
        <v>1375</v>
      </c>
      <c r="E2005" t="s">
        <v>3287</v>
      </c>
      <c r="F2005" s="853" t="s">
        <v>528</v>
      </c>
      <c r="G2005" s="913">
        <v>1</v>
      </c>
      <c r="H2005" t="s">
        <v>5271</v>
      </c>
    </row>
    <row r="2006" spans="2:8">
      <c r="B2006" s="871">
        <v>46275</v>
      </c>
      <c r="C2006" t="s">
        <v>2479</v>
      </c>
      <c r="D2006" t="s">
        <v>1376</v>
      </c>
      <c r="E2006" t="s">
        <v>453</v>
      </c>
      <c r="F2006" s="853" t="s">
        <v>526</v>
      </c>
      <c r="H2006" t="s">
        <v>5272</v>
      </c>
    </row>
    <row r="2007" spans="2:8">
      <c r="B2007" s="871">
        <v>46275</v>
      </c>
      <c r="C2007" t="s">
        <v>2479</v>
      </c>
      <c r="D2007" t="s">
        <v>1376</v>
      </c>
      <c r="E2007" t="s">
        <v>453</v>
      </c>
      <c r="F2007" s="853" t="s">
        <v>527</v>
      </c>
      <c r="H2007" t="s">
        <v>5273</v>
      </c>
    </row>
    <row r="2008" spans="2:8">
      <c r="B2008" s="871">
        <v>46275</v>
      </c>
      <c r="C2008" t="s">
        <v>2479</v>
      </c>
      <c r="D2008" t="s">
        <v>1376</v>
      </c>
      <c r="E2008" t="s">
        <v>453</v>
      </c>
      <c r="F2008" s="853" t="s">
        <v>528</v>
      </c>
      <c r="H2008" t="s">
        <v>5274</v>
      </c>
    </row>
    <row r="2009" spans="2:8">
      <c r="B2009" s="871">
        <v>46275</v>
      </c>
      <c r="C2009" t="s">
        <v>2479</v>
      </c>
      <c r="D2009" t="s">
        <v>1375</v>
      </c>
      <c r="E2009" t="s">
        <v>3291</v>
      </c>
      <c r="F2009" s="853" t="s">
        <v>526</v>
      </c>
      <c r="G2009" s="913">
        <v>2</v>
      </c>
      <c r="H2009" t="s">
        <v>5275</v>
      </c>
    </row>
    <row r="2010" spans="2:8">
      <c r="B2010" s="871">
        <v>46275</v>
      </c>
      <c r="C2010" t="s">
        <v>2479</v>
      </c>
      <c r="D2010" t="s">
        <v>1375</v>
      </c>
      <c r="E2010" t="s">
        <v>3291</v>
      </c>
      <c r="F2010" s="853" t="s">
        <v>527</v>
      </c>
      <c r="G2010" s="913">
        <v>2</v>
      </c>
      <c r="H2010" t="s">
        <v>5276</v>
      </c>
    </row>
    <row r="2011" spans="2:8">
      <c r="B2011" s="871">
        <v>46275</v>
      </c>
      <c r="C2011" t="s">
        <v>2479</v>
      </c>
      <c r="D2011" t="s">
        <v>1375</v>
      </c>
      <c r="E2011" t="s">
        <v>3291</v>
      </c>
      <c r="F2011" s="853" t="s">
        <v>528</v>
      </c>
      <c r="G2011" s="913">
        <v>1</v>
      </c>
      <c r="H2011" t="s">
        <v>5277</v>
      </c>
    </row>
    <row r="2012" spans="2:8">
      <c r="B2012" s="871">
        <v>46275</v>
      </c>
      <c r="C2012" t="s">
        <v>2479</v>
      </c>
      <c r="D2012" t="s">
        <v>1376</v>
      </c>
      <c r="E2012" t="s">
        <v>1394</v>
      </c>
      <c r="F2012" s="853" t="s">
        <v>526</v>
      </c>
      <c r="G2012" s="913" t="s">
        <v>1701</v>
      </c>
      <c r="H2012" t="s">
        <v>5278</v>
      </c>
    </row>
    <row r="2013" spans="2:8">
      <c r="B2013" s="871">
        <v>46275</v>
      </c>
      <c r="C2013" t="s">
        <v>2479</v>
      </c>
      <c r="D2013" t="s">
        <v>1376</v>
      </c>
      <c r="E2013" t="s">
        <v>1394</v>
      </c>
      <c r="F2013" s="853" t="s">
        <v>527</v>
      </c>
      <c r="H2013" t="s">
        <v>5279</v>
      </c>
    </row>
    <row r="2014" spans="2:8">
      <c r="B2014" s="871">
        <v>46275</v>
      </c>
      <c r="C2014" t="s">
        <v>2479</v>
      </c>
      <c r="D2014" t="s">
        <v>1376</v>
      </c>
      <c r="E2014" t="s">
        <v>1394</v>
      </c>
      <c r="F2014" s="853" t="s">
        <v>528</v>
      </c>
      <c r="G2014" s="913" t="s">
        <v>1533</v>
      </c>
      <c r="H2014" t="s">
        <v>5280</v>
      </c>
    </row>
    <row r="2015" spans="2:8">
      <c r="B2015" s="871">
        <v>46275</v>
      </c>
      <c r="C2015" t="s">
        <v>2479</v>
      </c>
      <c r="D2015" t="s">
        <v>1375</v>
      </c>
      <c r="E2015" t="s">
        <v>3298</v>
      </c>
      <c r="F2015" s="853" t="s">
        <v>526</v>
      </c>
      <c r="G2015" s="913">
        <v>2</v>
      </c>
      <c r="H2015" t="s">
        <v>5281</v>
      </c>
    </row>
    <row r="2016" spans="2:8">
      <c r="B2016" s="871">
        <v>46275</v>
      </c>
      <c r="C2016" t="s">
        <v>2479</v>
      </c>
      <c r="D2016" t="s">
        <v>1375</v>
      </c>
      <c r="E2016" t="s">
        <v>3298</v>
      </c>
      <c r="F2016" s="853" t="s">
        <v>527</v>
      </c>
      <c r="G2016" s="913">
        <v>2</v>
      </c>
      <c r="H2016" t="s">
        <v>5282</v>
      </c>
    </row>
    <row r="2017" spans="2:8">
      <c r="B2017" s="871">
        <v>46275</v>
      </c>
      <c r="C2017" t="s">
        <v>2479</v>
      </c>
      <c r="D2017" t="s">
        <v>1375</v>
      </c>
      <c r="E2017" t="s">
        <v>3298</v>
      </c>
      <c r="F2017" s="853" t="s">
        <v>528</v>
      </c>
      <c r="G2017" s="913">
        <v>1</v>
      </c>
      <c r="H2017" t="s">
        <v>5283</v>
      </c>
    </row>
    <row r="2018" spans="2:8">
      <c r="B2018" s="871">
        <v>46275</v>
      </c>
      <c r="C2018" t="s">
        <v>2479</v>
      </c>
      <c r="D2018" t="s">
        <v>1376</v>
      </c>
      <c r="E2018" t="s">
        <v>1398</v>
      </c>
      <c r="F2018" s="853" t="s">
        <v>526</v>
      </c>
      <c r="G2018" s="913">
        <v>11</v>
      </c>
      <c r="H2018" t="s">
        <v>5284</v>
      </c>
    </row>
    <row r="2019" spans="2:8">
      <c r="B2019" s="871">
        <v>46275</v>
      </c>
      <c r="C2019" t="s">
        <v>2479</v>
      </c>
      <c r="D2019" t="s">
        <v>1376</v>
      </c>
      <c r="E2019" t="s">
        <v>1398</v>
      </c>
      <c r="F2019" s="853" t="s">
        <v>527</v>
      </c>
      <c r="H2019" t="s">
        <v>5285</v>
      </c>
    </row>
    <row r="2020" spans="2:8">
      <c r="B2020" s="871">
        <v>46275</v>
      </c>
      <c r="C2020" t="s">
        <v>2479</v>
      </c>
      <c r="D2020" t="s">
        <v>1376</v>
      </c>
      <c r="E2020" t="s">
        <v>1398</v>
      </c>
      <c r="F2020" s="853" t="s">
        <v>528</v>
      </c>
      <c r="G2020" s="913">
        <v>11</v>
      </c>
      <c r="H2020" t="s">
        <v>5286</v>
      </c>
    </row>
    <row r="2021" spans="2:8">
      <c r="B2021" s="871">
        <v>46275</v>
      </c>
      <c r="C2021" t="s">
        <v>2479</v>
      </c>
      <c r="D2021" t="s">
        <v>1375</v>
      </c>
      <c r="E2021" t="s">
        <v>3305</v>
      </c>
      <c r="F2021" s="853" t="s">
        <v>526</v>
      </c>
      <c r="G2021" s="913">
        <v>3</v>
      </c>
      <c r="H2021" t="s">
        <v>5287</v>
      </c>
    </row>
    <row r="2022" spans="2:8">
      <c r="B2022" s="871">
        <v>46275</v>
      </c>
      <c r="C2022" t="s">
        <v>2479</v>
      </c>
      <c r="D2022" t="s">
        <v>1375</v>
      </c>
      <c r="E2022" t="s">
        <v>3305</v>
      </c>
      <c r="F2022" s="853" t="s">
        <v>527</v>
      </c>
      <c r="G2022" s="913">
        <v>2</v>
      </c>
      <c r="H2022" t="s">
        <v>5288</v>
      </c>
    </row>
    <row r="2023" spans="2:8">
      <c r="B2023" s="871">
        <v>46275</v>
      </c>
      <c r="C2023" t="s">
        <v>2479</v>
      </c>
      <c r="D2023" t="s">
        <v>1375</v>
      </c>
      <c r="E2023" t="s">
        <v>3305</v>
      </c>
      <c r="F2023" s="853" t="s">
        <v>528</v>
      </c>
      <c r="G2023" s="913">
        <v>1</v>
      </c>
      <c r="H2023" t="s">
        <v>5289</v>
      </c>
    </row>
    <row r="2024" spans="2:8">
      <c r="B2024" s="871">
        <v>46275</v>
      </c>
      <c r="C2024" t="s">
        <v>2479</v>
      </c>
      <c r="D2024" t="s">
        <v>1376</v>
      </c>
      <c r="E2024" t="s">
        <v>1399</v>
      </c>
      <c r="F2024" s="853" t="s">
        <v>526</v>
      </c>
      <c r="G2024" s="913">
        <v>12</v>
      </c>
      <c r="H2024" t="s">
        <v>5290</v>
      </c>
    </row>
    <row r="2025" spans="2:8">
      <c r="B2025" s="871">
        <v>46275</v>
      </c>
      <c r="C2025" t="s">
        <v>2479</v>
      </c>
      <c r="D2025" t="s">
        <v>1376</v>
      </c>
      <c r="E2025" t="s">
        <v>1399</v>
      </c>
      <c r="F2025" s="853" t="s">
        <v>527</v>
      </c>
      <c r="H2025" t="s">
        <v>5291</v>
      </c>
    </row>
    <row r="2026" spans="2:8">
      <c r="B2026" s="871">
        <v>46275</v>
      </c>
      <c r="C2026" t="s">
        <v>2479</v>
      </c>
      <c r="D2026" t="s">
        <v>1376</v>
      </c>
      <c r="E2026" t="s">
        <v>1399</v>
      </c>
      <c r="F2026" s="853" t="s">
        <v>528</v>
      </c>
      <c r="G2026" s="913">
        <v>12</v>
      </c>
      <c r="H2026" t="s">
        <v>5292</v>
      </c>
    </row>
    <row r="2027" spans="2:8">
      <c r="B2027" s="871">
        <v>46275</v>
      </c>
      <c r="C2027" t="s">
        <v>2479</v>
      </c>
      <c r="D2027" t="s">
        <v>1375</v>
      </c>
      <c r="E2027" t="s">
        <v>3312</v>
      </c>
      <c r="F2027" s="853" t="s">
        <v>526</v>
      </c>
      <c r="G2027" s="913">
        <v>3</v>
      </c>
      <c r="H2027" t="s">
        <v>5293</v>
      </c>
    </row>
    <row r="2028" spans="2:8">
      <c r="B2028" s="871">
        <v>46275</v>
      </c>
      <c r="C2028" t="s">
        <v>2479</v>
      </c>
      <c r="D2028" t="s">
        <v>1375</v>
      </c>
      <c r="E2028" t="s">
        <v>3312</v>
      </c>
      <c r="F2028" s="853" t="s">
        <v>527</v>
      </c>
      <c r="G2028" s="913">
        <v>2</v>
      </c>
      <c r="H2028" t="s">
        <v>5294</v>
      </c>
    </row>
    <row r="2029" spans="2:8">
      <c r="B2029" s="871">
        <v>46275</v>
      </c>
      <c r="C2029" t="s">
        <v>2479</v>
      </c>
      <c r="D2029" t="s">
        <v>1375</v>
      </c>
      <c r="E2029" t="s">
        <v>3312</v>
      </c>
      <c r="F2029" s="853" t="s">
        <v>528</v>
      </c>
      <c r="G2029" s="913">
        <v>2</v>
      </c>
      <c r="H2029" t="s">
        <v>5295</v>
      </c>
    </row>
    <row r="2030" spans="2:8">
      <c r="B2030" s="871">
        <v>46275</v>
      </c>
      <c r="C2030" t="s">
        <v>2479</v>
      </c>
      <c r="D2030" t="s">
        <v>1376</v>
      </c>
      <c r="E2030" t="s">
        <v>1400</v>
      </c>
      <c r="F2030" s="853" t="s">
        <v>526</v>
      </c>
      <c r="G2030" s="913">
        <v>15</v>
      </c>
      <c r="H2030" t="s">
        <v>5296</v>
      </c>
    </row>
    <row r="2031" spans="2:8">
      <c r="B2031" s="871">
        <v>46275</v>
      </c>
      <c r="C2031" t="s">
        <v>2479</v>
      </c>
      <c r="D2031" t="s">
        <v>1376</v>
      </c>
      <c r="E2031" t="s">
        <v>1400</v>
      </c>
      <c r="F2031" s="853" t="s">
        <v>527</v>
      </c>
      <c r="H2031" t="s">
        <v>5297</v>
      </c>
    </row>
    <row r="2032" spans="2:8">
      <c r="B2032" s="871">
        <v>46275</v>
      </c>
      <c r="C2032" t="s">
        <v>2479</v>
      </c>
      <c r="D2032" t="s">
        <v>1376</v>
      </c>
      <c r="E2032" t="s">
        <v>1400</v>
      </c>
      <c r="F2032" s="853" t="s">
        <v>528</v>
      </c>
      <c r="G2032" s="913">
        <v>16</v>
      </c>
      <c r="H2032" t="s">
        <v>5298</v>
      </c>
    </row>
    <row r="2033" spans="2:8">
      <c r="B2033" s="871">
        <v>46275</v>
      </c>
      <c r="C2033" t="s">
        <v>2479</v>
      </c>
      <c r="D2033" t="s">
        <v>1375</v>
      </c>
      <c r="E2033" t="s">
        <v>3319</v>
      </c>
      <c r="F2033" s="853" t="s">
        <v>526</v>
      </c>
      <c r="G2033" s="913">
        <v>2</v>
      </c>
      <c r="H2033" t="s">
        <v>5299</v>
      </c>
    </row>
    <row r="2034" spans="2:8">
      <c r="B2034" s="871">
        <v>46275</v>
      </c>
      <c r="C2034" t="s">
        <v>2479</v>
      </c>
      <c r="D2034" t="s">
        <v>1375</v>
      </c>
      <c r="E2034" t="s">
        <v>3319</v>
      </c>
      <c r="F2034" s="853" t="s">
        <v>527</v>
      </c>
      <c r="G2034" s="913">
        <v>2</v>
      </c>
      <c r="H2034" t="s">
        <v>5300</v>
      </c>
    </row>
    <row r="2035" spans="2:8">
      <c r="B2035" s="871">
        <v>46275</v>
      </c>
      <c r="C2035" t="s">
        <v>2479</v>
      </c>
      <c r="D2035" t="s">
        <v>1375</v>
      </c>
      <c r="E2035" t="s">
        <v>3319</v>
      </c>
      <c r="F2035" s="853" t="s">
        <v>528</v>
      </c>
      <c r="G2035" s="913">
        <v>3</v>
      </c>
      <c r="H2035" t="s">
        <v>5301</v>
      </c>
    </row>
    <row r="2036" spans="2:8">
      <c r="B2036" s="871">
        <v>46275</v>
      </c>
      <c r="C2036" t="s">
        <v>2479</v>
      </c>
      <c r="D2036" t="s">
        <v>1376</v>
      </c>
      <c r="E2036" t="s">
        <v>1401</v>
      </c>
      <c r="F2036" s="853" t="s">
        <v>526</v>
      </c>
      <c r="G2036" s="913">
        <v>7.33</v>
      </c>
      <c r="H2036" t="s">
        <v>5302</v>
      </c>
    </row>
    <row r="2037" spans="2:8">
      <c r="B2037" s="871">
        <v>46275</v>
      </c>
      <c r="C2037" t="s">
        <v>2479</v>
      </c>
      <c r="D2037" t="s">
        <v>1376</v>
      </c>
      <c r="E2037" t="s">
        <v>1401</v>
      </c>
      <c r="F2037" s="853" t="s">
        <v>527</v>
      </c>
      <c r="H2037" t="s">
        <v>5303</v>
      </c>
    </row>
    <row r="2038" spans="2:8">
      <c r="B2038" s="871">
        <v>46275</v>
      </c>
      <c r="C2038" t="s">
        <v>2479</v>
      </c>
      <c r="D2038" t="s">
        <v>1376</v>
      </c>
      <c r="E2038" t="s">
        <v>1401</v>
      </c>
      <c r="F2038" s="853" t="s">
        <v>528</v>
      </c>
      <c r="G2038" s="913">
        <v>7.33</v>
      </c>
      <c r="H2038" t="s">
        <v>5304</v>
      </c>
    </row>
    <row r="2039" spans="2:8">
      <c r="B2039" s="871">
        <v>46275</v>
      </c>
      <c r="C2039" t="s">
        <v>2479</v>
      </c>
      <c r="D2039" t="s">
        <v>1375</v>
      </c>
      <c r="E2039" t="s">
        <v>3326</v>
      </c>
      <c r="F2039" s="853" t="s">
        <v>526</v>
      </c>
      <c r="G2039" s="913" t="s">
        <v>1535</v>
      </c>
      <c r="H2039" t="s">
        <v>5305</v>
      </c>
    </row>
    <row r="2040" spans="2:8">
      <c r="B2040" s="871">
        <v>46275</v>
      </c>
      <c r="C2040" t="s">
        <v>2479</v>
      </c>
      <c r="D2040" t="s">
        <v>1375</v>
      </c>
      <c r="E2040" t="s">
        <v>3326</v>
      </c>
      <c r="F2040" s="853" t="s">
        <v>527</v>
      </c>
      <c r="G2040" s="913" t="s">
        <v>1583</v>
      </c>
      <c r="H2040" t="s">
        <v>5306</v>
      </c>
    </row>
    <row r="2041" spans="2:8">
      <c r="B2041" s="871">
        <v>46275</v>
      </c>
      <c r="C2041" t="s">
        <v>2479</v>
      </c>
      <c r="D2041" t="s">
        <v>1375</v>
      </c>
      <c r="E2041" t="s">
        <v>3326</v>
      </c>
      <c r="F2041" s="853" t="s">
        <v>528</v>
      </c>
      <c r="G2041" s="913" t="s">
        <v>1583</v>
      </c>
      <c r="H2041" t="s">
        <v>5307</v>
      </c>
    </row>
    <row r="2042" spans="2:8">
      <c r="B2042" s="871">
        <v>46275</v>
      </c>
      <c r="C2042" t="s">
        <v>2479</v>
      </c>
      <c r="D2042" t="s">
        <v>1376</v>
      </c>
      <c r="E2042" t="s">
        <v>1403</v>
      </c>
      <c r="F2042" s="853" t="s">
        <v>526</v>
      </c>
      <c r="G2042" s="913">
        <v>660</v>
      </c>
      <c r="H2042" t="s">
        <v>5308</v>
      </c>
    </row>
    <row r="2043" spans="2:8">
      <c r="B2043" s="871">
        <v>46275</v>
      </c>
      <c r="C2043" t="s">
        <v>2479</v>
      </c>
      <c r="D2043" t="s">
        <v>1376</v>
      </c>
      <c r="E2043" t="s">
        <v>1403</v>
      </c>
      <c r="F2043" s="853" t="s">
        <v>527</v>
      </c>
      <c r="H2043" t="s">
        <v>5309</v>
      </c>
    </row>
    <row r="2044" spans="2:8">
      <c r="B2044" s="871">
        <v>46275</v>
      </c>
      <c r="C2044" t="s">
        <v>2479</v>
      </c>
      <c r="D2044" t="s">
        <v>1376</v>
      </c>
      <c r="E2044" t="s">
        <v>1403</v>
      </c>
      <c r="F2044" s="853" t="s">
        <v>528</v>
      </c>
      <c r="G2044" s="913">
        <v>2560</v>
      </c>
      <c r="H2044" t="s">
        <v>5310</v>
      </c>
    </row>
    <row r="2045" spans="2:8">
      <c r="B2045" s="871">
        <v>46275</v>
      </c>
      <c r="C2045" t="s">
        <v>2479</v>
      </c>
      <c r="D2045" t="s">
        <v>1376</v>
      </c>
      <c r="E2045" t="s">
        <v>1404</v>
      </c>
      <c r="F2045" s="853" t="s">
        <v>526</v>
      </c>
      <c r="G2045" s="913">
        <v>5.26</v>
      </c>
      <c r="H2045" t="s">
        <v>5311</v>
      </c>
    </row>
    <row r="2046" spans="2:8">
      <c r="B2046" s="871">
        <v>46275</v>
      </c>
      <c r="C2046" t="s">
        <v>2479</v>
      </c>
      <c r="D2046" t="s">
        <v>1376</v>
      </c>
      <c r="E2046" t="s">
        <v>1404</v>
      </c>
      <c r="F2046" s="853" t="s">
        <v>527</v>
      </c>
      <c r="H2046" t="s">
        <v>5312</v>
      </c>
    </row>
    <row r="2047" spans="2:8">
      <c r="B2047" s="871">
        <v>46275</v>
      </c>
      <c r="C2047" t="s">
        <v>2479</v>
      </c>
      <c r="D2047" t="s">
        <v>1376</v>
      </c>
      <c r="E2047" t="s">
        <v>1404</v>
      </c>
      <c r="F2047" s="853" t="s">
        <v>528</v>
      </c>
      <c r="G2047" s="913">
        <v>1.71</v>
      </c>
      <c r="H2047" t="s">
        <v>5313</v>
      </c>
    </row>
    <row r="2048" spans="2:8">
      <c r="B2048" s="871">
        <v>46275</v>
      </c>
      <c r="C2048" t="s">
        <v>2479</v>
      </c>
      <c r="D2048" t="s">
        <v>1375</v>
      </c>
      <c r="E2048" t="s">
        <v>3336</v>
      </c>
      <c r="F2048" s="853" t="s">
        <v>526</v>
      </c>
      <c r="G2048" s="913" t="s">
        <v>1406</v>
      </c>
      <c r="H2048" t="s">
        <v>5314</v>
      </c>
    </row>
    <row r="2049" spans="2:8">
      <c r="B2049" s="871">
        <v>46275</v>
      </c>
      <c r="C2049" t="s">
        <v>2479</v>
      </c>
      <c r="D2049" t="s">
        <v>1375</v>
      </c>
      <c r="E2049" t="s">
        <v>3336</v>
      </c>
      <c r="F2049" s="853" t="s">
        <v>527</v>
      </c>
      <c r="G2049" s="913" t="s">
        <v>1406</v>
      </c>
      <c r="H2049" t="s">
        <v>5315</v>
      </c>
    </row>
    <row r="2050" spans="2:8">
      <c r="B2050" s="871">
        <v>46275</v>
      </c>
      <c r="C2050" t="s">
        <v>2479</v>
      </c>
      <c r="D2050" t="s">
        <v>1375</v>
      </c>
      <c r="E2050" t="s">
        <v>3336</v>
      </c>
      <c r="F2050" s="853" t="s">
        <v>528</v>
      </c>
      <c r="G2050" s="913" t="s">
        <v>1406</v>
      </c>
      <c r="H2050" t="s">
        <v>5316</v>
      </c>
    </row>
    <row r="2051" spans="2:8">
      <c r="B2051" s="871">
        <v>46275</v>
      </c>
      <c r="C2051" t="s">
        <v>2479</v>
      </c>
      <c r="D2051" t="s">
        <v>1376</v>
      </c>
      <c r="E2051" t="s">
        <v>1407</v>
      </c>
      <c r="F2051" s="853" t="s">
        <v>526</v>
      </c>
      <c r="G2051" s="913">
        <v>340</v>
      </c>
      <c r="H2051" t="s">
        <v>5317</v>
      </c>
    </row>
    <row r="2052" spans="2:8">
      <c r="B2052" s="871">
        <v>46275</v>
      </c>
      <c r="C2052" t="s">
        <v>2479</v>
      </c>
      <c r="D2052" t="s">
        <v>1376</v>
      </c>
      <c r="E2052" t="s">
        <v>1407</v>
      </c>
      <c r="F2052" s="853" t="s">
        <v>527</v>
      </c>
      <c r="H2052" t="s">
        <v>5318</v>
      </c>
    </row>
    <row r="2053" spans="2:8">
      <c r="B2053" s="871">
        <v>46275</v>
      </c>
      <c r="C2053" t="s">
        <v>2479</v>
      </c>
      <c r="D2053" t="s">
        <v>1376</v>
      </c>
      <c r="E2053" t="s">
        <v>1407</v>
      </c>
      <c r="F2053" s="853" t="s">
        <v>528</v>
      </c>
      <c r="G2053" s="913">
        <v>425</v>
      </c>
      <c r="H2053" t="s">
        <v>5319</v>
      </c>
    </row>
    <row r="2054" spans="2:8">
      <c r="B2054" s="871">
        <v>46275</v>
      </c>
      <c r="C2054" t="s">
        <v>2479</v>
      </c>
      <c r="D2054" t="s">
        <v>1376</v>
      </c>
      <c r="E2054" t="s">
        <v>1408</v>
      </c>
      <c r="F2054" s="853" t="s">
        <v>526</v>
      </c>
      <c r="G2054" s="913">
        <v>1025</v>
      </c>
      <c r="H2054" t="s">
        <v>5320</v>
      </c>
    </row>
    <row r="2055" spans="2:8">
      <c r="B2055" s="871">
        <v>46275</v>
      </c>
      <c r="C2055" t="s">
        <v>2479</v>
      </c>
      <c r="D2055" t="s">
        <v>1376</v>
      </c>
      <c r="E2055" t="s">
        <v>1408</v>
      </c>
      <c r="F2055" s="853" t="s">
        <v>527</v>
      </c>
      <c r="H2055" t="s">
        <v>5321</v>
      </c>
    </row>
    <row r="2056" spans="2:8">
      <c r="B2056" s="871">
        <v>46275</v>
      </c>
      <c r="C2056" t="s">
        <v>2479</v>
      </c>
      <c r="D2056" t="s">
        <v>1376</v>
      </c>
      <c r="E2056" t="s">
        <v>1408</v>
      </c>
      <c r="F2056" s="853" t="s">
        <v>528</v>
      </c>
      <c r="G2056" s="913">
        <v>1018</v>
      </c>
      <c r="H2056" t="s">
        <v>5322</v>
      </c>
    </row>
    <row r="2057" spans="2:8">
      <c r="B2057" s="871">
        <v>46275</v>
      </c>
      <c r="C2057" t="s">
        <v>2479</v>
      </c>
      <c r="D2057" t="s">
        <v>1409</v>
      </c>
      <c r="E2057" t="s">
        <v>1411</v>
      </c>
      <c r="F2057" s="853" t="s">
        <v>526</v>
      </c>
      <c r="H2057" t="s">
        <v>5323</v>
      </c>
    </row>
    <row r="2058" spans="2:8">
      <c r="B2058" s="871">
        <v>46275</v>
      </c>
      <c r="C2058" t="s">
        <v>2479</v>
      </c>
      <c r="D2058" t="s">
        <v>1409</v>
      </c>
      <c r="E2058" t="s">
        <v>1411</v>
      </c>
      <c r="F2058" s="853" t="s">
        <v>527</v>
      </c>
      <c r="H2058" t="s">
        <v>5324</v>
      </c>
    </row>
    <row r="2059" spans="2:8">
      <c r="B2059" s="871">
        <v>46275</v>
      </c>
      <c r="C2059" t="s">
        <v>2479</v>
      </c>
      <c r="D2059" t="s">
        <v>1409</v>
      </c>
      <c r="E2059" t="s">
        <v>1411</v>
      </c>
      <c r="F2059" s="853" t="s">
        <v>528</v>
      </c>
      <c r="H2059" t="s">
        <v>5325</v>
      </c>
    </row>
    <row r="2060" spans="2:8">
      <c r="B2060" s="871">
        <v>46275</v>
      </c>
      <c r="C2060" t="s">
        <v>2479</v>
      </c>
      <c r="D2060" t="s">
        <v>1409</v>
      </c>
      <c r="E2060" t="s">
        <v>1413</v>
      </c>
      <c r="F2060" s="853" t="s">
        <v>526</v>
      </c>
      <c r="G2060" s="913" t="s">
        <v>1414</v>
      </c>
      <c r="H2060" t="s">
        <v>5326</v>
      </c>
    </row>
    <row r="2061" spans="2:8">
      <c r="B2061" s="871">
        <v>46275</v>
      </c>
      <c r="C2061" t="s">
        <v>2479</v>
      </c>
      <c r="D2061" t="s">
        <v>1409</v>
      </c>
      <c r="E2061" t="s">
        <v>1413</v>
      </c>
      <c r="F2061" s="853" t="s">
        <v>527</v>
      </c>
      <c r="G2061" s="913" t="s">
        <v>1584</v>
      </c>
      <c r="H2061" t="s">
        <v>5327</v>
      </c>
    </row>
    <row r="2062" spans="2:8">
      <c r="B2062" s="871">
        <v>46275</v>
      </c>
      <c r="C2062" t="s">
        <v>2479</v>
      </c>
      <c r="D2062" t="s">
        <v>1409</v>
      </c>
      <c r="E2062" t="s">
        <v>1413</v>
      </c>
      <c r="F2062" s="853" t="s">
        <v>528</v>
      </c>
      <c r="G2062" s="913" t="s">
        <v>1743</v>
      </c>
      <c r="H2062" t="s">
        <v>5328</v>
      </c>
    </row>
    <row r="2063" spans="2:8">
      <c r="B2063" s="871">
        <v>46275</v>
      </c>
      <c r="C2063" t="s">
        <v>2479</v>
      </c>
      <c r="D2063" t="s">
        <v>1410</v>
      </c>
      <c r="E2063" t="s">
        <v>3352</v>
      </c>
      <c r="F2063" s="853" t="s">
        <v>526</v>
      </c>
      <c r="G2063" s="913" t="s">
        <v>1418</v>
      </c>
      <c r="H2063" t="s">
        <v>5329</v>
      </c>
    </row>
    <row r="2064" spans="2:8">
      <c r="B2064" s="871">
        <v>46275</v>
      </c>
      <c r="C2064" t="s">
        <v>2479</v>
      </c>
      <c r="D2064" t="s">
        <v>1410</v>
      </c>
      <c r="E2064" t="s">
        <v>3352</v>
      </c>
      <c r="F2064" s="853" t="s">
        <v>527</v>
      </c>
      <c r="G2064" s="913" t="s">
        <v>1418</v>
      </c>
      <c r="H2064" t="s">
        <v>5330</v>
      </c>
    </row>
    <row r="2065" spans="2:8">
      <c r="B2065" s="871">
        <v>46275</v>
      </c>
      <c r="C2065" t="s">
        <v>2479</v>
      </c>
      <c r="D2065" t="s">
        <v>1410</v>
      </c>
      <c r="E2065" t="s">
        <v>3352</v>
      </c>
      <c r="F2065" s="853" t="s">
        <v>528</v>
      </c>
      <c r="G2065" s="913" t="s">
        <v>1418</v>
      </c>
      <c r="H2065" t="s">
        <v>5331</v>
      </c>
    </row>
    <row r="2066" spans="2:8">
      <c r="B2066" s="871">
        <v>46275</v>
      </c>
      <c r="C2066" t="s">
        <v>2479</v>
      </c>
      <c r="D2066" t="s">
        <v>1409</v>
      </c>
      <c r="E2066" t="s">
        <v>1420</v>
      </c>
      <c r="F2066" s="853" t="s">
        <v>526</v>
      </c>
      <c r="G2066" s="913" t="s">
        <v>1421</v>
      </c>
      <c r="H2066" t="s">
        <v>5332</v>
      </c>
    </row>
    <row r="2067" spans="2:8">
      <c r="B2067" s="871">
        <v>46275</v>
      </c>
      <c r="C2067" t="s">
        <v>2479</v>
      </c>
      <c r="D2067" t="s">
        <v>1409</v>
      </c>
      <c r="E2067" t="s">
        <v>1420</v>
      </c>
      <c r="F2067" s="853" t="s">
        <v>527</v>
      </c>
      <c r="G2067" s="913" t="s">
        <v>1537</v>
      </c>
      <c r="H2067" t="s">
        <v>5333</v>
      </c>
    </row>
    <row r="2068" spans="2:8">
      <c r="B2068" s="871">
        <v>46275</v>
      </c>
      <c r="C2068" t="s">
        <v>2479</v>
      </c>
      <c r="D2068" t="s">
        <v>1409</v>
      </c>
      <c r="E2068" t="s">
        <v>1420</v>
      </c>
      <c r="F2068" s="853" t="s">
        <v>528</v>
      </c>
      <c r="G2068" s="913" t="s">
        <v>1422</v>
      </c>
      <c r="H2068" t="s">
        <v>5334</v>
      </c>
    </row>
    <row r="2069" spans="2:8">
      <c r="B2069" s="871">
        <v>46275</v>
      </c>
      <c r="C2069" t="s">
        <v>2479</v>
      </c>
      <c r="D2069" t="s">
        <v>1410</v>
      </c>
      <c r="E2069" t="s">
        <v>3359</v>
      </c>
      <c r="F2069" s="853" t="s">
        <v>526</v>
      </c>
      <c r="G2069" s="913">
        <v>116</v>
      </c>
      <c r="H2069" t="s">
        <v>5335</v>
      </c>
    </row>
    <row r="2070" spans="2:8">
      <c r="B2070" s="871">
        <v>46275</v>
      </c>
      <c r="C2070" t="s">
        <v>2479</v>
      </c>
      <c r="D2070" t="s">
        <v>1410</v>
      </c>
      <c r="E2070" t="s">
        <v>3359</v>
      </c>
      <c r="F2070" s="853" t="s">
        <v>527</v>
      </c>
      <c r="G2070" s="913">
        <v>121</v>
      </c>
      <c r="H2070" t="s">
        <v>5336</v>
      </c>
    </row>
    <row r="2071" spans="2:8">
      <c r="B2071" s="871">
        <v>46275</v>
      </c>
      <c r="C2071" t="s">
        <v>2479</v>
      </c>
      <c r="D2071" t="s">
        <v>1410</v>
      </c>
      <c r="E2071" t="s">
        <v>3359</v>
      </c>
      <c r="F2071" s="853" t="s">
        <v>528</v>
      </c>
      <c r="G2071" s="913">
        <v>124</v>
      </c>
      <c r="H2071" t="s">
        <v>5337</v>
      </c>
    </row>
    <row r="2072" spans="2:8">
      <c r="B2072" s="871">
        <v>46275</v>
      </c>
      <c r="C2072" t="s">
        <v>2479</v>
      </c>
      <c r="D2072" t="s">
        <v>1409</v>
      </c>
      <c r="E2072" t="s">
        <v>1424</v>
      </c>
      <c r="F2072" s="853" t="s">
        <v>526</v>
      </c>
      <c r="H2072" t="s">
        <v>5338</v>
      </c>
    </row>
    <row r="2073" spans="2:8">
      <c r="B2073" s="871">
        <v>46275</v>
      </c>
      <c r="C2073" t="s">
        <v>2479</v>
      </c>
      <c r="D2073" t="s">
        <v>1409</v>
      </c>
      <c r="E2073" t="s">
        <v>1424</v>
      </c>
      <c r="F2073" s="853" t="s">
        <v>527</v>
      </c>
      <c r="H2073" t="s">
        <v>5339</v>
      </c>
    </row>
    <row r="2074" spans="2:8">
      <c r="B2074" s="871">
        <v>46275</v>
      </c>
      <c r="C2074" t="s">
        <v>2479</v>
      </c>
      <c r="D2074" t="s">
        <v>1409</v>
      </c>
      <c r="E2074" t="s">
        <v>1424</v>
      </c>
      <c r="F2074" s="853" t="s">
        <v>528</v>
      </c>
      <c r="H2074" t="s">
        <v>5340</v>
      </c>
    </row>
    <row r="2075" spans="2:8">
      <c r="B2075" s="871">
        <v>46275</v>
      </c>
      <c r="C2075" t="s">
        <v>2479</v>
      </c>
      <c r="D2075" t="s">
        <v>1410</v>
      </c>
      <c r="E2075" t="s">
        <v>3366</v>
      </c>
      <c r="F2075" s="853" t="s">
        <v>526</v>
      </c>
      <c r="G2075" s="913">
        <v>2613</v>
      </c>
      <c r="H2075" t="s">
        <v>5341</v>
      </c>
    </row>
    <row r="2076" spans="2:8">
      <c r="B2076" s="871">
        <v>46275</v>
      </c>
      <c r="C2076" t="s">
        <v>2479</v>
      </c>
      <c r="D2076" t="s">
        <v>1410</v>
      </c>
      <c r="E2076" t="s">
        <v>3366</v>
      </c>
      <c r="F2076" s="853" t="s">
        <v>527</v>
      </c>
      <c r="G2076" s="913">
        <v>2570</v>
      </c>
      <c r="H2076" t="s">
        <v>5342</v>
      </c>
    </row>
    <row r="2077" spans="2:8">
      <c r="B2077" s="871">
        <v>46275</v>
      </c>
      <c r="C2077" t="s">
        <v>2479</v>
      </c>
      <c r="D2077" t="s">
        <v>1410</v>
      </c>
      <c r="E2077" t="s">
        <v>3366</v>
      </c>
      <c r="F2077" s="853" t="s">
        <v>528</v>
      </c>
      <c r="G2077" s="913">
        <v>2610</v>
      </c>
      <c r="H2077" t="s">
        <v>5343</v>
      </c>
    </row>
    <row r="2078" spans="2:8">
      <c r="B2078" s="871">
        <v>46275</v>
      </c>
      <c r="C2078" t="s">
        <v>2479</v>
      </c>
      <c r="D2078" t="s">
        <v>1410</v>
      </c>
      <c r="E2078" t="s">
        <v>3370</v>
      </c>
      <c r="F2078" s="853" t="s">
        <v>526</v>
      </c>
      <c r="G2078" s="913" t="s">
        <v>1427</v>
      </c>
      <c r="H2078" t="s">
        <v>5344</v>
      </c>
    </row>
    <row r="2079" spans="2:8">
      <c r="B2079" s="871">
        <v>46275</v>
      </c>
      <c r="C2079" t="s">
        <v>2479</v>
      </c>
      <c r="D2079" t="s">
        <v>1410</v>
      </c>
      <c r="E2079" t="s">
        <v>3370</v>
      </c>
      <c r="F2079" s="853" t="s">
        <v>527</v>
      </c>
      <c r="G2079" s="913" t="s">
        <v>1427</v>
      </c>
      <c r="H2079" t="s">
        <v>5345</v>
      </c>
    </row>
    <row r="2080" spans="2:8">
      <c r="B2080" s="871">
        <v>46275</v>
      </c>
      <c r="C2080" t="s">
        <v>2479</v>
      </c>
      <c r="D2080" t="s">
        <v>1410</v>
      </c>
      <c r="E2080" t="s">
        <v>3370</v>
      </c>
      <c r="F2080" s="853" t="s">
        <v>528</v>
      </c>
      <c r="G2080" s="913" t="s">
        <v>1427</v>
      </c>
      <c r="H2080" t="s">
        <v>5346</v>
      </c>
    </row>
    <row r="2081" spans="2:8">
      <c r="B2081" s="871">
        <v>46275</v>
      </c>
      <c r="C2081" t="s">
        <v>2479</v>
      </c>
      <c r="D2081" t="s">
        <v>1410</v>
      </c>
      <c r="E2081" t="s">
        <v>3374</v>
      </c>
      <c r="F2081" s="853" t="s">
        <v>526</v>
      </c>
      <c r="G2081" s="913">
        <v>2.2999999999999998</v>
      </c>
      <c r="H2081" t="s">
        <v>5347</v>
      </c>
    </row>
    <row r="2082" spans="2:8">
      <c r="B2082" s="871">
        <v>46275</v>
      </c>
      <c r="C2082" t="s">
        <v>2479</v>
      </c>
      <c r="D2082" t="s">
        <v>1410</v>
      </c>
      <c r="E2082" t="s">
        <v>3374</v>
      </c>
      <c r="F2082" s="853" t="s">
        <v>527</v>
      </c>
      <c r="G2082" s="913">
        <v>3.2</v>
      </c>
      <c r="H2082" t="s">
        <v>5348</v>
      </c>
    </row>
    <row r="2083" spans="2:8">
      <c r="B2083" s="871">
        <v>46275</v>
      </c>
      <c r="C2083" t="s">
        <v>2479</v>
      </c>
      <c r="D2083" t="s">
        <v>1410</v>
      </c>
      <c r="E2083" t="s">
        <v>3374</v>
      </c>
      <c r="F2083" s="853" t="s">
        <v>528</v>
      </c>
      <c r="G2083" s="913">
        <v>1.9</v>
      </c>
      <c r="H2083" t="s">
        <v>5349</v>
      </c>
    </row>
    <row r="2084" spans="2:8">
      <c r="B2084" s="871">
        <v>46275</v>
      </c>
      <c r="C2084" t="s">
        <v>2479</v>
      </c>
      <c r="D2084" t="s">
        <v>1410</v>
      </c>
      <c r="E2084" t="s">
        <v>3378</v>
      </c>
      <c r="F2084" s="853" t="s">
        <v>526</v>
      </c>
      <c r="G2084" s="913" t="s">
        <v>1627</v>
      </c>
      <c r="H2084" t="s">
        <v>5350</v>
      </c>
    </row>
    <row r="2085" spans="2:8">
      <c r="B2085" s="871">
        <v>46275</v>
      </c>
      <c r="C2085" t="s">
        <v>2479</v>
      </c>
      <c r="D2085" t="s">
        <v>1410</v>
      </c>
      <c r="E2085" t="s">
        <v>3378</v>
      </c>
      <c r="F2085" s="853" t="s">
        <v>527</v>
      </c>
      <c r="G2085" s="913" t="s">
        <v>1627</v>
      </c>
      <c r="H2085" t="s">
        <v>5351</v>
      </c>
    </row>
    <row r="2086" spans="2:8">
      <c r="B2086" s="871">
        <v>46275</v>
      </c>
      <c r="C2086" t="s">
        <v>2479</v>
      </c>
      <c r="D2086" t="s">
        <v>1410</v>
      </c>
      <c r="E2086" t="s">
        <v>3378</v>
      </c>
      <c r="F2086" s="853" t="s">
        <v>528</v>
      </c>
      <c r="G2086" s="913" t="s">
        <v>1627</v>
      </c>
      <c r="H2086" t="s">
        <v>5352</v>
      </c>
    </row>
    <row r="2087" spans="2:8">
      <c r="B2087" s="871">
        <v>46275</v>
      </c>
      <c r="C2087" t="s">
        <v>2479</v>
      </c>
      <c r="D2087" t="s">
        <v>1410</v>
      </c>
      <c r="E2087" t="s">
        <v>3382</v>
      </c>
      <c r="F2087" s="853" t="s">
        <v>526</v>
      </c>
      <c r="G2087" s="913">
        <v>113</v>
      </c>
      <c r="H2087" t="s">
        <v>5353</v>
      </c>
    </row>
    <row r="2088" spans="2:8">
      <c r="B2088" s="871">
        <v>46275</v>
      </c>
      <c r="C2088" t="s">
        <v>2479</v>
      </c>
      <c r="D2088" t="s">
        <v>1410</v>
      </c>
      <c r="E2088" t="s">
        <v>3382</v>
      </c>
      <c r="F2088" s="853" t="s">
        <v>527</v>
      </c>
      <c r="G2088" s="913">
        <v>92</v>
      </c>
      <c r="H2088" t="s">
        <v>5354</v>
      </c>
    </row>
    <row r="2089" spans="2:8">
      <c r="B2089" s="871">
        <v>46275</v>
      </c>
      <c r="C2089" t="s">
        <v>2479</v>
      </c>
      <c r="D2089" t="s">
        <v>1410</v>
      </c>
      <c r="E2089" t="s">
        <v>3382</v>
      </c>
      <c r="F2089" s="853" t="s">
        <v>528</v>
      </c>
      <c r="G2089" s="913">
        <v>105</v>
      </c>
      <c r="H2089" t="s">
        <v>5355</v>
      </c>
    </row>
    <row r="2090" spans="2:8">
      <c r="B2090" s="871">
        <v>46275</v>
      </c>
      <c r="C2090" t="s">
        <v>2479</v>
      </c>
      <c r="D2090" t="s">
        <v>1409</v>
      </c>
      <c r="E2090" t="s">
        <v>1431</v>
      </c>
      <c r="F2090" s="853" t="s">
        <v>526</v>
      </c>
      <c r="H2090" t="s">
        <v>5356</v>
      </c>
    </row>
    <row r="2091" spans="2:8">
      <c r="B2091" s="871">
        <v>46275</v>
      </c>
      <c r="C2091" t="s">
        <v>2479</v>
      </c>
      <c r="D2091" t="s">
        <v>1409</v>
      </c>
      <c r="E2091" t="s">
        <v>1431</v>
      </c>
      <c r="F2091" s="853" t="s">
        <v>527</v>
      </c>
      <c r="H2091" t="s">
        <v>5357</v>
      </c>
    </row>
    <row r="2092" spans="2:8">
      <c r="B2092" s="871">
        <v>46275</v>
      </c>
      <c r="C2092" t="s">
        <v>2479</v>
      </c>
      <c r="D2092" t="s">
        <v>1409</v>
      </c>
      <c r="E2092" t="s">
        <v>1431</v>
      </c>
      <c r="F2092" s="853" t="s">
        <v>528</v>
      </c>
      <c r="H2092" t="s">
        <v>5358</v>
      </c>
    </row>
    <row r="2093" spans="2:8">
      <c r="B2093" s="871">
        <v>46275</v>
      </c>
      <c r="C2093" t="s">
        <v>2479</v>
      </c>
      <c r="D2093" t="s">
        <v>1410</v>
      </c>
      <c r="E2093" t="s">
        <v>3389</v>
      </c>
      <c r="F2093" s="853" t="s">
        <v>526</v>
      </c>
      <c r="G2093" s="913">
        <v>2994</v>
      </c>
      <c r="H2093" t="s">
        <v>5359</v>
      </c>
    </row>
    <row r="2094" spans="2:8">
      <c r="B2094" s="871">
        <v>46275</v>
      </c>
      <c r="C2094" t="s">
        <v>2479</v>
      </c>
      <c r="D2094" t="s">
        <v>1410</v>
      </c>
      <c r="E2094" t="s">
        <v>3389</v>
      </c>
      <c r="F2094" s="853" t="s">
        <v>527</v>
      </c>
      <c r="G2094" s="913">
        <v>3100</v>
      </c>
      <c r="H2094" t="s">
        <v>5360</v>
      </c>
    </row>
    <row r="2095" spans="2:8">
      <c r="B2095" s="871">
        <v>46275</v>
      </c>
      <c r="C2095" t="s">
        <v>2479</v>
      </c>
      <c r="D2095" t="s">
        <v>1410</v>
      </c>
      <c r="E2095" t="s">
        <v>3389</v>
      </c>
      <c r="F2095" s="853" t="s">
        <v>528</v>
      </c>
      <c r="G2095" s="913">
        <v>3060</v>
      </c>
      <c r="H2095" t="s">
        <v>5361</v>
      </c>
    </row>
    <row r="2096" spans="2:8">
      <c r="B2096" s="871">
        <v>46275</v>
      </c>
      <c r="C2096" t="s">
        <v>2479</v>
      </c>
      <c r="D2096" t="s">
        <v>1410</v>
      </c>
      <c r="E2096" t="s">
        <v>3393</v>
      </c>
      <c r="F2096" s="853" t="s">
        <v>526</v>
      </c>
      <c r="G2096" s="913" t="s">
        <v>1663</v>
      </c>
      <c r="H2096" t="s">
        <v>5362</v>
      </c>
    </row>
    <row r="2097" spans="2:8">
      <c r="B2097" s="871">
        <v>46275</v>
      </c>
      <c r="C2097" t="s">
        <v>2479</v>
      </c>
      <c r="D2097" t="s">
        <v>1410</v>
      </c>
      <c r="E2097" t="s">
        <v>3393</v>
      </c>
      <c r="F2097" s="853" t="s">
        <v>527</v>
      </c>
      <c r="G2097" s="913" t="s">
        <v>1432</v>
      </c>
      <c r="H2097" t="s">
        <v>5363</v>
      </c>
    </row>
    <row r="2098" spans="2:8">
      <c r="B2098" s="871">
        <v>46275</v>
      </c>
      <c r="C2098" t="s">
        <v>2479</v>
      </c>
      <c r="D2098" t="s">
        <v>1410</v>
      </c>
      <c r="E2098" t="s">
        <v>3393</v>
      </c>
      <c r="F2098" s="853" t="s">
        <v>528</v>
      </c>
      <c r="G2098" s="913" t="s">
        <v>1432</v>
      </c>
      <c r="H2098" t="s">
        <v>5364</v>
      </c>
    </row>
    <row r="2099" spans="2:8">
      <c r="B2099" s="871">
        <v>46275</v>
      </c>
      <c r="C2099" t="s">
        <v>2479</v>
      </c>
      <c r="D2099" t="s">
        <v>1410</v>
      </c>
      <c r="E2099" t="s">
        <v>3397</v>
      </c>
      <c r="F2099" s="853" t="s">
        <v>526</v>
      </c>
      <c r="G2099" s="913" t="s">
        <v>1435</v>
      </c>
      <c r="H2099" t="s">
        <v>5365</v>
      </c>
    </row>
    <row r="2100" spans="2:8">
      <c r="B2100" s="871">
        <v>46275</v>
      </c>
      <c r="C2100" t="s">
        <v>2479</v>
      </c>
      <c r="D2100" t="s">
        <v>1410</v>
      </c>
      <c r="E2100" t="s">
        <v>3397</v>
      </c>
      <c r="F2100" s="853" t="s">
        <v>527</v>
      </c>
      <c r="G2100" s="913" t="s">
        <v>1438</v>
      </c>
      <c r="H2100" t="s">
        <v>5366</v>
      </c>
    </row>
    <row r="2101" spans="2:8">
      <c r="B2101" s="871">
        <v>46275</v>
      </c>
      <c r="C2101" t="s">
        <v>2479</v>
      </c>
      <c r="D2101" t="s">
        <v>1410</v>
      </c>
      <c r="E2101" t="s">
        <v>3397</v>
      </c>
      <c r="F2101" s="853" t="s">
        <v>528</v>
      </c>
      <c r="G2101" s="913" t="s">
        <v>1438</v>
      </c>
      <c r="H2101" t="s">
        <v>5367</v>
      </c>
    </row>
    <row r="2102" spans="2:8">
      <c r="B2102" s="871">
        <v>46275</v>
      </c>
      <c r="C2102" t="s">
        <v>2479</v>
      </c>
      <c r="D2102" t="s">
        <v>1434</v>
      </c>
      <c r="E2102" t="s">
        <v>42</v>
      </c>
      <c r="F2102" s="853" t="s">
        <v>526</v>
      </c>
      <c r="G2102" s="913" t="s">
        <v>1785</v>
      </c>
      <c r="H2102" t="s">
        <v>5368</v>
      </c>
    </row>
    <row r="2103" spans="2:8">
      <c r="B2103" s="871">
        <v>46275</v>
      </c>
      <c r="C2103" t="s">
        <v>2479</v>
      </c>
      <c r="D2103" t="s">
        <v>1434</v>
      </c>
      <c r="E2103" t="s">
        <v>42</v>
      </c>
      <c r="F2103" s="853" t="s">
        <v>527</v>
      </c>
      <c r="G2103" s="913" t="s">
        <v>1785</v>
      </c>
      <c r="H2103" t="s">
        <v>5369</v>
      </c>
    </row>
    <row r="2104" spans="2:8">
      <c r="B2104" s="871">
        <v>46275</v>
      </c>
      <c r="C2104" t="s">
        <v>2479</v>
      </c>
      <c r="D2104" t="s">
        <v>1434</v>
      </c>
      <c r="E2104" t="s">
        <v>42</v>
      </c>
      <c r="F2104" s="853" t="s">
        <v>528</v>
      </c>
      <c r="G2104" s="913" t="s">
        <v>1785</v>
      </c>
      <c r="H2104" t="s">
        <v>5370</v>
      </c>
    </row>
    <row r="2105" spans="2:8">
      <c r="B2105" s="871">
        <v>46275</v>
      </c>
      <c r="C2105" t="s">
        <v>2479</v>
      </c>
      <c r="D2105" t="s">
        <v>1410</v>
      </c>
      <c r="E2105" t="s">
        <v>3404</v>
      </c>
      <c r="F2105" s="853" t="s">
        <v>526</v>
      </c>
      <c r="G2105" s="913" t="s">
        <v>1585</v>
      </c>
      <c r="H2105" t="s">
        <v>5371</v>
      </c>
    </row>
    <row r="2106" spans="2:8">
      <c r="B2106" s="871">
        <v>46275</v>
      </c>
      <c r="C2106" t="s">
        <v>2479</v>
      </c>
      <c r="D2106" t="s">
        <v>1410</v>
      </c>
      <c r="E2106" t="s">
        <v>3404</v>
      </c>
      <c r="F2106" s="853" t="s">
        <v>527</v>
      </c>
      <c r="G2106" s="913" t="s">
        <v>1435</v>
      </c>
      <c r="H2106" t="s">
        <v>5372</v>
      </c>
    </row>
    <row r="2107" spans="2:8">
      <c r="B2107" s="871">
        <v>46275</v>
      </c>
      <c r="C2107" t="s">
        <v>2479</v>
      </c>
      <c r="D2107" t="s">
        <v>1410</v>
      </c>
      <c r="E2107" t="s">
        <v>3404</v>
      </c>
      <c r="F2107" s="853" t="s">
        <v>528</v>
      </c>
      <c r="G2107" s="913" t="s">
        <v>1435</v>
      </c>
      <c r="H2107" t="s">
        <v>5373</v>
      </c>
    </row>
    <row r="2108" spans="2:8">
      <c r="B2108" s="871">
        <v>46275</v>
      </c>
      <c r="C2108" t="s">
        <v>2479</v>
      </c>
      <c r="D2108" t="s">
        <v>1434</v>
      </c>
      <c r="E2108" t="s">
        <v>1439</v>
      </c>
      <c r="F2108" s="853" t="s">
        <v>526</v>
      </c>
      <c r="G2108" s="913" t="s">
        <v>1440</v>
      </c>
      <c r="H2108" t="s">
        <v>5374</v>
      </c>
    </row>
    <row r="2109" spans="2:8">
      <c r="B2109" s="871">
        <v>46275</v>
      </c>
      <c r="C2109" t="s">
        <v>2479</v>
      </c>
      <c r="D2109" t="s">
        <v>1434</v>
      </c>
      <c r="E2109" t="s">
        <v>1439</v>
      </c>
      <c r="F2109" s="853" t="s">
        <v>527</v>
      </c>
      <c r="G2109" s="913" t="s">
        <v>1440</v>
      </c>
      <c r="H2109" t="s">
        <v>5375</v>
      </c>
    </row>
    <row r="2110" spans="2:8">
      <c r="B2110" s="871">
        <v>46275</v>
      </c>
      <c r="C2110" t="s">
        <v>2479</v>
      </c>
      <c r="D2110" t="s">
        <v>1434</v>
      </c>
      <c r="E2110" t="s">
        <v>1439</v>
      </c>
      <c r="F2110" s="853" t="s">
        <v>528</v>
      </c>
      <c r="G2110" s="913" t="s">
        <v>1440</v>
      </c>
      <c r="H2110" t="s">
        <v>5376</v>
      </c>
    </row>
    <row r="2111" spans="2:8">
      <c r="B2111" s="871">
        <v>46275</v>
      </c>
      <c r="C2111" t="s">
        <v>2479</v>
      </c>
      <c r="D2111" t="s">
        <v>1410</v>
      </c>
      <c r="E2111" t="s">
        <v>3411</v>
      </c>
      <c r="F2111" s="853" t="s">
        <v>526</v>
      </c>
      <c r="G2111" s="913">
        <v>64</v>
      </c>
      <c r="H2111" t="s">
        <v>5377</v>
      </c>
    </row>
    <row r="2112" spans="2:8">
      <c r="B2112" s="871">
        <v>46275</v>
      </c>
      <c r="C2112" t="s">
        <v>2479</v>
      </c>
      <c r="D2112" t="s">
        <v>1410</v>
      </c>
      <c r="E2112" t="s">
        <v>3411</v>
      </c>
      <c r="F2112" s="853" t="s">
        <v>527</v>
      </c>
      <c r="G2112" s="913">
        <v>55</v>
      </c>
      <c r="H2112" t="s">
        <v>5378</v>
      </c>
    </row>
    <row r="2113" spans="2:8">
      <c r="B2113" s="871">
        <v>46275</v>
      </c>
      <c r="C2113" t="s">
        <v>2479</v>
      </c>
      <c r="D2113" t="s">
        <v>1410</v>
      </c>
      <c r="E2113" t="s">
        <v>3411</v>
      </c>
      <c r="F2113" s="853" t="s">
        <v>528</v>
      </c>
      <c r="G2113" s="913">
        <v>71</v>
      </c>
      <c r="H2113" t="s">
        <v>5379</v>
      </c>
    </row>
    <row r="2114" spans="2:8">
      <c r="B2114" s="871">
        <v>46275</v>
      </c>
      <c r="C2114" t="s">
        <v>2479</v>
      </c>
      <c r="D2114" t="s">
        <v>1434</v>
      </c>
      <c r="E2114" t="s">
        <v>43</v>
      </c>
      <c r="F2114" s="853" t="s">
        <v>526</v>
      </c>
      <c r="G2114" s="913" t="s">
        <v>1786</v>
      </c>
      <c r="H2114" t="s">
        <v>5380</v>
      </c>
    </row>
    <row r="2115" spans="2:8">
      <c r="B2115" s="871">
        <v>46275</v>
      </c>
      <c r="C2115" t="s">
        <v>2479</v>
      </c>
      <c r="D2115" t="s">
        <v>1434</v>
      </c>
      <c r="E2115" t="s">
        <v>43</v>
      </c>
      <c r="F2115" s="853" t="s">
        <v>527</v>
      </c>
      <c r="G2115" s="913" t="s">
        <v>1786</v>
      </c>
      <c r="H2115" t="s">
        <v>5381</v>
      </c>
    </row>
    <row r="2116" spans="2:8">
      <c r="B2116" s="871">
        <v>46275</v>
      </c>
      <c r="C2116" t="s">
        <v>2479</v>
      </c>
      <c r="D2116" t="s">
        <v>1434</v>
      </c>
      <c r="E2116" t="s">
        <v>43</v>
      </c>
      <c r="F2116" s="853" t="s">
        <v>528</v>
      </c>
      <c r="G2116" s="913" t="s">
        <v>1786</v>
      </c>
      <c r="H2116" t="s">
        <v>5382</v>
      </c>
    </row>
    <row r="2117" spans="2:8">
      <c r="B2117" s="871">
        <v>46275</v>
      </c>
      <c r="C2117" t="s">
        <v>2479</v>
      </c>
      <c r="D2117" t="s">
        <v>1410</v>
      </c>
      <c r="E2117" t="s">
        <v>3418</v>
      </c>
      <c r="F2117" s="853" t="s">
        <v>526</v>
      </c>
      <c r="G2117" s="913">
        <v>43</v>
      </c>
      <c r="H2117" t="s">
        <v>5383</v>
      </c>
    </row>
    <row r="2118" spans="2:8">
      <c r="B2118" s="871">
        <v>46275</v>
      </c>
      <c r="C2118" t="s">
        <v>2479</v>
      </c>
      <c r="D2118" t="s">
        <v>1410</v>
      </c>
      <c r="E2118" t="s">
        <v>3418</v>
      </c>
      <c r="F2118" s="853" t="s">
        <v>527</v>
      </c>
      <c r="G2118" s="913">
        <v>69</v>
      </c>
      <c r="H2118" t="s">
        <v>5384</v>
      </c>
    </row>
    <row r="2119" spans="2:8">
      <c r="B2119" s="871">
        <v>46275</v>
      </c>
      <c r="C2119" t="s">
        <v>2479</v>
      </c>
      <c r="D2119" t="s">
        <v>1410</v>
      </c>
      <c r="E2119" t="s">
        <v>3418</v>
      </c>
      <c r="F2119" s="853" t="s">
        <v>528</v>
      </c>
      <c r="G2119" s="913">
        <v>70</v>
      </c>
      <c r="H2119" t="s">
        <v>5385</v>
      </c>
    </row>
    <row r="2120" spans="2:8">
      <c r="B2120" s="871">
        <v>46275</v>
      </c>
      <c r="C2120" t="s">
        <v>2479</v>
      </c>
      <c r="D2120" t="s">
        <v>1434</v>
      </c>
      <c r="E2120" t="s">
        <v>1441</v>
      </c>
      <c r="F2120" s="853" t="s">
        <v>526</v>
      </c>
      <c r="H2120" t="s">
        <v>5386</v>
      </c>
    </row>
    <row r="2121" spans="2:8">
      <c r="B2121" s="871">
        <v>46275</v>
      </c>
      <c r="C2121" t="s">
        <v>2479</v>
      </c>
      <c r="D2121" t="s">
        <v>1434</v>
      </c>
      <c r="E2121" t="s">
        <v>1441</v>
      </c>
      <c r="F2121" s="853" t="s">
        <v>527</v>
      </c>
      <c r="H2121" t="s">
        <v>5387</v>
      </c>
    </row>
    <row r="2122" spans="2:8">
      <c r="B2122" s="871">
        <v>46275</v>
      </c>
      <c r="C2122" t="s">
        <v>2479</v>
      </c>
      <c r="D2122" t="s">
        <v>1434</v>
      </c>
      <c r="E2122" t="s">
        <v>1441</v>
      </c>
      <c r="F2122" s="853" t="s">
        <v>528</v>
      </c>
      <c r="H2122" t="s">
        <v>5388</v>
      </c>
    </row>
    <row r="2123" spans="2:8">
      <c r="B2123" s="871">
        <v>46275</v>
      </c>
      <c r="C2123" t="s">
        <v>2479</v>
      </c>
      <c r="D2123" t="s">
        <v>1410</v>
      </c>
      <c r="E2123" t="s">
        <v>3425</v>
      </c>
      <c r="F2123" s="853" t="s">
        <v>526</v>
      </c>
      <c r="G2123" s="913" t="s">
        <v>1443</v>
      </c>
      <c r="H2123" t="s">
        <v>5389</v>
      </c>
    </row>
    <row r="2124" spans="2:8">
      <c r="B2124" s="871">
        <v>46275</v>
      </c>
      <c r="C2124" t="s">
        <v>2479</v>
      </c>
      <c r="D2124" t="s">
        <v>1410</v>
      </c>
      <c r="E2124" t="s">
        <v>3425</v>
      </c>
      <c r="F2124" s="853" t="s">
        <v>527</v>
      </c>
      <c r="G2124" s="913" t="s">
        <v>1443</v>
      </c>
      <c r="H2124" t="s">
        <v>5390</v>
      </c>
    </row>
    <row r="2125" spans="2:8">
      <c r="B2125" s="871">
        <v>46275</v>
      </c>
      <c r="C2125" t="s">
        <v>2479</v>
      </c>
      <c r="D2125" t="s">
        <v>1410</v>
      </c>
      <c r="E2125" t="s">
        <v>3425</v>
      </c>
      <c r="F2125" s="853" t="s">
        <v>528</v>
      </c>
      <c r="G2125" s="913" t="s">
        <v>1443</v>
      </c>
      <c r="H2125" t="s">
        <v>5391</v>
      </c>
    </row>
    <row r="2126" spans="2:8">
      <c r="B2126" s="871">
        <v>46275</v>
      </c>
      <c r="C2126" t="s">
        <v>2479</v>
      </c>
      <c r="D2126" t="s">
        <v>1434</v>
      </c>
      <c r="E2126" t="s">
        <v>1444</v>
      </c>
      <c r="F2126" s="853" t="s">
        <v>526</v>
      </c>
      <c r="H2126" t="s">
        <v>5392</v>
      </c>
    </row>
    <row r="2127" spans="2:8">
      <c r="B2127" s="871">
        <v>46275</v>
      </c>
      <c r="C2127" t="s">
        <v>2479</v>
      </c>
      <c r="D2127" t="s">
        <v>1434</v>
      </c>
      <c r="E2127" t="s">
        <v>1444</v>
      </c>
      <c r="F2127" s="853" t="s">
        <v>527</v>
      </c>
      <c r="H2127" t="s">
        <v>5393</v>
      </c>
    </row>
    <row r="2128" spans="2:8">
      <c r="B2128" s="871">
        <v>46275</v>
      </c>
      <c r="C2128" t="s">
        <v>2479</v>
      </c>
      <c r="D2128" t="s">
        <v>1434</v>
      </c>
      <c r="E2128" t="s">
        <v>1444</v>
      </c>
      <c r="F2128" s="853" t="s">
        <v>528</v>
      </c>
      <c r="H2128" t="s">
        <v>5394</v>
      </c>
    </row>
    <row r="2129" spans="2:8">
      <c r="B2129" s="871">
        <v>46275</v>
      </c>
      <c r="C2129" t="s">
        <v>2479</v>
      </c>
      <c r="D2129" t="s">
        <v>1434</v>
      </c>
      <c r="E2129" t="s">
        <v>1446</v>
      </c>
      <c r="F2129" s="853" t="s">
        <v>526</v>
      </c>
      <c r="G2129" s="913">
        <v>38000</v>
      </c>
      <c r="H2129" t="s">
        <v>5395</v>
      </c>
    </row>
    <row r="2130" spans="2:8">
      <c r="B2130" s="871">
        <v>46275</v>
      </c>
      <c r="C2130" t="s">
        <v>2479</v>
      </c>
      <c r="D2130" t="s">
        <v>1434</v>
      </c>
      <c r="E2130" t="s">
        <v>1446</v>
      </c>
      <c r="F2130" s="853" t="s">
        <v>527</v>
      </c>
      <c r="H2130" t="s">
        <v>5396</v>
      </c>
    </row>
    <row r="2131" spans="2:8">
      <c r="B2131" s="871">
        <v>46275</v>
      </c>
      <c r="C2131" t="s">
        <v>2479</v>
      </c>
      <c r="D2131" t="s">
        <v>1434</v>
      </c>
      <c r="E2131" t="s">
        <v>1446</v>
      </c>
      <c r="F2131" s="853" t="s">
        <v>528</v>
      </c>
      <c r="G2131" s="913">
        <v>96000</v>
      </c>
      <c r="H2131" t="s">
        <v>5397</v>
      </c>
    </row>
    <row r="2132" spans="2:8">
      <c r="B2132" s="871">
        <v>46275</v>
      </c>
      <c r="C2132" t="s">
        <v>2479</v>
      </c>
      <c r="D2132" t="s">
        <v>1410</v>
      </c>
      <c r="E2132" t="s">
        <v>3435</v>
      </c>
      <c r="F2132" s="853" t="s">
        <v>526</v>
      </c>
      <c r="G2132" s="913" t="s">
        <v>1586</v>
      </c>
      <c r="H2132" t="s">
        <v>5398</v>
      </c>
    </row>
    <row r="2133" spans="2:8">
      <c r="B2133" s="871">
        <v>46275</v>
      </c>
      <c r="C2133" t="s">
        <v>2479</v>
      </c>
      <c r="D2133" t="s">
        <v>1410</v>
      </c>
      <c r="E2133" t="s">
        <v>3435</v>
      </c>
      <c r="F2133" s="853" t="s">
        <v>527</v>
      </c>
      <c r="G2133" s="913" t="s">
        <v>1213</v>
      </c>
      <c r="H2133" t="s">
        <v>5399</v>
      </c>
    </row>
    <row r="2134" spans="2:8">
      <c r="B2134" s="871">
        <v>46275</v>
      </c>
      <c r="C2134" t="s">
        <v>2479</v>
      </c>
      <c r="D2134" t="s">
        <v>1410</v>
      </c>
      <c r="E2134" t="s">
        <v>3435</v>
      </c>
      <c r="F2134" s="853" t="s">
        <v>528</v>
      </c>
      <c r="G2134" s="913" t="s">
        <v>1213</v>
      </c>
      <c r="H2134" t="s">
        <v>5400</v>
      </c>
    </row>
    <row r="2135" spans="2:8">
      <c r="B2135" s="871">
        <v>46275</v>
      </c>
      <c r="C2135" t="s">
        <v>2479</v>
      </c>
      <c r="D2135" t="s">
        <v>1434</v>
      </c>
      <c r="E2135" t="s">
        <v>3439</v>
      </c>
      <c r="F2135" s="853" t="s">
        <v>526</v>
      </c>
      <c r="H2135" t="s">
        <v>5401</v>
      </c>
    </row>
    <row r="2136" spans="2:8">
      <c r="B2136" s="871">
        <v>46275</v>
      </c>
      <c r="C2136" t="s">
        <v>2479</v>
      </c>
      <c r="D2136" t="s">
        <v>1434</v>
      </c>
      <c r="E2136" t="s">
        <v>3439</v>
      </c>
      <c r="F2136" s="853" t="s">
        <v>527</v>
      </c>
      <c r="H2136" t="s">
        <v>5402</v>
      </c>
    </row>
    <row r="2137" spans="2:8">
      <c r="B2137" s="871">
        <v>46275</v>
      </c>
      <c r="C2137" t="s">
        <v>2479</v>
      </c>
      <c r="D2137" t="s">
        <v>1434</v>
      </c>
      <c r="E2137" t="s">
        <v>3439</v>
      </c>
      <c r="F2137" s="853" t="s">
        <v>528</v>
      </c>
      <c r="H2137" t="s">
        <v>5403</v>
      </c>
    </row>
    <row r="2138" spans="2:8">
      <c r="B2138" s="871">
        <v>46275</v>
      </c>
      <c r="C2138" t="s">
        <v>2479</v>
      </c>
      <c r="D2138" t="s">
        <v>1410</v>
      </c>
      <c r="E2138" t="s">
        <v>3443</v>
      </c>
      <c r="F2138" s="853" t="s">
        <v>526</v>
      </c>
      <c r="H2138" t="s">
        <v>5404</v>
      </c>
    </row>
    <row r="2139" spans="2:8">
      <c r="B2139" s="871">
        <v>46275</v>
      </c>
      <c r="C2139" t="s">
        <v>2479</v>
      </c>
      <c r="D2139" t="s">
        <v>1410</v>
      </c>
      <c r="E2139" t="s">
        <v>3443</v>
      </c>
      <c r="F2139" s="853" t="s">
        <v>527</v>
      </c>
      <c r="G2139" s="913">
        <v>135</v>
      </c>
      <c r="H2139" t="s">
        <v>5405</v>
      </c>
    </row>
    <row r="2140" spans="2:8">
      <c r="B2140" s="871">
        <v>46275</v>
      </c>
      <c r="C2140" t="s">
        <v>2479</v>
      </c>
      <c r="D2140" t="s">
        <v>1410</v>
      </c>
      <c r="E2140" t="s">
        <v>3443</v>
      </c>
      <c r="F2140" s="853" t="s">
        <v>528</v>
      </c>
      <c r="G2140" s="913">
        <v>137</v>
      </c>
      <c r="H2140" t="s">
        <v>5406</v>
      </c>
    </row>
    <row r="2141" spans="2:8">
      <c r="B2141" s="871">
        <v>46275</v>
      </c>
      <c r="C2141" t="s">
        <v>2479</v>
      </c>
      <c r="D2141" t="s">
        <v>1434</v>
      </c>
      <c r="E2141" t="s">
        <v>3447</v>
      </c>
      <c r="F2141" s="853" t="s">
        <v>526</v>
      </c>
      <c r="H2141" t="s">
        <v>5407</v>
      </c>
    </row>
    <row r="2142" spans="2:8">
      <c r="B2142" s="871">
        <v>46275</v>
      </c>
      <c r="C2142" t="s">
        <v>2479</v>
      </c>
      <c r="D2142" t="s">
        <v>1434</v>
      </c>
      <c r="E2142" t="s">
        <v>3447</v>
      </c>
      <c r="F2142" s="853" t="s">
        <v>527</v>
      </c>
      <c r="H2142" t="s">
        <v>5408</v>
      </c>
    </row>
    <row r="2143" spans="2:8">
      <c r="B2143" s="871">
        <v>46275</v>
      </c>
      <c r="C2143" t="s">
        <v>2479</v>
      </c>
      <c r="D2143" t="s">
        <v>1434</v>
      </c>
      <c r="E2143" t="s">
        <v>3447</v>
      </c>
      <c r="F2143" s="853" t="s">
        <v>528</v>
      </c>
      <c r="H2143" t="s">
        <v>5409</v>
      </c>
    </row>
    <row r="2144" spans="2:8">
      <c r="B2144" s="871">
        <v>46275</v>
      </c>
      <c r="C2144" t="s">
        <v>2479</v>
      </c>
      <c r="D2144" t="s">
        <v>1410</v>
      </c>
      <c r="E2144" t="s">
        <v>3451</v>
      </c>
      <c r="F2144" s="853" t="s">
        <v>526</v>
      </c>
      <c r="H2144" t="s">
        <v>5410</v>
      </c>
    </row>
    <row r="2145" spans="2:8">
      <c r="B2145" s="871">
        <v>46275</v>
      </c>
      <c r="C2145" t="s">
        <v>2479</v>
      </c>
      <c r="D2145" t="s">
        <v>1410</v>
      </c>
      <c r="E2145" t="s">
        <v>3451</v>
      </c>
      <c r="F2145" s="853" t="s">
        <v>527</v>
      </c>
      <c r="G2145" s="913">
        <v>1307</v>
      </c>
      <c r="H2145" t="s">
        <v>5411</v>
      </c>
    </row>
    <row r="2146" spans="2:8">
      <c r="B2146" s="871">
        <v>46275</v>
      </c>
      <c r="C2146" t="s">
        <v>2479</v>
      </c>
      <c r="D2146" t="s">
        <v>1410</v>
      </c>
      <c r="E2146" t="s">
        <v>3451</v>
      </c>
      <c r="F2146" s="853" t="s">
        <v>528</v>
      </c>
      <c r="G2146" s="913">
        <v>1240</v>
      </c>
      <c r="H2146" t="s">
        <v>5412</v>
      </c>
    </row>
    <row r="2147" spans="2:8">
      <c r="B2147" s="871">
        <v>46275</v>
      </c>
      <c r="C2147" t="s">
        <v>2479</v>
      </c>
      <c r="D2147" t="s">
        <v>1434</v>
      </c>
      <c r="E2147" t="s">
        <v>3455</v>
      </c>
      <c r="F2147" s="853" t="s">
        <v>526</v>
      </c>
      <c r="H2147" t="s">
        <v>5413</v>
      </c>
    </row>
    <row r="2148" spans="2:8">
      <c r="B2148" s="871">
        <v>46275</v>
      </c>
      <c r="C2148" t="s">
        <v>2479</v>
      </c>
      <c r="D2148" t="s">
        <v>1434</v>
      </c>
      <c r="E2148" t="s">
        <v>3455</v>
      </c>
      <c r="F2148" s="853" t="s">
        <v>527</v>
      </c>
      <c r="H2148" t="s">
        <v>5414</v>
      </c>
    </row>
    <row r="2149" spans="2:8">
      <c r="B2149" s="871">
        <v>46275</v>
      </c>
      <c r="C2149" t="s">
        <v>2479</v>
      </c>
      <c r="D2149" t="s">
        <v>1434</v>
      </c>
      <c r="E2149" t="s">
        <v>3455</v>
      </c>
      <c r="F2149" s="853" t="s">
        <v>528</v>
      </c>
      <c r="H2149" t="s">
        <v>5415</v>
      </c>
    </row>
    <row r="2150" spans="2:8">
      <c r="B2150" s="871">
        <v>46275</v>
      </c>
      <c r="C2150" t="s">
        <v>2479</v>
      </c>
      <c r="D2150" t="s">
        <v>1410</v>
      </c>
      <c r="E2150" t="s">
        <v>3459</v>
      </c>
      <c r="F2150" s="853" t="s">
        <v>526</v>
      </c>
      <c r="G2150" s="913">
        <v>28</v>
      </c>
      <c r="H2150" t="s">
        <v>5416</v>
      </c>
    </row>
    <row r="2151" spans="2:8">
      <c r="B2151" s="871">
        <v>46275</v>
      </c>
      <c r="C2151" t="s">
        <v>2479</v>
      </c>
      <c r="D2151" t="s">
        <v>1410</v>
      </c>
      <c r="E2151" t="s">
        <v>3459</v>
      </c>
      <c r="F2151" s="853" t="s">
        <v>527</v>
      </c>
      <c r="G2151" s="913">
        <v>27</v>
      </c>
      <c r="H2151" t="s">
        <v>5417</v>
      </c>
    </row>
    <row r="2152" spans="2:8">
      <c r="B2152" s="871">
        <v>46275</v>
      </c>
      <c r="C2152" t="s">
        <v>2479</v>
      </c>
      <c r="D2152" t="s">
        <v>1410</v>
      </c>
      <c r="E2152" t="s">
        <v>3459</v>
      </c>
      <c r="F2152" s="853" t="s">
        <v>528</v>
      </c>
      <c r="G2152" s="913">
        <v>27</v>
      </c>
      <c r="H2152" t="s">
        <v>5418</v>
      </c>
    </row>
    <row r="2153" spans="2:8">
      <c r="B2153" s="871">
        <v>46275</v>
      </c>
      <c r="C2153" t="s">
        <v>2479</v>
      </c>
      <c r="D2153" t="s">
        <v>1434</v>
      </c>
      <c r="E2153" t="s">
        <v>3463</v>
      </c>
      <c r="F2153" s="853" t="s">
        <v>526</v>
      </c>
      <c r="H2153" t="s">
        <v>5419</v>
      </c>
    </row>
    <row r="2154" spans="2:8">
      <c r="B2154" s="871">
        <v>46275</v>
      </c>
      <c r="C2154" t="s">
        <v>2479</v>
      </c>
      <c r="D2154" t="s">
        <v>1434</v>
      </c>
      <c r="E2154" t="s">
        <v>3463</v>
      </c>
      <c r="F2154" s="853" t="s">
        <v>527</v>
      </c>
      <c r="H2154" t="s">
        <v>5420</v>
      </c>
    </row>
    <row r="2155" spans="2:8">
      <c r="B2155" s="871">
        <v>46275</v>
      </c>
      <c r="C2155" t="s">
        <v>2479</v>
      </c>
      <c r="D2155" t="s">
        <v>1434</v>
      </c>
      <c r="E2155" t="s">
        <v>3463</v>
      </c>
      <c r="F2155" s="853" t="s">
        <v>528</v>
      </c>
      <c r="H2155" t="s">
        <v>5421</v>
      </c>
    </row>
    <row r="2156" spans="2:8">
      <c r="B2156" s="871">
        <v>46275</v>
      </c>
      <c r="C2156" t="s">
        <v>2479</v>
      </c>
      <c r="D2156" t="s">
        <v>1410</v>
      </c>
      <c r="E2156" t="s">
        <v>3467</v>
      </c>
      <c r="F2156" s="853" t="s">
        <v>526</v>
      </c>
      <c r="G2156" s="913">
        <v>28</v>
      </c>
      <c r="H2156" t="s">
        <v>5422</v>
      </c>
    </row>
    <row r="2157" spans="2:8">
      <c r="B2157" s="871">
        <v>46275</v>
      </c>
      <c r="C2157" t="s">
        <v>2479</v>
      </c>
      <c r="D2157" t="s">
        <v>1410</v>
      </c>
      <c r="E2157" t="s">
        <v>3467</v>
      </c>
      <c r="F2157" s="853" t="s">
        <v>527</v>
      </c>
      <c r="G2157" s="913">
        <v>27</v>
      </c>
      <c r="H2157" t="s">
        <v>5423</v>
      </c>
    </row>
    <row r="2158" spans="2:8">
      <c r="B2158" s="871">
        <v>46275</v>
      </c>
      <c r="C2158" t="s">
        <v>2479</v>
      </c>
      <c r="D2158" t="s">
        <v>1410</v>
      </c>
      <c r="E2158" t="s">
        <v>3467</v>
      </c>
      <c r="F2158" s="853" t="s">
        <v>528</v>
      </c>
      <c r="G2158" s="913">
        <v>27</v>
      </c>
      <c r="H2158" t="s">
        <v>5424</v>
      </c>
    </row>
    <row r="2159" spans="2:8">
      <c r="B2159" s="871">
        <v>46275</v>
      </c>
      <c r="C2159" t="s">
        <v>2479</v>
      </c>
      <c r="D2159" t="s">
        <v>1434</v>
      </c>
      <c r="E2159" t="s">
        <v>3471</v>
      </c>
      <c r="F2159" s="853" t="s">
        <v>526</v>
      </c>
      <c r="H2159" t="s">
        <v>5425</v>
      </c>
    </row>
    <row r="2160" spans="2:8">
      <c r="B2160" s="871">
        <v>46275</v>
      </c>
      <c r="C2160" t="s">
        <v>2479</v>
      </c>
      <c r="D2160" t="s">
        <v>1434</v>
      </c>
      <c r="E2160" t="s">
        <v>3471</v>
      </c>
      <c r="F2160" s="853" t="s">
        <v>527</v>
      </c>
      <c r="H2160" t="s">
        <v>5426</v>
      </c>
    </row>
    <row r="2161" spans="2:8">
      <c r="B2161" s="871">
        <v>46275</v>
      </c>
      <c r="C2161" t="s">
        <v>2479</v>
      </c>
      <c r="D2161" t="s">
        <v>1434</v>
      </c>
      <c r="E2161" t="s">
        <v>3471</v>
      </c>
      <c r="F2161" s="853" t="s">
        <v>528</v>
      </c>
      <c r="H2161" t="s">
        <v>5427</v>
      </c>
    </row>
    <row r="2162" spans="2:8">
      <c r="B2162" s="871">
        <v>46275</v>
      </c>
      <c r="C2162" t="s">
        <v>2479</v>
      </c>
      <c r="D2162" t="s">
        <v>1410</v>
      </c>
      <c r="E2162" t="s">
        <v>3475</v>
      </c>
      <c r="F2162" s="853" t="s">
        <v>526</v>
      </c>
      <c r="G2162" s="913">
        <v>19</v>
      </c>
      <c r="H2162" t="s">
        <v>5428</v>
      </c>
    </row>
    <row r="2163" spans="2:8">
      <c r="B2163" s="871">
        <v>46275</v>
      </c>
      <c r="C2163" t="s">
        <v>2479</v>
      </c>
      <c r="D2163" t="s">
        <v>1410</v>
      </c>
      <c r="E2163" t="s">
        <v>3475</v>
      </c>
      <c r="F2163" s="853" t="s">
        <v>527</v>
      </c>
      <c r="G2163" s="913">
        <v>17</v>
      </c>
      <c r="H2163" t="s">
        <v>5429</v>
      </c>
    </row>
    <row r="2164" spans="2:8">
      <c r="B2164" s="871">
        <v>46275</v>
      </c>
      <c r="C2164" t="s">
        <v>2479</v>
      </c>
      <c r="D2164" t="s">
        <v>1410</v>
      </c>
      <c r="E2164" t="s">
        <v>3475</v>
      </c>
      <c r="F2164" s="853" t="s">
        <v>528</v>
      </c>
      <c r="G2164" s="913">
        <v>15</v>
      </c>
      <c r="H2164" t="s">
        <v>5430</v>
      </c>
    </row>
    <row r="2165" spans="2:8">
      <c r="B2165" s="871">
        <v>46275</v>
      </c>
      <c r="C2165" t="s">
        <v>2479</v>
      </c>
      <c r="D2165" t="s">
        <v>1434</v>
      </c>
      <c r="E2165" t="s">
        <v>3479</v>
      </c>
      <c r="F2165" s="853" t="s">
        <v>526</v>
      </c>
      <c r="H2165" t="s">
        <v>5431</v>
      </c>
    </row>
    <row r="2166" spans="2:8">
      <c r="B2166" s="871">
        <v>46275</v>
      </c>
      <c r="C2166" t="s">
        <v>2479</v>
      </c>
      <c r="D2166" t="s">
        <v>1434</v>
      </c>
      <c r="E2166" t="s">
        <v>3479</v>
      </c>
      <c r="F2166" s="853" t="s">
        <v>527</v>
      </c>
      <c r="H2166" t="s">
        <v>5432</v>
      </c>
    </row>
    <row r="2167" spans="2:8">
      <c r="B2167" s="871">
        <v>46275</v>
      </c>
      <c r="C2167" t="s">
        <v>2479</v>
      </c>
      <c r="D2167" t="s">
        <v>1434</v>
      </c>
      <c r="E2167" t="s">
        <v>3479</v>
      </c>
      <c r="F2167" s="853" t="s">
        <v>528</v>
      </c>
      <c r="H2167" t="s">
        <v>5433</v>
      </c>
    </row>
    <row r="2168" spans="2:8">
      <c r="B2168" s="871">
        <v>46275</v>
      </c>
      <c r="C2168" t="s">
        <v>2479</v>
      </c>
      <c r="D2168" t="s">
        <v>1410</v>
      </c>
      <c r="E2168" t="s">
        <v>3483</v>
      </c>
      <c r="F2168" s="853" t="s">
        <v>526</v>
      </c>
      <c r="G2168" s="913">
        <v>5</v>
      </c>
      <c r="H2168" t="s">
        <v>5434</v>
      </c>
    </row>
    <row r="2169" spans="2:8">
      <c r="B2169" s="871">
        <v>46275</v>
      </c>
      <c r="C2169" t="s">
        <v>2479</v>
      </c>
      <c r="D2169" t="s">
        <v>1410</v>
      </c>
      <c r="E2169" t="s">
        <v>3483</v>
      </c>
      <c r="F2169" s="853" t="s">
        <v>527</v>
      </c>
      <c r="G2169" s="913">
        <v>5</v>
      </c>
      <c r="H2169" t="s">
        <v>5435</v>
      </c>
    </row>
    <row r="2170" spans="2:8">
      <c r="B2170" s="871">
        <v>46275</v>
      </c>
      <c r="C2170" t="s">
        <v>2479</v>
      </c>
      <c r="D2170" t="s">
        <v>1410</v>
      </c>
      <c r="E2170" t="s">
        <v>3483</v>
      </c>
      <c r="F2170" s="853" t="s">
        <v>528</v>
      </c>
      <c r="G2170" s="913">
        <v>3</v>
      </c>
      <c r="H2170" t="s">
        <v>5436</v>
      </c>
    </row>
    <row r="2171" spans="2:8">
      <c r="B2171" s="871">
        <v>46276</v>
      </c>
      <c r="C2171" t="s">
        <v>2480</v>
      </c>
      <c r="D2171" t="s">
        <v>1375</v>
      </c>
      <c r="E2171" t="s">
        <v>1377</v>
      </c>
      <c r="F2171" s="853" t="s">
        <v>526</v>
      </c>
      <c r="G2171" s="913" t="s">
        <v>1622</v>
      </c>
      <c r="H2171" t="s">
        <v>5437</v>
      </c>
    </row>
    <row r="2172" spans="2:8">
      <c r="B2172" s="871">
        <v>46276</v>
      </c>
      <c r="C2172" t="s">
        <v>2480</v>
      </c>
      <c r="D2172" t="s">
        <v>1375</v>
      </c>
      <c r="E2172" t="s">
        <v>1377</v>
      </c>
      <c r="F2172" s="853" t="s">
        <v>527</v>
      </c>
      <c r="G2172" s="913" t="s">
        <v>1622</v>
      </c>
      <c r="H2172" t="s">
        <v>5438</v>
      </c>
    </row>
    <row r="2173" spans="2:8">
      <c r="B2173" s="871">
        <v>46276</v>
      </c>
      <c r="C2173" t="s">
        <v>2480</v>
      </c>
      <c r="D2173" t="s">
        <v>1375</v>
      </c>
      <c r="E2173" t="s">
        <v>1377</v>
      </c>
      <c r="F2173" s="853" t="s">
        <v>528</v>
      </c>
      <c r="G2173" s="913" t="s">
        <v>1778</v>
      </c>
      <c r="H2173" t="s">
        <v>5439</v>
      </c>
    </row>
    <row r="2174" spans="2:8">
      <c r="B2174" s="871">
        <v>46276</v>
      </c>
      <c r="C2174" t="s">
        <v>2480</v>
      </c>
      <c r="D2174" t="s">
        <v>1376</v>
      </c>
      <c r="E2174" t="s">
        <v>1379</v>
      </c>
      <c r="F2174" s="853" t="s">
        <v>526</v>
      </c>
      <c r="H2174" t="s">
        <v>5440</v>
      </c>
    </row>
    <row r="2175" spans="2:8">
      <c r="B2175" s="871">
        <v>46276</v>
      </c>
      <c r="C2175" t="s">
        <v>2480</v>
      </c>
      <c r="D2175" t="s">
        <v>1376</v>
      </c>
      <c r="E2175" t="s">
        <v>1379</v>
      </c>
      <c r="F2175" s="853" t="s">
        <v>527</v>
      </c>
      <c r="H2175" t="s">
        <v>5441</v>
      </c>
    </row>
    <row r="2176" spans="2:8">
      <c r="B2176" s="871">
        <v>46276</v>
      </c>
      <c r="C2176" t="s">
        <v>2480</v>
      </c>
      <c r="D2176" t="s">
        <v>1376</v>
      </c>
      <c r="E2176" t="s">
        <v>1379</v>
      </c>
      <c r="F2176" s="853" t="s">
        <v>528</v>
      </c>
      <c r="H2176" t="s">
        <v>5442</v>
      </c>
    </row>
    <row r="2177" spans="2:8">
      <c r="B2177" s="871">
        <v>46276</v>
      </c>
      <c r="C2177" t="s">
        <v>2480</v>
      </c>
      <c r="D2177" t="s">
        <v>1375</v>
      </c>
      <c r="E2177" t="s">
        <v>1380</v>
      </c>
      <c r="F2177" s="853" t="s">
        <v>526</v>
      </c>
      <c r="G2177" s="913" t="s">
        <v>1739</v>
      </c>
      <c r="H2177" t="s">
        <v>5443</v>
      </c>
    </row>
    <row r="2178" spans="2:8">
      <c r="B2178" s="871">
        <v>46276</v>
      </c>
      <c r="C2178" t="s">
        <v>2480</v>
      </c>
      <c r="D2178" t="s">
        <v>1375</v>
      </c>
      <c r="E2178" t="s">
        <v>1380</v>
      </c>
      <c r="F2178" s="853" t="s">
        <v>527</v>
      </c>
      <c r="G2178" s="913" t="s">
        <v>1739</v>
      </c>
      <c r="H2178" t="s">
        <v>5444</v>
      </c>
    </row>
    <row r="2179" spans="2:8">
      <c r="B2179" s="871">
        <v>46276</v>
      </c>
      <c r="C2179" t="s">
        <v>2480</v>
      </c>
      <c r="D2179" t="s">
        <v>1375</v>
      </c>
      <c r="E2179" t="s">
        <v>1380</v>
      </c>
      <c r="F2179" s="853" t="s">
        <v>528</v>
      </c>
      <c r="G2179" s="913" t="s">
        <v>1818</v>
      </c>
      <c r="H2179" t="s">
        <v>5445</v>
      </c>
    </row>
    <row r="2180" spans="2:8">
      <c r="B2180" s="871">
        <v>46276</v>
      </c>
      <c r="C2180" t="s">
        <v>2480</v>
      </c>
      <c r="D2180" t="s">
        <v>1376</v>
      </c>
      <c r="E2180" t="s">
        <v>1383</v>
      </c>
      <c r="F2180" s="853" t="s">
        <v>526</v>
      </c>
      <c r="G2180" s="913">
        <v>0</v>
      </c>
      <c r="H2180" t="s">
        <v>5446</v>
      </c>
    </row>
    <row r="2181" spans="2:8">
      <c r="B2181" s="871">
        <v>46276</v>
      </c>
      <c r="C2181" t="s">
        <v>2480</v>
      </c>
      <c r="D2181" t="s">
        <v>1376</v>
      </c>
      <c r="E2181" t="s">
        <v>1383</v>
      </c>
      <c r="F2181" s="853" t="s">
        <v>527</v>
      </c>
      <c r="G2181" s="913">
        <v>0</v>
      </c>
      <c r="H2181" t="s">
        <v>5447</v>
      </c>
    </row>
    <row r="2182" spans="2:8">
      <c r="B2182" s="871">
        <v>46276</v>
      </c>
      <c r="C2182" t="s">
        <v>2480</v>
      </c>
      <c r="D2182" t="s">
        <v>1376</v>
      </c>
      <c r="E2182" t="s">
        <v>1383</v>
      </c>
      <c r="F2182" s="853" t="s">
        <v>528</v>
      </c>
      <c r="G2182" s="913">
        <v>0</v>
      </c>
      <c r="H2182" t="s">
        <v>5448</v>
      </c>
    </row>
    <row r="2183" spans="2:8">
      <c r="B2183" s="871">
        <v>46276</v>
      </c>
      <c r="C2183" t="s">
        <v>2480</v>
      </c>
      <c r="D2183" t="s">
        <v>1375</v>
      </c>
      <c r="E2183" t="s">
        <v>54</v>
      </c>
      <c r="F2183" s="853" t="s">
        <v>526</v>
      </c>
      <c r="H2183" t="s">
        <v>5449</v>
      </c>
    </row>
    <row r="2184" spans="2:8">
      <c r="B2184" s="871">
        <v>46276</v>
      </c>
      <c r="C2184" t="s">
        <v>2480</v>
      </c>
      <c r="D2184" t="s">
        <v>1375</v>
      </c>
      <c r="E2184" t="s">
        <v>54</v>
      </c>
      <c r="F2184" s="853" t="s">
        <v>527</v>
      </c>
      <c r="H2184" t="s">
        <v>5450</v>
      </c>
    </row>
    <row r="2185" spans="2:8">
      <c r="B2185" s="871">
        <v>46276</v>
      </c>
      <c r="C2185" t="s">
        <v>2480</v>
      </c>
      <c r="D2185" t="s">
        <v>1375</v>
      </c>
      <c r="E2185" t="s">
        <v>54</v>
      </c>
      <c r="F2185" s="853" t="s">
        <v>528</v>
      </c>
      <c r="H2185" t="s">
        <v>5451</v>
      </c>
    </row>
    <row r="2186" spans="2:8">
      <c r="B2186" s="871">
        <v>46276</v>
      </c>
      <c r="C2186" t="s">
        <v>2480</v>
      </c>
      <c r="D2186" t="s">
        <v>1376</v>
      </c>
      <c r="E2186" t="s">
        <v>1384</v>
      </c>
      <c r="F2186" s="853" t="s">
        <v>526</v>
      </c>
      <c r="G2186" s="913">
        <v>0.46</v>
      </c>
      <c r="H2186" t="s">
        <v>5452</v>
      </c>
    </row>
    <row r="2187" spans="2:8">
      <c r="B2187" s="871">
        <v>46276</v>
      </c>
      <c r="C2187" t="s">
        <v>2480</v>
      </c>
      <c r="D2187" t="s">
        <v>1376</v>
      </c>
      <c r="E2187" t="s">
        <v>1384</v>
      </c>
      <c r="F2187" s="853" t="s">
        <v>527</v>
      </c>
      <c r="G2187" s="913">
        <v>0.4</v>
      </c>
      <c r="H2187" t="s">
        <v>5453</v>
      </c>
    </row>
    <row r="2188" spans="2:8">
      <c r="B2188" s="871">
        <v>46276</v>
      </c>
      <c r="C2188" t="s">
        <v>2480</v>
      </c>
      <c r="D2188" t="s">
        <v>1376</v>
      </c>
      <c r="E2188" t="s">
        <v>1384</v>
      </c>
      <c r="F2188" s="853" t="s">
        <v>528</v>
      </c>
      <c r="G2188" s="913">
        <v>0.46</v>
      </c>
      <c r="H2188" t="s">
        <v>5454</v>
      </c>
    </row>
    <row r="2189" spans="2:8">
      <c r="B2189" s="871">
        <v>46276</v>
      </c>
      <c r="C2189" t="s">
        <v>2480</v>
      </c>
      <c r="D2189" t="s">
        <v>1375</v>
      </c>
      <c r="E2189" t="s">
        <v>1385</v>
      </c>
      <c r="F2189" s="853" t="s">
        <v>526</v>
      </c>
      <c r="G2189" s="913">
        <v>546</v>
      </c>
      <c r="H2189" t="s">
        <v>5455</v>
      </c>
    </row>
    <row r="2190" spans="2:8">
      <c r="B2190" s="871">
        <v>46276</v>
      </c>
      <c r="C2190" t="s">
        <v>2480</v>
      </c>
      <c r="D2190" t="s">
        <v>1375</v>
      </c>
      <c r="E2190" t="s">
        <v>1385</v>
      </c>
      <c r="F2190" s="853" t="s">
        <v>527</v>
      </c>
      <c r="G2190" s="913">
        <v>1353</v>
      </c>
      <c r="H2190" t="s">
        <v>5456</v>
      </c>
    </row>
    <row r="2191" spans="2:8">
      <c r="B2191" s="871">
        <v>46276</v>
      </c>
      <c r="C2191" t="s">
        <v>2480</v>
      </c>
      <c r="D2191" t="s">
        <v>1375</v>
      </c>
      <c r="E2191" t="s">
        <v>1385</v>
      </c>
      <c r="F2191" s="853" t="s">
        <v>528</v>
      </c>
      <c r="G2191" s="913">
        <v>2499</v>
      </c>
      <c r="H2191" t="s">
        <v>5457</v>
      </c>
    </row>
    <row r="2192" spans="2:8">
      <c r="B2192" s="871">
        <v>46276</v>
      </c>
      <c r="C2192" t="s">
        <v>2480</v>
      </c>
      <c r="D2192" t="s">
        <v>1376</v>
      </c>
      <c r="E2192" t="s">
        <v>1386</v>
      </c>
      <c r="F2192" s="853" t="s">
        <v>526</v>
      </c>
      <c r="G2192" s="913">
        <v>0.5</v>
      </c>
      <c r="H2192" t="s">
        <v>5458</v>
      </c>
    </row>
    <row r="2193" spans="2:8">
      <c r="B2193" s="871">
        <v>46276</v>
      </c>
      <c r="C2193" t="s">
        <v>2480</v>
      </c>
      <c r="D2193" t="s">
        <v>1376</v>
      </c>
      <c r="E2193" t="s">
        <v>1386</v>
      </c>
      <c r="F2193" s="853" t="s">
        <v>527</v>
      </c>
      <c r="G2193" s="913">
        <v>0.3</v>
      </c>
      <c r="H2193" t="s">
        <v>5459</v>
      </c>
    </row>
    <row r="2194" spans="2:8">
      <c r="B2194" s="871">
        <v>46276</v>
      </c>
      <c r="C2194" t="s">
        <v>2480</v>
      </c>
      <c r="D2194" t="s">
        <v>1376</v>
      </c>
      <c r="E2194" t="s">
        <v>1386</v>
      </c>
      <c r="F2194" s="853" t="s">
        <v>528</v>
      </c>
      <c r="G2194" s="913">
        <v>0.55000000000000004</v>
      </c>
      <c r="H2194" t="s">
        <v>5460</v>
      </c>
    </row>
    <row r="2195" spans="2:8">
      <c r="B2195" s="871">
        <v>46276</v>
      </c>
      <c r="C2195" t="s">
        <v>2480</v>
      </c>
      <c r="D2195" t="s">
        <v>1376</v>
      </c>
      <c r="E2195" t="s">
        <v>1387</v>
      </c>
      <c r="F2195" s="853" t="s">
        <v>526</v>
      </c>
      <c r="G2195" s="913">
        <v>8.5</v>
      </c>
      <c r="H2195" t="s">
        <v>5461</v>
      </c>
    </row>
    <row r="2196" spans="2:8">
      <c r="B2196" s="871">
        <v>46276</v>
      </c>
      <c r="C2196" t="s">
        <v>2480</v>
      </c>
      <c r="D2196" t="s">
        <v>1376</v>
      </c>
      <c r="E2196" t="s">
        <v>1387</v>
      </c>
      <c r="F2196" s="853" t="s">
        <v>527</v>
      </c>
      <c r="G2196" s="913">
        <v>8.1999999999999993</v>
      </c>
      <c r="H2196" t="s">
        <v>5462</v>
      </c>
    </row>
    <row r="2197" spans="2:8">
      <c r="B2197" s="871">
        <v>46276</v>
      </c>
      <c r="C2197" t="s">
        <v>2480</v>
      </c>
      <c r="D2197" t="s">
        <v>1376</v>
      </c>
      <c r="E2197" t="s">
        <v>1387</v>
      </c>
      <c r="F2197" s="853" t="s">
        <v>528</v>
      </c>
      <c r="G2197" s="913">
        <v>8.3000000000000007</v>
      </c>
      <c r="H2197" t="s">
        <v>5463</v>
      </c>
    </row>
    <row r="2198" spans="2:8">
      <c r="B2198" s="871">
        <v>46276</v>
      </c>
      <c r="C2198" t="s">
        <v>2480</v>
      </c>
      <c r="D2198" t="s">
        <v>1375</v>
      </c>
      <c r="E2198" t="s">
        <v>1388</v>
      </c>
      <c r="F2198" s="853" t="s">
        <v>526</v>
      </c>
      <c r="H2198" t="s">
        <v>5464</v>
      </c>
    </row>
    <row r="2199" spans="2:8">
      <c r="B2199" s="871">
        <v>46276</v>
      </c>
      <c r="C2199" t="s">
        <v>2480</v>
      </c>
      <c r="D2199" t="s">
        <v>1375</v>
      </c>
      <c r="E2199" t="s">
        <v>1388</v>
      </c>
      <c r="F2199" s="853" t="s">
        <v>527</v>
      </c>
      <c r="H2199" t="s">
        <v>5465</v>
      </c>
    </row>
    <row r="2200" spans="2:8">
      <c r="B2200" s="871">
        <v>46276</v>
      </c>
      <c r="C2200" t="s">
        <v>2480</v>
      </c>
      <c r="D2200" t="s">
        <v>1375</v>
      </c>
      <c r="E2200" t="s">
        <v>1388</v>
      </c>
      <c r="F2200" s="853" t="s">
        <v>528</v>
      </c>
      <c r="H2200" t="s">
        <v>5466</v>
      </c>
    </row>
    <row r="2201" spans="2:8">
      <c r="B2201" s="871">
        <v>46276</v>
      </c>
      <c r="C2201" t="s">
        <v>2480</v>
      </c>
      <c r="D2201" t="s">
        <v>1376</v>
      </c>
      <c r="E2201" t="s">
        <v>1389</v>
      </c>
      <c r="F2201" s="853" t="s">
        <v>526</v>
      </c>
      <c r="G2201" s="913">
        <v>64.400000000000006</v>
      </c>
      <c r="H2201" t="s">
        <v>5467</v>
      </c>
    </row>
    <row r="2202" spans="2:8">
      <c r="B2202" s="871">
        <v>46276</v>
      </c>
      <c r="C2202" t="s">
        <v>2480</v>
      </c>
      <c r="D2202" t="s">
        <v>1376</v>
      </c>
      <c r="E2202" t="s">
        <v>1389</v>
      </c>
      <c r="F2202" s="853" t="s">
        <v>527</v>
      </c>
      <c r="H2202" t="s">
        <v>5468</v>
      </c>
    </row>
    <row r="2203" spans="2:8">
      <c r="B2203" s="871">
        <v>46276</v>
      </c>
      <c r="C2203" t="s">
        <v>2480</v>
      </c>
      <c r="D2203" t="s">
        <v>1376</v>
      </c>
      <c r="E2203" t="s">
        <v>1389</v>
      </c>
      <c r="F2203" s="853" t="s">
        <v>528</v>
      </c>
      <c r="G2203" s="913">
        <v>62.2</v>
      </c>
      <c r="H2203" t="s">
        <v>5469</v>
      </c>
    </row>
    <row r="2204" spans="2:8">
      <c r="B2204" s="871">
        <v>46276</v>
      </c>
      <c r="C2204" t="s">
        <v>2480</v>
      </c>
      <c r="D2204" t="s">
        <v>1375</v>
      </c>
      <c r="E2204" t="s">
        <v>3266</v>
      </c>
      <c r="F2204" s="853" t="s">
        <v>526</v>
      </c>
      <c r="G2204" s="913">
        <v>3</v>
      </c>
      <c r="H2204" t="s">
        <v>5470</v>
      </c>
    </row>
    <row r="2205" spans="2:8">
      <c r="B2205" s="871">
        <v>46276</v>
      </c>
      <c r="C2205" t="s">
        <v>2480</v>
      </c>
      <c r="D2205" t="s">
        <v>1375</v>
      </c>
      <c r="E2205" t="s">
        <v>3266</v>
      </c>
      <c r="F2205" s="853" t="s">
        <v>527</v>
      </c>
      <c r="G2205" s="913">
        <v>3</v>
      </c>
      <c r="H2205" t="s">
        <v>5471</v>
      </c>
    </row>
    <row r="2206" spans="2:8">
      <c r="B2206" s="871">
        <v>46276</v>
      </c>
      <c r="C2206" t="s">
        <v>2480</v>
      </c>
      <c r="D2206" t="s">
        <v>1375</v>
      </c>
      <c r="E2206" t="s">
        <v>3266</v>
      </c>
      <c r="F2206" s="853" t="s">
        <v>528</v>
      </c>
      <c r="G2206" s="913">
        <v>4</v>
      </c>
      <c r="H2206" t="s">
        <v>5472</v>
      </c>
    </row>
    <row r="2207" spans="2:8">
      <c r="B2207" s="871">
        <v>46276</v>
      </c>
      <c r="C2207" t="s">
        <v>2480</v>
      </c>
      <c r="D2207" t="s">
        <v>1376</v>
      </c>
      <c r="E2207" t="s">
        <v>1390</v>
      </c>
      <c r="F2207" s="853" t="s">
        <v>526</v>
      </c>
      <c r="G2207" s="913">
        <v>1.9599999999999999E-3</v>
      </c>
      <c r="H2207" t="s">
        <v>5473</v>
      </c>
    </row>
    <row r="2208" spans="2:8">
      <c r="B2208" s="871">
        <v>46276</v>
      </c>
      <c r="C2208" t="s">
        <v>2480</v>
      </c>
      <c r="D2208" t="s">
        <v>1376</v>
      </c>
      <c r="E2208" t="s">
        <v>1390</v>
      </c>
      <c r="F2208" s="853" t="s">
        <v>527</v>
      </c>
      <c r="H2208" t="s">
        <v>5474</v>
      </c>
    </row>
    <row r="2209" spans="2:8">
      <c r="B2209" s="871">
        <v>46276</v>
      </c>
      <c r="C2209" t="s">
        <v>2480</v>
      </c>
      <c r="D2209" t="s">
        <v>1376</v>
      </c>
      <c r="E2209" t="s">
        <v>1390</v>
      </c>
      <c r="F2209" s="853" t="s">
        <v>528</v>
      </c>
      <c r="G2209" s="913">
        <v>2E-3</v>
      </c>
      <c r="H2209" t="s">
        <v>5475</v>
      </c>
    </row>
    <row r="2210" spans="2:8">
      <c r="B2210" s="871">
        <v>46276</v>
      </c>
      <c r="C2210" t="s">
        <v>2480</v>
      </c>
      <c r="D2210" t="s">
        <v>1375</v>
      </c>
      <c r="E2210" t="s">
        <v>3273</v>
      </c>
      <c r="F2210" s="853" t="s">
        <v>526</v>
      </c>
      <c r="G2210" s="913">
        <v>3</v>
      </c>
      <c r="H2210" t="s">
        <v>5476</v>
      </c>
    </row>
    <row r="2211" spans="2:8">
      <c r="B2211" s="871">
        <v>46276</v>
      </c>
      <c r="C2211" t="s">
        <v>2480</v>
      </c>
      <c r="D2211" t="s">
        <v>1375</v>
      </c>
      <c r="E2211" t="s">
        <v>3273</v>
      </c>
      <c r="F2211" s="853" t="s">
        <v>527</v>
      </c>
      <c r="G2211" s="913">
        <v>3</v>
      </c>
      <c r="H2211" t="s">
        <v>5477</v>
      </c>
    </row>
    <row r="2212" spans="2:8">
      <c r="B2212" s="871">
        <v>46276</v>
      </c>
      <c r="C2212" t="s">
        <v>2480</v>
      </c>
      <c r="D2212" t="s">
        <v>1375</v>
      </c>
      <c r="E2212" t="s">
        <v>3273</v>
      </c>
      <c r="F2212" s="853" t="s">
        <v>528</v>
      </c>
      <c r="G2212" s="913">
        <v>4</v>
      </c>
      <c r="H2212" t="s">
        <v>5478</v>
      </c>
    </row>
    <row r="2213" spans="2:8">
      <c r="B2213" s="871">
        <v>46276</v>
      </c>
      <c r="C2213" t="s">
        <v>2480</v>
      </c>
      <c r="D2213" t="s">
        <v>1376</v>
      </c>
      <c r="E2213" t="s">
        <v>1391</v>
      </c>
      <c r="F2213" s="853" t="s">
        <v>526</v>
      </c>
      <c r="H2213" t="s">
        <v>5479</v>
      </c>
    </row>
    <row r="2214" spans="2:8">
      <c r="B2214" s="871">
        <v>46276</v>
      </c>
      <c r="C2214" t="s">
        <v>2480</v>
      </c>
      <c r="D2214" t="s">
        <v>1376</v>
      </c>
      <c r="E2214" t="s">
        <v>1391</v>
      </c>
      <c r="F2214" s="853" t="s">
        <v>527</v>
      </c>
      <c r="H2214" t="s">
        <v>5480</v>
      </c>
    </row>
    <row r="2215" spans="2:8">
      <c r="B2215" s="871">
        <v>46276</v>
      </c>
      <c r="C2215" t="s">
        <v>2480</v>
      </c>
      <c r="D2215" t="s">
        <v>1376</v>
      </c>
      <c r="E2215" t="s">
        <v>1391</v>
      </c>
      <c r="F2215" s="853" t="s">
        <v>528</v>
      </c>
      <c r="G2215" s="913">
        <v>8232</v>
      </c>
      <c r="H2215" t="s">
        <v>5481</v>
      </c>
    </row>
    <row r="2216" spans="2:8">
      <c r="B2216" s="871">
        <v>46276</v>
      </c>
      <c r="C2216" t="s">
        <v>2480</v>
      </c>
      <c r="D2216" t="s">
        <v>1375</v>
      </c>
      <c r="E2216" t="s">
        <v>3280</v>
      </c>
      <c r="F2216" s="853" t="s">
        <v>526</v>
      </c>
      <c r="G2216" s="913">
        <v>2</v>
      </c>
      <c r="H2216" t="s">
        <v>5482</v>
      </c>
    </row>
    <row r="2217" spans="2:8">
      <c r="B2217" s="871">
        <v>46276</v>
      </c>
      <c r="C2217" t="s">
        <v>2480</v>
      </c>
      <c r="D2217" t="s">
        <v>1375</v>
      </c>
      <c r="E2217" t="s">
        <v>3280</v>
      </c>
      <c r="F2217" s="853" t="s">
        <v>527</v>
      </c>
      <c r="G2217" s="913">
        <v>3</v>
      </c>
      <c r="H2217" t="s">
        <v>5483</v>
      </c>
    </row>
    <row r="2218" spans="2:8">
      <c r="B2218" s="871">
        <v>46276</v>
      </c>
      <c r="C2218" t="s">
        <v>2480</v>
      </c>
      <c r="D2218" t="s">
        <v>1375</v>
      </c>
      <c r="E2218" t="s">
        <v>3280</v>
      </c>
      <c r="F2218" s="853" t="s">
        <v>528</v>
      </c>
      <c r="G2218" s="913">
        <v>4</v>
      </c>
      <c r="H2218" t="s">
        <v>5484</v>
      </c>
    </row>
    <row r="2219" spans="2:8">
      <c r="B2219" s="871">
        <v>46276</v>
      </c>
      <c r="C2219" t="s">
        <v>2480</v>
      </c>
      <c r="D2219" t="s">
        <v>1376</v>
      </c>
      <c r="E2219" t="s">
        <v>1392</v>
      </c>
      <c r="F2219" s="853" t="s">
        <v>526</v>
      </c>
      <c r="G2219" s="913">
        <v>8232</v>
      </c>
      <c r="H2219" t="s">
        <v>5485</v>
      </c>
    </row>
    <row r="2220" spans="2:8">
      <c r="B2220" s="871">
        <v>46276</v>
      </c>
      <c r="C2220" t="s">
        <v>2480</v>
      </c>
      <c r="D2220" t="s">
        <v>1376</v>
      </c>
      <c r="E2220" t="s">
        <v>1392</v>
      </c>
      <c r="F2220" s="853" t="s">
        <v>527</v>
      </c>
      <c r="H2220" t="s">
        <v>5486</v>
      </c>
    </row>
    <row r="2221" spans="2:8">
      <c r="B2221" s="871">
        <v>46276</v>
      </c>
      <c r="C2221" t="s">
        <v>2480</v>
      </c>
      <c r="D2221" t="s">
        <v>1376</v>
      </c>
      <c r="E2221" t="s">
        <v>1392</v>
      </c>
      <c r="F2221" s="853" t="s">
        <v>528</v>
      </c>
      <c r="H2221" t="s">
        <v>5487</v>
      </c>
    </row>
    <row r="2222" spans="2:8">
      <c r="B2222" s="871">
        <v>46276</v>
      </c>
      <c r="C2222" t="s">
        <v>2480</v>
      </c>
      <c r="D2222" t="s">
        <v>1375</v>
      </c>
      <c r="E2222" t="s">
        <v>3287</v>
      </c>
      <c r="F2222" s="853" t="s">
        <v>526</v>
      </c>
      <c r="G2222" s="913">
        <v>1</v>
      </c>
      <c r="H2222" t="s">
        <v>5488</v>
      </c>
    </row>
    <row r="2223" spans="2:8">
      <c r="B2223" s="871">
        <v>46276</v>
      </c>
      <c r="C2223" t="s">
        <v>2480</v>
      </c>
      <c r="D2223" t="s">
        <v>1375</v>
      </c>
      <c r="E2223" t="s">
        <v>3287</v>
      </c>
      <c r="F2223" s="853" t="s">
        <v>527</v>
      </c>
      <c r="G2223" s="913">
        <v>2</v>
      </c>
      <c r="H2223" t="s">
        <v>5489</v>
      </c>
    </row>
    <row r="2224" spans="2:8">
      <c r="B2224" s="871">
        <v>46276</v>
      </c>
      <c r="C2224" t="s">
        <v>2480</v>
      </c>
      <c r="D2224" t="s">
        <v>1375</v>
      </c>
      <c r="E2224" t="s">
        <v>3287</v>
      </c>
      <c r="F2224" s="853" t="s">
        <v>528</v>
      </c>
      <c r="G2224" s="913">
        <v>1</v>
      </c>
      <c r="H2224" t="s">
        <v>5490</v>
      </c>
    </row>
    <row r="2225" spans="2:8">
      <c r="B2225" s="871">
        <v>46276</v>
      </c>
      <c r="C2225" t="s">
        <v>2480</v>
      </c>
      <c r="D2225" t="s">
        <v>1376</v>
      </c>
      <c r="E2225" t="s">
        <v>453</v>
      </c>
      <c r="F2225" s="853" t="s">
        <v>526</v>
      </c>
      <c r="H2225" t="s">
        <v>5491</v>
      </c>
    </row>
    <row r="2226" spans="2:8">
      <c r="B2226" s="871">
        <v>46276</v>
      </c>
      <c r="C2226" t="s">
        <v>2480</v>
      </c>
      <c r="D2226" t="s">
        <v>1376</v>
      </c>
      <c r="E2226" t="s">
        <v>453</v>
      </c>
      <c r="F2226" s="853" t="s">
        <v>527</v>
      </c>
      <c r="H2226" t="s">
        <v>5492</v>
      </c>
    </row>
    <row r="2227" spans="2:8">
      <c r="B2227" s="871">
        <v>46276</v>
      </c>
      <c r="C2227" t="s">
        <v>2480</v>
      </c>
      <c r="D2227" t="s">
        <v>1376</v>
      </c>
      <c r="E2227" t="s">
        <v>453</v>
      </c>
      <c r="F2227" s="853" t="s">
        <v>528</v>
      </c>
      <c r="H2227" t="s">
        <v>5493</v>
      </c>
    </row>
    <row r="2228" spans="2:8">
      <c r="B2228" s="871">
        <v>46276</v>
      </c>
      <c r="C2228" t="s">
        <v>2480</v>
      </c>
      <c r="D2228" t="s">
        <v>1375</v>
      </c>
      <c r="E2228" t="s">
        <v>3291</v>
      </c>
      <c r="F2228" s="853" t="s">
        <v>526</v>
      </c>
      <c r="G2228" s="913">
        <v>2</v>
      </c>
      <c r="H2228" t="s">
        <v>5494</v>
      </c>
    </row>
    <row r="2229" spans="2:8">
      <c r="B2229" s="871">
        <v>46276</v>
      </c>
      <c r="C2229" t="s">
        <v>2480</v>
      </c>
      <c r="D2229" t="s">
        <v>1375</v>
      </c>
      <c r="E2229" t="s">
        <v>3291</v>
      </c>
      <c r="F2229" s="853" t="s">
        <v>527</v>
      </c>
      <c r="G2229" s="913">
        <v>3</v>
      </c>
      <c r="H2229" t="s">
        <v>5495</v>
      </c>
    </row>
    <row r="2230" spans="2:8">
      <c r="B2230" s="871">
        <v>46276</v>
      </c>
      <c r="C2230" t="s">
        <v>2480</v>
      </c>
      <c r="D2230" t="s">
        <v>1375</v>
      </c>
      <c r="E2230" t="s">
        <v>3291</v>
      </c>
      <c r="F2230" s="853" t="s">
        <v>528</v>
      </c>
      <c r="G2230" s="913">
        <v>1</v>
      </c>
      <c r="H2230" t="s">
        <v>5496</v>
      </c>
    </row>
    <row r="2231" spans="2:8">
      <c r="B2231" s="871">
        <v>46276</v>
      </c>
      <c r="C2231" t="s">
        <v>2480</v>
      </c>
      <c r="D2231" t="s">
        <v>1376</v>
      </c>
      <c r="E2231" t="s">
        <v>1394</v>
      </c>
      <c r="F2231" s="853" t="s">
        <v>526</v>
      </c>
      <c r="G2231" s="913" t="s">
        <v>1819</v>
      </c>
      <c r="H2231" t="s">
        <v>5497</v>
      </c>
    </row>
    <row r="2232" spans="2:8">
      <c r="B2232" s="871">
        <v>46276</v>
      </c>
      <c r="C2232" t="s">
        <v>2480</v>
      </c>
      <c r="D2232" t="s">
        <v>1376</v>
      </c>
      <c r="E2232" t="s">
        <v>1394</v>
      </c>
      <c r="F2232" s="853" t="s">
        <v>527</v>
      </c>
      <c r="G2232" s="913" t="s">
        <v>1534</v>
      </c>
      <c r="H2232" t="s">
        <v>5498</v>
      </c>
    </row>
    <row r="2233" spans="2:8">
      <c r="B2233" s="871">
        <v>46276</v>
      </c>
      <c r="C2233" t="s">
        <v>2480</v>
      </c>
      <c r="D2233" t="s">
        <v>1376</v>
      </c>
      <c r="E2233" t="s">
        <v>1394</v>
      </c>
      <c r="F2233" s="853" t="s">
        <v>528</v>
      </c>
      <c r="G2233" s="913" t="s">
        <v>1625</v>
      </c>
      <c r="H2233" t="s">
        <v>5499</v>
      </c>
    </row>
    <row r="2234" spans="2:8">
      <c r="B2234" s="871">
        <v>46276</v>
      </c>
      <c r="C2234" t="s">
        <v>2480</v>
      </c>
      <c r="D2234" t="s">
        <v>1375</v>
      </c>
      <c r="E2234" t="s">
        <v>3298</v>
      </c>
      <c r="F2234" s="853" t="s">
        <v>526</v>
      </c>
      <c r="G2234" s="913">
        <v>2</v>
      </c>
      <c r="H2234" t="s">
        <v>5500</v>
      </c>
    </row>
    <row r="2235" spans="2:8">
      <c r="B2235" s="871">
        <v>46276</v>
      </c>
      <c r="C2235" t="s">
        <v>2480</v>
      </c>
      <c r="D2235" t="s">
        <v>1375</v>
      </c>
      <c r="E2235" t="s">
        <v>3298</v>
      </c>
      <c r="F2235" s="853" t="s">
        <v>527</v>
      </c>
      <c r="G2235" s="913">
        <v>2</v>
      </c>
      <c r="H2235" t="s">
        <v>5501</v>
      </c>
    </row>
    <row r="2236" spans="2:8">
      <c r="B2236" s="871">
        <v>46276</v>
      </c>
      <c r="C2236" t="s">
        <v>2480</v>
      </c>
      <c r="D2236" t="s">
        <v>1375</v>
      </c>
      <c r="E2236" t="s">
        <v>3298</v>
      </c>
      <c r="F2236" s="853" t="s">
        <v>528</v>
      </c>
      <c r="G2236" s="913">
        <v>2</v>
      </c>
      <c r="H2236" t="s">
        <v>5502</v>
      </c>
    </row>
    <row r="2237" spans="2:8">
      <c r="B2237" s="871">
        <v>46276</v>
      </c>
      <c r="C2237" t="s">
        <v>2480</v>
      </c>
      <c r="D2237" t="s">
        <v>1376</v>
      </c>
      <c r="E2237" t="s">
        <v>1398</v>
      </c>
      <c r="F2237" s="853" t="s">
        <v>526</v>
      </c>
      <c r="G2237" s="913">
        <v>11</v>
      </c>
      <c r="H2237" t="s">
        <v>5503</v>
      </c>
    </row>
    <row r="2238" spans="2:8">
      <c r="B2238" s="871">
        <v>46276</v>
      </c>
      <c r="C2238" t="s">
        <v>2480</v>
      </c>
      <c r="D2238" t="s">
        <v>1376</v>
      </c>
      <c r="E2238" t="s">
        <v>1398</v>
      </c>
      <c r="F2238" s="853" t="s">
        <v>527</v>
      </c>
      <c r="G2238" s="913">
        <v>11</v>
      </c>
      <c r="H2238" t="s">
        <v>5504</v>
      </c>
    </row>
    <row r="2239" spans="2:8">
      <c r="B2239" s="871">
        <v>46276</v>
      </c>
      <c r="C2239" t="s">
        <v>2480</v>
      </c>
      <c r="D2239" t="s">
        <v>1376</v>
      </c>
      <c r="E2239" t="s">
        <v>1398</v>
      </c>
      <c r="F2239" s="853" t="s">
        <v>528</v>
      </c>
      <c r="G2239" s="913">
        <v>11</v>
      </c>
      <c r="H2239" t="s">
        <v>5505</v>
      </c>
    </row>
    <row r="2240" spans="2:8">
      <c r="B2240" s="871">
        <v>46276</v>
      </c>
      <c r="C2240" t="s">
        <v>2480</v>
      </c>
      <c r="D2240" t="s">
        <v>1375</v>
      </c>
      <c r="E2240" t="s">
        <v>3305</v>
      </c>
      <c r="F2240" s="853" t="s">
        <v>526</v>
      </c>
      <c r="G2240" s="913">
        <v>1</v>
      </c>
      <c r="H2240" t="s">
        <v>5506</v>
      </c>
    </row>
    <row r="2241" spans="2:8">
      <c r="B2241" s="871">
        <v>46276</v>
      </c>
      <c r="C2241" t="s">
        <v>2480</v>
      </c>
      <c r="D2241" t="s">
        <v>1375</v>
      </c>
      <c r="E2241" t="s">
        <v>3305</v>
      </c>
      <c r="F2241" s="853" t="s">
        <v>527</v>
      </c>
      <c r="G2241" s="913">
        <v>3</v>
      </c>
      <c r="H2241" t="s">
        <v>5507</v>
      </c>
    </row>
    <row r="2242" spans="2:8">
      <c r="B2242" s="871">
        <v>46276</v>
      </c>
      <c r="C2242" t="s">
        <v>2480</v>
      </c>
      <c r="D2242" t="s">
        <v>1375</v>
      </c>
      <c r="E2242" t="s">
        <v>3305</v>
      </c>
      <c r="F2242" s="853" t="s">
        <v>528</v>
      </c>
      <c r="G2242" s="913">
        <v>3</v>
      </c>
      <c r="H2242" t="s">
        <v>5508</v>
      </c>
    </row>
    <row r="2243" spans="2:8">
      <c r="B2243" s="871">
        <v>46276</v>
      </c>
      <c r="C2243" t="s">
        <v>2480</v>
      </c>
      <c r="D2243" t="s">
        <v>1376</v>
      </c>
      <c r="E2243" t="s">
        <v>1399</v>
      </c>
      <c r="F2243" s="853" t="s">
        <v>526</v>
      </c>
      <c r="G2243" s="913">
        <v>12</v>
      </c>
      <c r="H2243" t="s">
        <v>5509</v>
      </c>
    </row>
    <row r="2244" spans="2:8">
      <c r="B2244" s="871">
        <v>46276</v>
      </c>
      <c r="C2244" t="s">
        <v>2480</v>
      </c>
      <c r="D2244" t="s">
        <v>1376</v>
      </c>
      <c r="E2244" t="s">
        <v>1399</v>
      </c>
      <c r="F2244" s="853" t="s">
        <v>527</v>
      </c>
      <c r="G2244" s="913">
        <v>12</v>
      </c>
      <c r="H2244" t="s">
        <v>5510</v>
      </c>
    </row>
    <row r="2245" spans="2:8">
      <c r="B2245" s="871">
        <v>46276</v>
      </c>
      <c r="C2245" t="s">
        <v>2480</v>
      </c>
      <c r="D2245" t="s">
        <v>1376</v>
      </c>
      <c r="E2245" t="s">
        <v>1399</v>
      </c>
      <c r="F2245" s="853" t="s">
        <v>528</v>
      </c>
      <c r="G2245" s="913">
        <v>12</v>
      </c>
      <c r="H2245" t="s">
        <v>5511</v>
      </c>
    </row>
    <row r="2246" spans="2:8">
      <c r="B2246" s="871">
        <v>46276</v>
      </c>
      <c r="C2246" t="s">
        <v>2480</v>
      </c>
      <c r="D2246" t="s">
        <v>1375</v>
      </c>
      <c r="E2246" t="s">
        <v>3312</v>
      </c>
      <c r="F2246" s="853" t="s">
        <v>526</v>
      </c>
      <c r="G2246" s="913">
        <v>2</v>
      </c>
      <c r="H2246" t="s">
        <v>5512</v>
      </c>
    </row>
    <row r="2247" spans="2:8">
      <c r="B2247" s="871">
        <v>46276</v>
      </c>
      <c r="C2247" t="s">
        <v>2480</v>
      </c>
      <c r="D2247" t="s">
        <v>1375</v>
      </c>
      <c r="E2247" t="s">
        <v>3312</v>
      </c>
      <c r="F2247" s="853" t="s">
        <v>527</v>
      </c>
      <c r="G2247" s="913">
        <v>3</v>
      </c>
      <c r="H2247" t="s">
        <v>5513</v>
      </c>
    </row>
    <row r="2248" spans="2:8">
      <c r="B2248" s="871">
        <v>46276</v>
      </c>
      <c r="C2248" t="s">
        <v>2480</v>
      </c>
      <c r="D2248" t="s">
        <v>1375</v>
      </c>
      <c r="E2248" t="s">
        <v>3312</v>
      </c>
      <c r="F2248" s="853" t="s">
        <v>528</v>
      </c>
      <c r="G2248" s="913">
        <v>4</v>
      </c>
      <c r="H2248" t="s">
        <v>5514</v>
      </c>
    </row>
    <row r="2249" spans="2:8">
      <c r="B2249" s="871">
        <v>46276</v>
      </c>
      <c r="C2249" t="s">
        <v>2480</v>
      </c>
      <c r="D2249" t="s">
        <v>1376</v>
      </c>
      <c r="E2249" t="s">
        <v>1400</v>
      </c>
      <c r="F2249" s="853" t="s">
        <v>526</v>
      </c>
      <c r="G2249" s="913">
        <v>16</v>
      </c>
      <c r="H2249" t="s">
        <v>5515</v>
      </c>
    </row>
    <row r="2250" spans="2:8">
      <c r="B2250" s="871">
        <v>46276</v>
      </c>
      <c r="C2250" t="s">
        <v>2480</v>
      </c>
      <c r="D2250" t="s">
        <v>1376</v>
      </c>
      <c r="E2250" t="s">
        <v>1400</v>
      </c>
      <c r="F2250" s="853" t="s">
        <v>527</v>
      </c>
      <c r="G2250" s="913">
        <v>16</v>
      </c>
      <c r="H2250" t="s">
        <v>5516</v>
      </c>
    </row>
    <row r="2251" spans="2:8">
      <c r="B2251" s="871">
        <v>46276</v>
      </c>
      <c r="C2251" t="s">
        <v>2480</v>
      </c>
      <c r="D2251" t="s">
        <v>1376</v>
      </c>
      <c r="E2251" t="s">
        <v>1400</v>
      </c>
      <c r="F2251" s="853" t="s">
        <v>528</v>
      </c>
      <c r="G2251" s="913">
        <v>16</v>
      </c>
      <c r="H2251" t="s">
        <v>5517</v>
      </c>
    </row>
    <row r="2252" spans="2:8">
      <c r="B2252" s="871">
        <v>46276</v>
      </c>
      <c r="C2252" t="s">
        <v>2480</v>
      </c>
      <c r="D2252" t="s">
        <v>1375</v>
      </c>
      <c r="E2252" t="s">
        <v>3319</v>
      </c>
      <c r="F2252" s="853" t="s">
        <v>526</v>
      </c>
      <c r="G2252" s="913">
        <v>2</v>
      </c>
      <c r="H2252" t="s">
        <v>5518</v>
      </c>
    </row>
    <row r="2253" spans="2:8">
      <c r="B2253" s="871">
        <v>46276</v>
      </c>
      <c r="C2253" t="s">
        <v>2480</v>
      </c>
      <c r="D2253" t="s">
        <v>1375</v>
      </c>
      <c r="E2253" t="s">
        <v>3319</v>
      </c>
      <c r="F2253" s="853" t="s">
        <v>527</v>
      </c>
      <c r="G2253" s="913">
        <v>3</v>
      </c>
      <c r="H2253" t="s">
        <v>5519</v>
      </c>
    </row>
    <row r="2254" spans="2:8">
      <c r="B2254" s="871">
        <v>46276</v>
      </c>
      <c r="C2254" t="s">
        <v>2480</v>
      </c>
      <c r="D2254" t="s">
        <v>1375</v>
      </c>
      <c r="E2254" t="s">
        <v>3319</v>
      </c>
      <c r="F2254" s="853" t="s">
        <v>528</v>
      </c>
      <c r="G2254" s="913">
        <v>3</v>
      </c>
      <c r="H2254" t="s">
        <v>5520</v>
      </c>
    </row>
    <row r="2255" spans="2:8">
      <c r="B2255" s="871">
        <v>46276</v>
      </c>
      <c r="C2255" t="s">
        <v>2480</v>
      </c>
      <c r="D2255" t="s">
        <v>1376</v>
      </c>
      <c r="E2255" t="s">
        <v>1401</v>
      </c>
      <c r="F2255" s="853" t="s">
        <v>526</v>
      </c>
      <c r="G2255" s="913">
        <v>7.27</v>
      </c>
      <c r="H2255" t="s">
        <v>5521</v>
      </c>
    </row>
    <row r="2256" spans="2:8">
      <c r="B2256" s="871">
        <v>46276</v>
      </c>
      <c r="C2256" t="s">
        <v>2480</v>
      </c>
      <c r="D2256" t="s">
        <v>1376</v>
      </c>
      <c r="E2256" t="s">
        <v>1401</v>
      </c>
      <c r="F2256" s="853" t="s">
        <v>527</v>
      </c>
      <c r="G2256" s="913">
        <v>7.33</v>
      </c>
      <c r="H2256" t="s">
        <v>5522</v>
      </c>
    </row>
    <row r="2257" spans="2:8">
      <c r="B2257" s="871">
        <v>46276</v>
      </c>
      <c r="C2257" t="s">
        <v>2480</v>
      </c>
      <c r="D2257" t="s">
        <v>1376</v>
      </c>
      <c r="E2257" t="s">
        <v>1401</v>
      </c>
      <c r="F2257" s="853" t="s">
        <v>528</v>
      </c>
      <c r="G2257" s="913">
        <v>7.06</v>
      </c>
      <c r="H2257" t="s">
        <v>5523</v>
      </c>
    </row>
    <row r="2258" spans="2:8">
      <c r="B2258" s="871">
        <v>46276</v>
      </c>
      <c r="C2258" t="s">
        <v>2480</v>
      </c>
      <c r="D2258" t="s">
        <v>1375</v>
      </c>
      <c r="E2258" t="s">
        <v>3326</v>
      </c>
      <c r="F2258" s="853" t="s">
        <v>526</v>
      </c>
      <c r="G2258" s="913" t="s">
        <v>1583</v>
      </c>
      <c r="H2258" t="s">
        <v>5524</v>
      </c>
    </row>
    <row r="2259" spans="2:8">
      <c r="B2259" s="871">
        <v>46276</v>
      </c>
      <c r="C2259" t="s">
        <v>2480</v>
      </c>
      <c r="D2259" t="s">
        <v>1375</v>
      </c>
      <c r="E2259" t="s">
        <v>3326</v>
      </c>
      <c r="F2259" s="853" t="s">
        <v>527</v>
      </c>
      <c r="G2259" s="913" t="s">
        <v>1583</v>
      </c>
      <c r="H2259" t="s">
        <v>5525</v>
      </c>
    </row>
    <row r="2260" spans="2:8">
      <c r="B2260" s="871">
        <v>46276</v>
      </c>
      <c r="C2260" t="s">
        <v>2480</v>
      </c>
      <c r="D2260" t="s">
        <v>1375</v>
      </c>
      <c r="E2260" t="s">
        <v>3326</v>
      </c>
      <c r="F2260" s="853" t="s">
        <v>528</v>
      </c>
      <c r="G2260" s="913" t="s">
        <v>1583</v>
      </c>
      <c r="H2260" t="s">
        <v>5526</v>
      </c>
    </row>
    <row r="2261" spans="2:8">
      <c r="B2261" s="871">
        <v>46276</v>
      </c>
      <c r="C2261" t="s">
        <v>2480</v>
      </c>
      <c r="D2261" t="s">
        <v>1376</v>
      </c>
      <c r="E2261" t="s">
        <v>1403</v>
      </c>
      <c r="F2261" s="853" t="s">
        <v>526</v>
      </c>
      <c r="G2261" s="913">
        <v>615</v>
      </c>
      <c r="H2261" t="s">
        <v>5527</v>
      </c>
    </row>
    <row r="2262" spans="2:8">
      <c r="B2262" s="871">
        <v>46276</v>
      </c>
      <c r="C2262" t="s">
        <v>2480</v>
      </c>
      <c r="D2262" t="s">
        <v>1376</v>
      </c>
      <c r="E2262" t="s">
        <v>1403</v>
      </c>
      <c r="F2262" s="853" t="s">
        <v>527</v>
      </c>
      <c r="G2262" s="913">
        <v>560</v>
      </c>
      <c r="H2262" t="s">
        <v>5528</v>
      </c>
    </row>
    <row r="2263" spans="2:8">
      <c r="B2263" s="871">
        <v>46276</v>
      </c>
      <c r="C2263" t="s">
        <v>2480</v>
      </c>
      <c r="D2263" t="s">
        <v>1376</v>
      </c>
      <c r="E2263" t="s">
        <v>1403</v>
      </c>
      <c r="F2263" s="853" t="s">
        <v>528</v>
      </c>
      <c r="G2263" s="913">
        <v>647</v>
      </c>
      <c r="H2263" t="s">
        <v>5529</v>
      </c>
    </row>
    <row r="2264" spans="2:8">
      <c r="B2264" s="871">
        <v>46276</v>
      </c>
      <c r="C2264" t="s">
        <v>2480</v>
      </c>
      <c r="D2264" t="s">
        <v>1376</v>
      </c>
      <c r="E2264" t="s">
        <v>1404</v>
      </c>
      <c r="F2264" s="853" t="s">
        <v>526</v>
      </c>
      <c r="G2264" s="913">
        <v>5.0599999999999996</v>
      </c>
      <c r="H2264" t="s">
        <v>5530</v>
      </c>
    </row>
    <row r="2265" spans="2:8">
      <c r="B2265" s="871">
        <v>46276</v>
      </c>
      <c r="C2265" t="s">
        <v>2480</v>
      </c>
      <c r="D2265" t="s">
        <v>1376</v>
      </c>
      <c r="E2265" t="s">
        <v>1404</v>
      </c>
      <c r="F2265" s="853" t="s">
        <v>527</v>
      </c>
      <c r="G2265" s="913">
        <v>1.71</v>
      </c>
      <c r="H2265" t="s">
        <v>5531</v>
      </c>
    </row>
    <row r="2266" spans="2:8">
      <c r="B2266" s="871">
        <v>46276</v>
      </c>
      <c r="C2266" t="s">
        <v>2480</v>
      </c>
      <c r="D2266" t="s">
        <v>1376</v>
      </c>
      <c r="E2266" t="s">
        <v>1404</v>
      </c>
      <c r="F2266" s="853" t="s">
        <v>528</v>
      </c>
      <c r="G2266" s="913">
        <v>4.38</v>
      </c>
      <c r="H2266" t="s">
        <v>5532</v>
      </c>
    </row>
    <row r="2267" spans="2:8">
      <c r="B2267" s="871">
        <v>46276</v>
      </c>
      <c r="C2267" t="s">
        <v>2480</v>
      </c>
      <c r="D2267" t="s">
        <v>1375</v>
      </c>
      <c r="E2267" t="s">
        <v>3336</v>
      </c>
      <c r="F2267" s="853" t="s">
        <v>526</v>
      </c>
      <c r="G2267" s="913" t="s">
        <v>1406</v>
      </c>
      <c r="H2267" t="s">
        <v>5533</v>
      </c>
    </row>
    <row r="2268" spans="2:8">
      <c r="B2268" s="871">
        <v>46276</v>
      </c>
      <c r="C2268" t="s">
        <v>2480</v>
      </c>
      <c r="D2268" t="s">
        <v>1375</v>
      </c>
      <c r="E2268" t="s">
        <v>3336</v>
      </c>
      <c r="F2268" s="853" t="s">
        <v>527</v>
      </c>
      <c r="G2268" s="913" t="s">
        <v>1406</v>
      </c>
      <c r="H2268" t="s">
        <v>5534</v>
      </c>
    </row>
    <row r="2269" spans="2:8">
      <c r="B2269" s="871">
        <v>46276</v>
      </c>
      <c r="C2269" t="s">
        <v>2480</v>
      </c>
      <c r="D2269" t="s">
        <v>1375</v>
      </c>
      <c r="E2269" t="s">
        <v>3336</v>
      </c>
      <c r="F2269" s="853" t="s">
        <v>528</v>
      </c>
      <c r="G2269" s="913" t="s">
        <v>1406</v>
      </c>
      <c r="H2269" t="s">
        <v>5535</v>
      </c>
    </row>
    <row r="2270" spans="2:8">
      <c r="B2270" s="871">
        <v>46276</v>
      </c>
      <c r="C2270" t="s">
        <v>2480</v>
      </c>
      <c r="D2270" t="s">
        <v>1376</v>
      </c>
      <c r="E2270" t="s">
        <v>1407</v>
      </c>
      <c r="F2270" s="853" t="s">
        <v>526</v>
      </c>
      <c r="G2270" s="913">
        <v>420</v>
      </c>
      <c r="H2270" t="s">
        <v>5536</v>
      </c>
    </row>
    <row r="2271" spans="2:8">
      <c r="B2271" s="871">
        <v>46276</v>
      </c>
      <c r="C2271" t="s">
        <v>2480</v>
      </c>
      <c r="D2271" t="s">
        <v>1376</v>
      </c>
      <c r="E2271" t="s">
        <v>1407</v>
      </c>
      <c r="F2271" s="853" t="s">
        <v>527</v>
      </c>
      <c r="G2271" s="913">
        <v>425</v>
      </c>
      <c r="H2271" t="s">
        <v>5537</v>
      </c>
    </row>
    <row r="2272" spans="2:8">
      <c r="B2272" s="871">
        <v>46276</v>
      </c>
      <c r="C2272" t="s">
        <v>2480</v>
      </c>
      <c r="D2272" t="s">
        <v>1376</v>
      </c>
      <c r="E2272" t="s">
        <v>1407</v>
      </c>
      <c r="F2272" s="853" t="s">
        <v>528</v>
      </c>
      <c r="G2272" s="913">
        <v>350</v>
      </c>
      <c r="H2272" t="s">
        <v>5538</v>
      </c>
    </row>
    <row r="2273" spans="2:8">
      <c r="B2273" s="871">
        <v>46276</v>
      </c>
      <c r="C2273" t="s">
        <v>2480</v>
      </c>
      <c r="D2273" t="s">
        <v>1376</v>
      </c>
      <c r="E2273" t="s">
        <v>1408</v>
      </c>
      <c r="F2273" s="853" t="s">
        <v>526</v>
      </c>
      <c r="G2273" s="913">
        <v>1044</v>
      </c>
      <c r="H2273" t="s">
        <v>5539</v>
      </c>
    </row>
    <row r="2274" spans="2:8">
      <c r="B2274" s="871">
        <v>46276</v>
      </c>
      <c r="C2274" t="s">
        <v>2480</v>
      </c>
      <c r="D2274" t="s">
        <v>1376</v>
      </c>
      <c r="E2274" t="s">
        <v>1408</v>
      </c>
      <c r="F2274" s="853" t="s">
        <v>527</v>
      </c>
      <c r="G2274" s="913">
        <v>1018</v>
      </c>
      <c r="H2274" t="s">
        <v>5540</v>
      </c>
    </row>
    <row r="2275" spans="2:8">
      <c r="B2275" s="871">
        <v>46276</v>
      </c>
      <c r="C2275" t="s">
        <v>2480</v>
      </c>
      <c r="D2275" t="s">
        <v>1376</v>
      </c>
      <c r="E2275" t="s">
        <v>1408</v>
      </c>
      <c r="F2275" s="853" t="s">
        <v>528</v>
      </c>
      <c r="G2275" s="913">
        <v>1020</v>
      </c>
      <c r="H2275" t="s">
        <v>5541</v>
      </c>
    </row>
    <row r="2276" spans="2:8">
      <c r="B2276" s="871">
        <v>46276</v>
      </c>
      <c r="C2276" t="s">
        <v>2480</v>
      </c>
      <c r="D2276" t="s">
        <v>1409</v>
      </c>
      <c r="E2276" t="s">
        <v>1411</v>
      </c>
      <c r="F2276" s="853" t="s">
        <v>526</v>
      </c>
      <c r="H2276" t="s">
        <v>5542</v>
      </c>
    </row>
    <row r="2277" spans="2:8">
      <c r="B2277" s="871">
        <v>46276</v>
      </c>
      <c r="C2277" t="s">
        <v>2480</v>
      </c>
      <c r="D2277" t="s">
        <v>1409</v>
      </c>
      <c r="E2277" t="s">
        <v>1411</v>
      </c>
      <c r="F2277" s="853" t="s">
        <v>527</v>
      </c>
      <c r="H2277" t="s">
        <v>5543</v>
      </c>
    </row>
    <row r="2278" spans="2:8">
      <c r="B2278" s="871">
        <v>46276</v>
      </c>
      <c r="C2278" t="s">
        <v>2480</v>
      </c>
      <c r="D2278" t="s">
        <v>1409</v>
      </c>
      <c r="E2278" t="s">
        <v>1411</v>
      </c>
      <c r="F2278" s="853" t="s">
        <v>528</v>
      </c>
      <c r="H2278" t="s">
        <v>5544</v>
      </c>
    </row>
    <row r="2279" spans="2:8">
      <c r="B2279" s="871">
        <v>46276</v>
      </c>
      <c r="C2279" t="s">
        <v>2480</v>
      </c>
      <c r="D2279" t="s">
        <v>1409</v>
      </c>
      <c r="E2279" t="s">
        <v>1413</v>
      </c>
      <c r="F2279" s="853" t="s">
        <v>526</v>
      </c>
      <c r="G2279" s="913" t="s">
        <v>1414</v>
      </c>
      <c r="H2279" t="s">
        <v>5545</v>
      </c>
    </row>
    <row r="2280" spans="2:8">
      <c r="B2280" s="871">
        <v>46276</v>
      </c>
      <c r="C2280" t="s">
        <v>2480</v>
      </c>
      <c r="D2280" t="s">
        <v>1409</v>
      </c>
      <c r="E2280" t="s">
        <v>1413</v>
      </c>
      <c r="F2280" s="853" t="s">
        <v>527</v>
      </c>
      <c r="G2280" s="913" t="s">
        <v>1743</v>
      </c>
      <c r="H2280" t="s">
        <v>5546</v>
      </c>
    </row>
    <row r="2281" spans="2:8">
      <c r="B2281" s="871">
        <v>46276</v>
      </c>
      <c r="C2281" t="s">
        <v>2480</v>
      </c>
      <c r="D2281" t="s">
        <v>1409</v>
      </c>
      <c r="E2281" t="s">
        <v>1413</v>
      </c>
      <c r="F2281" s="853" t="s">
        <v>528</v>
      </c>
      <c r="G2281" s="913" t="s">
        <v>1743</v>
      </c>
      <c r="H2281" t="s">
        <v>5547</v>
      </c>
    </row>
    <row r="2282" spans="2:8">
      <c r="B2282" s="871">
        <v>46276</v>
      </c>
      <c r="C2282" t="s">
        <v>2480</v>
      </c>
      <c r="D2282" t="s">
        <v>1410</v>
      </c>
      <c r="E2282" t="s">
        <v>3352</v>
      </c>
      <c r="F2282" s="853" t="s">
        <v>526</v>
      </c>
      <c r="G2282" s="913" t="s">
        <v>1418</v>
      </c>
      <c r="H2282" t="s">
        <v>5548</v>
      </c>
    </row>
    <row r="2283" spans="2:8">
      <c r="B2283" s="871">
        <v>46276</v>
      </c>
      <c r="C2283" t="s">
        <v>2480</v>
      </c>
      <c r="D2283" t="s">
        <v>1410</v>
      </c>
      <c r="E2283" t="s">
        <v>3352</v>
      </c>
      <c r="F2283" s="853" t="s">
        <v>527</v>
      </c>
      <c r="G2283" s="913" t="s">
        <v>1418</v>
      </c>
      <c r="H2283" t="s">
        <v>5549</v>
      </c>
    </row>
    <row r="2284" spans="2:8">
      <c r="B2284" s="871">
        <v>46276</v>
      </c>
      <c r="C2284" t="s">
        <v>2480</v>
      </c>
      <c r="D2284" t="s">
        <v>1410</v>
      </c>
      <c r="E2284" t="s">
        <v>3352</v>
      </c>
      <c r="F2284" s="853" t="s">
        <v>528</v>
      </c>
      <c r="G2284" s="913" t="s">
        <v>1418</v>
      </c>
      <c r="H2284" t="s">
        <v>5550</v>
      </c>
    </row>
    <row r="2285" spans="2:8">
      <c r="B2285" s="871">
        <v>46276</v>
      </c>
      <c r="C2285" t="s">
        <v>2480</v>
      </c>
      <c r="D2285" t="s">
        <v>1409</v>
      </c>
      <c r="E2285" t="s">
        <v>1420</v>
      </c>
      <c r="F2285" s="853" t="s">
        <v>526</v>
      </c>
      <c r="G2285" s="913" t="s">
        <v>1421</v>
      </c>
      <c r="H2285" t="s">
        <v>5551</v>
      </c>
    </row>
    <row r="2286" spans="2:8">
      <c r="B2286" s="871">
        <v>46276</v>
      </c>
      <c r="C2286" t="s">
        <v>2480</v>
      </c>
      <c r="D2286" t="s">
        <v>1409</v>
      </c>
      <c r="E2286" t="s">
        <v>1420</v>
      </c>
      <c r="F2286" s="853" t="s">
        <v>527</v>
      </c>
      <c r="G2286" s="913" t="s">
        <v>1422</v>
      </c>
      <c r="H2286" t="s">
        <v>5552</v>
      </c>
    </row>
    <row r="2287" spans="2:8">
      <c r="B2287" s="871">
        <v>46276</v>
      </c>
      <c r="C2287" t="s">
        <v>2480</v>
      </c>
      <c r="D2287" t="s">
        <v>1409</v>
      </c>
      <c r="E2287" t="s">
        <v>1420</v>
      </c>
      <c r="F2287" s="853" t="s">
        <v>528</v>
      </c>
      <c r="G2287" s="913" t="s">
        <v>1422</v>
      </c>
      <c r="H2287" t="s">
        <v>5553</v>
      </c>
    </row>
    <row r="2288" spans="2:8">
      <c r="B2288" s="871">
        <v>46276</v>
      </c>
      <c r="C2288" t="s">
        <v>2480</v>
      </c>
      <c r="D2288" t="s">
        <v>1410</v>
      </c>
      <c r="E2288" t="s">
        <v>3359</v>
      </c>
      <c r="F2288" s="853" t="s">
        <v>526</v>
      </c>
      <c r="G2288" s="913">
        <v>116</v>
      </c>
      <c r="H2288" t="s">
        <v>5554</v>
      </c>
    </row>
    <row r="2289" spans="2:8">
      <c r="B2289" s="871">
        <v>46276</v>
      </c>
      <c r="C2289" t="s">
        <v>2480</v>
      </c>
      <c r="D2289" t="s">
        <v>1410</v>
      </c>
      <c r="E2289" t="s">
        <v>3359</v>
      </c>
      <c r="F2289" s="853" t="s">
        <v>527</v>
      </c>
      <c r="G2289" s="913">
        <v>121</v>
      </c>
      <c r="H2289" t="s">
        <v>5555</v>
      </c>
    </row>
    <row r="2290" spans="2:8">
      <c r="B2290" s="871">
        <v>46276</v>
      </c>
      <c r="C2290" t="s">
        <v>2480</v>
      </c>
      <c r="D2290" t="s">
        <v>1410</v>
      </c>
      <c r="E2290" t="s">
        <v>3359</v>
      </c>
      <c r="F2290" s="853" t="s">
        <v>528</v>
      </c>
      <c r="G2290" s="913">
        <v>122</v>
      </c>
      <c r="H2290" t="s">
        <v>5556</v>
      </c>
    </row>
    <row r="2291" spans="2:8">
      <c r="B2291" s="871">
        <v>46276</v>
      </c>
      <c r="C2291" t="s">
        <v>2480</v>
      </c>
      <c r="D2291" t="s">
        <v>1409</v>
      </c>
      <c r="E2291" t="s">
        <v>1424</v>
      </c>
      <c r="F2291" s="853" t="s">
        <v>526</v>
      </c>
      <c r="H2291" t="s">
        <v>5557</v>
      </c>
    </row>
    <row r="2292" spans="2:8">
      <c r="B2292" s="871">
        <v>46276</v>
      </c>
      <c r="C2292" t="s">
        <v>2480</v>
      </c>
      <c r="D2292" t="s">
        <v>1409</v>
      </c>
      <c r="E2292" t="s">
        <v>1424</v>
      </c>
      <c r="F2292" s="853" t="s">
        <v>527</v>
      </c>
      <c r="H2292" t="s">
        <v>5558</v>
      </c>
    </row>
    <row r="2293" spans="2:8">
      <c r="B2293" s="871">
        <v>46276</v>
      </c>
      <c r="C2293" t="s">
        <v>2480</v>
      </c>
      <c r="D2293" t="s">
        <v>1409</v>
      </c>
      <c r="E2293" t="s">
        <v>1424</v>
      </c>
      <c r="F2293" s="853" t="s">
        <v>528</v>
      </c>
      <c r="H2293" t="s">
        <v>5559</v>
      </c>
    </row>
    <row r="2294" spans="2:8">
      <c r="B2294" s="871">
        <v>46276</v>
      </c>
      <c r="C2294" t="s">
        <v>2480</v>
      </c>
      <c r="D2294" t="s">
        <v>1410</v>
      </c>
      <c r="E2294" t="s">
        <v>3366</v>
      </c>
      <c r="F2294" s="853" t="s">
        <v>526</v>
      </c>
      <c r="G2294" s="913">
        <v>2613</v>
      </c>
      <c r="H2294" t="s">
        <v>5560</v>
      </c>
    </row>
    <row r="2295" spans="2:8">
      <c r="B2295" s="871">
        <v>46276</v>
      </c>
      <c r="C2295" t="s">
        <v>2480</v>
      </c>
      <c r="D2295" t="s">
        <v>1410</v>
      </c>
      <c r="E2295" t="s">
        <v>3366</v>
      </c>
      <c r="F2295" s="853" t="s">
        <v>527</v>
      </c>
      <c r="G2295" s="913">
        <v>2590</v>
      </c>
      <c r="H2295" t="s">
        <v>5561</v>
      </c>
    </row>
    <row r="2296" spans="2:8">
      <c r="B2296" s="871">
        <v>46276</v>
      </c>
      <c r="C2296" t="s">
        <v>2480</v>
      </c>
      <c r="D2296" t="s">
        <v>1410</v>
      </c>
      <c r="E2296" t="s">
        <v>3366</v>
      </c>
      <c r="F2296" s="853" t="s">
        <v>528</v>
      </c>
      <c r="G2296" s="913">
        <v>2587</v>
      </c>
      <c r="H2296" t="s">
        <v>5562</v>
      </c>
    </row>
    <row r="2297" spans="2:8">
      <c r="B2297" s="871">
        <v>46276</v>
      </c>
      <c r="C2297" t="s">
        <v>2480</v>
      </c>
      <c r="D2297" t="s">
        <v>1410</v>
      </c>
      <c r="E2297" t="s">
        <v>3370</v>
      </c>
      <c r="F2297" s="853" t="s">
        <v>526</v>
      </c>
      <c r="G2297" s="913" t="s">
        <v>1427</v>
      </c>
      <c r="H2297" t="s">
        <v>5563</v>
      </c>
    </row>
    <row r="2298" spans="2:8">
      <c r="B2298" s="871">
        <v>46276</v>
      </c>
      <c r="C2298" t="s">
        <v>2480</v>
      </c>
      <c r="D2298" t="s">
        <v>1410</v>
      </c>
      <c r="E2298" t="s">
        <v>3370</v>
      </c>
      <c r="F2298" s="853" t="s">
        <v>527</v>
      </c>
      <c r="G2298" s="913" t="s">
        <v>1427</v>
      </c>
      <c r="H2298" t="s">
        <v>5564</v>
      </c>
    </row>
    <row r="2299" spans="2:8">
      <c r="B2299" s="871">
        <v>46276</v>
      </c>
      <c r="C2299" t="s">
        <v>2480</v>
      </c>
      <c r="D2299" t="s">
        <v>1410</v>
      </c>
      <c r="E2299" t="s">
        <v>3370</v>
      </c>
      <c r="F2299" s="853" t="s">
        <v>528</v>
      </c>
      <c r="G2299" s="913" t="s">
        <v>1427</v>
      </c>
      <c r="H2299" t="s">
        <v>5565</v>
      </c>
    </row>
    <row r="2300" spans="2:8">
      <c r="B2300" s="871">
        <v>46276</v>
      </c>
      <c r="C2300" t="s">
        <v>2480</v>
      </c>
      <c r="D2300" t="s">
        <v>1410</v>
      </c>
      <c r="E2300" t="s">
        <v>3374</v>
      </c>
      <c r="F2300" s="853" t="s">
        <v>526</v>
      </c>
      <c r="G2300" s="913">
        <v>2.2999999999999998</v>
      </c>
      <c r="H2300" t="s">
        <v>5566</v>
      </c>
    </row>
    <row r="2301" spans="2:8">
      <c r="B2301" s="871">
        <v>46276</v>
      </c>
      <c r="C2301" t="s">
        <v>2480</v>
      </c>
      <c r="D2301" t="s">
        <v>1410</v>
      </c>
      <c r="E2301" t="s">
        <v>3374</v>
      </c>
      <c r="F2301" s="853" t="s">
        <v>527</v>
      </c>
      <c r="G2301" s="913">
        <v>3.2</v>
      </c>
      <c r="H2301" t="s">
        <v>5567</v>
      </c>
    </row>
    <row r="2302" spans="2:8">
      <c r="B2302" s="871">
        <v>46276</v>
      </c>
      <c r="C2302" t="s">
        <v>2480</v>
      </c>
      <c r="D2302" t="s">
        <v>1410</v>
      </c>
      <c r="E2302" t="s">
        <v>3374</v>
      </c>
      <c r="F2302" s="853" t="s">
        <v>528</v>
      </c>
      <c r="G2302" s="913">
        <v>2.5299999999999998</v>
      </c>
      <c r="H2302" t="s">
        <v>5568</v>
      </c>
    </row>
    <row r="2303" spans="2:8">
      <c r="B2303" s="871">
        <v>46276</v>
      </c>
      <c r="C2303" t="s">
        <v>2480</v>
      </c>
      <c r="D2303" t="s">
        <v>1410</v>
      </c>
      <c r="E2303" t="s">
        <v>3378</v>
      </c>
      <c r="F2303" s="853" t="s">
        <v>526</v>
      </c>
      <c r="G2303" s="913" t="s">
        <v>1627</v>
      </c>
      <c r="H2303" t="s">
        <v>5569</v>
      </c>
    </row>
    <row r="2304" spans="2:8">
      <c r="B2304" s="871">
        <v>46276</v>
      </c>
      <c r="C2304" t="s">
        <v>2480</v>
      </c>
      <c r="D2304" t="s">
        <v>1410</v>
      </c>
      <c r="E2304" t="s">
        <v>3378</v>
      </c>
      <c r="F2304" s="853" t="s">
        <v>527</v>
      </c>
      <c r="G2304" s="913" t="s">
        <v>1627</v>
      </c>
      <c r="H2304" t="s">
        <v>5570</v>
      </c>
    </row>
    <row r="2305" spans="2:8">
      <c r="B2305" s="871">
        <v>46276</v>
      </c>
      <c r="C2305" t="s">
        <v>2480</v>
      </c>
      <c r="D2305" t="s">
        <v>1410</v>
      </c>
      <c r="E2305" t="s">
        <v>3378</v>
      </c>
      <c r="F2305" s="853" t="s">
        <v>528</v>
      </c>
      <c r="G2305" s="913" t="s">
        <v>1627</v>
      </c>
      <c r="H2305" t="s">
        <v>5571</v>
      </c>
    </row>
    <row r="2306" spans="2:8">
      <c r="B2306" s="871">
        <v>46276</v>
      </c>
      <c r="C2306" t="s">
        <v>2480</v>
      </c>
      <c r="D2306" t="s">
        <v>1410</v>
      </c>
      <c r="E2306" t="s">
        <v>3382</v>
      </c>
      <c r="F2306" s="853" t="s">
        <v>526</v>
      </c>
      <c r="G2306" s="913">
        <v>113</v>
      </c>
      <c r="H2306" t="s">
        <v>5572</v>
      </c>
    </row>
    <row r="2307" spans="2:8">
      <c r="B2307" s="871">
        <v>46276</v>
      </c>
      <c r="C2307" t="s">
        <v>2480</v>
      </c>
      <c r="D2307" t="s">
        <v>1410</v>
      </c>
      <c r="E2307" t="s">
        <v>3382</v>
      </c>
      <c r="F2307" s="853" t="s">
        <v>527</v>
      </c>
      <c r="G2307" s="913">
        <v>112</v>
      </c>
      <c r="H2307" t="s">
        <v>5573</v>
      </c>
    </row>
    <row r="2308" spans="2:8">
      <c r="B2308" s="871">
        <v>46276</v>
      </c>
      <c r="C2308" t="s">
        <v>2480</v>
      </c>
      <c r="D2308" t="s">
        <v>1410</v>
      </c>
      <c r="E2308" t="s">
        <v>3382</v>
      </c>
      <c r="F2308" s="853" t="s">
        <v>528</v>
      </c>
      <c r="G2308" s="913">
        <v>102</v>
      </c>
      <c r="H2308" t="s">
        <v>5574</v>
      </c>
    </row>
    <row r="2309" spans="2:8">
      <c r="B2309" s="871">
        <v>46276</v>
      </c>
      <c r="C2309" t="s">
        <v>2480</v>
      </c>
      <c r="D2309" t="s">
        <v>1409</v>
      </c>
      <c r="E2309" t="s">
        <v>1431</v>
      </c>
      <c r="F2309" s="853" t="s">
        <v>526</v>
      </c>
      <c r="H2309" t="s">
        <v>5575</v>
      </c>
    </row>
    <row r="2310" spans="2:8">
      <c r="B2310" s="871">
        <v>46276</v>
      </c>
      <c r="C2310" t="s">
        <v>2480</v>
      </c>
      <c r="D2310" t="s">
        <v>1409</v>
      </c>
      <c r="E2310" t="s">
        <v>1431</v>
      </c>
      <c r="F2310" s="853" t="s">
        <v>527</v>
      </c>
      <c r="H2310" t="s">
        <v>5576</v>
      </c>
    </row>
    <row r="2311" spans="2:8">
      <c r="B2311" s="871">
        <v>46276</v>
      </c>
      <c r="C2311" t="s">
        <v>2480</v>
      </c>
      <c r="D2311" t="s">
        <v>1409</v>
      </c>
      <c r="E2311" t="s">
        <v>1431</v>
      </c>
      <c r="F2311" s="853" t="s">
        <v>528</v>
      </c>
      <c r="H2311" t="s">
        <v>5577</v>
      </c>
    </row>
    <row r="2312" spans="2:8">
      <c r="B2312" s="871">
        <v>46276</v>
      </c>
      <c r="C2312" t="s">
        <v>2480</v>
      </c>
      <c r="D2312" t="s">
        <v>1410</v>
      </c>
      <c r="E2312" t="s">
        <v>3389</v>
      </c>
      <c r="F2312" s="853" t="s">
        <v>526</v>
      </c>
      <c r="G2312" s="913">
        <v>2994</v>
      </c>
      <c r="H2312" t="s">
        <v>5578</v>
      </c>
    </row>
    <row r="2313" spans="2:8">
      <c r="B2313" s="871">
        <v>46276</v>
      </c>
      <c r="C2313" t="s">
        <v>2480</v>
      </c>
      <c r="D2313" t="s">
        <v>1410</v>
      </c>
      <c r="E2313" t="s">
        <v>3389</v>
      </c>
      <c r="F2313" s="853" t="s">
        <v>527</v>
      </c>
      <c r="G2313" s="913">
        <v>3030</v>
      </c>
      <c r="H2313" t="s">
        <v>5579</v>
      </c>
    </row>
    <row r="2314" spans="2:8">
      <c r="B2314" s="871">
        <v>46276</v>
      </c>
      <c r="C2314" t="s">
        <v>2480</v>
      </c>
      <c r="D2314" t="s">
        <v>1410</v>
      </c>
      <c r="E2314" t="s">
        <v>3389</v>
      </c>
      <c r="F2314" s="853" t="s">
        <v>528</v>
      </c>
      <c r="G2314" s="913">
        <v>3035</v>
      </c>
      <c r="H2314" t="s">
        <v>5580</v>
      </c>
    </row>
    <row r="2315" spans="2:8">
      <c r="B2315" s="871">
        <v>46276</v>
      </c>
      <c r="C2315" t="s">
        <v>2480</v>
      </c>
      <c r="D2315" t="s">
        <v>1410</v>
      </c>
      <c r="E2315" t="s">
        <v>3393</v>
      </c>
      <c r="F2315" s="853" t="s">
        <v>526</v>
      </c>
      <c r="G2315" s="913" t="s">
        <v>1663</v>
      </c>
      <c r="H2315" t="s">
        <v>5581</v>
      </c>
    </row>
    <row r="2316" spans="2:8">
      <c r="B2316" s="871">
        <v>46276</v>
      </c>
      <c r="C2316" t="s">
        <v>2480</v>
      </c>
      <c r="D2316" t="s">
        <v>1410</v>
      </c>
      <c r="E2316" t="s">
        <v>3393</v>
      </c>
      <c r="F2316" s="853" t="s">
        <v>527</v>
      </c>
      <c r="G2316" s="913" t="s">
        <v>1820</v>
      </c>
      <c r="H2316" t="s">
        <v>5582</v>
      </c>
    </row>
    <row r="2317" spans="2:8">
      <c r="B2317" s="871">
        <v>46276</v>
      </c>
      <c r="C2317" t="s">
        <v>2480</v>
      </c>
      <c r="D2317" t="s">
        <v>1410</v>
      </c>
      <c r="E2317" t="s">
        <v>3393</v>
      </c>
      <c r="F2317" s="853" t="s">
        <v>528</v>
      </c>
      <c r="G2317" s="913" t="s">
        <v>1820</v>
      </c>
      <c r="H2317" t="s">
        <v>5583</v>
      </c>
    </row>
    <row r="2318" spans="2:8">
      <c r="B2318" s="871">
        <v>46276</v>
      </c>
      <c r="C2318" t="s">
        <v>2480</v>
      </c>
      <c r="D2318" t="s">
        <v>1410</v>
      </c>
      <c r="E2318" t="s">
        <v>3397</v>
      </c>
      <c r="F2318" s="853" t="s">
        <v>526</v>
      </c>
      <c r="G2318" s="913" t="s">
        <v>1435</v>
      </c>
      <c r="H2318" t="s">
        <v>5584</v>
      </c>
    </row>
    <row r="2319" spans="2:8">
      <c r="B2319" s="871">
        <v>46276</v>
      </c>
      <c r="C2319" t="s">
        <v>2480</v>
      </c>
      <c r="D2319" t="s">
        <v>1410</v>
      </c>
      <c r="E2319" t="s">
        <v>3397</v>
      </c>
      <c r="F2319" s="853" t="s">
        <v>527</v>
      </c>
      <c r="G2319" s="913" t="s">
        <v>1435</v>
      </c>
      <c r="H2319" t="s">
        <v>5585</v>
      </c>
    </row>
    <row r="2320" spans="2:8">
      <c r="B2320" s="871">
        <v>46276</v>
      </c>
      <c r="C2320" t="s">
        <v>2480</v>
      </c>
      <c r="D2320" t="s">
        <v>1410</v>
      </c>
      <c r="E2320" t="s">
        <v>3397</v>
      </c>
      <c r="F2320" s="853" t="s">
        <v>528</v>
      </c>
      <c r="G2320" s="913" t="s">
        <v>1435</v>
      </c>
      <c r="H2320" t="s">
        <v>5586</v>
      </c>
    </row>
    <row r="2321" spans="2:8">
      <c r="B2321" s="871">
        <v>46276</v>
      </c>
      <c r="C2321" t="s">
        <v>2480</v>
      </c>
      <c r="D2321" t="s">
        <v>1434</v>
      </c>
      <c r="E2321" t="s">
        <v>42</v>
      </c>
      <c r="F2321" s="853" t="s">
        <v>526</v>
      </c>
      <c r="G2321" s="913" t="s">
        <v>1785</v>
      </c>
      <c r="H2321" t="s">
        <v>5587</v>
      </c>
    </row>
    <row r="2322" spans="2:8">
      <c r="B2322" s="871">
        <v>46276</v>
      </c>
      <c r="C2322" t="s">
        <v>2480</v>
      </c>
      <c r="D2322" t="s">
        <v>1434</v>
      </c>
      <c r="E2322" t="s">
        <v>42</v>
      </c>
      <c r="F2322" s="853" t="s">
        <v>527</v>
      </c>
      <c r="G2322" s="913" t="s">
        <v>1785</v>
      </c>
      <c r="H2322" t="s">
        <v>5588</v>
      </c>
    </row>
    <row r="2323" spans="2:8">
      <c r="B2323" s="871">
        <v>46276</v>
      </c>
      <c r="C2323" t="s">
        <v>2480</v>
      </c>
      <c r="D2323" t="s">
        <v>1434</v>
      </c>
      <c r="E2323" t="s">
        <v>42</v>
      </c>
      <c r="F2323" s="853" t="s">
        <v>528</v>
      </c>
      <c r="G2323" s="913" t="s">
        <v>1785</v>
      </c>
      <c r="H2323" t="s">
        <v>5589</v>
      </c>
    </row>
    <row r="2324" spans="2:8">
      <c r="B2324" s="871">
        <v>46276</v>
      </c>
      <c r="C2324" t="s">
        <v>2480</v>
      </c>
      <c r="D2324" t="s">
        <v>1410</v>
      </c>
      <c r="E2324" t="s">
        <v>3404</v>
      </c>
      <c r="F2324" s="853" t="s">
        <v>526</v>
      </c>
      <c r="G2324" s="913" t="s">
        <v>1585</v>
      </c>
      <c r="H2324" t="s">
        <v>5590</v>
      </c>
    </row>
    <row r="2325" spans="2:8">
      <c r="B2325" s="871">
        <v>46276</v>
      </c>
      <c r="C2325" t="s">
        <v>2480</v>
      </c>
      <c r="D2325" t="s">
        <v>1410</v>
      </c>
      <c r="E2325" t="s">
        <v>3404</v>
      </c>
      <c r="F2325" s="853" t="s">
        <v>527</v>
      </c>
      <c r="G2325" s="913" t="s">
        <v>1438</v>
      </c>
      <c r="H2325" t="s">
        <v>5591</v>
      </c>
    </row>
    <row r="2326" spans="2:8">
      <c r="B2326" s="871">
        <v>46276</v>
      </c>
      <c r="C2326" t="s">
        <v>2480</v>
      </c>
      <c r="D2326" t="s">
        <v>1410</v>
      </c>
      <c r="E2326" t="s">
        <v>3404</v>
      </c>
      <c r="F2326" s="853" t="s">
        <v>528</v>
      </c>
      <c r="G2326" s="913" t="s">
        <v>1438</v>
      </c>
      <c r="H2326" t="s">
        <v>5592</v>
      </c>
    </row>
    <row r="2327" spans="2:8">
      <c r="B2327" s="871">
        <v>46276</v>
      </c>
      <c r="C2327" t="s">
        <v>2480</v>
      </c>
      <c r="D2327" t="s">
        <v>1434</v>
      </c>
      <c r="E2327" t="s">
        <v>1439</v>
      </c>
      <c r="F2327" s="853" t="s">
        <v>526</v>
      </c>
      <c r="G2327" s="913" t="s">
        <v>1440</v>
      </c>
      <c r="H2327" t="s">
        <v>5593</v>
      </c>
    </row>
    <row r="2328" spans="2:8">
      <c r="B2328" s="871">
        <v>46276</v>
      </c>
      <c r="C2328" t="s">
        <v>2480</v>
      </c>
      <c r="D2328" t="s">
        <v>1434</v>
      </c>
      <c r="E2328" t="s">
        <v>1439</v>
      </c>
      <c r="F2328" s="853" t="s">
        <v>527</v>
      </c>
      <c r="G2328" s="913" t="s">
        <v>1440</v>
      </c>
      <c r="H2328" t="s">
        <v>5594</v>
      </c>
    </row>
    <row r="2329" spans="2:8">
      <c r="B2329" s="871">
        <v>46276</v>
      </c>
      <c r="C2329" t="s">
        <v>2480</v>
      </c>
      <c r="D2329" t="s">
        <v>1434</v>
      </c>
      <c r="E2329" t="s">
        <v>1439</v>
      </c>
      <c r="F2329" s="853" t="s">
        <v>528</v>
      </c>
      <c r="G2329" s="913" t="s">
        <v>1440</v>
      </c>
      <c r="H2329" t="s">
        <v>5595</v>
      </c>
    </row>
    <row r="2330" spans="2:8">
      <c r="B2330" s="871">
        <v>46276</v>
      </c>
      <c r="C2330" t="s">
        <v>2480</v>
      </c>
      <c r="D2330" t="s">
        <v>1410</v>
      </c>
      <c r="E2330" t="s">
        <v>3411</v>
      </c>
      <c r="F2330" s="853" t="s">
        <v>526</v>
      </c>
      <c r="G2330" s="913">
        <v>64</v>
      </c>
      <c r="H2330" t="s">
        <v>5596</v>
      </c>
    </row>
    <row r="2331" spans="2:8">
      <c r="B2331" s="871">
        <v>46276</v>
      </c>
      <c r="C2331" t="s">
        <v>2480</v>
      </c>
      <c r="D2331" t="s">
        <v>1410</v>
      </c>
      <c r="E2331" t="s">
        <v>3411</v>
      </c>
      <c r="F2331" s="853" t="s">
        <v>527</v>
      </c>
      <c r="G2331" s="913">
        <v>67</v>
      </c>
      <c r="H2331" t="s">
        <v>5597</v>
      </c>
    </row>
    <row r="2332" spans="2:8">
      <c r="B2332" s="871">
        <v>46276</v>
      </c>
      <c r="C2332" t="s">
        <v>2480</v>
      </c>
      <c r="D2332" t="s">
        <v>1410</v>
      </c>
      <c r="E2332" t="s">
        <v>3411</v>
      </c>
      <c r="F2332" s="853" t="s">
        <v>528</v>
      </c>
      <c r="G2332" s="913">
        <v>66</v>
      </c>
      <c r="H2332" t="s">
        <v>5598</v>
      </c>
    </row>
    <row r="2333" spans="2:8">
      <c r="B2333" s="871">
        <v>46276</v>
      </c>
      <c r="C2333" t="s">
        <v>2480</v>
      </c>
      <c r="D2333" t="s">
        <v>1434</v>
      </c>
      <c r="E2333" t="s">
        <v>43</v>
      </c>
      <c r="F2333" s="853" t="s">
        <v>526</v>
      </c>
      <c r="G2333" s="913" t="s">
        <v>1786</v>
      </c>
      <c r="H2333" t="s">
        <v>5599</v>
      </c>
    </row>
    <row r="2334" spans="2:8">
      <c r="B2334" s="871">
        <v>46276</v>
      </c>
      <c r="C2334" t="s">
        <v>2480</v>
      </c>
      <c r="D2334" t="s">
        <v>1434</v>
      </c>
      <c r="E2334" t="s">
        <v>43</v>
      </c>
      <c r="F2334" s="853" t="s">
        <v>527</v>
      </c>
      <c r="G2334" s="913" t="s">
        <v>1786</v>
      </c>
      <c r="H2334" t="s">
        <v>5600</v>
      </c>
    </row>
    <row r="2335" spans="2:8">
      <c r="B2335" s="871">
        <v>46276</v>
      </c>
      <c r="C2335" t="s">
        <v>2480</v>
      </c>
      <c r="D2335" t="s">
        <v>1434</v>
      </c>
      <c r="E2335" t="s">
        <v>43</v>
      </c>
      <c r="F2335" s="853" t="s">
        <v>528</v>
      </c>
      <c r="G2335" s="913" t="s">
        <v>1786</v>
      </c>
      <c r="H2335" t="s">
        <v>5601</v>
      </c>
    </row>
    <row r="2336" spans="2:8">
      <c r="B2336" s="871">
        <v>46276</v>
      </c>
      <c r="C2336" t="s">
        <v>2480</v>
      </c>
      <c r="D2336" t="s">
        <v>1410</v>
      </c>
      <c r="E2336" t="s">
        <v>3418</v>
      </c>
      <c r="F2336" s="853" t="s">
        <v>526</v>
      </c>
      <c r="G2336" s="913">
        <v>43</v>
      </c>
      <c r="H2336" t="s">
        <v>5602</v>
      </c>
    </row>
    <row r="2337" spans="2:8">
      <c r="B2337" s="871">
        <v>46276</v>
      </c>
      <c r="C2337" t="s">
        <v>2480</v>
      </c>
      <c r="D2337" t="s">
        <v>1410</v>
      </c>
      <c r="E2337" t="s">
        <v>3418</v>
      </c>
      <c r="F2337" s="853" t="s">
        <v>527</v>
      </c>
      <c r="G2337" s="913">
        <v>67</v>
      </c>
      <c r="H2337" t="s">
        <v>5603</v>
      </c>
    </row>
    <row r="2338" spans="2:8">
      <c r="B2338" s="871">
        <v>46276</v>
      </c>
      <c r="C2338" t="s">
        <v>2480</v>
      </c>
      <c r="D2338" t="s">
        <v>1410</v>
      </c>
      <c r="E2338" t="s">
        <v>3418</v>
      </c>
      <c r="F2338" s="853" t="s">
        <v>528</v>
      </c>
      <c r="G2338" s="913">
        <v>59</v>
      </c>
      <c r="H2338" t="s">
        <v>5604</v>
      </c>
    </row>
    <row r="2339" spans="2:8">
      <c r="B2339" s="871">
        <v>46276</v>
      </c>
      <c r="C2339" t="s">
        <v>2480</v>
      </c>
      <c r="D2339" t="s">
        <v>1434</v>
      </c>
      <c r="E2339" t="s">
        <v>1441</v>
      </c>
      <c r="F2339" s="853" t="s">
        <v>526</v>
      </c>
      <c r="H2339" t="s">
        <v>5605</v>
      </c>
    </row>
    <row r="2340" spans="2:8">
      <c r="B2340" s="871">
        <v>46276</v>
      </c>
      <c r="C2340" t="s">
        <v>2480</v>
      </c>
      <c r="D2340" t="s">
        <v>1434</v>
      </c>
      <c r="E2340" t="s">
        <v>1441</v>
      </c>
      <c r="F2340" s="853" t="s">
        <v>527</v>
      </c>
      <c r="H2340" t="s">
        <v>5606</v>
      </c>
    </row>
    <row r="2341" spans="2:8">
      <c r="B2341" s="871">
        <v>46276</v>
      </c>
      <c r="C2341" t="s">
        <v>2480</v>
      </c>
      <c r="D2341" t="s">
        <v>1434</v>
      </c>
      <c r="E2341" t="s">
        <v>1441</v>
      </c>
      <c r="F2341" s="853" t="s">
        <v>528</v>
      </c>
      <c r="H2341" t="s">
        <v>5607</v>
      </c>
    </row>
    <row r="2342" spans="2:8">
      <c r="B2342" s="871">
        <v>46276</v>
      </c>
      <c r="C2342" t="s">
        <v>2480</v>
      </c>
      <c r="D2342" t="s">
        <v>1410</v>
      </c>
      <c r="E2342" t="s">
        <v>3425</v>
      </c>
      <c r="F2342" s="853" t="s">
        <v>526</v>
      </c>
      <c r="G2342" s="913" t="s">
        <v>1443</v>
      </c>
      <c r="H2342" t="s">
        <v>5608</v>
      </c>
    </row>
    <row r="2343" spans="2:8">
      <c r="B2343" s="871">
        <v>46276</v>
      </c>
      <c r="C2343" t="s">
        <v>2480</v>
      </c>
      <c r="D2343" t="s">
        <v>1410</v>
      </c>
      <c r="E2343" t="s">
        <v>3425</v>
      </c>
      <c r="F2343" s="853" t="s">
        <v>527</v>
      </c>
      <c r="G2343" s="913" t="s">
        <v>1443</v>
      </c>
      <c r="H2343" t="s">
        <v>5609</v>
      </c>
    </row>
    <row r="2344" spans="2:8">
      <c r="B2344" s="871">
        <v>46276</v>
      </c>
      <c r="C2344" t="s">
        <v>2480</v>
      </c>
      <c r="D2344" t="s">
        <v>1410</v>
      </c>
      <c r="E2344" t="s">
        <v>3425</v>
      </c>
      <c r="F2344" s="853" t="s">
        <v>528</v>
      </c>
      <c r="G2344" s="913" t="s">
        <v>1443</v>
      </c>
      <c r="H2344" t="s">
        <v>5610</v>
      </c>
    </row>
    <row r="2345" spans="2:8">
      <c r="B2345" s="871">
        <v>46276</v>
      </c>
      <c r="C2345" t="s">
        <v>2480</v>
      </c>
      <c r="D2345" t="s">
        <v>1434</v>
      </c>
      <c r="E2345" t="s">
        <v>1444</v>
      </c>
      <c r="F2345" s="853" t="s">
        <v>526</v>
      </c>
      <c r="H2345" t="s">
        <v>5611</v>
      </c>
    </row>
    <row r="2346" spans="2:8">
      <c r="B2346" s="871">
        <v>46276</v>
      </c>
      <c r="C2346" t="s">
        <v>2480</v>
      </c>
      <c r="D2346" t="s">
        <v>1434</v>
      </c>
      <c r="E2346" t="s">
        <v>1444</v>
      </c>
      <c r="F2346" s="853" t="s">
        <v>527</v>
      </c>
      <c r="H2346" t="s">
        <v>5612</v>
      </c>
    </row>
    <row r="2347" spans="2:8">
      <c r="B2347" s="871">
        <v>46276</v>
      </c>
      <c r="C2347" t="s">
        <v>2480</v>
      </c>
      <c r="D2347" t="s">
        <v>1434</v>
      </c>
      <c r="E2347" t="s">
        <v>1444</v>
      </c>
      <c r="F2347" s="853" t="s">
        <v>528</v>
      </c>
      <c r="H2347" t="s">
        <v>5613</v>
      </c>
    </row>
    <row r="2348" spans="2:8">
      <c r="B2348" s="871">
        <v>46276</v>
      </c>
      <c r="C2348" t="s">
        <v>2480</v>
      </c>
      <c r="D2348" t="s">
        <v>1434</v>
      </c>
      <c r="E2348" t="s">
        <v>1446</v>
      </c>
      <c r="F2348" s="853" t="s">
        <v>526</v>
      </c>
      <c r="G2348" s="913">
        <v>138000</v>
      </c>
      <c r="H2348" t="s">
        <v>5614</v>
      </c>
    </row>
    <row r="2349" spans="2:8">
      <c r="B2349" s="871">
        <v>46276</v>
      </c>
      <c r="C2349" t="s">
        <v>2480</v>
      </c>
      <c r="D2349" t="s">
        <v>1434</v>
      </c>
      <c r="E2349" t="s">
        <v>1446</v>
      </c>
      <c r="F2349" s="853" t="s">
        <v>527</v>
      </c>
      <c r="H2349" t="s">
        <v>5615</v>
      </c>
    </row>
    <row r="2350" spans="2:8">
      <c r="B2350" s="871">
        <v>46276</v>
      </c>
      <c r="C2350" t="s">
        <v>2480</v>
      </c>
      <c r="D2350" t="s">
        <v>1434</v>
      </c>
      <c r="E2350" t="s">
        <v>1446</v>
      </c>
      <c r="F2350" s="853" t="s">
        <v>528</v>
      </c>
      <c r="G2350" s="913">
        <v>171122</v>
      </c>
      <c r="H2350" t="s">
        <v>5616</v>
      </c>
    </row>
    <row r="2351" spans="2:8">
      <c r="B2351" s="871">
        <v>46276</v>
      </c>
      <c r="C2351" t="s">
        <v>2480</v>
      </c>
      <c r="D2351" t="s">
        <v>1410</v>
      </c>
      <c r="E2351" t="s">
        <v>3435</v>
      </c>
      <c r="F2351" s="853" t="s">
        <v>526</v>
      </c>
      <c r="G2351" s="913" t="s">
        <v>1586</v>
      </c>
      <c r="H2351" t="s">
        <v>5617</v>
      </c>
    </row>
    <row r="2352" spans="2:8">
      <c r="B2352" s="871">
        <v>46276</v>
      </c>
      <c r="C2352" t="s">
        <v>2480</v>
      </c>
      <c r="D2352" t="s">
        <v>1410</v>
      </c>
      <c r="E2352" t="s">
        <v>3435</v>
      </c>
      <c r="F2352" s="853" t="s">
        <v>527</v>
      </c>
      <c r="G2352" s="913" t="s">
        <v>1213</v>
      </c>
      <c r="H2352" t="s">
        <v>5618</v>
      </c>
    </row>
    <row r="2353" spans="2:8">
      <c r="B2353" s="871">
        <v>46276</v>
      </c>
      <c r="C2353" t="s">
        <v>2480</v>
      </c>
      <c r="D2353" t="s">
        <v>1410</v>
      </c>
      <c r="E2353" t="s">
        <v>3435</v>
      </c>
      <c r="F2353" s="853" t="s">
        <v>528</v>
      </c>
      <c r="G2353" s="913" t="s">
        <v>1586</v>
      </c>
      <c r="H2353" t="s">
        <v>5619</v>
      </c>
    </row>
    <row r="2354" spans="2:8">
      <c r="B2354" s="871">
        <v>46276</v>
      </c>
      <c r="C2354" t="s">
        <v>2480</v>
      </c>
      <c r="D2354" t="s">
        <v>1434</v>
      </c>
      <c r="E2354" t="s">
        <v>3439</v>
      </c>
      <c r="F2354" s="853" t="s">
        <v>526</v>
      </c>
      <c r="H2354" t="s">
        <v>5620</v>
      </c>
    </row>
    <row r="2355" spans="2:8">
      <c r="B2355" s="871">
        <v>46276</v>
      </c>
      <c r="C2355" t="s">
        <v>2480</v>
      </c>
      <c r="D2355" t="s">
        <v>1434</v>
      </c>
      <c r="E2355" t="s">
        <v>3439</v>
      </c>
      <c r="F2355" s="853" t="s">
        <v>527</v>
      </c>
      <c r="H2355" t="s">
        <v>5621</v>
      </c>
    </row>
    <row r="2356" spans="2:8">
      <c r="B2356" s="871">
        <v>46276</v>
      </c>
      <c r="C2356" t="s">
        <v>2480</v>
      </c>
      <c r="D2356" t="s">
        <v>1434</v>
      </c>
      <c r="E2356" t="s">
        <v>3439</v>
      </c>
      <c r="F2356" s="853" t="s">
        <v>528</v>
      </c>
      <c r="H2356" t="s">
        <v>5622</v>
      </c>
    </row>
    <row r="2357" spans="2:8">
      <c r="B2357" s="871">
        <v>46276</v>
      </c>
      <c r="C2357" t="s">
        <v>2480</v>
      </c>
      <c r="D2357" t="s">
        <v>1410</v>
      </c>
      <c r="E2357" t="s">
        <v>3443</v>
      </c>
      <c r="F2357" s="853" t="s">
        <v>526</v>
      </c>
      <c r="H2357" t="s">
        <v>5623</v>
      </c>
    </row>
    <row r="2358" spans="2:8">
      <c r="B2358" s="871">
        <v>46276</v>
      </c>
      <c r="C2358" t="s">
        <v>2480</v>
      </c>
      <c r="D2358" t="s">
        <v>1410</v>
      </c>
      <c r="E2358" t="s">
        <v>3443</v>
      </c>
      <c r="F2358" s="853" t="s">
        <v>527</v>
      </c>
      <c r="G2358" s="913">
        <v>125</v>
      </c>
      <c r="H2358" t="s">
        <v>5624</v>
      </c>
    </row>
    <row r="2359" spans="2:8">
      <c r="B2359" s="871">
        <v>46276</v>
      </c>
      <c r="C2359" t="s">
        <v>2480</v>
      </c>
      <c r="D2359" t="s">
        <v>1410</v>
      </c>
      <c r="E2359" t="s">
        <v>3443</v>
      </c>
      <c r="F2359" s="853" t="s">
        <v>528</v>
      </c>
      <c r="H2359" t="s">
        <v>5625</v>
      </c>
    </row>
    <row r="2360" spans="2:8">
      <c r="B2360" s="871">
        <v>46276</v>
      </c>
      <c r="C2360" t="s">
        <v>2480</v>
      </c>
      <c r="D2360" t="s">
        <v>1434</v>
      </c>
      <c r="E2360" t="s">
        <v>3447</v>
      </c>
      <c r="F2360" s="853" t="s">
        <v>526</v>
      </c>
      <c r="H2360" t="s">
        <v>5626</v>
      </c>
    </row>
    <row r="2361" spans="2:8">
      <c r="B2361" s="871">
        <v>46276</v>
      </c>
      <c r="C2361" t="s">
        <v>2480</v>
      </c>
      <c r="D2361" t="s">
        <v>1434</v>
      </c>
      <c r="E2361" t="s">
        <v>3447</v>
      </c>
      <c r="F2361" s="853" t="s">
        <v>527</v>
      </c>
      <c r="H2361" t="s">
        <v>5627</v>
      </c>
    </row>
    <row r="2362" spans="2:8">
      <c r="B2362" s="871">
        <v>46276</v>
      </c>
      <c r="C2362" t="s">
        <v>2480</v>
      </c>
      <c r="D2362" t="s">
        <v>1434</v>
      </c>
      <c r="E2362" t="s">
        <v>3447</v>
      </c>
      <c r="F2362" s="853" t="s">
        <v>528</v>
      </c>
      <c r="H2362" t="s">
        <v>5628</v>
      </c>
    </row>
    <row r="2363" spans="2:8">
      <c r="B2363" s="871">
        <v>46276</v>
      </c>
      <c r="C2363" t="s">
        <v>2480</v>
      </c>
      <c r="D2363" t="s">
        <v>1410</v>
      </c>
      <c r="E2363" t="s">
        <v>3451</v>
      </c>
      <c r="F2363" s="853" t="s">
        <v>526</v>
      </c>
      <c r="H2363" t="s">
        <v>5629</v>
      </c>
    </row>
    <row r="2364" spans="2:8">
      <c r="B2364" s="871">
        <v>46276</v>
      </c>
      <c r="C2364" t="s">
        <v>2480</v>
      </c>
      <c r="D2364" t="s">
        <v>1410</v>
      </c>
      <c r="E2364" t="s">
        <v>3451</v>
      </c>
      <c r="F2364" s="853" t="s">
        <v>527</v>
      </c>
      <c r="G2364" s="913">
        <v>1240</v>
      </c>
      <c r="H2364" t="s">
        <v>5630</v>
      </c>
    </row>
    <row r="2365" spans="2:8">
      <c r="B2365" s="871">
        <v>46276</v>
      </c>
      <c r="C2365" t="s">
        <v>2480</v>
      </c>
      <c r="D2365" t="s">
        <v>1410</v>
      </c>
      <c r="E2365" t="s">
        <v>3451</v>
      </c>
      <c r="F2365" s="853" t="s">
        <v>528</v>
      </c>
      <c r="H2365" t="s">
        <v>5631</v>
      </c>
    </row>
    <row r="2366" spans="2:8">
      <c r="B2366" s="871">
        <v>46276</v>
      </c>
      <c r="C2366" t="s">
        <v>2480</v>
      </c>
      <c r="D2366" t="s">
        <v>1434</v>
      </c>
      <c r="E2366" t="s">
        <v>3455</v>
      </c>
      <c r="F2366" s="853" t="s">
        <v>526</v>
      </c>
      <c r="H2366" t="s">
        <v>5632</v>
      </c>
    </row>
    <row r="2367" spans="2:8">
      <c r="B2367" s="871">
        <v>46276</v>
      </c>
      <c r="C2367" t="s">
        <v>2480</v>
      </c>
      <c r="D2367" t="s">
        <v>1434</v>
      </c>
      <c r="E2367" t="s">
        <v>3455</v>
      </c>
      <c r="F2367" s="853" t="s">
        <v>527</v>
      </c>
      <c r="H2367" t="s">
        <v>5633</v>
      </c>
    </row>
    <row r="2368" spans="2:8">
      <c r="B2368" s="871">
        <v>46276</v>
      </c>
      <c r="C2368" t="s">
        <v>2480</v>
      </c>
      <c r="D2368" t="s">
        <v>1434</v>
      </c>
      <c r="E2368" t="s">
        <v>3455</v>
      </c>
      <c r="F2368" s="853" t="s">
        <v>528</v>
      </c>
      <c r="H2368" t="s">
        <v>5634</v>
      </c>
    </row>
    <row r="2369" spans="2:8">
      <c r="B2369" s="871">
        <v>46276</v>
      </c>
      <c r="C2369" t="s">
        <v>2480</v>
      </c>
      <c r="D2369" t="s">
        <v>1410</v>
      </c>
      <c r="E2369" t="s">
        <v>3459</v>
      </c>
      <c r="F2369" s="853" t="s">
        <v>526</v>
      </c>
      <c r="G2369" s="913">
        <v>28</v>
      </c>
      <c r="H2369" t="s">
        <v>5635</v>
      </c>
    </row>
    <row r="2370" spans="2:8">
      <c r="B2370" s="871">
        <v>46276</v>
      </c>
      <c r="C2370" t="s">
        <v>2480</v>
      </c>
      <c r="D2370" t="s">
        <v>1410</v>
      </c>
      <c r="E2370" t="s">
        <v>3459</v>
      </c>
      <c r="F2370" s="853" t="s">
        <v>527</v>
      </c>
      <c r="G2370" s="913">
        <v>24.7</v>
      </c>
      <c r="H2370" t="s">
        <v>5636</v>
      </c>
    </row>
    <row r="2371" spans="2:8">
      <c r="B2371" s="871">
        <v>46276</v>
      </c>
      <c r="C2371" t="s">
        <v>2480</v>
      </c>
      <c r="D2371" t="s">
        <v>1410</v>
      </c>
      <c r="E2371" t="s">
        <v>3459</v>
      </c>
      <c r="F2371" s="853" t="s">
        <v>528</v>
      </c>
      <c r="G2371" s="913">
        <v>29</v>
      </c>
      <c r="H2371" t="s">
        <v>5637</v>
      </c>
    </row>
    <row r="2372" spans="2:8">
      <c r="B2372" s="871">
        <v>46276</v>
      </c>
      <c r="C2372" t="s">
        <v>2480</v>
      </c>
      <c r="D2372" t="s">
        <v>1434</v>
      </c>
      <c r="E2372" t="s">
        <v>3463</v>
      </c>
      <c r="F2372" s="853" t="s">
        <v>526</v>
      </c>
      <c r="H2372" t="s">
        <v>5638</v>
      </c>
    </row>
    <row r="2373" spans="2:8">
      <c r="B2373" s="871">
        <v>46276</v>
      </c>
      <c r="C2373" t="s">
        <v>2480</v>
      </c>
      <c r="D2373" t="s">
        <v>1434</v>
      </c>
      <c r="E2373" t="s">
        <v>3463</v>
      </c>
      <c r="F2373" s="853" t="s">
        <v>527</v>
      </c>
      <c r="H2373" t="s">
        <v>5639</v>
      </c>
    </row>
    <row r="2374" spans="2:8">
      <c r="B2374" s="871">
        <v>46276</v>
      </c>
      <c r="C2374" t="s">
        <v>2480</v>
      </c>
      <c r="D2374" t="s">
        <v>1434</v>
      </c>
      <c r="E2374" t="s">
        <v>3463</v>
      </c>
      <c r="F2374" s="853" t="s">
        <v>528</v>
      </c>
      <c r="H2374" t="s">
        <v>5640</v>
      </c>
    </row>
    <row r="2375" spans="2:8">
      <c r="B2375" s="871">
        <v>46276</v>
      </c>
      <c r="C2375" t="s">
        <v>2480</v>
      </c>
      <c r="D2375" t="s">
        <v>1410</v>
      </c>
      <c r="E2375" t="s">
        <v>3467</v>
      </c>
      <c r="F2375" s="853" t="s">
        <v>526</v>
      </c>
      <c r="G2375" s="913">
        <v>28</v>
      </c>
      <c r="H2375" t="s">
        <v>5641</v>
      </c>
    </row>
    <row r="2376" spans="2:8">
      <c r="B2376" s="871">
        <v>46276</v>
      </c>
      <c r="C2376" t="s">
        <v>2480</v>
      </c>
      <c r="D2376" t="s">
        <v>1410</v>
      </c>
      <c r="E2376" t="s">
        <v>3467</v>
      </c>
      <c r="F2376" s="853" t="s">
        <v>527</v>
      </c>
      <c r="H2376" t="s">
        <v>5642</v>
      </c>
    </row>
    <row r="2377" spans="2:8">
      <c r="B2377" s="871">
        <v>46276</v>
      </c>
      <c r="C2377" t="s">
        <v>2480</v>
      </c>
      <c r="D2377" t="s">
        <v>1410</v>
      </c>
      <c r="E2377" t="s">
        <v>3467</v>
      </c>
      <c r="F2377" s="853" t="s">
        <v>528</v>
      </c>
      <c r="G2377" s="913">
        <v>29</v>
      </c>
      <c r="H2377" t="s">
        <v>5643</v>
      </c>
    </row>
    <row r="2378" spans="2:8">
      <c r="B2378" s="871">
        <v>46276</v>
      </c>
      <c r="C2378" t="s">
        <v>2480</v>
      </c>
      <c r="D2378" t="s">
        <v>1434</v>
      </c>
      <c r="E2378" t="s">
        <v>3471</v>
      </c>
      <c r="F2378" s="853" t="s">
        <v>526</v>
      </c>
      <c r="H2378" t="s">
        <v>5644</v>
      </c>
    </row>
    <row r="2379" spans="2:8">
      <c r="B2379" s="871">
        <v>46276</v>
      </c>
      <c r="C2379" t="s">
        <v>2480</v>
      </c>
      <c r="D2379" t="s">
        <v>1434</v>
      </c>
      <c r="E2379" t="s">
        <v>3471</v>
      </c>
      <c r="F2379" s="853" t="s">
        <v>527</v>
      </c>
      <c r="H2379" t="s">
        <v>5645</v>
      </c>
    </row>
    <row r="2380" spans="2:8">
      <c r="B2380" s="871">
        <v>46276</v>
      </c>
      <c r="C2380" t="s">
        <v>2480</v>
      </c>
      <c r="D2380" t="s">
        <v>1434</v>
      </c>
      <c r="E2380" t="s">
        <v>3471</v>
      </c>
      <c r="F2380" s="853" t="s">
        <v>528</v>
      </c>
      <c r="H2380" t="s">
        <v>5646</v>
      </c>
    </row>
    <row r="2381" spans="2:8">
      <c r="B2381" s="871">
        <v>46276</v>
      </c>
      <c r="C2381" t="s">
        <v>2480</v>
      </c>
      <c r="D2381" t="s">
        <v>1410</v>
      </c>
      <c r="E2381" t="s">
        <v>3475</v>
      </c>
      <c r="F2381" s="853" t="s">
        <v>526</v>
      </c>
      <c r="G2381" s="913">
        <v>19</v>
      </c>
      <c r="H2381" t="s">
        <v>5647</v>
      </c>
    </row>
    <row r="2382" spans="2:8">
      <c r="B2382" s="871">
        <v>46276</v>
      </c>
      <c r="C2382" t="s">
        <v>2480</v>
      </c>
      <c r="D2382" t="s">
        <v>1410</v>
      </c>
      <c r="E2382" t="s">
        <v>3475</v>
      </c>
      <c r="F2382" s="853" t="s">
        <v>527</v>
      </c>
      <c r="G2382" s="913">
        <v>19.5</v>
      </c>
      <c r="H2382" t="s">
        <v>5648</v>
      </c>
    </row>
    <row r="2383" spans="2:8">
      <c r="B2383" s="871">
        <v>46276</v>
      </c>
      <c r="C2383" t="s">
        <v>2480</v>
      </c>
      <c r="D2383" t="s">
        <v>1410</v>
      </c>
      <c r="E2383" t="s">
        <v>3475</v>
      </c>
      <c r="F2383" s="853" t="s">
        <v>528</v>
      </c>
      <c r="G2383" s="913">
        <v>18</v>
      </c>
      <c r="H2383" t="s">
        <v>5649</v>
      </c>
    </row>
    <row r="2384" spans="2:8">
      <c r="B2384" s="871">
        <v>46276</v>
      </c>
      <c r="C2384" t="s">
        <v>2480</v>
      </c>
      <c r="D2384" t="s">
        <v>1434</v>
      </c>
      <c r="E2384" t="s">
        <v>3479</v>
      </c>
      <c r="F2384" s="853" t="s">
        <v>526</v>
      </c>
      <c r="H2384" t="s">
        <v>5650</v>
      </c>
    </row>
    <row r="2385" spans="2:8">
      <c r="B2385" s="871">
        <v>46276</v>
      </c>
      <c r="C2385" t="s">
        <v>2480</v>
      </c>
      <c r="D2385" t="s">
        <v>1434</v>
      </c>
      <c r="E2385" t="s">
        <v>3479</v>
      </c>
      <c r="F2385" s="853" t="s">
        <v>527</v>
      </c>
      <c r="H2385" t="s">
        <v>5651</v>
      </c>
    </row>
    <row r="2386" spans="2:8">
      <c r="B2386" s="871">
        <v>46276</v>
      </c>
      <c r="C2386" t="s">
        <v>2480</v>
      </c>
      <c r="D2386" t="s">
        <v>1434</v>
      </c>
      <c r="E2386" t="s">
        <v>3479</v>
      </c>
      <c r="F2386" s="853" t="s">
        <v>528</v>
      </c>
      <c r="H2386" t="s">
        <v>5652</v>
      </c>
    </row>
    <row r="2387" spans="2:8">
      <c r="B2387" s="871">
        <v>46276</v>
      </c>
      <c r="C2387" t="s">
        <v>2480</v>
      </c>
      <c r="D2387" t="s">
        <v>1410</v>
      </c>
      <c r="E2387" t="s">
        <v>3483</v>
      </c>
      <c r="F2387" s="853" t="s">
        <v>526</v>
      </c>
      <c r="G2387" s="913">
        <v>5</v>
      </c>
      <c r="H2387" t="s">
        <v>5653</v>
      </c>
    </row>
    <row r="2388" spans="2:8">
      <c r="B2388" s="871">
        <v>46276</v>
      </c>
      <c r="C2388" t="s">
        <v>2480</v>
      </c>
      <c r="D2388" t="s">
        <v>1410</v>
      </c>
      <c r="E2388" t="s">
        <v>3483</v>
      </c>
      <c r="F2388" s="853" t="s">
        <v>527</v>
      </c>
      <c r="G2388" s="913">
        <v>5</v>
      </c>
      <c r="H2388" t="s">
        <v>5654</v>
      </c>
    </row>
    <row r="2389" spans="2:8">
      <c r="B2389" s="871">
        <v>46276</v>
      </c>
      <c r="C2389" t="s">
        <v>2480</v>
      </c>
      <c r="D2389" t="s">
        <v>1410</v>
      </c>
      <c r="E2389" t="s">
        <v>3483</v>
      </c>
      <c r="F2389" s="853" t="s">
        <v>528</v>
      </c>
      <c r="G2389" s="913">
        <v>5</v>
      </c>
      <c r="H2389" t="s">
        <v>5655</v>
      </c>
    </row>
    <row r="2390" spans="2:8">
      <c r="B2390" s="871">
        <v>46277</v>
      </c>
      <c r="C2390" t="s">
        <v>2481</v>
      </c>
      <c r="D2390" t="s">
        <v>1375</v>
      </c>
      <c r="E2390" t="s">
        <v>1377</v>
      </c>
      <c r="F2390" s="853" t="s">
        <v>526</v>
      </c>
      <c r="G2390" s="913" t="s">
        <v>1622</v>
      </c>
      <c r="H2390" t="s">
        <v>5656</v>
      </c>
    </row>
    <row r="2391" spans="2:8">
      <c r="B2391" s="871">
        <v>46277</v>
      </c>
      <c r="C2391" t="s">
        <v>2481</v>
      </c>
      <c r="D2391" t="s">
        <v>1375</v>
      </c>
      <c r="E2391" t="s">
        <v>1377</v>
      </c>
      <c r="F2391" s="853" t="s">
        <v>527</v>
      </c>
      <c r="G2391" s="913" t="s">
        <v>1622</v>
      </c>
      <c r="H2391" t="s">
        <v>5657</v>
      </c>
    </row>
    <row r="2392" spans="2:8">
      <c r="B2392" s="871">
        <v>46277</v>
      </c>
      <c r="C2392" t="s">
        <v>2481</v>
      </c>
      <c r="D2392" t="s">
        <v>1375</v>
      </c>
      <c r="E2392" t="s">
        <v>1377</v>
      </c>
      <c r="F2392" s="853" t="s">
        <v>528</v>
      </c>
      <c r="G2392" s="913" t="s">
        <v>1378</v>
      </c>
      <c r="H2392" t="s">
        <v>5658</v>
      </c>
    </row>
    <row r="2393" spans="2:8">
      <c r="B2393" s="871">
        <v>46277</v>
      </c>
      <c r="C2393" t="s">
        <v>2481</v>
      </c>
      <c r="D2393" t="s">
        <v>1376</v>
      </c>
      <c r="E2393" t="s">
        <v>1379</v>
      </c>
      <c r="F2393" s="853" t="s">
        <v>526</v>
      </c>
      <c r="H2393" t="s">
        <v>5659</v>
      </c>
    </row>
    <row r="2394" spans="2:8">
      <c r="B2394" s="871">
        <v>46277</v>
      </c>
      <c r="C2394" t="s">
        <v>2481</v>
      </c>
      <c r="D2394" t="s">
        <v>1376</v>
      </c>
      <c r="E2394" t="s">
        <v>1379</v>
      </c>
      <c r="F2394" s="853" t="s">
        <v>527</v>
      </c>
      <c r="H2394" t="s">
        <v>5660</v>
      </c>
    </row>
    <row r="2395" spans="2:8">
      <c r="B2395" s="871">
        <v>46277</v>
      </c>
      <c r="C2395" t="s">
        <v>2481</v>
      </c>
      <c r="D2395" t="s">
        <v>1376</v>
      </c>
      <c r="E2395" t="s">
        <v>1379</v>
      </c>
      <c r="F2395" s="853" t="s">
        <v>528</v>
      </c>
      <c r="H2395" t="s">
        <v>5661</v>
      </c>
    </row>
    <row r="2396" spans="2:8">
      <c r="B2396" s="871">
        <v>46277</v>
      </c>
      <c r="C2396" t="s">
        <v>2481</v>
      </c>
      <c r="D2396" t="s">
        <v>1375</v>
      </c>
      <c r="E2396" t="s">
        <v>1380</v>
      </c>
      <c r="F2396" s="853" t="s">
        <v>526</v>
      </c>
      <c r="G2396" s="913" t="s">
        <v>1739</v>
      </c>
      <c r="H2396" t="s">
        <v>5662</v>
      </c>
    </row>
    <row r="2397" spans="2:8">
      <c r="B2397" s="871">
        <v>46277</v>
      </c>
      <c r="C2397" t="s">
        <v>2481</v>
      </c>
      <c r="D2397" t="s">
        <v>1375</v>
      </c>
      <c r="E2397" t="s">
        <v>1380</v>
      </c>
      <c r="F2397" s="853" t="s">
        <v>527</v>
      </c>
      <c r="G2397" s="913" t="s">
        <v>1739</v>
      </c>
      <c r="H2397" t="s">
        <v>5663</v>
      </c>
    </row>
    <row r="2398" spans="2:8">
      <c r="B2398" s="871">
        <v>46277</v>
      </c>
      <c r="C2398" t="s">
        <v>2481</v>
      </c>
      <c r="D2398" t="s">
        <v>1375</v>
      </c>
      <c r="E2398" t="s">
        <v>1380</v>
      </c>
      <c r="F2398" s="853" t="s">
        <v>528</v>
      </c>
      <c r="G2398" s="913" t="s">
        <v>1860</v>
      </c>
      <c r="H2398" t="s">
        <v>5664</v>
      </c>
    </row>
    <row r="2399" spans="2:8">
      <c r="B2399" s="871">
        <v>46277</v>
      </c>
      <c r="C2399" t="s">
        <v>2481</v>
      </c>
      <c r="D2399" t="s">
        <v>1376</v>
      </c>
      <c r="E2399" t="s">
        <v>1383</v>
      </c>
      <c r="F2399" s="853" t="s">
        <v>526</v>
      </c>
      <c r="G2399" s="913">
        <v>0</v>
      </c>
      <c r="H2399" t="s">
        <v>5665</v>
      </c>
    </row>
    <row r="2400" spans="2:8">
      <c r="B2400" s="871">
        <v>46277</v>
      </c>
      <c r="C2400" t="s">
        <v>2481</v>
      </c>
      <c r="D2400" t="s">
        <v>1376</v>
      </c>
      <c r="E2400" t="s">
        <v>1383</v>
      </c>
      <c r="F2400" s="853" t="s">
        <v>527</v>
      </c>
      <c r="G2400" s="913">
        <v>0</v>
      </c>
      <c r="H2400" t="s">
        <v>5666</v>
      </c>
    </row>
    <row r="2401" spans="2:8">
      <c r="B2401" s="871">
        <v>46277</v>
      </c>
      <c r="C2401" t="s">
        <v>2481</v>
      </c>
      <c r="D2401" t="s">
        <v>1376</v>
      </c>
      <c r="E2401" t="s">
        <v>1383</v>
      </c>
      <c r="F2401" s="853" t="s">
        <v>528</v>
      </c>
      <c r="G2401" s="913">
        <v>0</v>
      </c>
      <c r="H2401" t="s">
        <v>5667</v>
      </c>
    </row>
    <row r="2402" spans="2:8">
      <c r="B2402" s="871">
        <v>46277</v>
      </c>
      <c r="C2402" t="s">
        <v>2481</v>
      </c>
      <c r="D2402" t="s">
        <v>1375</v>
      </c>
      <c r="E2402" t="s">
        <v>54</v>
      </c>
      <c r="F2402" s="853" t="s">
        <v>526</v>
      </c>
      <c r="H2402" t="s">
        <v>5668</v>
      </c>
    </row>
    <row r="2403" spans="2:8">
      <c r="B2403" s="871">
        <v>46277</v>
      </c>
      <c r="C2403" t="s">
        <v>2481</v>
      </c>
      <c r="D2403" t="s">
        <v>1375</v>
      </c>
      <c r="E2403" t="s">
        <v>54</v>
      </c>
      <c r="F2403" s="853" t="s">
        <v>527</v>
      </c>
      <c r="H2403" t="s">
        <v>5669</v>
      </c>
    </row>
    <row r="2404" spans="2:8">
      <c r="B2404" s="871">
        <v>46277</v>
      </c>
      <c r="C2404" t="s">
        <v>2481</v>
      </c>
      <c r="D2404" t="s">
        <v>1375</v>
      </c>
      <c r="E2404" t="s">
        <v>54</v>
      </c>
      <c r="F2404" s="853" t="s">
        <v>528</v>
      </c>
      <c r="H2404" t="s">
        <v>5670</v>
      </c>
    </row>
    <row r="2405" spans="2:8">
      <c r="B2405" s="871">
        <v>46277</v>
      </c>
      <c r="C2405" t="s">
        <v>2481</v>
      </c>
      <c r="D2405" t="s">
        <v>1376</v>
      </c>
      <c r="E2405" t="s">
        <v>1384</v>
      </c>
      <c r="F2405" s="853" t="s">
        <v>526</v>
      </c>
      <c r="G2405" s="913">
        <v>0.36</v>
      </c>
      <c r="H2405" t="s">
        <v>5671</v>
      </c>
    </row>
    <row r="2406" spans="2:8">
      <c r="B2406" s="871">
        <v>46277</v>
      </c>
      <c r="C2406" t="s">
        <v>2481</v>
      </c>
      <c r="D2406" t="s">
        <v>1376</v>
      </c>
      <c r="E2406" t="s">
        <v>1384</v>
      </c>
      <c r="F2406" s="853" t="s">
        <v>527</v>
      </c>
      <c r="G2406" s="913">
        <v>0.4</v>
      </c>
      <c r="H2406" t="s">
        <v>5672</v>
      </c>
    </row>
    <row r="2407" spans="2:8">
      <c r="B2407" s="871">
        <v>46277</v>
      </c>
      <c r="C2407" t="s">
        <v>2481</v>
      </c>
      <c r="D2407" t="s">
        <v>1376</v>
      </c>
      <c r="E2407" t="s">
        <v>1384</v>
      </c>
      <c r="F2407" s="853" t="s">
        <v>528</v>
      </c>
      <c r="G2407" s="913">
        <v>0.5</v>
      </c>
      <c r="H2407" t="s">
        <v>5673</v>
      </c>
    </row>
    <row r="2408" spans="2:8">
      <c r="B2408" s="871">
        <v>46277</v>
      </c>
      <c r="C2408" t="s">
        <v>2481</v>
      </c>
      <c r="D2408" t="s">
        <v>1375</v>
      </c>
      <c r="E2408" t="s">
        <v>1385</v>
      </c>
      <c r="F2408" s="853" t="s">
        <v>526</v>
      </c>
      <c r="G2408" s="913">
        <v>0</v>
      </c>
      <c r="H2408" t="s">
        <v>5674</v>
      </c>
    </row>
    <row r="2409" spans="2:8">
      <c r="B2409" s="871">
        <v>46277</v>
      </c>
      <c r="C2409" t="s">
        <v>2481</v>
      </c>
      <c r="D2409" t="s">
        <v>1375</v>
      </c>
      <c r="E2409" t="s">
        <v>1385</v>
      </c>
      <c r="F2409" s="853" t="s">
        <v>527</v>
      </c>
      <c r="G2409" s="913">
        <v>655</v>
      </c>
      <c r="H2409" t="s">
        <v>5675</v>
      </c>
    </row>
    <row r="2410" spans="2:8">
      <c r="B2410" s="871">
        <v>46277</v>
      </c>
      <c r="C2410" t="s">
        <v>2481</v>
      </c>
      <c r="D2410" t="s">
        <v>1375</v>
      </c>
      <c r="E2410" t="s">
        <v>1385</v>
      </c>
      <c r="F2410" s="853" t="s">
        <v>528</v>
      </c>
      <c r="G2410" s="913">
        <v>1871</v>
      </c>
      <c r="H2410" t="s">
        <v>5676</v>
      </c>
    </row>
    <row r="2411" spans="2:8">
      <c r="B2411" s="871">
        <v>46277</v>
      </c>
      <c r="C2411" t="s">
        <v>2481</v>
      </c>
      <c r="D2411" t="s">
        <v>1376</v>
      </c>
      <c r="E2411" t="s">
        <v>1386</v>
      </c>
      <c r="F2411" s="853" t="s">
        <v>526</v>
      </c>
      <c r="G2411" s="913">
        <v>0.5</v>
      </c>
      <c r="H2411" t="s">
        <v>5677</v>
      </c>
    </row>
    <row r="2412" spans="2:8">
      <c r="B2412" s="871">
        <v>46277</v>
      </c>
      <c r="C2412" t="s">
        <v>2481</v>
      </c>
      <c r="D2412" t="s">
        <v>1376</v>
      </c>
      <c r="E2412" t="s">
        <v>1386</v>
      </c>
      <c r="F2412" s="853" t="s">
        <v>527</v>
      </c>
      <c r="G2412" s="913">
        <v>0.3</v>
      </c>
      <c r="H2412" t="s">
        <v>5678</v>
      </c>
    </row>
    <row r="2413" spans="2:8">
      <c r="B2413" s="871">
        <v>46277</v>
      </c>
      <c r="C2413" t="s">
        <v>2481</v>
      </c>
      <c r="D2413" t="s">
        <v>1376</v>
      </c>
      <c r="E2413" t="s">
        <v>1386</v>
      </c>
      <c r="F2413" s="853" t="s">
        <v>528</v>
      </c>
      <c r="G2413" s="913">
        <v>0.44</v>
      </c>
      <c r="H2413" t="s">
        <v>5679</v>
      </c>
    </row>
    <row r="2414" spans="2:8">
      <c r="B2414" s="871">
        <v>46277</v>
      </c>
      <c r="C2414" t="s">
        <v>2481</v>
      </c>
      <c r="D2414" t="s">
        <v>1376</v>
      </c>
      <c r="E2414" t="s">
        <v>1387</v>
      </c>
      <c r="F2414" s="853" t="s">
        <v>526</v>
      </c>
      <c r="H2414" t="s">
        <v>5680</v>
      </c>
    </row>
    <row r="2415" spans="2:8">
      <c r="B2415" s="871">
        <v>46277</v>
      </c>
      <c r="C2415" t="s">
        <v>2481</v>
      </c>
      <c r="D2415" t="s">
        <v>1376</v>
      </c>
      <c r="E2415" t="s">
        <v>1387</v>
      </c>
      <c r="F2415" s="853" t="s">
        <v>527</v>
      </c>
      <c r="G2415" s="913">
        <v>8.1999999999999993</v>
      </c>
      <c r="H2415" t="s">
        <v>5681</v>
      </c>
    </row>
    <row r="2416" spans="2:8">
      <c r="B2416" s="871">
        <v>46277</v>
      </c>
      <c r="C2416" t="s">
        <v>2481</v>
      </c>
      <c r="D2416" t="s">
        <v>1376</v>
      </c>
      <c r="E2416" t="s">
        <v>1387</v>
      </c>
      <c r="F2416" s="853" t="s">
        <v>528</v>
      </c>
      <c r="G2416" s="913">
        <v>8.4</v>
      </c>
      <c r="H2416" t="s">
        <v>5682</v>
      </c>
    </row>
    <row r="2417" spans="2:8">
      <c r="B2417" s="871">
        <v>46277</v>
      </c>
      <c r="C2417" t="s">
        <v>2481</v>
      </c>
      <c r="D2417" t="s">
        <v>1375</v>
      </c>
      <c r="E2417" t="s">
        <v>1388</v>
      </c>
      <c r="F2417" s="853" t="s">
        <v>526</v>
      </c>
      <c r="H2417" t="s">
        <v>5683</v>
      </c>
    </row>
    <row r="2418" spans="2:8">
      <c r="B2418" s="871">
        <v>46277</v>
      </c>
      <c r="C2418" t="s">
        <v>2481</v>
      </c>
      <c r="D2418" t="s">
        <v>1375</v>
      </c>
      <c r="E2418" t="s">
        <v>1388</v>
      </c>
      <c r="F2418" s="853" t="s">
        <v>527</v>
      </c>
      <c r="H2418" t="s">
        <v>5684</v>
      </c>
    </row>
    <row r="2419" spans="2:8">
      <c r="B2419" s="871">
        <v>46277</v>
      </c>
      <c r="C2419" t="s">
        <v>2481</v>
      </c>
      <c r="D2419" t="s">
        <v>1375</v>
      </c>
      <c r="E2419" t="s">
        <v>1388</v>
      </c>
      <c r="F2419" s="853" t="s">
        <v>528</v>
      </c>
      <c r="H2419" t="s">
        <v>5685</v>
      </c>
    </row>
    <row r="2420" spans="2:8">
      <c r="B2420" s="871">
        <v>46277</v>
      </c>
      <c r="C2420" t="s">
        <v>2481</v>
      </c>
      <c r="D2420" t="s">
        <v>1376</v>
      </c>
      <c r="E2420" t="s">
        <v>1389</v>
      </c>
      <c r="F2420" s="853" t="s">
        <v>526</v>
      </c>
      <c r="H2420" t="s">
        <v>5686</v>
      </c>
    </row>
    <row r="2421" spans="2:8">
      <c r="B2421" s="871">
        <v>46277</v>
      </c>
      <c r="C2421" t="s">
        <v>2481</v>
      </c>
      <c r="D2421" t="s">
        <v>1376</v>
      </c>
      <c r="E2421" t="s">
        <v>1389</v>
      </c>
      <c r="F2421" s="853" t="s">
        <v>527</v>
      </c>
      <c r="H2421" t="s">
        <v>5687</v>
      </c>
    </row>
    <row r="2422" spans="2:8">
      <c r="B2422" s="871">
        <v>46277</v>
      </c>
      <c r="C2422" t="s">
        <v>2481</v>
      </c>
      <c r="D2422" t="s">
        <v>1376</v>
      </c>
      <c r="E2422" t="s">
        <v>1389</v>
      </c>
      <c r="F2422" s="853" t="s">
        <v>528</v>
      </c>
      <c r="G2422" s="913">
        <v>61.2</v>
      </c>
      <c r="H2422" t="s">
        <v>5688</v>
      </c>
    </row>
    <row r="2423" spans="2:8">
      <c r="B2423" s="871">
        <v>46277</v>
      </c>
      <c r="C2423" t="s">
        <v>2481</v>
      </c>
      <c r="D2423" t="s">
        <v>1375</v>
      </c>
      <c r="E2423" t="s">
        <v>3266</v>
      </c>
      <c r="F2423" s="853" t="s">
        <v>526</v>
      </c>
      <c r="G2423" s="913">
        <v>1</v>
      </c>
      <c r="H2423" t="s">
        <v>5689</v>
      </c>
    </row>
    <row r="2424" spans="2:8">
      <c r="B2424" s="871">
        <v>46277</v>
      </c>
      <c r="C2424" t="s">
        <v>2481</v>
      </c>
      <c r="D2424" t="s">
        <v>1375</v>
      </c>
      <c r="E2424" t="s">
        <v>3266</v>
      </c>
      <c r="F2424" s="853" t="s">
        <v>527</v>
      </c>
      <c r="G2424" s="913">
        <v>2</v>
      </c>
      <c r="H2424" t="s">
        <v>5690</v>
      </c>
    </row>
    <row r="2425" spans="2:8">
      <c r="B2425" s="871">
        <v>46277</v>
      </c>
      <c r="C2425" t="s">
        <v>2481</v>
      </c>
      <c r="D2425" t="s">
        <v>1375</v>
      </c>
      <c r="E2425" t="s">
        <v>3266</v>
      </c>
      <c r="F2425" s="853" t="s">
        <v>528</v>
      </c>
      <c r="G2425" s="913">
        <v>1</v>
      </c>
      <c r="H2425" t="s">
        <v>5691</v>
      </c>
    </row>
    <row r="2426" spans="2:8">
      <c r="B2426" s="871">
        <v>46277</v>
      </c>
      <c r="C2426" t="s">
        <v>2481</v>
      </c>
      <c r="D2426" t="s">
        <v>1376</v>
      </c>
      <c r="E2426" t="s">
        <v>1390</v>
      </c>
      <c r="F2426" s="853" t="s">
        <v>526</v>
      </c>
      <c r="H2426" t="s">
        <v>5692</v>
      </c>
    </row>
    <row r="2427" spans="2:8">
      <c r="B2427" s="871">
        <v>46277</v>
      </c>
      <c r="C2427" t="s">
        <v>2481</v>
      </c>
      <c r="D2427" t="s">
        <v>1376</v>
      </c>
      <c r="E2427" t="s">
        <v>1390</v>
      </c>
      <c r="F2427" s="853" t="s">
        <v>527</v>
      </c>
      <c r="H2427" t="s">
        <v>5693</v>
      </c>
    </row>
    <row r="2428" spans="2:8">
      <c r="B2428" s="871">
        <v>46277</v>
      </c>
      <c r="C2428" t="s">
        <v>2481</v>
      </c>
      <c r="D2428" t="s">
        <v>1376</v>
      </c>
      <c r="E2428" t="s">
        <v>1390</v>
      </c>
      <c r="F2428" s="853" t="s">
        <v>528</v>
      </c>
      <c r="G2428" s="913">
        <v>2.9399999999999999E-3</v>
      </c>
      <c r="H2428" t="s">
        <v>5694</v>
      </c>
    </row>
    <row r="2429" spans="2:8">
      <c r="B2429" s="871">
        <v>46277</v>
      </c>
      <c r="C2429" t="s">
        <v>2481</v>
      </c>
      <c r="D2429" t="s">
        <v>1375</v>
      </c>
      <c r="E2429" t="s">
        <v>3273</v>
      </c>
      <c r="F2429" s="853" t="s">
        <v>526</v>
      </c>
      <c r="G2429" s="913">
        <v>1</v>
      </c>
      <c r="H2429" t="s">
        <v>5695</v>
      </c>
    </row>
    <row r="2430" spans="2:8">
      <c r="B2430" s="871">
        <v>46277</v>
      </c>
      <c r="C2430" t="s">
        <v>2481</v>
      </c>
      <c r="D2430" t="s">
        <v>1375</v>
      </c>
      <c r="E2430" t="s">
        <v>3273</v>
      </c>
      <c r="F2430" s="853" t="s">
        <v>527</v>
      </c>
      <c r="G2430" s="913">
        <v>2</v>
      </c>
      <c r="H2430" t="s">
        <v>5696</v>
      </c>
    </row>
    <row r="2431" spans="2:8">
      <c r="B2431" s="871">
        <v>46277</v>
      </c>
      <c r="C2431" t="s">
        <v>2481</v>
      </c>
      <c r="D2431" t="s">
        <v>1375</v>
      </c>
      <c r="E2431" t="s">
        <v>3273</v>
      </c>
      <c r="F2431" s="853" t="s">
        <v>528</v>
      </c>
      <c r="G2431" s="913">
        <v>1</v>
      </c>
      <c r="H2431" t="s">
        <v>5697</v>
      </c>
    </row>
    <row r="2432" spans="2:8">
      <c r="B2432" s="871">
        <v>46277</v>
      </c>
      <c r="C2432" t="s">
        <v>2481</v>
      </c>
      <c r="D2432" t="s">
        <v>1376</v>
      </c>
      <c r="E2432" t="s">
        <v>1391</v>
      </c>
      <c r="F2432" s="853" t="s">
        <v>526</v>
      </c>
      <c r="H2432" t="s">
        <v>5698</v>
      </c>
    </row>
    <row r="2433" spans="2:8">
      <c r="B2433" s="871">
        <v>46277</v>
      </c>
      <c r="C2433" t="s">
        <v>2481</v>
      </c>
      <c r="D2433" t="s">
        <v>1376</v>
      </c>
      <c r="E2433" t="s">
        <v>1391</v>
      </c>
      <c r="F2433" s="853" t="s">
        <v>527</v>
      </c>
      <c r="H2433" t="s">
        <v>5699</v>
      </c>
    </row>
    <row r="2434" spans="2:8">
      <c r="B2434" s="871">
        <v>46277</v>
      </c>
      <c r="C2434" t="s">
        <v>2481</v>
      </c>
      <c r="D2434" t="s">
        <v>1376</v>
      </c>
      <c r="E2434" t="s">
        <v>1391</v>
      </c>
      <c r="F2434" s="853" t="s">
        <v>528</v>
      </c>
      <c r="G2434" s="913">
        <v>0</v>
      </c>
      <c r="H2434" t="s">
        <v>5700</v>
      </c>
    </row>
    <row r="2435" spans="2:8">
      <c r="B2435" s="871">
        <v>46277</v>
      </c>
      <c r="C2435" t="s">
        <v>2481</v>
      </c>
      <c r="D2435" t="s">
        <v>1375</v>
      </c>
      <c r="E2435" t="s">
        <v>3280</v>
      </c>
      <c r="F2435" s="853" t="s">
        <v>526</v>
      </c>
      <c r="G2435" s="913">
        <v>1</v>
      </c>
      <c r="H2435" t="s">
        <v>5701</v>
      </c>
    </row>
    <row r="2436" spans="2:8">
      <c r="B2436" s="871">
        <v>46277</v>
      </c>
      <c r="C2436" t="s">
        <v>2481</v>
      </c>
      <c r="D2436" t="s">
        <v>1375</v>
      </c>
      <c r="E2436" t="s">
        <v>3280</v>
      </c>
      <c r="F2436" s="853" t="s">
        <v>527</v>
      </c>
      <c r="G2436" s="913">
        <v>2</v>
      </c>
      <c r="H2436" t="s">
        <v>5702</v>
      </c>
    </row>
    <row r="2437" spans="2:8">
      <c r="B2437" s="871">
        <v>46277</v>
      </c>
      <c r="C2437" t="s">
        <v>2481</v>
      </c>
      <c r="D2437" t="s">
        <v>1375</v>
      </c>
      <c r="E2437" t="s">
        <v>3280</v>
      </c>
      <c r="F2437" s="853" t="s">
        <v>528</v>
      </c>
      <c r="G2437" s="913">
        <v>1</v>
      </c>
      <c r="H2437" t="s">
        <v>5703</v>
      </c>
    </row>
    <row r="2438" spans="2:8">
      <c r="B2438" s="871">
        <v>46277</v>
      </c>
      <c r="C2438" t="s">
        <v>2481</v>
      </c>
      <c r="D2438" t="s">
        <v>1376</v>
      </c>
      <c r="E2438" t="s">
        <v>1392</v>
      </c>
      <c r="F2438" s="853" t="s">
        <v>526</v>
      </c>
      <c r="G2438" s="913">
        <v>0</v>
      </c>
      <c r="H2438" t="s">
        <v>5704</v>
      </c>
    </row>
    <row r="2439" spans="2:8">
      <c r="B2439" s="871">
        <v>46277</v>
      </c>
      <c r="C2439" t="s">
        <v>2481</v>
      </c>
      <c r="D2439" t="s">
        <v>1376</v>
      </c>
      <c r="E2439" t="s">
        <v>1392</v>
      </c>
      <c r="F2439" s="853" t="s">
        <v>527</v>
      </c>
      <c r="H2439" t="s">
        <v>5705</v>
      </c>
    </row>
    <row r="2440" spans="2:8">
      <c r="B2440" s="871">
        <v>46277</v>
      </c>
      <c r="C2440" t="s">
        <v>2481</v>
      </c>
      <c r="D2440" t="s">
        <v>1376</v>
      </c>
      <c r="E2440" t="s">
        <v>1392</v>
      </c>
      <c r="F2440" s="853" t="s">
        <v>528</v>
      </c>
      <c r="H2440" t="s">
        <v>5706</v>
      </c>
    </row>
    <row r="2441" spans="2:8">
      <c r="B2441" s="871">
        <v>46277</v>
      </c>
      <c r="C2441" t="s">
        <v>2481</v>
      </c>
      <c r="D2441" t="s">
        <v>1375</v>
      </c>
      <c r="E2441" t="s">
        <v>3287</v>
      </c>
      <c r="F2441" s="853" t="s">
        <v>526</v>
      </c>
      <c r="G2441" s="913">
        <v>1</v>
      </c>
      <c r="H2441" t="s">
        <v>5707</v>
      </c>
    </row>
    <row r="2442" spans="2:8">
      <c r="B2442" s="871">
        <v>46277</v>
      </c>
      <c r="C2442" t="s">
        <v>2481</v>
      </c>
      <c r="D2442" t="s">
        <v>1375</v>
      </c>
      <c r="E2442" t="s">
        <v>3287</v>
      </c>
      <c r="F2442" s="853" t="s">
        <v>527</v>
      </c>
      <c r="G2442" s="913">
        <v>1</v>
      </c>
      <c r="H2442" t="s">
        <v>5708</v>
      </c>
    </row>
    <row r="2443" spans="2:8">
      <c r="B2443" s="871">
        <v>46277</v>
      </c>
      <c r="C2443" t="s">
        <v>2481</v>
      </c>
      <c r="D2443" t="s">
        <v>1375</v>
      </c>
      <c r="E2443" t="s">
        <v>3287</v>
      </c>
      <c r="F2443" s="853" t="s">
        <v>528</v>
      </c>
      <c r="G2443" s="913">
        <v>1</v>
      </c>
      <c r="H2443" t="s">
        <v>5709</v>
      </c>
    </row>
    <row r="2444" spans="2:8">
      <c r="B2444" s="871">
        <v>46277</v>
      </c>
      <c r="C2444" t="s">
        <v>2481</v>
      </c>
      <c r="D2444" t="s">
        <v>1376</v>
      </c>
      <c r="E2444" t="s">
        <v>453</v>
      </c>
      <c r="F2444" s="853" t="s">
        <v>526</v>
      </c>
      <c r="H2444" t="s">
        <v>5710</v>
      </c>
    </row>
    <row r="2445" spans="2:8">
      <c r="B2445" s="871">
        <v>46277</v>
      </c>
      <c r="C2445" t="s">
        <v>2481</v>
      </c>
      <c r="D2445" t="s">
        <v>1376</v>
      </c>
      <c r="E2445" t="s">
        <v>453</v>
      </c>
      <c r="F2445" s="853" t="s">
        <v>527</v>
      </c>
      <c r="H2445" t="s">
        <v>5711</v>
      </c>
    </row>
    <row r="2446" spans="2:8">
      <c r="B2446" s="871">
        <v>46277</v>
      </c>
      <c r="C2446" t="s">
        <v>2481</v>
      </c>
      <c r="D2446" t="s">
        <v>1376</v>
      </c>
      <c r="E2446" t="s">
        <v>453</v>
      </c>
      <c r="F2446" s="853" t="s">
        <v>528</v>
      </c>
      <c r="H2446" t="s">
        <v>5712</v>
      </c>
    </row>
    <row r="2447" spans="2:8">
      <c r="B2447" s="871">
        <v>46277</v>
      </c>
      <c r="C2447" t="s">
        <v>2481</v>
      </c>
      <c r="D2447" t="s">
        <v>1375</v>
      </c>
      <c r="E2447" t="s">
        <v>3291</v>
      </c>
      <c r="F2447" s="853" t="s">
        <v>526</v>
      </c>
      <c r="G2447" s="913">
        <v>1</v>
      </c>
      <c r="H2447" t="s">
        <v>5713</v>
      </c>
    </row>
    <row r="2448" spans="2:8">
      <c r="B2448" s="871">
        <v>46277</v>
      </c>
      <c r="C2448" t="s">
        <v>2481</v>
      </c>
      <c r="D2448" t="s">
        <v>1375</v>
      </c>
      <c r="E2448" t="s">
        <v>3291</v>
      </c>
      <c r="F2448" s="853" t="s">
        <v>527</v>
      </c>
      <c r="G2448" s="913">
        <v>2</v>
      </c>
      <c r="H2448" t="s">
        <v>5714</v>
      </c>
    </row>
    <row r="2449" spans="2:8">
      <c r="B2449" s="871">
        <v>46277</v>
      </c>
      <c r="C2449" t="s">
        <v>2481</v>
      </c>
      <c r="D2449" t="s">
        <v>1375</v>
      </c>
      <c r="E2449" t="s">
        <v>3291</v>
      </c>
      <c r="F2449" s="853" t="s">
        <v>528</v>
      </c>
      <c r="G2449" s="913">
        <v>1</v>
      </c>
      <c r="H2449" t="s">
        <v>5715</v>
      </c>
    </row>
    <row r="2450" spans="2:8">
      <c r="B2450" s="871">
        <v>46277</v>
      </c>
      <c r="C2450" t="s">
        <v>2481</v>
      </c>
      <c r="D2450" t="s">
        <v>1376</v>
      </c>
      <c r="E2450" t="s">
        <v>1394</v>
      </c>
      <c r="F2450" s="853" t="s">
        <v>526</v>
      </c>
      <c r="G2450" s="913" t="s">
        <v>1701</v>
      </c>
      <c r="H2450" t="s">
        <v>5716</v>
      </c>
    </row>
    <row r="2451" spans="2:8">
      <c r="B2451" s="871">
        <v>46277</v>
      </c>
      <c r="C2451" t="s">
        <v>2481</v>
      </c>
      <c r="D2451" t="s">
        <v>1376</v>
      </c>
      <c r="E2451" t="s">
        <v>1394</v>
      </c>
      <c r="F2451" s="853" t="s">
        <v>527</v>
      </c>
      <c r="G2451" s="913" t="s">
        <v>1534</v>
      </c>
      <c r="H2451" t="s">
        <v>5717</v>
      </c>
    </row>
    <row r="2452" spans="2:8">
      <c r="B2452" s="871">
        <v>46277</v>
      </c>
      <c r="C2452" t="s">
        <v>2481</v>
      </c>
      <c r="D2452" t="s">
        <v>1376</v>
      </c>
      <c r="E2452" t="s">
        <v>1394</v>
      </c>
      <c r="F2452" s="853" t="s">
        <v>528</v>
      </c>
      <c r="G2452" s="913" t="s">
        <v>1861</v>
      </c>
      <c r="H2452" t="s">
        <v>5718</v>
      </c>
    </row>
    <row r="2453" spans="2:8">
      <c r="B2453" s="871">
        <v>46277</v>
      </c>
      <c r="C2453" t="s">
        <v>2481</v>
      </c>
      <c r="D2453" t="s">
        <v>1375</v>
      </c>
      <c r="E2453" t="s">
        <v>3298</v>
      </c>
      <c r="F2453" s="853" t="s">
        <v>526</v>
      </c>
      <c r="G2453" s="913">
        <v>1</v>
      </c>
      <c r="H2453" t="s">
        <v>5719</v>
      </c>
    </row>
    <row r="2454" spans="2:8">
      <c r="B2454" s="871">
        <v>46277</v>
      </c>
      <c r="C2454" t="s">
        <v>2481</v>
      </c>
      <c r="D2454" t="s">
        <v>1375</v>
      </c>
      <c r="E2454" t="s">
        <v>3298</v>
      </c>
      <c r="F2454" s="853" t="s">
        <v>527</v>
      </c>
      <c r="G2454" s="913">
        <v>2</v>
      </c>
      <c r="H2454" t="s">
        <v>5720</v>
      </c>
    </row>
    <row r="2455" spans="2:8">
      <c r="B2455" s="871">
        <v>46277</v>
      </c>
      <c r="C2455" t="s">
        <v>2481</v>
      </c>
      <c r="D2455" t="s">
        <v>1375</v>
      </c>
      <c r="E2455" t="s">
        <v>3298</v>
      </c>
      <c r="F2455" s="853" t="s">
        <v>528</v>
      </c>
      <c r="G2455" s="913">
        <v>1</v>
      </c>
      <c r="H2455" t="s">
        <v>5721</v>
      </c>
    </row>
    <row r="2456" spans="2:8">
      <c r="B2456" s="871">
        <v>46277</v>
      </c>
      <c r="C2456" t="s">
        <v>2481</v>
      </c>
      <c r="D2456" t="s">
        <v>1376</v>
      </c>
      <c r="E2456" t="s">
        <v>1398</v>
      </c>
      <c r="F2456" s="853" t="s">
        <v>526</v>
      </c>
      <c r="G2456" s="913">
        <v>11</v>
      </c>
      <c r="H2456" t="s">
        <v>5722</v>
      </c>
    </row>
    <row r="2457" spans="2:8">
      <c r="B2457" s="871">
        <v>46277</v>
      </c>
      <c r="C2457" t="s">
        <v>2481</v>
      </c>
      <c r="D2457" t="s">
        <v>1376</v>
      </c>
      <c r="E2457" t="s">
        <v>1398</v>
      </c>
      <c r="F2457" s="853" t="s">
        <v>527</v>
      </c>
      <c r="G2457" s="913">
        <v>11</v>
      </c>
      <c r="H2457" t="s">
        <v>5723</v>
      </c>
    </row>
    <row r="2458" spans="2:8">
      <c r="B2458" s="871">
        <v>46277</v>
      </c>
      <c r="C2458" t="s">
        <v>2481</v>
      </c>
      <c r="D2458" t="s">
        <v>1376</v>
      </c>
      <c r="E2458" t="s">
        <v>1398</v>
      </c>
      <c r="F2458" s="853" t="s">
        <v>528</v>
      </c>
      <c r="G2458" s="913">
        <v>10</v>
      </c>
      <c r="H2458" t="s">
        <v>5724</v>
      </c>
    </row>
    <row r="2459" spans="2:8">
      <c r="B2459" s="871">
        <v>46277</v>
      </c>
      <c r="C2459" t="s">
        <v>2481</v>
      </c>
      <c r="D2459" t="s">
        <v>1375</v>
      </c>
      <c r="E2459" t="s">
        <v>3305</v>
      </c>
      <c r="F2459" s="853" t="s">
        <v>526</v>
      </c>
      <c r="G2459" s="913">
        <v>1</v>
      </c>
      <c r="H2459" t="s">
        <v>5725</v>
      </c>
    </row>
    <row r="2460" spans="2:8">
      <c r="B2460" s="871">
        <v>46277</v>
      </c>
      <c r="C2460" t="s">
        <v>2481</v>
      </c>
      <c r="D2460" t="s">
        <v>1375</v>
      </c>
      <c r="E2460" t="s">
        <v>3305</v>
      </c>
      <c r="F2460" s="853" t="s">
        <v>527</v>
      </c>
      <c r="G2460" s="913">
        <v>2</v>
      </c>
      <c r="H2460" t="s">
        <v>5726</v>
      </c>
    </row>
    <row r="2461" spans="2:8">
      <c r="B2461" s="871">
        <v>46277</v>
      </c>
      <c r="C2461" t="s">
        <v>2481</v>
      </c>
      <c r="D2461" t="s">
        <v>1375</v>
      </c>
      <c r="E2461" t="s">
        <v>3305</v>
      </c>
      <c r="F2461" s="853" t="s">
        <v>528</v>
      </c>
      <c r="G2461" s="913">
        <v>1</v>
      </c>
      <c r="H2461" t="s">
        <v>5727</v>
      </c>
    </row>
    <row r="2462" spans="2:8">
      <c r="B2462" s="871">
        <v>46277</v>
      </c>
      <c r="C2462" t="s">
        <v>2481</v>
      </c>
      <c r="D2462" t="s">
        <v>1376</v>
      </c>
      <c r="E2462" t="s">
        <v>1399</v>
      </c>
      <c r="F2462" s="853" t="s">
        <v>526</v>
      </c>
      <c r="G2462" s="913">
        <v>12</v>
      </c>
      <c r="H2462" t="s">
        <v>5728</v>
      </c>
    </row>
    <row r="2463" spans="2:8">
      <c r="B2463" s="871">
        <v>46277</v>
      </c>
      <c r="C2463" t="s">
        <v>2481</v>
      </c>
      <c r="D2463" t="s">
        <v>1376</v>
      </c>
      <c r="E2463" t="s">
        <v>1399</v>
      </c>
      <c r="F2463" s="853" t="s">
        <v>527</v>
      </c>
      <c r="G2463" s="913">
        <v>12</v>
      </c>
      <c r="H2463" t="s">
        <v>5729</v>
      </c>
    </row>
    <row r="2464" spans="2:8">
      <c r="B2464" s="871">
        <v>46277</v>
      </c>
      <c r="C2464" t="s">
        <v>2481</v>
      </c>
      <c r="D2464" t="s">
        <v>1376</v>
      </c>
      <c r="E2464" t="s">
        <v>1399</v>
      </c>
      <c r="F2464" s="853" t="s">
        <v>528</v>
      </c>
      <c r="G2464" s="913">
        <v>11</v>
      </c>
      <c r="H2464" t="s">
        <v>5730</v>
      </c>
    </row>
    <row r="2465" spans="2:8">
      <c r="B2465" s="871">
        <v>46277</v>
      </c>
      <c r="C2465" t="s">
        <v>2481</v>
      </c>
      <c r="D2465" t="s">
        <v>1375</v>
      </c>
      <c r="E2465" t="s">
        <v>3312</v>
      </c>
      <c r="F2465" s="853" t="s">
        <v>526</v>
      </c>
      <c r="G2465" s="913">
        <v>1</v>
      </c>
      <c r="H2465" t="s">
        <v>5731</v>
      </c>
    </row>
    <row r="2466" spans="2:8">
      <c r="B2466" s="871">
        <v>46277</v>
      </c>
      <c r="C2466" t="s">
        <v>2481</v>
      </c>
      <c r="D2466" t="s">
        <v>1375</v>
      </c>
      <c r="E2466" t="s">
        <v>3312</v>
      </c>
      <c r="F2466" s="853" t="s">
        <v>527</v>
      </c>
      <c r="G2466" s="913">
        <v>2</v>
      </c>
      <c r="H2466" t="s">
        <v>5732</v>
      </c>
    </row>
    <row r="2467" spans="2:8">
      <c r="B2467" s="871">
        <v>46277</v>
      </c>
      <c r="C2467" t="s">
        <v>2481</v>
      </c>
      <c r="D2467" t="s">
        <v>1375</v>
      </c>
      <c r="E2467" t="s">
        <v>3312</v>
      </c>
      <c r="F2467" s="853" t="s">
        <v>528</v>
      </c>
      <c r="G2467" s="913">
        <v>1</v>
      </c>
      <c r="H2467" t="s">
        <v>5733</v>
      </c>
    </row>
    <row r="2468" spans="2:8">
      <c r="B2468" s="871">
        <v>46277</v>
      </c>
      <c r="C2468" t="s">
        <v>2481</v>
      </c>
      <c r="D2468" t="s">
        <v>1376</v>
      </c>
      <c r="E2468" t="s">
        <v>1400</v>
      </c>
      <c r="F2468" s="853" t="s">
        <v>526</v>
      </c>
      <c r="G2468" s="913">
        <v>16</v>
      </c>
      <c r="H2468" t="s">
        <v>5734</v>
      </c>
    </row>
    <row r="2469" spans="2:8">
      <c r="B2469" s="871">
        <v>46277</v>
      </c>
      <c r="C2469" t="s">
        <v>2481</v>
      </c>
      <c r="D2469" t="s">
        <v>1376</v>
      </c>
      <c r="E2469" t="s">
        <v>1400</v>
      </c>
      <c r="F2469" s="853" t="s">
        <v>527</v>
      </c>
      <c r="G2469" s="913">
        <v>16</v>
      </c>
      <c r="H2469" t="s">
        <v>5735</v>
      </c>
    </row>
    <row r="2470" spans="2:8">
      <c r="B2470" s="871">
        <v>46277</v>
      </c>
      <c r="C2470" t="s">
        <v>2481</v>
      </c>
      <c r="D2470" t="s">
        <v>1376</v>
      </c>
      <c r="E2470" t="s">
        <v>1400</v>
      </c>
      <c r="F2470" s="853" t="s">
        <v>528</v>
      </c>
      <c r="G2470" s="913">
        <v>15</v>
      </c>
      <c r="H2470" t="s">
        <v>5736</v>
      </c>
    </row>
    <row r="2471" spans="2:8">
      <c r="B2471" s="871">
        <v>46277</v>
      </c>
      <c r="C2471" t="s">
        <v>2481</v>
      </c>
      <c r="D2471" t="s">
        <v>1375</v>
      </c>
      <c r="E2471" t="s">
        <v>3319</v>
      </c>
      <c r="F2471" s="853" t="s">
        <v>526</v>
      </c>
      <c r="G2471" s="913">
        <v>1</v>
      </c>
      <c r="H2471" t="s">
        <v>5737</v>
      </c>
    </row>
    <row r="2472" spans="2:8">
      <c r="B2472" s="871">
        <v>46277</v>
      </c>
      <c r="C2472" t="s">
        <v>2481</v>
      </c>
      <c r="D2472" t="s">
        <v>1375</v>
      </c>
      <c r="E2472" t="s">
        <v>3319</v>
      </c>
      <c r="F2472" s="853" t="s">
        <v>527</v>
      </c>
      <c r="G2472" s="913">
        <v>4</v>
      </c>
      <c r="H2472" t="s">
        <v>5738</v>
      </c>
    </row>
    <row r="2473" spans="2:8">
      <c r="B2473" s="871">
        <v>46277</v>
      </c>
      <c r="C2473" t="s">
        <v>2481</v>
      </c>
      <c r="D2473" t="s">
        <v>1375</v>
      </c>
      <c r="E2473" t="s">
        <v>3319</v>
      </c>
      <c r="F2473" s="853" t="s">
        <v>528</v>
      </c>
      <c r="G2473" s="913">
        <v>1</v>
      </c>
      <c r="H2473" t="s">
        <v>5739</v>
      </c>
    </row>
    <row r="2474" spans="2:8">
      <c r="B2474" s="871">
        <v>46277</v>
      </c>
      <c r="C2474" t="s">
        <v>2481</v>
      </c>
      <c r="D2474" t="s">
        <v>1376</v>
      </c>
      <c r="E2474" t="s">
        <v>1401</v>
      </c>
      <c r="F2474" s="853" t="s">
        <v>526</v>
      </c>
      <c r="G2474" s="913">
        <v>7.36</v>
      </c>
      <c r="H2474" t="s">
        <v>5740</v>
      </c>
    </row>
    <row r="2475" spans="2:8">
      <c r="B2475" s="871">
        <v>46277</v>
      </c>
      <c r="C2475" t="s">
        <v>2481</v>
      </c>
      <c r="D2475" t="s">
        <v>1376</v>
      </c>
      <c r="E2475" t="s">
        <v>1401</v>
      </c>
      <c r="F2475" s="853" t="s">
        <v>527</v>
      </c>
      <c r="G2475" s="913">
        <v>7.33</v>
      </c>
      <c r="H2475" t="s">
        <v>5741</v>
      </c>
    </row>
    <row r="2476" spans="2:8">
      <c r="B2476" s="871">
        <v>46277</v>
      </c>
      <c r="C2476" t="s">
        <v>2481</v>
      </c>
      <c r="D2476" t="s">
        <v>1376</v>
      </c>
      <c r="E2476" t="s">
        <v>1401</v>
      </c>
      <c r="F2476" s="853" t="s">
        <v>528</v>
      </c>
      <c r="G2476" s="913">
        <v>7.1</v>
      </c>
      <c r="H2476" t="s">
        <v>5742</v>
      </c>
    </row>
    <row r="2477" spans="2:8">
      <c r="B2477" s="871">
        <v>46277</v>
      </c>
      <c r="C2477" t="s">
        <v>2481</v>
      </c>
      <c r="D2477" t="s">
        <v>1375</v>
      </c>
      <c r="E2477" t="s">
        <v>3326</v>
      </c>
      <c r="F2477" s="853" t="s">
        <v>526</v>
      </c>
      <c r="G2477" s="913" t="s">
        <v>1535</v>
      </c>
      <c r="H2477" t="s">
        <v>5743</v>
      </c>
    </row>
    <row r="2478" spans="2:8">
      <c r="B2478" s="871">
        <v>46277</v>
      </c>
      <c r="C2478" t="s">
        <v>2481</v>
      </c>
      <c r="D2478" t="s">
        <v>1375</v>
      </c>
      <c r="E2478" t="s">
        <v>3326</v>
      </c>
      <c r="F2478" s="853" t="s">
        <v>527</v>
      </c>
      <c r="G2478" s="913" t="s">
        <v>1583</v>
      </c>
      <c r="H2478" t="s">
        <v>5744</v>
      </c>
    </row>
    <row r="2479" spans="2:8">
      <c r="B2479" s="871">
        <v>46277</v>
      </c>
      <c r="C2479" t="s">
        <v>2481</v>
      </c>
      <c r="D2479" t="s">
        <v>1375</v>
      </c>
      <c r="E2479" t="s">
        <v>3326</v>
      </c>
      <c r="F2479" s="853" t="s">
        <v>528</v>
      </c>
      <c r="G2479" s="913" t="s">
        <v>1583</v>
      </c>
      <c r="H2479" t="s">
        <v>5745</v>
      </c>
    </row>
    <row r="2480" spans="2:8">
      <c r="B2480" s="871">
        <v>46277</v>
      </c>
      <c r="C2480" t="s">
        <v>2481</v>
      </c>
      <c r="D2480" t="s">
        <v>1376</v>
      </c>
      <c r="E2480" t="s">
        <v>1403</v>
      </c>
      <c r="F2480" s="853" t="s">
        <v>526</v>
      </c>
      <c r="G2480" s="913">
        <v>760</v>
      </c>
      <c r="H2480" t="s">
        <v>5746</v>
      </c>
    </row>
    <row r="2481" spans="2:8">
      <c r="B2481" s="871">
        <v>46277</v>
      </c>
      <c r="C2481" t="s">
        <v>2481</v>
      </c>
      <c r="D2481" t="s">
        <v>1376</v>
      </c>
      <c r="E2481" t="s">
        <v>1403</v>
      </c>
      <c r="F2481" s="853" t="s">
        <v>527</v>
      </c>
      <c r="G2481" s="913">
        <v>560</v>
      </c>
      <c r="H2481" t="s">
        <v>5747</v>
      </c>
    </row>
    <row r="2482" spans="2:8">
      <c r="B2482" s="871">
        <v>46277</v>
      </c>
      <c r="C2482" t="s">
        <v>2481</v>
      </c>
      <c r="D2482" t="s">
        <v>1376</v>
      </c>
      <c r="E2482" t="s">
        <v>1403</v>
      </c>
      <c r="F2482" s="853" t="s">
        <v>528</v>
      </c>
      <c r="G2482" s="913">
        <v>540</v>
      </c>
      <c r="H2482" t="s">
        <v>5748</v>
      </c>
    </row>
    <row r="2483" spans="2:8">
      <c r="B2483" s="871">
        <v>46277</v>
      </c>
      <c r="C2483" t="s">
        <v>2481</v>
      </c>
      <c r="D2483" t="s">
        <v>1376</v>
      </c>
      <c r="E2483" t="s">
        <v>1404</v>
      </c>
      <c r="F2483" s="853" t="s">
        <v>526</v>
      </c>
      <c r="G2483" s="913">
        <v>5.41</v>
      </c>
      <c r="H2483" t="s">
        <v>5749</v>
      </c>
    </row>
    <row r="2484" spans="2:8">
      <c r="B2484" s="871">
        <v>46277</v>
      </c>
      <c r="C2484" t="s">
        <v>2481</v>
      </c>
      <c r="D2484" t="s">
        <v>1376</v>
      </c>
      <c r="E2484" t="s">
        <v>1404</v>
      </c>
      <c r="F2484" s="853" t="s">
        <v>527</v>
      </c>
      <c r="G2484" s="913">
        <v>1.71</v>
      </c>
      <c r="H2484" t="s">
        <v>5750</v>
      </c>
    </row>
    <row r="2485" spans="2:8">
      <c r="B2485" s="871">
        <v>46277</v>
      </c>
      <c r="C2485" t="s">
        <v>2481</v>
      </c>
      <c r="D2485" t="s">
        <v>1376</v>
      </c>
      <c r="E2485" t="s">
        <v>1404</v>
      </c>
      <c r="F2485" s="853" t="s">
        <v>528</v>
      </c>
      <c r="G2485" s="913">
        <v>3.37</v>
      </c>
      <c r="H2485" t="s">
        <v>5751</v>
      </c>
    </row>
    <row r="2486" spans="2:8">
      <c r="B2486" s="871">
        <v>46277</v>
      </c>
      <c r="C2486" t="s">
        <v>2481</v>
      </c>
      <c r="D2486" t="s">
        <v>1375</v>
      </c>
      <c r="E2486" t="s">
        <v>3336</v>
      </c>
      <c r="F2486" s="853" t="s">
        <v>526</v>
      </c>
      <c r="G2486" s="913" t="s">
        <v>1406</v>
      </c>
      <c r="H2486" t="s">
        <v>5752</v>
      </c>
    </row>
    <row r="2487" spans="2:8">
      <c r="B2487" s="871">
        <v>46277</v>
      </c>
      <c r="C2487" t="s">
        <v>2481</v>
      </c>
      <c r="D2487" t="s">
        <v>1375</v>
      </c>
      <c r="E2487" t="s">
        <v>3336</v>
      </c>
      <c r="F2487" s="853" t="s">
        <v>527</v>
      </c>
      <c r="G2487" s="913" t="s">
        <v>1406</v>
      </c>
      <c r="H2487" t="s">
        <v>5753</v>
      </c>
    </row>
    <row r="2488" spans="2:8">
      <c r="B2488" s="871">
        <v>46277</v>
      </c>
      <c r="C2488" t="s">
        <v>2481</v>
      </c>
      <c r="D2488" t="s">
        <v>1375</v>
      </c>
      <c r="E2488" t="s">
        <v>3336</v>
      </c>
      <c r="F2488" s="853" t="s">
        <v>528</v>
      </c>
      <c r="G2488" s="913" t="s">
        <v>1406</v>
      </c>
      <c r="H2488" t="s">
        <v>5754</v>
      </c>
    </row>
    <row r="2489" spans="2:8">
      <c r="B2489" s="871">
        <v>46277</v>
      </c>
      <c r="C2489" t="s">
        <v>2481</v>
      </c>
      <c r="D2489" t="s">
        <v>1376</v>
      </c>
      <c r="E2489" t="s">
        <v>1407</v>
      </c>
      <c r="F2489" s="853" t="s">
        <v>526</v>
      </c>
      <c r="G2489" s="913">
        <v>0</v>
      </c>
      <c r="H2489" t="s">
        <v>5755</v>
      </c>
    </row>
    <row r="2490" spans="2:8">
      <c r="B2490" s="871">
        <v>46277</v>
      </c>
      <c r="C2490" t="s">
        <v>2481</v>
      </c>
      <c r="D2490" t="s">
        <v>1376</v>
      </c>
      <c r="E2490" t="s">
        <v>1407</v>
      </c>
      <c r="F2490" s="853" t="s">
        <v>527</v>
      </c>
      <c r="G2490" s="913">
        <v>425</v>
      </c>
      <c r="H2490" t="s">
        <v>5756</v>
      </c>
    </row>
    <row r="2491" spans="2:8">
      <c r="B2491" s="871">
        <v>46277</v>
      </c>
      <c r="C2491" t="s">
        <v>2481</v>
      </c>
      <c r="D2491" t="s">
        <v>1376</v>
      </c>
      <c r="E2491" t="s">
        <v>1407</v>
      </c>
      <c r="F2491" s="853" t="s">
        <v>528</v>
      </c>
      <c r="G2491" s="913">
        <v>380</v>
      </c>
      <c r="H2491" t="s">
        <v>5757</v>
      </c>
    </row>
    <row r="2492" spans="2:8">
      <c r="B2492" s="871">
        <v>46277</v>
      </c>
      <c r="C2492" t="s">
        <v>2481</v>
      </c>
      <c r="D2492" t="s">
        <v>1376</v>
      </c>
      <c r="E2492" t="s">
        <v>1408</v>
      </c>
      <c r="F2492" s="853" t="s">
        <v>526</v>
      </c>
      <c r="G2492" s="913">
        <v>1096</v>
      </c>
      <c r="H2492" t="s">
        <v>5758</v>
      </c>
    </row>
    <row r="2493" spans="2:8">
      <c r="B2493" s="871">
        <v>46277</v>
      </c>
      <c r="C2493" t="s">
        <v>2481</v>
      </c>
      <c r="D2493" t="s">
        <v>1376</v>
      </c>
      <c r="E2493" t="s">
        <v>1408</v>
      </c>
      <c r="F2493" s="853" t="s">
        <v>527</v>
      </c>
      <c r="G2493" s="913">
        <v>1018</v>
      </c>
      <c r="H2493" t="s">
        <v>5759</v>
      </c>
    </row>
    <row r="2494" spans="2:8">
      <c r="B2494" s="871">
        <v>46277</v>
      </c>
      <c r="C2494" t="s">
        <v>2481</v>
      </c>
      <c r="D2494" t="s">
        <v>1376</v>
      </c>
      <c r="E2494" t="s">
        <v>1408</v>
      </c>
      <c r="F2494" s="853" t="s">
        <v>528</v>
      </c>
      <c r="G2494" s="913">
        <v>1020</v>
      </c>
      <c r="H2494" t="s">
        <v>5760</v>
      </c>
    </row>
    <row r="2495" spans="2:8">
      <c r="B2495" s="871">
        <v>46277</v>
      </c>
      <c r="C2495" t="s">
        <v>2481</v>
      </c>
      <c r="D2495" t="s">
        <v>1409</v>
      </c>
      <c r="E2495" t="s">
        <v>1411</v>
      </c>
      <c r="F2495" s="853" t="s">
        <v>526</v>
      </c>
      <c r="H2495" t="s">
        <v>5761</v>
      </c>
    </row>
    <row r="2496" spans="2:8">
      <c r="B2496" s="871">
        <v>46277</v>
      </c>
      <c r="C2496" t="s">
        <v>2481</v>
      </c>
      <c r="D2496" t="s">
        <v>1409</v>
      </c>
      <c r="E2496" t="s">
        <v>1411</v>
      </c>
      <c r="F2496" s="853" t="s">
        <v>527</v>
      </c>
      <c r="H2496" t="s">
        <v>5762</v>
      </c>
    </row>
    <row r="2497" spans="2:8">
      <c r="B2497" s="871">
        <v>46277</v>
      </c>
      <c r="C2497" t="s">
        <v>2481</v>
      </c>
      <c r="D2497" t="s">
        <v>1409</v>
      </c>
      <c r="E2497" t="s">
        <v>1411</v>
      </c>
      <c r="F2497" s="853" t="s">
        <v>528</v>
      </c>
      <c r="H2497" t="s">
        <v>5763</v>
      </c>
    </row>
    <row r="2498" spans="2:8">
      <c r="B2498" s="871">
        <v>46277</v>
      </c>
      <c r="C2498" t="s">
        <v>2481</v>
      </c>
      <c r="D2498" t="s">
        <v>1409</v>
      </c>
      <c r="E2498" t="s">
        <v>1413</v>
      </c>
      <c r="F2498" s="853" t="s">
        <v>526</v>
      </c>
      <c r="G2498" s="913" t="s">
        <v>1414</v>
      </c>
      <c r="H2498" t="s">
        <v>5764</v>
      </c>
    </row>
    <row r="2499" spans="2:8">
      <c r="B2499" s="871">
        <v>46277</v>
      </c>
      <c r="C2499" t="s">
        <v>2481</v>
      </c>
      <c r="D2499" t="s">
        <v>1409</v>
      </c>
      <c r="E2499" t="s">
        <v>1413</v>
      </c>
      <c r="F2499" s="853" t="s">
        <v>527</v>
      </c>
      <c r="G2499" s="913" t="s">
        <v>1743</v>
      </c>
      <c r="H2499" t="s">
        <v>5765</v>
      </c>
    </row>
    <row r="2500" spans="2:8">
      <c r="B2500" s="871">
        <v>46277</v>
      </c>
      <c r="C2500" t="s">
        <v>2481</v>
      </c>
      <c r="D2500" t="s">
        <v>1409</v>
      </c>
      <c r="E2500" t="s">
        <v>1413</v>
      </c>
      <c r="F2500" s="853" t="s">
        <v>528</v>
      </c>
      <c r="G2500" s="913" t="s">
        <v>1743</v>
      </c>
      <c r="H2500" t="s">
        <v>5766</v>
      </c>
    </row>
    <row r="2501" spans="2:8">
      <c r="B2501" s="871">
        <v>46277</v>
      </c>
      <c r="C2501" t="s">
        <v>2481</v>
      </c>
      <c r="D2501" t="s">
        <v>1410</v>
      </c>
      <c r="E2501" t="s">
        <v>3352</v>
      </c>
      <c r="F2501" s="853" t="s">
        <v>526</v>
      </c>
      <c r="G2501" s="913" t="s">
        <v>1418</v>
      </c>
      <c r="H2501" t="s">
        <v>5767</v>
      </c>
    </row>
    <row r="2502" spans="2:8">
      <c r="B2502" s="871">
        <v>46277</v>
      </c>
      <c r="C2502" t="s">
        <v>2481</v>
      </c>
      <c r="D2502" t="s">
        <v>1410</v>
      </c>
      <c r="E2502" t="s">
        <v>3352</v>
      </c>
      <c r="F2502" s="853" t="s">
        <v>527</v>
      </c>
      <c r="G2502" s="913" t="s">
        <v>1418</v>
      </c>
      <c r="H2502" t="s">
        <v>5768</v>
      </c>
    </row>
    <row r="2503" spans="2:8">
      <c r="B2503" s="871">
        <v>46277</v>
      </c>
      <c r="C2503" t="s">
        <v>2481</v>
      </c>
      <c r="D2503" t="s">
        <v>1410</v>
      </c>
      <c r="E2503" t="s">
        <v>3352</v>
      </c>
      <c r="F2503" s="853" t="s">
        <v>528</v>
      </c>
      <c r="G2503" s="913" t="s">
        <v>1418</v>
      </c>
      <c r="H2503" t="s">
        <v>5769</v>
      </c>
    </row>
    <row r="2504" spans="2:8">
      <c r="B2504" s="871">
        <v>46277</v>
      </c>
      <c r="C2504" t="s">
        <v>2481</v>
      </c>
      <c r="D2504" t="s">
        <v>1409</v>
      </c>
      <c r="E2504" t="s">
        <v>1420</v>
      </c>
      <c r="F2504" s="853" t="s">
        <v>526</v>
      </c>
      <c r="G2504" s="913" t="s">
        <v>1421</v>
      </c>
      <c r="H2504" t="s">
        <v>5770</v>
      </c>
    </row>
    <row r="2505" spans="2:8">
      <c r="B2505" s="871">
        <v>46277</v>
      </c>
      <c r="C2505" t="s">
        <v>2481</v>
      </c>
      <c r="D2505" t="s">
        <v>1409</v>
      </c>
      <c r="E2505" t="s">
        <v>1420</v>
      </c>
      <c r="F2505" s="853" t="s">
        <v>527</v>
      </c>
      <c r="G2505" s="913" t="s">
        <v>1422</v>
      </c>
      <c r="H2505" t="s">
        <v>5771</v>
      </c>
    </row>
    <row r="2506" spans="2:8">
      <c r="B2506" s="871">
        <v>46277</v>
      </c>
      <c r="C2506" t="s">
        <v>2481</v>
      </c>
      <c r="D2506" t="s">
        <v>1409</v>
      </c>
      <c r="E2506" t="s">
        <v>1420</v>
      </c>
      <c r="F2506" s="853" t="s">
        <v>528</v>
      </c>
      <c r="G2506" s="913" t="s">
        <v>1422</v>
      </c>
      <c r="H2506" t="s">
        <v>5772</v>
      </c>
    </row>
    <row r="2507" spans="2:8">
      <c r="B2507" s="871">
        <v>46277</v>
      </c>
      <c r="C2507" t="s">
        <v>2481</v>
      </c>
      <c r="D2507" t="s">
        <v>1410</v>
      </c>
      <c r="E2507" t="s">
        <v>3359</v>
      </c>
      <c r="F2507" s="853" t="s">
        <v>526</v>
      </c>
      <c r="G2507" s="913">
        <v>116</v>
      </c>
      <c r="H2507" t="s">
        <v>5773</v>
      </c>
    </row>
    <row r="2508" spans="2:8">
      <c r="B2508" s="871">
        <v>46277</v>
      </c>
      <c r="C2508" t="s">
        <v>2481</v>
      </c>
      <c r="D2508" t="s">
        <v>1410</v>
      </c>
      <c r="E2508" t="s">
        <v>3359</v>
      </c>
      <c r="F2508" s="853" t="s">
        <v>527</v>
      </c>
      <c r="G2508" s="913">
        <v>121</v>
      </c>
      <c r="H2508" t="s">
        <v>5774</v>
      </c>
    </row>
    <row r="2509" spans="2:8">
      <c r="B2509" s="871">
        <v>46277</v>
      </c>
      <c r="C2509" t="s">
        <v>2481</v>
      </c>
      <c r="D2509" t="s">
        <v>1410</v>
      </c>
      <c r="E2509" t="s">
        <v>3359</v>
      </c>
      <c r="F2509" s="853" t="s">
        <v>528</v>
      </c>
      <c r="G2509" s="913">
        <v>111</v>
      </c>
      <c r="H2509" t="s">
        <v>5775</v>
      </c>
    </row>
    <row r="2510" spans="2:8">
      <c r="B2510" s="871">
        <v>46277</v>
      </c>
      <c r="C2510" t="s">
        <v>2481</v>
      </c>
      <c r="D2510" t="s">
        <v>1409</v>
      </c>
      <c r="E2510" t="s">
        <v>1424</v>
      </c>
      <c r="F2510" s="853" t="s">
        <v>526</v>
      </c>
      <c r="H2510" t="s">
        <v>5776</v>
      </c>
    </row>
    <row r="2511" spans="2:8">
      <c r="B2511" s="871">
        <v>46277</v>
      </c>
      <c r="C2511" t="s">
        <v>2481</v>
      </c>
      <c r="D2511" t="s">
        <v>1409</v>
      </c>
      <c r="E2511" t="s">
        <v>1424</v>
      </c>
      <c r="F2511" s="853" t="s">
        <v>527</v>
      </c>
      <c r="H2511" t="s">
        <v>5777</v>
      </c>
    </row>
    <row r="2512" spans="2:8">
      <c r="B2512" s="871">
        <v>46277</v>
      </c>
      <c r="C2512" t="s">
        <v>2481</v>
      </c>
      <c r="D2512" t="s">
        <v>1409</v>
      </c>
      <c r="E2512" t="s">
        <v>1424</v>
      </c>
      <c r="F2512" s="853" t="s">
        <v>528</v>
      </c>
      <c r="H2512" t="s">
        <v>5778</v>
      </c>
    </row>
    <row r="2513" spans="2:8">
      <c r="B2513" s="871">
        <v>46277</v>
      </c>
      <c r="C2513" t="s">
        <v>2481</v>
      </c>
      <c r="D2513" t="s">
        <v>1410</v>
      </c>
      <c r="E2513" t="s">
        <v>3366</v>
      </c>
      <c r="F2513" s="853" t="s">
        <v>526</v>
      </c>
      <c r="G2513" s="913">
        <v>2613</v>
      </c>
      <c r="H2513" t="s">
        <v>5779</v>
      </c>
    </row>
    <row r="2514" spans="2:8">
      <c r="B2514" s="871">
        <v>46277</v>
      </c>
      <c r="C2514" t="s">
        <v>2481</v>
      </c>
      <c r="D2514" t="s">
        <v>1410</v>
      </c>
      <c r="E2514" t="s">
        <v>3366</v>
      </c>
      <c r="F2514" s="853" t="s">
        <v>527</v>
      </c>
      <c r="G2514" s="913">
        <v>2590</v>
      </c>
      <c r="H2514" t="s">
        <v>5780</v>
      </c>
    </row>
    <row r="2515" spans="2:8">
      <c r="B2515" s="871">
        <v>46277</v>
      </c>
      <c r="C2515" t="s">
        <v>2481</v>
      </c>
      <c r="D2515" t="s">
        <v>1410</v>
      </c>
      <c r="E2515" t="s">
        <v>3366</v>
      </c>
      <c r="F2515" s="853" t="s">
        <v>528</v>
      </c>
      <c r="G2515" s="913">
        <v>2770</v>
      </c>
      <c r="H2515" t="s">
        <v>5781</v>
      </c>
    </row>
    <row r="2516" spans="2:8">
      <c r="B2516" s="871">
        <v>46277</v>
      </c>
      <c r="C2516" t="s">
        <v>2481</v>
      </c>
      <c r="D2516" t="s">
        <v>1410</v>
      </c>
      <c r="E2516" t="s">
        <v>3370</v>
      </c>
      <c r="F2516" s="853" t="s">
        <v>526</v>
      </c>
      <c r="G2516" s="913" t="s">
        <v>1427</v>
      </c>
      <c r="H2516" t="s">
        <v>5782</v>
      </c>
    </row>
    <row r="2517" spans="2:8">
      <c r="B2517" s="871">
        <v>46277</v>
      </c>
      <c r="C2517" t="s">
        <v>2481</v>
      </c>
      <c r="D2517" t="s">
        <v>1410</v>
      </c>
      <c r="E2517" t="s">
        <v>3370</v>
      </c>
      <c r="F2517" s="853" t="s">
        <v>527</v>
      </c>
      <c r="G2517" s="913" t="s">
        <v>1427</v>
      </c>
      <c r="H2517" t="s">
        <v>5783</v>
      </c>
    </row>
    <row r="2518" spans="2:8">
      <c r="B2518" s="871">
        <v>46277</v>
      </c>
      <c r="C2518" t="s">
        <v>2481</v>
      </c>
      <c r="D2518" t="s">
        <v>1410</v>
      </c>
      <c r="E2518" t="s">
        <v>3370</v>
      </c>
      <c r="F2518" s="853" t="s">
        <v>528</v>
      </c>
      <c r="G2518" s="913" t="s">
        <v>1427</v>
      </c>
      <c r="H2518" t="s">
        <v>5784</v>
      </c>
    </row>
    <row r="2519" spans="2:8">
      <c r="B2519" s="871">
        <v>46277</v>
      </c>
      <c r="C2519" t="s">
        <v>2481</v>
      </c>
      <c r="D2519" t="s">
        <v>1410</v>
      </c>
      <c r="E2519" t="s">
        <v>3374</v>
      </c>
      <c r="F2519" s="853" t="s">
        <v>526</v>
      </c>
      <c r="G2519" s="913">
        <v>2.2999999999999998</v>
      </c>
      <c r="H2519" t="s">
        <v>5785</v>
      </c>
    </row>
    <row r="2520" spans="2:8">
      <c r="B2520" s="871">
        <v>46277</v>
      </c>
      <c r="C2520" t="s">
        <v>2481</v>
      </c>
      <c r="D2520" t="s">
        <v>1410</v>
      </c>
      <c r="E2520" t="s">
        <v>3374</v>
      </c>
      <c r="F2520" s="853" t="s">
        <v>527</v>
      </c>
      <c r="G2520" s="913">
        <v>3.2</v>
      </c>
      <c r="H2520" t="s">
        <v>5786</v>
      </c>
    </row>
    <row r="2521" spans="2:8">
      <c r="B2521" s="871">
        <v>46277</v>
      </c>
      <c r="C2521" t="s">
        <v>2481</v>
      </c>
      <c r="D2521" t="s">
        <v>1410</v>
      </c>
      <c r="E2521" t="s">
        <v>3374</v>
      </c>
      <c r="F2521" s="853" t="s">
        <v>528</v>
      </c>
      <c r="G2521" s="913">
        <v>2</v>
      </c>
      <c r="H2521" t="s">
        <v>5787</v>
      </c>
    </row>
    <row r="2522" spans="2:8">
      <c r="B2522" s="871">
        <v>46277</v>
      </c>
      <c r="C2522" t="s">
        <v>2481</v>
      </c>
      <c r="D2522" t="s">
        <v>1410</v>
      </c>
      <c r="E2522" t="s">
        <v>3378</v>
      </c>
      <c r="F2522" s="853" t="s">
        <v>526</v>
      </c>
      <c r="G2522" s="913" t="s">
        <v>1627</v>
      </c>
      <c r="H2522" t="s">
        <v>5788</v>
      </c>
    </row>
    <row r="2523" spans="2:8">
      <c r="B2523" s="871">
        <v>46277</v>
      </c>
      <c r="C2523" t="s">
        <v>2481</v>
      </c>
      <c r="D2523" t="s">
        <v>1410</v>
      </c>
      <c r="E2523" t="s">
        <v>3378</v>
      </c>
      <c r="F2523" s="853" t="s">
        <v>527</v>
      </c>
      <c r="G2523" s="913" t="s">
        <v>1627</v>
      </c>
      <c r="H2523" t="s">
        <v>5789</v>
      </c>
    </row>
    <row r="2524" spans="2:8">
      <c r="B2524" s="871">
        <v>46277</v>
      </c>
      <c r="C2524" t="s">
        <v>2481</v>
      </c>
      <c r="D2524" t="s">
        <v>1410</v>
      </c>
      <c r="E2524" t="s">
        <v>3378</v>
      </c>
      <c r="F2524" s="853" t="s">
        <v>528</v>
      </c>
      <c r="G2524" s="913" t="s">
        <v>1430</v>
      </c>
      <c r="H2524" t="s">
        <v>5790</v>
      </c>
    </row>
    <row r="2525" spans="2:8">
      <c r="B2525" s="871">
        <v>46277</v>
      </c>
      <c r="C2525" t="s">
        <v>2481</v>
      </c>
      <c r="D2525" t="s">
        <v>1410</v>
      </c>
      <c r="E2525" t="s">
        <v>3382</v>
      </c>
      <c r="F2525" s="853" t="s">
        <v>526</v>
      </c>
      <c r="G2525" s="913">
        <v>113</v>
      </c>
      <c r="H2525" t="s">
        <v>5791</v>
      </c>
    </row>
    <row r="2526" spans="2:8">
      <c r="B2526" s="871">
        <v>46277</v>
      </c>
      <c r="C2526" t="s">
        <v>2481</v>
      </c>
      <c r="D2526" t="s">
        <v>1410</v>
      </c>
      <c r="E2526" t="s">
        <v>3382</v>
      </c>
      <c r="F2526" s="853" t="s">
        <v>527</v>
      </c>
      <c r="G2526" s="913">
        <v>112</v>
      </c>
      <c r="H2526" t="s">
        <v>5792</v>
      </c>
    </row>
    <row r="2527" spans="2:8">
      <c r="B2527" s="871">
        <v>46277</v>
      </c>
      <c r="C2527" t="s">
        <v>2481</v>
      </c>
      <c r="D2527" t="s">
        <v>1410</v>
      </c>
      <c r="E2527" t="s">
        <v>3382</v>
      </c>
      <c r="F2527" s="853" t="s">
        <v>528</v>
      </c>
      <c r="G2527" s="913">
        <v>119</v>
      </c>
      <c r="H2527" t="s">
        <v>5793</v>
      </c>
    </row>
    <row r="2528" spans="2:8">
      <c r="B2528" s="871">
        <v>46277</v>
      </c>
      <c r="C2528" t="s">
        <v>2481</v>
      </c>
      <c r="D2528" t="s">
        <v>1409</v>
      </c>
      <c r="E2528" t="s">
        <v>1431</v>
      </c>
      <c r="F2528" s="853" t="s">
        <v>526</v>
      </c>
      <c r="H2528" t="s">
        <v>5794</v>
      </c>
    </row>
    <row r="2529" spans="2:8">
      <c r="B2529" s="871">
        <v>46277</v>
      </c>
      <c r="C2529" t="s">
        <v>2481</v>
      </c>
      <c r="D2529" t="s">
        <v>1409</v>
      </c>
      <c r="E2529" t="s">
        <v>1431</v>
      </c>
      <c r="F2529" s="853" t="s">
        <v>527</v>
      </c>
      <c r="H2529" t="s">
        <v>5795</v>
      </c>
    </row>
    <row r="2530" spans="2:8">
      <c r="B2530" s="871">
        <v>46277</v>
      </c>
      <c r="C2530" t="s">
        <v>2481</v>
      </c>
      <c r="D2530" t="s">
        <v>1409</v>
      </c>
      <c r="E2530" t="s">
        <v>1431</v>
      </c>
      <c r="F2530" s="853" t="s">
        <v>528</v>
      </c>
      <c r="H2530" t="s">
        <v>5796</v>
      </c>
    </row>
    <row r="2531" spans="2:8">
      <c r="B2531" s="871">
        <v>46277</v>
      </c>
      <c r="C2531" t="s">
        <v>2481</v>
      </c>
      <c r="D2531" t="s">
        <v>1410</v>
      </c>
      <c r="E2531" t="s">
        <v>3389</v>
      </c>
      <c r="F2531" s="853" t="s">
        <v>526</v>
      </c>
      <c r="G2531" s="913">
        <v>2994</v>
      </c>
      <c r="H2531" t="s">
        <v>5797</v>
      </c>
    </row>
    <row r="2532" spans="2:8">
      <c r="B2532" s="871">
        <v>46277</v>
      </c>
      <c r="C2532" t="s">
        <v>2481</v>
      </c>
      <c r="D2532" t="s">
        <v>1410</v>
      </c>
      <c r="E2532" t="s">
        <v>3389</v>
      </c>
      <c r="F2532" s="853" t="s">
        <v>527</v>
      </c>
      <c r="G2532" s="913">
        <v>3030</v>
      </c>
      <c r="H2532" t="s">
        <v>5798</v>
      </c>
    </row>
    <row r="2533" spans="2:8">
      <c r="B2533" s="871">
        <v>46277</v>
      </c>
      <c r="C2533" t="s">
        <v>2481</v>
      </c>
      <c r="D2533" t="s">
        <v>1410</v>
      </c>
      <c r="E2533" t="s">
        <v>3389</v>
      </c>
      <c r="F2533" s="853" t="s">
        <v>528</v>
      </c>
      <c r="G2533" s="913">
        <v>2570</v>
      </c>
      <c r="H2533" t="s">
        <v>5799</v>
      </c>
    </row>
    <row r="2534" spans="2:8">
      <c r="B2534" s="871">
        <v>46277</v>
      </c>
      <c r="C2534" t="s">
        <v>2481</v>
      </c>
      <c r="D2534" t="s">
        <v>1410</v>
      </c>
      <c r="E2534" t="s">
        <v>3393</v>
      </c>
      <c r="F2534" s="853" t="s">
        <v>526</v>
      </c>
      <c r="G2534" s="913" t="s">
        <v>1663</v>
      </c>
      <c r="H2534" t="s">
        <v>5800</v>
      </c>
    </row>
    <row r="2535" spans="2:8">
      <c r="B2535" s="871">
        <v>46277</v>
      </c>
      <c r="C2535" t="s">
        <v>2481</v>
      </c>
      <c r="D2535" t="s">
        <v>1410</v>
      </c>
      <c r="E2535" t="s">
        <v>3393</v>
      </c>
      <c r="F2535" s="853" t="s">
        <v>527</v>
      </c>
      <c r="G2535" s="913" t="s">
        <v>1820</v>
      </c>
      <c r="H2535" t="s">
        <v>5801</v>
      </c>
    </row>
    <row r="2536" spans="2:8">
      <c r="B2536" s="871">
        <v>46277</v>
      </c>
      <c r="C2536" t="s">
        <v>2481</v>
      </c>
      <c r="D2536" t="s">
        <v>1410</v>
      </c>
      <c r="E2536" t="s">
        <v>3393</v>
      </c>
      <c r="F2536" s="853" t="s">
        <v>528</v>
      </c>
      <c r="G2536" s="913" t="s">
        <v>1820</v>
      </c>
      <c r="H2536" t="s">
        <v>5802</v>
      </c>
    </row>
    <row r="2537" spans="2:8">
      <c r="B2537" s="871">
        <v>46277</v>
      </c>
      <c r="C2537" t="s">
        <v>2481</v>
      </c>
      <c r="D2537" t="s">
        <v>1410</v>
      </c>
      <c r="E2537" t="s">
        <v>3397</v>
      </c>
      <c r="F2537" s="853" t="s">
        <v>526</v>
      </c>
      <c r="G2537" s="913" t="s">
        <v>1435</v>
      </c>
      <c r="H2537" t="s">
        <v>5803</v>
      </c>
    </row>
    <row r="2538" spans="2:8">
      <c r="B2538" s="871">
        <v>46277</v>
      </c>
      <c r="C2538" t="s">
        <v>2481</v>
      </c>
      <c r="D2538" t="s">
        <v>1410</v>
      </c>
      <c r="E2538" t="s">
        <v>3397</v>
      </c>
      <c r="F2538" s="853" t="s">
        <v>527</v>
      </c>
      <c r="G2538" s="913" t="s">
        <v>1435</v>
      </c>
      <c r="H2538" t="s">
        <v>5804</v>
      </c>
    </row>
    <row r="2539" spans="2:8">
      <c r="B2539" s="871">
        <v>46277</v>
      </c>
      <c r="C2539" t="s">
        <v>2481</v>
      </c>
      <c r="D2539" t="s">
        <v>1410</v>
      </c>
      <c r="E2539" t="s">
        <v>3397</v>
      </c>
      <c r="F2539" s="853" t="s">
        <v>528</v>
      </c>
      <c r="G2539" s="913" t="s">
        <v>1435</v>
      </c>
      <c r="H2539" t="s">
        <v>5805</v>
      </c>
    </row>
    <row r="2540" spans="2:8">
      <c r="B2540" s="871">
        <v>46277</v>
      </c>
      <c r="C2540" t="s">
        <v>2481</v>
      </c>
      <c r="D2540" t="s">
        <v>1434</v>
      </c>
      <c r="E2540" t="s">
        <v>42</v>
      </c>
      <c r="F2540" s="853" t="s">
        <v>526</v>
      </c>
      <c r="G2540" s="913" t="s">
        <v>1862</v>
      </c>
      <c r="H2540" t="s">
        <v>5806</v>
      </c>
    </row>
    <row r="2541" spans="2:8">
      <c r="B2541" s="871">
        <v>46277</v>
      </c>
      <c r="C2541" t="s">
        <v>2481</v>
      </c>
      <c r="D2541" t="s">
        <v>1434</v>
      </c>
      <c r="E2541" t="s">
        <v>42</v>
      </c>
      <c r="F2541" s="853" t="s">
        <v>527</v>
      </c>
      <c r="G2541" s="913" t="s">
        <v>1862</v>
      </c>
      <c r="H2541" t="s">
        <v>5807</v>
      </c>
    </row>
    <row r="2542" spans="2:8">
      <c r="B2542" s="871">
        <v>46277</v>
      </c>
      <c r="C2542" t="s">
        <v>2481</v>
      </c>
      <c r="D2542" t="s">
        <v>1434</v>
      </c>
      <c r="E2542" t="s">
        <v>42</v>
      </c>
      <c r="F2542" s="853" t="s">
        <v>528</v>
      </c>
      <c r="G2542" s="913" t="s">
        <v>1862</v>
      </c>
      <c r="H2542" t="s">
        <v>5808</v>
      </c>
    </row>
    <row r="2543" spans="2:8">
      <c r="B2543" s="871">
        <v>46277</v>
      </c>
      <c r="C2543" t="s">
        <v>2481</v>
      </c>
      <c r="D2543" t="s">
        <v>1410</v>
      </c>
      <c r="E2543" t="s">
        <v>3404</v>
      </c>
      <c r="F2543" s="853" t="s">
        <v>526</v>
      </c>
      <c r="G2543" s="913" t="s">
        <v>1585</v>
      </c>
      <c r="H2543" t="s">
        <v>5809</v>
      </c>
    </row>
    <row r="2544" spans="2:8">
      <c r="B2544" s="871">
        <v>46277</v>
      </c>
      <c r="C2544" t="s">
        <v>2481</v>
      </c>
      <c r="D2544" t="s">
        <v>1410</v>
      </c>
      <c r="E2544" t="s">
        <v>3404</v>
      </c>
      <c r="F2544" s="853" t="s">
        <v>527</v>
      </c>
      <c r="G2544" s="913" t="s">
        <v>1438</v>
      </c>
      <c r="H2544" t="s">
        <v>5810</v>
      </c>
    </row>
    <row r="2545" spans="2:8">
      <c r="B2545" s="871">
        <v>46277</v>
      </c>
      <c r="C2545" t="s">
        <v>2481</v>
      </c>
      <c r="D2545" t="s">
        <v>1410</v>
      </c>
      <c r="E2545" t="s">
        <v>3404</v>
      </c>
      <c r="F2545" s="853" t="s">
        <v>528</v>
      </c>
      <c r="G2545" s="913" t="s">
        <v>1419</v>
      </c>
      <c r="H2545" t="s">
        <v>5811</v>
      </c>
    </row>
    <row r="2546" spans="2:8">
      <c r="B2546" s="871">
        <v>46277</v>
      </c>
      <c r="C2546" t="s">
        <v>2481</v>
      </c>
      <c r="D2546" t="s">
        <v>1434</v>
      </c>
      <c r="E2546" t="s">
        <v>1439</v>
      </c>
      <c r="F2546" s="853" t="s">
        <v>526</v>
      </c>
      <c r="G2546" s="913" t="s">
        <v>1440</v>
      </c>
      <c r="H2546" t="s">
        <v>5812</v>
      </c>
    </row>
    <row r="2547" spans="2:8">
      <c r="B2547" s="871">
        <v>46277</v>
      </c>
      <c r="C2547" t="s">
        <v>2481</v>
      </c>
      <c r="D2547" t="s">
        <v>1434</v>
      </c>
      <c r="E2547" t="s">
        <v>1439</v>
      </c>
      <c r="F2547" s="853" t="s">
        <v>527</v>
      </c>
      <c r="G2547" s="913" t="s">
        <v>1440</v>
      </c>
      <c r="H2547" t="s">
        <v>5813</v>
      </c>
    </row>
    <row r="2548" spans="2:8">
      <c r="B2548" s="871">
        <v>46277</v>
      </c>
      <c r="C2548" t="s">
        <v>2481</v>
      </c>
      <c r="D2548" t="s">
        <v>1434</v>
      </c>
      <c r="E2548" t="s">
        <v>1439</v>
      </c>
      <c r="F2548" s="853" t="s">
        <v>528</v>
      </c>
      <c r="G2548" s="913" t="s">
        <v>1440</v>
      </c>
      <c r="H2548" t="s">
        <v>5814</v>
      </c>
    </row>
    <row r="2549" spans="2:8">
      <c r="B2549" s="871">
        <v>46277</v>
      </c>
      <c r="C2549" t="s">
        <v>2481</v>
      </c>
      <c r="D2549" t="s">
        <v>1410</v>
      </c>
      <c r="E2549" t="s">
        <v>3411</v>
      </c>
      <c r="F2549" s="853" t="s">
        <v>526</v>
      </c>
      <c r="G2549" s="913">
        <v>64</v>
      </c>
      <c r="H2549" t="s">
        <v>5815</v>
      </c>
    </row>
    <row r="2550" spans="2:8">
      <c r="B2550" s="871">
        <v>46277</v>
      </c>
      <c r="C2550" t="s">
        <v>2481</v>
      </c>
      <c r="D2550" t="s">
        <v>1410</v>
      </c>
      <c r="E2550" t="s">
        <v>3411</v>
      </c>
      <c r="F2550" s="853" t="s">
        <v>527</v>
      </c>
      <c r="G2550" s="913">
        <v>67</v>
      </c>
      <c r="H2550" t="s">
        <v>5816</v>
      </c>
    </row>
    <row r="2551" spans="2:8">
      <c r="B2551" s="871">
        <v>46277</v>
      </c>
      <c r="C2551" t="s">
        <v>2481</v>
      </c>
      <c r="D2551" t="s">
        <v>1410</v>
      </c>
      <c r="E2551" t="s">
        <v>3411</v>
      </c>
      <c r="F2551" s="853" t="s">
        <v>528</v>
      </c>
      <c r="G2551" s="913">
        <v>41</v>
      </c>
      <c r="H2551" t="s">
        <v>5817</v>
      </c>
    </row>
    <row r="2552" spans="2:8">
      <c r="B2552" s="871">
        <v>46277</v>
      </c>
      <c r="C2552" t="s">
        <v>2481</v>
      </c>
      <c r="D2552" t="s">
        <v>1434</v>
      </c>
      <c r="E2552" t="s">
        <v>43</v>
      </c>
      <c r="F2552" s="853" t="s">
        <v>526</v>
      </c>
      <c r="G2552" s="913" t="s">
        <v>1863</v>
      </c>
      <c r="H2552" t="s">
        <v>5818</v>
      </c>
    </row>
    <row r="2553" spans="2:8">
      <c r="B2553" s="871">
        <v>46277</v>
      </c>
      <c r="C2553" t="s">
        <v>2481</v>
      </c>
      <c r="D2553" t="s">
        <v>1434</v>
      </c>
      <c r="E2553" t="s">
        <v>43</v>
      </c>
      <c r="F2553" s="853" t="s">
        <v>527</v>
      </c>
      <c r="G2553" s="913" t="s">
        <v>1863</v>
      </c>
      <c r="H2553" t="s">
        <v>5819</v>
      </c>
    </row>
    <row r="2554" spans="2:8">
      <c r="B2554" s="871">
        <v>46277</v>
      </c>
      <c r="C2554" t="s">
        <v>2481</v>
      </c>
      <c r="D2554" t="s">
        <v>1434</v>
      </c>
      <c r="E2554" t="s">
        <v>43</v>
      </c>
      <c r="F2554" s="853" t="s">
        <v>528</v>
      </c>
      <c r="G2554" s="913" t="s">
        <v>1863</v>
      </c>
      <c r="H2554" t="s">
        <v>5820</v>
      </c>
    </row>
    <row r="2555" spans="2:8">
      <c r="B2555" s="871">
        <v>46277</v>
      </c>
      <c r="C2555" t="s">
        <v>2481</v>
      </c>
      <c r="D2555" t="s">
        <v>1410</v>
      </c>
      <c r="E2555" t="s">
        <v>3418</v>
      </c>
      <c r="F2555" s="853" t="s">
        <v>526</v>
      </c>
      <c r="G2555" s="913">
        <v>43</v>
      </c>
      <c r="H2555" t="s">
        <v>5821</v>
      </c>
    </row>
    <row r="2556" spans="2:8">
      <c r="B2556" s="871">
        <v>46277</v>
      </c>
      <c r="C2556" t="s">
        <v>2481</v>
      </c>
      <c r="D2556" t="s">
        <v>1410</v>
      </c>
      <c r="E2556" t="s">
        <v>3418</v>
      </c>
      <c r="F2556" s="853" t="s">
        <v>527</v>
      </c>
      <c r="G2556" s="913">
        <v>67</v>
      </c>
      <c r="H2556" t="s">
        <v>5822</v>
      </c>
    </row>
    <row r="2557" spans="2:8">
      <c r="B2557" s="871">
        <v>46277</v>
      </c>
      <c r="C2557" t="s">
        <v>2481</v>
      </c>
      <c r="D2557" t="s">
        <v>1410</v>
      </c>
      <c r="E2557" t="s">
        <v>3418</v>
      </c>
      <c r="F2557" s="853" t="s">
        <v>528</v>
      </c>
      <c r="G2557" s="913">
        <v>90</v>
      </c>
      <c r="H2557" t="s">
        <v>5823</v>
      </c>
    </row>
    <row r="2558" spans="2:8">
      <c r="B2558" s="871">
        <v>46277</v>
      </c>
      <c r="C2558" t="s">
        <v>2481</v>
      </c>
      <c r="D2558" t="s">
        <v>1434</v>
      </c>
      <c r="E2558" t="s">
        <v>1441</v>
      </c>
      <c r="F2558" s="853" t="s">
        <v>526</v>
      </c>
      <c r="H2558" t="s">
        <v>5824</v>
      </c>
    </row>
    <row r="2559" spans="2:8">
      <c r="B2559" s="871">
        <v>46277</v>
      </c>
      <c r="C2559" t="s">
        <v>2481</v>
      </c>
      <c r="D2559" t="s">
        <v>1434</v>
      </c>
      <c r="E2559" t="s">
        <v>1441</v>
      </c>
      <c r="F2559" s="853" t="s">
        <v>527</v>
      </c>
      <c r="H2559" t="s">
        <v>5825</v>
      </c>
    </row>
    <row r="2560" spans="2:8">
      <c r="B2560" s="871">
        <v>46277</v>
      </c>
      <c r="C2560" t="s">
        <v>2481</v>
      </c>
      <c r="D2560" t="s">
        <v>1434</v>
      </c>
      <c r="E2560" t="s">
        <v>1441</v>
      </c>
      <c r="F2560" s="853" t="s">
        <v>528</v>
      </c>
      <c r="H2560" t="s">
        <v>5826</v>
      </c>
    </row>
    <row r="2561" spans="2:8">
      <c r="B2561" s="871">
        <v>46277</v>
      </c>
      <c r="C2561" t="s">
        <v>2481</v>
      </c>
      <c r="D2561" t="s">
        <v>1410</v>
      </c>
      <c r="E2561" t="s">
        <v>3425</v>
      </c>
      <c r="F2561" s="853" t="s">
        <v>526</v>
      </c>
      <c r="G2561" s="913" t="s">
        <v>1443</v>
      </c>
      <c r="H2561" t="s">
        <v>5827</v>
      </c>
    </row>
    <row r="2562" spans="2:8">
      <c r="B2562" s="871">
        <v>46277</v>
      </c>
      <c r="C2562" t="s">
        <v>2481</v>
      </c>
      <c r="D2562" t="s">
        <v>1410</v>
      </c>
      <c r="E2562" t="s">
        <v>3425</v>
      </c>
      <c r="F2562" s="853" t="s">
        <v>527</v>
      </c>
      <c r="G2562" s="913" t="s">
        <v>1443</v>
      </c>
      <c r="H2562" t="s">
        <v>5828</v>
      </c>
    </row>
    <row r="2563" spans="2:8">
      <c r="B2563" s="871">
        <v>46277</v>
      </c>
      <c r="C2563" t="s">
        <v>2481</v>
      </c>
      <c r="D2563" t="s">
        <v>1410</v>
      </c>
      <c r="E2563" t="s">
        <v>3425</v>
      </c>
      <c r="F2563" s="853" t="s">
        <v>528</v>
      </c>
      <c r="G2563" s="913" t="s">
        <v>1443</v>
      </c>
      <c r="H2563" t="s">
        <v>5829</v>
      </c>
    </row>
    <row r="2564" spans="2:8">
      <c r="B2564" s="871">
        <v>46277</v>
      </c>
      <c r="C2564" t="s">
        <v>2481</v>
      </c>
      <c r="D2564" t="s">
        <v>1434</v>
      </c>
      <c r="E2564" t="s">
        <v>1444</v>
      </c>
      <c r="F2564" s="853" t="s">
        <v>526</v>
      </c>
      <c r="H2564" t="s">
        <v>5830</v>
      </c>
    </row>
    <row r="2565" spans="2:8">
      <c r="B2565" s="871">
        <v>46277</v>
      </c>
      <c r="C2565" t="s">
        <v>2481</v>
      </c>
      <c r="D2565" t="s">
        <v>1434</v>
      </c>
      <c r="E2565" t="s">
        <v>1444</v>
      </c>
      <c r="F2565" s="853" t="s">
        <v>527</v>
      </c>
      <c r="H2565" t="s">
        <v>5831</v>
      </c>
    </row>
    <row r="2566" spans="2:8">
      <c r="B2566" s="871">
        <v>46277</v>
      </c>
      <c r="C2566" t="s">
        <v>2481</v>
      </c>
      <c r="D2566" t="s">
        <v>1434</v>
      </c>
      <c r="E2566" t="s">
        <v>1444</v>
      </c>
      <c r="F2566" s="853" t="s">
        <v>528</v>
      </c>
      <c r="H2566" t="s">
        <v>5832</v>
      </c>
    </row>
    <row r="2567" spans="2:8">
      <c r="B2567" s="871">
        <v>46277</v>
      </c>
      <c r="C2567" t="s">
        <v>2481</v>
      </c>
      <c r="D2567" t="s">
        <v>1434</v>
      </c>
      <c r="E2567" t="s">
        <v>1446</v>
      </c>
      <c r="F2567" s="853" t="s">
        <v>526</v>
      </c>
      <c r="G2567" s="913">
        <v>22500</v>
      </c>
      <c r="H2567" t="s">
        <v>5833</v>
      </c>
    </row>
    <row r="2568" spans="2:8">
      <c r="B2568" s="871">
        <v>46277</v>
      </c>
      <c r="C2568" t="s">
        <v>2481</v>
      </c>
      <c r="D2568" t="s">
        <v>1434</v>
      </c>
      <c r="E2568" t="s">
        <v>1446</v>
      </c>
      <c r="F2568" s="853" t="s">
        <v>527</v>
      </c>
      <c r="H2568" t="s">
        <v>5834</v>
      </c>
    </row>
    <row r="2569" spans="2:8">
      <c r="B2569" s="871">
        <v>46277</v>
      </c>
      <c r="C2569" t="s">
        <v>2481</v>
      </c>
      <c r="D2569" t="s">
        <v>1434</v>
      </c>
      <c r="E2569" t="s">
        <v>1446</v>
      </c>
      <c r="F2569" s="853" t="s">
        <v>528</v>
      </c>
      <c r="G2569" s="913">
        <v>79500</v>
      </c>
      <c r="H2569" t="s">
        <v>5835</v>
      </c>
    </row>
    <row r="2570" spans="2:8">
      <c r="B2570" s="871">
        <v>46277</v>
      </c>
      <c r="C2570" t="s">
        <v>2481</v>
      </c>
      <c r="D2570" t="s">
        <v>1410</v>
      </c>
      <c r="E2570" t="s">
        <v>3435</v>
      </c>
      <c r="F2570" s="853" t="s">
        <v>526</v>
      </c>
      <c r="G2570" s="913" t="s">
        <v>1586</v>
      </c>
      <c r="H2570" t="s">
        <v>5836</v>
      </c>
    </row>
    <row r="2571" spans="2:8">
      <c r="B2571" s="871">
        <v>46277</v>
      </c>
      <c r="C2571" t="s">
        <v>2481</v>
      </c>
      <c r="D2571" t="s">
        <v>1410</v>
      </c>
      <c r="E2571" t="s">
        <v>3435</v>
      </c>
      <c r="F2571" s="853" t="s">
        <v>527</v>
      </c>
      <c r="G2571" s="913" t="s">
        <v>1213</v>
      </c>
      <c r="H2571" t="s">
        <v>5837</v>
      </c>
    </row>
    <row r="2572" spans="2:8">
      <c r="B2572" s="871">
        <v>46277</v>
      </c>
      <c r="C2572" t="s">
        <v>2481</v>
      </c>
      <c r="D2572" t="s">
        <v>1410</v>
      </c>
      <c r="E2572" t="s">
        <v>3435</v>
      </c>
      <c r="F2572" s="853" t="s">
        <v>528</v>
      </c>
      <c r="G2572" s="913" t="s">
        <v>1586</v>
      </c>
      <c r="H2572" t="s">
        <v>5838</v>
      </c>
    </row>
    <row r="2573" spans="2:8">
      <c r="B2573" s="871">
        <v>46277</v>
      </c>
      <c r="C2573" t="s">
        <v>2481</v>
      </c>
      <c r="D2573" t="s">
        <v>1434</v>
      </c>
      <c r="E2573" t="s">
        <v>3439</v>
      </c>
      <c r="F2573" s="853" t="s">
        <v>526</v>
      </c>
      <c r="H2573" t="s">
        <v>5839</v>
      </c>
    </row>
    <row r="2574" spans="2:8">
      <c r="B2574" s="871">
        <v>46277</v>
      </c>
      <c r="C2574" t="s">
        <v>2481</v>
      </c>
      <c r="D2574" t="s">
        <v>1434</v>
      </c>
      <c r="E2574" t="s">
        <v>3439</v>
      </c>
      <c r="F2574" s="853" t="s">
        <v>527</v>
      </c>
      <c r="H2574" t="s">
        <v>5840</v>
      </c>
    </row>
    <row r="2575" spans="2:8">
      <c r="B2575" s="871">
        <v>46277</v>
      </c>
      <c r="C2575" t="s">
        <v>2481</v>
      </c>
      <c r="D2575" t="s">
        <v>1434</v>
      </c>
      <c r="E2575" t="s">
        <v>3439</v>
      </c>
      <c r="F2575" s="853" t="s">
        <v>528</v>
      </c>
      <c r="H2575" t="s">
        <v>5841</v>
      </c>
    </row>
    <row r="2576" spans="2:8">
      <c r="B2576" s="871">
        <v>46277</v>
      </c>
      <c r="C2576" t="s">
        <v>2481</v>
      </c>
      <c r="D2576" t="s">
        <v>1410</v>
      </c>
      <c r="E2576" t="s">
        <v>3443</v>
      </c>
      <c r="F2576" s="853" t="s">
        <v>526</v>
      </c>
      <c r="H2576" t="s">
        <v>5842</v>
      </c>
    </row>
    <row r="2577" spans="2:8">
      <c r="B2577" s="871">
        <v>46277</v>
      </c>
      <c r="C2577" t="s">
        <v>2481</v>
      </c>
      <c r="D2577" t="s">
        <v>1410</v>
      </c>
      <c r="E2577" t="s">
        <v>3443</v>
      </c>
      <c r="F2577" s="853" t="s">
        <v>527</v>
      </c>
      <c r="G2577" s="913">
        <v>125</v>
      </c>
      <c r="H2577" t="s">
        <v>5843</v>
      </c>
    </row>
    <row r="2578" spans="2:8">
      <c r="B2578" s="871">
        <v>46277</v>
      </c>
      <c r="C2578" t="s">
        <v>2481</v>
      </c>
      <c r="D2578" t="s">
        <v>1410</v>
      </c>
      <c r="E2578" t="s">
        <v>3443</v>
      </c>
      <c r="F2578" s="853" t="s">
        <v>528</v>
      </c>
      <c r="H2578" t="s">
        <v>5844</v>
      </c>
    </row>
    <row r="2579" spans="2:8">
      <c r="B2579" s="871">
        <v>46277</v>
      </c>
      <c r="C2579" t="s">
        <v>2481</v>
      </c>
      <c r="D2579" t="s">
        <v>1434</v>
      </c>
      <c r="E2579" t="s">
        <v>3447</v>
      </c>
      <c r="F2579" s="853" t="s">
        <v>526</v>
      </c>
      <c r="H2579" t="s">
        <v>5845</v>
      </c>
    </row>
    <row r="2580" spans="2:8">
      <c r="B2580" s="871">
        <v>46277</v>
      </c>
      <c r="C2580" t="s">
        <v>2481</v>
      </c>
      <c r="D2580" t="s">
        <v>1434</v>
      </c>
      <c r="E2580" t="s">
        <v>3447</v>
      </c>
      <c r="F2580" s="853" t="s">
        <v>527</v>
      </c>
      <c r="H2580" t="s">
        <v>5846</v>
      </c>
    </row>
    <row r="2581" spans="2:8">
      <c r="B2581" s="871">
        <v>46277</v>
      </c>
      <c r="C2581" t="s">
        <v>2481</v>
      </c>
      <c r="D2581" t="s">
        <v>1434</v>
      </c>
      <c r="E2581" t="s">
        <v>3447</v>
      </c>
      <c r="F2581" s="853" t="s">
        <v>528</v>
      </c>
      <c r="H2581" t="s">
        <v>5847</v>
      </c>
    </row>
    <row r="2582" spans="2:8">
      <c r="B2582" s="871">
        <v>46277</v>
      </c>
      <c r="C2582" t="s">
        <v>2481</v>
      </c>
      <c r="D2582" t="s">
        <v>1410</v>
      </c>
      <c r="E2582" t="s">
        <v>3451</v>
      </c>
      <c r="F2582" s="853" t="s">
        <v>526</v>
      </c>
      <c r="H2582" t="s">
        <v>5848</v>
      </c>
    </row>
    <row r="2583" spans="2:8">
      <c r="B2583" s="871">
        <v>46277</v>
      </c>
      <c r="C2583" t="s">
        <v>2481</v>
      </c>
      <c r="D2583" t="s">
        <v>1410</v>
      </c>
      <c r="E2583" t="s">
        <v>3451</v>
      </c>
      <c r="F2583" s="853" t="s">
        <v>527</v>
      </c>
      <c r="G2583" s="913">
        <v>1240</v>
      </c>
      <c r="H2583" t="s">
        <v>5849</v>
      </c>
    </row>
    <row r="2584" spans="2:8">
      <c r="B2584" s="871">
        <v>46277</v>
      </c>
      <c r="C2584" t="s">
        <v>2481</v>
      </c>
      <c r="D2584" t="s">
        <v>1410</v>
      </c>
      <c r="E2584" t="s">
        <v>3451</v>
      </c>
      <c r="F2584" s="853" t="s">
        <v>528</v>
      </c>
      <c r="H2584" t="s">
        <v>5850</v>
      </c>
    </row>
    <row r="2585" spans="2:8">
      <c r="B2585" s="871">
        <v>46277</v>
      </c>
      <c r="C2585" t="s">
        <v>2481</v>
      </c>
      <c r="D2585" t="s">
        <v>1434</v>
      </c>
      <c r="E2585" t="s">
        <v>3455</v>
      </c>
      <c r="F2585" s="853" t="s">
        <v>526</v>
      </c>
      <c r="H2585" t="s">
        <v>5851</v>
      </c>
    </row>
    <row r="2586" spans="2:8">
      <c r="B2586" s="871">
        <v>46277</v>
      </c>
      <c r="C2586" t="s">
        <v>2481</v>
      </c>
      <c r="D2586" t="s">
        <v>1434</v>
      </c>
      <c r="E2586" t="s">
        <v>3455</v>
      </c>
      <c r="F2586" s="853" t="s">
        <v>527</v>
      </c>
      <c r="H2586" t="s">
        <v>5852</v>
      </c>
    </row>
    <row r="2587" spans="2:8">
      <c r="B2587" s="871">
        <v>46277</v>
      </c>
      <c r="C2587" t="s">
        <v>2481</v>
      </c>
      <c r="D2587" t="s">
        <v>1434</v>
      </c>
      <c r="E2587" t="s">
        <v>3455</v>
      </c>
      <c r="F2587" s="853" t="s">
        <v>528</v>
      </c>
      <c r="H2587" t="s">
        <v>5853</v>
      </c>
    </row>
    <row r="2588" spans="2:8">
      <c r="B2588" s="871">
        <v>46277</v>
      </c>
      <c r="C2588" t="s">
        <v>2481</v>
      </c>
      <c r="D2588" t="s">
        <v>1410</v>
      </c>
      <c r="E2588" t="s">
        <v>3459</v>
      </c>
      <c r="F2588" s="853" t="s">
        <v>526</v>
      </c>
      <c r="G2588" s="913">
        <v>28</v>
      </c>
      <c r="H2588" t="s">
        <v>5854</v>
      </c>
    </row>
    <row r="2589" spans="2:8">
      <c r="B2589" s="871">
        <v>46277</v>
      </c>
      <c r="C2589" t="s">
        <v>2481</v>
      </c>
      <c r="D2589" t="s">
        <v>1410</v>
      </c>
      <c r="E2589" t="s">
        <v>3459</v>
      </c>
      <c r="F2589" s="853" t="s">
        <v>527</v>
      </c>
      <c r="G2589" s="913">
        <v>24.7</v>
      </c>
      <c r="H2589" t="s">
        <v>5855</v>
      </c>
    </row>
    <row r="2590" spans="2:8">
      <c r="B2590" s="871">
        <v>46277</v>
      </c>
      <c r="C2590" t="s">
        <v>2481</v>
      </c>
      <c r="D2590" t="s">
        <v>1410</v>
      </c>
      <c r="E2590" t="s">
        <v>3459</v>
      </c>
      <c r="F2590" s="853" t="s">
        <v>528</v>
      </c>
      <c r="G2590" s="913">
        <v>30</v>
      </c>
      <c r="H2590" t="s">
        <v>5856</v>
      </c>
    </row>
    <row r="2591" spans="2:8">
      <c r="B2591" s="871">
        <v>46277</v>
      </c>
      <c r="C2591" t="s">
        <v>2481</v>
      </c>
      <c r="D2591" t="s">
        <v>1434</v>
      </c>
      <c r="E2591" t="s">
        <v>3463</v>
      </c>
      <c r="F2591" s="853" t="s">
        <v>526</v>
      </c>
      <c r="H2591" t="s">
        <v>5857</v>
      </c>
    </row>
    <row r="2592" spans="2:8">
      <c r="B2592" s="871">
        <v>46277</v>
      </c>
      <c r="C2592" t="s">
        <v>2481</v>
      </c>
      <c r="D2592" t="s">
        <v>1434</v>
      </c>
      <c r="E2592" t="s">
        <v>3463</v>
      </c>
      <c r="F2592" s="853" t="s">
        <v>527</v>
      </c>
      <c r="H2592" t="s">
        <v>5858</v>
      </c>
    </row>
    <row r="2593" spans="2:8">
      <c r="B2593" s="871">
        <v>46277</v>
      </c>
      <c r="C2593" t="s">
        <v>2481</v>
      </c>
      <c r="D2593" t="s">
        <v>1434</v>
      </c>
      <c r="E2593" t="s">
        <v>3463</v>
      </c>
      <c r="F2593" s="853" t="s">
        <v>528</v>
      </c>
      <c r="H2593" t="s">
        <v>5859</v>
      </c>
    </row>
    <row r="2594" spans="2:8">
      <c r="B2594" s="871">
        <v>46277</v>
      </c>
      <c r="C2594" t="s">
        <v>2481</v>
      </c>
      <c r="D2594" t="s">
        <v>1410</v>
      </c>
      <c r="E2594" t="s">
        <v>3467</v>
      </c>
      <c r="F2594" s="853" t="s">
        <v>526</v>
      </c>
      <c r="G2594" s="913">
        <v>28</v>
      </c>
      <c r="H2594" t="s">
        <v>5860</v>
      </c>
    </row>
    <row r="2595" spans="2:8">
      <c r="B2595" s="871">
        <v>46277</v>
      </c>
      <c r="C2595" t="s">
        <v>2481</v>
      </c>
      <c r="D2595" t="s">
        <v>1410</v>
      </c>
      <c r="E2595" t="s">
        <v>3467</v>
      </c>
      <c r="F2595" s="853" t="s">
        <v>527</v>
      </c>
      <c r="H2595" t="s">
        <v>5861</v>
      </c>
    </row>
    <row r="2596" spans="2:8">
      <c r="B2596" s="871">
        <v>46277</v>
      </c>
      <c r="C2596" t="s">
        <v>2481</v>
      </c>
      <c r="D2596" t="s">
        <v>1410</v>
      </c>
      <c r="E2596" t="s">
        <v>3467</v>
      </c>
      <c r="F2596" s="853" t="s">
        <v>528</v>
      </c>
      <c r="G2596" s="913">
        <v>30</v>
      </c>
      <c r="H2596" t="s">
        <v>5862</v>
      </c>
    </row>
    <row r="2597" spans="2:8">
      <c r="B2597" s="871">
        <v>46277</v>
      </c>
      <c r="C2597" t="s">
        <v>2481</v>
      </c>
      <c r="D2597" t="s">
        <v>1434</v>
      </c>
      <c r="E2597" t="s">
        <v>3471</v>
      </c>
      <c r="F2597" s="853" t="s">
        <v>526</v>
      </c>
      <c r="H2597" t="s">
        <v>5863</v>
      </c>
    </row>
    <row r="2598" spans="2:8">
      <c r="B2598" s="871">
        <v>46277</v>
      </c>
      <c r="C2598" t="s">
        <v>2481</v>
      </c>
      <c r="D2598" t="s">
        <v>1434</v>
      </c>
      <c r="E2598" t="s">
        <v>3471</v>
      </c>
      <c r="F2598" s="853" t="s">
        <v>527</v>
      </c>
      <c r="H2598" t="s">
        <v>5864</v>
      </c>
    </row>
    <row r="2599" spans="2:8">
      <c r="B2599" s="871">
        <v>46277</v>
      </c>
      <c r="C2599" t="s">
        <v>2481</v>
      </c>
      <c r="D2599" t="s">
        <v>1434</v>
      </c>
      <c r="E2599" t="s">
        <v>3471</v>
      </c>
      <c r="F2599" s="853" t="s">
        <v>528</v>
      </c>
      <c r="H2599" t="s">
        <v>5865</v>
      </c>
    </row>
    <row r="2600" spans="2:8">
      <c r="B2600" s="871">
        <v>46277</v>
      </c>
      <c r="C2600" t="s">
        <v>2481</v>
      </c>
      <c r="D2600" t="s">
        <v>1410</v>
      </c>
      <c r="E2600" t="s">
        <v>3475</v>
      </c>
      <c r="F2600" s="853" t="s">
        <v>526</v>
      </c>
      <c r="G2600" s="913">
        <v>19</v>
      </c>
      <c r="H2600" t="s">
        <v>5866</v>
      </c>
    </row>
    <row r="2601" spans="2:8">
      <c r="B2601" s="871">
        <v>46277</v>
      </c>
      <c r="C2601" t="s">
        <v>2481</v>
      </c>
      <c r="D2601" t="s">
        <v>1410</v>
      </c>
      <c r="E2601" t="s">
        <v>3475</v>
      </c>
      <c r="F2601" s="853" t="s">
        <v>527</v>
      </c>
      <c r="G2601" s="913">
        <v>19.5</v>
      </c>
      <c r="H2601" t="s">
        <v>5867</v>
      </c>
    </row>
    <row r="2602" spans="2:8">
      <c r="B2602" s="871">
        <v>46277</v>
      </c>
      <c r="C2602" t="s">
        <v>2481</v>
      </c>
      <c r="D2602" t="s">
        <v>1410</v>
      </c>
      <c r="E2602" t="s">
        <v>3475</v>
      </c>
      <c r="F2602" s="853" t="s">
        <v>528</v>
      </c>
      <c r="G2602" s="913">
        <v>18</v>
      </c>
      <c r="H2602" t="s">
        <v>5868</v>
      </c>
    </row>
    <row r="2603" spans="2:8">
      <c r="B2603" s="871">
        <v>46277</v>
      </c>
      <c r="C2603" t="s">
        <v>2481</v>
      </c>
      <c r="D2603" t="s">
        <v>1434</v>
      </c>
      <c r="E2603" t="s">
        <v>3479</v>
      </c>
      <c r="F2603" s="853" t="s">
        <v>526</v>
      </c>
      <c r="H2603" t="s">
        <v>5869</v>
      </c>
    </row>
    <row r="2604" spans="2:8">
      <c r="B2604" s="871">
        <v>46277</v>
      </c>
      <c r="C2604" t="s">
        <v>2481</v>
      </c>
      <c r="D2604" t="s">
        <v>1434</v>
      </c>
      <c r="E2604" t="s">
        <v>3479</v>
      </c>
      <c r="F2604" s="853" t="s">
        <v>527</v>
      </c>
      <c r="H2604" t="s">
        <v>5870</v>
      </c>
    </row>
    <row r="2605" spans="2:8">
      <c r="B2605" s="871">
        <v>46277</v>
      </c>
      <c r="C2605" t="s">
        <v>2481</v>
      </c>
      <c r="D2605" t="s">
        <v>1434</v>
      </c>
      <c r="E2605" t="s">
        <v>3479</v>
      </c>
      <c r="F2605" s="853" t="s">
        <v>528</v>
      </c>
      <c r="H2605" t="s">
        <v>5871</v>
      </c>
    </row>
    <row r="2606" spans="2:8">
      <c r="B2606" s="871">
        <v>46277</v>
      </c>
      <c r="C2606" t="s">
        <v>2481</v>
      </c>
      <c r="D2606" t="s">
        <v>1410</v>
      </c>
      <c r="E2606" t="s">
        <v>3483</v>
      </c>
      <c r="F2606" s="853" t="s">
        <v>526</v>
      </c>
      <c r="G2606" s="913">
        <v>5</v>
      </c>
      <c r="H2606" t="s">
        <v>5872</v>
      </c>
    </row>
    <row r="2607" spans="2:8">
      <c r="B2607" s="871">
        <v>46277</v>
      </c>
      <c r="C2607" t="s">
        <v>2481</v>
      </c>
      <c r="D2607" t="s">
        <v>1410</v>
      </c>
      <c r="E2607" t="s">
        <v>3483</v>
      </c>
      <c r="F2607" s="853" t="s">
        <v>527</v>
      </c>
      <c r="G2607" s="913">
        <v>5</v>
      </c>
      <c r="H2607" t="s">
        <v>5873</v>
      </c>
    </row>
    <row r="2608" spans="2:8">
      <c r="B2608" s="871">
        <v>46277</v>
      </c>
      <c r="C2608" t="s">
        <v>2481</v>
      </c>
      <c r="D2608" t="s">
        <v>1410</v>
      </c>
      <c r="E2608" t="s">
        <v>3483</v>
      </c>
      <c r="F2608" s="853" t="s">
        <v>528</v>
      </c>
      <c r="G2608" s="913">
        <v>5</v>
      </c>
      <c r="H2608" t="s">
        <v>5874</v>
      </c>
    </row>
    <row r="2609" spans="2:8">
      <c r="B2609" s="871">
        <v>46278</v>
      </c>
      <c r="C2609" t="s">
        <v>2482</v>
      </c>
      <c r="D2609" t="s">
        <v>1375</v>
      </c>
      <c r="E2609" t="s">
        <v>1377</v>
      </c>
      <c r="F2609" s="853" t="s">
        <v>526</v>
      </c>
      <c r="G2609" s="913" t="s">
        <v>1622</v>
      </c>
      <c r="H2609" t="s">
        <v>5875</v>
      </c>
    </row>
    <row r="2610" spans="2:8">
      <c r="B2610" s="871">
        <v>46278</v>
      </c>
      <c r="C2610" t="s">
        <v>2482</v>
      </c>
      <c r="D2610" t="s">
        <v>1375</v>
      </c>
      <c r="E2610" t="s">
        <v>1377</v>
      </c>
      <c r="F2610" s="853" t="s">
        <v>527</v>
      </c>
      <c r="G2610" s="913" t="s">
        <v>1622</v>
      </c>
      <c r="H2610" t="s">
        <v>5876</v>
      </c>
    </row>
    <row r="2611" spans="2:8">
      <c r="B2611" s="871">
        <v>46278</v>
      </c>
      <c r="C2611" t="s">
        <v>2482</v>
      </c>
      <c r="D2611" t="s">
        <v>1375</v>
      </c>
      <c r="E2611" t="s">
        <v>1377</v>
      </c>
      <c r="F2611" s="853" t="s">
        <v>528</v>
      </c>
      <c r="G2611" s="913" t="s">
        <v>1378</v>
      </c>
      <c r="H2611" t="s">
        <v>5877</v>
      </c>
    </row>
    <row r="2612" spans="2:8">
      <c r="B2612" s="871">
        <v>46278</v>
      </c>
      <c r="C2612" t="s">
        <v>2482</v>
      </c>
      <c r="D2612" t="s">
        <v>1376</v>
      </c>
      <c r="E2612" t="s">
        <v>1379</v>
      </c>
      <c r="F2612" s="853" t="s">
        <v>526</v>
      </c>
      <c r="H2612" t="s">
        <v>5878</v>
      </c>
    </row>
    <row r="2613" spans="2:8">
      <c r="B2613" s="871">
        <v>46278</v>
      </c>
      <c r="C2613" t="s">
        <v>2482</v>
      </c>
      <c r="D2613" t="s">
        <v>1376</v>
      </c>
      <c r="E2613" t="s">
        <v>1379</v>
      </c>
      <c r="F2613" s="853" t="s">
        <v>527</v>
      </c>
      <c r="H2613" t="s">
        <v>5879</v>
      </c>
    </row>
    <row r="2614" spans="2:8">
      <c r="B2614" s="871">
        <v>46278</v>
      </c>
      <c r="C2614" t="s">
        <v>2482</v>
      </c>
      <c r="D2614" t="s">
        <v>1376</v>
      </c>
      <c r="E2614" t="s">
        <v>1379</v>
      </c>
      <c r="F2614" s="853" t="s">
        <v>528</v>
      </c>
      <c r="H2614" t="s">
        <v>5880</v>
      </c>
    </row>
    <row r="2615" spans="2:8">
      <c r="B2615" s="871">
        <v>46278</v>
      </c>
      <c r="C2615" t="s">
        <v>2482</v>
      </c>
      <c r="D2615" t="s">
        <v>1375</v>
      </c>
      <c r="E2615" t="s">
        <v>1380</v>
      </c>
      <c r="F2615" s="853" t="s">
        <v>526</v>
      </c>
      <c r="G2615" s="913" t="s">
        <v>1739</v>
      </c>
      <c r="H2615" t="s">
        <v>5881</v>
      </c>
    </row>
    <row r="2616" spans="2:8">
      <c r="B2616" s="871">
        <v>46278</v>
      </c>
      <c r="C2616" t="s">
        <v>2482</v>
      </c>
      <c r="D2616" t="s">
        <v>1375</v>
      </c>
      <c r="E2616" t="s">
        <v>1380</v>
      </c>
      <c r="F2616" s="853" t="s">
        <v>527</v>
      </c>
      <c r="G2616" s="913" t="s">
        <v>1779</v>
      </c>
      <c r="H2616" t="s">
        <v>5882</v>
      </c>
    </row>
    <row r="2617" spans="2:8">
      <c r="B2617" s="871">
        <v>46278</v>
      </c>
      <c r="C2617" t="s">
        <v>2482</v>
      </c>
      <c r="D2617" t="s">
        <v>1375</v>
      </c>
      <c r="E2617" t="s">
        <v>1380</v>
      </c>
      <c r="F2617" s="853" t="s">
        <v>528</v>
      </c>
      <c r="G2617" s="913" t="s">
        <v>1860</v>
      </c>
      <c r="H2617" t="s">
        <v>5883</v>
      </c>
    </row>
    <row r="2618" spans="2:8">
      <c r="B2618" s="871">
        <v>46278</v>
      </c>
      <c r="C2618" t="s">
        <v>2482</v>
      </c>
      <c r="D2618" t="s">
        <v>1376</v>
      </c>
      <c r="E2618" t="s">
        <v>1383</v>
      </c>
      <c r="F2618" s="853" t="s">
        <v>526</v>
      </c>
      <c r="G2618" s="913">
        <v>0</v>
      </c>
      <c r="H2618" t="s">
        <v>5884</v>
      </c>
    </row>
    <row r="2619" spans="2:8">
      <c r="B2619" s="871">
        <v>46278</v>
      </c>
      <c r="C2619" t="s">
        <v>2482</v>
      </c>
      <c r="D2619" t="s">
        <v>1376</v>
      </c>
      <c r="E2619" t="s">
        <v>1383</v>
      </c>
      <c r="F2619" s="853" t="s">
        <v>527</v>
      </c>
      <c r="G2619" s="913">
        <v>0</v>
      </c>
      <c r="H2619" t="s">
        <v>5885</v>
      </c>
    </row>
    <row r="2620" spans="2:8">
      <c r="B2620" s="871">
        <v>46278</v>
      </c>
      <c r="C2620" t="s">
        <v>2482</v>
      </c>
      <c r="D2620" t="s">
        <v>1376</v>
      </c>
      <c r="E2620" t="s">
        <v>1383</v>
      </c>
      <c r="F2620" s="853" t="s">
        <v>528</v>
      </c>
      <c r="G2620" s="913">
        <v>0</v>
      </c>
      <c r="H2620" t="s">
        <v>5886</v>
      </c>
    </row>
    <row r="2621" spans="2:8">
      <c r="B2621" s="871">
        <v>46278</v>
      </c>
      <c r="C2621" t="s">
        <v>2482</v>
      </c>
      <c r="D2621" t="s">
        <v>1375</v>
      </c>
      <c r="E2621" t="s">
        <v>54</v>
      </c>
      <c r="F2621" s="853" t="s">
        <v>526</v>
      </c>
      <c r="H2621" t="s">
        <v>5887</v>
      </c>
    </row>
    <row r="2622" spans="2:8">
      <c r="B2622" s="871">
        <v>46278</v>
      </c>
      <c r="C2622" t="s">
        <v>2482</v>
      </c>
      <c r="D2622" t="s">
        <v>1375</v>
      </c>
      <c r="E2622" t="s">
        <v>54</v>
      </c>
      <c r="F2622" s="853" t="s">
        <v>527</v>
      </c>
      <c r="H2622" t="s">
        <v>5888</v>
      </c>
    </row>
    <row r="2623" spans="2:8">
      <c r="B2623" s="871">
        <v>46278</v>
      </c>
      <c r="C2623" t="s">
        <v>2482</v>
      </c>
      <c r="D2623" t="s">
        <v>1375</v>
      </c>
      <c r="E2623" t="s">
        <v>54</v>
      </c>
      <c r="F2623" s="853" t="s">
        <v>528</v>
      </c>
      <c r="H2623" t="s">
        <v>5889</v>
      </c>
    </row>
    <row r="2624" spans="2:8">
      <c r="B2624" s="871">
        <v>46278</v>
      </c>
      <c r="C2624" t="s">
        <v>2482</v>
      </c>
      <c r="D2624" t="s">
        <v>1376</v>
      </c>
      <c r="E2624" t="s">
        <v>1384</v>
      </c>
      <c r="F2624" s="853" t="s">
        <v>526</v>
      </c>
      <c r="G2624" s="913">
        <v>0.4</v>
      </c>
      <c r="H2624" t="s">
        <v>5890</v>
      </c>
    </row>
    <row r="2625" spans="2:8">
      <c r="B2625" s="871">
        <v>46278</v>
      </c>
      <c r="C2625" t="s">
        <v>2482</v>
      </c>
      <c r="D2625" t="s">
        <v>1376</v>
      </c>
      <c r="E2625" t="s">
        <v>1384</v>
      </c>
      <c r="F2625" s="853" t="s">
        <v>527</v>
      </c>
      <c r="G2625" s="913">
        <v>0.42</v>
      </c>
      <c r="H2625" t="s">
        <v>5891</v>
      </c>
    </row>
    <row r="2626" spans="2:8">
      <c r="B2626" s="871">
        <v>46278</v>
      </c>
      <c r="C2626" t="s">
        <v>2482</v>
      </c>
      <c r="D2626" t="s">
        <v>1376</v>
      </c>
      <c r="E2626" t="s">
        <v>1384</v>
      </c>
      <c r="F2626" s="853" t="s">
        <v>528</v>
      </c>
      <c r="G2626" s="913">
        <v>0.46</v>
      </c>
      <c r="H2626" t="s">
        <v>5892</v>
      </c>
    </row>
    <row r="2627" spans="2:8">
      <c r="B2627" s="871">
        <v>46278</v>
      </c>
      <c r="C2627" t="s">
        <v>2482</v>
      </c>
      <c r="D2627" t="s">
        <v>1375</v>
      </c>
      <c r="E2627" t="s">
        <v>1385</v>
      </c>
      <c r="F2627" s="853" t="s">
        <v>526</v>
      </c>
      <c r="G2627" s="913">
        <v>851</v>
      </c>
      <c r="H2627" t="s">
        <v>5893</v>
      </c>
    </row>
    <row r="2628" spans="2:8">
      <c r="B2628" s="871">
        <v>46278</v>
      </c>
      <c r="C2628" t="s">
        <v>2482</v>
      </c>
      <c r="D2628" t="s">
        <v>1375</v>
      </c>
      <c r="E2628" t="s">
        <v>1385</v>
      </c>
      <c r="F2628" s="853" t="s">
        <v>527</v>
      </c>
      <c r="G2628" s="913">
        <v>2309</v>
      </c>
      <c r="H2628" t="s">
        <v>5894</v>
      </c>
    </row>
    <row r="2629" spans="2:8">
      <c r="B2629" s="871">
        <v>46278</v>
      </c>
      <c r="C2629" t="s">
        <v>2482</v>
      </c>
      <c r="D2629" t="s">
        <v>1375</v>
      </c>
      <c r="E2629" t="s">
        <v>1385</v>
      </c>
      <c r="F2629" s="853" t="s">
        <v>528</v>
      </c>
      <c r="G2629" s="913">
        <v>5450</v>
      </c>
      <c r="H2629" t="s">
        <v>5895</v>
      </c>
    </row>
    <row r="2630" spans="2:8">
      <c r="B2630" s="871">
        <v>46278</v>
      </c>
      <c r="C2630" t="s">
        <v>2482</v>
      </c>
      <c r="D2630" t="s">
        <v>1376</v>
      </c>
      <c r="E2630" t="s">
        <v>1386</v>
      </c>
      <c r="F2630" s="853" t="s">
        <v>526</v>
      </c>
      <c r="G2630" s="913">
        <v>0.38</v>
      </c>
      <c r="H2630" t="s">
        <v>5896</v>
      </c>
    </row>
    <row r="2631" spans="2:8">
      <c r="B2631" s="871">
        <v>46278</v>
      </c>
      <c r="C2631" t="s">
        <v>2482</v>
      </c>
      <c r="D2631" t="s">
        <v>1376</v>
      </c>
      <c r="E2631" t="s">
        <v>1386</v>
      </c>
      <c r="F2631" s="853" t="s">
        <v>527</v>
      </c>
      <c r="G2631" s="913">
        <v>0.38</v>
      </c>
      <c r="H2631" t="s">
        <v>5897</v>
      </c>
    </row>
    <row r="2632" spans="2:8">
      <c r="B2632" s="871">
        <v>46278</v>
      </c>
      <c r="C2632" t="s">
        <v>2482</v>
      </c>
      <c r="D2632" t="s">
        <v>1376</v>
      </c>
      <c r="E2632" t="s">
        <v>1386</v>
      </c>
      <c r="F2632" s="853" t="s">
        <v>528</v>
      </c>
      <c r="G2632" s="913">
        <v>0.3</v>
      </c>
      <c r="H2632" t="s">
        <v>5898</v>
      </c>
    </row>
    <row r="2633" spans="2:8">
      <c r="B2633" s="871">
        <v>46278</v>
      </c>
      <c r="C2633" t="s">
        <v>2482</v>
      </c>
      <c r="D2633" t="s">
        <v>1376</v>
      </c>
      <c r="E2633" t="s">
        <v>1387</v>
      </c>
      <c r="F2633" s="853" t="s">
        <v>526</v>
      </c>
      <c r="G2633" s="913">
        <v>8.5</v>
      </c>
      <c r="H2633" t="s">
        <v>5899</v>
      </c>
    </row>
    <row r="2634" spans="2:8">
      <c r="B2634" s="871">
        <v>46278</v>
      </c>
      <c r="C2634" t="s">
        <v>2482</v>
      </c>
      <c r="D2634" t="s">
        <v>1376</v>
      </c>
      <c r="E2634" t="s">
        <v>1387</v>
      </c>
      <c r="F2634" s="853" t="s">
        <v>527</v>
      </c>
      <c r="G2634" s="913">
        <v>8.5</v>
      </c>
      <c r="H2634" t="s">
        <v>5900</v>
      </c>
    </row>
    <row r="2635" spans="2:8">
      <c r="B2635" s="871">
        <v>46278</v>
      </c>
      <c r="C2635" t="s">
        <v>2482</v>
      </c>
      <c r="D2635" t="s">
        <v>1376</v>
      </c>
      <c r="E2635" t="s">
        <v>1387</v>
      </c>
      <c r="F2635" s="853" t="s">
        <v>528</v>
      </c>
      <c r="G2635" s="913">
        <v>8.4</v>
      </c>
      <c r="H2635" t="s">
        <v>5901</v>
      </c>
    </row>
    <row r="2636" spans="2:8">
      <c r="B2636" s="871">
        <v>46278</v>
      </c>
      <c r="C2636" t="s">
        <v>2482</v>
      </c>
      <c r="D2636" t="s">
        <v>1375</v>
      </c>
      <c r="E2636" t="s">
        <v>1388</v>
      </c>
      <c r="F2636" s="853" t="s">
        <v>526</v>
      </c>
      <c r="H2636" t="s">
        <v>5902</v>
      </c>
    </row>
    <row r="2637" spans="2:8">
      <c r="B2637" s="871">
        <v>46278</v>
      </c>
      <c r="C2637" t="s">
        <v>2482</v>
      </c>
      <c r="D2637" t="s">
        <v>1375</v>
      </c>
      <c r="E2637" t="s">
        <v>1388</v>
      </c>
      <c r="F2637" s="853" t="s">
        <v>527</v>
      </c>
      <c r="H2637" t="s">
        <v>5903</v>
      </c>
    </row>
    <row r="2638" spans="2:8">
      <c r="B2638" s="871">
        <v>46278</v>
      </c>
      <c r="C2638" t="s">
        <v>2482</v>
      </c>
      <c r="D2638" t="s">
        <v>1375</v>
      </c>
      <c r="E2638" t="s">
        <v>1388</v>
      </c>
      <c r="F2638" s="853" t="s">
        <v>528</v>
      </c>
      <c r="H2638" t="s">
        <v>5904</v>
      </c>
    </row>
    <row r="2639" spans="2:8">
      <c r="B2639" s="871">
        <v>46278</v>
      </c>
      <c r="C2639" t="s">
        <v>2482</v>
      </c>
      <c r="D2639" t="s">
        <v>1376</v>
      </c>
      <c r="E2639" t="s">
        <v>1389</v>
      </c>
      <c r="F2639" s="853" t="s">
        <v>526</v>
      </c>
      <c r="H2639" t="s">
        <v>5905</v>
      </c>
    </row>
    <row r="2640" spans="2:8">
      <c r="B2640" s="871">
        <v>46278</v>
      </c>
      <c r="C2640" t="s">
        <v>2482</v>
      </c>
      <c r="D2640" t="s">
        <v>1376</v>
      </c>
      <c r="E2640" t="s">
        <v>1389</v>
      </c>
      <c r="F2640" s="853" t="s">
        <v>527</v>
      </c>
      <c r="G2640" s="913">
        <v>64.400000000000006</v>
      </c>
      <c r="H2640" t="s">
        <v>5906</v>
      </c>
    </row>
    <row r="2641" spans="2:8">
      <c r="B2641" s="871">
        <v>46278</v>
      </c>
      <c r="C2641" t="s">
        <v>2482</v>
      </c>
      <c r="D2641" t="s">
        <v>1376</v>
      </c>
      <c r="E2641" t="s">
        <v>1389</v>
      </c>
      <c r="F2641" s="853" t="s">
        <v>528</v>
      </c>
      <c r="G2641" s="913">
        <v>61</v>
      </c>
      <c r="H2641" t="s">
        <v>5907</v>
      </c>
    </row>
    <row r="2642" spans="2:8">
      <c r="B2642" s="871">
        <v>46278</v>
      </c>
      <c r="C2642" t="s">
        <v>2482</v>
      </c>
      <c r="D2642" t="s">
        <v>1375</v>
      </c>
      <c r="E2642" t="s">
        <v>3266</v>
      </c>
      <c r="F2642" s="853" t="s">
        <v>526</v>
      </c>
      <c r="G2642" s="913">
        <v>2</v>
      </c>
      <c r="H2642" t="s">
        <v>5908</v>
      </c>
    </row>
    <row r="2643" spans="2:8">
      <c r="B2643" s="871">
        <v>46278</v>
      </c>
      <c r="C2643" t="s">
        <v>2482</v>
      </c>
      <c r="D2643" t="s">
        <v>1375</v>
      </c>
      <c r="E2643" t="s">
        <v>3266</v>
      </c>
      <c r="F2643" s="853" t="s">
        <v>527</v>
      </c>
      <c r="G2643" s="913">
        <v>3</v>
      </c>
      <c r="H2643" t="s">
        <v>5909</v>
      </c>
    </row>
    <row r="2644" spans="2:8">
      <c r="B2644" s="871">
        <v>46278</v>
      </c>
      <c r="C2644" t="s">
        <v>2482</v>
      </c>
      <c r="D2644" t="s">
        <v>1375</v>
      </c>
      <c r="E2644" t="s">
        <v>3266</v>
      </c>
      <c r="F2644" s="853" t="s">
        <v>528</v>
      </c>
      <c r="G2644" s="913">
        <v>1</v>
      </c>
      <c r="H2644" t="s">
        <v>5910</v>
      </c>
    </row>
    <row r="2645" spans="2:8">
      <c r="B2645" s="871">
        <v>46278</v>
      </c>
      <c r="C2645" t="s">
        <v>2482</v>
      </c>
      <c r="D2645" t="s">
        <v>1376</v>
      </c>
      <c r="E2645" t="s">
        <v>1390</v>
      </c>
      <c r="F2645" s="853" t="s">
        <v>526</v>
      </c>
      <c r="G2645" s="913">
        <v>2.31E-3</v>
      </c>
      <c r="H2645" t="s">
        <v>5911</v>
      </c>
    </row>
    <row r="2646" spans="2:8">
      <c r="B2646" s="871">
        <v>46278</v>
      </c>
      <c r="C2646" t="s">
        <v>2482</v>
      </c>
      <c r="D2646" t="s">
        <v>1376</v>
      </c>
      <c r="E2646" t="s">
        <v>1390</v>
      </c>
      <c r="F2646" s="853" t="s">
        <v>527</v>
      </c>
      <c r="G2646" s="913">
        <v>2.0600000000000002E-3</v>
      </c>
      <c r="H2646" t="s">
        <v>5912</v>
      </c>
    </row>
    <row r="2647" spans="2:8">
      <c r="B2647" s="871">
        <v>46278</v>
      </c>
      <c r="C2647" t="s">
        <v>2482</v>
      </c>
      <c r="D2647" t="s">
        <v>1376</v>
      </c>
      <c r="E2647" t="s">
        <v>1390</v>
      </c>
      <c r="F2647" s="853" t="s">
        <v>528</v>
      </c>
      <c r="G2647" s="913">
        <v>2.0400000000000001E-3</v>
      </c>
      <c r="H2647" t="s">
        <v>5913</v>
      </c>
    </row>
    <row r="2648" spans="2:8">
      <c r="B2648" s="871">
        <v>46278</v>
      </c>
      <c r="C2648" t="s">
        <v>2482</v>
      </c>
      <c r="D2648" t="s">
        <v>1375</v>
      </c>
      <c r="E2648" t="s">
        <v>3273</v>
      </c>
      <c r="F2648" s="853" t="s">
        <v>526</v>
      </c>
      <c r="G2648" s="913">
        <v>2</v>
      </c>
      <c r="H2648" t="s">
        <v>5914</v>
      </c>
    </row>
    <row r="2649" spans="2:8">
      <c r="B2649" s="871">
        <v>46278</v>
      </c>
      <c r="C2649" t="s">
        <v>2482</v>
      </c>
      <c r="D2649" t="s">
        <v>1375</v>
      </c>
      <c r="E2649" t="s">
        <v>3273</v>
      </c>
      <c r="F2649" s="853" t="s">
        <v>527</v>
      </c>
      <c r="G2649" s="913">
        <v>2</v>
      </c>
      <c r="H2649" t="s">
        <v>5915</v>
      </c>
    </row>
    <row r="2650" spans="2:8">
      <c r="B2650" s="871">
        <v>46278</v>
      </c>
      <c r="C2650" t="s">
        <v>2482</v>
      </c>
      <c r="D2650" t="s">
        <v>1375</v>
      </c>
      <c r="E2650" t="s">
        <v>3273</v>
      </c>
      <c r="F2650" s="853" t="s">
        <v>528</v>
      </c>
      <c r="G2650" s="913">
        <v>1</v>
      </c>
      <c r="H2650" t="s">
        <v>5916</v>
      </c>
    </row>
    <row r="2651" spans="2:8">
      <c r="B2651" s="871">
        <v>46278</v>
      </c>
      <c r="C2651" t="s">
        <v>2482</v>
      </c>
      <c r="D2651" t="s">
        <v>1376</v>
      </c>
      <c r="E2651" t="s">
        <v>1391</v>
      </c>
      <c r="F2651" s="853" t="s">
        <v>526</v>
      </c>
      <c r="H2651" t="s">
        <v>5917</v>
      </c>
    </row>
    <row r="2652" spans="2:8">
      <c r="B2652" s="871">
        <v>46278</v>
      </c>
      <c r="C2652" t="s">
        <v>2482</v>
      </c>
      <c r="D2652" t="s">
        <v>1376</v>
      </c>
      <c r="E2652" t="s">
        <v>1391</v>
      </c>
      <c r="F2652" s="853" t="s">
        <v>527</v>
      </c>
      <c r="H2652" t="s">
        <v>5918</v>
      </c>
    </row>
    <row r="2653" spans="2:8">
      <c r="B2653" s="871">
        <v>46278</v>
      </c>
      <c r="C2653" t="s">
        <v>2482</v>
      </c>
      <c r="D2653" t="s">
        <v>1376</v>
      </c>
      <c r="E2653" t="s">
        <v>1391</v>
      </c>
      <c r="F2653" s="853" t="s">
        <v>528</v>
      </c>
      <c r="G2653" s="913">
        <v>0</v>
      </c>
      <c r="H2653" t="s">
        <v>5919</v>
      </c>
    </row>
    <row r="2654" spans="2:8">
      <c r="B2654" s="871">
        <v>46278</v>
      </c>
      <c r="C2654" t="s">
        <v>2482</v>
      </c>
      <c r="D2654" t="s">
        <v>1375</v>
      </c>
      <c r="E2654" t="s">
        <v>3280</v>
      </c>
      <c r="F2654" s="853" t="s">
        <v>526</v>
      </c>
      <c r="G2654" s="913">
        <v>2</v>
      </c>
      <c r="H2654" t="s">
        <v>5920</v>
      </c>
    </row>
    <row r="2655" spans="2:8">
      <c r="B2655" s="871">
        <v>46278</v>
      </c>
      <c r="C2655" t="s">
        <v>2482</v>
      </c>
      <c r="D2655" t="s">
        <v>1375</v>
      </c>
      <c r="E2655" t="s">
        <v>3280</v>
      </c>
      <c r="F2655" s="853" t="s">
        <v>527</v>
      </c>
      <c r="G2655" s="913">
        <v>2</v>
      </c>
      <c r="H2655" t="s">
        <v>5921</v>
      </c>
    </row>
    <row r="2656" spans="2:8">
      <c r="B2656" s="871">
        <v>46278</v>
      </c>
      <c r="C2656" t="s">
        <v>2482</v>
      </c>
      <c r="D2656" t="s">
        <v>1375</v>
      </c>
      <c r="E2656" t="s">
        <v>3280</v>
      </c>
      <c r="F2656" s="853" t="s">
        <v>528</v>
      </c>
      <c r="G2656" s="913">
        <v>1</v>
      </c>
      <c r="H2656" t="s">
        <v>5922</v>
      </c>
    </row>
    <row r="2657" spans="2:8">
      <c r="B2657" s="871">
        <v>46278</v>
      </c>
      <c r="C2657" t="s">
        <v>2482</v>
      </c>
      <c r="D2657" t="s">
        <v>1376</v>
      </c>
      <c r="E2657" t="s">
        <v>1392</v>
      </c>
      <c r="F2657" s="853" t="s">
        <v>526</v>
      </c>
      <c r="G2657" s="913">
        <v>0</v>
      </c>
      <c r="H2657" t="s">
        <v>5923</v>
      </c>
    </row>
    <row r="2658" spans="2:8">
      <c r="B2658" s="871">
        <v>46278</v>
      </c>
      <c r="C2658" t="s">
        <v>2482</v>
      </c>
      <c r="D2658" t="s">
        <v>1376</v>
      </c>
      <c r="E2658" t="s">
        <v>1392</v>
      </c>
      <c r="F2658" s="853" t="s">
        <v>527</v>
      </c>
      <c r="H2658" t="s">
        <v>5924</v>
      </c>
    </row>
    <row r="2659" spans="2:8">
      <c r="B2659" s="871">
        <v>46278</v>
      </c>
      <c r="C2659" t="s">
        <v>2482</v>
      </c>
      <c r="D2659" t="s">
        <v>1376</v>
      </c>
      <c r="E2659" t="s">
        <v>1392</v>
      </c>
      <c r="F2659" s="853" t="s">
        <v>528</v>
      </c>
      <c r="H2659" t="s">
        <v>5925</v>
      </c>
    </row>
    <row r="2660" spans="2:8">
      <c r="B2660" s="871">
        <v>46278</v>
      </c>
      <c r="C2660" t="s">
        <v>2482</v>
      </c>
      <c r="D2660" t="s">
        <v>1375</v>
      </c>
      <c r="E2660" t="s">
        <v>3287</v>
      </c>
      <c r="F2660" s="853" t="s">
        <v>526</v>
      </c>
      <c r="G2660" s="913">
        <v>2</v>
      </c>
      <c r="H2660" t="s">
        <v>5926</v>
      </c>
    </row>
    <row r="2661" spans="2:8">
      <c r="B2661" s="871">
        <v>46278</v>
      </c>
      <c r="C2661" t="s">
        <v>2482</v>
      </c>
      <c r="D2661" t="s">
        <v>1375</v>
      </c>
      <c r="E2661" t="s">
        <v>3287</v>
      </c>
      <c r="F2661" s="853" t="s">
        <v>527</v>
      </c>
      <c r="G2661" s="913">
        <v>2</v>
      </c>
      <c r="H2661" t="s">
        <v>5927</v>
      </c>
    </row>
    <row r="2662" spans="2:8">
      <c r="B2662" s="871">
        <v>46278</v>
      </c>
      <c r="C2662" t="s">
        <v>2482</v>
      </c>
      <c r="D2662" t="s">
        <v>1375</v>
      </c>
      <c r="E2662" t="s">
        <v>3287</v>
      </c>
      <c r="F2662" s="853" t="s">
        <v>528</v>
      </c>
      <c r="G2662" s="913">
        <v>1</v>
      </c>
      <c r="H2662" t="s">
        <v>5928</v>
      </c>
    </row>
    <row r="2663" spans="2:8">
      <c r="B2663" s="871">
        <v>46278</v>
      </c>
      <c r="C2663" t="s">
        <v>2482</v>
      </c>
      <c r="D2663" t="s">
        <v>1376</v>
      </c>
      <c r="E2663" t="s">
        <v>453</v>
      </c>
      <c r="F2663" s="853" t="s">
        <v>526</v>
      </c>
      <c r="H2663" t="s">
        <v>5929</v>
      </c>
    </row>
    <row r="2664" spans="2:8">
      <c r="B2664" s="871">
        <v>46278</v>
      </c>
      <c r="C2664" t="s">
        <v>2482</v>
      </c>
      <c r="D2664" t="s">
        <v>1376</v>
      </c>
      <c r="E2664" t="s">
        <v>453</v>
      </c>
      <c r="F2664" s="853" t="s">
        <v>527</v>
      </c>
      <c r="H2664" t="s">
        <v>5930</v>
      </c>
    </row>
    <row r="2665" spans="2:8">
      <c r="B2665" s="871">
        <v>46278</v>
      </c>
      <c r="C2665" t="s">
        <v>2482</v>
      </c>
      <c r="D2665" t="s">
        <v>1376</v>
      </c>
      <c r="E2665" t="s">
        <v>453</v>
      </c>
      <c r="F2665" s="853" t="s">
        <v>528</v>
      </c>
      <c r="H2665" t="s">
        <v>5931</v>
      </c>
    </row>
    <row r="2666" spans="2:8">
      <c r="B2666" s="871">
        <v>46278</v>
      </c>
      <c r="C2666" t="s">
        <v>2482</v>
      </c>
      <c r="D2666" t="s">
        <v>1375</v>
      </c>
      <c r="E2666" t="s">
        <v>3291</v>
      </c>
      <c r="F2666" s="853" t="s">
        <v>526</v>
      </c>
      <c r="G2666" s="913">
        <v>2</v>
      </c>
      <c r="H2666" t="s">
        <v>5932</v>
      </c>
    </row>
    <row r="2667" spans="2:8">
      <c r="B2667" s="871">
        <v>46278</v>
      </c>
      <c r="C2667" t="s">
        <v>2482</v>
      </c>
      <c r="D2667" t="s">
        <v>1375</v>
      </c>
      <c r="E2667" t="s">
        <v>3291</v>
      </c>
      <c r="F2667" s="853" t="s">
        <v>527</v>
      </c>
      <c r="G2667" s="913">
        <v>2</v>
      </c>
      <c r="H2667" t="s">
        <v>5933</v>
      </c>
    </row>
    <row r="2668" spans="2:8">
      <c r="B2668" s="871">
        <v>46278</v>
      </c>
      <c r="C2668" t="s">
        <v>2482</v>
      </c>
      <c r="D2668" t="s">
        <v>1375</v>
      </c>
      <c r="E2668" t="s">
        <v>3291</v>
      </c>
      <c r="F2668" s="853" t="s">
        <v>528</v>
      </c>
      <c r="G2668" s="913">
        <v>3</v>
      </c>
      <c r="H2668" t="s">
        <v>5934</v>
      </c>
    </row>
    <row r="2669" spans="2:8">
      <c r="B2669" s="871">
        <v>46278</v>
      </c>
      <c r="C2669" t="s">
        <v>2482</v>
      </c>
      <c r="D2669" t="s">
        <v>1376</v>
      </c>
      <c r="E2669" t="s">
        <v>1394</v>
      </c>
      <c r="F2669" s="853" t="s">
        <v>526</v>
      </c>
      <c r="G2669" s="913" t="s">
        <v>1626</v>
      </c>
      <c r="H2669" t="s">
        <v>5935</v>
      </c>
    </row>
    <row r="2670" spans="2:8">
      <c r="B2670" s="871">
        <v>46278</v>
      </c>
      <c r="C2670" t="s">
        <v>2482</v>
      </c>
      <c r="D2670" t="s">
        <v>1376</v>
      </c>
      <c r="E2670" t="s">
        <v>1394</v>
      </c>
      <c r="F2670" s="853" t="s">
        <v>527</v>
      </c>
      <c r="G2670" s="913" t="s">
        <v>1626</v>
      </c>
      <c r="H2670" t="s">
        <v>5936</v>
      </c>
    </row>
    <row r="2671" spans="2:8">
      <c r="B2671" s="871">
        <v>46278</v>
      </c>
      <c r="C2671" t="s">
        <v>2482</v>
      </c>
      <c r="D2671" t="s">
        <v>1376</v>
      </c>
      <c r="E2671" t="s">
        <v>1394</v>
      </c>
      <c r="F2671" s="853" t="s">
        <v>528</v>
      </c>
      <c r="G2671" s="913" t="s">
        <v>1875</v>
      </c>
      <c r="H2671" t="s">
        <v>5937</v>
      </c>
    </row>
    <row r="2672" spans="2:8">
      <c r="B2672" s="871">
        <v>46278</v>
      </c>
      <c r="C2672" t="s">
        <v>2482</v>
      </c>
      <c r="D2672" t="s">
        <v>1375</v>
      </c>
      <c r="E2672" t="s">
        <v>3298</v>
      </c>
      <c r="F2672" s="853" t="s">
        <v>526</v>
      </c>
      <c r="G2672" s="913">
        <v>2</v>
      </c>
      <c r="H2672" t="s">
        <v>5938</v>
      </c>
    </row>
    <row r="2673" spans="2:8">
      <c r="B2673" s="871">
        <v>46278</v>
      </c>
      <c r="C2673" t="s">
        <v>2482</v>
      </c>
      <c r="D2673" t="s">
        <v>1375</v>
      </c>
      <c r="E2673" t="s">
        <v>3298</v>
      </c>
      <c r="F2673" s="853" t="s">
        <v>527</v>
      </c>
      <c r="G2673" s="913">
        <v>2</v>
      </c>
      <c r="H2673" t="s">
        <v>5939</v>
      </c>
    </row>
    <row r="2674" spans="2:8">
      <c r="B2674" s="871">
        <v>46278</v>
      </c>
      <c r="C2674" t="s">
        <v>2482</v>
      </c>
      <c r="D2674" t="s">
        <v>1375</v>
      </c>
      <c r="E2674" t="s">
        <v>3298</v>
      </c>
      <c r="F2674" s="853" t="s">
        <v>528</v>
      </c>
      <c r="G2674" s="913">
        <v>3</v>
      </c>
      <c r="H2674" t="s">
        <v>5940</v>
      </c>
    </row>
    <row r="2675" spans="2:8">
      <c r="B2675" s="871">
        <v>46278</v>
      </c>
      <c r="C2675" t="s">
        <v>2482</v>
      </c>
      <c r="D2675" t="s">
        <v>1376</v>
      </c>
      <c r="E2675" t="s">
        <v>1398</v>
      </c>
      <c r="F2675" s="853" t="s">
        <v>526</v>
      </c>
      <c r="G2675" s="913">
        <v>11</v>
      </c>
      <c r="H2675" t="s">
        <v>5941</v>
      </c>
    </row>
    <row r="2676" spans="2:8">
      <c r="B2676" s="871">
        <v>46278</v>
      </c>
      <c r="C2676" t="s">
        <v>2482</v>
      </c>
      <c r="D2676" t="s">
        <v>1376</v>
      </c>
      <c r="E2676" t="s">
        <v>1398</v>
      </c>
      <c r="F2676" s="853" t="s">
        <v>527</v>
      </c>
      <c r="G2676" s="913">
        <v>11</v>
      </c>
      <c r="H2676" t="s">
        <v>5942</v>
      </c>
    </row>
    <row r="2677" spans="2:8">
      <c r="B2677" s="871">
        <v>46278</v>
      </c>
      <c r="C2677" t="s">
        <v>2482</v>
      </c>
      <c r="D2677" t="s">
        <v>1376</v>
      </c>
      <c r="E2677" t="s">
        <v>1398</v>
      </c>
      <c r="F2677" s="853" t="s">
        <v>528</v>
      </c>
      <c r="G2677" s="913">
        <v>11</v>
      </c>
      <c r="H2677" t="s">
        <v>5943</v>
      </c>
    </row>
    <row r="2678" spans="2:8">
      <c r="B2678" s="871">
        <v>46278</v>
      </c>
      <c r="C2678" t="s">
        <v>2482</v>
      </c>
      <c r="D2678" t="s">
        <v>1375</v>
      </c>
      <c r="E2678" t="s">
        <v>3305</v>
      </c>
      <c r="F2678" s="853" t="s">
        <v>526</v>
      </c>
      <c r="G2678" s="913">
        <v>2</v>
      </c>
      <c r="H2678" t="s">
        <v>5944</v>
      </c>
    </row>
    <row r="2679" spans="2:8">
      <c r="B2679" s="871">
        <v>46278</v>
      </c>
      <c r="C2679" t="s">
        <v>2482</v>
      </c>
      <c r="D2679" t="s">
        <v>1375</v>
      </c>
      <c r="E2679" t="s">
        <v>3305</v>
      </c>
      <c r="F2679" s="853" t="s">
        <v>527</v>
      </c>
      <c r="G2679" s="913">
        <v>2</v>
      </c>
      <c r="H2679" t="s">
        <v>5945</v>
      </c>
    </row>
    <row r="2680" spans="2:8">
      <c r="B2680" s="871">
        <v>46278</v>
      </c>
      <c r="C2680" t="s">
        <v>2482</v>
      </c>
      <c r="D2680" t="s">
        <v>1375</v>
      </c>
      <c r="E2680" t="s">
        <v>3305</v>
      </c>
      <c r="F2680" s="853" t="s">
        <v>528</v>
      </c>
      <c r="G2680" s="913">
        <v>2</v>
      </c>
      <c r="H2680" t="s">
        <v>5946</v>
      </c>
    </row>
    <row r="2681" spans="2:8">
      <c r="B2681" s="871">
        <v>46278</v>
      </c>
      <c r="C2681" t="s">
        <v>2482</v>
      </c>
      <c r="D2681" t="s">
        <v>1376</v>
      </c>
      <c r="E2681" t="s">
        <v>1399</v>
      </c>
      <c r="F2681" s="853" t="s">
        <v>526</v>
      </c>
      <c r="G2681" s="913">
        <v>12</v>
      </c>
      <c r="H2681" t="s">
        <v>5947</v>
      </c>
    </row>
    <row r="2682" spans="2:8">
      <c r="B2682" s="871">
        <v>46278</v>
      </c>
      <c r="C2682" t="s">
        <v>2482</v>
      </c>
      <c r="D2682" t="s">
        <v>1376</v>
      </c>
      <c r="E2682" t="s">
        <v>1399</v>
      </c>
      <c r="F2682" s="853" t="s">
        <v>527</v>
      </c>
      <c r="G2682" s="913">
        <v>12</v>
      </c>
      <c r="H2682" t="s">
        <v>5948</v>
      </c>
    </row>
    <row r="2683" spans="2:8">
      <c r="B2683" s="871">
        <v>46278</v>
      </c>
      <c r="C2683" t="s">
        <v>2482</v>
      </c>
      <c r="D2683" t="s">
        <v>1376</v>
      </c>
      <c r="E2683" t="s">
        <v>1399</v>
      </c>
      <c r="F2683" s="853" t="s">
        <v>528</v>
      </c>
      <c r="G2683" s="913">
        <v>12</v>
      </c>
      <c r="H2683" t="s">
        <v>5949</v>
      </c>
    </row>
    <row r="2684" spans="2:8">
      <c r="B2684" s="871">
        <v>46278</v>
      </c>
      <c r="C2684" t="s">
        <v>2482</v>
      </c>
      <c r="D2684" t="s">
        <v>1375</v>
      </c>
      <c r="E2684" t="s">
        <v>3312</v>
      </c>
      <c r="F2684" s="853" t="s">
        <v>526</v>
      </c>
      <c r="G2684" s="913">
        <v>2</v>
      </c>
      <c r="H2684" t="s">
        <v>5950</v>
      </c>
    </row>
    <row r="2685" spans="2:8">
      <c r="B2685" s="871">
        <v>46278</v>
      </c>
      <c r="C2685" t="s">
        <v>2482</v>
      </c>
      <c r="D2685" t="s">
        <v>1375</v>
      </c>
      <c r="E2685" t="s">
        <v>3312</v>
      </c>
      <c r="F2685" s="853" t="s">
        <v>527</v>
      </c>
      <c r="G2685" s="913">
        <v>2</v>
      </c>
      <c r="H2685" t="s">
        <v>5951</v>
      </c>
    </row>
    <row r="2686" spans="2:8">
      <c r="B2686" s="871">
        <v>46278</v>
      </c>
      <c r="C2686" t="s">
        <v>2482</v>
      </c>
      <c r="D2686" t="s">
        <v>1375</v>
      </c>
      <c r="E2686" t="s">
        <v>3312</v>
      </c>
      <c r="F2686" s="853" t="s">
        <v>528</v>
      </c>
      <c r="G2686" s="913">
        <v>2</v>
      </c>
      <c r="H2686" t="s">
        <v>5952</v>
      </c>
    </row>
    <row r="2687" spans="2:8">
      <c r="B2687" s="871">
        <v>46278</v>
      </c>
      <c r="C2687" t="s">
        <v>2482</v>
      </c>
      <c r="D2687" t="s">
        <v>1376</v>
      </c>
      <c r="E2687" t="s">
        <v>1400</v>
      </c>
      <c r="F2687" s="853" t="s">
        <v>526</v>
      </c>
      <c r="G2687" s="913">
        <v>16</v>
      </c>
      <c r="H2687" t="s">
        <v>5953</v>
      </c>
    </row>
    <row r="2688" spans="2:8">
      <c r="B2688" s="871">
        <v>46278</v>
      </c>
      <c r="C2688" t="s">
        <v>2482</v>
      </c>
      <c r="D2688" t="s">
        <v>1376</v>
      </c>
      <c r="E2688" t="s">
        <v>1400</v>
      </c>
      <c r="F2688" s="853" t="s">
        <v>527</v>
      </c>
      <c r="G2688" s="913">
        <v>16</v>
      </c>
      <c r="H2688" t="s">
        <v>5954</v>
      </c>
    </row>
    <row r="2689" spans="2:8">
      <c r="B2689" s="871">
        <v>46278</v>
      </c>
      <c r="C2689" t="s">
        <v>2482</v>
      </c>
      <c r="D2689" t="s">
        <v>1376</v>
      </c>
      <c r="E2689" t="s">
        <v>1400</v>
      </c>
      <c r="F2689" s="853" t="s">
        <v>528</v>
      </c>
      <c r="G2689" s="913">
        <v>16</v>
      </c>
      <c r="H2689" t="s">
        <v>5955</v>
      </c>
    </row>
    <row r="2690" spans="2:8">
      <c r="B2690" s="871">
        <v>46278</v>
      </c>
      <c r="C2690" t="s">
        <v>2482</v>
      </c>
      <c r="D2690" t="s">
        <v>1375</v>
      </c>
      <c r="E2690" t="s">
        <v>3319</v>
      </c>
      <c r="F2690" s="853" t="s">
        <v>526</v>
      </c>
      <c r="G2690" s="913">
        <v>2</v>
      </c>
      <c r="H2690" t="s">
        <v>5956</v>
      </c>
    </row>
    <row r="2691" spans="2:8">
      <c r="B2691" s="871">
        <v>46278</v>
      </c>
      <c r="C2691" t="s">
        <v>2482</v>
      </c>
      <c r="D2691" t="s">
        <v>1375</v>
      </c>
      <c r="E2691" t="s">
        <v>3319</v>
      </c>
      <c r="F2691" s="853" t="s">
        <v>527</v>
      </c>
      <c r="G2691" s="913">
        <v>4</v>
      </c>
      <c r="H2691" t="s">
        <v>5957</v>
      </c>
    </row>
    <row r="2692" spans="2:8">
      <c r="B2692" s="871">
        <v>46278</v>
      </c>
      <c r="C2692" t="s">
        <v>2482</v>
      </c>
      <c r="D2692" t="s">
        <v>1375</v>
      </c>
      <c r="E2692" t="s">
        <v>3319</v>
      </c>
      <c r="F2692" s="853" t="s">
        <v>528</v>
      </c>
      <c r="G2692" s="913">
        <v>5</v>
      </c>
      <c r="H2692" t="s">
        <v>5958</v>
      </c>
    </row>
    <row r="2693" spans="2:8">
      <c r="B2693" s="871">
        <v>46278</v>
      </c>
      <c r="C2693" t="s">
        <v>2482</v>
      </c>
      <c r="D2693" t="s">
        <v>1376</v>
      </c>
      <c r="E2693" t="s">
        <v>1401</v>
      </c>
      <c r="F2693" s="853" t="s">
        <v>526</v>
      </c>
      <c r="G2693" s="913">
        <v>7.18</v>
      </c>
      <c r="H2693" t="s">
        <v>5959</v>
      </c>
    </row>
    <row r="2694" spans="2:8">
      <c r="B2694" s="871">
        <v>46278</v>
      </c>
      <c r="C2694" t="s">
        <v>2482</v>
      </c>
      <c r="D2694" t="s">
        <v>1376</v>
      </c>
      <c r="E2694" t="s">
        <v>1401</v>
      </c>
      <c r="F2694" s="853" t="s">
        <v>527</v>
      </c>
      <c r="G2694" s="913">
        <v>7.33</v>
      </c>
      <c r="H2694" t="s">
        <v>5960</v>
      </c>
    </row>
    <row r="2695" spans="2:8">
      <c r="B2695" s="871">
        <v>46278</v>
      </c>
      <c r="C2695" t="s">
        <v>2482</v>
      </c>
      <c r="D2695" t="s">
        <v>1376</v>
      </c>
      <c r="E2695" t="s">
        <v>1401</v>
      </c>
      <c r="F2695" s="853" t="s">
        <v>528</v>
      </c>
      <c r="G2695" s="913">
        <v>6.9</v>
      </c>
      <c r="H2695" t="s">
        <v>5961</v>
      </c>
    </row>
    <row r="2696" spans="2:8">
      <c r="B2696" s="871">
        <v>46278</v>
      </c>
      <c r="C2696" t="s">
        <v>2482</v>
      </c>
      <c r="D2696" t="s">
        <v>1375</v>
      </c>
      <c r="E2696" t="s">
        <v>3326</v>
      </c>
      <c r="F2696" s="853" t="s">
        <v>526</v>
      </c>
      <c r="G2696" s="913" t="s">
        <v>1583</v>
      </c>
      <c r="H2696" t="s">
        <v>5962</v>
      </c>
    </row>
    <row r="2697" spans="2:8">
      <c r="B2697" s="871">
        <v>46278</v>
      </c>
      <c r="C2697" t="s">
        <v>2482</v>
      </c>
      <c r="D2697" t="s">
        <v>1375</v>
      </c>
      <c r="E2697" t="s">
        <v>3326</v>
      </c>
      <c r="F2697" s="853" t="s">
        <v>527</v>
      </c>
      <c r="G2697" s="913" t="s">
        <v>1583</v>
      </c>
      <c r="H2697" t="s">
        <v>5963</v>
      </c>
    </row>
    <row r="2698" spans="2:8">
      <c r="B2698" s="871">
        <v>46278</v>
      </c>
      <c r="C2698" t="s">
        <v>2482</v>
      </c>
      <c r="D2698" t="s">
        <v>1375</v>
      </c>
      <c r="E2698" t="s">
        <v>3326</v>
      </c>
      <c r="F2698" s="853" t="s">
        <v>528</v>
      </c>
      <c r="G2698" s="913" t="s">
        <v>1583</v>
      </c>
      <c r="H2698" t="s">
        <v>5964</v>
      </c>
    </row>
    <row r="2699" spans="2:8">
      <c r="B2699" s="871">
        <v>46278</v>
      </c>
      <c r="C2699" t="s">
        <v>2482</v>
      </c>
      <c r="D2699" t="s">
        <v>1376</v>
      </c>
      <c r="E2699" t="s">
        <v>1403</v>
      </c>
      <c r="F2699" s="853" t="s">
        <v>526</v>
      </c>
      <c r="G2699" s="913">
        <v>600</v>
      </c>
      <c r="H2699" t="s">
        <v>5965</v>
      </c>
    </row>
    <row r="2700" spans="2:8">
      <c r="B2700" s="871">
        <v>46278</v>
      </c>
      <c r="C2700" t="s">
        <v>2482</v>
      </c>
      <c r="D2700" t="s">
        <v>1376</v>
      </c>
      <c r="E2700" t="s">
        <v>1403</v>
      </c>
      <c r="F2700" s="853" t="s">
        <v>527</v>
      </c>
      <c r="G2700" s="913">
        <v>560</v>
      </c>
      <c r="H2700" t="s">
        <v>5966</v>
      </c>
    </row>
    <row r="2701" spans="2:8">
      <c r="B2701" s="871">
        <v>46278</v>
      </c>
      <c r="C2701" t="s">
        <v>2482</v>
      </c>
      <c r="D2701" t="s">
        <v>1376</v>
      </c>
      <c r="E2701" t="s">
        <v>1403</v>
      </c>
      <c r="F2701" s="853" t="s">
        <v>528</v>
      </c>
      <c r="G2701" s="913">
        <v>840</v>
      </c>
      <c r="H2701" t="s">
        <v>5967</v>
      </c>
    </row>
    <row r="2702" spans="2:8">
      <c r="B2702" s="871">
        <v>46278</v>
      </c>
      <c r="C2702" t="s">
        <v>2482</v>
      </c>
      <c r="D2702" t="s">
        <v>1376</v>
      </c>
      <c r="E2702" t="s">
        <v>1404</v>
      </c>
      <c r="F2702" s="853" t="s">
        <v>526</v>
      </c>
      <c r="G2702" s="913">
        <v>3.97</v>
      </c>
      <c r="H2702" t="s">
        <v>5968</v>
      </c>
    </row>
    <row r="2703" spans="2:8">
      <c r="B2703" s="871">
        <v>46278</v>
      </c>
      <c r="C2703" t="s">
        <v>2482</v>
      </c>
      <c r="D2703" t="s">
        <v>1376</v>
      </c>
      <c r="E2703" t="s">
        <v>1404</v>
      </c>
      <c r="F2703" s="853" t="s">
        <v>527</v>
      </c>
      <c r="G2703" s="913">
        <v>1.71</v>
      </c>
      <c r="H2703" t="s">
        <v>5969</v>
      </c>
    </row>
    <row r="2704" spans="2:8">
      <c r="B2704" s="871">
        <v>46278</v>
      </c>
      <c r="C2704" t="s">
        <v>2482</v>
      </c>
      <c r="D2704" t="s">
        <v>1376</v>
      </c>
      <c r="E2704" t="s">
        <v>1404</v>
      </c>
      <c r="F2704" s="853" t="s">
        <v>528</v>
      </c>
      <c r="G2704" s="913">
        <v>3</v>
      </c>
      <c r="H2704" t="s">
        <v>5970</v>
      </c>
    </row>
    <row r="2705" spans="2:8">
      <c r="B2705" s="871">
        <v>46278</v>
      </c>
      <c r="C2705" t="s">
        <v>2482</v>
      </c>
      <c r="D2705" t="s">
        <v>1375</v>
      </c>
      <c r="E2705" t="s">
        <v>3336</v>
      </c>
      <c r="F2705" s="853" t="s">
        <v>526</v>
      </c>
      <c r="G2705" s="913" t="s">
        <v>1406</v>
      </c>
      <c r="H2705" t="s">
        <v>5971</v>
      </c>
    </row>
    <row r="2706" spans="2:8">
      <c r="B2706" s="871">
        <v>46278</v>
      </c>
      <c r="C2706" t="s">
        <v>2482</v>
      </c>
      <c r="D2706" t="s">
        <v>1375</v>
      </c>
      <c r="E2706" t="s">
        <v>3336</v>
      </c>
      <c r="F2706" s="853" t="s">
        <v>527</v>
      </c>
      <c r="G2706" s="913" t="s">
        <v>1406</v>
      </c>
      <c r="H2706" t="s">
        <v>5972</v>
      </c>
    </row>
    <row r="2707" spans="2:8">
      <c r="B2707" s="871">
        <v>46278</v>
      </c>
      <c r="C2707" t="s">
        <v>2482</v>
      </c>
      <c r="D2707" t="s">
        <v>1375</v>
      </c>
      <c r="E2707" t="s">
        <v>3336</v>
      </c>
      <c r="F2707" s="853" t="s">
        <v>528</v>
      </c>
      <c r="G2707" s="913" t="s">
        <v>1406</v>
      </c>
      <c r="H2707" t="s">
        <v>5973</v>
      </c>
    </row>
    <row r="2708" spans="2:8">
      <c r="B2708" s="871">
        <v>46278</v>
      </c>
      <c r="C2708" t="s">
        <v>2482</v>
      </c>
      <c r="D2708" t="s">
        <v>1376</v>
      </c>
      <c r="E2708" t="s">
        <v>1407</v>
      </c>
      <c r="F2708" s="853" t="s">
        <v>526</v>
      </c>
      <c r="G2708" s="913">
        <v>370</v>
      </c>
      <c r="H2708" t="s">
        <v>5974</v>
      </c>
    </row>
    <row r="2709" spans="2:8">
      <c r="B2709" s="871">
        <v>46278</v>
      </c>
      <c r="C2709" t="s">
        <v>2482</v>
      </c>
      <c r="D2709" t="s">
        <v>1376</v>
      </c>
      <c r="E2709" t="s">
        <v>1407</v>
      </c>
      <c r="F2709" s="853" t="s">
        <v>527</v>
      </c>
      <c r="G2709" s="913">
        <v>425</v>
      </c>
      <c r="H2709" t="s">
        <v>5975</v>
      </c>
    </row>
    <row r="2710" spans="2:8">
      <c r="B2710" s="871">
        <v>46278</v>
      </c>
      <c r="C2710" t="s">
        <v>2482</v>
      </c>
      <c r="D2710" t="s">
        <v>1376</v>
      </c>
      <c r="E2710" t="s">
        <v>1407</v>
      </c>
      <c r="F2710" s="853" t="s">
        <v>528</v>
      </c>
      <c r="G2710" s="913">
        <v>390</v>
      </c>
      <c r="H2710" t="s">
        <v>5976</v>
      </c>
    </row>
    <row r="2711" spans="2:8">
      <c r="B2711" s="871">
        <v>46278</v>
      </c>
      <c r="C2711" t="s">
        <v>2482</v>
      </c>
      <c r="D2711" t="s">
        <v>1376</v>
      </c>
      <c r="E2711" t="s">
        <v>1408</v>
      </c>
      <c r="F2711" s="853" t="s">
        <v>526</v>
      </c>
      <c r="G2711" s="913">
        <v>1017</v>
      </c>
      <c r="H2711" t="s">
        <v>5977</v>
      </c>
    </row>
    <row r="2712" spans="2:8">
      <c r="B2712" s="871">
        <v>46278</v>
      </c>
      <c r="C2712" t="s">
        <v>2482</v>
      </c>
      <c r="D2712" t="s">
        <v>1376</v>
      </c>
      <c r="E2712" t="s">
        <v>1408</v>
      </c>
      <c r="F2712" s="853" t="s">
        <v>527</v>
      </c>
      <c r="G2712" s="913">
        <v>1018</v>
      </c>
      <c r="H2712" t="s">
        <v>5978</v>
      </c>
    </row>
    <row r="2713" spans="2:8">
      <c r="B2713" s="871">
        <v>46278</v>
      </c>
      <c r="C2713" t="s">
        <v>2482</v>
      </c>
      <c r="D2713" t="s">
        <v>1376</v>
      </c>
      <c r="E2713" t="s">
        <v>1408</v>
      </c>
      <c r="F2713" s="853" t="s">
        <v>528</v>
      </c>
      <c r="G2713" s="913">
        <v>1050</v>
      </c>
      <c r="H2713" t="s">
        <v>5979</v>
      </c>
    </row>
    <row r="2714" spans="2:8">
      <c r="B2714" s="871">
        <v>46278</v>
      </c>
      <c r="C2714" t="s">
        <v>2482</v>
      </c>
      <c r="D2714" t="s">
        <v>1409</v>
      </c>
      <c r="E2714" t="s">
        <v>1411</v>
      </c>
      <c r="F2714" s="853" t="s">
        <v>526</v>
      </c>
      <c r="H2714" t="s">
        <v>5980</v>
      </c>
    </row>
    <row r="2715" spans="2:8">
      <c r="B2715" s="871">
        <v>46278</v>
      </c>
      <c r="C2715" t="s">
        <v>2482</v>
      </c>
      <c r="D2715" t="s">
        <v>1409</v>
      </c>
      <c r="E2715" t="s">
        <v>1411</v>
      </c>
      <c r="F2715" s="853" t="s">
        <v>527</v>
      </c>
      <c r="H2715" t="s">
        <v>5981</v>
      </c>
    </row>
    <row r="2716" spans="2:8">
      <c r="B2716" s="871">
        <v>46278</v>
      </c>
      <c r="C2716" t="s">
        <v>2482</v>
      </c>
      <c r="D2716" t="s">
        <v>1409</v>
      </c>
      <c r="E2716" t="s">
        <v>1411</v>
      </c>
      <c r="F2716" s="853" t="s">
        <v>528</v>
      </c>
      <c r="H2716" t="s">
        <v>5982</v>
      </c>
    </row>
    <row r="2717" spans="2:8">
      <c r="B2717" s="871">
        <v>46278</v>
      </c>
      <c r="C2717" t="s">
        <v>2482</v>
      </c>
      <c r="D2717" t="s">
        <v>1409</v>
      </c>
      <c r="E2717" t="s">
        <v>1413</v>
      </c>
      <c r="F2717" s="853" t="s">
        <v>526</v>
      </c>
      <c r="G2717" s="913" t="s">
        <v>1743</v>
      </c>
      <c r="H2717" t="s">
        <v>5983</v>
      </c>
    </row>
    <row r="2718" spans="2:8">
      <c r="B2718" s="871">
        <v>46278</v>
      </c>
      <c r="C2718" t="s">
        <v>2482</v>
      </c>
      <c r="D2718" t="s">
        <v>1409</v>
      </c>
      <c r="E2718" t="s">
        <v>1413</v>
      </c>
      <c r="F2718" s="853" t="s">
        <v>527</v>
      </c>
      <c r="G2718" s="913" t="s">
        <v>1743</v>
      </c>
      <c r="H2718" t="s">
        <v>5984</v>
      </c>
    </row>
    <row r="2719" spans="2:8">
      <c r="B2719" s="871">
        <v>46278</v>
      </c>
      <c r="C2719" t="s">
        <v>2482</v>
      </c>
      <c r="D2719" t="s">
        <v>1409</v>
      </c>
      <c r="E2719" t="s">
        <v>1413</v>
      </c>
      <c r="F2719" s="853" t="s">
        <v>528</v>
      </c>
      <c r="G2719" s="913" t="s">
        <v>1743</v>
      </c>
      <c r="H2719" t="s">
        <v>5985</v>
      </c>
    </row>
    <row r="2720" spans="2:8">
      <c r="B2720" s="871">
        <v>46278</v>
      </c>
      <c r="C2720" t="s">
        <v>2482</v>
      </c>
      <c r="D2720" t="s">
        <v>1410</v>
      </c>
      <c r="E2720" t="s">
        <v>3352</v>
      </c>
      <c r="F2720" s="853" t="s">
        <v>526</v>
      </c>
      <c r="G2720" s="913" t="s">
        <v>1418</v>
      </c>
      <c r="H2720" t="s">
        <v>5986</v>
      </c>
    </row>
    <row r="2721" spans="2:8">
      <c r="B2721" s="871">
        <v>46278</v>
      </c>
      <c r="C2721" t="s">
        <v>2482</v>
      </c>
      <c r="D2721" t="s">
        <v>1410</v>
      </c>
      <c r="E2721" t="s">
        <v>3352</v>
      </c>
      <c r="F2721" s="853" t="s">
        <v>527</v>
      </c>
      <c r="G2721" s="913" t="s">
        <v>1418</v>
      </c>
      <c r="H2721" t="s">
        <v>5987</v>
      </c>
    </row>
    <row r="2722" spans="2:8">
      <c r="B2722" s="871">
        <v>46278</v>
      </c>
      <c r="C2722" t="s">
        <v>2482</v>
      </c>
      <c r="D2722" t="s">
        <v>1410</v>
      </c>
      <c r="E2722" t="s">
        <v>3352</v>
      </c>
      <c r="F2722" s="853" t="s">
        <v>528</v>
      </c>
      <c r="G2722" s="913" t="s">
        <v>1418</v>
      </c>
      <c r="H2722" t="s">
        <v>5988</v>
      </c>
    </row>
    <row r="2723" spans="2:8">
      <c r="B2723" s="871">
        <v>46278</v>
      </c>
      <c r="C2723" t="s">
        <v>2482</v>
      </c>
      <c r="D2723" t="s">
        <v>1409</v>
      </c>
      <c r="E2723" t="s">
        <v>1420</v>
      </c>
      <c r="F2723" s="853" t="s">
        <v>526</v>
      </c>
      <c r="G2723" s="913" t="s">
        <v>1876</v>
      </c>
      <c r="H2723" t="s">
        <v>5989</v>
      </c>
    </row>
    <row r="2724" spans="2:8">
      <c r="B2724" s="871">
        <v>46278</v>
      </c>
      <c r="C2724" t="s">
        <v>2482</v>
      </c>
      <c r="D2724" t="s">
        <v>1409</v>
      </c>
      <c r="E2724" t="s">
        <v>1420</v>
      </c>
      <c r="F2724" s="853" t="s">
        <v>527</v>
      </c>
      <c r="G2724" s="913" t="s">
        <v>1422</v>
      </c>
      <c r="H2724" t="s">
        <v>5990</v>
      </c>
    </row>
    <row r="2725" spans="2:8">
      <c r="B2725" s="871">
        <v>46278</v>
      </c>
      <c r="C2725" t="s">
        <v>2482</v>
      </c>
      <c r="D2725" t="s">
        <v>1409</v>
      </c>
      <c r="E2725" t="s">
        <v>1420</v>
      </c>
      <c r="F2725" s="853" t="s">
        <v>528</v>
      </c>
      <c r="G2725" s="913" t="s">
        <v>1422</v>
      </c>
      <c r="H2725" t="s">
        <v>5991</v>
      </c>
    </row>
    <row r="2726" spans="2:8">
      <c r="B2726" s="871">
        <v>46278</v>
      </c>
      <c r="C2726" t="s">
        <v>2482</v>
      </c>
      <c r="D2726" t="s">
        <v>1410</v>
      </c>
      <c r="E2726" t="s">
        <v>3359</v>
      </c>
      <c r="F2726" s="853" t="s">
        <v>526</v>
      </c>
      <c r="G2726" s="913">
        <v>117</v>
      </c>
      <c r="H2726" t="s">
        <v>5992</v>
      </c>
    </row>
    <row r="2727" spans="2:8">
      <c r="B2727" s="871">
        <v>46278</v>
      </c>
      <c r="C2727" t="s">
        <v>2482</v>
      </c>
      <c r="D2727" t="s">
        <v>1410</v>
      </c>
      <c r="E2727" t="s">
        <v>3359</v>
      </c>
      <c r="F2727" s="853" t="s">
        <v>527</v>
      </c>
      <c r="G2727" s="913">
        <v>117</v>
      </c>
      <c r="H2727" t="s">
        <v>5993</v>
      </c>
    </row>
    <row r="2728" spans="2:8">
      <c r="B2728" s="871">
        <v>46278</v>
      </c>
      <c r="C2728" t="s">
        <v>2482</v>
      </c>
      <c r="D2728" t="s">
        <v>1410</v>
      </c>
      <c r="E2728" t="s">
        <v>3359</v>
      </c>
      <c r="F2728" s="853" t="s">
        <v>528</v>
      </c>
      <c r="G2728" s="913">
        <v>119</v>
      </c>
      <c r="H2728" t="s">
        <v>5994</v>
      </c>
    </row>
    <row r="2729" spans="2:8">
      <c r="B2729" s="871">
        <v>46278</v>
      </c>
      <c r="C2729" t="s">
        <v>2482</v>
      </c>
      <c r="D2729" t="s">
        <v>1409</v>
      </c>
      <c r="E2729" t="s">
        <v>1424</v>
      </c>
      <c r="F2729" s="853" t="s">
        <v>526</v>
      </c>
      <c r="H2729" t="s">
        <v>5995</v>
      </c>
    </row>
    <row r="2730" spans="2:8">
      <c r="B2730" s="871">
        <v>46278</v>
      </c>
      <c r="C2730" t="s">
        <v>2482</v>
      </c>
      <c r="D2730" t="s">
        <v>1409</v>
      </c>
      <c r="E2730" t="s">
        <v>1424</v>
      </c>
      <c r="F2730" s="853" t="s">
        <v>527</v>
      </c>
      <c r="H2730" t="s">
        <v>5996</v>
      </c>
    </row>
    <row r="2731" spans="2:8">
      <c r="B2731" s="871">
        <v>46278</v>
      </c>
      <c r="C2731" t="s">
        <v>2482</v>
      </c>
      <c r="D2731" t="s">
        <v>1409</v>
      </c>
      <c r="E2731" t="s">
        <v>1424</v>
      </c>
      <c r="F2731" s="853" t="s">
        <v>528</v>
      </c>
      <c r="H2731" t="s">
        <v>5997</v>
      </c>
    </row>
    <row r="2732" spans="2:8">
      <c r="B2732" s="871">
        <v>46278</v>
      </c>
      <c r="C2732" t="s">
        <v>2482</v>
      </c>
      <c r="D2732" t="s">
        <v>1410</v>
      </c>
      <c r="E2732" t="s">
        <v>3366</v>
      </c>
      <c r="F2732" s="853" t="s">
        <v>526</v>
      </c>
      <c r="G2732" s="913">
        <v>2595</v>
      </c>
      <c r="H2732" t="s">
        <v>5998</v>
      </c>
    </row>
    <row r="2733" spans="2:8">
      <c r="B2733" s="871">
        <v>46278</v>
      </c>
      <c r="C2733" t="s">
        <v>2482</v>
      </c>
      <c r="D2733" t="s">
        <v>1410</v>
      </c>
      <c r="E2733" t="s">
        <v>3366</v>
      </c>
      <c r="F2733" s="853" t="s">
        <v>527</v>
      </c>
      <c r="G2733" s="913">
        <v>2590</v>
      </c>
      <c r="H2733" t="s">
        <v>5999</v>
      </c>
    </row>
    <row r="2734" spans="2:8">
      <c r="B2734" s="871">
        <v>46278</v>
      </c>
      <c r="C2734" t="s">
        <v>2482</v>
      </c>
      <c r="D2734" t="s">
        <v>1410</v>
      </c>
      <c r="E2734" t="s">
        <v>3366</v>
      </c>
      <c r="F2734" s="853" t="s">
        <v>528</v>
      </c>
      <c r="G2734" s="913">
        <v>2584</v>
      </c>
      <c r="H2734" t="s">
        <v>6000</v>
      </c>
    </row>
    <row r="2735" spans="2:8">
      <c r="B2735" s="871">
        <v>46278</v>
      </c>
      <c r="C2735" t="s">
        <v>2482</v>
      </c>
      <c r="D2735" t="s">
        <v>1410</v>
      </c>
      <c r="E2735" t="s">
        <v>3370</v>
      </c>
      <c r="F2735" s="853" t="s">
        <v>526</v>
      </c>
      <c r="G2735" s="913" t="s">
        <v>1427</v>
      </c>
      <c r="H2735" t="s">
        <v>6001</v>
      </c>
    </row>
    <row r="2736" spans="2:8">
      <c r="B2736" s="871">
        <v>46278</v>
      </c>
      <c r="C2736" t="s">
        <v>2482</v>
      </c>
      <c r="D2736" t="s">
        <v>1410</v>
      </c>
      <c r="E2736" t="s">
        <v>3370</v>
      </c>
      <c r="F2736" s="853" t="s">
        <v>527</v>
      </c>
      <c r="G2736" s="913" t="s">
        <v>1427</v>
      </c>
      <c r="H2736" t="s">
        <v>6002</v>
      </c>
    </row>
    <row r="2737" spans="2:8">
      <c r="B2737" s="871">
        <v>46278</v>
      </c>
      <c r="C2737" t="s">
        <v>2482</v>
      </c>
      <c r="D2737" t="s">
        <v>1410</v>
      </c>
      <c r="E2737" t="s">
        <v>3370</v>
      </c>
      <c r="F2737" s="853" t="s">
        <v>528</v>
      </c>
      <c r="G2737" s="913" t="s">
        <v>1427</v>
      </c>
      <c r="H2737" t="s">
        <v>6003</v>
      </c>
    </row>
    <row r="2738" spans="2:8">
      <c r="B2738" s="871">
        <v>46278</v>
      </c>
      <c r="C2738" t="s">
        <v>2482</v>
      </c>
      <c r="D2738" t="s">
        <v>1410</v>
      </c>
      <c r="E2738" t="s">
        <v>3374</v>
      </c>
      <c r="F2738" s="853" t="s">
        <v>526</v>
      </c>
      <c r="G2738" s="913">
        <v>1.7</v>
      </c>
      <c r="H2738" t="s">
        <v>6004</v>
      </c>
    </row>
    <row r="2739" spans="2:8">
      <c r="B2739" s="871">
        <v>46278</v>
      </c>
      <c r="C2739" t="s">
        <v>2482</v>
      </c>
      <c r="D2739" t="s">
        <v>1410</v>
      </c>
      <c r="E2739" t="s">
        <v>3374</v>
      </c>
      <c r="F2739" s="853" t="s">
        <v>527</v>
      </c>
      <c r="G2739" s="913">
        <v>3.2</v>
      </c>
      <c r="H2739" t="s">
        <v>6005</v>
      </c>
    </row>
    <row r="2740" spans="2:8">
      <c r="B2740" s="871">
        <v>46278</v>
      </c>
      <c r="C2740" t="s">
        <v>2482</v>
      </c>
      <c r="D2740" t="s">
        <v>1410</v>
      </c>
      <c r="E2740" t="s">
        <v>3374</v>
      </c>
      <c r="F2740" s="853" t="s">
        <v>528</v>
      </c>
      <c r="G2740" s="913">
        <v>2</v>
      </c>
      <c r="H2740" t="s">
        <v>6006</v>
      </c>
    </row>
    <row r="2741" spans="2:8">
      <c r="B2741" s="871">
        <v>46278</v>
      </c>
      <c r="C2741" t="s">
        <v>2482</v>
      </c>
      <c r="D2741" t="s">
        <v>1410</v>
      </c>
      <c r="E2741" t="s">
        <v>3378</v>
      </c>
      <c r="F2741" s="853" t="s">
        <v>526</v>
      </c>
      <c r="G2741" s="913" t="s">
        <v>1627</v>
      </c>
      <c r="H2741" t="s">
        <v>6007</v>
      </c>
    </row>
    <row r="2742" spans="2:8">
      <c r="B2742" s="871">
        <v>46278</v>
      </c>
      <c r="C2742" t="s">
        <v>2482</v>
      </c>
      <c r="D2742" t="s">
        <v>1410</v>
      </c>
      <c r="E2742" t="s">
        <v>3378</v>
      </c>
      <c r="F2742" s="853" t="s">
        <v>527</v>
      </c>
      <c r="G2742" s="913" t="s">
        <v>1627</v>
      </c>
      <c r="H2742" t="s">
        <v>6008</v>
      </c>
    </row>
    <row r="2743" spans="2:8">
      <c r="B2743" s="871">
        <v>46278</v>
      </c>
      <c r="C2743" t="s">
        <v>2482</v>
      </c>
      <c r="D2743" t="s">
        <v>1410</v>
      </c>
      <c r="E2743" t="s">
        <v>3378</v>
      </c>
      <c r="F2743" s="853" t="s">
        <v>528</v>
      </c>
      <c r="G2743" s="913" t="s">
        <v>1627</v>
      </c>
      <c r="H2743" t="s">
        <v>6009</v>
      </c>
    </row>
    <row r="2744" spans="2:8">
      <c r="B2744" s="871">
        <v>46278</v>
      </c>
      <c r="C2744" t="s">
        <v>2482</v>
      </c>
      <c r="D2744" t="s">
        <v>1410</v>
      </c>
      <c r="E2744" t="s">
        <v>3382</v>
      </c>
      <c r="F2744" s="853" t="s">
        <v>526</v>
      </c>
      <c r="G2744" s="913">
        <v>114</v>
      </c>
      <c r="H2744" t="s">
        <v>6010</v>
      </c>
    </row>
    <row r="2745" spans="2:8">
      <c r="B2745" s="871">
        <v>46278</v>
      </c>
      <c r="C2745" t="s">
        <v>2482</v>
      </c>
      <c r="D2745" t="s">
        <v>1410</v>
      </c>
      <c r="E2745" t="s">
        <v>3382</v>
      </c>
      <c r="F2745" s="853" t="s">
        <v>527</v>
      </c>
      <c r="G2745" s="913">
        <v>112</v>
      </c>
      <c r="H2745" t="s">
        <v>6011</v>
      </c>
    </row>
    <row r="2746" spans="2:8">
      <c r="B2746" s="871">
        <v>46278</v>
      </c>
      <c r="C2746" t="s">
        <v>2482</v>
      </c>
      <c r="D2746" t="s">
        <v>1410</v>
      </c>
      <c r="E2746" t="s">
        <v>3382</v>
      </c>
      <c r="F2746" s="853" t="s">
        <v>528</v>
      </c>
      <c r="G2746" s="913">
        <v>112</v>
      </c>
      <c r="H2746" t="s">
        <v>6012</v>
      </c>
    </row>
    <row r="2747" spans="2:8">
      <c r="B2747" s="871">
        <v>46278</v>
      </c>
      <c r="C2747" t="s">
        <v>2482</v>
      </c>
      <c r="D2747" t="s">
        <v>1409</v>
      </c>
      <c r="E2747" t="s">
        <v>1431</v>
      </c>
      <c r="F2747" s="853" t="s">
        <v>526</v>
      </c>
      <c r="H2747" t="s">
        <v>6013</v>
      </c>
    </row>
    <row r="2748" spans="2:8">
      <c r="B2748" s="871">
        <v>46278</v>
      </c>
      <c r="C2748" t="s">
        <v>2482</v>
      </c>
      <c r="D2748" t="s">
        <v>1409</v>
      </c>
      <c r="E2748" t="s">
        <v>1431</v>
      </c>
      <c r="F2748" s="853" t="s">
        <v>527</v>
      </c>
      <c r="H2748" t="s">
        <v>6014</v>
      </c>
    </row>
    <row r="2749" spans="2:8">
      <c r="B2749" s="871">
        <v>46278</v>
      </c>
      <c r="C2749" t="s">
        <v>2482</v>
      </c>
      <c r="D2749" t="s">
        <v>1409</v>
      </c>
      <c r="E2749" t="s">
        <v>1431</v>
      </c>
      <c r="F2749" s="853" t="s">
        <v>528</v>
      </c>
      <c r="H2749" t="s">
        <v>6015</v>
      </c>
    </row>
    <row r="2750" spans="2:8">
      <c r="B2750" s="871">
        <v>46278</v>
      </c>
      <c r="C2750" t="s">
        <v>2482</v>
      </c>
      <c r="D2750" t="s">
        <v>1410</v>
      </c>
      <c r="E2750" t="s">
        <v>3389</v>
      </c>
      <c r="F2750" s="853" t="s">
        <v>526</v>
      </c>
      <c r="G2750" s="913">
        <v>2710</v>
      </c>
      <c r="H2750" t="s">
        <v>6016</v>
      </c>
    </row>
    <row r="2751" spans="2:8">
      <c r="B2751" s="871">
        <v>46278</v>
      </c>
      <c r="C2751" t="s">
        <v>2482</v>
      </c>
      <c r="D2751" t="s">
        <v>1410</v>
      </c>
      <c r="E2751" t="s">
        <v>3389</v>
      </c>
      <c r="F2751" s="853" t="s">
        <v>527</v>
      </c>
      <c r="G2751" s="913">
        <v>2720</v>
      </c>
      <c r="H2751" t="s">
        <v>6017</v>
      </c>
    </row>
    <row r="2752" spans="2:8">
      <c r="B2752" s="871">
        <v>46278</v>
      </c>
      <c r="C2752" t="s">
        <v>2482</v>
      </c>
      <c r="D2752" t="s">
        <v>1410</v>
      </c>
      <c r="E2752" t="s">
        <v>3389</v>
      </c>
      <c r="F2752" s="853" t="s">
        <v>528</v>
      </c>
      <c r="G2752" s="913">
        <v>3060</v>
      </c>
      <c r="H2752" t="s">
        <v>6018</v>
      </c>
    </row>
    <row r="2753" spans="2:8">
      <c r="B2753" s="871">
        <v>46278</v>
      </c>
      <c r="C2753" t="s">
        <v>2482</v>
      </c>
      <c r="D2753" t="s">
        <v>1410</v>
      </c>
      <c r="E2753" t="s">
        <v>3393</v>
      </c>
      <c r="F2753" s="853" t="s">
        <v>526</v>
      </c>
      <c r="G2753" s="913" t="s">
        <v>1663</v>
      </c>
      <c r="H2753" t="s">
        <v>6019</v>
      </c>
    </row>
    <row r="2754" spans="2:8">
      <c r="B2754" s="871">
        <v>46278</v>
      </c>
      <c r="C2754" t="s">
        <v>2482</v>
      </c>
      <c r="D2754" t="s">
        <v>1410</v>
      </c>
      <c r="E2754" t="s">
        <v>3393</v>
      </c>
      <c r="F2754" s="853" t="s">
        <v>527</v>
      </c>
      <c r="G2754" s="913" t="s">
        <v>1877</v>
      </c>
      <c r="H2754" t="s">
        <v>6020</v>
      </c>
    </row>
    <row r="2755" spans="2:8">
      <c r="B2755" s="871">
        <v>46278</v>
      </c>
      <c r="C2755" t="s">
        <v>2482</v>
      </c>
      <c r="D2755" t="s">
        <v>1410</v>
      </c>
      <c r="E2755" t="s">
        <v>3393</v>
      </c>
      <c r="F2755" s="853" t="s">
        <v>528</v>
      </c>
      <c r="G2755" s="913" t="s">
        <v>1663</v>
      </c>
      <c r="H2755" t="s">
        <v>6021</v>
      </c>
    </row>
    <row r="2756" spans="2:8">
      <c r="B2756" s="871">
        <v>46278</v>
      </c>
      <c r="C2756" t="s">
        <v>2482</v>
      </c>
      <c r="D2756" t="s">
        <v>1410</v>
      </c>
      <c r="E2756" t="s">
        <v>3397</v>
      </c>
      <c r="F2756" s="853" t="s">
        <v>526</v>
      </c>
      <c r="G2756" s="913" t="s">
        <v>1435</v>
      </c>
      <c r="H2756" t="s">
        <v>6022</v>
      </c>
    </row>
    <row r="2757" spans="2:8">
      <c r="B2757" s="871">
        <v>46278</v>
      </c>
      <c r="C2757" t="s">
        <v>2482</v>
      </c>
      <c r="D2757" t="s">
        <v>1410</v>
      </c>
      <c r="E2757" t="s">
        <v>3397</v>
      </c>
      <c r="F2757" s="853" t="s">
        <v>527</v>
      </c>
      <c r="G2757" s="913" t="s">
        <v>1435</v>
      </c>
      <c r="H2757" t="s">
        <v>6023</v>
      </c>
    </row>
    <row r="2758" spans="2:8">
      <c r="B2758" s="871">
        <v>46278</v>
      </c>
      <c r="C2758" t="s">
        <v>2482</v>
      </c>
      <c r="D2758" t="s">
        <v>1410</v>
      </c>
      <c r="E2758" t="s">
        <v>3397</v>
      </c>
      <c r="F2758" s="853" t="s">
        <v>528</v>
      </c>
      <c r="G2758" s="913" t="s">
        <v>1435</v>
      </c>
      <c r="H2758" t="s">
        <v>6024</v>
      </c>
    </row>
    <row r="2759" spans="2:8">
      <c r="B2759" s="871">
        <v>46278</v>
      </c>
      <c r="C2759" t="s">
        <v>2482</v>
      </c>
      <c r="D2759" t="s">
        <v>1434</v>
      </c>
      <c r="E2759" t="s">
        <v>42</v>
      </c>
      <c r="F2759" s="853" t="s">
        <v>526</v>
      </c>
      <c r="G2759" s="913" t="s">
        <v>1862</v>
      </c>
      <c r="H2759" t="s">
        <v>6025</v>
      </c>
    </row>
    <row r="2760" spans="2:8">
      <c r="B2760" s="871">
        <v>46278</v>
      </c>
      <c r="C2760" t="s">
        <v>2482</v>
      </c>
      <c r="D2760" t="s">
        <v>1434</v>
      </c>
      <c r="E2760" t="s">
        <v>42</v>
      </c>
      <c r="F2760" s="853" t="s">
        <v>527</v>
      </c>
      <c r="G2760" s="913" t="s">
        <v>1862</v>
      </c>
      <c r="H2760" t="s">
        <v>6026</v>
      </c>
    </row>
    <row r="2761" spans="2:8">
      <c r="B2761" s="871">
        <v>46278</v>
      </c>
      <c r="C2761" t="s">
        <v>2482</v>
      </c>
      <c r="D2761" t="s">
        <v>1434</v>
      </c>
      <c r="E2761" t="s">
        <v>42</v>
      </c>
      <c r="F2761" s="853" t="s">
        <v>528</v>
      </c>
      <c r="G2761" s="913" t="s">
        <v>1862</v>
      </c>
      <c r="H2761" t="s">
        <v>6027</v>
      </c>
    </row>
    <row r="2762" spans="2:8">
      <c r="B2762" s="871">
        <v>46278</v>
      </c>
      <c r="C2762" t="s">
        <v>2482</v>
      </c>
      <c r="D2762" t="s">
        <v>1410</v>
      </c>
      <c r="E2762" t="s">
        <v>3404</v>
      </c>
      <c r="F2762" s="853" t="s">
        <v>526</v>
      </c>
      <c r="G2762" s="913" t="s">
        <v>1419</v>
      </c>
      <c r="H2762" t="s">
        <v>6028</v>
      </c>
    </row>
    <row r="2763" spans="2:8">
      <c r="B2763" s="871">
        <v>46278</v>
      </c>
      <c r="C2763" t="s">
        <v>2482</v>
      </c>
      <c r="D2763" t="s">
        <v>1410</v>
      </c>
      <c r="E2763" t="s">
        <v>3404</v>
      </c>
      <c r="F2763" s="853" t="s">
        <v>527</v>
      </c>
      <c r="G2763" s="913" t="s">
        <v>1419</v>
      </c>
      <c r="H2763" t="s">
        <v>6029</v>
      </c>
    </row>
    <row r="2764" spans="2:8">
      <c r="B2764" s="871">
        <v>46278</v>
      </c>
      <c r="C2764" t="s">
        <v>2482</v>
      </c>
      <c r="D2764" t="s">
        <v>1410</v>
      </c>
      <c r="E2764" t="s">
        <v>3404</v>
      </c>
      <c r="F2764" s="853" t="s">
        <v>528</v>
      </c>
      <c r="G2764" s="913" t="s">
        <v>1419</v>
      </c>
      <c r="H2764" t="s">
        <v>6030</v>
      </c>
    </row>
    <row r="2765" spans="2:8">
      <c r="B2765" s="871">
        <v>46278</v>
      </c>
      <c r="C2765" t="s">
        <v>2482</v>
      </c>
      <c r="D2765" t="s">
        <v>1434</v>
      </c>
      <c r="E2765" t="s">
        <v>1439</v>
      </c>
      <c r="F2765" s="853" t="s">
        <v>526</v>
      </c>
      <c r="G2765" s="913" t="s">
        <v>1440</v>
      </c>
      <c r="H2765" t="s">
        <v>6031</v>
      </c>
    </row>
    <row r="2766" spans="2:8">
      <c r="B2766" s="871">
        <v>46278</v>
      </c>
      <c r="C2766" t="s">
        <v>2482</v>
      </c>
      <c r="D2766" t="s">
        <v>1434</v>
      </c>
      <c r="E2766" t="s">
        <v>1439</v>
      </c>
      <c r="F2766" s="853" t="s">
        <v>527</v>
      </c>
      <c r="G2766" s="913" t="s">
        <v>1440</v>
      </c>
      <c r="H2766" t="s">
        <v>6032</v>
      </c>
    </row>
    <row r="2767" spans="2:8">
      <c r="B2767" s="871">
        <v>46278</v>
      </c>
      <c r="C2767" t="s">
        <v>2482</v>
      </c>
      <c r="D2767" t="s">
        <v>1434</v>
      </c>
      <c r="E2767" t="s">
        <v>1439</v>
      </c>
      <c r="F2767" s="853" t="s">
        <v>528</v>
      </c>
      <c r="G2767" s="913" t="s">
        <v>1440</v>
      </c>
      <c r="H2767" t="s">
        <v>6033</v>
      </c>
    </row>
    <row r="2768" spans="2:8">
      <c r="B2768" s="871">
        <v>46278</v>
      </c>
      <c r="C2768" t="s">
        <v>2482</v>
      </c>
      <c r="D2768" t="s">
        <v>1410</v>
      </c>
      <c r="E2768" t="s">
        <v>3411</v>
      </c>
      <c r="F2768" s="853" t="s">
        <v>526</v>
      </c>
      <c r="G2768" s="913">
        <v>47</v>
      </c>
      <c r="H2768" t="s">
        <v>6034</v>
      </c>
    </row>
    <row r="2769" spans="2:8">
      <c r="B2769" s="871">
        <v>46278</v>
      </c>
      <c r="C2769" t="s">
        <v>2482</v>
      </c>
      <c r="D2769" t="s">
        <v>1410</v>
      </c>
      <c r="E2769" t="s">
        <v>3411</v>
      </c>
      <c r="F2769" s="853" t="s">
        <v>527</v>
      </c>
      <c r="G2769" s="913">
        <v>47</v>
      </c>
      <c r="H2769" t="s">
        <v>6035</v>
      </c>
    </row>
    <row r="2770" spans="2:8">
      <c r="B2770" s="871">
        <v>46278</v>
      </c>
      <c r="C2770" t="s">
        <v>2482</v>
      </c>
      <c r="D2770" t="s">
        <v>1410</v>
      </c>
      <c r="E2770" t="s">
        <v>3411</v>
      </c>
      <c r="F2770" s="853" t="s">
        <v>528</v>
      </c>
      <c r="G2770" s="913">
        <v>68</v>
      </c>
      <c r="H2770" t="s">
        <v>6036</v>
      </c>
    </row>
    <row r="2771" spans="2:8">
      <c r="B2771" s="871">
        <v>46278</v>
      </c>
      <c r="C2771" t="s">
        <v>2482</v>
      </c>
      <c r="D2771" t="s">
        <v>1434</v>
      </c>
      <c r="E2771" t="s">
        <v>43</v>
      </c>
      <c r="F2771" s="853" t="s">
        <v>526</v>
      </c>
      <c r="G2771" s="913" t="s">
        <v>1863</v>
      </c>
      <c r="H2771" t="s">
        <v>6037</v>
      </c>
    </row>
    <row r="2772" spans="2:8">
      <c r="B2772" s="871">
        <v>46278</v>
      </c>
      <c r="C2772" t="s">
        <v>2482</v>
      </c>
      <c r="D2772" t="s">
        <v>1434</v>
      </c>
      <c r="E2772" t="s">
        <v>43</v>
      </c>
      <c r="F2772" s="853" t="s">
        <v>527</v>
      </c>
      <c r="G2772" s="913" t="s">
        <v>1863</v>
      </c>
      <c r="H2772" t="s">
        <v>6038</v>
      </c>
    </row>
    <row r="2773" spans="2:8">
      <c r="B2773" s="871">
        <v>46278</v>
      </c>
      <c r="C2773" t="s">
        <v>2482</v>
      </c>
      <c r="D2773" t="s">
        <v>1434</v>
      </c>
      <c r="E2773" t="s">
        <v>43</v>
      </c>
      <c r="F2773" s="853" t="s">
        <v>528</v>
      </c>
      <c r="G2773" s="913" t="s">
        <v>1863</v>
      </c>
      <c r="H2773" t="s">
        <v>6039</v>
      </c>
    </row>
    <row r="2774" spans="2:8">
      <c r="B2774" s="871">
        <v>46278</v>
      </c>
      <c r="C2774" t="s">
        <v>2482</v>
      </c>
      <c r="D2774" t="s">
        <v>1410</v>
      </c>
      <c r="E2774" t="s">
        <v>3418</v>
      </c>
      <c r="F2774" s="853" t="s">
        <v>526</v>
      </c>
      <c r="G2774" s="913">
        <v>94</v>
      </c>
      <c r="H2774" t="s">
        <v>6040</v>
      </c>
    </row>
    <row r="2775" spans="2:8">
      <c r="B2775" s="871">
        <v>46278</v>
      </c>
      <c r="C2775" t="s">
        <v>2482</v>
      </c>
      <c r="D2775" t="s">
        <v>1410</v>
      </c>
      <c r="E2775" t="s">
        <v>3418</v>
      </c>
      <c r="F2775" s="853" t="s">
        <v>527</v>
      </c>
      <c r="G2775" s="913">
        <v>65</v>
      </c>
      <c r="H2775" t="s">
        <v>6041</v>
      </c>
    </row>
    <row r="2776" spans="2:8">
      <c r="B2776" s="871">
        <v>46278</v>
      </c>
      <c r="C2776" t="s">
        <v>2482</v>
      </c>
      <c r="D2776" t="s">
        <v>1410</v>
      </c>
      <c r="E2776" t="s">
        <v>3418</v>
      </c>
      <c r="F2776" s="853" t="s">
        <v>528</v>
      </c>
      <c r="G2776" s="913">
        <v>69</v>
      </c>
      <c r="H2776" t="s">
        <v>6042</v>
      </c>
    </row>
    <row r="2777" spans="2:8">
      <c r="B2777" s="871">
        <v>46278</v>
      </c>
      <c r="C2777" t="s">
        <v>2482</v>
      </c>
      <c r="D2777" t="s">
        <v>1434</v>
      </c>
      <c r="E2777" t="s">
        <v>1441</v>
      </c>
      <c r="F2777" s="853" t="s">
        <v>526</v>
      </c>
      <c r="H2777" t="s">
        <v>6043</v>
      </c>
    </row>
    <row r="2778" spans="2:8">
      <c r="B2778" s="871">
        <v>46278</v>
      </c>
      <c r="C2778" t="s">
        <v>2482</v>
      </c>
      <c r="D2778" t="s">
        <v>1434</v>
      </c>
      <c r="E2778" t="s">
        <v>1441</v>
      </c>
      <c r="F2778" s="853" t="s">
        <v>527</v>
      </c>
      <c r="H2778" t="s">
        <v>6044</v>
      </c>
    </row>
    <row r="2779" spans="2:8">
      <c r="B2779" s="871">
        <v>46278</v>
      </c>
      <c r="C2779" t="s">
        <v>2482</v>
      </c>
      <c r="D2779" t="s">
        <v>1434</v>
      </c>
      <c r="E2779" t="s">
        <v>1441</v>
      </c>
      <c r="F2779" s="853" t="s">
        <v>528</v>
      </c>
      <c r="H2779" t="s">
        <v>6045</v>
      </c>
    </row>
    <row r="2780" spans="2:8">
      <c r="B2780" s="871">
        <v>46278</v>
      </c>
      <c r="C2780" t="s">
        <v>2482</v>
      </c>
      <c r="D2780" t="s">
        <v>1410</v>
      </c>
      <c r="E2780" t="s">
        <v>3425</v>
      </c>
      <c r="F2780" s="853" t="s">
        <v>526</v>
      </c>
      <c r="G2780" s="913" t="s">
        <v>1443</v>
      </c>
      <c r="H2780" t="s">
        <v>6046</v>
      </c>
    </row>
    <row r="2781" spans="2:8">
      <c r="B2781" s="871">
        <v>46278</v>
      </c>
      <c r="C2781" t="s">
        <v>2482</v>
      </c>
      <c r="D2781" t="s">
        <v>1410</v>
      </c>
      <c r="E2781" t="s">
        <v>3425</v>
      </c>
      <c r="F2781" s="853" t="s">
        <v>527</v>
      </c>
      <c r="G2781" s="913" t="s">
        <v>1443</v>
      </c>
      <c r="H2781" t="s">
        <v>6047</v>
      </c>
    </row>
    <row r="2782" spans="2:8">
      <c r="B2782" s="871">
        <v>46278</v>
      </c>
      <c r="C2782" t="s">
        <v>2482</v>
      </c>
      <c r="D2782" t="s">
        <v>1410</v>
      </c>
      <c r="E2782" t="s">
        <v>3425</v>
      </c>
      <c r="F2782" s="853" t="s">
        <v>528</v>
      </c>
      <c r="G2782" s="913" t="s">
        <v>1443</v>
      </c>
      <c r="H2782" t="s">
        <v>6048</v>
      </c>
    </row>
    <row r="2783" spans="2:8">
      <c r="B2783" s="871">
        <v>46278</v>
      </c>
      <c r="C2783" t="s">
        <v>2482</v>
      </c>
      <c r="D2783" t="s">
        <v>1434</v>
      </c>
      <c r="E2783" t="s">
        <v>1444</v>
      </c>
      <c r="F2783" s="853" t="s">
        <v>526</v>
      </c>
      <c r="H2783" t="s">
        <v>6049</v>
      </c>
    </row>
    <row r="2784" spans="2:8">
      <c r="B2784" s="871">
        <v>46278</v>
      </c>
      <c r="C2784" t="s">
        <v>2482</v>
      </c>
      <c r="D2784" t="s">
        <v>1434</v>
      </c>
      <c r="E2784" t="s">
        <v>1444</v>
      </c>
      <c r="F2784" s="853" t="s">
        <v>527</v>
      </c>
      <c r="H2784" t="s">
        <v>6050</v>
      </c>
    </row>
    <row r="2785" spans="2:8">
      <c r="B2785" s="871">
        <v>46278</v>
      </c>
      <c r="C2785" t="s">
        <v>2482</v>
      </c>
      <c r="D2785" t="s">
        <v>1434</v>
      </c>
      <c r="E2785" t="s">
        <v>1444</v>
      </c>
      <c r="F2785" s="853" t="s">
        <v>528</v>
      </c>
      <c r="H2785" t="s">
        <v>6051</v>
      </c>
    </row>
    <row r="2786" spans="2:8">
      <c r="B2786" s="871">
        <v>46278</v>
      </c>
      <c r="C2786" t="s">
        <v>2482</v>
      </c>
      <c r="D2786" t="s">
        <v>1434</v>
      </c>
      <c r="E2786" t="s">
        <v>1446</v>
      </c>
      <c r="F2786" s="853" t="s">
        <v>526</v>
      </c>
      <c r="G2786" s="913">
        <v>22500</v>
      </c>
      <c r="H2786" t="s">
        <v>6052</v>
      </c>
    </row>
    <row r="2787" spans="2:8">
      <c r="B2787" s="871">
        <v>46278</v>
      </c>
      <c r="C2787" t="s">
        <v>2482</v>
      </c>
      <c r="D2787" t="s">
        <v>1434</v>
      </c>
      <c r="E2787" t="s">
        <v>1446</v>
      </c>
      <c r="F2787" s="853" t="s">
        <v>527</v>
      </c>
      <c r="G2787" s="913">
        <v>163500</v>
      </c>
      <c r="H2787" t="s">
        <v>6053</v>
      </c>
    </row>
    <row r="2788" spans="2:8">
      <c r="B2788" s="871">
        <v>46278</v>
      </c>
      <c r="C2788" t="s">
        <v>2482</v>
      </c>
      <c r="D2788" t="s">
        <v>1434</v>
      </c>
      <c r="E2788" t="s">
        <v>1446</v>
      </c>
      <c r="F2788" s="853" t="s">
        <v>528</v>
      </c>
      <c r="G2788" s="913">
        <v>177518</v>
      </c>
      <c r="H2788" t="s">
        <v>6054</v>
      </c>
    </row>
    <row r="2789" spans="2:8">
      <c r="B2789" s="871">
        <v>46278</v>
      </c>
      <c r="C2789" t="s">
        <v>2482</v>
      </c>
      <c r="D2789" t="s">
        <v>1410</v>
      </c>
      <c r="E2789" t="s">
        <v>3435</v>
      </c>
      <c r="F2789" s="853" t="s">
        <v>526</v>
      </c>
      <c r="G2789" s="913" t="s">
        <v>1586</v>
      </c>
      <c r="H2789" t="s">
        <v>6055</v>
      </c>
    </row>
    <row r="2790" spans="2:8">
      <c r="B2790" s="871">
        <v>46278</v>
      </c>
      <c r="C2790" t="s">
        <v>2482</v>
      </c>
      <c r="D2790" t="s">
        <v>1410</v>
      </c>
      <c r="E2790" t="s">
        <v>3435</v>
      </c>
      <c r="F2790" s="853" t="s">
        <v>527</v>
      </c>
      <c r="G2790" s="913" t="s">
        <v>1586</v>
      </c>
      <c r="H2790" t="s">
        <v>6056</v>
      </c>
    </row>
    <row r="2791" spans="2:8">
      <c r="B2791" s="871">
        <v>46278</v>
      </c>
      <c r="C2791" t="s">
        <v>2482</v>
      </c>
      <c r="D2791" t="s">
        <v>1410</v>
      </c>
      <c r="E2791" t="s">
        <v>3435</v>
      </c>
      <c r="F2791" s="853" t="s">
        <v>528</v>
      </c>
      <c r="G2791" s="913" t="s">
        <v>1586</v>
      </c>
      <c r="H2791" t="s">
        <v>6057</v>
      </c>
    </row>
    <row r="2792" spans="2:8">
      <c r="B2792" s="871">
        <v>46278</v>
      </c>
      <c r="C2792" t="s">
        <v>2482</v>
      </c>
      <c r="D2792" t="s">
        <v>1434</v>
      </c>
      <c r="E2792" t="s">
        <v>3439</v>
      </c>
      <c r="F2792" s="853" t="s">
        <v>526</v>
      </c>
      <c r="H2792" t="s">
        <v>6058</v>
      </c>
    </row>
    <row r="2793" spans="2:8">
      <c r="B2793" s="871">
        <v>46278</v>
      </c>
      <c r="C2793" t="s">
        <v>2482</v>
      </c>
      <c r="D2793" t="s">
        <v>1434</v>
      </c>
      <c r="E2793" t="s">
        <v>3439</v>
      </c>
      <c r="F2793" s="853" t="s">
        <v>527</v>
      </c>
      <c r="H2793" t="s">
        <v>6059</v>
      </c>
    </row>
    <row r="2794" spans="2:8">
      <c r="B2794" s="871">
        <v>46278</v>
      </c>
      <c r="C2794" t="s">
        <v>2482</v>
      </c>
      <c r="D2794" t="s">
        <v>1434</v>
      </c>
      <c r="E2794" t="s">
        <v>3439</v>
      </c>
      <c r="F2794" s="853" t="s">
        <v>528</v>
      </c>
      <c r="H2794" t="s">
        <v>6060</v>
      </c>
    </row>
    <row r="2795" spans="2:8">
      <c r="B2795" s="871">
        <v>46278</v>
      </c>
      <c r="C2795" t="s">
        <v>2482</v>
      </c>
      <c r="D2795" t="s">
        <v>1410</v>
      </c>
      <c r="E2795" t="s">
        <v>3443</v>
      </c>
      <c r="F2795" s="853" t="s">
        <v>526</v>
      </c>
      <c r="H2795" t="s">
        <v>6061</v>
      </c>
    </row>
    <row r="2796" spans="2:8">
      <c r="B2796" s="871">
        <v>46278</v>
      </c>
      <c r="C2796" t="s">
        <v>2482</v>
      </c>
      <c r="D2796" t="s">
        <v>1410</v>
      </c>
      <c r="E2796" t="s">
        <v>3443</v>
      </c>
      <c r="F2796" s="853" t="s">
        <v>527</v>
      </c>
      <c r="H2796" t="s">
        <v>6062</v>
      </c>
    </row>
    <row r="2797" spans="2:8">
      <c r="B2797" s="871">
        <v>46278</v>
      </c>
      <c r="C2797" t="s">
        <v>2482</v>
      </c>
      <c r="D2797" t="s">
        <v>1410</v>
      </c>
      <c r="E2797" t="s">
        <v>3443</v>
      </c>
      <c r="F2797" s="853" t="s">
        <v>528</v>
      </c>
      <c r="H2797" t="s">
        <v>6063</v>
      </c>
    </row>
    <row r="2798" spans="2:8">
      <c r="B2798" s="871">
        <v>46278</v>
      </c>
      <c r="C2798" t="s">
        <v>2482</v>
      </c>
      <c r="D2798" t="s">
        <v>1434</v>
      </c>
      <c r="E2798" t="s">
        <v>3447</v>
      </c>
      <c r="F2798" s="853" t="s">
        <v>526</v>
      </c>
      <c r="H2798" t="s">
        <v>6064</v>
      </c>
    </row>
    <row r="2799" spans="2:8">
      <c r="B2799" s="871">
        <v>46278</v>
      </c>
      <c r="C2799" t="s">
        <v>2482</v>
      </c>
      <c r="D2799" t="s">
        <v>1434</v>
      </c>
      <c r="E2799" t="s">
        <v>3447</v>
      </c>
      <c r="F2799" s="853" t="s">
        <v>527</v>
      </c>
      <c r="H2799" t="s">
        <v>6065</v>
      </c>
    </row>
    <row r="2800" spans="2:8">
      <c r="B2800" s="871">
        <v>46278</v>
      </c>
      <c r="C2800" t="s">
        <v>2482</v>
      </c>
      <c r="D2800" t="s">
        <v>1434</v>
      </c>
      <c r="E2800" t="s">
        <v>3447</v>
      </c>
      <c r="F2800" s="853" t="s">
        <v>528</v>
      </c>
      <c r="H2800" t="s">
        <v>6066</v>
      </c>
    </row>
    <row r="2801" spans="2:8">
      <c r="B2801" s="871">
        <v>46278</v>
      </c>
      <c r="C2801" t="s">
        <v>2482</v>
      </c>
      <c r="D2801" t="s">
        <v>1410</v>
      </c>
      <c r="E2801" t="s">
        <v>3451</v>
      </c>
      <c r="F2801" s="853" t="s">
        <v>526</v>
      </c>
      <c r="H2801" t="s">
        <v>6067</v>
      </c>
    </row>
    <row r="2802" spans="2:8">
      <c r="B2802" s="871">
        <v>46278</v>
      </c>
      <c r="C2802" t="s">
        <v>2482</v>
      </c>
      <c r="D2802" t="s">
        <v>1410</v>
      </c>
      <c r="E2802" t="s">
        <v>3451</v>
      </c>
      <c r="F2802" s="853" t="s">
        <v>527</v>
      </c>
      <c r="H2802" t="s">
        <v>6068</v>
      </c>
    </row>
    <row r="2803" spans="2:8">
      <c r="B2803" s="871">
        <v>46278</v>
      </c>
      <c r="C2803" t="s">
        <v>2482</v>
      </c>
      <c r="D2803" t="s">
        <v>1410</v>
      </c>
      <c r="E2803" t="s">
        <v>3451</v>
      </c>
      <c r="F2803" s="853" t="s">
        <v>528</v>
      </c>
      <c r="H2803" t="s">
        <v>6069</v>
      </c>
    </row>
    <row r="2804" spans="2:8">
      <c r="B2804" s="871">
        <v>46278</v>
      </c>
      <c r="C2804" t="s">
        <v>2482</v>
      </c>
      <c r="D2804" t="s">
        <v>1434</v>
      </c>
      <c r="E2804" t="s">
        <v>3455</v>
      </c>
      <c r="F2804" s="853" t="s">
        <v>526</v>
      </c>
      <c r="H2804" t="s">
        <v>6070</v>
      </c>
    </row>
    <row r="2805" spans="2:8">
      <c r="B2805" s="871">
        <v>46278</v>
      </c>
      <c r="C2805" t="s">
        <v>2482</v>
      </c>
      <c r="D2805" t="s">
        <v>1434</v>
      </c>
      <c r="E2805" t="s">
        <v>3455</v>
      </c>
      <c r="F2805" s="853" t="s">
        <v>527</v>
      </c>
      <c r="H2805" t="s">
        <v>6071</v>
      </c>
    </row>
    <row r="2806" spans="2:8">
      <c r="B2806" s="871">
        <v>46278</v>
      </c>
      <c r="C2806" t="s">
        <v>2482</v>
      </c>
      <c r="D2806" t="s">
        <v>1434</v>
      </c>
      <c r="E2806" t="s">
        <v>3455</v>
      </c>
      <c r="F2806" s="853" t="s">
        <v>528</v>
      </c>
      <c r="H2806" t="s">
        <v>6072</v>
      </c>
    </row>
    <row r="2807" spans="2:8">
      <c r="B2807" s="871">
        <v>46278</v>
      </c>
      <c r="C2807" t="s">
        <v>2482</v>
      </c>
      <c r="D2807" t="s">
        <v>1410</v>
      </c>
      <c r="E2807" t="s">
        <v>3459</v>
      </c>
      <c r="F2807" s="853" t="s">
        <v>526</v>
      </c>
      <c r="G2807" s="913">
        <v>28</v>
      </c>
      <c r="H2807" t="s">
        <v>6073</v>
      </c>
    </row>
    <row r="2808" spans="2:8">
      <c r="B2808" s="871">
        <v>46278</v>
      </c>
      <c r="C2808" t="s">
        <v>2482</v>
      </c>
      <c r="D2808" t="s">
        <v>1410</v>
      </c>
      <c r="E2808" t="s">
        <v>3459</v>
      </c>
      <c r="F2808" s="853" t="s">
        <v>527</v>
      </c>
      <c r="G2808" s="913">
        <v>28</v>
      </c>
      <c r="H2808" t="s">
        <v>6074</v>
      </c>
    </row>
    <row r="2809" spans="2:8">
      <c r="B2809" s="871">
        <v>46278</v>
      </c>
      <c r="C2809" t="s">
        <v>2482</v>
      </c>
      <c r="D2809" t="s">
        <v>1410</v>
      </c>
      <c r="E2809" t="s">
        <v>3459</v>
      </c>
      <c r="F2809" s="853" t="s">
        <v>528</v>
      </c>
      <c r="G2809" s="913">
        <v>28</v>
      </c>
      <c r="H2809" t="s">
        <v>6075</v>
      </c>
    </row>
    <row r="2810" spans="2:8">
      <c r="B2810" s="871">
        <v>46278</v>
      </c>
      <c r="C2810" t="s">
        <v>2482</v>
      </c>
      <c r="D2810" t="s">
        <v>1434</v>
      </c>
      <c r="E2810" t="s">
        <v>3463</v>
      </c>
      <c r="F2810" s="853" t="s">
        <v>526</v>
      </c>
      <c r="H2810" t="s">
        <v>6076</v>
      </c>
    </row>
    <row r="2811" spans="2:8">
      <c r="B2811" s="871">
        <v>46278</v>
      </c>
      <c r="C2811" t="s">
        <v>2482</v>
      </c>
      <c r="D2811" t="s">
        <v>1434</v>
      </c>
      <c r="E2811" t="s">
        <v>3463</v>
      </c>
      <c r="F2811" s="853" t="s">
        <v>527</v>
      </c>
      <c r="H2811" t="s">
        <v>6077</v>
      </c>
    </row>
    <row r="2812" spans="2:8">
      <c r="B2812" s="871">
        <v>46278</v>
      </c>
      <c r="C2812" t="s">
        <v>2482</v>
      </c>
      <c r="D2812" t="s">
        <v>1434</v>
      </c>
      <c r="E2812" t="s">
        <v>3463</v>
      </c>
      <c r="F2812" s="853" t="s">
        <v>528</v>
      </c>
      <c r="H2812" t="s">
        <v>6078</v>
      </c>
    </row>
    <row r="2813" spans="2:8">
      <c r="B2813" s="871">
        <v>46278</v>
      </c>
      <c r="C2813" t="s">
        <v>2482</v>
      </c>
      <c r="D2813" t="s">
        <v>1410</v>
      </c>
      <c r="E2813" t="s">
        <v>3467</v>
      </c>
      <c r="F2813" s="853" t="s">
        <v>526</v>
      </c>
      <c r="H2813" t="s">
        <v>6079</v>
      </c>
    </row>
    <row r="2814" spans="2:8">
      <c r="B2814" s="871">
        <v>46278</v>
      </c>
      <c r="C2814" t="s">
        <v>2482</v>
      </c>
      <c r="D2814" t="s">
        <v>1410</v>
      </c>
      <c r="E2814" t="s">
        <v>3467</v>
      </c>
      <c r="F2814" s="853" t="s">
        <v>527</v>
      </c>
      <c r="G2814" s="913">
        <v>28</v>
      </c>
      <c r="H2814" t="s">
        <v>6080</v>
      </c>
    </row>
    <row r="2815" spans="2:8">
      <c r="B2815" s="871">
        <v>46278</v>
      </c>
      <c r="C2815" t="s">
        <v>2482</v>
      </c>
      <c r="D2815" t="s">
        <v>1410</v>
      </c>
      <c r="E2815" t="s">
        <v>3467</v>
      </c>
      <c r="F2815" s="853" t="s">
        <v>528</v>
      </c>
      <c r="G2815" s="913">
        <v>28</v>
      </c>
      <c r="H2815" t="s">
        <v>6081</v>
      </c>
    </row>
    <row r="2816" spans="2:8">
      <c r="B2816" s="871">
        <v>46278</v>
      </c>
      <c r="C2816" t="s">
        <v>2482</v>
      </c>
      <c r="D2816" t="s">
        <v>1434</v>
      </c>
      <c r="E2816" t="s">
        <v>3471</v>
      </c>
      <c r="F2816" s="853" t="s">
        <v>526</v>
      </c>
      <c r="H2816" t="s">
        <v>6082</v>
      </c>
    </row>
    <row r="2817" spans="2:8">
      <c r="B2817" s="871">
        <v>46278</v>
      </c>
      <c r="C2817" t="s">
        <v>2482</v>
      </c>
      <c r="D2817" t="s">
        <v>1434</v>
      </c>
      <c r="E2817" t="s">
        <v>3471</v>
      </c>
      <c r="F2817" s="853" t="s">
        <v>527</v>
      </c>
      <c r="H2817" t="s">
        <v>6083</v>
      </c>
    </row>
    <row r="2818" spans="2:8">
      <c r="B2818" s="871">
        <v>46278</v>
      </c>
      <c r="C2818" t="s">
        <v>2482</v>
      </c>
      <c r="D2818" t="s">
        <v>1434</v>
      </c>
      <c r="E2818" t="s">
        <v>3471</v>
      </c>
      <c r="F2818" s="853" t="s">
        <v>528</v>
      </c>
      <c r="H2818" t="s">
        <v>6084</v>
      </c>
    </row>
    <row r="2819" spans="2:8">
      <c r="B2819" s="871">
        <v>46278</v>
      </c>
      <c r="C2819" t="s">
        <v>2482</v>
      </c>
      <c r="D2819" t="s">
        <v>1410</v>
      </c>
      <c r="E2819" t="s">
        <v>3475</v>
      </c>
      <c r="F2819" s="853" t="s">
        <v>526</v>
      </c>
      <c r="G2819" s="913">
        <v>18</v>
      </c>
      <c r="H2819" t="s">
        <v>6085</v>
      </c>
    </row>
    <row r="2820" spans="2:8">
      <c r="B2820" s="871">
        <v>46278</v>
      </c>
      <c r="C2820" t="s">
        <v>2482</v>
      </c>
      <c r="D2820" t="s">
        <v>1410</v>
      </c>
      <c r="E2820" t="s">
        <v>3475</v>
      </c>
      <c r="F2820" s="853" t="s">
        <v>527</v>
      </c>
      <c r="G2820" s="913">
        <v>18</v>
      </c>
      <c r="H2820" t="s">
        <v>6086</v>
      </c>
    </row>
    <row r="2821" spans="2:8">
      <c r="B2821" s="871">
        <v>46278</v>
      </c>
      <c r="C2821" t="s">
        <v>2482</v>
      </c>
      <c r="D2821" t="s">
        <v>1410</v>
      </c>
      <c r="E2821" t="s">
        <v>3475</v>
      </c>
      <c r="F2821" s="853" t="s">
        <v>528</v>
      </c>
      <c r="G2821" s="913">
        <v>17</v>
      </c>
      <c r="H2821" t="s">
        <v>6087</v>
      </c>
    </row>
    <row r="2822" spans="2:8">
      <c r="B2822" s="871">
        <v>46278</v>
      </c>
      <c r="C2822" t="s">
        <v>2482</v>
      </c>
      <c r="D2822" t="s">
        <v>1434</v>
      </c>
      <c r="E2822" t="s">
        <v>3479</v>
      </c>
      <c r="F2822" s="853" t="s">
        <v>526</v>
      </c>
      <c r="H2822" t="s">
        <v>6088</v>
      </c>
    </row>
    <row r="2823" spans="2:8">
      <c r="B2823" s="871">
        <v>46278</v>
      </c>
      <c r="C2823" t="s">
        <v>2482</v>
      </c>
      <c r="D2823" t="s">
        <v>1434</v>
      </c>
      <c r="E2823" t="s">
        <v>3479</v>
      </c>
      <c r="F2823" s="853" t="s">
        <v>527</v>
      </c>
      <c r="H2823" t="s">
        <v>6089</v>
      </c>
    </row>
    <row r="2824" spans="2:8">
      <c r="B2824" s="871">
        <v>46278</v>
      </c>
      <c r="C2824" t="s">
        <v>2482</v>
      </c>
      <c r="D2824" t="s">
        <v>1434</v>
      </c>
      <c r="E2824" t="s">
        <v>3479</v>
      </c>
      <c r="F2824" s="853" t="s">
        <v>528</v>
      </c>
      <c r="H2824" t="s">
        <v>6090</v>
      </c>
    </row>
    <row r="2825" spans="2:8">
      <c r="B2825" s="871">
        <v>46278</v>
      </c>
      <c r="C2825" t="s">
        <v>2482</v>
      </c>
      <c r="D2825" t="s">
        <v>1410</v>
      </c>
      <c r="E2825" t="s">
        <v>3483</v>
      </c>
      <c r="F2825" s="853" t="s">
        <v>526</v>
      </c>
      <c r="G2825" s="913" t="s">
        <v>1878</v>
      </c>
      <c r="H2825" t="s">
        <v>6091</v>
      </c>
    </row>
    <row r="2826" spans="2:8">
      <c r="B2826" s="871">
        <v>46278</v>
      </c>
      <c r="C2826" t="s">
        <v>2482</v>
      </c>
      <c r="D2826" t="s">
        <v>1410</v>
      </c>
      <c r="E2826" t="s">
        <v>3483</v>
      </c>
      <c r="F2826" s="853" t="s">
        <v>527</v>
      </c>
      <c r="G2826" s="913">
        <v>46093</v>
      </c>
      <c r="H2826" t="s">
        <v>6092</v>
      </c>
    </row>
    <row r="2827" spans="2:8">
      <c r="B2827" s="871">
        <v>46278</v>
      </c>
      <c r="C2827" t="s">
        <v>2482</v>
      </c>
      <c r="D2827" t="s">
        <v>1410</v>
      </c>
      <c r="E2827" t="s">
        <v>3483</v>
      </c>
      <c r="F2827" s="853" t="s">
        <v>528</v>
      </c>
      <c r="G2827" s="913">
        <v>5</v>
      </c>
      <c r="H2827" t="s">
        <v>6093</v>
      </c>
    </row>
    <row r="2828" spans="2:8">
      <c r="B2828" s="871">
        <v>46279</v>
      </c>
      <c r="C2828" t="s">
        <v>2483</v>
      </c>
      <c r="D2828" t="s">
        <v>1375</v>
      </c>
      <c r="E2828" t="s">
        <v>1377</v>
      </c>
      <c r="F2828" s="853" t="s">
        <v>526</v>
      </c>
      <c r="G2828" s="913" t="s">
        <v>1622</v>
      </c>
      <c r="H2828" t="s">
        <v>6094</v>
      </c>
    </row>
    <row r="2829" spans="2:8">
      <c r="B2829" s="871">
        <v>46279</v>
      </c>
      <c r="C2829" t="s">
        <v>2483</v>
      </c>
      <c r="D2829" t="s">
        <v>1375</v>
      </c>
      <c r="E2829" t="s">
        <v>1377</v>
      </c>
      <c r="F2829" s="853" t="s">
        <v>527</v>
      </c>
      <c r="G2829" s="913" t="s">
        <v>1909</v>
      </c>
      <c r="H2829" t="s">
        <v>6095</v>
      </c>
    </row>
    <row r="2830" spans="2:8">
      <c r="B2830" s="871">
        <v>46279</v>
      </c>
      <c r="C2830" t="s">
        <v>2483</v>
      </c>
      <c r="D2830" t="s">
        <v>1375</v>
      </c>
      <c r="E2830" t="s">
        <v>1377</v>
      </c>
      <c r="F2830" s="853" t="s">
        <v>528</v>
      </c>
      <c r="G2830" s="913" t="s">
        <v>1378</v>
      </c>
      <c r="H2830" t="s">
        <v>6096</v>
      </c>
    </row>
    <row r="2831" spans="2:8">
      <c r="B2831" s="871">
        <v>46279</v>
      </c>
      <c r="C2831" t="s">
        <v>2483</v>
      </c>
      <c r="D2831" t="s">
        <v>1376</v>
      </c>
      <c r="E2831" t="s">
        <v>1379</v>
      </c>
      <c r="F2831" s="853" t="s">
        <v>526</v>
      </c>
      <c r="H2831" t="s">
        <v>6097</v>
      </c>
    </row>
    <row r="2832" spans="2:8">
      <c r="B2832" s="871">
        <v>46279</v>
      </c>
      <c r="C2832" t="s">
        <v>2483</v>
      </c>
      <c r="D2832" t="s">
        <v>1376</v>
      </c>
      <c r="E2832" t="s">
        <v>1379</v>
      </c>
      <c r="F2832" s="853" t="s">
        <v>527</v>
      </c>
      <c r="H2832" t="s">
        <v>6098</v>
      </c>
    </row>
    <row r="2833" spans="2:8">
      <c r="B2833" s="871">
        <v>46279</v>
      </c>
      <c r="C2833" t="s">
        <v>2483</v>
      </c>
      <c r="D2833" t="s">
        <v>1376</v>
      </c>
      <c r="E2833" t="s">
        <v>1379</v>
      </c>
      <c r="F2833" s="853" t="s">
        <v>528</v>
      </c>
      <c r="H2833" t="s">
        <v>6099</v>
      </c>
    </row>
    <row r="2834" spans="2:8">
      <c r="B2834" s="871">
        <v>46279</v>
      </c>
      <c r="C2834" t="s">
        <v>2483</v>
      </c>
      <c r="D2834" t="s">
        <v>1375</v>
      </c>
      <c r="E2834" t="s">
        <v>1380</v>
      </c>
      <c r="F2834" s="853" t="s">
        <v>526</v>
      </c>
      <c r="G2834" s="913" t="s">
        <v>1739</v>
      </c>
      <c r="H2834" t="s">
        <v>6100</v>
      </c>
    </row>
    <row r="2835" spans="2:8">
      <c r="B2835" s="871">
        <v>46279</v>
      </c>
      <c r="C2835" t="s">
        <v>2483</v>
      </c>
      <c r="D2835" t="s">
        <v>1375</v>
      </c>
      <c r="E2835" t="s">
        <v>1380</v>
      </c>
      <c r="F2835" s="853" t="s">
        <v>527</v>
      </c>
      <c r="G2835" s="913" t="s">
        <v>1804</v>
      </c>
      <c r="H2835" t="s">
        <v>6101</v>
      </c>
    </row>
    <row r="2836" spans="2:8">
      <c r="B2836" s="871">
        <v>46279</v>
      </c>
      <c r="C2836" t="s">
        <v>2483</v>
      </c>
      <c r="D2836" t="s">
        <v>1375</v>
      </c>
      <c r="E2836" t="s">
        <v>1380</v>
      </c>
      <c r="F2836" s="853" t="s">
        <v>528</v>
      </c>
      <c r="G2836" s="913" t="s">
        <v>1910</v>
      </c>
      <c r="H2836" t="s">
        <v>6102</v>
      </c>
    </row>
    <row r="2837" spans="2:8">
      <c r="B2837" s="871">
        <v>46279</v>
      </c>
      <c r="C2837" t="s">
        <v>2483</v>
      </c>
      <c r="D2837" t="s">
        <v>1376</v>
      </c>
      <c r="E2837" t="s">
        <v>1383</v>
      </c>
      <c r="F2837" s="853" t="s">
        <v>526</v>
      </c>
      <c r="G2837" s="913">
        <v>0</v>
      </c>
      <c r="H2837" t="s">
        <v>6103</v>
      </c>
    </row>
    <row r="2838" spans="2:8">
      <c r="B2838" s="871">
        <v>46279</v>
      </c>
      <c r="C2838" t="s">
        <v>2483</v>
      </c>
      <c r="D2838" t="s">
        <v>1376</v>
      </c>
      <c r="E2838" t="s">
        <v>1383</v>
      </c>
      <c r="F2838" s="853" t="s">
        <v>527</v>
      </c>
      <c r="G2838" s="913">
        <v>0</v>
      </c>
      <c r="H2838" t="s">
        <v>6104</v>
      </c>
    </row>
    <row r="2839" spans="2:8">
      <c r="B2839" s="871">
        <v>46279</v>
      </c>
      <c r="C2839" t="s">
        <v>2483</v>
      </c>
      <c r="D2839" t="s">
        <v>1376</v>
      </c>
      <c r="E2839" t="s">
        <v>1383</v>
      </c>
      <c r="F2839" s="853" t="s">
        <v>528</v>
      </c>
      <c r="G2839" s="913">
        <v>0</v>
      </c>
      <c r="H2839" t="s">
        <v>6105</v>
      </c>
    </row>
    <row r="2840" spans="2:8">
      <c r="B2840" s="871">
        <v>46279</v>
      </c>
      <c r="C2840" t="s">
        <v>2483</v>
      </c>
      <c r="D2840" t="s">
        <v>1375</v>
      </c>
      <c r="E2840" t="s">
        <v>54</v>
      </c>
      <c r="F2840" s="853" t="s">
        <v>526</v>
      </c>
      <c r="H2840" t="s">
        <v>6106</v>
      </c>
    </row>
    <row r="2841" spans="2:8">
      <c r="B2841" s="871">
        <v>46279</v>
      </c>
      <c r="C2841" t="s">
        <v>2483</v>
      </c>
      <c r="D2841" t="s">
        <v>1375</v>
      </c>
      <c r="E2841" t="s">
        <v>54</v>
      </c>
      <c r="F2841" s="853" t="s">
        <v>527</v>
      </c>
      <c r="H2841" t="s">
        <v>6107</v>
      </c>
    </row>
    <row r="2842" spans="2:8">
      <c r="B2842" s="871">
        <v>46279</v>
      </c>
      <c r="C2842" t="s">
        <v>2483</v>
      </c>
      <c r="D2842" t="s">
        <v>1375</v>
      </c>
      <c r="E2842" t="s">
        <v>54</v>
      </c>
      <c r="F2842" s="853" t="s">
        <v>528</v>
      </c>
      <c r="H2842" t="s">
        <v>6108</v>
      </c>
    </row>
    <row r="2843" spans="2:8">
      <c r="B2843" s="871">
        <v>46279</v>
      </c>
      <c r="C2843" t="s">
        <v>2483</v>
      </c>
      <c r="D2843" t="s">
        <v>1376</v>
      </c>
      <c r="E2843" t="s">
        <v>1384</v>
      </c>
      <c r="F2843" s="853" t="s">
        <v>526</v>
      </c>
      <c r="G2843" s="913">
        <v>0.4</v>
      </c>
      <c r="H2843" t="s">
        <v>6109</v>
      </c>
    </row>
    <row r="2844" spans="2:8">
      <c r="B2844" s="871">
        <v>46279</v>
      </c>
      <c r="C2844" t="s">
        <v>2483</v>
      </c>
      <c r="D2844" t="s">
        <v>1376</v>
      </c>
      <c r="E2844" t="s">
        <v>1384</v>
      </c>
      <c r="F2844" s="853" t="s">
        <v>527</v>
      </c>
      <c r="G2844" s="913">
        <v>0.4</v>
      </c>
      <c r="H2844" t="s">
        <v>6110</v>
      </c>
    </row>
    <row r="2845" spans="2:8">
      <c r="B2845" s="871">
        <v>46279</v>
      </c>
      <c r="C2845" t="s">
        <v>2483</v>
      </c>
      <c r="D2845" t="s">
        <v>1376</v>
      </c>
      <c r="E2845" t="s">
        <v>1384</v>
      </c>
      <c r="F2845" s="853" t="s">
        <v>528</v>
      </c>
      <c r="G2845" s="913">
        <v>0.42</v>
      </c>
      <c r="H2845" t="s">
        <v>6111</v>
      </c>
    </row>
    <row r="2846" spans="2:8">
      <c r="B2846" s="871">
        <v>46279</v>
      </c>
      <c r="C2846" t="s">
        <v>2483</v>
      </c>
      <c r="D2846" t="s">
        <v>1375</v>
      </c>
      <c r="E2846" t="s">
        <v>1385</v>
      </c>
      <c r="F2846" s="853" t="s">
        <v>526</v>
      </c>
      <c r="G2846" s="913">
        <v>1206</v>
      </c>
      <c r="H2846" t="s">
        <v>6112</v>
      </c>
    </row>
    <row r="2847" spans="2:8">
      <c r="B2847" s="871">
        <v>46279</v>
      </c>
      <c r="C2847" t="s">
        <v>2483</v>
      </c>
      <c r="D2847" t="s">
        <v>1375</v>
      </c>
      <c r="E2847" t="s">
        <v>1385</v>
      </c>
      <c r="F2847" s="853" t="s">
        <v>527</v>
      </c>
      <c r="G2847" s="913">
        <v>1452</v>
      </c>
      <c r="H2847" t="s">
        <v>6113</v>
      </c>
    </row>
    <row r="2848" spans="2:8">
      <c r="B2848" s="871">
        <v>46279</v>
      </c>
      <c r="C2848" t="s">
        <v>2483</v>
      </c>
      <c r="D2848" t="s">
        <v>1375</v>
      </c>
      <c r="E2848" t="s">
        <v>1385</v>
      </c>
      <c r="F2848" s="853" t="s">
        <v>528</v>
      </c>
      <c r="G2848" s="913">
        <v>4888</v>
      </c>
      <c r="H2848" t="s">
        <v>6114</v>
      </c>
    </row>
    <row r="2849" spans="2:8">
      <c r="B2849" s="871">
        <v>46279</v>
      </c>
      <c r="C2849" t="s">
        <v>2483</v>
      </c>
      <c r="D2849" t="s">
        <v>1376</v>
      </c>
      <c r="E2849" t="s">
        <v>1386</v>
      </c>
      <c r="F2849" s="853" t="s">
        <v>526</v>
      </c>
      <c r="G2849" s="913">
        <v>0.38</v>
      </c>
      <c r="H2849" t="s">
        <v>6115</v>
      </c>
    </row>
    <row r="2850" spans="2:8">
      <c r="B2850" s="871">
        <v>46279</v>
      </c>
      <c r="C2850" t="s">
        <v>2483</v>
      </c>
      <c r="D2850" t="s">
        <v>1376</v>
      </c>
      <c r="E2850" t="s">
        <v>1386</v>
      </c>
      <c r="F2850" s="853" t="s">
        <v>527</v>
      </c>
      <c r="G2850" s="913">
        <v>0.3</v>
      </c>
      <c r="H2850" t="s">
        <v>6116</v>
      </c>
    </row>
    <row r="2851" spans="2:8">
      <c r="B2851" s="871">
        <v>46279</v>
      </c>
      <c r="C2851" t="s">
        <v>2483</v>
      </c>
      <c r="D2851" t="s">
        <v>1376</v>
      </c>
      <c r="E2851" t="s">
        <v>1386</v>
      </c>
      <c r="F2851" s="853" t="s">
        <v>528</v>
      </c>
      <c r="G2851" s="913">
        <v>0.3</v>
      </c>
      <c r="H2851" t="s">
        <v>6117</v>
      </c>
    </row>
    <row r="2852" spans="2:8">
      <c r="B2852" s="871">
        <v>46279</v>
      </c>
      <c r="C2852" t="s">
        <v>2483</v>
      </c>
      <c r="D2852" t="s">
        <v>1376</v>
      </c>
      <c r="E2852" t="s">
        <v>1387</v>
      </c>
      <c r="F2852" s="853" t="s">
        <v>526</v>
      </c>
      <c r="G2852" s="913">
        <v>8.5</v>
      </c>
      <c r="H2852" t="s">
        <v>6118</v>
      </c>
    </row>
    <row r="2853" spans="2:8">
      <c r="B2853" s="871">
        <v>46279</v>
      </c>
      <c r="C2853" t="s">
        <v>2483</v>
      </c>
      <c r="D2853" t="s">
        <v>1376</v>
      </c>
      <c r="E2853" t="s">
        <v>1387</v>
      </c>
      <c r="F2853" s="853" t="s">
        <v>527</v>
      </c>
      <c r="G2853" s="913">
        <v>8.1</v>
      </c>
      <c r="H2853" t="s">
        <v>6119</v>
      </c>
    </row>
    <row r="2854" spans="2:8">
      <c r="B2854" s="871">
        <v>46279</v>
      </c>
      <c r="C2854" t="s">
        <v>2483</v>
      </c>
      <c r="D2854" t="s">
        <v>1376</v>
      </c>
      <c r="E2854" t="s">
        <v>1387</v>
      </c>
      <c r="F2854" s="853" t="s">
        <v>528</v>
      </c>
      <c r="G2854" s="913">
        <v>8.1</v>
      </c>
      <c r="H2854" t="s">
        <v>6120</v>
      </c>
    </row>
    <row r="2855" spans="2:8">
      <c r="B2855" s="871">
        <v>46279</v>
      </c>
      <c r="C2855" t="s">
        <v>2483</v>
      </c>
      <c r="D2855" t="s">
        <v>1375</v>
      </c>
      <c r="E2855" t="s">
        <v>1388</v>
      </c>
      <c r="F2855" s="853" t="s">
        <v>526</v>
      </c>
      <c r="H2855" t="s">
        <v>6121</v>
      </c>
    </row>
    <row r="2856" spans="2:8">
      <c r="B2856" s="871">
        <v>46279</v>
      </c>
      <c r="C2856" t="s">
        <v>2483</v>
      </c>
      <c r="D2856" t="s">
        <v>1375</v>
      </c>
      <c r="E2856" t="s">
        <v>1388</v>
      </c>
      <c r="F2856" s="853" t="s">
        <v>527</v>
      </c>
      <c r="H2856" t="s">
        <v>6122</v>
      </c>
    </row>
    <row r="2857" spans="2:8">
      <c r="B2857" s="871">
        <v>46279</v>
      </c>
      <c r="C2857" t="s">
        <v>2483</v>
      </c>
      <c r="D2857" t="s">
        <v>1375</v>
      </c>
      <c r="E2857" t="s">
        <v>1388</v>
      </c>
      <c r="F2857" s="853" t="s">
        <v>528</v>
      </c>
      <c r="H2857" t="s">
        <v>6123</v>
      </c>
    </row>
    <row r="2858" spans="2:8">
      <c r="B2858" s="871">
        <v>46279</v>
      </c>
      <c r="C2858" t="s">
        <v>2483</v>
      </c>
      <c r="D2858" t="s">
        <v>1376</v>
      </c>
      <c r="E2858" t="s">
        <v>1389</v>
      </c>
      <c r="F2858" s="853" t="s">
        <v>526</v>
      </c>
      <c r="H2858" t="s">
        <v>6124</v>
      </c>
    </row>
    <row r="2859" spans="2:8">
      <c r="B2859" s="871">
        <v>46279</v>
      </c>
      <c r="C2859" t="s">
        <v>2483</v>
      </c>
      <c r="D2859" t="s">
        <v>1376</v>
      </c>
      <c r="E2859" t="s">
        <v>1389</v>
      </c>
      <c r="F2859" s="853" t="s">
        <v>527</v>
      </c>
      <c r="H2859" t="s">
        <v>6125</v>
      </c>
    </row>
    <row r="2860" spans="2:8">
      <c r="B2860" s="871">
        <v>46279</v>
      </c>
      <c r="C2860" t="s">
        <v>2483</v>
      </c>
      <c r="D2860" t="s">
        <v>1376</v>
      </c>
      <c r="E2860" t="s">
        <v>1389</v>
      </c>
      <c r="F2860" s="853" t="s">
        <v>528</v>
      </c>
      <c r="G2860" s="913">
        <v>62.5</v>
      </c>
      <c r="H2860" t="s">
        <v>6126</v>
      </c>
    </row>
    <row r="2861" spans="2:8">
      <c r="B2861" s="871">
        <v>46279</v>
      </c>
      <c r="C2861" t="s">
        <v>2483</v>
      </c>
      <c r="D2861" t="s">
        <v>1375</v>
      </c>
      <c r="E2861" t="s">
        <v>3266</v>
      </c>
      <c r="F2861" s="853" t="s">
        <v>526</v>
      </c>
      <c r="G2861" s="913">
        <v>1</v>
      </c>
      <c r="H2861" t="s">
        <v>6127</v>
      </c>
    </row>
    <row r="2862" spans="2:8">
      <c r="B2862" s="871">
        <v>46279</v>
      </c>
      <c r="C2862" t="s">
        <v>2483</v>
      </c>
      <c r="D2862" t="s">
        <v>1375</v>
      </c>
      <c r="E2862" t="s">
        <v>3266</v>
      </c>
      <c r="F2862" s="853" t="s">
        <v>527</v>
      </c>
      <c r="G2862" s="913">
        <v>1</v>
      </c>
      <c r="H2862" t="s">
        <v>6128</v>
      </c>
    </row>
    <row r="2863" spans="2:8">
      <c r="B2863" s="871">
        <v>46279</v>
      </c>
      <c r="C2863" t="s">
        <v>2483</v>
      </c>
      <c r="D2863" t="s">
        <v>1375</v>
      </c>
      <c r="E2863" t="s">
        <v>3266</v>
      </c>
      <c r="F2863" s="853" t="s">
        <v>528</v>
      </c>
      <c r="G2863" s="913">
        <v>3</v>
      </c>
      <c r="H2863" t="s">
        <v>6129</v>
      </c>
    </row>
    <row r="2864" spans="2:8">
      <c r="B2864" s="871">
        <v>46279</v>
      </c>
      <c r="C2864" t="s">
        <v>2483</v>
      </c>
      <c r="D2864" t="s">
        <v>1376</v>
      </c>
      <c r="E2864" t="s">
        <v>1390</v>
      </c>
      <c r="F2864" s="853" t="s">
        <v>526</v>
      </c>
      <c r="G2864" s="913">
        <v>2.31E-3</v>
      </c>
      <c r="H2864" t="s">
        <v>6130</v>
      </c>
    </row>
    <row r="2865" spans="2:8">
      <c r="B2865" s="871">
        <v>46279</v>
      </c>
      <c r="C2865" t="s">
        <v>2483</v>
      </c>
      <c r="D2865" t="s">
        <v>1376</v>
      </c>
      <c r="E2865" t="s">
        <v>1390</v>
      </c>
      <c r="F2865" s="853" t="s">
        <v>527</v>
      </c>
      <c r="G2865" s="913">
        <v>1.57E-3</v>
      </c>
      <c r="H2865" t="s">
        <v>6131</v>
      </c>
    </row>
    <row r="2866" spans="2:8">
      <c r="B2866" s="871">
        <v>46279</v>
      </c>
      <c r="C2866" t="s">
        <v>2483</v>
      </c>
      <c r="D2866" t="s">
        <v>1376</v>
      </c>
      <c r="E2866" t="s">
        <v>1390</v>
      </c>
      <c r="F2866" s="853" t="s">
        <v>528</v>
      </c>
      <c r="G2866" s="913">
        <v>1.57E-3</v>
      </c>
      <c r="H2866" t="s">
        <v>6132</v>
      </c>
    </row>
    <row r="2867" spans="2:8">
      <c r="B2867" s="871">
        <v>46279</v>
      </c>
      <c r="C2867" t="s">
        <v>2483</v>
      </c>
      <c r="D2867" t="s">
        <v>1375</v>
      </c>
      <c r="E2867" t="s">
        <v>3273</v>
      </c>
      <c r="F2867" s="853" t="s">
        <v>526</v>
      </c>
      <c r="G2867" s="913">
        <v>5</v>
      </c>
      <c r="H2867" t="s">
        <v>6133</v>
      </c>
    </row>
    <row r="2868" spans="2:8">
      <c r="B2868" s="871">
        <v>46279</v>
      </c>
      <c r="C2868" t="s">
        <v>2483</v>
      </c>
      <c r="D2868" t="s">
        <v>1375</v>
      </c>
      <c r="E2868" t="s">
        <v>3273</v>
      </c>
      <c r="F2868" s="853" t="s">
        <v>527</v>
      </c>
      <c r="G2868" s="913">
        <v>3</v>
      </c>
      <c r="H2868" t="s">
        <v>6134</v>
      </c>
    </row>
    <row r="2869" spans="2:8">
      <c r="B2869" s="871">
        <v>46279</v>
      </c>
      <c r="C2869" t="s">
        <v>2483</v>
      </c>
      <c r="D2869" t="s">
        <v>1375</v>
      </c>
      <c r="E2869" t="s">
        <v>3273</v>
      </c>
      <c r="F2869" s="853" t="s">
        <v>528</v>
      </c>
      <c r="G2869" s="913">
        <v>1</v>
      </c>
      <c r="H2869" t="s">
        <v>6135</v>
      </c>
    </row>
    <row r="2870" spans="2:8">
      <c r="B2870" s="871">
        <v>46279</v>
      </c>
      <c r="C2870" t="s">
        <v>2483</v>
      </c>
      <c r="D2870" t="s">
        <v>1376</v>
      </c>
      <c r="E2870" t="s">
        <v>1391</v>
      </c>
      <c r="F2870" s="853" t="s">
        <v>526</v>
      </c>
      <c r="H2870" t="s">
        <v>6136</v>
      </c>
    </row>
    <row r="2871" spans="2:8">
      <c r="B2871" s="871">
        <v>46279</v>
      </c>
      <c r="C2871" t="s">
        <v>2483</v>
      </c>
      <c r="D2871" t="s">
        <v>1376</v>
      </c>
      <c r="E2871" t="s">
        <v>1391</v>
      </c>
      <c r="F2871" s="853" t="s">
        <v>527</v>
      </c>
      <c r="H2871" t="s">
        <v>6137</v>
      </c>
    </row>
    <row r="2872" spans="2:8">
      <c r="B2872" s="871">
        <v>46279</v>
      </c>
      <c r="C2872" t="s">
        <v>2483</v>
      </c>
      <c r="D2872" t="s">
        <v>1376</v>
      </c>
      <c r="E2872" t="s">
        <v>1391</v>
      </c>
      <c r="F2872" s="853" t="s">
        <v>528</v>
      </c>
      <c r="G2872" s="913">
        <v>0</v>
      </c>
      <c r="H2872" t="s">
        <v>6138</v>
      </c>
    </row>
    <row r="2873" spans="2:8">
      <c r="B2873" s="871">
        <v>46279</v>
      </c>
      <c r="C2873" t="s">
        <v>2483</v>
      </c>
      <c r="D2873" t="s">
        <v>1375</v>
      </c>
      <c r="E2873" t="s">
        <v>3280</v>
      </c>
      <c r="F2873" s="853" t="s">
        <v>526</v>
      </c>
      <c r="G2873" s="913">
        <v>4</v>
      </c>
      <c r="H2873" t="s">
        <v>6139</v>
      </c>
    </row>
    <row r="2874" spans="2:8">
      <c r="B2874" s="871">
        <v>46279</v>
      </c>
      <c r="C2874" t="s">
        <v>2483</v>
      </c>
      <c r="D2874" t="s">
        <v>1375</v>
      </c>
      <c r="E2874" t="s">
        <v>3280</v>
      </c>
      <c r="F2874" s="853" t="s">
        <v>527</v>
      </c>
      <c r="G2874" s="913">
        <v>2</v>
      </c>
      <c r="H2874" t="s">
        <v>6140</v>
      </c>
    </row>
    <row r="2875" spans="2:8">
      <c r="B2875" s="871">
        <v>46279</v>
      </c>
      <c r="C2875" t="s">
        <v>2483</v>
      </c>
      <c r="D2875" t="s">
        <v>1375</v>
      </c>
      <c r="E2875" t="s">
        <v>3280</v>
      </c>
      <c r="F2875" s="853" t="s">
        <v>528</v>
      </c>
      <c r="G2875" s="913">
        <v>2</v>
      </c>
      <c r="H2875" t="s">
        <v>6141</v>
      </c>
    </row>
    <row r="2876" spans="2:8">
      <c r="B2876" s="871">
        <v>46279</v>
      </c>
      <c r="C2876" t="s">
        <v>2483</v>
      </c>
      <c r="D2876" t="s">
        <v>1376</v>
      </c>
      <c r="E2876" t="s">
        <v>1392</v>
      </c>
      <c r="F2876" s="853" t="s">
        <v>526</v>
      </c>
      <c r="G2876" s="913">
        <v>0</v>
      </c>
      <c r="H2876" t="s">
        <v>6142</v>
      </c>
    </row>
    <row r="2877" spans="2:8">
      <c r="B2877" s="871">
        <v>46279</v>
      </c>
      <c r="C2877" t="s">
        <v>2483</v>
      </c>
      <c r="D2877" t="s">
        <v>1376</v>
      </c>
      <c r="E2877" t="s">
        <v>1392</v>
      </c>
      <c r="F2877" s="853" t="s">
        <v>527</v>
      </c>
      <c r="H2877" t="s">
        <v>6143</v>
      </c>
    </row>
    <row r="2878" spans="2:8">
      <c r="B2878" s="871">
        <v>46279</v>
      </c>
      <c r="C2878" t="s">
        <v>2483</v>
      </c>
      <c r="D2878" t="s">
        <v>1376</v>
      </c>
      <c r="E2878" t="s">
        <v>1392</v>
      </c>
      <c r="F2878" s="853" t="s">
        <v>528</v>
      </c>
      <c r="H2878" t="s">
        <v>6144</v>
      </c>
    </row>
    <row r="2879" spans="2:8">
      <c r="B2879" s="871">
        <v>46279</v>
      </c>
      <c r="C2879" t="s">
        <v>2483</v>
      </c>
      <c r="D2879" t="s">
        <v>1375</v>
      </c>
      <c r="E2879" t="s">
        <v>3287</v>
      </c>
      <c r="F2879" s="853" t="s">
        <v>526</v>
      </c>
      <c r="G2879" s="913">
        <v>3</v>
      </c>
      <c r="H2879" t="s">
        <v>6145</v>
      </c>
    </row>
    <row r="2880" spans="2:8">
      <c r="B2880" s="871">
        <v>46279</v>
      </c>
      <c r="C2880" t="s">
        <v>2483</v>
      </c>
      <c r="D2880" t="s">
        <v>1375</v>
      </c>
      <c r="E2880" t="s">
        <v>3287</v>
      </c>
      <c r="F2880" s="853" t="s">
        <v>527</v>
      </c>
      <c r="G2880" s="913">
        <v>2</v>
      </c>
      <c r="H2880" t="s">
        <v>6146</v>
      </c>
    </row>
    <row r="2881" spans="2:8">
      <c r="B2881" s="871">
        <v>46279</v>
      </c>
      <c r="C2881" t="s">
        <v>2483</v>
      </c>
      <c r="D2881" t="s">
        <v>1375</v>
      </c>
      <c r="E2881" t="s">
        <v>3287</v>
      </c>
      <c r="F2881" s="853" t="s">
        <v>528</v>
      </c>
      <c r="G2881" s="913">
        <v>2</v>
      </c>
      <c r="H2881" t="s">
        <v>6147</v>
      </c>
    </row>
    <row r="2882" spans="2:8">
      <c r="B2882" s="871">
        <v>46279</v>
      </c>
      <c r="C2882" t="s">
        <v>2483</v>
      </c>
      <c r="D2882" t="s">
        <v>1376</v>
      </c>
      <c r="E2882" t="s">
        <v>453</v>
      </c>
      <c r="F2882" s="853" t="s">
        <v>526</v>
      </c>
      <c r="H2882" t="s">
        <v>6148</v>
      </c>
    </row>
    <row r="2883" spans="2:8">
      <c r="B2883" s="871">
        <v>46279</v>
      </c>
      <c r="C2883" t="s">
        <v>2483</v>
      </c>
      <c r="D2883" t="s">
        <v>1376</v>
      </c>
      <c r="E2883" t="s">
        <v>453</v>
      </c>
      <c r="F2883" s="853" t="s">
        <v>527</v>
      </c>
      <c r="H2883" t="s">
        <v>6149</v>
      </c>
    </row>
    <row r="2884" spans="2:8">
      <c r="B2884" s="871">
        <v>46279</v>
      </c>
      <c r="C2884" t="s">
        <v>2483</v>
      </c>
      <c r="D2884" t="s">
        <v>1376</v>
      </c>
      <c r="E2884" t="s">
        <v>453</v>
      </c>
      <c r="F2884" s="853" t="s">
        <v>528</v>
      </c>
      <c r="H2884" t="s">
        <v>6150</v>
      </c>
    </row>
    <row r="2885" spans="2:8">
      <c r="B2885" s="871">
        <v>46279</v>
      </c>
      <c r="C2885" t="s">
        <v>2483</v>
      </c>
      <c r="D2885" t="s">
        <v>1375</v>
      </c>
      <c r="E2885" t="s">
        <v>3291</v>
      </c>
      <c r="F2885" s="853" t="s">
        <v>526</v>
      </c>
      <c r="G2885" s="913">
        <v>2</v>
      </c>
      <c r="H2885" t="s">
        <v>6151</v>
      </c>
    </row>
    <row r="2886" spans="2:8">
      <c r="B2886" s="871">
        <v>46279</v>
      </c>
      <c r="C2886" t="s">
        <v>2483</v>
      </c>
      <c r="D2886" t="s">
        <v>1375</v>
      </c>
      <c r="E2886" t="s">
        <v>3291</v>
      </c>
      <c r="F2886" s="853" t="s">
        <v>527</v>
      </c>
      <c r="G2886" s="913">
        <v>2</v>
      </c>
      <c r="H2886" t="s">
        <v>6152</v>
      </c>
    </row>
    <row r="2887" spans="2:8">
      <c r="B2887" s="871">
        <v>46279</v>
      </c>
      <c r="C2887" t="s">
        <v>2483</v>
      </c>
      <c r="D2887" t="s">
        <v>1375</v>
      </c>
      <c r="E2887" t="s">
        <v>3291</v>
      </c>
      <c r="F2887" s="853" t="s">
        <v>528</v>
      </c>
      <c r="G2887" s="913">
        <v>3</v>
      </c>
      <c r="H2887" t="s">
        <v>6153</v>
      </c>
    </row>
    <row r="2888" spans="2:8">
      <c r="B2888" s="871">
        <v>46279</v>
      </c>
      <c r="C2888" t="s">
        <v>2483</v>
      </c>
      <c r="D2888" t="s">
        <v>1376</v>
      </c>
      <c r="E2888" t="s">
        <v>1394</v>
      </c>
      <c r="F2888" s="853" t="s">
        <v>526</v>
      </c>
      <c r="G2888" s="913" t="s">
        <v>1626</v>
      </c>
      <c r="H2888" t="s">
        <v>6154</v>
      </c>
    </row>
    <row r="2889" spans="2:8">
      <c r="B2889" s="871">
        <v>46279</v>
      </c>
      <c r="C2889" t="s">
        <v>2483</v>
      </c>
      <c r="D2889" t="s">
        <v>1376</v>
      </c>
      <c r="E2889" t="s">
        <v>1394</v>
      </c>
      <c r="F2889" s="853" t="s">
        <v>527</v>
      </c>
      <c r="G2889" s="913" t="s">
        <v>1742</v>
      </c>
      <c r="H2889" t="s">
        <v>6155</v>
      </c>
    </row>
    <row r="2890" spans="2:8">
      <c r="B2890" s="871">
        <v>46279</v>
      </c>
      <c r="C2890" t="s">
        <v>2483</v>
      </c>
      <c r="D2890" t="s">
        <v>1376</v>
      </c>
      <c r="E2890" t="s">
        <v>1394</v>
      </c>
      <c r="F2890" s="853" t="s">
        <v>528</v>
      </c>
      <c r="G2890" s="913" t="s">
        <v>1911</v>
      </c>
      <c r="H2890" t="s">
        <v>6156</v>
      </c>
    </row>
    <row r="2891" spans="2:8">
      <c r="B2891" s="871">
        <v>46279</v>
      </c>
      <c r="C2891" t="s">
        <v>2483</v>
      </c>
      <c r="D2891" t="s">
        <v>1375</v>
      </c>
      <c r="E2891" t="s">
        <v>3298</v>
      </c>
      <c r="F2891" s="853" t="s">
        <v>526</v>
      </c>
      <c r="G2891" s="913">
        <v>2</v>
      </c>
      <c r="H2891" t="s">
        <v>6157</v>
      </c>
    </row>
    <row r="2892" spans="2:8">
      <c r="B2892" s="871">
        <v>46279</v>
      </c>
      <c r="C2892" t="s">
        <v>2483</v>
      </c>
      <c r="D2892" t="s">
        <v>1375</v>
      </c>
      <c r="E2892" t="s">
        <v>3298</v>
      </c>
      <c r="F2892" s="853" t="s">
        <v>527</v>
      </c>
      <c r="G2892" s="913">
        <v>3</v>
      </c>
      <c r="H2892" t="s">
        <v>6158</v>
      </c>
    </row>
    <row r="2893" spans="2:8">
      <c r="B2893" s="871">
        <v>46279</v>
      </c>
      <c r="C2893" t="s">
        <v>2483</v>
      </c>
      <c r="D2893" t="s">
        <v>1375</v>
      </c>
      <c r="E2893" t="s">
        <v>3298</v>
      </c>
      <c r="F2893" s="853" t="s">
        <v>528</v>
      </c>
      <c r="G2893" s="913">
        <v>3</v>
      </c>
      <c r="H2893" t="s">
        <v>6159</v>
      </c>
    </row>
    <row r="2894" spans="2:8">
      <c r="B2894" s="871">
        <v>46279</v>
      </c>
      <c r="C2894" t="s">
        <v>2483</v>
      </c>
      <c r="D2894" t="s">
        <v>1376</v>
      </c>
      <c r="E2894" t="s">
        <v>1398</v>
      </c>
      <c r="F2894" s="853" t="s">
        <v>526</v>
      </c>
      <c r="G2894" s="913">
        <v>11</v>
      </c>
      <c r="H2894" t="s">
        <v>6160</v>
      </c>
    </row>
    <row r="2895" spans="2:8">
      <c r="B2895" s="871">
        <v>46279</v>
      </c>
      <c r="C2895" t="s">
        <v>2483</v>
      </c>
      <c r="D2895" t="s">
        <v>1376</v>
      </c>
      <c r="E2895" t="s">
        <v>1398</v>
      </c>
      <c r="F2895" s="853" t="s">
        <v>527</v>
      </c>
      <c r="G2895" s="913">
        <v>11</v>
      </c>
      <c r="H2895" t="s">
        <v>6161</v>
      </c>
    </row>
    <row r="2896" spans="2:8">
      <c r="B2896" s="871">
        <v>46279</v>
      </c>
      <c r="C2896" t="s">
        <v>2483</v>
      </c>
      <c r="D2896" t="s">
        <v>1376</v>
      </c>
      <c r="E2896" t="s">
        <v>1398</v>
      </c>
      <c r="F2896" s="853" t="s">
        <v>528</v>
      </c>
      <c r="G2896" s="913">
        <v>11</v>
      </c>
      <c r="H2896" t="s">
        <v>6162</v>
      </c>
    </row>
    <row r="2897" spans="2:8">
      <c r="B2897" s="871">
        <v>46279</v>
      </c>
      <c r="C2897" t="s">
        <v>2483</v>
      </c>
      <c r="D2897" t="s">
        <v>1375</v>
      </c>
      <c r="E2897" t="s">
        <v>3305</v>
      </c>
      <c r="F2897" s="853" t="s">
        <v>526</v>
      </c>
      <c r="G2897" s="913">
        <v>2</v>
      </c>
      <c r="H2897" t="s">
        <v>6163</v>
      </c>
    </row>
    <row r="2898" spans="2:8">
      <c r="B2898" s="871">
        <v>46279</v>
      </c>
      <c r="C2898" t="s">
        <v>2483</v>
      </c>
      <c r="D2898" t="s">
        <v>1375</v>
      </c>
      <c r="E2898" t="s">
        <v>3305</v>
      </c>
      <c r="F2898" s="853" t="s">
        <v>527</v>
      </c>
      <c r="G2898" s="913">
        <v>2</v>
      </c>
      <c r="H2898" t="s">
        <v>6164</v>
      </c>
    </row>
    <row r="2899" spans="2:8">
      <c r="B2899" s="871">
        <v>46279</v>
      </c>
      <c r="C2899" t="s">
        <v>2483</v>
      </c>
      <c r="D2899" t="s">
        <v>1375</v>
      </c>
      <c r="E2899" t="s">
        <v>3305</v>
      </c>
      <c r="F2899" s="853" t="s">
        <v>528</v>
      </c>
      <c r="G2899" s="913">
        <v>3</v>
      </c>
      <c r="H2899" t="s">
        <v>6165</v>
      </c>
    </row>
    <row r="2900" spans="2:8">
      <c r="B2900" s="871">
        <v>46279</v>
      </c>
      <c r="C2900" t="s">
        <v>2483</v>
      </c>
      <c r="D2900" t="s">
        <v>1376</v>
      </c>
      <c r="E2900" t="s">
        <v>1399</v>
      </c>
      <c r="F2900" s="853" t="s">
        <v>526</v>
      </c>
      <c r="G2900" s="913">
        <v>12</v>
      </c>
      <c r="H2900" t="s">
        <v>6166</v>
      </c>
    </row>
    <row r="2901" spans="2:8">
      <c r="B2901" s="871">
        <v>46279</v>
      </c>
      <c r="C2901" t="s">
        <v>2483</v>
      </c>
      <c r="D2901" t="s">
        <v>1376</v>
      </c>
      <c r="E2901" t="s">
        <v>1399</v>
      </c>
      <c r="F2901" s="853" t="s">
        <v>527</v>
      </c>
      <c r="G2901" s="913">
        <v>12</v>
      </c>
      <c r="H2901" t="s">
        <v>6167</v>
      </c>
    </row>
    <row r="2902" spans="2:8">
      <c r="B2902" s="871">
        <v>46279</v>
      </c>
      <c r="C2902" t="s">
        <v>2483</v>
      </c>
      <c r="D2902" t="s">
        <v>1376</v>
      </c>
      <c r="E2902" t="s">
        <v>1399</v>
      </c>
      <c r="F2902" s="853" t="s">
        <v>528</v>
      </c>
      <c r="G2902" s="913">
        <v>12</v>
      </c>
      <c r="H2902" t="s">
        <v>6168</v>
      </c>
    </row>
    <row r="2903" spans="2:8">
      <c r="B2903" s="871">
        <v>46279</v>
      </c>
      <c r="C2903" t="s">
        <v>2483</v>
      </c>
      <c r="D2903" t="s">
        <v>1375</v>
      </c>
      <c r="E2903" t="s">
        <v>3312</v>
      </c>
      <c r="F2903" s="853" t="s">
        <v>526</v>
      </c>
      <c r="G2903" s="913">
        <v>3</v>
      </c>
      <c r="H2903" t="s">
        <v>6169</v>
      </c>
    </row>
    <row r="2904" spans="2:8">
      <c r="B2904" s="871">
        <v>46279</v>
      </c>
      <c r="C2904" t="s">
        <v>2483</v>
      </c>
      <c r="D2904" t="s">
        <v>1375</v>
      </c>
      <c r="E2904" t="s">
        <v>3312</v>
      </c>
      <c r="F2904" s="853" t="s">
        <v>527</v>
      </c>
      <c r="G2904" s="913">
        <v>2</v>
      </c>
      <c r="H2904" t="s">
        <v>6170</v>
      </c>
    </row>
    <row r="2905" spans="2:8">
      <c r="B2905" s="871">
        <v>46279</v>
      </c>
      <c r="C2905" t="s">
        <v>2483</v>
      </c>
      <c r="D2905" t="s">
        <v>1375</v>
      </c>
      <c r="E2905" t="s">
        <v>3312</v>
      </c>
      <c r="F2905" s="853" t="s">
        <v>528</v>
      </c>
      <c r="G2905" s="913">
        <v>3</v>
      </c>
      <c r="H2905" t="s">
        <v>6171</v>
      </c>
    </row>
    <row r="2906" spans="2:8">
      <c r="B2906" s="871">
        <v>46279</v>
      </c>
      <c r="C2906" t="s">
        <v>2483</v>
      </c>
      <c r="D2906" t="s">
        <v>1376</v>
      </c>
      <c r="E2906" t="s">
        <v>1400</v>
      </c>
      <c r="F2906" s="853" t="s">
        <v>526</v>
      </c>
      <c r="G2906" s="913">
        <v>16</v>
      </c>
      <c r="H2906" t="s">
        <v>6172</v>
      </c>
    </row>
    <row r="2907" spans="2:8">
      <c r="B2907" s="871">
        <v>46279</v>
      </c>
      <c r="C2907" t="s">
        <v>2483</v>
      </c>
      <c r="D2907" t="s">
        <v>1376</v>
      </c>
      <c r="E2907" t="s">
        <v>1400</v>
      </c>
      <c r="F2907" s="853" t="s">
        <v>527</v>
      </c>
      <c r="G2907" s="913">
        <v>17</v>
      </c>
      <c r="H2907" t="s">
        <v>6173</v>
      </c>
    </row>
    <row r="2908" spans="2:8">
      <c r="B2908" s="871">
        <v>46279</v>
      </c>
      <c r="C2908" t="s">
        <v>2483</v>
      </c>
      <c r="D2908" t="s">
        <v>1376</v>
      </c>
      <c r="E2908" t="s">
        <v>1400</v>
      </c>
      <c r="F2908" s="853" t="s">
        <v>528</v>
      </c>
      <c r="G2908" s="913">
        <v>16</v>
      </c>
      <c r="H2908" t="s">
        <v>6174</v>
      </c>
    </row>
    <row r="2909" spans="2:8">
      <c r="B2909" s="871">
        <v>46279</v>
      </c>
      <c r="C2909" t="s">
        <v>2483</v>
      </c>
      <c r="D2909" t="s">
        <v>1375</v>
      </c>
      <c r="E2909" t="s">
        <v>3319</v>
      </c>
      <c r="F2909" s="853" t="s">
        <v>526</v>
      </c>
      <c r="G2909" s="913">
        <v>5</v>
      </c>
      <c r="H2909" t="s">
        <v>6175</v>
      </c>
    </row>
    <row r="2910" spans="2:8">
      <c r="B2910" s="871">
        <v>46279</v>
      </c>
      <c r="C2910" t="s">
        <v>2483</v>
      </c>
      <c r="D2910" t="s">
        <v>1375</v>
      </c>
      <c r="E2910" t="s">
        <v>3319</v>
      </c>
      <c r="F2910" s="853" t="s">
        <v>527</v>
      </c>
      <c r="G2910" s="913">
        <v>2</v>
      </c>
      <c r="H2910" t="s">
        <v>6176</v>
      </c>
    </row>
    <row r="2911" spans="2:8">
      <c r="B2911" s="871">
        <v>46279</v>
      </c>
      <c r="C2911" t="s">
        <v>2483</v>
      </c>
      <c r="D2911" t="s">
        <v>1375</v>
      </c>
      <c r="E2911" t="s">
        <v>3319</v>
      </c>
      <c r="F2911" s="853" t="s">
        <v>528</v>
      </c>
      <c r="G2911" s="913">
        <v>3</v>
      </c>
      <c r="H2911" t="s">
        <v>6177</v>
      </c>
    </row>
    <row r="2912" spans="2:8">
      <c r="B2912" s="871">
        <v>46279</v>
      </c>
      <c r="C2912" t="s">
        <v>2483</v>
      </c>
      <c r="D2912" t="s">
        <v>1376</v>
      </c>
      <c r="E2912" t="s">
        <v>1401</v>
      </c>
      <c r="F2912" s="853" t="s">
        <v>526</v>
      </c>
      <c r="G2912" s="913">
        <v>7.18</v>
      </c>
      <c r="H2912" t="s">
        <v>6178</v>
      </c>
    </row>
    <row r="2913" spans="2:8">
      <c r="B2913" s="871">
        <v>46279</v>
      </c>
      <c r="C2913" t="s">
        <v>2483</v>
      </c>
      <c r="D2913" t="s">
        <v>1376</v>
      </c>
      <c r="E2913" t="s">
        <v>1401</v>
      </c>
      <c r="F2913" s="853" t="s">
        <v>527</v>
      </c>
      <c r="G2913" s="913">
        <v>6.1</v>
      </c>
      <c r="H2913" t="s">
        <v>6179</v>
      </c>
    </row>
    <row r="2914" spans="2:8">
      <c r="B2914" s="871">
        <v>46279</v>
      </c>
      <c r="C2914" t="s">
        <v>2483</v>
      </c>
      <c r="D2914" t="s">
        <v>1376</v>
      </c>
      <c r="E2914" t="s">
        <v>1401</v>
      </c>
      <c r="F2914" s="853" t="s">
        <v>528</v>
      </c>
      <c r="G2914" s="913">
        <v>6.28</v>
      </c>
      <c r="H2914" t="s">
        <v>6180</v>
      </c>
    </row>
    <row r="2915" spans="2:8">
      <c r="B2915" s="871">
        <v>46279</v>
      </c>
      <c r="C2915" t="s">
        <v>2483</v>
      </c>
      <c r="D2915" t="s">
        <v>1375</v>
      </c>
      <c r="E2915" t="s">
        <v>3326</v>
      </c>
      <c r="F2915" s="853" t="s">
        <v>526</v>
      </c>
      <c r="G2915" s="913" t="s">
        <v>1535</v>
      </c>
      <c r="H2915" t="s">
        <v>6181</v>
      </c>
    </row>
    <row r="2916" spans="2:8">
      <c r="B2916" s="871">
        <v>46279</v>
      </c>
      <c r="C2916" t="s">
        <v>2483</v>
      </c>
      <c r="D2916" t="s">
        <v>1375</v>
      </c>
      <c r="E2916" t="s">
        <v>3326</v>
      </c>
      <c r="F2916" s="853" t="s">
        <v>527</v>
      </c>
      <c r="G2916" s="913" t="s">
        <v>1912</v>
      </c>
      <c r="H2916" t="s">
        <v>6182</v>
      </c>
    </row>
    <row r="2917" spans="2:8">
      <c r="B2917" s="871">
        <v>46279</v>
      </c>
      <c r="C2917" t="s">
        <v>2483</v>
      </c>
      <c r="D2917" t="s">
        <v>1375</v>
      </c>
      <c r="E2917" t="s">
        <v>3326</v>
      </c>
      <c r="F2917" s="853" t="s">
        <v>528</v>
      </c>
      <c r="G2917" s="913" t="s">
        <v>1912</v>
      </c>
      <c r="H2917" t="s">
        <v>6183</v>
      </c>
    </row>
    <row r="2918" spans="2:8">
      <c r="B2918" s="871">
        <v>46279</v>
      </c>
      <c r="C2918" t="s">
        <v>2483</v>
      </c>
      <c r="D2918" t="s">
        <v>1376</v>
      </c>
      <c r="E2918" t="s">
        <v>1403</v>
      </c>
      <c r="F2918" s="853" t="s">
        <v>526</v>
      </c>
      <c r="G2918" s="913">
        <v>600</v>
      </c>
      <c r="H2918" t="s">
        <v>6184</v>
      </c>
    </row>
    <row r="2919" spans="2:8">
      <c r="B2919" s="871">
        <v>46279</v>
      </c>
      <c r="C2919" t="s">
        <v>2483</v>
      </c>
      <c r="D2919" t="s">
        <v>1376</v>
      </c>
      <c r="E2919" t="s">
        <v>1403</v>
      </c>
      <c r="F2919" s="853" t="s">
        <v>527</v>
      </c>
      <c r="G2919" s="913">
        <v>646</v>
      </c>
      <c r="H2919" t="s">
        <v>6185</v>
      </c>
    </row>
    <row r="2920" spans="2:8">
      <c r="B2920" s="871">
        <v>46279</v>
      </c>
      <c r="C2920" t="s">
        <v>2483</v>
      </c>
      <c r="D2920" t="s">
        <v>1376</v>
      </c>
      <c r="E2920" t="s">
        <v>1403</v>
      </c>
      <c r="F2920" s="853" t="s">
        <v>528</v>
      </c>
      <c r="G2920" s="913">
        <v>642</v>
      </c>
      <c r="H2920" t="s">
        <v>6186</v>
      </c>
    </row>
    <row r="2921" spans="2:8">
      <c r="B2921" s="871">
        <v>46279</v>
      </c>
      <c r="C2921" t="s">
        <v>2483</v>
      </c>
      <c r="D2921" t="s">
        <v>1376</v>
      </c>
      <c r="E2921" t="s">
        <v>1404</v>
      </c>
      <c r="F2921" s="853" t="s">
        <v>526</v>
      </c>
      <c r="G2921" s="913">
        <v>3.97</v>
      </c>
      <c r="H2921" t="s">
        <v>6187</v>
      </c>
    </row>
    <row r="2922" spans="2:8">
      <c r="B2922" s="871">
        <v>46279</v>
      </c>
      <c r="C2922" t="s">
        <v>2483</v>
      </c>
      <c r="D2922" t="s">
        <v>1376</v>
      </c>
      <c r="E2922" t="s">
        <v>1404</v>
      </c>
      <c r="F2922" s="853" t="s">
        <v>527</v>
      </c>
      <c r="G2922" s="913">
        <v>3.3</v>
      </c>
      <c r="H2922" t="s">
        <v>6188</v>
      </c>
    </row>
    <row r="2923" spans="2:8">
      <c r="B2923" s="871">
        <v>46279</v>
      </c>
      <c r="C2923" t="s">
        <v>2483</v>
      </c>
      <c r="D2923" t="s">
        <v>1376</v>
      </c>
      <c r="E2923" t="s">
        <v>1404</v>
      </c>
      <c r="F2923" s="853" t="s">
        <v>528</v>
      </c>
      <c r="G2923" s="913">
        <v>3.6</v>
      </c>
      <c r="H2923" t="s">
        <v>6189</v>
      </c>
    </row>
    <row r="2924" spans="2:8">
      <c r="B2924" s="871">
        <v>46279</v>
      </c>
      <c r="C2924" t="s">
        <v>2483</v>
      </c>
      <c r="D2924" t="s">
        <v>1375</v>
      </c>
      <c r="E2924" t="s">
        <v>3336</v>
      </c>
      <c r="F2924" s="853" t="s">
        <v>526</v>
      </c>
      <c r="G2924" s="913" t="s">
        <v>1406</v>
      </c>
      <c r="H2924" t="s">
        <v>6190</v>
      </c>
    </row>
    <row r="2925" spans="2:8">
      <c r="B2925" s="871">
        <v>46279</v>
      </c>
      <c r="C2925" t="s">
        <v>2483</v>
      </c>
      <c r="D2925" t="s">
        <v>1375</v>
      </c>
      <c r="E2925" t="s">
        <v>3336</v>
      </c>
      <c r="F2925" s="853" t="s">
        <v>527</v>
      </c>
      <c r="G2925" s="913" t="s">
        <v>1406</v>
      </c>
      <c r="H2925" t="s">
        <v>6191</v>
      </c>
    </row>
    <row r="2926" spans="2:8">
      <c r="B2926" s="871">
        <v>46279</v>
      </c>
      <c r="C2926" t="s">
        <v>2483</v>
      </c>
      <c r="D2926" t="s">
        <v>1375</v>
      </c>
      <c r="E2926" t="s">
        <v>3336</v>
      </c>
      <c r="F2926" s="853" t="s">
        <v>528</v>
      </c>
      <c r="G2926" s="913" t="s">
        <v>1406</v>
      </c>
      <c r="H2926" t="s">
        <v>6192</v>
      </c>
    </row>
    <row r="2927" spans="2:8">
      <c r="B2927" s="871">
        <v>46279</v>
      </c>
      <c r="C2927" t="s">
        <v>2483</v>
      </c>
      <c r="D2927" t="s">
        <v>1376</v>
      </c>
      <c r="E2927" t="s">
        <v>1407</v>
      </c>
      <c r="F2927" s="853" t="s">
        <v>526</v>
      </c>
      <c r="G2927" s="913">
        <v>370</v>
      </c>
      <c r="H2927" t="s">
        <v>6193</v>
      </c>
    </row>
    <row r="2928" spans="2:8">
      <c r="B2928" s="871">
        <v>46279</v>
      </c>
      <c r="C2928" t="s">
        <v>2483</v>
      </c>
      <c r="D2928" t="s">
        <v>1376</v>
      </c>
      <c r="E2928" t="s">
        <v>1407</v>
      </c>
      <c r="F2928" s="853" t="s">
        <v>527</v>
      </c>
      <c r="G2928" s="913">
        <v>323</v>
      </c>
      <c r="H2928" t="s">
        <v>6194</v>
      </c>
    </row>
    <row r="2929" spans="2:8">
      <c r="B2929" s="871">
        <v>46279</v>
      </c>
      <c r="C2929" t="s">
        <v>2483</v>
      </c>
      <c r="D2929" t="s">
        <v>1376</v>
      </c>
      <c r="E2929" t="s">
        <v>1407</v>
      </c>
      <c r="F2929" s="853" t="s">
        <v>528</v>
      </c>
      <c r="G2929" s="913">
        <v>348</v>
      </c>
      <c r="H2929" t="s">
        <v>6195</v>
      </c>
    </row>
    <row r="2930" spans="2:8">
      <c r="B2930" s="871">
        <v>46279</v>
      </c>
      <c r="C2930" t="s">
        <v>2483</v>
      </c>
      <c r="D2930" t="s">
        <v>1376</v>
      </c>
      <c r="E2930" t="s">
        <v>1408</v>
      </c>
      <c r="F2930" s="853" t="s">
        <v>526</v>
      </c>
      <c r="G2930" s="913">
        <v>1017</v>
      </c>
      <c r="H2930" t="s">
        <v>6196</v>
      </c>
    </row>
    <row r="2931" spans="2:8">
      <c r="B2931" s="871">
        <v>46279</v>
      </c>
      <c r="C2931" t="s">
        <v>2483</v>
      </c>
      <c r="D2931" t="s">
        <v>1376</v>
      </c>
      <c r="E2931" t="s">
        <v>1408</v>
      </c>
      <c r="F2931" s="853" t="s">
        <v>527</v>
      </c>
      <c r="G2931" s="913">
        <v>1040</v>
      </c>
      <c r="H2931" t="s">
        <v>6197</v>
      </c>
    </row>
    <row r="2932" spans="2:8">
      <c r="B2932" s="871">
        <v>46279</v>
      </c>
      <c r="C2932" t="s">
        <v>2483</v>
      </c>
      <c r="D2932" t="s">
        <v>1376</v>
      </c>
      <c r="E2932" t="s">
        <v>1408</v>
      </c>
      <c r="F2932" s="853" t="s">
        <v>528</v>
      </c>
      <c r="G2932" s="913">
        <v>1041</v>
      </c>
      <c r="H2932" t="s">
        <v>6198</v>
      </c>
    </row>
    <row r="2933" spans="2:8">
      <c r="B2933" s="871">
        <v>46279</v>
      </c>
      <c r="C2933" t="s">
        <v>2483</v>
      </c>
      <c r="D2933" t="s">
        <v>1409</v>
      </c>
      <c r="E2933" t="s">
        <v>1411</v>
      </c>
      <c r="F2933" s="853" t="s">
        <v>526</v>
      </c>
      <c r="H2933" t="s">
        <v>6199</v>
      </c>
    </row>
    <row r="2934" spans="2:8">
      <c r="B2934" s="871">
        <v>46279</v>
      </c>
      <c r="C2934" t="s">
        <v>2483</v>
      </c>
      <c r="D2934" t="s">
        <v>1409</v>
      </c>
      <c r="E2934" t="s">
        <v>1411</v>
      </c>
      <c r="F2934" s="853" t="s">
        <v>527</v>
      </c>
      <c r="H2934" t="s">
        <v>6200</v>
      </c>
    </row>
    <row r="2935" spans="2:8">
      <c r="B2935" s="871">
        <v>46279</v>
      </c>
      <c r="C2935" t="s">
        <v>2483</v>
      </c>
      <c r="D2935" t="s">
        <v>1409</v>
      </c>
      <c r="E2935" t="s">
        <v>1411</v>
      </c>
      <c r="F2935" s="853" t="s">
        <v>528</v>
      </c>
      <c r="H2935" t="s">
        <v>6201</v>
      </c>
    </row>
    <row r="2936" spans="2:8">
      <c r="B2936" s="871">
        <v>46279</v>
      </c>
      <c r="C2936" t="s">
        <v>2483</v>
      </c>
      <c r="D2936" t="s">
        <v>1409</v>
      </c>
      <c r="E2936" t="s">
        <v>1413</v>
      </c>
      <c r="F2936" s="853" t="s">
        <v>526</v>
      </c>
      <c r="G2936" s="913" t="s">
        <v>1743</v>
      </c>
      <c r="H2936" t="s">
        <v>6202</v>
      </c>
    </row>
    <row r="2937" spans="2:8">
      <c r="B2937" s="871">
        <v>46279</v>
      </c>
      <c r="C2937" t="s">
        <v>2483</v>
      </c>
      <c r="D2937" t="s">
        <v>1409</v>
      </c>
      <c r="E2937" t="s">
        <v>1413</v>
      </c>
      <c r="F2937" s="853" t="s">
        <v>527</v>
      </c>
      <c r="G2937" s="913" t="s">
        <v>1415</v>
      </c>
      <c r="H2937" t="s">
        <v>6203</v>
      </c>
    </row>
    <row r="2938" spans="2:8">
      <c r="B2938" s="871">
        <v>46279</v>
      </c>
      <c r="C2938" t="s">
        <v>2483</v>
      </c>
      <c r="D2938" t="s">
        <v>1409</v>
      </c>
      <c r="E2938" t="s">
        <v>1413</v>
      </c>
      <c r="F2938" s="853" t="s">
        <v>528</v>
      </c>
      <c r="G2938" s="913" t="s">
        <v>1743</v>
      </c>
      <c r="H2938" t="s">
        <v>6204</v>
      </c>
    </row>
    <row r="2939" spans="2:8">
      <c r="B2939" s="871">
        <v>46279</v>
      </c>
      <c r="C2939" t="s">
        <v>2483</v>
      </c>
      <c r="D2939" t="s">
        <v>1410</v>
      </c>
      <c r="E2939" t="s">
        <v>3352</v>
      </c>
      <c r="F2939" s="853" t="s">
        <v>526</v>
      </c>
      <c r="G2939" s="913" t="s">
        <v>1418</v>
      </c>
      <c r="H2939" t="s">
        <v>6205</v>
      </c>
    </row>
    <row r="2940" spans="2:8">
      <c r="B2940" s="871">
        <v>46279</v>
      </c>
      <c r="C2940" t="s">
        <v>2483</v>
      </c>
      <c r="D2940" t="s">
        <v>1410</v>
      </c>
      <c r="E2940" t="s">
        <v>3352</v>
      </c>
      <c r="F2940" s="853" t="s">
        <v>527</v>
      </c>
      <c r="G2940" s="913" t="s">
        <v>1418</v>
      </c>
      <c r="H2940" t="s">
        <v>6206</v>
      </c>
    </row>
    <row r="2941" spans="2:8">
      <c r="B2941" s="871">
        <v>46279</v>
      </c>
      <c r="C2941" t="s">
        <v>2483</v>
      </c>
      <c r="D2941" t="s">
        <v>1410</v>
      </c>
      <c r="E2941" t="s">
        <v>3352</v>
      </c>
      <c r="F2941" s="853" t="s">
        <v>528</v>
      </c>
      <c r="G2941" s="913" t="s">
        <v>1418</v>
      </c>
      <c r="H2941" t="s">
        <v>6207</v>
      </c>
    </row>
    <row r="2942" spans="2:8">
      <c r="B2942" s="871">
        <v>46279</v>
      </c>
      <c r="C2942" t="s">
        <v>2483</v>
      </c>
      <c r="D2942" t="s">
        <v>1409</v>
      </c>
      <c r="E2942" t="s">
        <v>1420</v>
      </c>
      <c r="F2942" s="853" t="s">
        <v>526</v>
      </c>
      <c r="G2942" s="913" t="s">
        <v>1876</v>
      </c>
      <c r="H2942" t="s">
        <v>6208</v>
      </c>
    </row>
    <row r="2943" spans="2:8">
      <c r="B2943" s="871">
        <v>46279</v>
      </c>
      <c r="C2943" t="s">
        <v>2483</v>
      </c>
      <c r="D2943" t="s">
        <v>1409</v>
      </c>
      <c r="E2943" t="s">
        <v>1420</v>
      </c>
      <c r="F2943" s="853" t="s">
        <v>527</v>
      </c>
      <c r="G2943" s="913" t="s">
        <v>1876</v>
      </c>
      <c r="H2943" t="s">
        <v>6209</v>
      </c>
    </row>
    <row r="2944" spans="2:8">
      <c r="B2944" s="871">
        <v>46279</v>
      </c>
      <c r="C2944" t="s">
        <v>2483</v>
      </c>
      <c r="D2944" t="s">
        <v>1409</v>
      </c>
      <c r="E2944" t="s">
        <v>1420</v>
      </c>
      <c r="F2944" s="853" t="s">
        <v>528</v>
      </c>
      <c r="G2944" s="913" t="s">
        <v>1422</v>
      </c>
      <c r="H2944" t="s">
        <v>6210</v>
      </c>
    </row>
    <row r="2945" spans="2:8">
      <c r="B2945" s="871">
        <v>46279</v>
      </c>
      <c r="C2945" t="s">
        <v>2483</v>
      </c>
      <c r="D2945" t="s">
        <v>1410</v>
      </c>
      <c r="E2945" t="s">
        <v>3359</v>
      </c>
      <c r="F2945" s="853" t="s">
        <v>526</v>
      </c>
      <c r="G2945" s="913">
        <v>117</v>
      </c>
      <c r="H2945" t="s">
        <v>6211</v>
      </c>
    </row>
    <row r="2946" spans="2:8">
      <c r="B2946" s="871">
        <v>46279</v>
      </c>
      <c r="C2946" t="s">
        <v>2483</v>
      </c>
      <c r="D2946" t="s">
        <v>1410</v>
      </c>
      <c r="E2946" t="s">
        <v>3359</v>
      </c>
      <c r="F2946" s="853" t="s">
        <v>527</v>
      </c>
      <c r="G2946" s="913">
        <v>116</v>
      </c>
      <c r="H2946" t="s">
        <v>6212</v>
      </c>
    </row>
    <row r="2947" spans="2:8">
      <c r="B2947" s="871">
        <v>46279</v>
      </c>
      <c r="C2947" t="s">
        <v>2483</v>
      </c>
      <c r="D2947" t="s">
        <v>1410</v>
      </c>
      <c r="E2947" t="s">
        <v>3359</v>
      </c>
      <c r="F2947" s="853" t="s">
        <v>528</v>
      </c>
      <c r="G2947" s="913">
        <v>117</v>
      </c>
      <c r="H2947" t="s">
        <v>6213</v>
      </c>
    </row>
    <row r="2948" spans="2:8">
      <c r="B2948" s="871">
        <v>46279</v>
      </c>
      <c r="C2948" t="s">
        <v>2483</v>
      </c>
      <c r="D2948" t="s">
        <v>1409</v>
      </c>
      <c r="E2948" t="s">
        <v>1424</v>
      </c>
      <c r="F2948" s="853" t="s">
        <v>526</v>
      </c>
      <c r="H2948" t="s">
        <v>6214</v>
      </c>
    </row>
    <row r="2949" spans="2:8">
      <c r="B2949" s="871">
        <v>46279</v>
      </c>
      <c r="C2949" t="s">
        <v>2483</v>
      </c>
      <c r="D2949" t="s">
        <v>1409</v>
      </c>
      <c r="E2949" t="s">
        <v>1424</v>
      </c>
      <c r="F2949" s="853" t="s">
        <v>527</v>
      </c>
      <c r="H2949" t="s">
        <v>6215</v>
      </c>
    </row>
    <row r="2950" spans="2:8">
      <c r="B2950" s="871">
        <v>46279</v>
      </c>
      <c r="C2950" t="s">
        <v>2483</v>
      </c>
      <c r="D2950" t="s">
        <v>1409</v>
      </c>
      <c r="E2950" t="s">
        <v>1424</v>
      </c>
      <c r="F2950" s="853" t="s">
        <v>528</v>
      </c>
      <c r="H2950" t="s">
        <v>6216</v>
      </c>
    </row>
    <row r="2951" spans="2:8">
      <c r="B2951" s="871">
        <v>46279</v>
      </c>
      <c r="C2951" t="s">
        <v>2483</v>
      </c>
      <c r="D2951" t="s">
        <v>1410</v>
      </c>
      <c r="E2951" t="s">
        <v>3366</v>
      </c>
      <c r="F2951" s="853" t="s">
        <v>526</v>
      </c>
      <c r="G2951" s="913">
        <v>2595</v>
      </c>
      <c r="H2951" t="s">
        <v>6217</v>
      </c>
    </row>
    <row r="2952" spans="2:8">
      <c r="B2952" s="871">
        <v>46279</v>
      </c>
      <c r="C2952" t="s">
        <v>2483</v>
      </c>
      <c r="D2952" t="s">
        <v>1410</v>
      </c>
      <c r="E2952" t="s">
        <v>3366</v>
      </c>
      <c r="F2952" s="853" t="s">
        <v>527</v>
      </c>
      <c r="G2952" s="913">
        <v>2540</v>
      </c>
      <c r="H2952" t="s">
        <v>6218</v>
      </c>
    </row>
    <row r="2953" spans="2:8">
      <c r="B2953" s="871">
        <v>46279</v>
      </c>
      <c r="C2953" t="s">
        <v>2483</v>
      </c>
      <c r="D2953" t="s">
        <v>1410</v>
      </c>
      <c r="E2953" t="s">
        <v>3366</v>
      </c>
      <c r="F2953" s="853" t="s">
        <v>528</v>
      </c>
      <c r="G2953" s="913">
        <v>2587</v>
      </c>
      <c r="H2953" t="s">
        <v>6219</v>
      </c>
    </row>
    <row r="2954" spans="2:8">
      <c r="B2954" s="871">
        <v>46279</v>
      </c>
      <c r="C2954" t="s">
        <v>2483</v>
      </c>
      <c r="D2954" t="s">
        <v>1410</v>
      </c>
      <c r="E2954" t="s">
        <v>3370</v>
      </c>
      <c r="F2954" s="853" t="s">
        <v>526</v>
      </c>
      <c r="G2954" s="913" t="s">
        <v>1427</v>
      </c>
      <c r="H2954" t="s">
        <v>6220</v>
      </c>
    </row>
    <row r="2955" spans="2:8">
      <c r="B2955" s="871">
        <v>46279</v>
      </c>
      <c r="C2955" t="s">
        <v>2483</v>
      </c>
      <c r="D2955" t="s">
        <v>1410</v>
      </c>
      <c r="E2955" t="s">
        <v>3370</v>
      </c>
      <c r="F2955" s="853" t="s">
        <v>527</v>
      </c>
      <c r="G2955" s="913" t="s">
        <v>1427</v>
      </c>
      <c r="H2955" t="s">
        <v>6221</v>
      </c>
    </row>
    <row r="2956" spans="2:8">
      <c r="B2956" s="871">
        <v>46279</v>
      </c>
      <c r="C2956" t="s">
        <v>2483</v>
      </c>
      <c r="D2956" t="s">
        <v>1410</v>
      </c>
      <c r="E2956" t="s">
        <v>3370</v>
      </c>
      <c r="F2956" s="853" t="s">
        <v>528</v>
      </c>
      <c r="G2956" s="913" t="s">
        <v>1427</v>
      </c>
      <c r="H2956" t="s">
        <v>6222</v>
      </c>
    </row>
    <row r="2957" spans="2:8">
      <c r="B2957" s="871">
        <v>46279</v>
      </c>
      <c r="C2957" t="s">
        <v>2483</v>
      </c>
      <c r="D2957" t="s">
        <v>1410</v>
      </c>
      <c r="E2957" t="s">
        <v>3374</v>
      </c>
      <c r="F2957" s="853" t="s">
        <v>526</v>
      </c>
      <c r="G2957" s="913">
        <v>1.7</v>
      </c>
      <c r="H2957" t="s">
        <v>6223</v>
      </c>
    </row>
    <row r="2958" spans="2:8">
      <c r="B2958" s="871">
        <v>46279</v>
      </c>
      <c r="C2958" t="s">
        <v>2483</v>
      </c>
      <c r="D2958" t="s">
        <v>1410</v>
      </c>
      <c r="E2958" t="s">
        <v>3374</v>
      </c>
      <c r="F2958" s="853" t="s">
        <v>527</v>
      </c>
      <c r="G2958" s="913">
        <v>2.5299999999999998</v>
      </c>
      <c r="H2958" t="s">
        <v>6224</v>
      </c>
    </row>
    <row r="2959" spans="2:8">
      <c r="B2959" s="871">
        <v>46279</v>
      </c>
      <c r="C2959" t="s">
        <v>2483</v>
      </c>
      <c r="D2959" t="s">
        <v>1410</v>
      </c>
      <c r="E2959" t="s">
        <v>3374</v>
      </c>
      <c r="F2959" s="853" t="s">
        <v>528</v>
      </c>
      <c r="G2959" s="913">
        <v>2</v>
      </c>
      <c r="H2959" t="s">
        <v>6225</v>
      </c>
    </row>
    <row r="2960" spans="2:8">
      <c r="B2960" s="871">
        <v>46279</v>
      </c>
      <c r="C2960" t="s">
        <v>2483</v>
      </c>
      <c r="D2960" t="s">
        <v>1410</v>
      </c>
      <c r="E2960" t="s">
        <v>3378</v>
      </c>
      <c r="F2960" s="853" t="s">
        <v>526</v>
      </c>
      <c r="G2960" s="913" t="s">
        <v>1627</v>
      </c>
      <c r="H2960" t="s">
        <v>6226</v>
      </c>
    </row>
    <row r="2961" spans="2:8">
      <c r="B2961" s="871">
        <v>46279</v>
      </c>
      <c r="C2961" t="s">
        <v>2483</v>
      </c>
      <c r="D2961" t="s">
        <v>1410</v>
      </c>
      <c r="E2961" t="s">
        <v>3378</v>
      </c>
      <c r="F2961" s="853" t="s">
        <v>527</v>
      </c>
      <c r="G2961" s="913" t="s">
        <v>1627</v>
      </c>
      <c r="H2961" t="s">
        <v>6227</v>
      </c>
    </row>
    <row r="2962" spans="2:8">
      <c r="B2962" s="871">
        <v>46279</v>
      </c>
      <c r="C2962" t="s">
        <v>2483</v>
      </c>
      <c r="D2962" t="s">
        <v>1410</v>
      </c>
      <c r="E2962" t="s">
        <v>3378</v>
      </c>
      <c r="F2962" s="853" t="s">
        <v>528</v>
      </c>
      <c r="G2962" s="913" t="s">
        <v>1627</v>
      </c>
      <c r="H2962" t="s">
        <v>6228</v>
      </c>
    </row>
    <row r="2963" spans="2:8">
      <c r="B2963" s="871">
        <v>46279</v>
      </c>
      <c r="C2963" t="s">
        <v>2483</v>
      </c>
      <c r="D2963" t="s">
        <v>1410</v>
      </c>
      <c r="E2963" t="s">
        <v>3382</v>
      </c>
      <c r="F2963" s="853" t="s">
        <v>526</v>
      </c>
      <c r="G2963" s="913">
        <v>114</v>
      </c>
      <c r="H2963" t="s">
        <v>6229</v>
      </c>
    </row>
    <row r="2964" spans="2:8">
      <c r="B2964" s="871">
        <v>46279</v>
      </c>
      <c r="C2964" t="s">
        <v>2483</v>
      </c>
      <c r="D2964" t="s">
        <v>1410</v>
      </c>
      <c r="E2964" t="s">
        <v>3382</v>
      </c>
      <c r="F2964" s="853" t="s">
        <v>527</v>
      </c>
      <c r="G2964" s="913">
        <v>107</v>
      </c>
      <c r="H2964" t="s">
        <v>6230</v>
      </c>
    </row>
    <row r="2965" spans="2:8">
      <c r="B2965" s="871">
        <v>46279</v>
      </c>
      <c r="C2965" t="s">
        <v>2483</v>
      </c>
      <c r="D2965" t="s">
        <v>1410</v>
      </c>
      <c r="E2965" t="s">
        <v>3382</v>
      </c>
      <c r="F2965" s="853" t="s">
        <v>528</v>
      </c>
      <c r="G2965" s="913">
        <v>107</v>
      </c>
      <c r="H2965" t="s">
        <v>6231</v>
      </c>
    </row>
    <row r="2966" spans="2:8">
      <c r="B2966" s="871">
        <v>46279</v>
      </c>
      <c r="C2966" t="s">
        <v>2483</v>
      </c>
      <c r="D2966" t="s">
        <v>1409</v>
      </c>
      <c r="E2966" t="s">
        <v>1431</v>
      </c>
      <c r="F2966" s="853" t="s">
        <v>526</v>
      </c>
      <c r="H2966" t="s">
        <v>6232</v>
      </c>
    </row>
    <row r="2967" spans="2:8">
      <c r="B2967" s="871">
        <v>46279</v>
      </c>
      <c r="C2967" t="s">
        <v>2483</v>
      </c>
      <c r="D2967" t="s">
        <v>1409</v>
      </c>
      <c r="E2967" t="s">
        <v>1431</v>
      </c>
      <c r="F2967" s="853" t="s">
        <v>527</v>
      </c>
      <c r="H2967" t="s">
        <v>6233</v>
      </c>
    </row>
    <row r="2968" spans="2:8">
      <c r="B2968" s="871">
        <v>46279</v>
      </c>
      <c r="C2968" t="s">
        <v>2483</v>
      </c>
      <c r="D2968" t="s">
        <v>1409</v>
      </c>
      <c r="E2968" t="s">
        <v>1431</v>
      </c>
      <c r="F2968" s="853" t="s">
        <v>528</v>
      </c>
      <c r="H2968" t="s">
        <v>6234</v>
      </c>
    </row>
    <row r="2969" spans="2:8">
      <c r="B2969" s="871">
        <v>46279</v>
      </c>
      <c r="C2969" t="s">
        <v>2483</v>
      </c>
      <c r="D2969" t="s">
        <v>1410</v>
      </c>
      <c r="E2969" t="s">
        <v>3389</v>
      </c>
      <c r="F2969" s="853" t="s">
        <v>526</v>
      </c>
      <c r="G2969" s="913">
        <v>2710</v>
      </c>
      <c r="H2969" t="s">
        <v>6235</v>
      </c>
    </row>
    <row r="2970" spans="2:8">
      <c r="B2970" s="871">
        <v>46279</v>
      </c>
      <c r="C2970" t="s">
        <v>2483</v>
      </c>
      <c r="D2970" t="s">
        <v>1410</v>
      </c>
      <c r="E2970" t="s">
        <v>3389</v>
      </c>
      <c r="F2970" s="853" t="s">
        <v>527</v>
      </c>
      <c r="G2970" s="913">
        <v>3032</v>
      </c>
      <c r="H2970" t="s">
        <v>6236</v>
      </c>
    </row>
    <row r="2971" spans="2:8">
      <c r="B2971" s="871">
        <v>46279</v>
      </c>
      <c r="C2971" t="s">
        <v>2483</v>
      </c>
      <c r="D2971" t="s">
        <v>1410</v>
      </c>
      <c r="E2971" t="s">
        <v>3389</v>
      </c>
      <c r="F2971" s="853" t="s">
        <v>528</v>
      </c>
      <c r="G2971" s="913">
        <v>3122</v>
      </c>
      <c r="H2971" t="s">
        <v>6237</v>
      </c>
    </row>
    <row r="2972" spans="2:8">
      <c r="B2972" s="871">
        <v>46279</v>
      </c>
      <c r="C2972" t="s">
        <v>2483</v>
      </c>
      <c r="D2972" t="s">
        <v>1410</v>
      </c>
      <c r="E2972" t="s">
        <v>3393</v>
      </c>
      <c r="F2972" s="853" t="s">
        <v>526</v>
      </c>
      <c r="G2972" s="913" t="s">
        <v>1663</v>
      </c>
      <c r="H2972" t="s">
        <v>6238</v>
      </c>
    </row>
    <row r="2973" spans="2:8">
      <c r="B2973" s="871">
        <v>46279</v>
      </c>
      <c r="C2973" t="s">
        <v>2483</v>
      </c>
      <c r="D2973" t="s">
        <v>1410</v>
      </c>
      <c r="E2973" t="s">
        <v>3393</v>
      </c>
      <c r="F2973" s="853" t="s">
        <v>527</v>
      </c>
      <c r="G2973" s="913" t="s">
        <v>1877</v>
      </c>
      <c r="H2973" t="s">
        <v>6239</v>
      </c>
    </row>
    <row r="2974" spans="2:8">
      <c r="B2974" s="871">
        <v>46279</v>
      </c>
      <c r="C2974" t="s">
        <v>2483</v>
      </c>
      <c r="D2974" t="s">
        <v>1410</v>
      </c>
      <c r="E2974" t="s">
        <v>3393</v>
      </c>
      <c r="F2974" s="853" t="s">
        <v>528</v>
      </c>
      <c r="G2974" s="913" t="s">
        <v>1663</v>
      </c>
      <c r="H2974" t="s">
        <v>6240</v>
      </c>
    </row>
    <row r="2975" spans="2:8">
      <c r="B2975" s="871">
        <v>46279</v>
      </c>
      <c r="C2975" t="s">
        <v>2483</v>
      </c>
      <c r="D2975" t="s">
        <v>1410</v>
      </c>
      <c r="E2975" t="s">
        <v>3397</v>
      </c>
      <c r="F2975" s="853" t="s">
        <v>526</v>
      </c>
      <c r="G2975" s="913" t="s">
        <v>1435</v>
      </c>
      <c r="H2975" t="s">
        <v>6241</v>
      </c>
    </row>
    <row r="2976" spans="2:8">
      <c r="B2976" s="871">
        <v>46279</v>
      </c>
      <c r="C2976" t="s">
        <v>2483</v>
      </c>
      <c r="D2976" t="s">
        <v>1410</v>
      </c>
      <c r="E2976" t="s">
        <v>3397</v>
      </c>
      <c r="F2976" s="853" t="s">
        <v>527</v>
      </c>
      <c r="G2976" s="913" t="s">
        <v>1435</v>
      </c>
      <c r="H2976" t="s">
        <v>6242</v>
      </c>
    </row>
    <row r="2977" spans="2:8">
      <c r="B2977" s="871">
        <v>46279</v>
      </c>
      <c r="C2977" t="s">
        <v>2483</v>
      </c>
      <c r="D2977" t="s">
        <v>1410</v>
      </c>
      <c r="E2977" t="s">
        <v>3397</v>
      </c>
      <c r="F2977" s="853" t="s">
        <v>528</v>
      </c>
      <c r="G2977" s="913" t="s">
        <v>1435</v>
      </c>
      <c r="H2977" t="s">
        <v>6243</v>
      </c>
    </row>
    <row r="2978" spans="2:8">
      <c r="B2978" s="871">
        <v>46279</v>
      </c>
      <c r="C2978" t="s">
        <v>2483</v>
      </c>
      <c r="D2978" t="s">
        <v>1434</v>
      </c>
      <c r="E2978" t="s">
        <v>42</v>
      </c>
      <c r="F2978" s="853" t="s">
        <v>526</v>
      </c>
      <c r="G2978" s="913" t="s">
        <v>1862</v>
      </c>
      <c r="H2978" t="s">
        <v>6244</v>
      </c>
    </row>
    <row r="2979" spans="2:8">
      <c r="B2979" s="871">
        <v>46279</v>
      </c>
      <c r="C2979" t="s">
        <v>2483</v>
      </c>
      <c r="D2979" t="s">
        <v>1434</v>
      </c>
      <c r="E2979" t="s">
        <v>42</v>
      </c>
      <c r="F2979" s="853" t="s">
        <v>527</v>
      </c>
      <c r="G2979" s="913" t="s">
        <v>1913</v>
      </c>
      <c r="H2979" t="s">
        <v>6245</v>
      </c>
    </row>
    <row r="2980" spans="2:8">
      <c r="B2980" s="871">
        <v>46279</v>
      </c>
      <c r="C2980" t="s">
        <v>2483</v>
      </c>
      <c r="D2980" t="s">
        <v>1434</v>
      </c>
      <c r="E2980" t="s">
        <v>42</v>
      </c>
      <c r="F2980" s="853" t="s">
        <v>528</v>
      </c>
      <c r="G2980" s="913" t="s">
        <v>1913</v>
      </c>
      <c r="H2980" t="s">
        <v>6246</v>
      </c>
    </row>
    <row r="2981" spans="2:8">
      <c r="B2981" s="871">
        <v>46279</v>
      </c>
      <c r="C2981" t="s">
        <v>2483</v>
      </c>
      <c r="D2981" t="s">
        <v>1410</v>
      </c>
      <c r="E2981" t="s">
        <v>3404</v>
      </c>
      <c r="F2981" s="853" t="s">
        <v>526</v>
      </c>
      <c r="G2981" s="913" t="s">
        <v>1419</v>
      </c>
      <c r="H2981" t="s">
        <v>6247</v>
      </c>
    </row>
    <row r="2982" spans="2:8">
      <c r="B2982" s="871">
        <v>46279</v>
      </c>
      <c r="C2982" t="s">
        <v>2483</v>
      </c>
      <c r="D2982" t="s">
        <v>1410</v>
      </c>
      <c r="E2982" t="s">
        <v>3404</v>
      </c>
      <c r="F2982" s="853" t="s">
        <v>527</v>
      </c>
      <c r="G2982" s="913" t="s">
        <v>1419</v>
      </c>
      <c r="H2982" t="s">
        <v>6248</v>
      </c>
    </row>
    <row r="2983" spans="2:8">
      <c r="B2983" s="871">
        <v>46279</v>
      </c>
      <c r="C2983" t="s">
        <v>2483</v>
      </c>
      <c r="D2983" t="s">
        <v>1410</v>
      </c>
      <c r="E2983" t="s">
        <v>3404</v>
      </c>
      <c r="F2983" s="853" t="s">
        <v>528</v>
      </c>
      <c r="G2983" s="913" t="s">
        <v>1419</v>
      </c>
      <c r="H2983" t="s">
        <v>6249</v>
      </c>
    </row>
    <row r="2984" spans="2:8">
      <c r="B2984" s="871">
        <v>46279</v>
      </c>
      <c r="C2984" t="s">
        <v>2483</v>
      </c>
      <c r="D2984" t="s">
        <v>1434</v>
      </c>
      <c r="E2984" t="s">
        <v>1439</v>
      </c>
      <c r="F2984" s="853" t="s">
        <v>526</v>
      </c>
      <c r="G2984" s="913" t="s">
        <v>1440</v>
      </c>
      <c r="H2984" t="s">
        <v>6250</v>
      </c>
    </row>
    <row r="2985" spans="2:8">
      <c r="B2985" s="871">
        <v>46279</v>
      </c>
      <c r="C2985" t="s">
        <v>2483</v>
      </c>
      <c r="D2985" t="s">
        <v>1434</v>
      </c>
      <c r="E2985" t="s">
        <v>1439</v>
      </c>
      <c r="F2985" s="853" t="s">
        <v>527</v>
      </c>
      <c r="G2985" s="913" t="s">
        <v>9412</v>
      </c>
      <c r="H2985" t="s">
        <v>6251</v>
      </c>
    </row>
    <row r="2986" spans="2:8">
      <c r="B2986" s="871">
        <v>46279</v>
      </c>
      <c r="C2986" t="s">
        <v>2483</v>
      </c>
      <c r="D2986" t="s">
        <v>1434</v>
      </c>
      <c r="E2986" t="s">
        <v>1439</v>
      </c>
      <c r="F2986" s="853" t="s">
        <v>528</v>
      </c>
      <c r="G2986" s="913" t="s">
        <v>9412</v>
      </c>
      <c r="H2986" t="s">
        <v>6252</v>
      </c>
    </row>
    <row r="2987" spans="2:8">
      <c r="B2987" s="871">
        <v>46279</v>
      </c>
      <c r="C2987" t="s">
        <v>2483</v>
      </c>
      <c r="D2987" t="s">
        <v>1410</v>
      </c>
      <c r="E2987" t="s">
        <v>3411</v>
      </c>
      <c r="F2987" s="853" t="s">
        <v>526</v>
      </c>
      <c r="G2987" s="913">
        <v>47</v>
      </c>
      <c r="H2987" t="s">
        <v>6253</v>
      </c>
    </row>
    <row r="2988" spans="2:8">
      <c r="B2988" s="871">
        <v>46279</v>
      </c>
      <c r="C2988" t="s">
        <v>2483</v>
      </c>
      <c r="D2988" t="s">
        <v>1410</v>
      </c>
      <c r="E2988" t="s">
        <v>3411</v>
      </c>
      <c r="F2988" s="853" t="s">
        <v>527</v>
      </c>
      <c r="G2988" s="913">
        <v>64</v>
      </c>
      <c r="H2988" t="s">
        <v>6254</v>
      </c>
    </row>
    <row r="2989" spans="2:8">
      <c r="B2989" s="871">
        <v>46279</v>
      </c>
      <c r="C2989" t="s">
        <v>2483</v>
      </c>
      <c r="D2989" t="s">
        <v>1410</v>
      </c>
      <c r="E2989" t="s">
        <v>3411</v>
      </c>
      <c r="F2989" s="853" t="s">
        <v>528</v>
      </c>
      <c r="G2989" s="913">
        <v>60</v>
      </c>
      <c r="H2989" t="s">
        <v>6255</v>
      </c>
    </row>
    <row r="2990" spans="2:8">
      <c r="B2990" s="871">
        <v>46279</v>
      </c>
      <c r="C2990" t="s">
        <v>2483</v>
      </c>
      <c r="D2990" t="s">
        <v>1434</v>
      </c>
      <c r="E2990" t="s">
        <v>43</v>
      </c>
      <c r="F2990" s="853" t="s">
        <v>526</v>
      </c>
      <c r="G2990" s="913" t="s">
        <v>1863</v>
      </c>
      <c r="H2990" t="s">
        <v>6256</v>
      </c>
    </row>
    <row r="2991" spans="2:8">
      <c r="B2991" s="871">
        <v>46279</v>
      </c>
      <c r="C2991" t="s">
        <v>2483</v>
      </c>
      <c r="D2991" t="s">
        <v>1434</v>
      </c>
      <c r="E2991" t="s">
        <v>43</v>
      </c>
      <c r="F2991" s="853" t="s">
        <v>527</v>
      </c>
      <c r="G2991" s="913" t="s">
        <v>9413</v>
      </c>
      <c r="H2991" t="s">
        <v>6257</v>
      </c>
    </row>
    <row r="2992" spans="2:8">
      <c r="B2992" s="871">
        <v>46279</v>
      </c>
      <c r="C2992" t="s">
        <v>2483</v>
      </c>
      <c r="D2992" t="s">
        <v>1434</v>
      </c>
      <c r="E2992" t="s">
        <v>43</v>
      </c>
      <c r="F2992" s="853" t="s">
        <v>528</v>
      </c>
      <c r="G2992" s="913" t="s">
        <v>9413</v>
      </c>
      <c r="H2992" t="s">
        <v>6258</v>
      </c>
    </row>
    <row r="2993" spans="2:8">
      <c r="B2993" s="871">
        <v>46279</v>
      </c>
      <c r="C2993" t="s">
        <v>2483</v>
      </c>
      <c r="D2993" t="s">
        <v>1410</v>
      </c>
      <c r="E2993" t="s">
        <v>3418</v>
      </c>
      <c r="F2993" s="853" t="s">
        <v>526</v>
      </c>
      <c r="G2993" s="913">
        <v>94</v>
      </c>
      <c r="H2993" t="s">
        <v>6259</v>
      </c>
    </row>
    <row r="2994" spans="2:8">
      <c r="B2994" s="871">
        <v>46279</v>
      </c>
      <c r="C2994" t="s">
        <v>2483</v>
      </c>
      <c r="D2994" t="s">
        <v>1410</v>
      </c>
      <c r="E2994" t="s">
        <v>3418</v>
      </c>
      <c r="F2994" s="853" t="s">
        <v>527</v>
      </c>
      <c r="G2994" s="913">
        <v>68</v>
      </c>
      <c r="H2994" t="s">
        <v>6260</v>
      </c>
    </row>
    <row r="2995" spans="2:8">
      <c r="B2995" s="871">
        <v>46279</v>
      </c>
      <c r="C2995" t="s">
        <v>2483</v>
      </c>
      <c r="D2995" t="s">
        <v>1410</v>
      </c>
      <c r="E2995" t="s">
        <v>3418</v>
      </c>
      <c r="F2995" s="853" t="s">
        <v>528</v>
      </c>
      <c r="G2995" s="913">
        <v>69</v>
      </c>
      <c r="H2995" t="s">
        <v>6261</v>
      </c>
    </row>
    <row r="2996" spans="2:8">
      <c r="B2996" s="871">
        <v>46279</v>
      </c>
      <c r="C2996" t="s">
        <v>2483</v>
      </c>
      <c r="D2996" t="s">
        <v>1434</v>
      </c>
      <c r="E2996" t="s">
        <v>1441</v>
      </c>
      <c r="F2996" s="853" t="s">
        <v>526</v>
      </c>
      <c r="H2996" t="s">
        <v>6262</v>
      </c>
    </row>
    <row r="2997" spans="2:8">
      <c r="B2997" s="871">
        <v>46279</v>
      </c>
      <c r="C2997" t="s">
        <v>2483</v>
      </c>
      <c r="D2997" t="s">
        <v>1434</v>
      </c>
      <c r="E2997" t="s">
        <v>1441</v>
      </c>
      <c r="F2997" s="853" t="s">
        <v>527</v>
      </c>
      <c r="H2997" t="s">
        <v>6263</v>
      </c>
    </row>
    <row r="2998" spans="2:8">
      <c r="B2998" s="871">
        <v>46279</v>
      </c>
      <c r="C2998" t="s">
        <v>2483</v>
      </c>
      <c r="D2998" t="s">
        <v>1434</v>
      </c>
      <c r="E2998" t="s">
        <v>1441</v>
      </c>
      <c r="F2998" s="853" t="s">
        <v>528</v>
      </c>
      <c r="H2998" t="s">
        <v>6264</v>
      </c>
    </row>
    <row r="2999" spans="2:8">
      <c r="B2999" s="871">
        <v>46279</v>
      </c>
      <c r="C2999" t="s">
        <v>2483</v>
      </c>
      <c r="D2999" t="s">
        <v>1410</v>
      </c>
      <c r="E2999" t="s">
        <v>3425</v>
      </c>
      <c r="F2999" s="853" t="s">
        <v>526</v>
      </c>
      <c r="G2999" s="913" t="s">
        <v>1443</v>
      </c>
      <c r="H2999" t="s">
        <v>6265</v>
      </c>
    </row>
    <row r="3000" spans="2:8">
      <c r="B3000" s="871">
        <v>46279</v>
      </c>
      <c r="C3000" t="s">
        <v>2483</v>
      </c>
      <c r="D3000" t="s">
        <v>1410</v>
      </c>
      <c r="E3000" t="s">
        <v>3425</v>
      </c>
      <c r="F3000" s="853" t="s">
        <v>527</v>
      </c>
      <c r="G3000" s="913" t="s">
        <v>1443</v>
      </c>
      <c r="H3000" t="s">
        <v>6266</v>
      </c>
    </row>
    <row r="3001" spans="2:8">
      <c r="B3001" s="871">
        <v>46279</v>
      </c>
      <c r="C3001" t="s">
        <v>2483</v>
      </c>
      <c r="D3001" t="s">
        <v>1410</v>
      </c>
      <c r="E3001" t="s">
        <v>3425</v>
      </c>
      <c r="F3001" s="853" t="s">
        <v>528</v>
      </c>
      <c r="G3001" s="913" t="s">
        <v>1443</v>
      </c>
      <c r="H3001" t="s">
        <v>6267</v>
      </c>
    </row>
    <row r="3002" spans="2:8">
      <c r="B3002" s="871">
        <v>46279</v>
      </c>
      <c r="C3002" t="s">
        <v>2483</v>
      </c>
      <c r="D3002" t="s">
        <v>1434</v>
      </c>
      <c r="E3002" t="s">
        <v>1444</v>
      </c>
      <c r="F3002" s="853" t="s">
        <v>526</v>
      </c>
      <c r="H3002" t="s">
        <v>6268</v>
      </c>
    </row>
    <row r="3003" spans="2:8">
      <c r="B3003" s="871">
        <v>46279</v>
      </c>
      <c r="C3003" t="s">
        <v>2483</v>
      </c>
      <c r="D3003" t="s">
        <v>1434</v>
      </c>
      <c r="E3003" t="s">
        <v>1444</v>
      </c>
      <c r="F3003" s="853" t="s">
        <v>527</v>
      </c>
      <c r="H3003" t="s">
        <v>6269</v>
      </c>
    </row>
    <row r="3004" spans="2:8">
      <c r="B3004" s="871">
        <v>46279</v>
      </c>
      <c r="C3004" t="s">
        <v>2483</v>
      </c>
      <c r="D3004" t="s">
        <v>1434</v>
      </c>
      <c r="E3004" t="s">
        <v>1444</v>
      </c>
      <c r="F3004" s="853" t="s">
        <v>528</v>
      </c>
      <c r="H3004" t="s">
        <v>6270</v>
      </c>
    </row>
    <row r="3005" spans="2:8">
      <c r="B3005" s="871">
        <v>46279</v>
      </c>
      <c r="C3005" t="s">
        <v>2483</v>
      </c>
      <c r="D3005" t="s">
        <v>1434</v>
      </c>
      <c r="E3005" t="s">
        <v>1446</v>
      </c>
      <c r="F3005" s="853" t="s">
        <v>526</v>
      </c>
      <c r="G3005" s="913">
        <v>22500</v>
      </c>
      <c r="H3005" t="s">
        <v>6271</v>
      </c>
    </row>
    <row r="3006" spans="2:8">
      <c r="B3006" s="871">
        <v>46279</v>
      </c>
      <c r="C3006" t="s">
        <v>2483</v>
      </c>
      <c r="D3006" t="s">
        <v>1434</v>
      </c>
      <c r="E3006" t="s">
        <v>1446</v>
      </c>
      <c r="F3006" s="853" t="s">
        <v>527</v>
      </c>
      <c r="G3006" s="913" t="s">
        <v>1914</v>
      </c>
      <c r="H3006" t="s">
        <v>6272</v>
      </c>
    </row>
    <row r="3007" spans="2:8">
      <c r="B3007" s="871">
        <v>46279</v>
      </c>
      <c r="C3007" t="s">
        <v>2483</v>
      </c>
      <c r="D3007" t="s">
        <v>1434</v>
      </c>
      <c r="E3007" t="s">
        <v>1446</v>
      </c>
      <c r="F3007" s="853" t="s">
        <v>528</v>
      </c>
      <c r="G3007" s="913">
        <v>82000</v>
      </c>
      <c r="H3007" t="s">
        <v>6273</v>
      </c>
    </row>
    <row r="3008" spans="2:8">
      <c r="B3008" s="871">
        <v>46279</v>
      </c>
      <c r="C3008" t="s">
        <v>2483</v>
      </c>
      <c r="D3008" t="s">
        <v>1410</v>
      </c>
      <c r="E3008" t="s">
        <v>3435</v>
      </c>
      <c r="F3008" s="853" t="s">
        <v>526</v>
      </c>
      <c r="G3008" s="913" t="s">
        <v>1586</v>
      </c>
      <c r="H3008" t="s">
        <v>6274</v>
      </c>
    </row>
    <row r="3009" spans="2:8">
      <c r="B3009" s="871">
        <v>46279</v>
      </c>
      <c r="C3009" t="s">
        <v>2483</v>
      </c>
      <c r="D3009" t="s">
        <v>1410</v>
      </c>
      <c r="E3009" t="s">
        <v>3435</v>
      </c>
      <c r="F3009" s="853" t="s">
        <v>527</v>
      </c>
      <c r="G3009" s="913" t="s">
        <v>1586</v>
      </c>
      <c r="H3009" t="s">
        <v>6275</v>
      </c>
    </row>
    <row r="3010" spans="2:8">
      <c r="B3010" s="871">
        <v>46279</v>
      </c>
      <c r="C3010" t="s">
        <v>2483</v>
      </c>
      <c r="D3010" t="s">
        <v>1410</v>
      </c>
      <c r="E3010" t="s">
        <v>3435</v>
      </c>
      <c r="F3010" s="853" t="s">
        <v>528</v>
      </c>
      <c r="G3010" s="913" t="s">
        <v>1586</v>
      </c>
      <c r="H3010" t="s">
        <v>6276</v>
      </c>
    </row>
    <row r="3011" spans="2:8">
      <c r="B3011" s="871">
        <v>46279</v>
      </c>
      <c r="C3011" t="s">
        <v>2483</v>
      </c>
      <c r="D3011" t="s">
        <v>1434</v>
      </c>
      <c r="E3011" t="s">
        <v>3439</v>
      </c>
      <c r="F3011" s="853" t="s">
        <v>526</v>
      </c>
      <c r="H3011" t="s">
        <v>6277</v>
      </c>
    </row>
    <row r="3012" spans="2:8">
      <c r="B3012" s="871">
        <v>46279</v>
      </c>
      <c r="C3012" t="s">
        <v>2483</v>
      </c>
      <c r="D3012" t="s">
        <v>1434</v>
      </c>
      <c r="E3012" t="s">
        <v>3439</v>
      </c>
      <c r="F3012" s="853" t="s">
        <v>527</v>
      </c>
      <c r="H3012" t="s">
        <v>6278</v>
      </c>
    </row>
    <row r="3013" spans="2:8">
      <c r="B3013" s="871">
        <v>46279</v>
      </c>
      <c r="C3013" t="s">
        <v>2483</v>
      </c>
      <c r="D3013" t="s">
        <v>1434</v>
      </c>
      <c r="E3013" t="s">
        <v>3439</v>
      </c>
      <c r="F3013" s="853" t="s">
        <v>528</v>
      </c>
      <c r="H3013" t="s">
        <v>6279</v>
      </c>
    </row>
    <row r="3014" spans="2:8">
      <c r="B3014" s="871">
        <v>46279</v>
      </c>
      <c r="C3014" t="s">
        <v>2483</v>
      </c>
      <c r="D3014" t="s">
        <v>1410</v>
      </c>
      <c r="E3014" t="s">
        <v>3443</v>
      </c>
      <c r="F3014" s="853" t="s">
        <v>526</v>
      </c>
      <c r="H3014" t="s">
        <v>6280</v>
      </c>
    </row>
    <row r="3015" spans="2:8">
      <c r="B3015" s="871">
        <v>46279</v>
      </c>
      <c r="C3015" t="s">
        <v>2483</v>
      </c>
      <c r="D3015" t="s">
        <v>1410</v>
      </c>
      <c r="E3015" t="s">
        <v>3443</v>
      </c>
      <c r="F3015" s="853" t="s">
        <v>527</v>
      </c>
      <c r="H3015" t="s">
        <v>6281</v>
      </c>
    </row>
    <row r="3016" spans="2:8">
      <c r="B3016" s="871">
        <v>46279</v>
      </c>
      <c r="C3016" t="s">
        <v>2483</v>
      </c>
      <c r="D3016" t="s">
        <v>1410</v>
      </c>
      <c r="E3016" t="s">
        <v>3443</v>
      </c>
      <c r="F3016" s="853" t="s">
        <v>528</v>
      </c>
      <c r="H3016" t="s">
        <v>6282</v>
      </c>
    </row>
    <row r="3017" spans="2:8">
      <c r="B3017" s="871">
        <v>46279</v>
      </c>
      <c r="C3017" t="s">
        <v>2483</v>
      </c>
      <c r="D3017" t="s">
        <v>1434</v>
      </c>
      <c r="E3017" t="s">
        <v>3447</v>
      </c>
      <c r="F3017" s="853" t="s">
        <v>526</v>
      </c>
      <c r="H3017" t="s">
        <v>6283</v>
      </c>
    </row>
    <row r="3018" spans="2:8">
      <c r="B3018" s="871">
        <v>46279</v>
      </c>
      <c r="C3018" t="s">
        <v>2483</v>
      </c>
      <c r="D3018" t="s">
        <v>1434</v>
      </c>
      <c r="E3018" t="s">
        <v>3447</v>
      </c>
      <c r="F3018" s="853" t="s">
        <v>527</v>
      </c>
      <c r="H3018" t="s">
        <v>6284</v>
      </c>
    </row>
    <row r="3019" spans="2:8">
      <c r="B3019" s="871">
        <v>46279</v>
      </c>
      <c r="C3019" t="s">
        <v>2483</v>
      </c>
      <c r="D3019" t="s">
        <v>1434</v>
      </c>
      <c r="E3019" t="s">
        <v>3447</v>
      </c>
      <c r="F3019" s="853" t="s">
        <v>528</v>
      </c>
      <c r="H3019" t="s">
        <v>6285</v>
      </c>
    </row>
    <row r="3020" spans="2:8">
      <c r="B3020" s="871">
        <v>46279</v>
      </c>
      <c r="C3020" t="s">
        <v>2483</v>
      </c>
      <c r="D3020" t="s">
        <v>1410</v>
      </c>
      <c r="E3020" t="s">
        <v>3451</v>
      </c>
      <c r="F3020" s="853" t="s">
        <v>526</v>
      </c>
      <c r="H3020" t="s">
        <v>6286</v>
      </c>
    </row>
    <row r="3021" spans="2:8">
      <c r="B3021" s="871">
        <v>46279</v>
      </c>
      <c r="C3021" t="s">
        <v>2483</v>
      </c>
      <c r="D3021" t="s">
        <v>1410</v>
      </c>
      <c r="E3021" t="s">
        <v>3451</v>
      </c>
      <c r="F3021" s="853" t="s">
        <v>527</v>
      </c>
      <c r="H3021" t="s">
        <v>6287</v>
      </c>
    </row>
    <row r="3022" spans="2:8">
      <c r="B3022" s="871">
        <v>46279</v>
      </c>
      <c r="C3022" t="s">
        <v>2483</v>
      </c>
      <c r="D3022" t="s">
        <v>1410</v>
      </c>
      <c r="E3022" t="s">
        <v>3451</v>
      </c>
      <c r="F3022" s="853" t="s">
        <v>528</v>
      </c>
      <c r="H3022" t="s">
        <v>6288</v>
      </c>
    </row>
    <row r="3023" spans="2:8">
      <c r="B3023" s="871">
        <v>46279</v>
      </c>
      <c r="C3023" t="s">
        <v>2483</v>
      </c>
      <c r="D3023" t="s">
        <v>1434</v>
      </c>
      <c r="E3023" t="s">
        <v>3455</v>
      </c>
      <c r="F3023" s="853" t="s">
        <v>526</v>
      </c>
      <c r="H3023" t="s">
        <v>6289</v>
      </c>
    </row>
    <row r="3024" spans="2:8">
      <c r="B3024" s="871">
        <v>46279</v>
      </c>
      <c r="C3024" t="s">
        <v>2483</v>
      </c>
      <c r="D3024" t="s">
        <v>1434</v>
      </c>
      <c r="E3024" t="s">
        <v>3455</v>
      </c>
      <c r="F3024" s="853" t="s">
        <v>527</v>
      </c>
      <c r="H3024" t="s">
        <v>6290</v>
      </c>
    </row>
    <row r="3025" spans="2:8">
      <c r="B3025" s="871">
        <v>46279</v>
      </c>
      <c r="C3025" t="s">
        <v>2483</v>
      </c>
      <c r="D3025" t="s">
        <v>1434</v>
      </c>
      <c r="E3025" t="s">
        <v>3455</v>
      </c>
      <c r="F3025" s="853" t="s">
        <v>528</v>
      </c>
      <c r="H3025" t="s">
        <v>6291</v>
      </c>
    </row>
    <row r="3026" spans="2:8">
      <c r="B3026" s="871">
        <v>46279</v>
      </c>
      <c r="C3026" t="s">
        <v>2483</v>
      </c>
      <c r="D3026" t="s">
        <v>1410</v>
      </c>
      <c r="E3026" t="s">
        <v>3459</v>
      </c>
      <c r="F3026" s="853" t="s">
        <v>526</v>
      </c>
      <c r="G3026" s="913">
        <v>28</v>
      </c>
      <c r="H3026" t="s">
        <v>6292</v>
      </c>
    </row>
    <row r="3027" spans="2:8">
      <c r="B3027" s="871">
        <v>46279</v>
      </c>
      <c r="C3027" t="s">
        <v>2483</v>
      </c>
      <c r="D3027" t="s">
        <v>1410</v>
      </c>
      <c r="E3027" t="s">
        <v>3459</v>
      </c>
      <c r="F3027" s="853" t="s">
        <v>527</v>
      </c>
      <c r="G3027" s="913">
        <v>28</v>
      </c>
      <c r="H3027" t="s">
        <v>6293</v>
      </c>
    </row>
    <row r="3028" spans="2:8">
      <c r="B3028" s="871">
        <v>46279</v>
      </c>
      <c r="C3028" t="s">
        <v>2483</v>
      </c>
      <c r="D3028" t="s">
        <v>1410</v>
      </c>
      <c r="E3028" t="s">
        <v>3459</v>
      </c>
      <c r="F3028" s="853" t="s">
        <v>528</v>
      </c>
      <c r="G3028" s="913">
        <v>27</v>
      </c>
      <c r="H3028" t="s">
        <v>6294</v>
      </c>
    </row>
    <row r="3029" spans="2:8">
      <c r="B3029" s="871">
        <v>46279</v>
      </c>
      <c r="C3029" t="s">
        <v>2483</v>
      </c>
      <c r="D3029" t="s">
        <v>1434</v>
      </c>
      <c r="E3029" t="s">
        <v>3463</v>
      </c>
      <c r="F3029" s="853" t="s">
        <v>526</v>
      </c>
      <c r="H3029" t="s">
        <v>6295</v>
      </c>
    </row>
    <row r="3030" spans="2:8">
      <c r="B3030" s="871">
        <v>46279</v>
      </c>
      <c r="C3030" t="s">
        <v>2483</v>
      </c>
      <c r="D3030" t="s">
        <v>1434</v>
      </c>
      <c r="E3030" t="s">
        <v>3463</v>
      </c>
      <c r="F3030" s="853" t="s">
        <v>527</v>
      </c>
      <c r="H3030" t="s">
        <v>6296</v>
      </c>
    </row>
    <row r="3031" spans="2:8">
      <c r="B3031" s="871">
        <v>46279</v>
      </c>
      <c r="C3031" t="s">
        <v>2483</v>
      </c>
      <c r="D3031" t="s">
        <v>1434</v>
      </c>
      <c r="E3031" t="s">
        <v>3463</v>
      </c>
      <c r="F3031" s="853" t="s">
        <v>528</v>
      </c>
      <c r="H3031" t="s">
        <v>6297</v>
      </c>
    </row>
    <row r="3032" spans="2:8">
      <c r="B3032" s="871">
        <v>46279</v>
      </c>
      <c r="C3032" t="s">
        <v>2483</v>
      </c>
      <c r="D3032" t="s">
        <v>1410</v>
      </c>
      <c r="E3032" t="s">
        <v>3467</v>
      </c>
      <c r="F3032" s="853" t="s">
        <v>526</v>
      </c>
      <c r="H3032" t="s">
        <v>6298</v>
      </c>
    </row>
    <row r="3033" spans="2:8">
      <c r="B3033" s="871">
        <v>46279</v>
      </c>
      <c r="C3033" t="s">
        <v>2483</v>
      </c>
      <c r="D3033" t="s">
        <v>1410</v>
      </c>
      <c r="E3033" t="s">
        <v>3467</v>
      </c>
      <c r="F3033" s="853" t="s">
        <v>527</v>
      </c>
      <c r="H3033" t="s">
        <v>6299</v>
      </c>
    </row>
    <row r="3034" spans="2:8">
      <c r="B3034" s="871">
        <v>46279</v>
      </c>
      <c r="C3034" t="s">
        <v>2483</v>
      </c>
      <c r="D3034" t="s">
        <v>1410</v>
      </c>
      <c r="E3034" t="s">
        <v>3467</v>
      </c>
      <c r="F3034" s="853" t="s">
        <v>528</v>
      </c>
      <c r="G3034" s="913">
        <v>27</v>
      </c>
      <c r="H3034" t="s">
        <v>6300</v>
      </c>
    </row>
    <row r="3035" spans="2:8">
      <c r="B3035" s="871">
        <v>46279</v>
      </c>
      <c r="C3035" t="s">
        <v>2483</v>
      </c>
      <c r="D3035" t="s">
        <v>1434</v>
      </c>
      <c r="E3035" t="s">
        <v>3471</v>
      </c>
      <c r="F3035" s="853" t="s">
        <v>526</v>
      </c>
      <c r="H3035" t="s">
        <v>6301</v>
      </c>
    </row>
    <row r="3036" spans="2:8">
      <c r="B3036" s="871">
        <v>46279</v>
      </c>
      <c r="C3036" t="s">
        <v>2483</v>
      </c>
      <c r="D3036" t="s">
        <v>1434</v>
      </c>
      <c r="E3036" t="s">
        <v>3471</v>
      </c>
      <c r="F3036" s="853" t="s">
        <v>527</v>
      </c>
      <c r="H3036" t="s">
        <v>6302</v>
      </c>
    </row>
    <row r="3037" spans="2:8">
      <c r="B3037" s="871">
        <v>46279</v>
      </c>
      <c r="C3037" t="s">
        <v>2483</v>
      </c>
      <c r="D3037" t="s">
        <v>1434</v>
      </c>
      <c r="E3037" t="s">
        <v>3471</v>
      </c>
      <c r="F3037" s="853" t="s">
        <v>528</v>
      </c>
      <c r="H3037" t="s">
        <v>6303</v>
      </c>
    </row>
    <row r="3038" spans="2:8">
      <c r="B3038" s="871">
        <v>46279</v>
      </c>
      <c r="C3038" t="s">
        <v>2483</v>
      </c>
      <c r="D3038" t="s">
        <v>1410</v>
      </c>
      <c r="E3038" t="s">
        <v>3475</v>
      </c>
      <c r="F3038" s="853" t="s">
        <v>526</v>
      </c>
      <c r="G3038" s="913">
        <v>18</v>
      </c>
      <c r="H3038" t="s">
        <v>6304</v>
      </c>
    </row>
    <row r="3039" spans="2:8">
      <c r="B3039" s="871">
        <v>46279</v>
      </c>
      <c r="C3039" t="s">
        <v>2483</v>
      </c>
      <c r="D3039" t="s">
        <v>1410</v>
      </c>
      <c r="E3039" t="s">
        <v>3475</v>
      </c>
      <c r="F3039" s="853" t="s">
        <v>527</v>
      </c>
      <c r="G3039" s="913">
        <v>18</v>
      </c>
      <c r="H3039" t="s">
        <v>6305</v>
      </c>
    </row>
    <row r="3040" spans="2:8">
      <c r="B3040" s="871">
        <v>46279</v>
      </c>
      <c r="C3040" t="s">
        <v>2483</v>
      </c>
      <c r="D3040" t="s">
        <v>1410</v>
      </c>
      <c r="E3040" t="s">
        <v>3475</v>
      </c>
      <c r="F3040" s="853" t="s">
        <v>528</v>
      </c>
      <c r="G3040" s="913">
        <v>17</v>
      </c>
      <c r="H3040" t="s">
        <v>6306</v>
      </c>
    </row>
    <row r="3041" spans="2:8">
      <c r="B3041" s="871">
        <v>46279</v>
      </c>
      <c r="C3041" t="s">
        <v>2483</v>
      </c>
      <c r="D3041" t="s">
        <v>1434</v>
      </c>
      <c r="E3041" t="s">
        <v>3479</v>
      </c>
      <c r="F3041" s="853" t="s">
        <v>526</v>
      </c>
      <c r="H3041" t="s">
        <v>6307</v>
      </c>
    </row>
    <row r="3042" spans="2:8">
      <c r="B3042" s="871">
        <v>46279</v>
      </c>
      <c r="C3042" t="s">
        <v>2483</v>
      </c>
      <c r="D3042" t="s">
        <v>1434</v>
      </c>
      <c r="E3042" t="s">
        <v>3479</v>
      </c>
      <c r="F3042" s="853" t="s">
        <v>527</v>
      </c>
      <c r="H3042" t="s">
        <v>6308</v>
      </c>
    </row>
    <row r="3043" spans="2:8">
      <c r="B3043" s="871">
        <v>46279</v>
      </c>
      <c r="C3043" t="s">
        <v>2483</v>
      </c>
      <c r="D3043" t="s">
        <v>1434</v>
      </c>
      <c r="E3043" t="s">
        <v>3479</v>
      </c>
      <c r="F3043" s="853" t="s">
        <v>528</v>
      </c>
      <c r="H3043" t="s">
        <v>6309</v>
      </c>
    </row>
    <row r="3044" spans="2:8">
      <c r="B3044" s="871">
        <v>46279</v>
      </c>
      <c r="C3044" t="s">
        <v>2483</v>
      </c>
      <c r="D3044" t="s">
        <v>1410</v>
      </c>
      <c r="E3044" t="s">
        <v>3483</v>
      </c>
      <c r="F3044" s="853" t="s">
        <v>526</v>
      </c>
      <c r="G3044" s="913" t="s">
        <v>1878</v>
      </c>
      <c r="H3044" t="s">
        <v>6310</v>
      </c>
    </row>
    <row r="3045" spans="2:8">
      <c r="B3045" s="871">
        <v>46279</v>
      </c>
      <c r="C3045" t="s">
        <v>2483</v>
      </c>
      <c r="D3045" t="s">
        <v>1410</v>
      </c>
      <c r="E3045" t="s">
        <v>3483</v>
      </c>
      <c r="F3045" s="853" t="s">
        <v>527</v>
      </c>
      <c r="G3045" s="913" t="s">
        <v>1915</v>
      </c>
      <c r="H3045" t="s">
        <v>6311</v>
      </c>
    </row>
    <row r="3046" spans="2:8">
      <c r="B3046" s="871">
        <v>46279</v>
      </c>
      <c r="C3046" t="s">
        <v>2483</v>
      </c>
      <c r="D3046" t="s">
        <v>1410</v>
      </c>
      <c r="E3046" t="s">
        <v>3483</v>
      </c>
      <c r="F3046" s="853" t="s">
        <v>528</v>
      </c>
      <c r="G3046" s="913">
        <v>5</v>
      </c>
      <c r="H3046" t="s">
        <v>6312</v>
      </c>
    </row>
    <row r="3047" spans="2:8">
      <c r="B3047" s="871">
        <v>46280</v>
      </c>
      <c r="C3047" t="s">
        <v>2484</v>
      </c>
      <c r="D3047" t="s">
        <v>1375</v>
      </c>
      <c r="E3047" t="s">
        <v>1377</v>
      </c>
      <c r="F3047" s="853" t="s">
        <v>526</v>
      </c>
      <c r="G3047" s="913" t="s">
        <v>1622</v>
      </c>
      <c r="H3047" t="s">
        <v>6313</v>
      </c>
    </row>
    <row r="3048" spans="2:8">
      <c r="B3048" s="871">
        <v>46280</v>
      </c>
      <c r="C3048" t="s">
        <v>2484</v>
      </c>
      <c r="D3048" t="s">
        <v>1375</v>
      </c>
      <c r="E3048" t="s">
        <v>1377</v>
      </c>
      <c r="F3048" s="853" t="s">
        <v>527</v>
      </c>
      <c r="G3048" s="913" t="s">
        <v>1622</v>
      </c>
      <c r="H3048" t="s">
        <v>6314</v>
      </c>
    </row>
    <row r="3049" spans="2:8">
      <c r="B3049" s="871">
        <v>46280</v>
      </c>
      <c r="C3049" t="s">
        <v>2484</v>
      </c>
      <c r="D3049" t="s">
        <v>1375</v>
      </c>
      <c r="E3049" t="s">
        <v>1377</v>
      </c>
      <c r="F3049" s="853" t="s">
        <v>528</v>
      </c>
      <c r="G3049" s="913" t="s">
        <v>1622</v>
      </c>
      <c r="H3049" t="s">
        <v>6315</v>
      </c>
    </row>
    <row r="3050" spans="2:8">
      <c r="B3050" s="871">
        <v>46280</v>
      </c>
      <c r="C3050" t="s">
        <v>2484</v>
      </c>
      <c r="D3050" t="s">
        <v>1376</v>
      </c>
      <c r="E3050" t="s">
        <v>1379</v>
      </c>
      <c r="F3050" s="853" t="s">
        <v>526</v>
      </c>
      <c r="H3050" t="s">
        <v>6316</v>
      </c>
    </row>
    <row r="3051" spans="2:8">
      <c r="B3051" s="871">
        <v>46280</v>
      </c>
      <c r="C3051" t="s">
        <v>2484</v>
      </c>
      <c r="D3051" t="s">
        <v>1376</v>
      </c>
      <c r="E3051" t="s">
        <v>1379</v>
      </c>
      <c r="F3051" s="853" t="s">
        <v>527</v>
      </c>
      <c r="H3051" t="s">
        <v>6317</v>
      </c>
    </row>
    <row r="3052" spans="2:8">
      <c r="B3052" s="871">
        <v>46280</v>
      </c>
      <c r="C3052" t="s">
        <v>2484</v>
      </c>
      <c r="D3052" t="s">
        <v>1376</v>
      </c>
      <c r="E3052" t="s">
        <v>1379</v>
      </c>
      <c r="F3052" s="853" t="s">
        <v>528</v>
      </c>
      <c r="H3052" t="s">
        <v>6318</v>
      </c>
    </row>
    <row r="3053" spans="2:8">
      <c r="B3053" s="871">
        <v>46280</v>
      </c>
      <c r="C3053" t="s">
        <v>2484</v>
      </c>
      <c r="D3053" t="s">
        <v>1375</v>
      </c>
      <c r="E3053" t="s">
        <v>1380</v>
      </c>
      <c r="F3053" s="853" t="s">
        <v>526</v>
      </c>
      <c r="G3053" s="913" t="s">
        <v>1739</v>
      </c>
      <c r="H3053" t="s">
        <v>6319</v>
      </c>
    </row>
    <row r="3054" spans="2:8">
      <c r="B3054" s="871">
        <v>46280</v>
      </c>
      <c r="C3054" t="s">
        <v>2484</v>
      </c>
      <c r="D3054" t="s">
        <v>1375</v>
      </c>
      <c r="E3054" t="s">
        <v>1380</v>
      </c>
      <c r="F3054" s="853" t="s">
        <v>527</v>
      </c>
      <c r="G3054" s="913" t="s">
        <v>1779</v>
      </c>
      <c r="H3054" t="s">
        <v>6320</v>
      </c>
    </row>
    <row r="3055" spans="2:8">
      <c r="B3055" s="871">
        <v>46280</v>
      </c>
      <c r="C3055" t="s">
        <v>2484</v>
      </c>
      <c r="D3055" t="s">
        <v>1375</v>
      </c>
      <c r="E3055" t="s">
        <v>1380</v>
      </c>
      <c r="F3055" s="853" t="s">
        <v>528</v>
      </c>
      <c r="G3055" s="913" t="s">
        <v>1779</v>
      </c>
      <c r="H3055" t="s">
        <v>6321</v>
      </c>
    </row>
    <row r="3056" spans="2:8">
      <c r="B3056" s="871">
        <v>46280</v>
      </c>
      <c r="C3056" t="s">
        <v>2484</v>
      </c>
      <c r="D3056" t="s">
        <v>1376</v>
      </c>
      <c r="E3056" t="s">
        <v>1383</v>
      </c>
      <c r="F3056" s="853" t="s">
        <v>526</v>
      </c>
      <c r="G3056" s="913">
        <v>0</v>
      </c>
      <c r="H3056" t="s">
        <v>6322</v>
      </c>
    </row>
    <row r="3057" spans="2:8">
      <c r="B3057" s="871">
        <v>46280</v>
      </c>
      <c r="C3057" t="s">
        <v>2484</v>
      </c>
      <c r="D3057" t="s">
        <v>1376</v>
      </c>
      <c r="E3057" t="s">
        <v>1383</v>
      </c>
      <c r="F3057" s="853" t="s">
        <v>527</v>
      </c>
      <c r="G3057" s="913">
        <v>0</v>
      </c>
      <c r="H3057" t="s">
        <v>6323</v>
      </c>
    </row>
    <row r="3058" spans="2:8">
      <c r="B3058" s="871">
        <v>46280</v>
      </c>
      <c r="C3058" t="s">
        <v>2484</v>
      </c>
      <c r="D3058" t="s">
        <v>1376</v>
      </c>
      <c r="E3058" t="s">
        <v>1383</v>
      </c>
      <c r="F3058" s="853" t="s">
        <v>528</v>
      </c>
      <c r="G3058" s="913">
        <v>0</v>
      </c>
      <c r="H3058" t="s">
        <v>6324</v>
      </c>
    </row>
    <row r="3059" spans="2:8">
      <c r="B3059" s="871">
        <v>46280</v>
      </c>
      <c r="C3059" t="s">
        <v>2484</v>
      </c>
      <c r="D3059" t="s">
        <v>1375</v>
      </c>
      <c r="E3059" t="s">
        <v>54</v>
      </c>
      <c r="F3059" s="853" t="s">
        <v>526</v>
      </c>
      <c r="H3059" t="s">
        <v>6325</v>
      </c>
    </row>
    <row r="3060" spans="2:8">
      <c r="B3060" s="871">
        <v>46280</v>
      </c>
      <c r="C3060" t="s">
        <v>2484</v>
      </c>
      <c r="D3060" t="s">
        <v>1375</v>
      </c>
      <c r="E3060" t="s">
        <v>54</v>
      </c>
      <c r="F3060" s="853" t="s">
        <v>527</v>
      </c>
      <c r="H3060" t="s">
        <v>6326</v>
      </c>
    </row>
    <row r="3061" spans="2:8">
      <c r="B3061" s="871">
        <v>46280</v>
      </c>
      <c r="C3061" t="s">
        <v>2484</v>
      </c>
      <c r="D3061" t="s">
        <v>1375</v>
      </c>
      <c r="E3061" t="s">
        <v>54</v>
      </c>
      <c r="F3061" s="853" t="s">
        <v>528</v>
      </c>
      <c r="H3061" t="s">
        <v>6327</v>
      </c>
    </row>
    <row r="3062" spans="2:8">
      <c r="B3062" s="871">
        <v>46280</v>
      </c>
      <c r="C3062" t="s">
        <v>2484</v>
      </c>
      <c r="D3062" t="s">
        <v>1376</v>
      </c>
      <c r="E3062" t="s">
        <v>1384</v>
      </c>
      <c r="F3062" s="853" t="s">
        <v>526</v>
      </c>
      <c r="G3062" s="913">
        <v>0.44</v>
      </c>
      <c r="H3062" t="s">
        <v>6328</v>
      </c>
    </row>
    <row r="3063" spans="2:8">
      <c r="B3063" s="871">
        <v>46280</v>
      </c>
      <c r="C3063" t="s">
        <v>2484</v>
      </c>
      <c r="D3063" t="s">
        <v>1376</v>
      </c>
      <c r="E3063" t="s">
        <v>1384</v>
      </c>
      <c r="F3063" s="853" t="s">
        <v>527</v>
      </c>
      <c r="G3063" s="913">
        <v>0.4</v>
      </c>
      <c r="H3063" t="s">
        <v>6329</v>
      </c>
    </row>
    <row r="3064" spans="2:8">
      <c r="B3064" s="871">
        <v>46280</v>
      </c>
      <c r="C3064" t="s">
        <v>2484</v>
      </c>
      <c r="D3064" t="s">
        <v>1376</v>
      </c>
      <c r="E3064" t="s">
        <v>1384</v>
      </c>
      <c r="F3064" s="853" t="s">
        <v>528</v>
      </c>
      <c r="G3064" s="913">
        <v>0.4</v>
      </c>
      <c r="H3064" t="s">
        <v>6330</v>
      </c>
    </row>
    <row r="3065" spans="2:8">
      <c r="B3065" s="871">
        <v>46280</v>
      </c>
      <c r="C3065" t="s">
        <v>2484</v>
      </c>
      <c r="D3065" t="s">
        <v>1375</v>
      </c>
      <c r="E3065" t="s">
        <v>1385</v>
      </c>
      <c r="F3065" s="853" t="s">
        <v>526</v>
      </c>
      <c r="G3065" s="913">
        <v>955</v>
      </c>
      <c r="H3065" t="s">
        <v>6331</v>
      </c>
    </row>
    <row r="3066" spans="2:8">
      <c r="B3066" s="871">
        <v>46280</v>
      </c>
      <c r="C3066" t="s">
        <v>2484</v>
      </c>
      <c r="D3066" t="s">
        <v>1375</v>
      </c>
      <c r="E3066" t="s">
        <v>1385</v>
      </c>
      <c r="F3066" s="853" t="s">
        <v>527</v>
      </c>
      <c r="G3066" s="913">
        <v>3017</v>
      </c>
      <c r="H3066" t="s">
        <v>6332</v>
      </c>
    </row>
    <row r="3067" spans="2:8">
      <c r="B3067" s="871">
        <v>46280</v>
      </c>
      <c r="C3067" t="s">
        <v>2484</v>
      </c>
      <c r="D3067" t="s">
        <v>1375</v>
      </c>
      <c r="E3067" t="s">
        <v>1385</v>
      </c>
      <c r="F3067" s="853" t="s">
        <v>528</v>
      </c>
      <c r="G3067" s="913">
        <v>5804</v>
      </c>
      <c r="H3067" t="s">
        <v>6333</v>
      </c>
    </row>
    <row r="3068" spans="2:8">
      <c r="B3068" s="871">
        <v>46280</v>
      </c>
      <c r="C3068" t="s">
        <v>2484</v>
      </c>
      <c r="D3068" t="s">
        <v>1376</v>
      </c>
      <c r="E3068" t="s">
        <v>1386</v>
      </c>
      <c r="F3068" s="853" t="s">
        <v>526</v>
      </c>
      <c r="G3068" s="913">
        <v>0.45</v>
      </c>
      <c r="H3068" t="s">
        <v>6334</v>
      </c>
    </row>
    <row r="3069" spans="2:8">
      <c r="B3069" s="871">
        <v>46280</v>
      </c>
      <c r="C3069" t="s">
        <v>2484</v>
      </c>
      <c r="D3069" t="s">
        <v>1376</v>
      </c>
      <c r="E3069" t="s">
        <v>1386</v>
      </c>
      <c r="F3069" s="853" t="s">
        <v>527</v>
      </c>
      <c r="G3069" s="913">
        <v>0.3</v>
      </c>
      <c r="H3069" t="s">
        <v>6335</v>
      </c>
    </row>
    <row r="3070" spans="2:8">
      <c r="B3070" s="871">
        <v>46280</v>
      </c>
      <c r="C3070" t="s">
        <v>2484</v>
      </c>
      <c r="D3070" t="s">
        <v>1376</v>
      </c>
      <c r="E3070" t="s">
        <v>1386</v>
      </c>
      <c r="F3070" s="853" t="s">
        <v>528</v>
      </c>
      <c r="G3070" s="913">
        <v>0.5</v>
      </c>
      <c r="H3070" t="s">
        <v>6336</v>
      </c>
    </row>
    <row r="3071" spans="2:8">
      <c r="B3071" s="871">
        <v>46280</v>
      </c>
      <c r="C3071" t="s">
        <v>2484</v>
      </c>
      <c r="D3071" t="s">
        <v>1376</v>
      </c>
      <c r="E3071" t="s">
        <v>1387</v>
      </c>
      <c r="F3071" s="853" t="s">
        <v>526</v>
      </c>
      <c r="G3071" s="913">
        <v>8.1999999999999993</v>
      </c>
      <c r="H3071" t="s">
        <v>6337</v>
      </c>
    </row>
    <row r="3072" spans="2:8">
      <c r="B3072" s="871">
        <v>46280</v>
      </c>
      <c r="C3072" t="s">
        <v>2484</v>
      </c>
      <c r="D3072" t="s">
        <v>1376</v>
      </c>
      <c r="E3072" t="s">
        <v>1387</v>
      </c>
      <c r="F3072" s="853" t="s">
        <v>527</v>
      </c>
      <c r="G3072" s="913">
        <v>8.1</v>
      </c>
      <c r="H3072" t="s">
        <v>6338</v>
      </c>
    </row>
    <row r="3073" spans="2:8">
      <c r="B3073" s="871">
        <v>46280</v>
      </c>
      <c r="C3073" t="s">
        <v>2484</v>
      </c>
      <c r="D3073" t="s">
        <v>1376</v>
      </c>
      <c r="E3073" t="s">
        <v>1387</v>
      </c>
      <c r="F3073" s="853" t="s">
        <v>528</v>
      </c>
      <c r="G3073" s="913">
        <v>8.3000000000000007</v>
      </c>
      <c r="H3073" t="s">
        <v>6339</v>
      </c>
    </row>
    <row r="3074" spans="2:8">
      <c r="B3074" s="871">
        <v>46280</v>
      </c>
      <c r="C3074" t="s">
        <v>2484</v>
      </c>
      <c r="D3074" t="s">
        <v>1375</v>
      </c>
      <c r="E3074" t="s">
        <v>1388</v>
      </c>
      <c r="F3074" s="853" t="s">
        <v>526</v>
      </c>
      <c r="H3074" t="s">
        <v>6340</v>
      </c>
    </row>
    <row r="3075" spans="2:8">
      <c r="B3075" s="871">
        <v>46280</v>
      </c>
      <c r="C3075" t="s">
        <v>2484</v>
      </c>
      <c r="D3075" t="s">
        <v>1375</v>
      </c>
      <c r="E3075" t="s">
        <v>1388</v>
      </c>
      <c r="F3075" s="853" t="s">
        <v>527</v>
      </c>
      <c r="H3075" t="s">
        <v>6341</v>
      </c>
    </row>
    <row r="3076" spans="2:8">
      <c r="B3076" s="871">
        <v>46280</v>
      </c>
      <c r="C3076" t="s">
        <v>2484</v>
      </c>
      <c r="D3076" t="s">
        <v>1375</v>
      </c>
      <c r="E3076" t="s">
        <v>1388</v>
      </c>
      <c r="F3076" s="853" t="s">
        <v>528</v>
      </c>
      <c r="H3076" t="s">
        <v>6342</v>
      </c>
    </row>
    <row r="3077" spans="2:8">
      <c r="B3077" s="871">
        <v>46280</v>
      </c>
      <c r="C3077" t="s">
        <v>2484</v>
      </c>
      <c r="D3077" t="s">
        <v>1376</v>
      </c>
      <c r="E3077" t="s">
        <v>1389</v>
      </c>
      <c r="F3077" s="853" t="s">
        <v>526</v>
      </c>
      <c r="G3077" s="913">
        <v>63.3</v>
      </c>
      <c r="H3077" t="s">
        <v>6343</v>
      </c>
    </row>
    <row r="3078" spans="2:8">
      <c r="B3078" s="871">
        <v>46280</v>
      </c>
      <c r="C3078" t="s">
        <v>2484</v>
      </c>
      <c r="D3078" t="s">
        <v>1376</v>
      </c>
      <c r="E3078" t="s">
        <v>1389</v>
      </c>
      <c r="F3078" s="853" t="s">
        <v>527</v>
      </c>
      <c r="H3078" t="s">
        <v>6344</v>
      </c>
    </row>
    <row r="3079" spans="2:8">
      <c r="B3079" s="871">
        <v>46280</v>
      </c>
      <c r="C3079" t="s">
        <v>2484</v>
      </c>
      <c r="D3079" t="s">
        <v>1376</v>
      </c>
      <c r="E3079" t="s">
        <v>1389</v>
      </c>
      <c r="F3079" s="853" t="s">
        <v>528</v>
      </c>
      <c r="G3079" s="913">
        <v>63.1</v>
      </c>
      <c r="H3079" t="s">
        <v>6345</v>
      </c>
    </row>
    <row r="3080" spans="2:8">
      <c r="B3080" s="871">
        <v>46280</v>
      </c>
      <c r="C3080" t="s">
        <v>2484</v>
      </c>
      <c r="D3080" t="s">
        <v>1375</v>
      </c>
      <c r="E3080" t="s">
        <v>3266</v>
      </c>
      <c r="F3080" s="853" t="s">
        <v>526</v>
      </c>
      <c r="G3080" s="913">
        <v>3</v>
      </c>
      <c r="H3080" t="s">
        <v>6346</v>
      </c>
    </row>
    <row r="3081" spans="2:8">
      <c r="B3081" s="871">
        <v>46280</v>
      </c>
      <c r="C3081" t="s">
        <v>2484</v>
      </c>
      <c r="D3081" t="s">
        <v>1375</v>
      </c>
      <c r="E3081" t="s">
        <v>3266</v>
      </c>
      <c r="F3081" s="853" t="s">
        <v>527</v>
      </c>
      <c r="G3081" s="913">
        <v>1</v>
      </c>
      <c r="H3081" t="s">
        <v>6347</v>
      </c>
    </row>
    <row r="3082" spans="2:8">
      <c r="B3082" s="871">
        <v>46280</v>
      </c>
      <c r="C3082" t="s">
        <v>2484</v>
      </c>
      <c r="D3082" t="s">
        <v>1375</v>
      </c>
      <c r="E3082" t="s">
        <v>3266</v>
      </c>
      <c r="F3082" s="853" t="s">
        <v>528</v>
      </c>
      <c r="G3082" s="913">
        <v>4</v>
      </c>
      <c r="H3082" t="s">
        <v>6348</v>
      </c>
    </row>
    <row r="3083" spans="2:8">
      <c r="B3083" s="871">
        <v>46280</v>
      </c>
      <c r="C3083" t="s">
        <v>2484</v>
      </c>
      <c r="D3083" t="s">
        <v>1376</v>
      </c>
      <c r="E3083" t="s">
        <v>1390</v>
      </c>
      <c r="F3083" s="853" t="s">
        <v>526</v>
      </c>
      <c r="G3083" s="913">
        <v>1.4400000000000001E-3</v>
      </c>
      <c r="H3083" t="s">
        <v>6349</v>
      </c>
    </row>
    <row r="3084" spans="2:8">
      <c r="B3084" s="871">
        <v>46280</v>
      </c>
      <c r="C3084" t="s">
        <v>2484</v>
      </c>
      <c r="D3084" t="s">
        <v>1376</v>
      </c>
      <c r="E3084" t="s">
        <v>1390</v>
      </c>
      <c r="F3084" s="853" t="s">
        <v>527</v>
      </c>
      <c r="G3084" s="913">
        <v>1.57E-3</v>
      </c>
      <c r="H3084" t="s">
        <v>6350</v>
      </c>
    </row>
    <row r="3085" spans="2:8">
      <c r="B3085" s="871">
        <v>46280</v>
      </c>
      <c r="C3085" t="s">
        <v>2484</v>
      </c>
      <c r="D3085" t="s">
        <v>1376</v>
      </c>
      <c r="E3085" t="s">
        <v>1390</v>
      </c>
      <c r="F3085" s="853" t="s">
        <v>528</v>
      </c>
      <c r="G3085" s="913">
        <v>2E-3</v>
      </c>
      <c r="H3085" t="s">
        <v>6351</v>
      </c>
    </row>
    <row r="3086" spans="2:8">
      <c r="B3086" s="871">
        <v>46280</v>
      </c>
      <c r="C3086" t="s">
        <v>2484</v>
      </c>
      <c r="D3086" t="s">
        <v>1375</v>
      </c>
      <c r="E3086" t="s">
        <v>3273</v>
      </c>
      <c r="F3086" s="853" t="s">
        <v>526</v>
      </c>
      <c r="G3086" s="913">
        <v>2</v>
      </c>
      <c r="H3086" t="s">
        <v>6352</v>
      </c>
    </row>
    <row r="3087" spans="2:8">
      <c r="B3087" s="871">
        <v>46280</v>
      </c>
      <c r="C3087" t="s">
        <v>2484</v>
      </c>
      <c r="D3087" t="s">
        <v>1375</v>
      </c>
      <c r="E3087" t="s">
        <v>3273</v>
      </c>
      <c r="F3087" s="853" t="s">
        <v>527</v>
      </c>
      <c r="G3087" s="913">
        <v>1</v>
      </c>
      <c r="H3087" t="s">
        <v>6353</v>
      </c>
    </row>
    <row r="3088" spans="2:8">
      <c r="B3088" s="871">
        <v>46280</v>
      </c>
      <c r="C3088" t="s">
        <v>2484</v>
      </c>
      <c r="D3088" t="s">
        <v>1375</v>
      </c>
      <c r="E3088" t="s">
        <v>3273</v>
      </c>
      <c r="F3088" s="853" t="s">
        <v>528</v>
      </c>
      <c r="G3088" s="913">
        <v>2</v>
      </c>
      <c r="H3088" t="s">
        <v>6354</v>
      </c>
    </row>
    <row r="3089" spans="2:8">
      <c r="B3089" s="871">
        <v>46280</v>
      </c>
      <c r="C3089" t="s">
        <v>2484</v>
      </c>
      <c r="D3089" t="s">
        <v>1376</v>
      </c>
      <c r="E3089" t="s">
        <v>1391</v>
      </c>
      <c r="F3089" s="853" t="s">
        <v>526</v>
      </c>
      <c r="H3089" t="s">
        <v>6355</v>
      </c>
    </row>
    <row r="3090" spans="2:8">
      <c r="B3090" s="871">
        <v>46280</v>
      </c>
      <c r="C3090" t="s">
        <v>2484</v>
      </c>
      <c r="D3090" t="s">
        <v>1376</v>
      </c>
      <c r="E3090" t="s">
        <v>1391</v>
      </c>
      <c r="F3090" s="853" t="s">
        <v>527</v>
      </c>
      <c r="H3090" t="s">
        <v>6356</v>
      </c>
    </row>
    <row r="3091" spans="2:8">
      <c r="B3091" s="871">
        <v>46280</v>
      </c>
      <c r="C3091" t="s">
        <v>2484</v>
      </c>
      <c r="D3091" t="s">
        <v>1376</v>
      </c>
      <c r="E3091" t="s">
        <v>1391</v>
      </c>
      <c r="F3091" s="853" t="s">
        <v>528</v>
      </c>
      <c r="G3091" s="913">
        <v>6740</v>
      </c>
      <c r="H3091" t="s">
        <v>6357</v>
      </c>
    </row>
    <row r="3092" spans="2:8">
      <c r="B3092" s="871">
        <v>46280</v>
      </c>
      <c r="C3092" t="s">
        <v>2484</v>
      </c>
      <c r="D3092" t="s">
        <v>1375</v>
      </c>
      <c r="E3092" t="s">
        <v>3280</v>
      </c>
      <c r="F3092" s="853" t="s">
        <v>526</v>
      </c>
      <c r="G3092" s="913">
        <v>2</v>
      </c>
      <c r="H3092" t="s">
        <v>6358</v>
      </c>
    </row>
    <row r="3093" spans="2:8">
      <c r="B3093" s="871">
        <v>46280</v>
      </c>
      <c r="C3093" t="s">
        <v>2484</v>
      </c>
      <c r="D3093" t="s">
        <v>1375</v>
      </c>
      <c r="E3093" t="s">
        <v>3280</v>
      </c>
      <c r="F3093" s="853" t="s">
        <v>527</v>
      </c>
      <c r="G3093" s="913">
        <v>2</v>
      </c>
      <c r="H3093" t="s">
        <v>6359</v>
      </c>
    </row>
    <row r="3094" spans="2:8">
      <c r="B3094" s="871">
        <v>46280</v>
      </c>
      <c r="C3094" t="s">
        <v>2484</v>
      </c>
      <c r="D3094" t="s">
        <v>1375</v>
      </c>
      <c r="E3094" t="s">
        <v>3280</v>
      </c>
      <c r="F3094" s="853" t="s">
        <v>528</v>
      </c>
      <c r="G3094" s="913">
        <v>1</v>
      </c>
      <c r="H3094" t="s">
        <v>6360</v>
      </c>
    </row>
    <row r="3095" spans="2:8">
      <c r="B3095" s="871">
        <v>46280</v>
      </c>
      <c r="C3095" t="s">
        <v>2484</v>
      </c>
      <c r="D3095" t="s">
        <v>1376</v>
      </c>
      <c r="E3095" t="s">
        <v>1392</v>
      </c>
      <c r="F3095" s="853" t="s">
        <v>526</v>
      </c>
      <c r="G3095" s="913">
        <v>6740</v>
      </c>
      <c r="H3095" t="s">
        <v>6361</v>
      </c>
    </row>
    <row r="3096" spans="2:8">
      <c r="B3096" s="871">
        <v>46280</v>
      </c>
      <c r="C3096" t="s">
        <v>2484</v>
      </c>
      <c r="D3096" t="s">
        <v>1376</v>
      </c>
      <c r="E3096" t="s">
        <v>1392</v>
      </c>
      <c r="F3096" s="853" t="s">
        <v>527</v>
      </c>
      <c r="H3096" t="s">
        <v>6362</v>
      </c>
    </row>
    <row r="3097" spans="2:8">
      <c r="B3097" s="871">
        <v>46280</v>
      </c>
      <c r="C3097" t="s">
        <v>2484</v>
      </c>
      <c r="D3097" t="s">
        <v>1376</v>
      </c>
      <c r="E3097" t="s">
        <v>1392</v>
      </c>
      <c r="F3097" s="853" t="s">
        <v>528</v>
      </c>
      <c r="H3097" t="s">
        <v>6363</v>
      </c>
    </row>
    <row r="3098" spans="2:8">
      <c r="B3098" s="871">
        <v>46280</v>
      </c>
      <c r="C3098" t="s">
        <v>2484</v>
      </c>
      <c r="D3098" t="s">
        <v>1375</v>
      </c>
      <c r="E3098" t="s">
        <v>3287</v>
      </c>
      <c r="F3098" s="853" t="s">
        <v>526</v>
      </c>
      <c r="G3098" s="913">
        <v>1</v>
      </c>
      <c r="H3098" t="s">
        <v>6364</v>
      </c>
    </row>
    <row r="3099" spans="2:8">
      <c r="B3099" s="871">
        <v>46280</v>
      </c>
      <c r="C3099" t="s">
        <v>2484</v>
      </c>
      <c r="D3099" t="s">
        <v>1375</v>
      </c>
      <c r="E3099" t="s">
        <v>3287</v>
      </c>
      <c r="F3099" s="853" t="s">
        <v>527</v>
      </c>
      <c r="G3099" s="913">
        <v>2</v>
      </c>
      <c r="H3099" t="s">
        <v>6365</v>
      </c>
    </row>
    <row r="3100" spans="2:8">
      <c r="B3100" s="871">
        <v>46280</v>
      </c>
      <c r="C3100" t="s">
        <v>2484</v>
      </c>
      <c r="D3100" t="s">
        <v>1375</v>
      </c>
      <c r="E3100" t="s">
        <v>3287</v>
      </c>
      <c r="F3100" s="853" t="s">
        <v>528</v>
      </c>
      <c r="G3100" s="913">
        <v>1</v>
      </c>
      <c r="H3100" t="s">
        <v>6366</v>
      </c>
    </row>
    <row r="3101" spans="2:8">
      <c r="B3101" s="871">
        <v>46280</v>
      </c>
      <c r="C3101" t="s">
        <v>2484</v>
      </c>
      <c r="D3101" t="s">
        <v>1376</v>
      </c>
      <c r="E3101" t="s">
        <v>453</v>
      </c>
      <c r="F3101" s="853" t="s">
        <v>526</v>
      </c>
      <c r="H3101" t="s">
        <v>6367</v>
      </c>
    </row>
    <row r="3102" spans="2:8">
      <c r="B3102" s="871">
        <v>46280</v>
      </c>
      <c r="C3102" t="s">
        <v>2484</v>
      </c>
      <c r="D3102" t="s">
        <v>1376</v>
      </c>
      <c r="E3102" t="s">
        <v>453</v>
      </c>
      <c r="F3102" s="853" t="s">
        <v>527</v>
      </c>
      <c r="H3102" t="s">
        <v>6368</v>
      </c>
    </row>
    <row r="3103" spans="2:8">
      <c r="B3103" s="871">
        <v>46280</v>
      </c>
      <c r="C3103" t="s">
        <v>2484</v>
      </c>
      <c r="D3103" t="s">
        <v>1376</v>
      </c>
      <c r="E3103" t="s">
        <v>453</v>
      </c>
      <c r="F3103" s="853" t="s">
        <v>528</v>
      </c>
      <c r="H3103" t="s">
        <v>6369</v>
      </c>
    </row>
    <row r="3104" spans="2:8">
      <c r="B3104" s="871">
        <v>46280</v>
      </c>
      <c r="C3104" t="s">
        <v>2484</v>
      </c>
      <c r="D3104" t="s">
        <v>1375</v>
      </c>
      <c r="E3104" t="s">
        <v>3291</v>
      </c>
      <c r="F3104" s="853" t="s">
        <v>526</v>
      </c>
      <c r="G3104" s="913">
        <v>4</v>
      </c>
      <c r="H3104" t="s">
        <v>6370</v>
      </c>
    </row>
    <row r="3105" spans="2:8">
      <c r="B3105" s="871">
        <v>46280</v>
      </c>
      <c r="C3105" t="s">
        <v>2484</v>
      </c>
      <c r="D3105" t="s">
        <v>1375</v>
      </c>
      <c r="E3105" t="s">
        <v>3291</v>
      </c>
      <c r="F3105" s="853" t="s">
        <v>527</v>
      </c>
      <c r="G3105" s="913">
        <v>2</v>
      </c>
      <c r="H3105" t="s">
        <v>6371</v>
      </c>
    </row>
    <row r="3106" spans="2:8">
      <c r="B3106" s="871">
        <v>46280</v>
      </c>
      <c r="C3106" t="s">
        <v>2484</v>
      </c>
      <c r="D3106" t="s">
        <v>1375</v>
      </c>
      <c r="E3106" t="s">
        <v>3291</v>
      </c>
      <c r="F3106" s="853" t="s">
        <v>528</v>
      </c>
      <c r="G3106" s="913">
        <v>2</v>
      </c>
      <c r="H3106" t="s">
        <v>6372</v>
      </c>
    </row>
    <row r="3107" spans="2:8">
      <c r="B3107" s="871">
        <v>46280</v>
      </c>
      <c r="C3107" t="s">
        <v>2484</v>
      </c>
      <c r="D3107" t="s">
        <v>1376</v>
      </c>
      <c r="E3107" t="s">
        <v>1394</v>
      </c>
      <c r="F3107" s="853" t="s">
        <v>526</v>
      </c>
      <c r="G3107" s="913" t="s">
        <v>1956</v>
      </c>
      <c r="H3107" t="s">
        <v>6373</v>
      </c>
    </row>
    <row r="3108" spans="2:8">
      <c r="B3108" s="871">
        <v>46280</v>
      </c>
      <c r="C3108" t="s">
        <v>2484</v>
      </c>
      <c r="D3108" t="s">
        <v>1376</v>
      </c>
      <c r="E3108" t="s">
        <v>1394</v>
      </c>
      <c r="F3108" s="853" t="s">
        <v>527</v>
      </c>
      <c r="G3108" s="913" t="s">
        <v>1742</v>
      </c>
      <c r="H3108" t="s">
        <v>6374</v>
      </c>
    </row>
    <row r="3109" spans="2:8">
      <c r="B3109" s="871">
        <v>46280</v>
      </c>
      <c r="C3109" t="s">
        <v>2484</v>
      </c>
      <c r="D3109" t="s">
        <v>1376</v>
      </c>
      <c r="E3109" t="s">
        <v>1394</v>
      </c>
      <c r="F3109" s="853" t="s">
        <v>528</v>
      </c>
      <c r="G3109" s="913" t="s">
        <v>1957</v>
      </c>
      <c r="H3109" t="s">
        <v>6375</v>
      </c>
    </row>
    <row r="3110" spans="2:8">
      <c r="B3110" s="871">
        <v>46280</v>
      </c>
      <c r="C3110" t="s">
        <v>2484</v>
      </c>
      <c r="D3110" t="s">
        <v>1375</v>
      </c>
      <c r="E3110" t="s">
        <v>3298</v>
      </c>
      <c r="F3110" s="853" t="s">
        <v>526</v>
      </c>
      <c r="G3110" s="913">
        <v>3</v>
      </c>
      <c r="H3110" t="s">
        <v>6376</v>
      </c>
    </row>
    <row r="3111" spans="2:8">
      <c r="B3111" s="871">
        <v>46280</v>
      </c>
      <c r="C3111" t="s">
        <v>2484</v>
      </c>
      <c r="D3111" t="s">
        <v>1375</v>
      </c>
      <c r="E3111" t="s">
        <v>3298</v>
      </c>
      <c r="F3111" s="853" t="s">
        <v>527</v>
      </c>
      <c r="G3111" s="913">
        <v>3</v>
      </c>
      <c r="H3111" t="s">
        <v>6377</v>
      </c>
    </row>
    <row r="3112" spans="2:8">
      <c r="B3112" s="871">
        <v>46280</v>
      </c>
      <c r="C3112" t="s">
        <v>2484</v>
      </c>
      <c r="D3112" t="s">
        <v>1375</v>
      </c>
      <c r="E3112" t="s">
        <v>3298</v>
      </c>
      <c r="F3112" s="853" t="s">
        <v>528</v>
      </c>
      <c r="G3112" s="913">
        <v>3</v>
      </c>
      <c r="H3112" t="s">
        <v>6378</v>
      </c>
    </row>
    <row r="3113" spans="2:8">
      <c r="B3113" s="871">
        <v>46280</v>
      </c>
      <c r="C3113" t="s">
        <v>2484</v>
      </c>
      <c r="D3113" t="s">
        <v>1376</v>
      </c>
      <c r="E3113" t="s">
        <v>1398</v>
      </c>
      <c r="F3113" s="853" t="s">
        <v>526</v>
      </c>
      <c r="G3113" s="913">
        <v>11</v>
      </c>
      <c r="H3113" t="s">
        <v>6379</v>
      </c>
    </row>
    <row r="3114" spans="2:8">
      <c r="B3114" s="871">
        <v>46280</v>
      </c>
      <c r="C3114" t="s">
        <v>2484</v>
      </c>
      <c r="D3114" t="s">
        <v>1376</v>
      </c>
      <c r="E3114" t="s">
        <v>1398</v>
      </c>
      <c r="F3114" s="853" t="s">
        <v>527</v>
      </c>
      <c r="G3114" s="913">
        <v>11</v>
      </c>
      <c r="H3114" t="s">
        <v>6380</v>
      </c>
    </row>
    <row r="3115" spans="2:8">
      <c r="B3115" s="871">
        <v>46280</v>
      </c>
      <c r="C3115" t="s">
        <v>2484</v>
      </c>
      <c r="D3115" t="s">
        <v>1376</v>
      </c>
      <c r="E3115" t="s">
        <v>1398</v>
      </c>
      <c r="F3115" s="853" t="s">
        <v>528</v>
      </c>
      <c r="G3115" s="913">
        <v>12</v>
      </c>
      <c r="H3115" t="s">
        <v>6381</v>
      </c>
    </row>
    <row r="3116" spans="2:8">
      <c r="B3116" s="871">
        <v>46280</v>
      </c>
      <c r="C3116" t="s">
        <v>2484</v>
      </c>
      <c r="D3116" t="s">
        <v>1375</v>
      </c>
      <c r="E3116" t="s">
        <v>3305</v>
      </c>
      <c r="F3116" s="853" t="s">
        <v>526</v>
      </c>
      <c r="G3116" s="913">
        <v>4</v>
      </c>
      <c r="H3116" t="s">
        <v>6382</v>
      </c>
    </row>
    <row r="3117" spans="2:8">
      <c r="B3117" s="871">
        <v>46280</v>
      </c>
      <c r="C3117" t="s">
        <v>2484</v>
      </c>
      <c r="D3117" t="s">
        <v>1375</v>
      </c>
      <c r="E3117" t="s">
        <v>3305</v>
      </c>
      <c r="F3117" s="853" t="s">
        <v>527</v>
      </c>
      <c r="G3117" s="913">
        <v>3</v>
      </c>
      <c r="H3117" t="s">
        <v>6383</v>
      </c>
    </row>
    <row r="3118" spans="2:8">
      <c r="B3118" s="871">
        <v>46280</v>
      </c>
      <c r="C3118" t="s">
        <v>2484</v>
      </c>
      <c r="D3118" t="s">
        <v>1375</v>
      </c>
      <c r="E3118" t="s">
        <v>3305</v>
      </c>
      <c r="F3118" s="853" t="s">
        <v>528</v>
      </c>
      <c r="G3118" s="913">
        <v>3</v>
      </c>
      <c r="H3118" t="s">
        <v>6384</v>
      </c>
    </row>
    <row r="3119" spans="2:8">
      <c r="B3119" s="871">
        <v>46280</v>
      </c>
      <c r="C3119" t="s">
        <v>2484</v>
      </c>
      <c r="D3119" t="s">
        <v>1376</v>
      </c>
      <c r="E3119" t="s">
        <v>1399</v>
      </c>
      <c r="F3119" s="853" t="s">
        <v>526</v>
      </c>
      <c r="G3119" s="913">
        <v>12</v>
      </c>
      <c r="H3119" t="s">
        <v>6385</v>
      </c>
    </row>
    <row r="3120" spans="2:8">
      <c r="B3120" s="871">
        <v>46280</v>
      </c>
      <c r="C3120" t="s">
        <v>2484</v>
      </c>
      <c r="D3120" t="s">
        <v>1376</v>
      </c>
      <c r="E3120" t="s">
        <v>1399</v>
      </c>
      <c r="F3120" s="853" t="s">
        <v>527</v>
      </c>
      <c r="G3120" s="913">
        <v>12</v>
      </c>
      <c r="H3120" t="s">
        <v>6386</v>
      </c>
    </row>
    <row r="3121" spans="2:8">
      <c r="B3121" s="871">
        <v>46280</v>
      </c>
      <c r="C3121" t="s">
        <v>2484</v>
      </c>
      <c r="D3121" t="s">
        <v>1376</v>
      </c>
      <c r="E3121" t="s">
        <v>1399</v>
      </c>
      <c r="F3121" s="853" t="s">
        <v>528</v>
      </c>
      <c r="G3121" s="913">
        <v>13</v>
      </c>
      <c r="H3121" t="s">
        <v>6387</v>
      </c>
    </row>
    <row r="3122" spans="2:8">
      <c r="B3122" s="871">
        <v>46280</v>
      </c>
      <c r="C3122" t="s">
        <v>2484</v>
      </c>
      <c r="D3122" t="s">
        <v>1375</v>
      </c>
      <c r="E3122" t="s">
        <v>3312</v>
      </c>
      <c r="F3122" s="853" t="s">
        <v>526</v>
      </c>
      <c r="G3122" s="913">
        <v>3</v>
      </c>
      <c r="H3122" t="s">
        <v>6388</v>
      </c>
    </row>
    <row r="3123" spans="2:8">
      <c r="B3123" s="871">
        <v>46280</v>
      </c>
      <c r="C3123" t="s">
        <v>2484</v>
      </c>
      <c r="D3123" t="s">
        <v>1375</v>
      </c>
      <c r="E3123" t="s">
        <v>3312</v>
      </c>
      <c r="F3123" s="853" t="s">
        <v>527</v>
      </c>
      <c r="G3123" s="913">
        <v>3</v>
      </c>
      <c r="H3123" t="s">
        <v>6389</v>
      </c>
    </row>
    <row r="3124" spans="2:8">
      <c r="B3124" s="871">
        <v>46280</v>
      </c>
      <c r="C3124" t="s">
        <v>2484</v>
      </c>
      <c r="D3124" t="s">
        <v>1375</v>
      </c>
      <c r="E3124" t="s">
        <v>3312</v>
      </c>
      <c r="F3124" s="853" t="s">
        <v>528</v>
      </c>
      <c r="G3124" s="913">
        <v>2</v>
      </c>
      <c r="H3124" t="s">
        <v>6390</v>
      </c>
    </row>
    <row r="3125" spans="2:8">
      <c r="B3125" s="871">
        <v>46280</v>
      </c>
      <c r="C3125" t="s">
        <v>2484</v>
      </c>
      <c r="D3125" t="s">
        <v>1376</v>
      </c>
      <c r="E3125" t="s">
        <v>1400</v>
      </c>
      <c r="F3125" s="853" t="s">
        <v>526</v>
      </c>
      <c r="G3125" s="913">
        <v>16</v>
      </c>
      <c r="H3125" t="s">
        <v>6391</v>
      </c>
    </row>
    <row r="3126" spans="2:8">
      <c r="B3126" s="871">
        <v>46280</v>
      </c>
      <c r="C3126" t="s">
        <v>2484</v>
      </c>
      <c r="D3126" t="s">
        <v>1376</v>
      </c>
      <c r="E3126" t="s">
        <v>1400</v>
      </c>
      <c r="F3126" s="853" t="s">
        <v>527</v>
      </c>
      <c r="G3126" s="913">
        <v>17</v>
      </c>
      <c r="H3126" t="s">
        <v>6392</v>
      </c>
    </row>
    <row r="3127" spans="2:8">
      <c r="B3127" s="871">
        <v>46280</v>
      </c>
      <c r="C3127" t="s">
        <v>2484</v>
      </c>
      <c r="D3127" t="s">
        <v>1376</v>
      </c>
      <c r="E3127" t="s">
        <v>1400</v>
      </c>
      <c r="F3127" s="853" t="s">
        <v>528</v>
      </c>
      <c r="G3127" s="913">
        <v>17</v>
      </c>
      <c r="H3127" t="s">
        <v>6393</v>
      </c>
    </row>
    <row r="3128" spans="2:8">
      <c r="B3128" s="871">
        <v>46280</v>
      </c>
      <c r="C3128" t="s">
        <v>2484</v>
      </c>
      <c r="D3128" t="s">
        <v>1375</v>
      </c>
      <c r="E3128" t="s">
        <v>3319</v>
      </c>
      <c r="F3128" s="853" t="s">
        <v>526</v>
      </c>
      <c r="G3128" s="913">
        <v>4</v>
      </c>
      <c r="H3128" t="s">
        <v>6394</v>
      </c>
    </row>
    <row r="3129" spans="2:8">
      <c r="B3129" s="871">
        <v>46280</v>
      </c>
      <c r="C3129" t="s">
        <v>2484</v>
      </c>
      <c r="D3129" t="s">
        <v>1375</v>
      </c>
      <c r="E3129" t="s">
        <v>3319</v>
      </c>
      <c r="F3129" s="853" t="s">
        <v>527</v>
      </c>
      <c r="G3129" s="913">
        <v>4</v>
      </c>
      <c r="H3129" t="s">
        <v>6395</v>
      </c>
    </row>
    <row r="3130" spans="2:8">
      <c r="B3130" s="871">
        <v>46280</v>
      </c>
      <c r="C3130" t="s">
        <v>2484</v>
      </c>
      <c r="D3130" t="s">
        <v>1375</v>
      </c>
      <c r="E3130" t="s">
        <v>3319</v>
      </c>
      <c r="F3130" s="853" t="s">
        <v>528</v>
      </c>
      <c r="G3130" s="913">
        <v>4</v>
      </c>
      <c r="H3130" t="s">
        <v>6396</v>
      </c>
    </row>
    <row r="3131" spans="2:8">
      <c r="B3131" s="871">
        <v>46280</v>
      </c>
      <c r="C3131" t="s">
        <v>2484</v>
      </c>
      <c r="D3131" t="s">
        <v>1376</v>
      </c>
      <c r="E3131" t="s">
        <v>1401</v>
      </c>
      <c r="F3131" s="853" t="s">
        <v>526</v>
      </c>
      <c r="G3131" s="913">
        <v>7.2</v>
      </c>
      <c r="H3131" t="s">
        <v>6397</v>
      </c>
    </row>
    <row r="3132" spans="2:8">
      <c r="B3132" s="871">
        <v>46280</v>
      </c>
      <c r="C3132" t="s">
        <v>2484</v>
      </c>
      <c r="D3132" t="s">
        <v>1376</v>
      </c>
      <c r="E3132" t="s">
        <v>1401</v>
      </c>
      <c r="F3132" s="853" t="s">
        <v>527</v>
      </c>
      <c r="G3132" s="913">
        <v>6.1</v>
      </c>
      <c r="H3132" t="s">
        <v>6398</v>
      </c>
    </row>
    <row r="3133" spans="2:8">
      <c r="B3133" s="871">
        <v>46280</v>
      </c>
      <c r="C3133" t="s">
        <v>2484</v>
      </c>
      <c r="D3133" t="s">
        <v>1376</v>
      </c>
      <c r="E3133" t="s">
        <v>1401</v>
      </c>
      <c r="F3133" s="853" t="s">
        <v>528</v>
      </c>
      <c r="G3133" s="913">
        <v>5.14</v>
      </c>
      <c r="H3133" t="s">
        <v>6399</v>
      </c>
    </row>
    <row r="3134" spans="2:8">
      <c r="B3134" s="871">
        <v>46280</v>
      </c>
      <c r="C3134" t="s">
        <v>2484</v>
      </c>
      <c r="D3134" t="s">
        <v>1375</v>
      </c>
      <c r="E3134" t="s">
        <v>3326</v>
      </c>
      <c r="F3134" s="853" t="s">
        <v>526</v>
      </c>
      <c r="G3134" s="913" t="s">
        <v>1583</v>
      </c>
      <c r="H3134" t="s">
        <v>6400</v>
      </c>
    </row>
    <row r="3135" spans="2:8">
      <c r="B3135" s="871">
        <v>46280</v>
      </c>
      <c r="C3135" t="s">
        <v>2484</v>
      </c>
      <c r="D3135" t="s">
        <v>1375</v>
      </c>
      <c r="E3135" t="s">
        <v>3326</v>
      </c>
      <c r="F3135" s="853" t="s">
        <v>527</v>
      </c>
      <c r="G3135" s="913" t="s">
        <v>1583</v>
      </c>
      <c r="H3135" t="s">
        <v>6401</v>
      </c>
    </row>
    <row r="3136" spans="2:8">
      <c r="B3136" s="871">
        <v>46280</v>
      </c>
      <c r="C3136" t="s">
        <v>2484</v>
      </c>
      <c r="D3136" t="s">
        <v>1375</v>
      </c>
      <c r="E3136" t="s">
        <v>3326</v>
      </c>
      <c r="F3136" s="853" t="s">
        <v>528</v>
      </c>
      <c r="G3136" s="913" t="s">
        <v>1583</v>
      </c>
      <c r="H3136" t="s">
        <v>6402</v>
      </c>
    </row>
    <row r="3137" spans="2:8">
      <c r="B3137" s="871">
        <v>46280</v>
      </c>
      <c r="C3137" t="s">
        <v>2484</v>
      </c>
      <c r="D3137" t="s">
        <v>1376</v>
      </c>
      <c r="E3137" t="s">
        <v>1403</v>
      </c>
      <c r="F3137" s="853" t="s">
        <v>526</v>
      </c>
      <c r="G3137" s="913">
        <v>750</v>
      </c>
      <c r="H3137" t="s">
        <v>6403</v>
      </c>
    </row>
    <row r="3138" spans="2:8">
      <c r="B3138" s="871">
        <v>46280</v>
      </c>
      <c r="C3138" t="s">
        <v>2484</v>
      </c>
      <c r="D3138" t="s">
        <v>1376</v>
      </c>
      <c r="E3138" t="s">
        <v>1403</v>
      </c>
      <c r="F3138" s="853" t="s">
        <v>527</v>
      </c>
      <c r="G3138" s="913">
        <v>646</v>
      </c>
      <c r="H3138" t="s">
        <v>6404</v>
      </c>
    </row>
    <row r="3139" spans="2:8">
      <c r="B3139" s="871">
        <v>46280</v>
      </c>
      <c r="C3139" t="s">
        <v>2484</v>
      </c>
      <c r="D3139" t="s">
        <v>1376</v>
      </c>
      <c r="E3139" t="s">
        <v>1403</v>
      </c>
      <c r="F3139" s="853" t="s">
        <v>528</v>
      </c>
      <c r="G3139" s="913">
        <v>670</v>
      </c>
      <c r="H3139" t="s">
        <v>6405</v>
      </c>
    </row>
    <row r="3140" spans="2:8">
      <c r="B3140" s="871">
        <v>46280</v>
      </c>
      <c r="C3140" t="s">
        <v>2484</v>
      </c>
      <c r="D3140" t="s">
        <v>1376</v>
      </c>
      <c r="E3140" t="s">
        <v>1404</v>
      </c>
      <c r="F3140" s="853" t="s">
        <v>526</v>
      </c>
      <c r="G3140" s="913">
        <v>4.2</v>
      </c>
      <c r="H3140" t="s">
        <v>6406</v>
      </c>
    </row>
    <row r="3141" spans="2:8">
      <c r="B3141" s="871">
        <v>46280</v>
      </c>
      <c r="C3141" t="s">
        <v>2484</v>
      </c>
      <c r="D3141" t="s">
        <v>1376</v>
      </c>
      <c r="E3141" t="s">
        <v>1404</v>
      </c>
      <c r="F3141" s="853" t="s">
        <v>527</v>
      </c>
      <c r="G3141" s="913">
        <v>3.3</v>
      </c>
      <c r="H3141" t="s">
        <v>6407</v>
      </c>
    </row>
    <row r="3142" spans="2:8">
      <c r="B3142" s="871">
        <v>46280</v>
      </c>
      <c r="C3142" t="s">
        <v>2484</v>
      </c>
      <c r="D3142" t="s">
        <v>1376</v>
      </c>
      <c r="E3142" t="s">
        <v>1404</v>
      </c>
      <c r="F3142" s="853" t="s">
        <v>528</v>
      </c>
      <c r="G3142" s="913">
        <v>2.44</v>
      </c>
      <c r="H3142" t="s">
        <v>6408</v>
      </c>
    </row>
    <row r="3143" spans="2:8">
      <c r="B3143" s="871">
        <v>46280</v>
      </c>
      <c r="C3143" t="s">
        <v>2484</v>
      </c>
      <c r="D3143" t="s">
        <v>1375</v>
      </c>
      <c r="E3143" t="s">
        <v>3336</v>
      </c>
      <c r="F3143" s="853" t="s">
        <v>526</v>
      </c>
      <c r="G3143" s="913" t="s">
        <v>1406</v>
      </c>
      <c r="H3143" t="s">
        <v>6409</v>
      </c>
    </row>
    <row r="3144" spans="2:8">
      <c r="B3144" s="871">
        <v>46280</v>
      </c>
      <c r="C3144" t="s">
        <v>2484</v>
      </c>
      <c r="D3144" t="s">
        <v>1375</v>
      </c>
      <c r="E3144" t="s">
        <v>3336</v>
      </c>
      <c r="F3144" s="853" t="s">
        <v>527</v>
      </c>
      <c r="G3144" s="913" t="s">
        <v>1583</v>
      </c>
      <c r="H3144" t="s">
        <v>6410</v>
      </c>
    </row>
    <row r="3145" spans="2:8">
      <c r="B3145" s="871">
        <v>46280</v>
      </c>
      <c r="C3145" t="s">
        <v>2484</v>
      </c>
      <c r="D3145" t="s">
        <v>1375</v>
      </c>
      <c r="E3145" t="s">
        <v>3336</v>
      </c>
      <c r="F3145" s="853" t="s">
        <v>528</v>
      </c>
      <c r="G3145" s="913" t="s">
        <v>1406</v>
      </c>
      <c r="H3145" t="s">
        <v>6411</v>
      </c>
    </row>
    <row r="3146" spans="2:8">
      <c r="B3146" s="871">
        <v>46280</v>
      </c>
      <c r="C3146" t="s">
        <v>2484</v>
      </c>
      <c r="D3146" t="s">
        <v>1376</v>
      </c>
      <c r="E3146" t="s">
        <v>1407</v>
      </c>
      <c r="F3146" s="853" t="s">
        <v>526</v>
      </c>
      <c r="G3146" s="913">
        <v>360</v>
      </c>
      <c r="H3146" t="s">
        <v>6412</v>
      </c>
    </row>
    <row r="3147" spans="2:8">
      <c r="B3147" s="871">
        <v>46280</v>
      </c>
      <c r="C3147" t="s">
        <v>2484</v>
      </c>
      <c r="D3147" t="s">
        <v>1376</v>
      </c>
      <c r="E3147" t="s">
        <v>1407</v>
      </c>
      <c r="F3147" s="853" t="s">
        <v>527</v>
      </c>
      <c r="G3147" s="913">
        <v>323</v>
      </c>
      <c r="H3147" t="s">
        <v>6413</v>
      </c>
    </row>
    <row r="3148" spans="2:8">
      <c r="B3148" s="871">
        <v>46280</v>
      </c>
      <c r="C3148" t="s">
        <v>2484</v>
      </c>
      <c r="D3148" t="s">
        <v>1376</v>
      </c>
      <c r="E3148" t="s">
        <v>1407</v>
      </c>
      <c r="F3148" s="853" t="s">
        <v>528</v>
      </c>
      <c r="G3148" s="913">
        <v>320</v>
      </c>
      <c r="H3148" t="s">
        <v>6414</v>
      </c>
    </row>
    <row r="3149" spans="2:8">
      <c r="B3149" s="871">
        <v>46280</v>
      </c>
      <c r="C3149" t="s">
        <v>2484</v>
      </c>
      <c r="D3149" t="s">
        <v>1376</v>
      </c>
      <c r="E3149" t="s">
        <v>1408</v>
      </c>
      <c r="F3149" s="853" t="s">
        <v>526</v>
      </c>
      <c r="G3149" s="913">
        <v>1039</v>
      </c>
      <c r="H3149" t="s">
        <v>6415</v>
      </c>
    </row>
    <row r="3150" spans="2:8">
      <c r="B3150" s="871">
        <v>46280</v>
      </c>
      <c r="C3150" t="s">
        <v>2484</v>
      </c>
      <c r="D3150" t="s">
        <v>1376</v>
      </c>
      <c r="E3150" t="s">
        <v>1408</v>
      </c>
      <c r="F3150" s="853" t="s">
        <v>527</v>
      </c>
      <c r="G3150" s="913">
        <v>1040</v>
      </c>
      <c r="H3150" t="s">
        <v>6416</v>
      </c>
    </row>
    <row r="3151" spans="2:8">
      <c r="B3151" s="871">
        <v>46280</v>
      </c>
      <c r="C3151" t="s">
        <v>2484</v>
      </c>
      <c r="D3151" t="s">
        <v>1376</v>
      </c>
      <c r="E3151" t="s">
        <v>1408</v>
      </c>
      <c r="F3151" s="853" t="s">
        <v>528</v>
      </c>
      <c r="G3151" s="913">
        <v>1030</v>
      </c>
      <c r="H3151" t="s">
        <v>6417</v>
      </c>
    </row>
    <row r="3152" spans="2:8">
      <c r="B3152" s="871">
        <v>46280</v>
      </c>
      <c r="C3152" t="s">
        <v>2484</v>
      </c>
      <c r="D3152" t="s">
        <v>1409</v>
      </c>
      <c r="E3152" t="s">
        <v>1411</v>
      </c>
      <c r="F3152" s="853" t="s">
        <v>526</v>
      </c>
      <c r="H3152" t="s">
        <v>6418</v>
      </c>
    </row>
    <row r="3153" spans="2:8">
      <c r="B3153" s="871">
        <v>46280</v>
      </c>
      <c r="C3153" t="s">
        <v>2484</v>
      </c>
      <c r="D3153" t="s">
        <v>1409</v>
      </c>
      <c r="E3153" t="s">
        <v>1411</v>
      </c>
      <c r="F3153" s="853" t="s">
        <v>527</v>
      </c>
      <c r="H3153" t="s">
        <v>6419</v>
      </c>
    </row>
    <row r="3154" spans="2:8">
      <c r="B3154" s="871">
        <v>46280</v>
      </c>
      <c r="C3154" t="s">
        <v>2484</v>
      </c>
      <c r="D3154" t="s">
        <v>1409</v>
      </c>
      <c r="E3154" t="s">
        <v>1411</v>
      </c>
      <c r="F3154" s="853" t="s">
        <v>528</v>
      </c>
      <c r="H3154" t="s">
        <v>6420</v>
      </c>
    </row>
    <row r="3155" spans="2:8">
      <c r="B3155" s="871">
        <v>46280</v>
      </c>
      <c r="C3155" t="s">
        <v>2484</v>
      </c>
      <c r="D3155" t="s">
        <v>1409</v>
      </c>
      <c r="E3155" t="s">
        <v>1413</v>
      </c>
      <c r="F3155" s="853" t="s">
        <v>526</v>
      </c>
      <c r="G3155" s="913" t="s">
        <v>1743</v>
      </c>
      <c r="H3155" t="s">
        <v>6421</v>
      </c>
    </row>
    <row r="3156" spans="2:8">
      <c r="B3156" s="871">
        <v>46280</v>
      </c>
      <c r="C3156" t="s">
        <v>2484</v>
      </c>
      <c r="D3156" t="s">
        <v>1409</v>
      </c>
      <c r="E3156" t="s">
        <v>1413</v>
      </c>
      <c r="F3156" s="853" t="s">
        <v>527</v>
      </c>
      <c r="G3156" s="913" t="s">
        <v>1415</v>
      </c>
      <c r="H3156" t="s">
        <v>6422</v>
      </c>
    </row>
    <row r="3157" spans="2:8">
      <c r="B3157" s="871">
        <v>46280</v>
      </c>
      <c r="C3157" t="s">
        <v>2484</v>
      </c>
      <c r="D3157" t="s">
        <v>1409</v>
      </c>
      <c r="E3157" t="s">
        <v>1413</v>
      </c>
      <c r="F3157" s="853" t="s">
        <v>528</v>
      </c>
      <c r="G3157" s="913" t="s">
        <v>1958</v>
      </c>
      <c r="H3157" t="s">
        <v>6423</v>
      </c>
    </row>
    <row r="3158" spans="2:8">
      <c r="B3158" s="871">
        <v>46280</v>
      </c>
      <c r="C3158" t="s">
        <v>2484</v>
      </c>
      <c r="D3158" t="s">
        <v>1410</v>
      </c>
      <c r="E3158" t="s">
        <v>3352</v>
      </c>
      <c r="F3158" s="853" t="s">
        <v>526</v>
      </c>
      <c r="G3158" s="913" t="s">
        <v>1418</v>
      </c>
      <c r="H3158" t="s">
        <v>6424</v>
      </c>
    </row>
    <row r="3159" spans="2:8">
      <c r="B3159" s="871">
        <v>46280</v>
      </c>
      <c r="C3159" t="s">
        <v>2484</v>
      </c>
      <c r="D3159" t="s">
        <v>1410</v>
      </c>
      <c r="E3159" t="s">
        <v>3352</v>
      </c>
      <c r="F3159" s="853" t="s">
        <v>527</v>
      </c>
      <c r="G3159" s="913" t="s">
        <v>1418</v>
      </c>
      <c r="H3159" t="s">
        <v>6425</v>
      </c>
    </row>
    <row r="3160" spans="2:8">
      <c r="B3160" s="871">
        <v>46280</v>
      </c>
      <c r="C3160" t="s">
        <v>2484</v>
      </c>
      <c r="D3160" t="s">
        <v>1410</v>
      </c>
      <c r="E3160" t="s">
        <v>3352</v>
      </c>
      <c r="F3160" s="853" t="s">
        <v>528</v>
      </c>
      <c r="G3160" s="913" t="s">
        <v>1418</v>
      </c>
      <c r="H3160" t="s">
        <v>6426</v>
      </c>
    </row>
    <row r="3161" spans="2:8">
      <c r="B3161" s="871">
        <v>46280</v>
      </c>
      <c r="C3161" t="s">
        <v>2484</v>
      </c>
      <c r="D3161" t="s">
        <v>1409</v>
      </c>
      <c r="E3161" t="s">
        <v>1420</v>
      </c>
      <c r="F3161" s="853" t="s">
        <v>526</v>
      </c>
      <c r="G3161" s="913" t="s">
        <v>1876</v>
      </c>
      <c r="H3161" t="s">
        <v>6427</v>
      </c>
    </row>
    <row r="3162" spans="2:8">
      <c r="B3162" s="871">
        <v>46280</v>
      </c>
      <c r="C3162" t="s">
        <v>2484</v>
      </c>
      <c r="D3162" t="s">
        <v>1409</v>
      </c>
      <c r="E3162" t="s">
        <v>1420</v>
      </c>
      <c r="F3162" s="853" t="s">
        <v>527</v>
      </c>
      <c r="G3162" s="913" t="s">
        <v>1876</v>
      </c>
      <c r="H3162" t="s">
        <v>6428</v>
      </c>
    </row>
    <row r="3163" spans="2:8">
      <c r="B3163" s="871">
        <v>46280</v>
      </c>
      <c r="C3163" t="s">
        <v>2484</v>
      </c>
      <c r="D3163" t="s">
        <v>1409</v>
      </c>
      <c r="E3163" t="s">
        <v>1420</v>
      </c>
      <c r="F3163" s="853" t="s">
        <v>528</v>
      </c>
      <c r="G3163" s="913" t="s">
        <v>1959</v>
      </c>
      <c r="H3163" t="s">
        <v>6429</v>
      </c>
    </row>
    <row r="3164" spans="2:8">
      <c r="B3164" s="871">
        <v>46280</v>
      </c>
      <c r="C3164" t="s">
        <v>2484</v>
      </c>
      <c r="D3164" t="s">
        <v>1410</v>
      </c>
      <c r="E3164" t="s">
        <v>3359</v>
      </c>
      <c r="F3164" s="853" t="s">
        <v>526</v>
      </c>
      <c r="G3164" s="913">
        <v>117</v>
      </c>
      <c r="H3164" t="s">
        <v>6430</v>
      </c>
    </row>
    <row r="3165" spans="2:8">
      <c r="B3165" s="871">
        <v>46280</v>
      </c>
      <c r="C3165" t="s">
        <v>2484</v>
      </c>
      <c r="D3165" t="s">
        <v>1410</v>
      </c>
      <c r="E3165" t="s">
        <v>3359</v>
      </c>
      <c r="F3165" s="853" t="s">
        <v>527</v>
      </c>
      <c r="G3165" s="913">
        <v>116</v>
      </c>
      <c r="H3165" t="s">
        <v>6431</v>
      </c>
    </row>
    <row r="3166" spans="2:8">
      <c r="B3166" s="871">
        <v>46280</v>
      </c>
      <c r="C3166" t="s">
        <v>2484</v>
      </c>
      <c r="D3166" t="s">
        <v>1410</v>
      </c>
      <c r="E3166" t="s">
        <v>3359</v>
      </c>
      <c r="F3166" s="853" t="s">
        <v>528</v>
      </c>
      <c r="G3166" s="913">
        <v>109</v>
      </c>
      <c r="H3166" t="s">
        <v>6432</v>
      </c>
    </row>
    <row r="3167" spans="2:8">
      <c r="B3167" s="871">
        <v>46280</v>
      </c>
      <c r="C3167" t="s">
        <v>2484</v>
      </c>
      <c r="D3167" t="s">
        <v>1409</v>
      </c>
      <c r="E3167" t="s">
        <v>1424</v>
      </c>
      <c r="F3167" s="853" t="s">
        <v>526</v>
      </c>
      <c r="H3167" t="s">
        <v>6433</v>
      </c>
    </row>
    <row r="3168" spans="2:8">
      <c r="B3168" s="871">
        <v>46280</v>
      </c>
      <c r="C3168" t="s">
        <v>2484</v>
      </c>
      <c r="D3168" t="s">
        <v>1409</v>
      </c>
      <c r="E3168" t="s">
        <v>1424</v>
      </c>
      <c r="F3168" s="853" t="s">
        <v>527</v>
      </c>
      <c r="H3168" t="s">
        <v>6434</v>
      </c>
    </row>
    <row r="3169" spans="2:8">
      <c r="B3169" s="871">
        <v>46280</v>
      </c>
      <c r="C3169" t="s">
        <v>2484</v>
      </c>
      <c r="D3169" t="s">
        <v>1409</v>
      </c>
      <c r="E3169" t="s">
        <v>1424</v>
      </c>
      <c r="F3169" s="853" t="s">
        <v>528</v>
      </c>
      <c r="H3169" t="s">
        <v>6435</v>
      </c>
    </row>
    <row r="3170" spans="2:8">
      <c r="B3170" s="871">
        <v>46280</v>
      </c>
      <c r="C3170" t="s">
        <v>2484</v>
      </c>
      <c r="D3170" t="s">
        <v>1410</v>
      </c>
      <c r="E3170" t="s">
        <v>3366</v>
      </c>
      <c r="F3170" s="853" t="s">
        <v>526</v>
      </c>
      <c r="G3170" s="913">
        <v>2595</v>
      </c>
      <c r="H3170" t="s">
        <v>6436</v>
      </c>
    </row>
    <row r="3171" spans="2:8">
      <c r="B3171" s="871">
        <v>46280</v>
      </c>
      <c r="C3171" t="s">
        <v>2484</v>
      </c>
      <c r="D3171" t="s">
        <v>1410</v>
      </c>
      <c r="E3171" t="s">
        <v>3366</v>
      </c>
      <c r="F3171" s="853" t="s">
        <v>527</v>
      </c>
      <c r="G3171" s="913">
        <v>2540</v>
      </c>
      <c r="H3171" t="s">
        <v>6437</v>
      </c>
    </row>
    <row r="3172" spans="2:8">
      <c r="B3172" s="871">
        <v>46280</v>
      </c>
      <c r="C3172" t="s">
        <v>2484</v>
      </c>
      <c r="D3172" t="s">
        <v>1410</v>
      </c>
      <c r="E3172" t="s">
        <v>3366</v>
      </c>
      <c r="F3172" s="853" t="s">
        <v>528</v>
      </c>
      <c r="G3172" s="913">
        <v>2689</v>
      </c>
      <c r="H3172" t="s">
        <v>6438</v>
      </c>
    </row>
    <row r="3173" spans="2:8">
      <c r="B3173" s="871">
        <v>46280</v>
      </c>
      <c r="C3173" t="s">
        <v>2484</v>
      </c>
      <c r="D3173" t="s">
        <v>1410</v>
      </c>
      <c r="E3173" t="s">
        <v>3370</v>
      </c>
      <c r="F3173" s="853" t="s">
        <v>526</v>
      </c>
      <c r="G3173" s="913" t="s">
        <v>1427</v>
      </c>
      <c r="H3173" t="s">
        <v>6439</v>
      </c>
    </row>
    <row r="3174" spans="2:8">
      <c r="B3174" s="871">
        <v>46280</v>
      </c>
      <c r="C3174" t="s">
        <v>2484</v>
      </c>
      <c r="D3174" t="s">
        <v>1410</v>
      </c>
      <c r="E3174" t="s">
        <v>3370</v>
      </c>
      <c r="F3174" s="853" t="s">
        <v>527</v>
      </c>
      <c r="G3174" s="913" t="s">
        <v>1427</v>
      </c>
      <c r="H3174" t="s">
        <v>6440</v>
      </c>
    </row>
    <row r="3175" spans="2:8">
      <c r="B3175" s="871">
        <v>46280</v>
      </c>
      <c r="C3175" t="s">
        <v>2484</v>
      </c>
      <c r="D3175" t="s">
        <v>1410</v>
      </c>
      <c r="E3175" t="s">
        <v>3370</v>
      </c>
      <c r="F3175" s="853" t="s">
        <v>528</v>
      </c>
      <c r="G3175" s="913" t="s">
        <v>1427</v>
      </c>
      <c r="H3175" t="s">
        <v>6441</v>
      </c>
    </row>
    <row r="3176" spans="2:8">
      <c r="B3176" s="871">
        <v>46280</v>
      </c>
      <c r="C3176" t="s">
        <v>2484</v>
      </c>
      <c r="D3176" t="s">
        <v>1410</v>
      </c>
      <c r="E3176" t="s">
        <v>3374</v>
      </c>
      <c r="F3176" s="853" t="s">
        <v>526</v>
      </c>
      <c r="G3176" s="913">
        <v>1.7</v>
      </c>
      <c r="H3176" t="s">
        <v>6442</v>
      </c>
    </row>
    <row r="3177" spans="2:8">
      <c r="B3177" s="871">
        <v>46280</v>
      </c>
      <c r="C3177" t="s">
        <v>2484</v>
      </c>
      <c r="D3177" t="s">
        <v>1410</v>
      </c>
      <c r="E3177" t="s">
        <v>3374</v>
      </c>
      <c r="F3177" s="853" t="s">
        <v>527</v>
      </c>
      <c r="G3177" s="913">
        <v>2.5299999999999998</v>
      </c>
      <c r="H3177" t="s">
        <v>6443</v>
      </c>
    </row>
    <row r="3178" spans="2:8">
      <c r="B3178" s="871">
        <v>46280</v>
      </c>
      <c r="C3178" t="s">
        <v>2484</v>
      </c>
      <c r="D3178" t="s">
        <v>1410</v>
      </c>
      <c r="E3178" t="s">
        <v>3374</v>
      </c>
      <c r="F3178" s="853" t="s">
        <v>528</v>
      </c>
      <c r="G3178" s="913">
        <v>2.5</v>
      </c>
      <c r="H3178" t="s">
        <v>6444</v>
      </c>
    </row>
    <row r="3179" spans="2:8">
      <c r="B3179" s="871">
        <v>46280</v>
      </c>
      <c r="C3179" t="s">
        <v>2484</v>
      </c>
      <c r="D3179" t="s">
        <v>1410</v>
      </c>
      <c r="E3179" t="s">
        <v>3378</v>
      </c>
      <c r="F3179" s="853" t="s">
        <v>526</v>
      </c>
      <c r="G3179" s="913" t="s">
        <v>1627</v>
      </c>
      <c r="H3179" t="s">
        <v>6445</v>
      </c>
    </row>
    <row r="3180" spans="2:8">
      <c r="B3180" s="871">
        <v>46280</v>
      </c>
      <c r="C3180" t="s">
        <v>2484</v>
      </c>
      <c r="D3180" t="s">
        <v>1410</v>
      </c>
      <c r="E3180" t="s">
        <v>3378</v>
      </c>
      <c r="F3180" s="853" t="s">
        <v>527</v>
      </c>
      <c r="G3180" s="913" t="s">
        <v>1627</v>
      </c>
      <c r="H3180" t="s">
        <v>6446</v>
      </c>
    </row>
    <row r="3181" spans="2:8">
      <c r="B3181" s="871">
        <v>46280</v>
      </c>
      <c r="C3181" t="s">
        <v>2484</v>
      </c>
      <c r="D3181" t="s">
        <v>1410</v>
      </c>
      <c r="E3181" t="s">
        <v>3378</v>
      </c>
      <c r="F3181" s="853" t="s">
        <v>528</v>
      </c>
      <c r="G3181" s="913" t="s">
        <v>1430</v>
      </c>
      <c r="H3181" t="s">
        <v>6447</v>
      </c>
    </row>
    <row r="3182" spans="2:8">
      <c r="B3182" s="871">
        <v>46280</v>
      </c>
      <c r="C3182" t="s">
        <v>2484</v>
      </c>
      <c r="D3182" t="s">
        <v>1410</v>
      </c>
      <c r="E3182" t="s">
        <v>3382</v>
      </c>
      <c r="F3182" s="853" t="s">
        <v>526</v>
      </c>
      <c r="G3182" s="913">
        <v>114</v>
      </c>
      <c r="H3182" t="s">
        <v>6448</v>
      </c>
    </row>
    <row r="3183" spans="2:8">
      <c r="B3183" s="871">
        <v>46280</v>
      </c>
      <c r="C3183" t="s">
        <v>2484</v>
      </c>
      <c r="D3183" t="s">
        <v>1410</v>
      </c>
      <c r="E3183" t="s">
        <v>3382</v>
      </c>
      <c r="F3183" s="853" t="s">
        <v>527</v>
      </c>
      <c r="G3183" s="913">
        <v>107</v>
      </c>
      <c r="H3183" t="s">
        <v>6449</v>
      </c>
    </row>
    <row r="3184" spans="2:8">
      <c r="B3184" s="871">
        <v>46280</v>
      </c>
      <c r="C3184" t="s">
        <v>2484</v>
      </c>
      <c r="D3184" t="s">
        <v>1410</v>
      </c>
      <c r="E3184" t="s">
        <v>3382</v>
      </c>
      <c r="F3184" s="853" t="s">
        <v>528</v>
      </c>
      <c r="G3184" s="913">
        <v>101</v>
      </c>
      <c r="H3184" t="s">
        <v>6450</v>
      </c>
    </row>
    <row r="3185" spans="2:8">
      <c r="B3185" s="871">
        <v>46280</v>
      </c>
      <c r="C3185" t="s">
        <v>2484</v>
      </c>
      <c r="D3185" t="s">
        <v>1409</v>
      </c>
      <c r="E3185" t="s">
        <v>1431</v>
      </c>
      <c r="F3185" s="853" t="s">
        <v>526</v>
      </c>
      <c r="H3185" t="s">
        <v>6451</v>
      </c>
    </row>
    <row r="3186" spans="2:8">
      <c r="B3186" s="871">
        <v>46280</v>
      </c>
      <c r="C3186" t="s">
        <v>2484</v>
      </c>
      <c r="D3186" t="s">
        <v>1409</v>
      </c>
      <c r="E3186" t="s">
        <v>1431</v>
      </c>
      <c r="F3186" s="853" t="s">
        <v>527</v>
      </c>
      <c r="H3186" t="s">
        <v>6452</v>
      </c>
    </row>
    <row r="3187" spans="2:8">
      <c r="B3187" s="871">
        <v>46280</v>
      </c>
      <c r="C3187" t="s">
        <v>2484</v>
      </c>
      <c r="D3187" t="s">
        <v>1409</v>
      </c>
      <c r="E3187" t="s">
        <v>1431</v>
      </c>
      <c r="F3187" s="853" t="s">
        <v>528</v>
      </c>
      <c r="H3187" t="s">
        <v>6453</v>
      </c>
    </row>
    <row r="3188" spans="2:8">
      <c r="B3188" s="871">
        <v>46280</v>
      </c>
      <c r="C3188" t="s">
        <v>2484</v>
      </c>
      <c r="D3188" t="s">
        <v>1410</v>
      </c>
      <c r="E3188" t="s">
        <v>3389</v>
      </c>
      <c r="F3188" s="853" t="s">
        <v>526</v>
      </c>
      <c r="G3188" s="913">
        <v>2710</v>
      </c>
      <c r="H3188" t="s">
        <v>6454</v>
      </c>
    </row>
    <row r="3189" spans="2:8">
      <c r="B3189" s="871">
        <v>46280</v>
      </c>
      <c r="C3189" t="s">
        <v>2484</v>
      </c>
      <c r="D3189" t="s">
        <v>1410</v>
      </c>
      <c r="E3189" t="s">
        <v>3389</v>
      </c>
      <c r="F3189" s="853" t="s">
        <v>527</v>
      </c>
      <c r="G3189" s="913">
        <v>3032</v>
      </c>
      <c r="H3189" t="s">
        <v>6455</v>
      </c>
    </row>
    <row r="3190" spans="2:8">
      <c r="B3190" s="871">
        <v>46280</v>
      </c>
      <c r="C3190" t="s">
        <v>2484</v>
      </c>
      <c r="D3190" t="s">
        <v>1410</v>
      </c>
      <c r="E3190" t="s">
        <v>3389</v>
      </c>
      <c r="F3190" s="853" t="s">
        <v>528</v>
      </c>
      <c r="G3190" s="913">
        <v>2760</v>
      </c>
      <c r="H3190" t="s">
        <v>6456</v>
      </c>
    </row>
    <row r="3191" spans="2:8">
      <c r="B3191" s="871">
        <v>46280</v>
      </c>
      <c r="C3191" t="s">
        <v>2484</v>
      </c>
      <c r="D3191" t="s">
        <v>1410</v>
      </c>
      <c r="E3191" t="s">
        <v>3393</v>
      </c>
      <c r="F3191" s="853" t="s">
        <v>526</v>
      </c>
      <c r="G3191" s="913" t="s">
        <v>1663</v>
      </c>
      <c r="H3191" t="s">
        <v>6457</v>
      </c>
    </row>
    <row r="3192" spans="2:8">
      <c r="B3192" s="871">
        <v>46280</v>
      </c>
      <c r="C3192" t="s">
        <v>2484</v>
      </c>
      <c r="D3192" t="s">
        <v>1410</v>
      </c>
      <c r="E3192" t="s">
        <v>3393</v>
      </c>
      <c r="F3192" s="853" t="s">
        <v>527</v>
      </c>
      <c r="G3192" s="913" t="s">
        <v>1877</v>
      </c>
      <c r="H3192" t="s">
        <v>6458</v>
      </c>
    </row>
    <row r="3193" spans="2:8">
      <c r="B3193" s="871">
        <v>46280</v>
      </c>
      <c r="C3193" t="s">
        <v>2484</v>
      </c>
      <c r="D3193" t="s">
        <v>1410</v>
      </c>
      <c r="E3193" t="s">
        <v>3393</v>
      </c>
      <c r="F3193" s="853" t="s">
        <v>528</v>
      </c>
      <c r="G3193" s="913" t="s">
        <v>1663</v>
      </c>
      <c r="H3193" t="s">
        <v>6459</v>
      </c>
    </row>
    <row r="3194" spans="2:8">
      <c r="B3194" s="871">
        <v>46280</v>
      </c>
      <c r="C3194" t="s">
        <v>2484</v>
      </c>
      <c r="D3194" t="s">
        <v>1410</v>
      </c>
      <c r="E3194" t="s">
        <v>3397</v>
      </c>
      <c r="F3194" s="853" t="s">
        <v>526</v>
      </c>
      <c r="G3194" s="913" t="s">
        <v>1435</v>
      </c>
      <c r="H3194" t="s">
        <v>6460</v>
      </c>
    </row>
    <row r="3195" spans="2:8">
      <c r="B3195" s="871">
        <v>46280</v>
      </c>
      <c r="C3195" t="s">
        <v>2484</v>
      </c>
      <c r="D3195" t="s">
        <v>1410</v>
      </c>
      <c r="E3195" t="s">
        <v>3397</v>
      </c>
      <c r="F3195" s="853" t="s">
        <v>527</v>
      </c>
      <c r="G3195" s="913" t="s">
        <v>1435</v>
      </c>
      <c r="H3195" t="s">
        <v>6461</v>
      </c>
    </row>
    <row r="3196" spans="2:8">
      <c r="B3196" s="871">
        <v>46280</v>
      </c>
      <c r="C3196" t="s">
        <v>2484</v>
      </c>
      <c r="D3196" t="s">
        <v>1410</v>
      </c>
      <c r="E3196" t="s">
        <v>3397</v>
      </c>
      <c r="F3196" s="853" t="s">
        <v>528</v>
      </c>
      <c r="G3196" s="913" t="s">
        <v>1435</v>
      </c>
      <c r="H3196" t="s">
        <v>6462</v>
      </c>
    </row>
    <row r="3197" spans="2:8">
      <c r="B3197" s="871">
        <v>46280</v>
      </c>
      <c r="C3197" t="s">
        <v>2484</v>
      </c>
      <c r="D3197" t="s">
        <v>1434</v>
      </c>
      <c r="E3197" t="s">
        <v>42</v>
      </c>
      <c r="F3197" s="853" t="s">
        <v>526</v>
      </c>
      <c r="G3197" s="913" t="s">
        <v>1862</v>
      </c>
      <c r="H3197" t="s">
        <v>6463</v>
      </c>
    </row>
    <row r="3198" spans="2:8">
      <c r="B3198" s="871">
        <v>46280</v>
      </c>
      <c r="C3198" t="s">
        <v>2484</v>
      </c>
      <c r="D3198" t="s">
        <v>1434</v>
      </c>
      <c r="E3198" t="s">
        <v>42</v>
      </c>
      <c r="F3198" s="853" t="s">
        <v>527</v>
      </c>
      <c r="G3198" s="913" t="s">
        <v>1913</v>
      </c>
      <c r="H3198" t="s">
        <v>6464</v>
      </c>
    </row>
    <row r="3199" spans="2:8">
      <c r="B3199" s="871">
        <v>46280</v>
      </c>
      <c r="C3199" t="s">
        <v>2484</v>
      </c>
      <c r="D3199" t="s">
        <v>1434</v>
      </c>
      <c r="E3199" t="s">
        <v>42</v>
      </c>
      <c r="F3199" s="853" t="s">
        <v>528</v>
      </c>
      <c r="G3199" s="913" t="s">
        <v>1913</v>
      </c>
      <c r="H3199" t="s">
        <v>6465</v>
      </c>
    </row>
    <row r="3200" spans="2:8">
      <c r="B3200" s="871">
        <v>46280</v>
      </c>
      <c r="C3200" t="s">
        <v>2484</v>
      </c>
      <c r="D3200" t="s">
        <v>1410</v>
      </c>
      <c r="E3200" t="s">
        <v>3404</v>
      </c>
      <c r="F3200" s="853" t="s">
        <v>526</v>
      </c>
      <c r="G3200" s="913" t="s">
        <v>1419</v>
      </c>
      <c r="H3200" t="s">
        <v>6466</v>
      </c>
    </row>
    <row r="3201" spans="2:8">
      <c r="B3201" s="871">
        <v>46280</v>
      </c>
      <c r="C3201" t="s">
        <v>2484</v>
      </c>
      <c r="D3201" t="s">
        <v>1410</v>
      </c>
      <c r="E3201" t="s">
        <v>3404</v>
      </c>
      <c r="F3201" s="853" t="s">
        <v>527</v>
      </c>
      <c r="G3201" s="913" t="s">
        <v>1419</v>
      </c>
      <c r="H3201" t="s">
        <v>6467</v>
      </c>
    </row>
    <row r="3202" spans="2:8">
      <c r="B3202" s="871">
        <v>46280</v>
      </c>
      <c r="C3202" t="s">
        <v>2484</v>
      </c>
      <c r="D3202" t="s">
        <v>1410</v>
      </c>
      <c r="E3202" t="s">
        <v>3404</v>
      </c>
      <c r="F3202" s="853" t="s">
        <v>528</v>
      </c>
      <c r="G3202" s="913" t="s">
        <v>1419</v>
      </c>
      <c r="H3202" t="s">
        <v>6468</v>
      </c>
    </row>
    <row r="3203" spans="2:8">
      <c r="B3203" s="871">
        <v>46280</v>
      </c>
      <c r="C3203" t="s">
        <v>2484</v>
      </c>
      <c r="D3203" t="s">
        <v>1434</v>
      </c>
      <c r="E3203" t="s">
        <v>1439</v>
      </c>
      <c r="F3203" s="853" t="s">
        <v>526</v>
      </c>
      <c r="G3203" s="913" t="s">
        <v>1440</v>
      </c>
      <c r="H3203" t="s">
        <v>6469</v>
      </c>
    </row>
    <row r="3204" spans="2:8">
      <c r="B3204" s="871">
        <v>46280</v>
      </c>
      <c r="C3204" t="s">
        <v>2484</v>
      </c>
      <c r="D3204" t="s">
        <v>1434</v>
      </c>
      <c r="E3204" t="s">
        <v>1439</v>
      </c>
      <c r="F3204" s="853" t="s">
        <v>527</v>
      </c>
      <c r="G3204" s="913" t="s">
        <v>9412</v>
      </c>
      <c r="H3204" t="s">
        <v>6470</v>
      </c>
    </row>
    <row r="3205" spans="2:8">
      <c r="B3205" s="871">
        <v>46280</v>
      </c>
      <c r="C3205" t="s">
        <v>2484</v>
      </c>
      <c r="D3205" t="s">
        <v>1434</v>
      </c>
      <c r="E3205" t="s">
        <v>1439</v>
      </c>
      <c r="F3205" s="853" t="s">
        <v>528</v>
      </c>
      <c r="G3205" s="913" t="s">
        <v>9412</v>
      </c>
      <c r="H3205" t="s">
        <v>6471</v>
      </c>
    </row>
    <row r="3206" spans="2:8">
      <c r="B3206" s="871">
        <v>46280</v>
      </c>
      <c r="C3206" t="s">
        <v>2484</v>
      </c>
      <c r="D3206" t="s">
        <v>1410</v>
      </c>
      <c r="E3206" t="s">
        <v>3411</v>
      </c>
      <c r="F3206" s="853" t="s">
        <v>526</v>
      </c>
      <c r="G3206" s="913">
        <v>47</v>
      </c>
      <c r="H3206" t="s">
        <v>6472</v>
      </c>
    </row>
    <row r="3207" spans="2:8">
      <c r="B3207" s="871">
        <v>46280</v>
      </c>
      <c r="C3207" t="s">
        <v>2484</v>
      </c>
      <c r="D3207" t="s">
        <v>1410</v>
      </c>
      <c r="E3207" t="s">
        <v>3411</v>
      </c>
      <c r="F3207" s="853" t="s">
        <v>527</v>
      </c>
      <c r="G3207" s="913">
        <v>64</v>
      </c>
      <c r="H3207" t="s">
        <v>6473</v>
      </c>
    </row>
    <row r="3208" spans="2:8">
      <c r="B3208" s="871">
        <v>46280</v>
      </c>
      <c r="C3208" t="s">
        <v>2484</v>
      </c>
      <c r="D3208" t="s">
        <v>1410</v>
      </c>
      <c r="E3208" t="s">
        <v>3411</v>
      </c>
      <c r="F3208" s="853" t="s">
        <v>528</v>
      </c>
      <c r="G3208" s="913">
        <v>44</v>
      </c>
      <c r="H3208" t="s">
        <v>6474</v>
      </c>
    </row>
    <row r="3209" spans="2:8">
      <c r="B3209" s="871">
        <v>46280</v>
      </c>
      <c r="C3209" t="s">
        <v>2484</v>
      </c>
      <c r="D3209" t="s">
        <v>1434</v>
      </c>
      <c r="E3209" t="s">
        <v>43</v>
      </c>
      <c r="F3209" s="853" t="s">
        <v>526</v>
      </c>
      <c r="G3209" s="913" t="s">
        <v>1863</v>
      </c>
      <c r="H3209" t="s">
        <v>6475</v>
      </c>
    </row>
    <row r="3210" spans="2:8">
      <c r="B3210" s="871">
        <v>46280</v>
      </c>
      <c r="C3210" t="s">
        <v>2484</v>
      </c>
      <c r="D3210" t="s">
        <v>1434</v>
      </c>
      <c r="E3210" t="s">
        <v>43</v>
      </c>
      <c r="F3210" s="853" t="s">
        <v>527</v>
      </c>
      <c r="G3210" s="913" t="s">
        <v>9413</v>
      </c>
      <c r="H3210" t="s">
        <v>6476</v>
      </c>
    </row>
    <row r="3211" spans="2:8">
      <c r="B3211" s="871">
        <v>46280</v>
      </c>
      <c r="C3211" t="s">
        <v>2484</v>
      </c>
      <c r="D3211" t="s">
        <v>1434</v>
      </c>
      <c r="E3211" t="s">
        <v>43</v>
      </c>
      <c r="F3211" s="853" t="s">
        <v>528</v>
      </c>
      <c r="G3211" s="913" t="s">
        <v>9413</v>
      </c>
      <c r="H3211" t="s">
        <v>6477</v>
      </c>
    </row>
    <row r="3212" spans="2:8">
      <c r="B3212" s="871">
        <v>46280</v>
      </c>
      <c r="C3212" t="s">
        <v>2484</v>
      </c>
      <c r="D3212" t="s">
        <v>1410</v>
      </c>
      <c r="E3212" t="s">
        <v>3418</v>
      </c>
      <c r="F3212" s="853" t="s">
        <v>526</v>
      </c>
      <c r="G3212" s="913">
        <v>94</v>
      </c>
      <c r="H3212" t="s">
        <v>6478</v>
      </c>
    </row>
    <row r="3213" spans="2:8">
      <c r="B3213" s="871">
        <v>46280</v>
      </c>
      <c r="C3213" t="s">
        <v>2484</v>
      </c>
      <c r="D3213" t="s">
        <v>1410</v>
      </c>
      <c r="E3213" t="s">
        <v>3418</v>
      </c>
      <c r="F3213" s="853" t="s">
        <v>527</v>
      </c>
      <c r="G3213" s="913">
        <v>68</v>
      </c>
      <c r="H3213" t="s">
        <v>6479</v>
      </c>
    </row>
    <row r="3214" spans="2:8">
      <c r="B3214" s="871">
        <v>46280</v>
      </c>
      <c r="C3214" t="s">
        <v>2484</v>
      </c>
      <c r="D3214" t="s">
        <v>1410</v>
      </c>
      <c r="E3214" t="s">
        <v>3418</v>
      </c>
      <c r="F3214" s="853" t="s">
        <v>528</v>
      </c>
      <c r="G3214" s="913">
        <v>81</v>
      </c>
      <c r="H3214" t="s">
        <v>6480</v>
      </c>
    </row>
    <row r="3215" spans="2:8">
      <c r="B3215" s="871">
        <v>46280</v>
      </c>
      <c r="C3215" t="s">
        <v>2484</v>
      </c>
      <c r="D3215" t="s">
        <v>1434</v>
      </c>
      <c r="E3215" t="s">
        <v>1441</v>
      </c>
      <c r="F3215" s="853" t="s">
        <v>526</v>
      </c>
      <c r="H3215" t="s">
        <v>6481</v>
      </c>
    </row>
    <row r="3216" spans="2:8">
      <c r="B3216" s="871">
        <v>46280</v>
      </c>
      <c r="C3216" t="s">
        <v>2484</v>
      </c>
      <c r="D3216" t="s">
        <v>1434</v>
      </c>
      <c r="E3216" t="s">
        <v>1441</v>
      </c>
      <c r="F3216" s="853" t="s">
        <v>527</v>
      </c>
      <c r="H3216" t="s">
        <v>6482</v>
      </c>
    </row>
    <row r="3217" spans="2:8">
      <c r="B3217" s="871">
        <v>46280</v>
      </c>
      <c r="C3217" t="s">
        <v>2484</v>
      </c>
      <c r="D3217" t="s">
        <v>1434</v>
      </c>
      <c r="E3217" t="s">
        <v>1441</v>
      </c>
      <c r="F3217" s="853" t="s">
        <v>528</v>
      </c>
      <c r="H3217" t="s">
        <v>6483</v>
      </c>
    </row>
    <row r="3218" spans="2:8">
      <c r="B3218" s="871">
        <v>46280</v>
      </c>
      <c r="C3218" t="s">
        <v>2484</v>
      </c>
      <c r="D3218" t="s">
        <v>1410</v>
      </c>
      <c r="E3218" t="s">
        <v>3425</v>
      </c>
      <c r="F3218" s="853" t="s">
        <v>526</v>
      </c>
      <c r="G3218" s="913" t="s">
        <v>1443</v>
      </c>
      <c r="H3218" t="s">
        <v>6484</v>
      </c>
    </row>
    <row r="3219" spans="2:8">
      <c r="B3219" s="871">
        <v>46280</v>
      </c>
      <c r="C3219" t="s">
        <v>2484</v>
      </c>
      <c r="D3219" t="s">
        <v>1410</v>
      </c>
      <c r="E3219" t="s">
        <v>3425</v>
      </c>
      <c r="F3219" s="853" t="s">
        <v>527</v>
      </c>
      <c r="G3219" s="913" t="s">
        <v>1443</v>
      </c>
      <c r="H3219" t="s">
        <v>6485</v>
      </c>
    </row>
    <row r="3220" spans="2:8">
      <c r="B3220" s="871">
        <v>46280</v>
      </c>
      <c r="C3220" t="s">
        <v>2484</v>
      </c>
      <c r="D3220" t="s">
        <v>1410</v>
      </c>
      <c r="E3220" t="s">
        <v>3425</v>
      </c>
      <c r="F3220" s="853" t="s">
        <v>528</v>
      </c>
      <c r="G3220" s="913" t="s">
        <v>1443</v>
      </c>
      <c r="H3220" t="s">
        <v>6486</v>
      </c>
    </row>
    <row r="3221" spans="2:8">
      <c r="B3221" s="871">
        <v>46280</v>
      </c>
      <c r="C3221" t="s">
        <v>2484</v>
      </c>
      <c r="D3221" t="s">
        <v>1434</v>
      </c>
      <c r="E3221" t="s">
        <v>1444</v>
      </c>
      <c r="F3221" s="853" t="s">
        <v>526</v>
      </c>
      <c r="H3221" t="s">
        <v>6487</v>
      </c>
    </row>
    <row r="3222" spans="2:8">
      <c r="B3222" s="871">
        <v>46280</v>
      </c>
      <c r="C3222" t="s">
        <v>2484</v>
      </c>
      <c r="D3222" t="s">
        <v>1434</v>
      </c>
      <c r="E3222" t="s">
        <v>1444</v>
      </c>
      <c r="F3222" s="853" t="s">
        <v>527</v>
      </c>
      <c r="H3222" t="s">
        <v>6488</v>
      </c>
    </row>
    <row r="3223" spans="2:8">
      <c r="B3223" s="871">
        <v>46280</v>
      </c>
      <c r="C3223" t="s">
        <v>2484</v>
      </c>
      <c r="D3223" t="s">
        <v>1434</v>
      </c>
      <c r="E3223" t="s">
        <v>1444</v>
      </c>
      <c r="F3223" s="853" t="s">
        <v>528</v>
      </c>
      <c r="H3223" t="s">
        <v>6489</v>
      </c>
    </row>
    <row r="3224" spans="2:8">
      <c r="B3224" s="871">
        <v>46280</v>
      </c>
      <c r="C3224" t="s">
        <v>2484</v>
      </c>
      <c r="D3224" t="s">
        <v>1434</v>
      </c>
      <c r="E3224" t="s">
        <v>1446</v>
      </c>
      <c r="F3224" s="853" t="s">
        <v>526</v>
      </c>
      <c r="G3224" s="913">
        <v>22500</v>
      </c>
      <c r="H3224" t="s">
        <v>6490</v>
      </c>
    </row>
    <row r="3225" spans="2:8">
      <c r="B3225" s="871">
        <v>46280</v>
      </c>
      <c r="C3225" t="s">
        <v>2484</v>
      </c>
      <c r="D3225" t="s">
        <v>1434</v>
      </c>
      <c r="E3225" t="s">
        <v>1446</v>
      </c>
      <c r="F3225" s="853" t="s">
        <v>527</v>
      </c>
      <c r="G3225" s="913" t="s">
        <v>1914</v>
      </c>
      <c r="H3225" t="s">
        <v>6491</v>
      </c>
    </row>
    <row r="3226" spans="2:8">
      <c r="B3226" s="871">
        <v>46280</v>
      </c>
      <c r="C3226" t="s">
        <v>2484</v>
      </c>
      <c r="D3226" t="s">
        <v>1434</v>
      </c>
      <c r="E3226" t="s">
        <v>1446</v>
      </c>
      <c r="F3226" s="853" t="s">
        <v>528</v>
      </c>
      <c r="G3226" s="913">
        <v>156169</v>
      </c>
      <c r="H3226" t="s">
        <v>6492</v>
      </c>
    </row>
    <row r="3227" spans="2:8">
      <c r="B3227" s="871">
        <v>46280</v>
      </c>
      <c r="C3227" t="s">
        <v>2484</v>
      </c>
      <c r="D3227" t="s">
        <v>1410</v>
      </c>
      <c r="E3227" t="s">
        <v>3435</v>
      </c>
      <c r="F3227" s="853" t="s">
        <v>526</v>
      </c>
      <c r="G3227" s="913" t="s">
        <v>1586</v>
      </c>
      <c r="H3227" t="s">
        <v>6493</v>
      </c>
    </row>
    <row r="3228" spans="2:8">
      <c r="B3228" s="871">
        <v>46280</v>
      </c>
      <c r="C3228" t="s">
        <v>2484</v>
      </c>
      <c r="D3228" t="s">
        <v>1410</v>
      </c>
      <c r="E3228" t="s">
        <v>3435</v>
      </c>
      <c r="F3228" s="853" t="s">
        <v>527</v>
      </c>
      <c r="G3228" s="913" t="s">
        <v>1586</v>
      </c>
      <c r="H3228" t="s">
        <v>6494</v>
      </c>
    </row>
    <row r="3229" spans="2:8">
      <c r="B3229" s="871">
        <v>46280</v>
      </c>
      <c r="C3229" t="s">
        <v>2484</v>
      </c>
      <c r="D3229" t="s">
        <v>1410</v>
      </c>
      <c r="E3229" t="s">
        <v>3435</v>
      </c>
      <c r="F3229" s="853" t="s">
        <v>528</v>
      </c>
      <c r="G3229" s="913" t="s">
        <v>1586</v>
      </c>
      <c r="H3229" t="s">
        <v>6495</v>
      </c>
    </row>
    <row r="3230" spans="2:8">
      <c r="B3230" s="871">
        <v>46280</v>
      </c>
      <c r="C3230" t="s">
        <v>2484</v>
      </c>
      <c r="D3230" t="s">
        <v>1434</v>
      </c>
      <c r="E3230" t="s">
        <v>3439</v>
      </c>
      <c r="F3230" s="853" t="s">
        <v>526</v>
      </c>
      <c r="H3230" t="s">
        <v>6496</v>
      </c>
    </row>
    <row r="3231" spans="2:8">
      <c r="B3231" s="871">
        <v>46280</v>
      </c>
      <c r="C3231" t="s">
        <v>2484</v>
      </c>
      <c r="D3231" t="s">
        <v>1434</v>
      </c>
      <c r="E3231" t="s">
        <v>3439</v>
      </c>
      <c r="F3231" s="853" t="s">
        <v>527</v>
      </c>
      <c r="H3231" t="s">
        <v>6497</v>
      </c>
    </row>
    <row r="3232" spans="2:8">
      <c r="B3232" s="871">
        <v>46280</v>
      </c>
      <c r="C3232" t="s">
        <v>2484</v>
      </c>
      <c r="D3232" t="s">
        <v>1434</v>
      </c>
      <c r="E3232" t="s">
        <v>3439</v>
      </c>
      <c r="F3232" s="853" t="s">
        <v>528</v>
      </c>
      <c r="H3232" t="s">
        <v>6498</v>
      </c>
    </row>
    <row r="3233" spans="2:8">
      <c r="B3233" s="871">
        <v>46280</v>
      </c>
      <c r="C3233" t="s">
        <v>2484</v>
      </c>
      <c r="D3233" t="s">
        <v>1410</v>
      </c>
      <c r="E3233" t="s">
        <v>3443</v>
      </c>
      <c r="F3233" s="853" t="s">
        <v>526</v>
      </c>
      <c r="H3233" t="s">
        <v>6499</v>
      </c>
    </row>
    <row r="3234" spans="2:8">
      <c r="B3234" s="871">
        <v>46280</v>
      </c>
      <c r="C3234" t="s">
        <v>2484</v>
      </c>
      <c r="D3234" t="s">
        <v>1410</v>
      </c>
      <c r="E3234" t="s">
        <v>3443</v>
      </c>
      <c r="F3234" s="853" t="s">
        <v>527</v>
      </c>
      <c r="H3234" t="s">
        <v>6500</v>
      </c>
    </row>
    <row r="3235" spans="2:8">
      <c r="B3235" s="871">
        <v>46280</v>
      </c>
      <c r="C3235" t="s">
        <v>2484</v>
      </c>
      <c r="D3235" t="s">
        <v>1410</v>
      </c>
      <c r="E3235" t="s">
        <v>3443</v>
      </c>
      <c r="F3235" s="853" t="s">
        <v>528</v>
      </c>
      <c r="H3235" t="s">
        <v>6501</v>
      </c>
    </row>
    <row r="3236" spans="2:8">
      <c r="B3236" s="871">
        <v>46280</v>
      </c>
      <c r="C3236" t="s">
        <v>2484</v>
      </c>
      <c r="D3236" t="s">
        <v>1434</v>
      </c>
      <c r="E3236" t="s">
        <v>3447</v>
      </c>
      <c r="F3236" s="853" t="s">
        <v>526</v>
      </c>
      <c r="H3236" t="s">
        <v>6502</v>
      </c>
    </row>
    <row r="3237" spans="2:8">
      <c r="B3237" s="871">
        <v>46280</v>
      </c>
      <c r="C3237" t="s">
        <v>2484</v>
      </c>
      <c r="D3237" t="s">
        <v>1434</v>
      </c>
      <c r="E3237" t="s">
        <v>3447</v>
      </c>
      <c r="F3237" s="853" t="s">
        <v>527</v>
      </c>
      <c r="H3237" t="s">
        <v>6503</v>
      </c>
    </row>
    <row r="3238" spans="2:8">
      <c r="B3238" s="871">
        <v>46280</v>
      </c>
      <c r="C3238" t="s">
        <v>2484</v>
      </c>
      <c r="D3238" t="s">
        <v>1434</v>
      </c>
      <c r="E3238" t="s">
        <v>3447</v>
      </c>
      <c r="F3238" s="853" t="s">
        <v>528</v>
      </c>
      <c r="H3238" t="s">
        <v>6504</v>
      </c>
    </row>
    <row r="3239" spans="2:8">
      <c r="B3239" s="871">
        <v>46280</v>
      </c>
      <c r="C3239" t="s">
        <v>2484</v>
      </c>
      <c r="D3239" t="s">
        <v>1410</v>
      </c>
      <c r="E3239" t="s">
        <v>3451</v>
      </c>
      <c r="F3239" s="853" t="s">
        <v>526</v>
      </c>
      <c r="H3239" t="s">
        <v>6505</v>
      </c>
    </row>
    <row r="3240" spans="2:8">
      <c r="B3240" s="871">
        <v>46280</v>
      </c>
      <c r="C3240" t="s">
        <v>2484</v>
      </c>
      <c r="D3240" t="s">
        <v>1410</v>
      </c>
      <c r="E3240" t="s">
        <v>3451</v>
      </c>
      <c r="F3240" s="853" t="s">
        <v>527</v>
      </c>
      <c r="H3240" t="s">
        <v>6506</v>
      </c>
    </row>
    <row r="3241" spans="2:8">
      <c r="B3241" s="871">
        <v>46280</v>
      </c>
      <c r="C3241" t="s">
        <v>2484</v>
      </c>
      <c r="D3241" t="s">
        <v>1410</v>
      </c>
      <c r="E3241" t="s">
        <v>3451</v>
      </c>
      <c r="F3241" s="853" t="s">
        <v>528</v>
      </c>
      <c r="H3241" t="s">
        <v>6507</v>
      </c>
    </row>
    <row r="3242" spans="2:8">
      <c r="B3242" s="871">
        <v>46280</v>
      </c>
      <c r="C3242" t="s">
        <v>2484</v>
      </c>
      <c r="D3242" t="s">
        <v>1434</v>
      </c>
      <c r="E3242" t="s">
        <v>3455</v>
      </c>
      <c r="F3242" s="853" t="s">
        <v>526</v>
      </c>
      <c r="H3242" t="s">
        <v>6508</v>
      </c>
    </row>
    <row r="3243" spans="2:8">
      <c r="B3243" s="871">
        <v>46280</v>
      </c>
      <c r="C3243" t="s">
        <v>2484</v>
      </c>
      <c r="D3243" t="s">
        <v>1434</v>
      </c>
      <c r="E3243" t="s">
        <v>3455</v>
      </c>
      <c r="F3243" s="853" t="s">
        <v>527</v>
      </c>
      <c r="H3243" t="s">
        <v>6509</v>
      </c>
    </row>
    <row r="3244" spans="2:8">
      <c r="B3244" s="871">
        <v>46280</v>
      </c>
      <c r="C3244" t="s">
        <v>2484</v>
      </c>
      <c r="D3244" t="s">
        <v>1434</v>
      </c>
      <c r="E3244" t="s">
        <v>3455</v>
      </c>
      <c r="F3244" s="853" t="s">
        <v>528</v>
      </c>
      <c r="H3244" t="s">
        <v>6510</v>
      </c>
    </row>
    <row r="3245" spans="2:8">
      <c r="B3245" s="871">
        <v>46280</v>
      </c>
      <c r="C3245" t="s">
        <v>2484</v>
      </c>
      <c r="D3245" t="s">
        <v>1410</v>
      </c>
      <c r="E3245" t="s">
        <v>3459</v>
      </c>
      <c r="F3245" s="853" t="s">
        <v>526</v>
      </c>
      <c r="G3245" s="913">
        <v>28</v>
      </c>
      <c r="H3245" t="s">
        <v>6511</v>
      </c>
    </row>
    <row r="3246" spans="2:8">
      <c r="B3246" s="871">
        <v>46280</v>
      </c>
      <c r="C3246" t="s">
        <v>2484</v>
      </c>
      <c r="D3246" t="s">
        <v>1410</v>
      </c>
      <c r="E3246" t="s">
        <v>3459</v>
      </c>
      <c r="F3246" s="853" t="s">
        <v>527</v>
      </c>
      <c r="G3246" s="913">
        <v>28</v>
      </c>
      <c r="H3246" t="s">
        <v>6512</v>
      </c>
    </row>
    <row r="3247" spans="2:8">
      <c r="B3247" s="871">
        <v>46280</v>
      </c>
      <c r="C3247" t="s">
        <v>2484</v>
      </c>
      <c r="D3247" t="s">
        <v>1410</v>
      </c>
      <c r="E3247" t="s">
        <v>3459</v>
      </c>
      <c r="F3247" s="853" t="s">
        <v>528</v>
      </c>
      <c r="G3247" s="913">
        <v>27</v>
      </c>
      <c r="H3247" t="s">
        <v>6513</v>
      </c>
    </row>
    <row r="3248" spans="2:8">
      <c r="B3248" s="871">
        <v>46280</v>
      </c>
      <c r="C3248" t="s">
        <v>2484</v>
      </c>
      <c r="D3248" t="s">
        <v>1434</v>
      </c>
      <c r="E3248" t="s">
        <v>3463</v>
      </c>
      <c r="F3248" s="853" t="s">
        <v>526</v>
      </c>
      <c r="H3248" t="s">
        <v>6514</v>
      </c>
    </row>
    <row r="3249" spans="2:8">
      <c r="B3249" s="871">
        <v>46280</v>
      </c>
      <c r="C3249" t="s">
        <v>2484</v>
      </c>
      <c r="D3249" t="s">
        <v>1434</v>
      </c>
      <c r="E3249" t="s">
        <v>3463</v>
      </c>
      <c r="F3249" s="853" t="s">
        <v>527</v>
      </c>
      <c r="H3249" t="s">
        <v>6515</v>
      </c>
    </row>
    <row r="3250" spans="2:8">
      <c r="B3250" s="871">
        <v>46280</v>
      </c>
      <c r="C3250" t="s">
        <v>2484</v>
      </c>
      <c r="D3250" t="s">
        <v>1434</v>
      </c>
      <c r="E3250" t="s">
        <v>3463</v>
      </c>
      <c r="F3250" s="853" t="s">
        <v>528</v>
      </c>
      <c r="H3250" t="s">
        <v>6516</v>
      </c>
    </row>
    <row r="3251" spans="2:8">
      <c r="B3251" s="871">
        <v>46280</v>
      </c>
      <c r="C3251" t="s">
        <v>2484</v>
      </c>
      <c r="D3251" t="s">
        <v>1410</v>
      </c>
      <c r="E3251" t="s">
        <v>3467</v>
      </c>
      <c r="F3251" s="853" t="s">
        <v>526</v>
      </c>
      <c r="H3251" t="s">
        <v>6517</v>
      </c>
    </row>
    <row r="3252" spans="2:8">
      <c r="B3252" s="871">
        <v>46280</v>
      </c>
      <c r="C3252" t="s">
        <v>2484</v>
      </c>
      <c r="D3252" t="s">
        <v>1410</v>
      </c>
      <c r="E3252" t="s">
        <v>3467</v>
      </c>
      <c r="F3252" s="853" t="s">
        <v>527</v>
      </c>
      <c r="H3252" t="s">
        <v>6518</v>
      </c>
    </row>
    <row r="3253" spans="2:8">
      <c r="B3253" s="871">
        <v>46280</v>
      </c>
      <c r="C3253" t="s">
        <v>2484</v>
      </c>
      <c r="D3253" t="s">
        <v>1410</v>
      </c>
      <c r="E3253" t="s">
        <v>3467</v>
      </c>
      <c r="F3253" s="853" t="s">
        <v>528</v>
      </c>
      <c r="G3253" s="913">
        <v>27</v>
      </c>
      <c r="H3253" t="s">
        <v>6519</v>
      </c>
    </row>
    <row r="3254" spans="2:8">
      <c r="B3254" s="871">
        <v>46280</v>
      </c>
      <c r="C3254" t="s">
        <v>2484</v>
      </c>
      <c r="D3254" t="s">
        <v>1434</v>
      </c>
      <c r="E3254" t="s">
        <v>3471</v>
      </c>
      <c r="F3254" s="853" t="s">
        <v>526</v>
      </c>
      <c r="H3254" t="s">
        <v>6520</v>
      </c>
    </row>
    <row r="3255" spans="2:8">
      <c r="B3255" s="871">
        <v>46280</v>
      </c>
      <c r="C3255" t="s">
        <v>2484</v>
      </c>
      <c r="D3255" t="s">
        <v>1434</v>
      </c>
      <c r="E3255" t="s">
        <v>3471</v>
      </c>
      <c r="F3255" s="853" t="s">
        <v>527</v>
      </c>
      <c r="H3255" t="s">
        <v>6521</v>
      </c>
    </row>
    <row r="3256" spans="2:8">
      <c r="B3256" s="871">
        <v>46280</v>
      </c>
      <c r="C3256" t="s">
        <v>2484</v>
      </c>
      <c r="D3256" t="s">
        <v>1434</v>
      </c>
      <c r="E3256" t="s">
        <v>3471</v>
      </c>
      <c r="F3256" s="853" t="s">
        <v>528</v>
      </c>
      <c r="H3256" t="s">
        <v>6522</v>
      </c>
    </row>
    <row r="3257" spans="2:8">
      <c r="B3257" s="871">
        <v>46280</v>
      </c>
      <c r="C3257" t="s">
        <v>2484</v>
      </c>
      <c r="D3257" t="s">
        <v>1410</v>
      </c>
      <c r="E3257" t="s">
        <v>3475</v>
      </c>
      <c r="F3257" s="853" t="s">
        <v>526</v>
      </c>
      <c r="G3257" s="913">
        <v>18</v>
      </c>
      <c r="H3257" t="s">
        <v>6523</v>
      </c>
    </row>
    <row r="3258" spans="2:8">
      <c r="B3258" s="871">
        <v>46280</v>
      </c>
      <c r="C3258" t="s">
        <v>2484</v>
      </c>
      <c r="D3258" t="s">
        <v>1410</v>
      </c>
      <c r="E3258" t="s">
        <v>3475</v>
      </c>
      <c r="F3258" s="853" t="s">
        <v>527</v>
      </c>
      <c r="G3258" s="913">
        <v>18</v>
      </c>
      <c r="H3258" t="s">
        <v>6524</v>
      </c>
    </row>
    <row r="3259" spans="2:8">
      <c r="B3259" s="871">
        <v>46280</v>
      </c>
      <c r="C3259" t="s">
        <v>2484</v>
      </c>
      <c r="D3259" t="s">
        <v>1410</v>
      </c>
      <c r="E3259" t="s">
        <v>3475</v>
      </c>
      <c r="F3259" s="853" t="s">
        <v>528</v>
      </c>
      <c r="G3259" s="913">
        <v>18</v>
      </c>
      <c r="H3259" t="s">
        <v>6525</v>
      </c>
    </row>
    <row r="3260" spans="2:8">
      <c r="B3260" s="871">
        <v>46280</v>
      </c>
      <c r="C3260" t="s">
        <v>2484</v>
      </c>
      <c r="D3260" t="s">
        <v>1434</v>
      </c>
      <c r="E3260" t="s">
        <v>3479</v>
      </c>
      <c r="F3260" s="853" t="s">
        <v>526</v>
      </c>
      <c r="H3260" t="s">
        <v>6526</v>
      </c>
    </row>
    <row r="3261" spans="2:8">
      <c r="B3261" s="871">
        <v>46280</v>
      </c>
      <c r="C3261" t="s">
        <v>2484</v>
      </c>
      <c r="D3261" t="s">
        <v>1434</v>
      </c>
      <c r="E3261" t="s">
        <v>3479</v>
      </c>
      <c r="F3261" s="853" t="s">
        <v>527</v>
      </c>
      <c r="H3261" t="s">
        <v>6527</v>
      </c>
    </row>
    <row r="3262" spans="2:8">
      <c r="B3262" s="871">
        <v>46280</v>
      </c>
      <c r="C3262" t="s">
        <v>2484</v>
      </c>
      <c r="D3262" t="s">
        <v>1434</v>
      </c>
      <c r="E3262" t="s">
        <v>3479</v>
      </c>
      <c r="F3262" s="853" t="s">
        <v>528</v>
      </c>
      <c r="H3262" t="s">
        <v>6528</v>
      </c>
    </row>
    <row r="3263" spans="2:8">
      <c r="B3263" s="871">
        <v>46280</v>
      </c>
      <c r="C3263" t="s">
        <v>2484</v>
      </c>
      <c r="D3263" t="s">
        <v>1410</v>
      </c>
      <c r="E3263" t="s">
        <v>3483</v>
      </c>
      <c r="F3263" s="853" t="s">
        <v>526</v>
      </c>
      <c r="G3263" s="913" t="s">
        <v>1878</v>
      </c>
      <c r="H3263" t="s">
        <v>6529</v>
      </c>
    </row>
    <row r="3264" spans="2:8">
      <c r="B3264" s="871">
        <v>46280</v>
      </c>
      <c r="C3264" t="s">
        <v>2484</v>
      </c>
      <c r="D3264" t="s">
        <v>1410</v>
      </c>
      <c r="E3264" t="s">
        <v>3483</v>
      </c>
      <c r="F3264" s="853" t="s">
        <v>527</v>
      </c>
      <c r="G3264" s="913" t="s">
        <v>1915</v>
      </c>
      <c r="H3264" t="s">
        <v>6530</v>
      </c>
    </row>
    <row r="3265" spans="2:8">
      <c r="B3265" s="871">
        <v>46280</v>
      </c>
      <c r="C3265" t="s">
        <v>2484</v>
      </c>
      <c r="D3265" t="s">
        <v>1410</v>
      </c>
      <c r="E3265" t="s">
        <v>3483</v>
      </c>
      <c r="F3265" s="853" t="s">
        <v>528</v>
      </c>
      <c r="G3265" s="913">
        <v>5</v>
      </c>
      <c r="H3265" t="s">
        <v>6531</v>
      </c>
    </row>
    <row r="3266" spans="2:8">
      <c r="B3266" s="871">
        <v>46281</v>
      </c>
      <c r="C3266" t="s">
        <v>2485</v>
      </c>
      <c r="D3266" t="s">
        <v>1375</v>
      </c>
      <c r="E3266" t="s">
        <v>1377</v>
      </c>
      <c r="F3266" s="853" t="s">
        <v>526</v>
      </c>
      <c r="G3266" s="913" t="s">
        <v>1622</v>
      </c>
      <c r="H3266" t="s">
        <v>6532</v>
      </c>
    </row>
    <row r="3267" spans="2:8">
      <c r="B3267" s="871">
        <v>46281</v>
      </c>
      <c r="C3267" t="s">
        <v>2485</v>
      </c>
      <c r="D3267" t="s">
        <v>1375</v>
      </c>
      <c r="E3267" t="s">
        <v>1377</v>
      </c>
      <c r="F3267" s="853" t="s">
        <v>527</v>
      </c>
      <c r="G3267" s="913" t="s">
        <v>1622</v>
      </c>
      <c r="H3267" t="s">
        <v>6533</v>
      </c>
    </row>
    <row r="3268" spans="2:8">
      <c r="B3268" s="871">
        <v>46281</v>
      </c>
      <c r="C3268" t="s">
        <v>2485</v>
      </c>
      <c r="D3268" t="s">
        <v>1375</v>
      </c>
      <c r="E3268" t="s">
        <v>1377</v>
      </c>
      <c r="F3268" s="853" t="s">
        <v>528</v>
      </c>
      <c r="G3268" s="913" t="s">
        <v>1622</v>
      </c>
      <c r="H3268" t="s">
        <v>6534</v>
      </c>
    </row>
    <row r="3269" spans="2:8">
      <c r="B3269" s="871">
        <v>46281</v>
      </c>
      <c r="C3269" t="s">
        <v>2485</v>
      </c>
      <c r="D3269" t="s">
        <v>1376</v>
      </c>
      <c r="E3269" t="s">
        <v>1379</v>
      </c>
      <c r="F3269" s="853" t="s">
        <v>526</v>
      </c>
      <c r="H3269" t="s">
        <v>6535</v>
      </c>
    </row>
    <row r="3270" spans="2:8">
      <c r="B3270" s="871">
        <v>46281</v>
      </c>
      <c r="C3270" t="s">
        <v>2485</v>
      </c>
      <c r="D3270" t="s">
        <v>1376</v>
      </c>
      <c r="E3270" t="s">
        <v>1379</v>
      </c>
      <c r="F3270" s="853" t="s">
        <v>527</v>
      </c>
      <c r="H3270" t="s">
        <v>6536</v>
      </c>
    </row>
    <row r="3271" spans="2:8">
      <c r="B3271" s="871">
        <v>46281</v>
      </c>
      <c r="C3271" t="s">
        <v>2485</v>
      </c>
      <c r="D3271" t="s">
        <v>1376</v>
      </c>
      <c r="E3271" t="s">
        <v>1379</v>
      </c>
      <c r="F3271" s="853" t="s">
        <v>528</v>
      </c>
      <c r="H3271" t="s">
        <v>6537</v>
      </c>
    </row>
    <row r="3272" spans="2:8">
      <c r="B3272" s="871">
        <v>46281</v>
      </c>
      <c r="C3272" t="s">
        <v>2485</v>
      </c>
      <c r="D3272" t="s">
        <v>1375</v>
      </c>
      <c r="E3272" t="s">
        <v>1380</v>
      </c>
      <c r="F3272" s="853" t="s">
        <v>526</v>
      </c>
      <c r="G3272" s="913" t="s">
        <v>1739</v>
      </c>
      <c r="H3272" t="s">
        <v>6538</v>
      </c>
    </row>
    <row r="3273" spans="2:8">
      <c r="B3273" s="871">
        <v>46281</v>
      </c>
      <c r="C3273" t="s">
        <v>2485</v>
      </c>
      <c r="D3273" t="s">
        <v>1375</v>
      </c>
      <c r="E3273" t="s">
        <v>1380</v>
      </c>
      <c r="F3273" s="853" t="s">
        <v>527</v>
      </c>
      <c r="G3273" s="913" t="s">
        <v>1624</v>
      </c>
      <c r="H3273" t="s">
        <v>6539</v>
      </c>
    </row>
    <row r="3274" spans="2:8">
      <c r="B3274" s="871">
        <v>46281</v>
      </c>
      <c r="C3274" t="s">
        <v>2485</v>
      </c>
      <c r="D3274" t="s">
        <v>1375</v>
      </c>
      <c r="E3274" t="s">
        <v>1380</v>
      </c>
      <c r="F3274" s="853" t="s">
        <v>528</v>
      </c>
      <c r="G3274" s="913" t="s">
        <v>1739</v>
      </c>
      <c r="H3274" t="s">
        <v>6540</v>
      </c>
    </row>
    <row r="3275" spans="2:8">
      <c r="B3275" s="871">
        <v>46281</v>
      </c>
      <c r="C3275" t="s">
        <v>2485</v>
      </c>
      <c r="D3275" t="s">
        <v>1376</v>
      </c>
      <c r="E3275" t="s">
        <v>1383</v>
      </c>
      <c r="F3275" s="853" t="s">
        <v>526</v>
      </c>
      <c r="G3275" s="913">
        <v>0</v>
      </c>
      <c r="H3275" t="s">
        <v>6541</v>
      </c>
    </row>
    <row r="3276" spans="2:8">
      <c r="B3276" s="871">
        <v>46281</v>
      </c>
      <c r="C3276" t="s">
        <v>2485</v>
      </c>
      <c r="D3276" t="s">
        <v>1376</v>
      </c>
      <c r="E3276" t="s">
        <v>1383</v>
      </c>
      <c r="F3276" s="853" t="s">
        <v>527</v>
      </c>
      <c r="G3276" s="913">
        <v>0</v>
      </c>
      <c r="H3276" t="s">
        <v>6542</v>
      </c>
    </row>
    <row r="3277" spans="2:8">
      <c r="B3277" s="871">
        <v>46281</v>
      </c>
      <c r="C3277" t="s">
        <v>2485</v>
      </c>
      <c r="D3277" t="s">
        <v>1376</v>
      </c>
      <c r="E3277" t="s">
        <v>1383</v>
      </c>
      <c r="F3277" s="853" t="s">
        <v>528</v>
      </c>
      <c r="G3277" s="913">
        <v>0</v>
      </c>
      <c r="H3277" t="s">
        <v>6543</v>
      </c>
    </row>
    <row r="3278" spans="2:8">
      <c r="B3278" s="871">
        <v>46281</v>
      </c>
      <c r="C3278" t="s">
        <v>2485</v>
      </c>
      <c r="D3278" t="s">
        <v>1375</v>
      </c>
      <c r="E3278" t="s">
        <v>54</v>
      </c>
      <c r="F3278" s="853" t="s">
        <v>526</v>
      </c>
      <c r="H3278" t="s">
        <v>6544</v>
      </c>
    </row>
    <row r="3279" spans="2:8">
      <c r="B3279" s="871">
        <v>46281</v>
      </c>
      <c r="C3279" t="s">
        <v>2485</v>
      </c>
      <c r="D3279" t="s">
        <v>1375</v>
      </c>
      <c r="E3279" t="s">
        <v>54</v>
      </c>
      <c r="F3279" s="853" t="s">
        <v>527</v>
      </c>
      <c r="H3279" t="s">
        <v>6545</v>
      </c>
    </row>
    <row r="3280" spans="2:8">
      <c r="B3280" s="871">
        <v>46281</v>
      </c>
      <c r="C3280" t="s">
        <v>2485</v>
      </c>
      <c r="D3280" t="s">
        <v>1375</v>
      </c>
      <c r="E3280" t="s">
        <v>54</v>
      </c>
      <c r="F3280" s="853" t="s">
        <v>528</v>
      </c>
      <c r="H3280" t="s">
        <v>6546</v>
      </c>
    </row>
    <row r="3281" spans="2:8">
      <c r="B3281" s="871">
        <v>46281</v>
      </c>
      <c r="C3281" t="s">
        <v>2485</v>
      </c>
      <c r="D3281" t="s">
        <v>1376</v>
      </c>
      <c r="E3281" t="s">
        <v>1384</v>
      </c>
      <c r="F3281" s="853" t="s">
        <v>526</v>
      </c>
      <c r="G3281" s="913">
        <v>0.4</v>
      </c>
      <c r="H3281" t="s">
        <v>6547</v>
      </c>
    </row>
    <row r="3282" spans="2:8">
      <c r="B3282" s="871">
        <v>46281</v>
      </c>
      <c r="C3282" t="s">
        <v>2485</v>
      </c>
      <c r="D3282" t="s">
        <v>1376</v>
      </c>
      <c r="E3282" t="s">
        <v>1384</v>
      </c>
      <c r="F3282" s="853" t="s">
        <v>527</v>
      </c>
      <c r="G3282" s="913">
        <v>0.4</v>
      </c>
      <c r="H3282" t="s">
        <v>6548</v>
      </c>
    </row>
    <row r="3283" spans="2:8">
      <c r="B3283" s="871">
        <v>46281</v>
      </c>
      <c r="C3283" t="s">
        <v>2485</v>
      </c>
      <c r="D3283" t="s">
        <v>1376</v>
      </c>
      <c r="E3283" t="s">
        <v>1384</v>
      </c>
      <c r="F3283" s="853" t="s">
        <v>528</v>
      </c>
      <c r="G3283" s="913">
        <v>0.3</v>
      </c>
      <c r="H3283" t="s">
        <v>6549</v>
      </c>
    </row>
    <row r="3284" spans="2:8">
      <c r="B3284" s="871">
        <v>46281</v>
      </c>
      <c r="C3284" t="s">
        <v>2485</v>
      </c>
      <c r="D3284" t="s">
        <v>1375</v>
      </c>
      <c r="E3284" t="s">
        <v>1385</v>
      </c>
      <c r="F3284" s="853" t="s">
        <v>526</v>
      </c>
      <c r="G3284" s="913">
        <v>1104</v>
      </c>
      <c r="H3284" t="s">
        <v>6550</v>
      </c>
    </row>
    <row r="3285" spans="2:8">
      <c r="B3285" s="871">
        <v>46281</v>
      </c>
      <c r="C3285" t="s">
        <v>2485</v>
      </c>
      <c r="D3285" t="s">
        <v>1375</v>
      </c>
      <c r="E3285" t="s">
        <v>1385</v>
      </c>
      <c r="F3285" s="853" t="s">
        <v>527</v>
      </c>
      <c r="G3285" s="913">
        <v>2400</v>
      </c>
      <c r="H3285" t="s">
        <v>6551</v>
      </c>
    </row>
    <row r="3286" spans="2:8">
      <c r="B3286" s="871">
        <v>46281</v>
      </c>
      <c r="C3286" t="s">
        <v>2485</v>
      </c>
      <c r="D3286" t="s">
        <v>1375</v>
      </c>
      <c r="E3286" t="s">
        <v>1385</v>
      </c>
      <c r="F3286" s="853" t="s">
        <v>528</v>
      </c>
      <c r="G3286" s="913">
        <v>4381</v>
      </c>
      <c r="H3286" t="s">
        <v>6552</v>
      </c>
    </row>
    <row r="3287" spans="2:8">
      <c r="B3287" s="871">
        <v>46281</v>
      </c>
      <c r="C3287" t="s">
        <v>2485</v>
      </c>
      <c r="D3287" t="s">
        <v>1376</v>
      </c>
      <c r="E3287" t="s">
        <v>1386</v>
      </c>
      <c r="F3287" s="853" t="s">
        <v>526</v>
      </c>
      <c r="G3287" s="913">
        <v>0.4</v>
      </c>
      <c r="H3287" t="s">
        <v>6553</v>
      </c>
    </row>
    <row r="3288" spans="2:8">
      <c r="B3288" s="871">
        <v>46281</v>
      </c>
      <c r="C3288" t="s">
        <v>2485</v>
      </c>
      <c r="D3288" t="s">
        <v>1376</v>
      </c>
      <c r="E3288" t="s">
        <v>1386</v>
      </c>
      <c r="F3288" s="853" t="s">
        <v>527</v>
      </c>
      <c r="G3288" s="913">
        <v>0.3</v>
      </c>
      <c r="H3288" t="s">
        <v>6554</v>
      </c>
    </row>
    <row r="3289" spans="2:8">
      <c r="B3289" s="871">
        <v>46281</v>
      </c>
      <c r="C3289" t="s">
        <v>2485</v>
      </c>
      <c r="D3289" t="s">
        <v>1376</v>
      </c>
      <c r="E3289" t="s">
        <v>1386</v>
      </c>
      <c r="F3289" s="853" t="s">
        <v>528</v>
      </c>
      <c r="G3289" s="913">
        <v>0.38</v>
      </c>
      <c r="H3289" t="s">
        <v>6555</v>
      </c>
    </row>
    <row r="3290" spans="2:8">
      <c r="B3290" s="871">
        <v>46281</v>
      </c>
      <c r="C3290" t="s">
        <v>2485</v>
      </c>
      <c r="D3290" t="s">
        <v>1376</v>
      </c>
      <c r="E3290" t="s">
        <v>1387</v>
      </c>
      <c r="F3290" s="853" t="s">
        <v>526</v>
      </c>
      <c r="G3290" s="913">
        <v>8.1999999999999993</v>
      </c>
      <c r="H3290" t="s">
        <v>6556</v>
      </c>
    </row>
    <row r="3291" spans="2:8">
      <c r="B3291" s="871">
        <v>46281</v>
      </c>
      <c r="C3291" t="s">
        <v>2485</v>
      </c>
      <c r="D3291" t="s">
        <v>1376</v>
      </c>
      <c r="E3291" t="s">
        <v>1387</v>
      </c>
      <c r="F3291" s="853" t="s">
        <v>527</v>
      </c>
      <c r="G3291" s="913">
        <v>8.1</v>
      </c>
      <c r="H3291" t="s">
        <v>6557</v>
      </c>
    </row>
    <row r="3292" spans="2:8">
      <c r="B3292" s="871">
        <v>46281</v>
      </c>
      <c r="C3292" t="s">
        <v>2485</v>
      </c>
      <c r="D3292" t="s">
        <v>1376</v>
      </c>
      <c r="E3292" t="s">
        <v>1387</v>
      </c>
      <c r="F3292" s="853" t="s">
        <v>528</v>
      </c>
      <c r="G3292" s="913">
        <v>8.1</v>
      </c>
      <c r="H3292" t="s">
        <v>6558</v>
      </c>
    </row>
    <row r="3293" spans="2:8">
      <c r="B3293" s="871">
        <v>46281</v>
      </c>
      <c r="C3293" t="s">
        <v>2485</v>
      </c>
      <c r="D3293" t="s">
        <v>1375</v>
      </c>
      <c r="E3293" t="s">
        <v>1388</v>
      </c>
      <c r="F3293" s="853" t="s">
        <v>526</v>
      </c>
      <c r="H3293" t="s">
        <v>6559</v>
      </c>
    </row>
    <row r="3294" spans="2:8">
      <c r="B3294" s="871">
        <v>46281</v>
      </c>
      <c r="C3294" t="s">
        <v>2485</v>
      </c>
      <c r="D3294" t="s">
        <v>1375</v>
      </c>
      <c r="E3294" t="s">
        <v>1388</v>
      </c>
      <c r="F3294" s="853" t="s">
        <v>527</v>
      </c>
      <c r="H3294" t="s">
        <v>6560</v>
      </c>
    </row>
    <row r="3295" spans="2:8">
      <c r="B3295" s="871">
        <v>46281</v>
      </c>
      <c r="C3295" t="s">
        <v>2485</v>
      </c>
      <c r="D3295" t="s">
        <v>1375</v>
      </c>
      <c r="E3295" t="s">
        <v>1388</v>
      </c>
      <c r="F3295" s="853" t="s">
        <v>528</v>
      </c>
      <c r="H3295" t="s">
        <v>6561</v>
      </c>
    </row>
    <row r="3296" spans="2:8">
      <c r="B3296" s="871">
        <v>46281</v>
      </c>
      <c r="C3296" t="s">
        <v>2485</v>
      </c>
      <c r="D3296" t="s">
        <v>1376</v>
      </c>
      <c r="E3296" t="s">
        <v>1389</v>
      </c>
      <c r="F3296" s="853" t="s">
        <v>526</v>
      </c>
      <c r="G3296" s="913">
        <v>64.3</v>
      </c>
      <c r="H3296" t="s">
        <v>6562</v>
      </c>
    </row>
    <row r="3297" spans="2:8">
      <c r="B3297" s="871">
        <v>46281</v>
      </c>
      <c r="C3297" t="s">
        <v>2485</v>
      </c>
      <c r="D3297" t="s">
        <v>1376</v>
      </c>
      <c r="E3297" t="s">
        <v>1389</v>
      </c>
      <c r="F3297" s="853" t="s">
        <v>527</v>
      </c>
      <c r="G3297" s="913">
        <v>64.2</v>
      </c>
      <c r="H3297" t="s">
        <v>6563</v>
      </c>
    </row>
    <row r="3298" spans="2:8">
      <c r="B3298" s="871">
        <v>46281</v>
      </c>
      <c r="C3298" t="s">
        <v>2485</v>
      </c>
      <c r="D3298" t="s">
        <v>1376</v>
      </c>
      <c r="E3298" t="s">
        <v>1389</v>
      </c>
      <c r="F3298" s="853" t="s">
        <v>528</v>
      </c>
      <c r="G3298" s="913">
        <v>64.2</v>
      </c>
      <c r="H3298" t="s">
        <v>6564</v>
      </c>
    </row>
    <row r="3299" spans="2:8">
      <c r="B3299" s="871">
        <v>46281</v>
      </c>
      <c r="C3299" t="s">
        <v>2485</v>
      </c>
      <c r="D3299" t="s">
        <v>1375</v>
      </c>
      <c r="E3299" t="s">
        <v>3266</v>
      </c>
      <c r="F3299" s="853" t="s">
        <v>526</v>
      </c>
      <c r="G3299" s="913">
        <v>4</v>
      </c>
      <c r="H3299" t="s">
        <v>6565</v>
      </c>
    </row>
    <row r="3300" spans="2:8">
      <c r="B3300" s="871">
        <v>46281</v>
      </c>
      <c r="C3300" t="s">
        <v>2485</v>
      </c>
      <c r="D3300" t="s">
        <v>1375</v>
      </c>
      <c r="E3300" t="s">
        <v>3266</v>
      </c>
      <c r="F3300" s="853" t="s">
        <v>527</v>
      </c>
      <c r="G3300" s="913">
        <v>3</v>
      </c>
      <c r="H3300" t="s">
        <v>6566</v>
      </c>
    </row>
    <row r="3301" spans="2:8">
      <c r="B3301" s="871">
        <v>46281</v>
      </c>
      <c r="C3301" t="s">
        <v>2485</v>
      </c>
      <c r="D3301" t="s">
        <v>1375</v>
      </c>
      <c r="E3301" t="s">
        <v>3266</v>
      </c>
      <c r="F3301" s="853" t="s">
        <v>528</v>
      </c>
      <c r="G3301" s="913">
        <v>4</v>
      </c>
      <c r="H3301" t="s">
        <v>6567</v>
      </c>
    </row>
    <row r="3302" spans="2:8">
      <c r="B3302" s="871">
        <v>46281</v>
      </c>
      <c r="C3302" t="s">
        <v>2485</v>
      </c>
      <c r="D3302" t="s">
        <v>1376</v>
      </c>
      <c r="E3302" t="s">
        <v>1390</v>
      </c>
      <c r="F3302" s="853" t="s">
        <v>526</v>
      </c>
      <c r="G3302" s="913">
        <v>1.9599999999999999E-3</v>
      </c>
      <c r="H3302" t="s">
        <v>6568</v>
      </c>
    </row>
    <row r="3303" spans="2:8">
      <c r="B3303" s="871">
        <v>46281</v>
      </c>
      <c r="C3303" t="s">
        <v>2485</v>
      </c>
      <c r="D3303" t="s">
        <v>1376</v>
      </c>
      <c r="E3303" t="s">
        <v>1390</v>
      </c>
      <c r="F3303" s="853" t="s">
        <v>527</v>
      </c>
      <c r="G3303" s="913">
        <v>1.8799999999999999E-3</v>
      </c>
      <c r="H3303" t="s">
        <v>6569</v>
      </c>
    </row>
    <row r="3304" spans="2:8">
      <c r="B3304" s="871">
        <v>46281</v>
      </c>
      <c r="C3304" t="s">
        <v>2485</v>
      </c>
      <c r="D3304" t="s">
        <v>1376</v>
      </c>
      <c r="E3304" t="s">
        <v>1390</v>
      </c>
      <c r="F3304" s="853" t="s">
        <v>528</v>
      </c>
      <c r="G3304" s="913">
        <v>1.8799999999999999E-3</v>
      </c>
      <c r="H3304" t="s">
        <v>6570</v>
      </c>
    </row>
    <row r="3305" spans="2:8">
      <c r="B3305" s="871">
        <v>46281</v>
      </c>
      <c r="C3305" t="s">
        <v>2485</v>
      </c>
      <c r="D3305" t="s">
        <v>1375</v>
      </c>
      <c r="E3305" t="s">
        <v>3273</v>
      </c>
      <c r="F3305" s="853" t="s">
        <v>526</v>
      </c>
      <c r="G3305" s="913">
        <v>5</v>
      </c>
      <c r="H3305" t="s">
        <v>6571</v>
      </c>
    </row>
    <row r="3306" spans="2:8">
      <c r="B3306" s="871">
        <v>46281</v>
      </c>
      <c r="C3306" t="s">
        <v>2485</v>
      </c>
      <c r="D3306" t="s">
        <v>1375</v>
      </c>
      <c r="E3306" t="s">
        <v>3273</v>
      </c>
      <c r="F3306" s="853" t="s">
        <v>527</v>
      </c>
      <c r="G3306" s="913">
        <v>3</v>
      </c>
      <c r="H3306" t="s">
        <v>6572</v>
      </c>
    </row>
    <row r="3307" spans="2:8">
      <c r="B3307" s="871">
        <v>46281</v>
      </c>
      <c r="C3307" t="s">
        <v>2485</v>
      </c>
      <c r="D3307" t="s">
        <v>1375</v>
      </c>
      <c r="E3307" t="s">
        <v>3273</v>
      </c>
      <c r="F3307" s="853" t="s">
        <v>528</v>
      </c>
      <c r="G3307" s="913">
        <v>4</v>
      </c>
      <c r="H3307" t="s">
        <v>6573</v>
      </c>
    </row>
    <row r="3308" spans="2:8">
      <c r="B3308" s="871">
        <v>46281</v>
      </c>
      <c r="C3308" t="s">
        <v>2485</v>
      </c>
      <c r="D3308" t="s">
        <v>1376</v>
      </c>
      <c r="E3308" t="s">
        <v>1391</v>
      </c>
      <c r="F3308" s="853" t="s">
        <v>526</v>
      </c>
      <c r="H3308" t="s">
        <v>6574</v>
      </c>
    </row>
    <row r="3309" spans="2:8">
      <c r="B3309" s="871">
        <v>46281</v>
      </c>
      <c r="C3309" t="s">
        <v>2485</v>
      </c>
      <c r="D3309" t="s">
        <v>1376</v>
      </c>
      <c r="E3309" t="s">
        <v>1391</v>
      </c>
      <c r="F3309" s="853" t="s">
        <v>527</v>
      </c>
      <c r="H3309" t="s">
        <v>6575</v>
      </c>
    </row>
    <row r="3310" spans="2:8">
      <c r="B3310" s="871">
        <v>46281</v>
      </c>
      <c r="C3310" t="s">
        <v>2485</v>
      </c>
      <c r="D3310" t="s">
        <v>1376</v>
      </c>
      <c r="E3310" t="s">
        <v>1391</v>
      </c>
      <c r="F3310" s="853" t="s">
        <v>528</v>
      </c>
      <c r="G3310" s="913">
        <v>7128</v>
      </c>
      <c r="H3310" t="s">
        <v>6576</v>
      </c>
    </row>
    <row r="3311" spans="2:8">
      <c r="B3311" s="871">
        <v>46281</v>
      </c>
      <c r="C3311" t="s">
        <v>2485</v>
      </c>
      <c r="D3311" t="s">
        <v>1375</v>
      </c>
      <c r="E3311" t="s">
        <v>3280</v>
      </c>
      <c r="F3311" s="853" t="s">
        <v>526</v>
      </c>
      <c r="G3311" s="913">
        <v>1</v>
      </c>
      <c r="H3311" t="s">
        <v>6577</v>
      </c>
    </row>
    <row r="3312" spans="2:8">
      <c r="B3312" s="871">
        <v>46281</v>
      </c>
      <c r="C3312" t="s">
        <v>2485</v>
      </c>
      <c r="D3312" t="s">
        <v>1375</v>
      </c>
      <c r="E3312" t="s">
        <v>3280</v>
      </c>
      <c r="F3312" s="853" t="s">
        <v>527</v>
      </c>
      <c r="G3312" s="913">
        <v>2</v>
      </c>
      <c r="H3312" t="s">
        <v>6578</v>
      </c>
    </row>
    <row r="3313" spans="2:8">
      <c r="B3313" s="871">
        <v>46281</v>
      </c>
      <c r="C3313" t="s">
        <v>2485</v>
      </c>
      <c r="D3313" t="s">
        <v>1375</v>
      </c>
      <c r="E3313" t="s">
        <v>3280</v>
      </c>
      <c r="F3313" s="853" t="s">
        <v>528</v>
      </c>
      <c r="G3313" s="913">
        <v>1</v>
      </c>
      <c r="H3313" t="s">
        <v>6579</v>
      </c>
    </row>
    <row r="3314" spans="2:8">
      <c r="B3314" s="871">
        <v>46281</v>
      </c>
      <c r="C3314" t="s">
        <v>2485</v>
      </c>
      <c r="D3314" t="s">
        <v>1376</v>
      </c>
      <c r="E3314" t="s">
        <v>1392</v>
      </c>
      <c r="F3314" s="853" t="s">
        <v>526</v>
      </c>
      <c r="G3314" s="913">
        <v>7128</v>
      </c>
      <c r="H3314" t="s">
        <v>6580</v>
      </c>
    </row>
    <row r="3315" spans="2:8">
      <c r="B3315" s="871">
        <v>46281</v>
      </c>
      <c r="C3315" t="s">
        <v>2485</v>
      </c>
      <c r="D3315" t="s">
        <v>1376</v>
      </c>
      <c r="E3315" t="s">
        <v>1392</v>
      </c>
      <c r="F3315" s="853" t="s">
        <v>527</v>
      </c>
      <c r="H3315" t="s">
        <v>6581</v>
      </c>
    </row>
    <row r="3316" spans="2:8">
      <c r="B3316" s="871">
        <v>46281</v>
      </c>
      <c r="C3316" t="s">
        <v>2485</v>
      </c>
      <c r="D3316" t="s">
        <v>1376</v>
      </c>
      <c r="E3316" t="s">
        <v>1392</v>
      </c>
      <c r="F3316" s="853" t="s">
        <v>528</v>
      </c>
      <c r="H3316" t="s">
        <v>6582</v>
      </c>
    </row>
    <row r="3317" spans="2:8">
      <c r="B3317" s="871">
        <v>46281</v>
      </c>
      <c r="C3317" t="s">
        <v>2485</v>
      </c>
      <c r="D3317" t="s">
        <v>1375</v>
      </c>
      <c r="E3317" t="s">
        <v>3287</v>
      </c>
      <c r="F3317" s="853" t="s">
        <v>526</v>
      </c>
      <c r="G3317" s="913">
        <v>1</v>
      </c>
      <c r="H3317" t="s">
        <v>6583</v>
      </c>
    </row>
    <row r="3318" spans="2:8">
      <c r="B3318" s="871">
        <v>46281</v>
      </c>
      <c r="C3318" t="s">
        <v>2485</v>
      </c>
      <c r="D3318" t="s">
        <v>1375</v>
      </c>
      <c r="E3318" t="s">
        <v>3287</v>
      </c>
      <c r="F3318" s="853" t="s">
        <v>527</v>
      </c>
      <c r="G3318" s="913">
        <v>1</v>
      </c>
      <c r="H3318" t="s">
        <v>6584</v>
      </c>
    </row>
    <row r="3319" spans="2:8">
      <c r="B3319" s="871">
        <v>46281</v>
      </c>
      <c r="C3319" t="s">
        <v>2485</v>
      </c>
      <c r="D3319" t="s">
        <v>1375</v>
      </c>
      <c r="E3319" t="s">
        <v>3287</v>
      </c>
      <c r="F3319" s="853" t="s">
        <v>528</v>
      </c>
      <c r="G3319" s="913">
        <v>1</v>
      </c>
      <c r="H3319" t="s">
        <v>6585</v>
      </c>
    </row>
    <row r="3320" spans="2:8">
      <c r="B3320" s="871">
        <v>46281</v>
      </c>
      <c r="C3320" t="s">
        <v>2485</v>
      </c>
      <c r="D3320" t="s">
        <v>1376</v>
      </c>
      <c r="E3320" t="s">
        <v>453</v>
      </c>
      <c r="F3320" s="853" t="s">
        <v>526</v>
      </c>
      <c r="H3320" t="s">
        <v>6586</v>
      </c>
    </row>
    <row r="3321" spans="2:8">
      <c r="B3321" s="871">
        <v>46281</v>
      </c>
      <c r="C3321" t="s">
        <v>2485</v>
      </c>
      <c r="D3321" t="s">
        <v>1376</v>
      </c>
      <c r="E3321" t="s">
        <v>453</v>
      </c>
      <c r="F3321" s="853" t="s">
        <v>527</v>
      </c>
      <c r="H3321" t="s">
        <v>6587</v>
      </c>
    </row>
    <row r="3322" spans="2:8">
      <c r="B3322" s="871">
        <v>46281</v>
      </c>
      <c r="C3322" t="s">
        <v>2485</v>
      </c>
      <c r="D3322" t="s">
        <v>1376</v>
      </c>
      <c r="E3322" t="s">
        <v>453</v>
      </c>
      <c r="F3322" s="853" t="s">
        <v>528</v>
      </c>
      <c r="H3322" t="s">
        <v>6588</v>
      </c>
    </row>
    <row r="3323" spans="2:8">
      <c r="B3323" s="871">
        <v>46281</v>
      </c>
      <c r="C3323" t="s">
        <v>2485</v>
      </c>
      <c r="D3323" t="s">
        <v>1375</v>
      </c>
      <c r="E3323" t="s">
        <v>3291</v>
      </c>
      <c r="F3323" s="853" t="s">
        <v>526</v>
      </c>
      <c r="G3323" s="913">
        <v>5</v>
      </c>
      <c r="H3323" t="s">
        <v>6589</v>
      </c>
    </row>
    <row r="3324" spans="2:8">
      <c r="B3324" s="871">
        <v>46281</v>
      </c>
      <c r="C3324" t="s">
        <v>2485</v>
      </c>
      <c r="D3324" t="s">
        <v>1375</v>
      </c>
      <c r="E3324" t="s">
        <v>3291</v>
      </c>
      <c r="F3324" s="853" t="s">
        <v>527</v>
      </c>
      <c r="G3324" s="913">
        <v>4</v>
      </c>
      <c r="H3324" t="s">
        <v>6590</v>
      </c>
    </row>
    <row r="3325" spans="2:8">
      <c r="B3325" s="871">
        <v>46281</v>
      </c>
      <c r="C3325" t="s">
        <v>2485</v>
      </c>
      <c r="D3325" t="s">
        <v>1375</v>
      </c>
      <c r="E3325" t="s">
        <v>3291</v>
      </c>
      <c r="F3325" s="853" t="s">
        <v>528</v>
      </c>
      <c r="G3325" s="913">
        <v>4</v>
      </c>
      <c r="H3325" t="s">
        <v>6591</v>
      </c>
    </row>
    <row r="3326" spans="2:8">
      <c r="B3326" s="871">
        <v>46281</v>
      </c>
      <c r="C3326" t="s">
        <v>2485</v>
      </c>
      <c r="D3326" t="s">
        <v>1376</v>
      </c>
      <c r="E3326" t="s">
        <v>1394</v>
      </c>
      <c r="F3326" s="853" t="s">
        <v>526</v>
      </c>
      <c r="G3326" s="913" t="s">
        <v>1971</v>
      </c>
      <c r="H3326" t="s">
        <v>6592</v>
      </c>
    </row>
    <row r="3327" spans="2:8">
      <c r="B3327" s="871">
        <v>46281</v>
      </c>
      <c r="C3327" t="s">
        <v>2485</v>
      </c>
      <c r="D3327" t="s">
        <v>1376</v>
      </c>
      <c r="E3327" t="s">
        <v>1394</v>
      </c>
      <c r="F3327" s="853" t="s">
        <v>527</v>
      </c>
      <c r="G3327" s="913" t="s">
        <v>1742</v>
      </c>
      <c r="H3327" t="s">
        <v>6593</v>
      </c>
    </row>
    <row r="3328" spans="2:8">
      <c r="B3328" s="871">
        <v>46281</v>
      </c>
      <c r="C3328" t="s">
        <v>2485</v>
      </c>
      <c r="D3328" t="s">
        <v>1376</v>
      </c>
      <c r="E3328" t="s">
        <v>1394</v>
      </c>
      <c r="F3328" s="853" t="s">
        <v>528</v>
      </c>
      <c r="G3328" s="913" t="s">
        <v>1972</v>
      </c>
      <c r="H3328" t="s">
        <v>6594</v>
      </c>
    </row>
    <row r="3329" spans="2:8">
      <c r="B3329" s="871">
        <v>46281</v>
      </c>
      <c r="C3329" t="s">
        <v>2485</v>
      </c>
      <c r="D3329" t="s">
        <v>1375</v>
      </c>
      <c r="E3329" t="s">
        <v>3298</v>
      </c>
      <c r="F3329" s="853" t="s">
        <v>526</v>
      </c>
      <c r="G3329" s="913">
        <v>4</v>
      </c>
      <c r="H3329" t="s">
        <v>6595</v>
      </c>
    </row>
    <row r="3330" spans="2:8">
      <c r="B3330" s="871">
        <v>46281</v>
      </c>
      <c r="C3330" t="s">
        <v>2485</v>
      </c>
      <c r="D3330" t="s">
        <v>1375</v>
      </c>
      <c r="E3330" t="s">
        <v>3298</v>
      </c>
      <c r="F3330" s="853" t="s">
        <v>527</v>
      </c>
      <c r="G3330" s="913">
        <v>3</v>
      </c>
      <c r="H3330" t="s">
        <v>6596</v>
      </c>
    </row>
    <row r="3331" spans="2:8">
      <c r="B3331" s="871">
        <v>46281</v>
      </c>
      <c r="C3331" t="s">
        <v>2485</v>
      </c>
      <c r="D3331" t="s">
        <v>1375</v>
      </c>
      <c r="E3331" t="s">
        <v>3298</v>
      </c>
      <c r="F3331" s="853" t="s">
        <v>528</v>
      </c>
      <c r="G3331" s="913">
        <v>3</v>
      </c>
      <c r="H3331" t="s">
        <v>6597</v>
      </c>
    </row>
    <row r="3332" spans="2:8">
      <c r="B3332" s="871">
        <v>46281</v>
      </c>
      <c r="C3332" t="s">
        <v>2485</v>
      </c>
      <c r="D3332" t="s">
        <v>1376</v>
      </c>
      <c r="E3332" t="s">
        <v>1398</v>
      </c>
      <c r="F3332" s="853" t="s">
        <v>526</v>
      </c>
      <c r="G3332" s="913">
        <v>11</v>
      </c>
      <c r="H3332" t="s">
        <v>6598</v>
      </c>
    </row>
    <row r="3333" spans="2:8">
      <c r="B3333" s="871">
        <v>46281</v>
      </c>
      <c r="C3333" t="s">
        <v>2485</v>
      </c>
      <c r="D3333" t="s">
        <v>1376</v>
      </c>
      <c r="E3333" t="s">
        <v>1398</v>
      </c>
      <c r="F3333" s="853" t="s">
        <v>527</v>
      </c>
      <c r="G3333" s="913">
        <v>11</v>
      </c>
      <c r="H3333" t="s">
        <v>6599</v>
      </c>
    </row>
    <row r="3334" spans="2:8">
      <c r="B3334" s="871">
        <v>46281</v>
      </c>
      <c r="C3334" t="s">
        <v>2485</v>
      </c>
      <c r="D3334" t="s">
        <v>1376</v>
      </c>
      <c r="E3334" t="s">
        <v>1398</v>
      </c>
      <c r="F3334" s="853" t="s">
        <v>528</v>
      </c>
      <c r="G3334" s="913">
        <v>12</v>
      </c>
      <c r="H3334" t="s">
        <v>6600</v>
      </c>
    </row>
    <row r="3335" spans="2:8">
      <c r="B3335" s="871">
        <v>46281</v>
      </c>
      <c r="C3335" t="s">
        <v>2485</v>
      </c>
      <c r="D3335" t="s">
        <v>1375</v>
      </c>
      <c r="E3335" t="s">
        <v>3305</v>
      </c>
      <c r="F3335" s="853" t="s">
        <v>526</v>
      </c>
      <c r="G3335" s="913">
        <v>4</v>
      </c>
      <c r="H3335" t="s">
        <v>6601</v>
      </c>
    </row>
    <row r="3336" spans="2:8">
      <c r="B3336" s="871">
        <v>46281</v>
      </c>
      <c r="C3336" t="s">
        <v>2485</v>
      </c>
      <c r="D3336" t="s">
        <v>1375</v>
      </c>
      <c r="E3336" t="s">
        <v>3305</v>
      </c>
      <c r="F3336" s="853" t="s">
        <v>527</v>
      </c>
      <c r="G3336" s="913">
        <v>3</v>
      </c>
      <c r="H3336" t="s">
        <v>6602</v>
      </c>
    </row>
    <row r="3337" spans="2:8">
      <c r="B3337" s="871">
        <v>46281</v>
      </c>
      <c r="C3337" t="s">
        <v>2485</v>
      </c>
      <c r="D3337" t="s">
        <v>1375</v>
      </c>
      <c r="E3337" t="s">
        <v>3305</v>
      </c>
      <c r="F3337" s="853" t="s">
        <v>528</v>
      </c>
      <c r="G3337" s="913">
        <v>2</v>
      </c>
      <c r="H3337" t="s">
        <v>6603</v>
      </c>
    </row>
    <row r="3338" spans="2:8">
      <c r="B3338" s="871">
        <v>46281</v>
      </c>
      <c r="C3338" t="s">
        <v>2485</v>
      </c>
      <c r="D3338" t="s">
        <v>1376</v>
      </c>
      <c r="E3338" t="s">
        <v>1399</v>
      </c>
      <c r="F3338" s="853" t="s">
        <v>526</v>
      </c>
      <c r="G3338" s="913">
        <v>13</v>
      </c>
      <c r="H3338" t="s">
        <v>6604</v>
      </c>
    </row>
    <row r="3339" spans="2:8">
      <c r="B3339" s="871">
        <v>46281</v>
      </c>
      <c r="C3339" t="s">
        <v>2485</v>
      </c>
      <c r="D3339" t="s">
        <v>1376</v>
      </c>
      <c r="E3339" t="s">
        <v>1399</v>
      </c>
      <c r="F3339" s="853" t="s">
        <v>527</v>
      </c>
      <c r="G3339" s="913">
        <v>12</v>
      </c>
      <c r="H3339" t="s">
        <v>6605</v>
      </c>
    </row>
    <row r="3340" spans="2:8">
      <c r="B3340" s="871">
        <v>46281</v>
      </c>
      <c r="C3340" t="s">
        <v>2485</v>
      </c>
      <c r="D3340" t="s">
        <v>1376</v>
      </c>
      <c r="E3340" t="s">
        <v>1399</v>
      </c>
      <c r="F3340" s="853" t="s">
        <v>528</v>
      </c>
      <c r="G3340" s="913">
        <v>13</v>
      </c>
      <c r="H3340" t="s">
        <v>6606</v>
      </c>
    </row>
    <row r="3341" spans="2:8">
      <c r="B3341" s="871">
        <v>46281</v>
      </c>
      <c r="C3341" t="s">
        <v>2485</v>
      </c>
      <c r="D3341" t="s">
        <v>1375</v>
      </c>
      <c r="E3341" t="s">
        <v>3312</v>
      </c>
      <c r="F3341" s="853" t="s">
        <v>526</v>
      </c>
      <c r="G3341" s="913">
        <v>4</v>
      </c>
      <c r="H3341" t="s">
        <v>6607</v>
      </c>
    </row>
    <row r="3342" spans="2:8">
      <c r="B3342" s="871">
        <v>46281</v>
      </c>
      <c r="C3342" t="s">
        <v>2485</v>
      </c>
      <c r="D3342" t="s">
        <v>1375</v>
      </c>
      <c r="E3342" t="s">
        <v>3312</v>
      </c>
      <c r="F3342" s="853" t="s">
        <v>527</v>
      </c>
      <c r="G3342" s="913">
        <v>3</v>
      </c>
      <c r="H3342" t="s">
        <v>6608</v>
      </c>
    </row>
    <row r="3343" spans="2:8">
      <c r="B3343" s="871">
        <v>46281</v>
      </c>
      <c r="C3343" t="s">
        <v>2485</v>
      </c>
      <c r="D3343" t="s">
        <v>1375</v>
      </c>
      <c r="E3343" t="s">
        <v>3312</v>
      </c>
      <c r="F3343" s="853" t="s">
        <v>528</v>
      </c>
      <c r="G3343" s="913">
        <v>2</v>
      </c>
      <c r="H3343" t="s">
        <v>6609</v>
      </c>
    </row>
    <row r="3344" spans="2:8">
      <c r="B3344" s="871">
        <v>46281</v>
      </c>
      <c r="C3344" t="s">
        <v>2485</v>
      </c>
      <c r="D3344" t="s">
        <v>1376</v>
      </c>
      <c r="E3344" t="s">
        <v>1400</v>
      </c>
      <c r="F3344" s="853" t="s">
        <v>526</v>
      </c>
      <c r="G3344" s="913">
        <v>17</v>
      </c>
      <c r="H3344" t="s">
        <v>6610</v>
      </c>
    </row>
    <row r="3345" spans="2:8">
      <c r="B3345" s="871">
        <v>46281</v>
      </c>
      <c r="C3345" t="s">
        <v>2485</v>
      </c>
      <c r="D3345" t="s">
        <v>1376</v>
      </c>
      <c r="E3345" t="s">
        <v>1400</v>
      </c>
      <c r="F3345" s="853" t="s">
        <v>527</v>
      </c>
      <c r="G3345" s="913">
        <v>17</v>
      </c>
      <c r="H3345" t="s">
        <v>6611</v>
      </c>
    </row>
    <row r="3346" spans="2:8">
      <c r="B3346" s="871">
        <v>46281</v>
      </c>
      <c r="C3346" t="s">
        <v>2485</v>
      </c>
      <c r="D3346" t="s">
        <v>1376</v>
      </c>
      <c r="E3346" t="s">
        <v>1400</v>
      </c>
      <c r="F3346" s="853" t="s">
        <v>528</v>
      </c>
      <c r="G3346" s="913">
        <v>17</v>
      </c>
      <c r="H3346" t="s">
        <v>6612</v>
      </c>
    </row>
    <row r="3347" spans="2:8">
      <c r="B3347" s="871">
        <v>46281</v>
      </c>
      <c r="C3347" t="s">
        <v>2485</v>
      </c>
      <c r="D3347" t="s">
        <v>1375</v>
      </c>
      <c r="E3347" t="s">
        <v>3319</v>
      </c>
      <c r="F3347" s="853" t="s">
        <v>526</v>
      </c>
      <c r="G3347" s="913">
        <v>5</v>
      </c>
      <c r="H3347" t="s">
        <v>6613</v>
      </c>
    </row>
    <row r="3348" spans="2:8">
      <c r="B3348" s="871">
        <v>46281</v>
      </c>
      <c r="C3348" t="s">
        <v>2485</v>
      </c>
      <c r="D3348" t="s">
        <v>1375</v>
      </c>
      <c r="E3348" t="s">
        <v>3319</v>
      </c>
      <c r="F3348" s="853" t="s">
        <v>527</v>
      </c>
      <c r="G3348" s="913">
        <v>2</v>
      </c>
      <c r="H3348" t="s">
        <v>6614</v>
      </c>
    </row>
    <row r="3349" spans="2:8">
      <c r="B3349" s="871">
        <v>46281</v>
      </c>
      <c r="C3349" t="s">
        <v>2485</v>
      </c>
      <c r="D3349" t="s">
        <v>1375</v>
      </c>
      <c r="E3349" t="s">
        <v>3319</v>
      </c>
      <c r="F3349" s="853" t="s">
        <v>528</v>
      </c>
      <c r="G3349" s="913">
        <v>2</v>
      </c>
      <c r="H3349" t="s">
        <v>6615</v>
      </c>
    </row>
    <row r="3350" spans="2:8">
      <c r="B3350" s="871">
        <v>46281</v>
      </c>
      <c r="C3350" t="s">
        <v>2485</v>
      </c>
      <c r="D3350" t="s">
        <v>1376</v>
      </c>
      <c r="E3350" t="s">
        <v>1401</v>
      </c>
      <c r="F3350" s="853" t="s">
        <v>526</v>
      </c>
      <c r="G3350" s="913">
        <v>5.03</v>
      </c>
      <c r="H3350" t="s">
        <v>6616</v>
      </c>
    </row>
    <row r="3351" spans="2:8">
      <c r="B3351" s="871">
        <v>46281</v>
      </c>
      <c r="C3351" t="s">
        <v>2485</v>
      </c>
      <c r="D3351" t="s">
        <v>1376</v>
      </c>
      <c r="E3351" t="s">
        <v>1401</v>
      </c>
      <c r="F3351" s="853" t="s">
        <v>527</v>
      </c>
      <c r="G3351" s="913">
        <v>6.1</v>
      </c>
      <c r="H3351" t="s">
        <v>6617</v>
      </c>
    </row>
    <row r="3352" spans="2:8">
      <c r="B3352" s="871">
        <v>46281</v>
      </c>
      <c r="C3352" t="s">
        <v>2485</v>
      </c>
      <c r="D3352" t="s">
        <v>1376</v>
      </c>
      <c r="E3352" t="s">
        <v>1401</v>
      </c>
      <c r="F3352" s="853" t="s">
        <v>528</v>
      </c>
      <c r="G3352" s="913">
        <v>6.1</v>
      </c>
      <c r="H3352" t="s">
        <v>6618</v>
      </c>
    </row>
    <row r="3353" spans="2:8">
      <c r="B3353" s="871">
        <v>46281</v>
      </c>
      <c r="C3353" t="s">
        <v>2485</v>
      </c>
      <c r="D3353" t="s">
        <v>1375</v>
      </c>
      <c r="E3353" t="s">
        <v>3326</v>
      </c>
      <c r="F3353" s="853" t="s">
        <v>526</v>
      </c>
      <c r="G3353" s="913" t="s">
        <v>1583</v>
      </c>
      <c r="H3353" t="s">
        <v>6619</v>
      </c>
    </row>
    <row r="3354" spans="2:8">
      <c r="B3354" s="871">
        <v>46281</v>
      </c>
      <c r="C3354" t="s">
        <v>2485</v>
      </c>
      <c r="D3354" t="s">
        <v>1375</v>
      </c>
      <c r="E3354" t="s">
        <v>3326</v>
      </c>
      <c r="F3354" s="853" t="s">
        <v>527</v>
      </c>
      <c r="G3354" s="913" t="s">
        <v>1583</v>
      </c>
      <c r="H3354" t="s">
        <v>6620</v>
      </c>
    </row>
    <row r="3355" spans="2:8">
      <c r="B3355" s="871">
        <v>46281</v>
      </c>
      <c r="C3355" t="s">
        <v>2485</v>
      </c>
      <c r="D3355" t="s">
        <v>1375</v>
      </c>
      <c r="E3355" t="s">
        <v>3326</v>
      </c>
      <c r="F3355" s="853" t="s">
        <v>528</v>
      </c>
      <c r="G3355" s="913" t="s">
        <v>1583</v>
      </c>
      <c r="H3355" t="s">
        <v>6621</v>
      </c>
    </row>
    <row r="3356" spans="2:8">
      <c r="B3356" s="871">
        <v>46281</v>
      </c>
      <c r="C3356" t="s">
        <v>2485</v>
      </c>
      <c r="D3356" t="s">
        <v>1376</v>
      </c>
      <c r="E3356" t="s">
        <v>1403</v>
      </c>
      <c r="F3356" s="853" t="s">
        <v>526</v>
      </c>
      <c r="G3356" s="913">
        <v>730</v>
      </c>
      <c r="H3356" t="s">
        <v>6622</v>
      </c>
    </row>
    <row r="3357" spans="2:8">
      <c r="B3357" s="871">
        <v>46281</v>
      </c>
      <c r="C3357" t="s">
        <v>2485</v>
      </c>
      <c r="D3357" t="s">
        <v>1376</v>
      </c>
      <c r="E3357" t="s">
        <v>1403</v>
      </c>
      <c r="F3357" s="853" t="s">
        <v>527</v>
      </c>
      <c r="G3357" s="913">
        <v>646</v>
      </c>
      <c r="H3357" t="s">
        <v>6623</v>
      </c>
    </row>
    <row r="3358" spans="2:8">
      <c r="B3358" s="871">
        <v>46281</v>
      </c>
      <c r="C3358" t="s">
        <v>2485</v>
      </c>
      <c r="D3358" t="s">
        <v>1376</v>
      </c>
      <c r="E3358" t="s">
        <v>1403</v>
      </c>
      <c r="F3358" s="853" t="s">
        <v>528</v>
      </c>
      <c r="G3358" s="913">
        <v>740</v>
      </c>
      <c r="H3358" t="s">
        <v>6624</v>
      </c>
    </row>
    <row r="3359" spans="2:8">
      <c r="B3359" s="871">
        <v>46281</v>
      </c>
      <c r="C3359" t="s">
        <v>2485</v>
      </c>
      <c r="D3359" t="s">
        <v>1376</v>
      </c>
      <c r="E3359" t="s">
        <v>1404</v>
      </c>
      <c r="F3359" s="853" t="s">
        <v>526</v>
      </c>
      <c r="G3359" s="913">
        <v>5.63</v>
      </c>
      <c r="H3359" t="s">
        <v>6625</v>
      </c>
    </row>
    <row r="3360" spans="2:8">
      <c r="B3360" s="871">
        <v>46281</v>
      </c>
      <c r="C3360" t="s">
        <v>2485</v>
      </c>
      <c r="D3360" t="s">
        <v>1376</v>
      </c>
      <c r="E3360" t="s">
        <v>1404</v>
      </c>
      <c r="F3360" s="853" t="s">
        <v>527</v>
      </c>
      <c r="G3360" s="913">
        <v>3.3</v>
      </c>
      <c r="H3360" t="s">
        <v>6626</v>
      </c>
    </row>
    <row r="3361" spans="2:8">
      <c r="B3361" s="871">
        <v>46281</v>
      </c>
      <c r="C3361" t="s">
        <v>2485</v>
      </c>
      <c r="D3361" t="s">
        <v>1376</v>
      </c>
      <c r="E3361" t="s">
        <v>1404</v>
      </c>
      <c r="F3361" s="853" t="s">
        <v>528</v>
      </c>
      <c r="G3361" s="913">
        <v>3.4</v>
      </c>
      <c r="H3361" t="s">
        <v>6627</v>
      </c>
    </row>
    <row r="3362" spans="2:8">
      <c r="B3362" s="871">
        <v>46281</v>
      </c>
      <c r="C3362" t="s">
        <v>2485</v>
      </c>
      <c r="D3362" t="s">
        <v>1375</v>
      </c>
      <c r="E3362" t="s">
        <v>3336</v>
      </c>
      <c r="F3362" s="853" t="s">
        <v>526</v>
      </c>
      <c r="G3362" s="913" t="s">
        <v>1406</v>
      </c>
      <c r="H3362" t="s">
        <v>6628</v>
      </c>
    </row>
    <row r="3363" spans="2:8">
      <c r="B3363" s="871">
        <v>46281</v>
      </c>
      <c r="C3363" t="s">
        <v>2485</v>
      </c>
      <c r="D3363" t="s">
        <v>1375</v>
      </c>
      <c r="E3363" t="s">
        <v>3336</v>
      </c>
      <c r="F3363" s="853" t="s">
        <v>527</v>
      </c>
      <c r="G3363" s="913" t="s">
        <v>1406</v>
      </c>
      <c r="H3363" t="s">
        <v>6629</v>
      </c>
    </row>
    <row r="3364" spans="2:8">
      <c r="B3364" s="871">
        <v>46281</v>
      </c>
      <c r="C3364" t="s">
        <v>2485</v>
      </c>
      <c r="D3364" t="s">
        <v>1375</v>
      </c>
      <c r="E3364" t="s">
        <v>3336</v>
      </c>
      <c r="F3364" s="853" t="s">
        <v>528</v>
      </c>
      <c r="G3364" s="913" t="s">
        <v>1406</v>
      </c>
      <c r="H3364" t="s">
        <v>6630</v>
      </c>
    </row>
    <row r="3365" spans="2:8">
      <c r="B3365" s="871">
        <v>46281</v>
      </c>
      <c r="C3365" t="s">
        <v>2485</v>
      </c>
      <c r="D3365" t="s">
        <v>1376</v>
      </c>
      <c r="E3365" t="s">
        <v>1407</v>
      </c>
      <c r="F3365" s="853" t="s">
        <v>526</v>
      </c>
      <c r="G3365" s="913">
        <v>380</v>
      </c>
      <c r="H3365" t="s">
        <v>6631</v>
      </c>
    </row>
    <row r="3366" spans="2:8">
      <c r="B3366" s="871">
        <v>46281</v>
      </c>
      <c r="C3366" t="s">
        <v>2485</v>
      </c>
      <c r="D3366" t="s">
        <v>1376</v>
      </c>
      <c r="E3366" t="s">
        <v>1407</v>
      </c>
      <c r="F3366" s="853" t="s">
        <v>527</v>
      </c>
      <c r="G3366" s="913">
        <v>323</v>
      </c>
      <c r="H3366" t="s">
        <v>6632</v>
      </c>
    </row>
    <row r="3367" spans="2:8">
      <c r="B3367" s="871">
        <v>46281</v>
      </c>
      <c r="C3367" t="s">
        <v>2485</v>
      </c>
      <c r="D3367" t="s">
        <v>1376</v>
      </c>
      <c r="E3367" t="s">
        <v>1407</v>
      </c>
      <c r="F3367" s="853" t="s">
        <v>528</v>
      </c>
      <c r="G3367" s="913">
        <v>372</v>
      </c>
      <c r="H3367" t="s">
        <v>6633</v>
      </c>
    </row>
    <row r="3368" spans="2:8">
      <c r="B3368" s="871">
        <v>46281</v>
      </c>
      <c r="C3368" t="s">
        <v>2485</v>
      </c>
      <c r="D3368" t="s">
        <v>1376</v>
      </c>
      <c r="E3368" t="s">
        <v>1408</v>
      </c>
      <c r="F3368" s="853" t="s">
        <v>526</v>
      </c>
      <c r="G3368" s="913">
        <v>1005</v>
      </c>
      <c r="H3368" t="s">
        <v>6634</v>
      </c>
    </row>
    <row r="3369" spans="2:8">
      <c r="B3369" s="871">
        <v>46281</v>
      </c>
      <c r="C3369" t="s">
        <v>2485</v>
      </c>
      <c r="D3369" t="s">
        <v>1376</v>
      </c>
      <c r="E3369" t="s">
        <v>1408</v>
      </c>
      <c r="F3369" s="853" t="s">
        <v>527</v>
      </c>
      <c r="G3369" s="913">
        <v>1040</v>
      </c>
      <c r="H3369" t="s">
        <v>6635</v>
      </c>
    </row>
    <row r="3370" spans="2:8">
      <c r="B3370" s="871">
        <v>46281</v>
      </c>
      <c r="C3370" t="s">
        <v>2485</v>
      </c>
      <c r="D3370" t="s">
        <v>1376</v>
      </c>
      <c r="E3370" t="s">
        <v>1408</v>
      </c>
      <c r="F3370" s="853" t="s">
        <v>528</v>
      </c>
      <c r="G3370" s="913">
        <v>998</v>
      </c>
      <c r="H3370" t="s">
        <v>6636</v>
      </c>
    </row>
    <row r="3371" spans="2:8">
      <c r="B3371" s="871">
        <v>46281</v>
      </c>
      <c r="C3371" t="s">
        <v>2485</v>
      </c>
      <c r="D3371" t="s">
        <v>1409</v>
      </c>
      <c r="E3371" t="s">
        <v>1411</v>
      </c>
      <c r="F3371" s="853" t="s">
        <v>526</v>
      </c>
      <c r="H3371" t="s">
        <v>6637</v>
      </c>
    </row>
    <row r="3372" spans="2:8">
      <c r="B3372" s="871">
        <v>46281</v>
      </c>
      <c r="C3372" t="s">
        <v>2485</v>
      </c>
      <c r="D3372" t="s">
        <v>1409</v>
      </c>
      <c r="E3372" t="s">
        <v>1411</v>
      </c>
      <c r="F3372" s="853" t="s">
        <v>527</v>
      </c>
      <c r="H3372" t="s">
        <v>6638</v>
      </c>
    </row>
    <row r="3373" spans="2:8">
      <c r="B3373" s="871">
        <v>46281</v>
      </c>
      <c r="C3373" t="s">
        <v>2485</v>
      </c>
      <c r="D3373" t="s">
        <v>1409</v>
      </c>
      <c r="E3373" t="s">
        <v>1411</v>
      </c>
      <c r="F3373" s="853" t="s">
        <v>528</v>
      </c>
      <c r="H3373" t="s">
        <v>6639</v>
      </c>
    </row>
    <row r="3374" spans="2:8">
      <c r="B3374" s="871">
        <v>46281</v>
      </c>
      <c r="C3374" t="s">
        <v>2485</v>
      </c>
      <c r="D3374" t="s">
        <v>1409</v>
      </c>
      <c r="E3374" t="s">
        <v>1413</v>
      </c>
      <c r="F3374" s="853" t="s">
        <v>526</v>
      </c>
      <c r="G3374" s="913" t="s">
        <v>1743</v>
      </c>
      <c r="H3374" t="s">
        <v>6640</v>
      </c>
    </row>
    <row r="3375" spans="2:8">
      <c r="B3375" s="871">
        <v>46281</v>
      </c>
      <c r="C3375" t="s">
        <v>2485</v>
      </c>
      <c r="D3375" t="s">
        <v>1409</v>
      </c>
      <c r="E3375" t="s">
        <v>1413</v>
      </c>
      <c r="F3375" s="853" t="s">
        <v>527</v>
      </c>
      <c r="G3375" s="913" t="s">
        <v>1415</v>
      </c>
      <c r="H3375" t="s">
        <v>6641</v>
      </c>
    </row>
    <row r="3376" spans="2:8">
      <c r="B3376" s="871">
        <v>46281</v>
      </c>
      <c r="C3376" t="s">
        <v>2485</v>
      </c>
      <c r="D3376" t="s">
        <v>1409</v>
      </c>
      <c r="E3376" t="s">
        <v>1413</v>
      </c>
      <c r="F3376" s="853" t="s">
        <v>528</v>
      </c>
      <c r="G3376" s="913" t="s">
        <v>1973</v>
      </c>
      <c r="H3376" t="s">
        <v>6642</v>
      </c>
    </row>
    <row r="3377" spans="2:8">
      <c r="B3377" s="871">
        <v>46281</v>
      </c>
      <c r="C3377" t="s">
        <v>2485</v>
      </c>
      <c r="D3377" t="s">
        <v>1410</v>
      </c>
      <c r="E3377" t="s">
        <v>3352</v>
      </c>
      <c r="F3377" s="853" t="s">
        <v>526</v>
      </c>
      <c r="G3377" s="913" t="s">
        <v>1418</v>
      </c>
      <c r="H3377" t="s">
        <v>6643</v>
      </c>
    </row>
    <row r="3378" spans="2:8">
      <c r="B3378" s="871">
        <v>46281</v>
      </c>
      <c r="C3378" t="s">
        <v>2485</v>
      </c>
      <c r="D3378" t="s">
        <v>1410</v>
      </c>
      <c r="E3378" t="s">
        <v>3352</v>
      </c>
      <c r="F3378" s="853" t="s">
        <v>527</v>
      </c>
      <c r="G3378" s="913" t="s">
        <v>1418</v>
      </c>
      <c r="H3378" t="s">
        <v>6644</v>
      </c>
    </row>
    <row r="3379" spans="2:8">
      <c r="B3379" s="871">
        <v>46281</v>
      </c>
      <c r="C3379" t="s">
        <v>2485</v>
      </c>
      <c r="D3379" t="s">
        <v>1410</v>
      </c>
      <c r="E3379" t="s">
        <v>3352</v>
      </c>
      <c r="F3379" s="853" t="s">
        <v>528</v>
      </c>
      <c r="G3379" s="913" t="s">
        <v>1418</v>
      </c>
      <c r="H3379" t="s">
        <v>6645</v>
      </c>
    </row>
    <row r="3380" spans="2:8">
      <c r="B3380" s="871">
        <v>46281</v>
      </c>
      <c r="C3380" t="s">
        <v>2485</v>
      </c>
      <c r="D3380" t="s">
        <v>1409</v>
      </c>
      <c r="E3380" t="s">
        <v>1420</v>
      </c>
      <c r="F3380" s="853" t="s">
        <v>526</v>
      </c>
      <c r="G3380" s="913" t="s">
        <v>1876</v>
      </c>
      <c r="H3380" t="s">
        <v>6646</v>
      </c>
    </row>
    <row r="3381" spans="2:8">
      <c r="B3381" s="871">
        <v>46281</v>
      </c>
      <c r="C3381" t="s">
        <v>2485</v>
      </c>
      <c r="D3381" t="s">
        <v>1409</v>
      </c>
      <c r="E3381" t="s">
        <v>1420</v>
      </c>
      <c r="F3381" s="853" t="s">
        <v>527</v>
      </c>
      <c r="G3381" s="913" t="s">
        <v>1876</v>
      </c>
      <c r="H3381" t="s">
        <v>6647</v>
      </c>
    </row>
    <row r="3382" spans="2:8">
      <c r="B3382" s="871">
        <v>46281</v>
      </c>
      <c r="C3382" t="s">
        <v>2485</v>
      </c>
      <c r="D3382" t="s">
        <v>1409</v>
      </c>
      <c r="E3382" t="s">
        <v>1420</v>
      </c>
      <c r="F3382" s="853" t="s">
        <v>528</v>
      </c>
      <c r="G3382" s="913" t="s">
        <v>1974</v>
      </c>
      <c r="H3382" t="s">
        <v>6648</v>
      </c>
    </row>
    <row r="3383" spans="2:8">
      <c r="B3383" s="871">
        <v>46281</v>
      </c>
      <c r="C3383" t="s">
        <v>2485</v>
      </c>
      <c r="D3383" t="s">
        <v>1410</v>
      </c>
      <c r="E3383" t="s">
        <v>3359</v>
      </c>
      <c r="F3383" s="853" t="s">
        <v>526</v>
      </c>
      <c r="G3383" s="913">
        <v>117</v>
      </c>
      <c r="H3383" t="s">
        <v>6649</v>
      </c>
    </row>
    <row r="3384" spans="2:8">
      <c r="B3384" s="871">
        <v>46281</v>
      </c>
      <c r="C3384" t="s">
        <v>2485</v>
      </c>
      <c r="D3384" t="s">
        <v>1410</v>
      </c>
      <c r="E3384" t="s">
        <v>3359</v>
      </c>
      <c r="F3384" s="853" t="s">
        <v>527</v>
      </c>
      <c r="G3384" s="913">
        <v>116</v>
      </c>
      <c r="H3384" t="s">
        <v>6650</v>
      </c>
    </row>
    <row r="3385" spans="2:8">
      <c r="B3385" s="871">
        <v>46281</v>
      </c>
      <c r="C3385" t="s">
        <v>2485</v>
      </c>
      <c r="D3385" t="s">
        <v>1410</v>
      </c>
      <c r="E3385" t="s">
        <v>3359</v>
      </c>
      <c r="F3385" s="853" t="s">
        <v>528</v>
      </c>
      <c r="G3385" s="913">
        <v>111</v>
      </c>
      <c r="H3385" t="s">
        <v>6651</v>
      </c>
    </row>
    <row r="3386" spans="2:8">
      <c r="B3386" s="871">
        <v>46281</v>
      </c>
      <c r="C3386" t="s">
        <v>2485</v>
      </c>
      <c r="D3386" t="s">
        <v>1409</v>
      </c>
      <c r="E3386" t="s">
        <v>1424</v>
      </c>
      <c r="F3386" s="853" t="s">
        <v>526</v>
      </c>
      <c r="H3386" t="s">
        <v>6652</v>
      </c>
    </row>
    <row r="3387" spans="2:8">
      <c r="B3387" s="871">
        <v>46281</v>
      </c>
      <c r="C3387" t="s">
        <v>2485</v>
      </c>
      <c r="D3387" t="s">
        <v>1409</v>
      </c>
      <c r="E3387" t="s">
        <v>1424</v>
      </c>
      <c r="F3387" s="853" t="s">
        <v>527</v>
      </c>
      <c r="H3387" t="s">
        <v>6653</v>
      </c>
    </row>
    <row r="3388" spans="2:8">
      <c r="B3388" s="871">
        <v>46281</v>
      </c>
      <c r="C3388" t="s">
        <v>2485</v>
      </c>
      <c r="D3388" t="s">
        <v>1409</v>
      </c>
      <c r="E3388" t="s">
        <v>1424</v>
      </c>
      <c r="F3388" s="853" t="s">
        <v>528</v>
      </c>
      <c r="H3388" t="s">
        <v>6654</v>
      </c>
    </row>
    <row r="3389" spans="2:8">
      <c r="B3389" s="871">
        <v>46281</v>
      </c>
      <c r="C3389" t="s">
        <v>2485</v>
      </c>
      <c r="D3389" t="s">
        <v>1410</v>
      </c>
      <c r="E3389" t="s">
        <v>3366</v>
      </c>
      <c r="F3389" s="853" t="s">
        <v>526</v>
      </c>
      <c r="G3389" s="913">
        <v>2595</v>
      </c>
      <c r="H3389" t="s">
        <v>6655</v>
      </c>
    </row>
    <row r="3390" spans="2:8">
      <c r="B3390" s="871">
        <v>46281</v>
      </c>
      <c r="C3390" t="s">
        <v>2485</v>
      </c>
      <c r="D3390" t="s">
        <v>1410</v>
      </c>
      <c r="E3390" t="s">
        <v>3366</v>
      </c>
      <c r="F3390" s="853" t="s">
        <v>527</v>
      </c>
      <c r="G3390" s="913">
        <v>2540</v>
      </c>
      <c r="H3390" t="s">
        <v>6656</v>
      </c>
    </row>
    <row r="3391" spans="2:8">
      <c r="B3391" s="871">
        <v>46281</v>
      </c>
      <c r="C3391" t="s">
        <v>2485</v>
      </c>
      <c r="D3391" t="s">
        <v>1410</v>
      </c>
      <c r="E3391" t="s">
        <v>3366</v>
      </c>
      <c r="F3391" s="853" t="s">
        <v>528</v>
      </c>
      <c r="G3391" s="913">
        <v>2693</v>
      </c>
      <c r="H3391" t="s">
        <v>6657</v>
      </c>
    </row>
    <row r="3392" spans="2:8">
      <c r="B3392" s="871">
        <v>46281</v>
      </c>
      <c r="C3392" t="s">
        <v>2485</v>
      </c>
      <c r="D3392" t="s">
        <v>1410</v>
      </c>
      <c r="E3392" t="s">
        <v>3370</v>
      </c>
      <c r="F3392" s="853" t="s">
        <v>526</v>
      </c>
      <c r="G3392" s="913" t="s">
        <v>1427</v>
      </c>
      <c r="H3392" t="s">
        <v>6658</v>
      </c>
    </row>
    <row r="3393" spans="2:8">
      <c r="B3393" s="871">
        <v>46281</v>
      </c>
      <c r="C3393" t="s">
        <v>2485</v>
      </c>
      <c r="D3393" t="s">
        <v>1410</v>
      </c>
      <c r="E3393" t="s">
        <v>3370</v>
      </c>
      <c r="F3393" s="853" t="s">
        <v>527</v>
      </c>
      <c r="G3393" s="913" t="s">
        <v>1427</v>
      </c>
      <c r="H3393" t="s">
        <v>6659</v>
      </c>
    </row>
    <row r="3394" spans="2:8">
      <c r="B3394" s="871">
        <v>46281</v>
      </c>
      <c r="C3394" t="s">
        <v>2485</v>
      </c>
      <c r="D3394" t="s">
        <v>1410</v>
      </c>
      <c r="E3394" t="s">
        <v>3370</v>
      </c>
      <c r="F3394" s="853" t="s">
        <v>528</v>
      </c>
      <c r="G3394" s="913" t="s">
        <v>1427</v>
      </c>
      <c r="H3394" t="s">
        <v>6660</v>
      </c>
    </row>
    <row r="3395" spans="2:8">
      <c r="B3395" s="871">
        <v>46281</v>
      </c>
      <c r="C3395" t="s">
        <v>2485</v>
      </c>
      <c r="D3395" t="s">
        <v>1410</v>
      </c>
      <c r="E3395" t="s">
        <v>3374</v>
      </c>
      <c r="F3395" s="853" t="s">
        <v>526</v>
      </c>
      <c r="G3395" s="913">
        <v>1.7</v>
      </c>
      <c r="H3395" t="s">
        <v>6661</v>
      </c>
    </row>
    <row r="3396" spans="2:8">
      <c r="B3396" s="871">
        <v>46281</v>
      </c>
      <c r="C3396" t="s">
        <v>2485</v>
      </c>
      <c r="D3396" t="s">
        <v>1410</v>
      </c>
      <c r="E3396" t="s">
        <v>3374</v>
      </c>
      <c r="F3396" s="853" t="s">
        <v>527</v>
      </c>
      <c r="G3396" s="913">
        <v>2.5299999999999998</v>
      </c>
      <c r="H3396" t="s">
        <v>6662</v>
      </c>
    </row>
    <row r="3397" spans="2:8">
      <c r="B3397" s="871">
        <v>46281</v>
      </c>
      <c r="C3397" t="s">
        <v>2485</v>
      </c>
      <c r="D3397" t="s">
        <v>1410</v>
      </c>
      <c r="E3397" t="s">
        <v>3374</v>
      </c>
      <c r="F3397" s="853" t="s">
        <v>528</v>
      </c>
      <c r="G3397" s="913">
        <v>2.5</v>
      </c>
      <c r="H3397" t="s">
        <v>6663</v>
      </c>
    </row>
    <row r="3398" spans="2:8">
      <c r="B3398" s="871">
        <v>46281</v>
      </c>
      <c r="C3398" t="s">
        <v>2485</v>
      </c>
      <c r="D3398" t="s">
        <v>1410</v>
      </c>
      <c r="E3398" t="s">
        <v>3378</v>
      </c>
      <c r="F3398" s="853" t="s">
        <v>526</v>
      </c>
      <c r="G3398" s="913" t="s">
        <v>1627</v>
      </c>
      <c r="H3398" t="s">
        <v>6664</v>
      </c>
    </row>
    <row r="3399" spans="2:8">
      <c r="B3399" s="871">
        <v>46281</v>
      </c>
      <c r="C3399" t="s">
        <v>2485</v>
      </c>
      <c r="D3399" t="s">
        <v>1410</v>
      </c>
      <c r="E3399" t="s">
        <v>3378</v>
      </c>
      <c r="F3399" s="853" t="s">
        <v>527</v>
      </c>
      <c r="G3399" s="913" t="s">
        <v>1627</v>
      </c>
      <c r="H3399" t="s">
        <v>6665</v>
      </c>
    </row>
    <row r="3400" spans="2:8">
      <c r="B3400" s="871">
        <v>46281</v>
      </c>
      <c r="C3400" t="s">
        <v>2485</v>
      </c>
      <c r="D3400" t="s">
        <v>1410</v>
      </c>
      <c r="E3400" t="s">
        <v>3378</v>
      </c>
      <c r="F3400" s="853" t="s">
        <v>528</v>
      </c>
      <c r="G3400" s="913" t="s">
        <v>1627</v>
      </c>
      <c r="H3400" t="s">
        <v>6666</v>
      </c>
    </row>
    <row r="3401" spans="2:8">
      <c r="B3401" s="871">
        <v>46281</v>
      </c>
      <c r="C3401" t="s">
        <v>2485</v>
      </c>
      <c r="D3401" t="s">
        <v>1410</v>
      </c>
      <c r="E3401" t="s">
        <v>3382</v>
      </c>
      <c r="F3401" s="853" t="s">
        <v>526</v>
      </c>
      <c r="G3401" s="913">
        <v>114</v>
      </c>
      <c r="H3401" t="s">
        <v>6667</v>
      </c>
    </row>
    <row r="3402" spans="2:8">
      <c r="B3402" s="871">
        <v>46281</v>
      </c>
      <c r="C3402" t="s">
        <v>2485</v>
      </c>
      <c r="D3402" t="s">
        <v>1410</v>
      </c>
      <c r="E3402" t="s">
        <v>3382</v>
      </c>
      <c r="F3402" s="853" t="s">
        <v>527</v>
      </c>
      <c r="G3402" s="913">
        <v>107</v>
      </c>
      <c r="H3402" t="s">
        <v>6668</v>
      </c>
    </row>
    <row r="3403" spans="2:8">
      <c r="B3403" s="871">
        <v>46281</v>
      </c>
      <c r="C3403" t="s">
        <v>2485</v>
      </c>
      <c r="D3403" t="s">
        <v>1410</v>
      </c>
      <c r="E3403" t="s">
        <v>3382</v>
      </c>
      <c r="F3403" s="853" t="s">
        <v>528</v>
      </c>
      <c r="G3403" s="913">
        <v>104</v>
      </c>
      <c r="H3403" t="s">
        <v>6669</v>
      </c>
    </row>
    <row r="3404" spans="2:8">
      <c r="B3404" s="871">
        <v>46281</v>
      </c>
      <c r="C3404" t="s">
        <v>2485</v>
      </c>
      <c r="D3404" t="s">
        <v>1409</v>
      </c>
      <c r="E3404" t="s">
        <v>1431</v>
      </c>
      <c r="F3404" s="853" t="s">
        <v>526</v>
      </c>
      <c r="H3404" t="s">
        <v>6670</v>
      </c>
    </row>
    <row r="3405" spans="2:8">
      <c r="B3405" s="871">
        <v>46281</v>
      </c>
      <c r="C3405" t="s">
        <v>2485</v>
      </c>
      <c r="D3405" t="s">
        <v>1409</v>
      </c>
      <c r="E3405" t="s">
        <v>1431</v>
      </c>
      <c r="F3405" s="853" t="s">
        <v>527</v>
      </c>
      <c r="H3405" t="s">
        <v>6671</v>
      </c>
    </row>
    <row r="3406" spans="2:8">
      <c r="B3406" s="871">
        <v>46281</v>
      </c>
      <c r="C3406" t="s">
        <v>2485</v>
      </c>
      <c r="D3406" t="s">
        <v>1409</v>
      </c>
      <c r="E3406" t="s">
        <v>1431</v>
      </c>
      <c r="F3406" s="853" t="s">
        <v>528</v>
      </c>
      <c r="H3406" t="s">
        <v>6672</v>
      </c>
    </row>
    <row r="3407" spans="2:8">
      <c r="B3407" s="871">
        <v>46281</v>
      </c>
      <c r="C3407" t="s">
        <v>2485</v>
      </c>
      <c r="D3407" t="s">
        <v>1410</v>
      </c>
      <c r="E3407" t="s">
        <v>3389</v>
      </c>
      <c r="F3407" s="853" t="s">
        <v>526</v>
      </c>
      <c r="G3407" s="913">
        <v>2710</v>
      </c>
      <c r="H3407" t="s">
        <v>6673</v>
      </c>
    </row>
    <row r="3408" spans="2:8">
      <c r="B3408" s="871">
        <v>46281</v>
      </c>
      <c r="C3408" t="s">
        <v>2485</v>
      </c>
      <c r="D3408" t="s">
        <v>1410</v>
      </c>
      <c r="E3408" t="s">
        <v>3389</v>
      </c>
      <c r="F3408" s="853" t="s">
        <v>527</v>
      </c>
      <c r="G3408" s="913">
        <v>3032</v>
      </c>
      <c r="H3408" t="s">
        <v>6674</v>
      </c>
    </row>
    <row r="3409" spans="2:8">
      <c r="B3409" s="871">
        <v>46281</v>
      </c>
      <c r="C3409" t="s">
        <v>2485</v>
      </c>
      <c r="D3409" t="s">
        <v>1410</v>
      </c>
      <c r="E3409" t="s">
        <v>3389</v>
      </c>
      <c r="F3409" s="853" t="s">
        <v>528</v>
      </c>
      <c r="G3409" s="913">
        <v>3159</v>
      </c>
      <c r="H3409" t="s">
        <v>6675</v>
      </c>
    </row>
    <row r="3410" spans="2:8">
      <c r="B3410" s="871">
        <v>46281</v>
      </c>
      <c r="C3410" t="s">
        <v>2485</v>
      </c>
      <c r="D3410" t="s">
        <v>1410</v>
      </c>
      <c r="E3410" t="s">
        <v>3393</v>
      </c>
      <c r="F3410" s="853" t="s">
        <v>526</v>
      </c>
      <c r="G3410" s="913" t="s">
        <v>1663</v>
      </c>
      <c r="H3410" t="s">
        <v>6676</v>
      </c>
    </row>
    <row r="3411" spans="2:8">
      <c r="B3411" s="871">
        <v>46281</v>
      </c>
      <c r="C3411" t="s">
        <v>2485</v>
      </c>
      <c r="D3411" t="s">
        <v>1410</v>
      </c>
      <c r="E3411" t="s">
        <v>3393</v>
      </c>
      <c r="F3411" s="853" t="s">
        <v>527</v>
      </c>
      <c r="G3411" s="913" t="s">
        <v>1877</v>
      </c>
      <c r="H3411" t="s">
        <v>6677</v>
      </c>
    </row>
    <row r="3412" spans="2:8">
      <c r="B3412" s="871">
        <v>46281</v>
      </c>
      <c r="C3412" t="s">
        <v>2485</v>
      </c>
      <c r="D3412" t="s">
        <v>1410</v>
      </c>
      <c r="E3412" t="s">
        <v>3393</v>
      </c>
      <c r="F3412" s="853" t="s">
        <v>528</v>
      </c>
      <c r="G3412" s="913" t="s">
        <v>1663</v>
      </c>
      <c r="H3412" t="s">
        <v>6678</v>
      </c>
    </row>
    <row r="3413" spans="2:8">
      <c r="B3413" s="871">
        <v>46281</v>
      </c>
      <c r="C3413" t="s">
        <v>2485</v>
      </c>
      <c r="D3413" t="s">
        <v>1410</v>
      </c>
      <c r="E3413" t="s">
        <v>3397</v>
      </c>
      <c r="F3413" s="853" t="s">
        <v>526</v>
      </c>
      <c r="G3413" s="913" t="s">
        <v>1435</v>
      </c>
      <c r="H3413" t="s">
        <v>6679</v>
      </c>
    </row>
    <row r="3414" spans="2:8">
      <c r="B3414" s="871">
        <v>46281</v>
      </c>
      <c r="C3414" t="s">
        <v>2485</v>
      </c>
      <c r="D3414" t="s">
        <v>1410</v>
      </c>
      <c r="E3414" t="s">
        <v>3397</v>
      </c>
      <c r="F3414" s="853" t="s">
        <v>527</v>
      </c>
      <c r="G3414" s="913" t="s">
        <v>1435</v>
      </c>
      <c r="H3414" t="s">
        <v>6680</v>
      </c>
    </row>
    <row r="3415" spans="2:8">
      <c r="B3415" s="871">
        <v>46281</v>
      </c>
      <c r="C3415" t="s">
        <v>2485</v>
      </c>
      <c r="D3415" t="s">
        <v>1410</v>
      </c>
      <c r="E3415" t="s">
        <v>3397</v>
      </c>
      <c r="F3415" s="853" t="s">
        <v>528</v>
      </c>
      <c r="G3415" s="913" t="s">
        <v>1435</v>
      </c>
      <c r="H3415" t="s">
        <v>6681</v>
      </c>
    </row>
    <row r="3416" spans="2:8">
      <c r="B3416" s="871">
        <v>46281</v>
      </c>
      <c r="C3416" t="s">
        <v>2485</v>
      </c>
      <c r="D3416" t="s">
        <v>1434</v>
      </c>
      <c r="E3416" t="s">
        <v>42</v>
      </c>
      <c r="F3416" s="853" t="s">
        <v>526</v>
      </c>
      <c r="G3416" s="913" t="s">
        <v>1862</v>
      </c>
      <c r="H3416" t="s">
        <v>6682</v>
      </c>
    </row>
    <row r="3417" spans="2:8">
      <c r="B3417" s="871">
        <v>46281</v>
      </c>
      <c r="C3417" t="s">
        <v>2485</v>
      </c>
      <c r="D3417" t="s">
        <v>1434</v>
      </c>
      <c r="E3417" t="s">
        <v>42</v>
      </c>
      <c r="F3417" s="853" t="s">
        <v>527</v>
      </c>
      <c r="G3417" s="913" t="s">
        <v>1913</v>
      </c>
      <c r="H3417" t="s">
        <v>6683</v>
      </c>
    </row>
    <row r="3418" spans="2:8">
      <c r="B3418" s="871">
        <v>46281</v>
      </c>
      <c r="C3418" t="s">
        <v>2485</v>
      </c>
      <c r="D3418" t="s">
        <v>1434</v>
      </c>
      <c r="E3418" t="s">
        <v>42</v>
      </c>
      <c r="F3418" s="853" t="s">
        <v>528</v>
      </c>
      <c r="G3418" s="913" t="s">
        <v>1975</v>
      </c>
      <c r="H3418" t="s">
        <v>6684</v>
      </c>
    </row>
    <row r="3419" spans="2:8">
      <c r="B3419" s="871">
        <v>46281</v>
      </c>
      <c r="C3419" t="s">
        <v>2485</v>
      </c>
      <c r="D3419" t="s">
        <v>1410</v>
      </c>
      <c r="E3419" t="s">
        <v>3404</v>
      </c>
      <c r="F3419" s="853" t="s">
        <v>526</v>
      </c>
      <c r="G3419" s="913" t="s">
        <v>1419</v>
      </c>
      <c r="H3419" t="s">
        <v>6685</v>
      </c>
    </row>
    <row r="3420" spans="2:8">
      <c r="B3420" s="871">
        <v>46281</v>
      </c>
      <c r="C3420" t="s">
        <v>2485</v>
      </c>
      <c r="D3420" t="s">
        <v>1410</v>
      </c>
      <c r="E3420" t="s">
        <v>3404</v>
      </c>
      <c r="F3420" s="853" t="s">
        <v>527</v>
      </c>
      <c r="G3420" s="913" t="s">
        <v>1419</v>
      </c>
      <c r="H3420" t="s">
        <v>6686</v>
      </c>
    </row>
    <row r="3421" spans="2:8">
      <c r="B3421" s="871">
        <v>46281</v>
      </c>
      <c r="C3421" t="s">
        <v>2485</v>
      </c>
      <c r="D3421" t="s">
        <v>1410</v>
      </c>
      <c r="E3421" t="s">
        <v>3404</v>
      </c>
      <c r="F3421" s="853" t="s">
        <v>528</v>
      </c>
      <c r="G3421" s="913" t="s">
        <v>1419</v>
      </c>
      <c r="H3421" t="s">
        <v>6687</v>
      </c>
    </row>
    <row r="3422" spans="2:8">
      <c r="B3422" s="871">
        <v>46281</v>
      </c>
      <c r="C3422" t="s">
        <v>2485</v>
      </c>
      <c r="D3422" t="s">
        <v>1434</v>
      </c>
      <c r="E3422" t="s">
        <v>1439</v>
      </c>
      <c r="F3422" s="853" t="s">
        <v>526</v>
      </c>
      <c r="G3422" s="913" t="s">
        <v>1440</v>
      </c>
      <c r="H3422" t="s">
        <v>6688</v>
      </c>
    </row>
    <row r="3423" spans="2:8">
      <c r="B3423" s="871">
        <v>46281</v>
      </c>
      <c r="C3423" t="s">
        <v>2485</v>
      </c>
      <c r="D3423" t="s">
        <v>1434</v>
      </c>
      <c r="E3423" t="s">
        <v>1439</v>
      </c>
      <c r="F3423" s="853" t="s">
        <v>527</v>
      </c>
      <c r="G3423" s="913" t="s">
        <v>9412</v>
      </c>
      <c r="H3423" t="s">
        <v>6689</v>
      </c>
    </row>
    <row r="3424" spans="2:8">
      <c r="B3424" s="871">
        <v>46281</v>
      </c>
      <c r="C3424" t="s">
        <v>2485</v>
      </c>
      <c r="D3424" t="s">
        <v>1434</v>
      </c>
      <c r="E3424" t="s">
        <v>1439</v>
      </c>
      <c r="F3424" s="853" t="s">
        <v>528</v>
      </c>
      <c r="G3424" s="913" t="s">
        <v>9412</v>
      </c>
      <c r="H3424" t="s">
        <v>6690</v>
      </c>
    </row>
    <row r="3425" spans="2:8">
      <c r="B3425" s="871">
        <v>46281</v>
      </c>
      <c r="C3425" t="s">
        <v>2485</v>
      </c>
      <c r="D3425" t="s">
        <v>1410</v>
      </c>
      <c r="E3425" t="s">
        <v>3411</v>
      </c>
      <c r="F3425" s="853" t="s">
        <v>526</v>
      </c>
      <c r="G3425" s="913">
        <v>47</v>
      </c>
      <c r="H3425" t="s">
        <v>6691</v>
      </c>
    </row>
    <row r="3426" spans="2:8">
      <c r="B3426" s="871">
        <v>46281</v>
      </c>
      <c r="C3426" t="s">
        <v>2485</v>
      </c>
      <c r="D3426" t="s">
        <v>1410</v>
      </c>
      <c r="E3426" t="s">
        <v>3411</v>
      </c>
      <c r="F3426" s="853" t="s">
        <v>527</v>
      </c>
      <c r="G3426" s="913">
        <v>64</v>
      </c>
      <c r="H3426" t="s">
        <v>6692</v>
      </c>
    </row>
    <row r="3427" spans="2:8">
      <c r="B3427" s="871">
        <v>46281</v>
      </c>
      <c r="C3427" t="s">
        <v>2485</v>
      </c>
      <c r="D3427" t="s">
        <v>1410</v>
      </c>
      <c r="E3427" t="s">
        <v>3411</v>
      </c>
      <c r="F3427" s="853" t="s">
        <v>528</v>
      </c>
      <c r="G3427" s="913">
        <v>65</v>
      </c>
      <c r="H3427" t="s">
        <v>6693</v>
      </c>
    </row>
    <row r="3428" spans="2:8">
      <c r="B3428" s="871">
        <v>46281</v>
      </c>
      <c r="C3428" t="s">
        <v>2485</v>
      </c>
      <c r="D3428" t="s">
        <v>1434</v>
      </c>
      <c r="E3428" t="s">
        <v>43</v>
      </c>
      <c r="F3428" s="853" t="s">
        <v>526</v>
      </c>
      <c r="G3428" s="913" t="s">
        <v>1863</v>
      </c>
      <c r="H3428" t="s">
        <v>6694</v>
      </c>
    </row>
    <row r="3429" spans="2:8">
      <c r="B3429" s="871">
        <v>46281</v>
      </c>
      <c r="C3429" t="s">
        <v>2485</v>
      </c>
      <c r="D3429" t="s">
        <v>1434</v>
      </c>
      <c r="E3429" t="s">
        <v>43</v>
      </c>
      <c r="F3429" s="853" t="s">
        <v>527</v>
      </c>
      <c r="G3429" s="913" t="s">
        <v>9413</v>
      </c>
      <c r="H3429" t="s">
        <v>6695</v>
      </c>
    </row>
    <row r="3430" spans="2:8">
      <c r="B3430" s="871">
        <v>46281</v>
      </c>
      <c r="C3430" t="s">
        <v>2485</v>
      </c>
      <c r="D3430" t="s">
        <v>1434</v>
      </c>
      <c r="E3430" t="s">
        <v>43</v>
      </c>
      <c r="F3430" s="853" t="s">
        <v>528</v>
      </c>
      <c r="G3430" s="913" t="s">
        <v>9414</v>
      </c>
      <c r="H3430" t="s">
        <v>6696</v>
      </c>
    </row>
    <row r="3431" spans="2:8">
      <c r="B3431" s="871">
        <v>46281</v>
      </c>
      <c r="C3431" t="s">
        <v>2485</v>
      </c>
      <c r="D3431" t="s">
        <v>1410</v>
      </c>
      <c r="E3431" t="s">
        <v>3418</v>
      </c>
      <c r="F3431" s="853" t="s">
        <v>526</v>
      </c>
      <c r="G3431" s="913">
        <v>94</v>
      </c>
      <c r="H3431" t="s">
        <v>6697</v>
      </c>
    </row>
    <row r="3432" spans="2:8">
      <c r="B3432" s="871">
        <v>46281</v>
      </c>
      <c r="C3432" t="s">
        <v>2485</v>
      </c>
      <c r="D3432" t="s">
        <v>1410</v>
      </c>
      <c r="E3432" t="s">
        <v>3418</v>
      </c>
      <c r="F3432" s="853" t="s">
        <v>527</v>
      </c>
      <c r="G3432" s="913">
        <v>68</v>
      </c>
      <c r="H3432" t="s">
        <v>6698</v>
      </c>
    </row>
    <row r="3433" spans="2:8">
      <c r="B3433" s="871">
        <v>46281</v>
      </c>
      <c r="C3433" t="s">
        <v>2485</v>
      </c>
      <c r="D3433" t="s">
        <v>1410</v>
      </c>
      <c r="E3433" t="s">
        <v>3418</v>
      </c>
      <c r="F3433" s="853" t="s">
        <v>528</v>
      </c>
      <c r="G3433" s="913">
        <v>69</v>
      </c>
      <c r="H3433" t="s">
        <v>6699</v>
      </c>
    </row>
    <row r="3434" spans="2:8">
      <c r="B3434" s="871">
        <v>46281</v>
      </c>
      <c r="C3434" t="s">
        <v>2485</v>
      </c>
      <c r="D3434" t="s">
        <v>1434</v>
      </c>
      <c r="E3434" t="s">
        <v>1441</v>
      </c>
      <c r="F3434" s="853" t="s">
        <v>526</v>
      </c>
      <c r="H3434" t="s">
        <v>6700</v>
      </c>
    </row>
    <row r="3435" spans="2:8">
      <c r="B3435" s="871">
        <v>46281</v>
      </c>
      <c r="C3435" t="s">
        <v>2485</v>
      </c>
      <c r="D3435" t="s">
        <v>1434</v>
      </c>
      <c r="E3435" t="s">
        <v>1441</v>
      </c>
      <c r="F3435" s="853" t="s">
        <v>527</v>
      </c>
      <c r="H3435" t="s">
        <v>6701</v>
      </c>
    </row>
    <row r="3436" spans="2:8">
      <c r="B3436" s="871">
        <v>46281</v>
      </c>
      <c r="C3436" t="s">
        <v>2485</v>
      </c>
      <c r="D3436" t="s">
        <v>1434</v>
      </c>
      <c r="E3436" t="s">
        <v>1441</v>
      </c>
      <c r="F3436" s="853" t="s">
        <v>528</v>
      </c>
      <c r="H3436" t="s">
        <v>6702</v>
      </c>
    </row>
    <row r="3437" spans="2:8">
      <c r="B3437" s="871">
        <v>46281</v>
      </c>
      <c r="C3437" t="s">
        <v>2485</v>
      </c>
      <c r="D3437" t="s">
        <v>1410</v>
      </c>
      <c r="E3437" t="s">
        <v>3425</v>
      </c>
      <c r="F3437" s="853" t="s">
        <v>526</v>
      </c>
      <c r="G3437" s="913" t="s">
        <v>1443</v>
      </c>
      <c r="H3437" t="s">
        <v>6703</v>
      </c>
    </row>
    <row r="3438" spans="2:8">
      <c r="B3438" s="871">
        <v>46281</v>
      </c>
      <c r="C3438" t="s">
        <v>2485</v>
      </c>
      <c r="D3438" t="s">
        <v>1410</v>
      </c>
      <c r="E3438" t="s">
        <v>3425</v>
      </c>
      <c r="F3438" s="853" t="s">
        <v>527</v>
      </c>
      <c r="G3438" s="913" t="s">
        <v>1443</v>
      </c>
      <c r="H3438" t="s">
        <v>6704</v>
      </c>
    </row>
    <row r="3439" spans="2:8">
      <c r="B3439" s="871">
        <v>46281</v>
      </c>
      <c r="C3439" t="s">
        <v>2485</v>
      </c>
      <c r="D3439" t="s">
        <v>1410</v>
      </c>
      <c r="E3439" t="s">
        <v>3425</v>
      </c>
      <c r="F3439" s="853" t="s">
        <v>528</v>
      </c>
      <c r="G3439" s="913" t="s">
        <v>1443</v>
      </c>
      <c r="H3439" t="s">
        <v>6705</v>
      </c>
    </row>
    <row r="3440" spans="2:8">
      <c r="B3440" s="871">
        <v>46281</v>
      </c>
      <c r="C3440" t="s">
        <v>2485</v>
      </c>
      <c r="D3440" t="s">
        <v>1434</v>
      </c>
      <c r="E3440" t="s">
        <v>1444</v>
      </c>
      <c r="F3440" s="853" t="s">
        <v>526</v>
      </c>
      <c r="H3440" t="s">
        <v>6706</v>
      </c>
    </row>
    <row r="3441" spans="2:8">
      <c r="B3441" s="871">
        <v>46281</v>
      </c>
      <c r="C3441" t="s">
        <v>2485</v>
      </c>
      <c r="D3441" t="s">
        <v>1434</v>
      </c>
      <c r="E3441" t="s">
        <v>1444</v>
      </c>
      <c r="F3441" s="853" t="s">
        <v>527</v>
      </c>
      <c r="G3441" s="913" t="s">
        <v>9415</v>
      </c>
      <c r="H3441" t="s">
        <v>6707</v>
      </c>
    </row>
    <row r="3442" spans="2:8">
      <c r="B3442" s="871">
        <v>46281</v>
      </c>
      <c r="C3442" t="s">
        <v>2485</v>
      </c>
      <c r="D3442" t="s">
        <v>1434</v>
      </c>
      <c r="E3442" t="s">
        <v>1444</v>
      </c>
      <c r="F3442" s="853" t="s">
        <v>528</v>
      </c>
      <c r="H3442" t="s">
        <v>6708</v>
      </c>
    </row>
    <row r="3443" spans="2:8">
      <c r="B3443" s="871">
        <v>46281</v>
      </c>
      <c r="C3443" t="s">
        <v>2485</v>
      </c>
      <c r="D3443" t="s">
        <v>1434</v>
      </c>
      <c r="E3443" t="s">
        <v>1446</v>
      </c>
      <c r="F3443" s="853" t="s">
        <v>526</v>
      </c>
      <c r="G3443" s="913">
        <v>22500</v>
      </c>
      <c r="H3443" t="s">
        <v>6709</v>
      </c>
    </row>
    <row r="3444" spans="2:8">
      <c r="B3444" s="871">
        <v>46281</v>
      </c>
      <c r="C3444" t="s">
        <v>2485</v>
      </c>
      <c r="D3444" t="s">
        <v>1434</v>
      </c>
      <c r="E3444" t="s">
        <v>1446</v>
      </c>
      <c r="F3444" s="853" t="s">
        <v>527</v>
      </c>
      <c r="G3444" s="913">
        <v>163845</v>
      </c>
      <c r="H3444" t="s">
        <v>6710</v>
      </c>
    </row>
    <row r="3445" spans="2:8">
      <c r="B3445" s="871">
        <v>46281</v>
      </c>
      <c r="C3445" t="s">
        <v>2485</v>
      </c>
      <c r="D3445" t="s">
        <v>1434</v>
      </c>
      <c r="E3445" t="s">
        <v>1446</v>
      </c>
      <c r="F3445" s="853" t="s">
        <v>528</v>
      </c>
      <c r="G3445" s="913">
        <v>29000</v>
      </c>
      <c r="H3445" t="s">
        <v>6711</v>
      </c>
    </row>
    <row r="3446" spans="2:8">
      <c r="B3446" s="871">
        <v>46281</v>
      </c>
      <c r="C3446" t="s">
        <v>2485</v>
      </c>
      <c r="D3446" t="s">
        <v>1410</v>
      </c>
      <c r="E3446" t="s">
        <v>3435</v>
      </c>
      <c r="F3446" s="853" t="s">
        <v>526</v>
      </c>
      <c r="G3446" s="913" t="s">
        <v>1586</v>
      </c>
      <c r="H3446" t="s">
        <v>6712</v>
      </c>
    </row>
    <row r="3447" spans="2:8">
      <c r="B3447" s="871">
        <v>46281</v>
      </c>
      <c r="C3447" t="s">
        <v>2485</v>
      </c>
      <c r="D3447" t="s">
        <v>1410</v>
      </c>
      <c r="E3447" t="s">
        <v>3435</v>
      </c>
      <c r="F3447" s="853" t="s">
        <v>527</v>
      </c>
      <c r="G3447" s="913" t="s">
        <v>1586</v>
      </c>
      <c r="H3447" t="s">
        <v>6713</v>
      </c>
    </row>
    <row r="3448" spans="2:8">
      <c r="B3448" s="871">
        <v>46281</v>
      </c>
      <c r="C3448" t="s">
        <v>2485</v>
      </c>
      <c r="D3448" t="s">
        <v>1410</v>
      </c>
      <c r="E3448" t="s">
        <v>3435</v>
      </c>
      <c r="F3448" s="853" t="s">
        <v>528</v>
      </c>
      <c r="G3448" s="913" t="s">
        <v>1586</v>
      </c>
      <c r="H3448" t="s">
        <v>6714</v>
      </c>
    </row>
    <row r="3449" spans="2:8">
      <c r="B3449" s="871">
        <v>46281</v>
      </c>
      <c r="C3449" t="s">
        <v>2485</v>
      </c>
      <c r="D3449" t="s">
        <v>1434</v>
      </c>
      <c r="E3449" t="s">
        <v>3439</v>
      </c>
      <c r="F3449" s="853" t="s">
        <v>526</v>
      </c>
      <c r="H3449" t="s">
        <v>6715</v>
      </c>
    </row>
    <row r="3450" spans="2:8">
      <c r="B3450" s="871">
        <v>46281</v>
      </c>
      <c r="C3450" t="s">
        <v>2485</v>
      </c>
      <c r="D3450" t="s">
        <v>1434</v>
      </c>
      <c r="E3450" t="s">
        <v>3439</v>
      </c>
      <c r="F3450" s="853" t="s">
        <v>527</v>
      </c>
      <c r="H3450" t="s">
        <v>6716</v>
      </c>
    </row>
    <row r="3451" spans="2:8">
      <c r="B3451" s="871">
        <v>46281</v>
      </c>
      <c r="C3451" t="s">
        <v>2485</v>
      </c>
      <c r="D3451" t="s">
        <v>1434</v>
      </c>
      <c r="E3451" t="s">
        <v>3439</v>
      </c>
      <c r="F3451" s="853" t="s">
        <v>528</v>
      </c>
      <c r="H3451" t="s">
        <v>6717</v>
      </c>
    </row>
    <row r="3452" spans="2:8">
      <c r="B3452" s="871">
        <v>46281</v>
      </c>
      <c r="C3452" t="s">
        <v>2485</v>
      </c>
      <c r="D3452" t="s">
        <v>1410</v>
      </c>
      <c r="E3452" t="s">
        <v>3443</v>
      </c>
      <c r="F3452" s="853" t="s">
        <v>526</v>
      </c>
      <c r="H3452" t="s">
        <v>6718</v>
      </c>
    </row>
    <row r="3453" spans="2:8">
      <c r="B3453" s="871">
        <v>46281</v>
      </c>
      <c r="C3453" t="s">
        <v>2485</v>
      </c>
      <c r="D3453" t="s">
        <v>1410</v>
      </c>
      <c r="E3453" t="s">
        <v>3443</v>
      </c>
      <c r="F3453" s="853" t="s">
        <v>527</v>
      </c>
      <c r="H3453" t="s">
        <v>6719</v>
      </c>
    </row>
    <row r="3454" spans="2:8">
      <c r="B3454" s="871">
        <v>46281</v>
      </c>
      <c r="C3454" t="s">
        <v>2485</v>
      </c>
      <c r="D3454" t="s">
        <v>1410</v>
      </c>
      <c r="E3454" t="s">
        <v>3443</v>
      </c>
      <c r="F3454" s="853" t="s">
        <v>528</v>
      </c>
      <c r="H3454" t="s">
        <v>6720</v>
      </c>
    </row>
    <row r="3455" spans="2:8">
      <c r="B3455" s="871">
        <v>46281</v>
      </c>
      <c r="C3455" t="s">
        <v>2485</v>
      </c>
      <c r="D3455" t="s">
        <v>1434</v>
      </c>
      <c r="E3455" t="s">
        <v>3447</v>
      </c>
      <c r="F3455" s="853" t="s">
        <v>526</v>
      </c>
      <c r="H3455" t="s">
        <v>6721</v>
      </c>
    </row>
    <row r="3456" spans="2:8">
      <c r="B3456" s="871">
        <v>46281</v>
      </c>
      <c r="C3456" t="s">
        <v>2485</v>
      </c>
      <c r="D3456" t="s">
        <v>1434</v>
      </c>
      <c r="E3456" t="s">
        <v>3447</v>
      </c>
      <c r="F3456" s="853" t="s">
        <v>527</v>
      </c>
      <c r="H3456" t="s">
        <v>6722</v>
      </c>
    </row>
    <row r="3457" spans="2:8">
      <c r="B3457" s="871">
        <v>46281</v>
      </c>
      <c r="C3457" t="s">
        <v>2485</v>
      </c>
      <c r="D3457" t="s">
        <v>1434</v>
      </c>
      <c r="E3457" t="s">
        <v>3447</v>
      </c>
      <c r="F3457" s="853" t="s">
        <v>528</v>
      </c>
      <c r="H3457" t="s">
        <v>6723</v>
      </c>
    </row>
    <row r="3458" spans="2:8">
      <c r="B3458" s="871">
        <v>46281</v>
      </c>
      <c r="C3458" t="s">
        <v>2485</v>
      </c>
      <c r="D3458" t="s">
        <v>1410</v>
      </c>
      <c r="E3458" t="s">
        <v>3451</v>
      </c>
      <c r="F3458" s="853" t="s">
        <v>526</v>
      </c>
      <c r="H3458" t="s">
        <v>6724</v>
      </c>
    </row>
    <row r="3459" spans="2:8">
      <c r="B3459" s="871">
        <v>46281</v>
      </c>
      <c r="C3459" t="s">
        <v>2485</v>
      </c>
      <c r="D3459" t="s">
        <v>1410</v>
      </c>
      <c r="E3459" t="s">
        <v>3451</v>
      </c>
      <c r="F3459" s="853" t="s">
        <v>527</v>
      </c>
      <c r="H3459" t="s">
        <v>6725</v>
      </c>
    </row>
    <row r="3460" spans="2:8">
      <c r="B3460" s="871">
        <v>46281</v>
      </c>
      <c r="C3460" t="s">
        <v>2485</v>
      </c>
      <c r="D3460" t="s">
        <v>1410</v>
      </c>
      <c r="E3460" t="s">
        <v>3451</v>
      </c>
      <c r="F3460" s="853" t="s">
        <v>528</v>
      </c>
      <c r="H3460" t="s">
        <v>6726</v>
      </c>
    </row>
    <row r="3461" spans="2:8">
      <c r="B3461" s="871">
        <v>46281</v>
      </c>
      <c r="C3461" t="s">
        <v>2485</v>
      </c>
      <c r="D3461" t="s">
        <v>1434</v>
      </c>
      <c r="E3461" t="s">
        <v>3455</v>
      </c>
      <c r="F3461" s="853" t="s">
        <v>526</v>
      </c>
      <c r="H3461" t="s">
        <v>6727</v>
      </c>
    </row>
    <row r="3462" spans="2:8">
      <c r="B3462" s="871">
        <v>46281</v>
      </c>
      <c r="C3462" t="s">
        <v>2485</v>
      </c>
      <c r="D3462" t="s">
        <v>1434</v>
      </c>
      <c r="E3462" t="s">
        <v>3455</v>
      </c>
      <c r="F3462" s="853" t="s">
        <v>527</v>
      </c>
      <c r="H3462" t="s">
        <v>6728</v>
      </c>
    </row>
    <row r="3463" spans="2:8">
      <c r="B3463" s="871">
        <v>46281</v>
      </c>
      <c r="C3463" t="s">
        <v>2485</v>
      </c>
      <c r="D3463" t="s">
        <v>1434</v>
      </c>
      <c r="E3463" t="s">
        <v>3455</v>
      </c>
      <c r="F3463" s="853" t="s">
        <v>528</v>
      </c>
      <c r="H3463" t="s">
        <v>6729</v>
      </c>
    </row>
    <row r="3464" spans="2:8">
      <c r="B3464" s="871">
        <v>46281</v>
      </c>
      <c r="C3464" t="s">
        <v>2485</v>
      </c>
      <c r="D3464" t="s">
        <v>1410</v>
      </c>
      <c r="E3464" t="s">
        <v>3459</v>
      </c>
      <c r="F3464" s="853" t="s">
        <v>526</v>
      </c>
      <c r="G3464" s="913">
        <v>28</v>
      </c>
      <c r="H3464" t="s">
        <v>6730</v>
      </c>
    </row>
    <row r="3465" spans="2:8">
      <c r="B3465" s="871">
        <v>46281</v>
      </c>
      <c r="C3465" t="s">
        <v>2485</v>
      </c>
      <c r="D3465" t="s">
        <v>1410</v>
      </c>
      <c r="E3465" t="s">
        <v>3459</v>
      </c>
      <c r="F3465" s="853" t="s">
        <v>527</v>
      </c>
      <c r="G3465" s="913">
        <v>28</v>
      </c>
      <c r="H3465" t="s">
        <v>6731</v>
      </c>
    </row>
    <row r="3466" spans="2:8">
      <c r="B3466" s="871">
        <v>46281</v>
      </c>
      <c r="C3466" t="s">
        <v>2485</v>
      </c>
      <c r="D3466" t="s">
        <v>1410</v>
      </c>
      <c r="E3466" t="s">
        <v>3459</v>
      </c>
      <c r="F3466" s="853" t="s">
        <v>528</v>
      </c>
      <c r="G3466" s="913">
        <v>28</v>
      </c>
      <c r="H3466" t="s">
        <v>6732</v>
      </c>
    </row>
    <row r="3467" spans="2:8">
      <c r="B3467" s="871">
        <v>46281</v>
      </c>
      <c r="C3467" t="s">
        <v>2485</v>
      </c>
      <c r="D3467" t="s">
        <v>1434</v>
      </c>
      <c r="E3467" t="s">
        <v>3463</v>
      </c>
      <c r="F3467" s="853" t="s">
        <v>526</v>
      </c>
      <c r="H3467" t="s">
        <v>6733</v>
      </c>
    </row>
    <row r="3468" spans="2:8">
      <c r="B3468" s="871">
        <v>46281</v>
      </c>
      <c r="C3468" t="s">
        <v>2485</v>
      </c>
      <c r="D3468" t="s">
        <v>1434</v>
      </c>
      <c r="E3468" t="s">
        <v>3463</v>
      </c>
      <c r="F3468" s="853" t="s">
        <v>527</v>
      </c>
      <c r="H3468" t="s">
        <v>6734</v>
      </c>
    </row>
    <row r="3469" spans="2:8">
      <c r="B3469" s="871">
        <v>46281</v>
      </c>
      <c r="C3469" t="s">
        <v>2485</v>
      </c>
      <c r="D3469" t="s">
        <v>1434</v>
      </c>
      <c r="E3469" t="s">
        <v>3463</v>
      </c>
      <c r="F3469" s="853" t="s">
        <v>528</v>
      </c>
      <c r="H3469" t="s">
        <v>6735</v>
      </c>
    </row>
    <row r="3470" spans="2:8">
      <c r="B3470" s="871">
        <v>46281</v>
      </c>
      <c r="C3470" t="s">
        <v>2485</v>
      </c>
      <c r="D3470" t="s">
        <v>1410</v>
      </c>
      <c r="E3470" t="s">
        <v>3467</v>
      </c>
      <c r="F3470" s="853" t="s">
        <v>526</v>
      </c>
      <c r="H3470" t="s">
        <v>6736</v>
      </c>
    </row>
    <row r="3471" spans="2:8">
      <c r="B3471" s="871">
        <v>46281</v>
      </c>
      <c r="C3471" t="s">
        <v>2485</v>
      </c>
      <c r="D3471" t="s">
        <v>1410</v>
      </c>
      <c r="E3471" t="s">
        <v>3467</v>
      </c>
      <c r="F3471" s="853" t="s">
        <v>527</v>
      </c>
      <c r="H3471" t="s">
        <v>6737</v>
      </c>
    </row>
    <row r="3472" spans="2:8">
      <c r="B3472" s="871">
        <v>46281</v>
      </c>
      <c r="C3472" t="s">
        <v>2485</v>
      </c>
      <c r="D3472" t="s">
        <v>1410</v>
      </c>
      <c r="E3472" t="s">
        <v>3467</v>
      </c>
      <c r="F3472" s="853" t="s">
        <v>528</v>
      </c>
      <c r="G3472" s="913">
        <v>28</v>
      </c>
      <c r="H3472" t="s">
        <v>6738</v>
      </c>
    </row>
    <row r="3473" spans="2:8">
      <c r="B3473" s="871">
        <v>46281</v>
      </c>
      <c r="C3473" t="s">
        <v>2485</v>
      </c>
      <c r="D3473" t="s">
        <v>1434</v>
      </c>
      <c r="E3473" t="s">
        <v>3471</v>
      </c>
      <c r="F3473" s="853" t="s">
        <v>526</v>
      </c>
      <c r="H3473" t="s">
        <v>6739</v>
      </c>
    </row>
    <row r="3474" spans="2:8">
      <c r="B3474" s="871">
        <v>46281</v>
      </c>
      <c r="C3474" t="s">
        <v>2485</v>
      </c>
      <c r="D3474" t="s">
        <v>1434</v>
      </c>
      <c r="E3474" t="s">
        <v>3471</v>
      </c>
      <c r="F3474" s="853" t="s">
        <v>527</v>
      </c>
      <c r="H3474" t="s">
        <v>6740</v>
      </c>
    </row>
    <row r="3475" spans="2:8">
      <c r="B3475" s="871">
        <v>46281</v>
      </c>
      <c r="C3475" t="s">
        <v>2485</v>
      </c>
      <c r="D3475" t="s">
        <v>1434</v>
      </c>
      <c r="E3475" t="s">
        <v>3471</v>
      </c>
      <c r="F3475" s="853" t="s">
        <v>528</v>
      </c>
      <c r="H3475" t="s">
        <v>6741</v>
      </c>
    </row>
    <row r="3476" spans="2:8">
      <c r="B3476" s="871">
        <v>46281</v>
      </c>
      <c r="C3476" t="s">
        <v>2485</v>
      </c>
      <c r="D3476" t="s">
        <v>1410</v>
      </c>
      <c r="E3476" t="s">
        <v>3475</v>
      </c>
      <c r="F3476" s="853" t="s">
        <v>526</v>
      </c>
      <c r="G3476" s="913">
        <v>18</v>
      </c>
      <c r="H3476" t="s">
        <v>6742</v>
      </c>
    </row>
    <row r="3477" spans="2:8">
      <c r="B3477" s="871">
        <v>46281</v>
      </c>
      <c r="C3477" t="s">
        <v>2485</v>
      </c>
      <c r="D3477" t="s">
        <v>1410</v>
      </c>
      <c r="E3477" t="s">
        <v>3475</v>
      </c>
      <c r="F3477" s="853" t="s">
        <v>527</v>
      </c>
      <c r="G3477" s="913">
        <v>18</v>
      </c>
      <c r="H3477" t="s">
        <v>6743</v>
      </c>
    </row>
    <row r="3478" spans="2:8">
      <c r="B3478" s="871">
        <v>46281</v>
      </c>
      <c r="C3478" t="s">
        <v>2485</v>
      </c>
      <c r="D3478" t="s">
        <v>1410</v>
      </c>
      <c r="E3478" t="s">
        <v>3475</v>
      </c>
      <c r="F3478" s="853" t="s">
        <v>528</v>
      </c>
      <c r="G3478" s="913">
        <v>17</v>
      </c>
      <c r="H3478" t="s">
        <v>6744</v>
      </c>
    </row>
    <row r="3479" spans="2:8">
      <c r="B3479" s="871">
        <v>46281</v>
      </c>
      <c r="C3479" t="s">
        <v>2485</v>
      </c>
      <c r="D3479" t="s">
        <v>1434</v>
      </c>
      <c r="E3479" t="s">
        <v>3479</v>
      </c>
      <c r="F3479" s="853" t="s">
        <v>526</v>
      </c>
      <c r="H3479" t="s">
        <v>6745</v>
      </c>
    </row>
    <row r="3480" spans="2:8">
      <c r="B3480" s="871">
        <v>46281</v>
      </c>
      <c r="C3480" t="s">
        <v>2485</v>
      </c>
      <c r="D3480" t="s">
        <v>1434</v>
      </c>
      <c r="E3480" t="s">
        <v>3479</v>
      </c>
      <c r="F3480" s="853" t="s">
        <v>527</v>
      </c>
      <c r="H3480" t="s">
        <v>6746</v>
      </c>
    </row>
    <row r="3481" spans="2:8">
      <c r="B3481" s="871">
        <v>46281</v>
      </c>
      <c r="C3481" t="s">
        <v>2485</v>
      </c>
      <c r="D3481" t="s">
        <v>1434</v>
      </c>
      <c r="E3481" t="s">
        <v>3479</v>
      </c>
      <c r="F3481" s="853" t="s">
        <v>528</v>
      </c>
      <c r="H3481" t="s">
        <v>6747</v>
      </c>
    </row>
    <row r="3482" spans="2:8">
      <c r="B3482" s="871">
        <v>46281</v>
      </c>
      <c r="C3482" t="s">
        <v>2485</v>
      </c>
      <c r="D3482" t="s">
        <v>1410</v>
      </c>
      <c r="E3482" t="s">
        <v>3483</v>
      </c>
      <c r="F3482" s="853" t="s">
        <v>526</v>
      </c>
      <c r="G3482" s="913" t="s">
        <v>1878</v>
      </c>
      <c r="H3482" t="s">
        <v>6748</v>
      </c>
    </row>
    <row r="3483" spans="2:8">
      <c r="B3483" s="871">
        <v>46281</v>
      </c>
      <c r="C3483" t="s">
        <v>2485</v>
      </c>
      <c r="D3483" t="s">
        <v>1410</v>
      </c>
      <c r="E3483" t="s">
        <v>3483</v>
      </c>
      <c r="F3483" s="853" t="s">
        <v>527</v>
      </c>
      <c r="G3483" s="913" t="s">
        <v>1915</v>
      </c>
      <c r="H3483" t="s">
        <v>6749</v>
      </c>
    </row>
    <row r="3484" spans="2:8">
      <c r="B3484" s="871">
        <v>46281</v>
      </c>
      <c r="C3484" t="s">
        <v>2485</v>
      </c>
      <c r="D3484" t="s">
        <v>1410</v>
      </c>
      <c r="E3484" t="s">
        <v>3483</v>
      </c>
      <c r="F3484" s="853" t="s">
        <v>528</v>
      </c>
      <c r="G3484" s="913">
        <v>5</v>
      </c>
      <c r="H3484" t="s">
        <v>6750</v>
      </c>
    </row>
    <row r="3485" spans="2:8">
      <c r="B3485" s="871">
        <v>46282</v>
      </c>
      <c r="C3485" t="s">
        <v>2486</v>
      </c>
      <c r="D3485" t="s">
        <v>1375</v>
      </c>
      <c r="E3485" t="s">
        <v>1377</v>
      </c>
      <c r="F3485" s="853" t="s">
        <v>526</v>
      </c>
      <c r="G3485" s="913" t="s">
        <v>1622</v>
      </c>
      <c r="H3485" t="s">
        <v>6751</v>
      </c>
    </row>
    <row r="3486" spans="2:8">
      <c r="B3486" s="871">
        <v>46282</v>
      </c>
      <c r="C3486" t="s">
        <v>2486</v>
      </c>
      <c r="D3486" t="s">
        <v>1375</v>
      </c>
      <c r="E3486" t="s">
        <v>1377</v>
      </c>
      <c r="F3486" s="853" t="s">
        <v>527</v>
      </c>
      <c r="G3486" s="913" t="s">
        <v>1622</v>
      </c>
      <c r="H3486" t="s">
        <v>6752</v>
      </c>
    </row>
    <row r="3487" spans="2:8">
      <c r="B3487" s="871">
        <v>46282</v>
      </c>
      <c r="C3487" t="s">
        <v>2486</v>
      </c>
      <c r="D3487" t="s">
        <v>1375</v>
      </c>
      <c r="E3487" t="s">
        <v>1377</v>
      </c>
      <c r="F3487" s="853" t="s">
        <v>528</v>
      </c>
      <c r="G3487" s="913" t="s">
        <v>1622</v>
      </c>
      <c r="H3487" t="s">
        <v>6753</v>
      </c>
    </row>
    <row r="3488" spans="2:8">
      <c r="B3488" s="871">
        <v>46282</v>
      </c>
      <c r="C3488" t="s">
        <v>2486</v>
      </c>
      <c r="D3488" t="s">
        <v>1376</v>
      </c>
      <c r="E3488" t="s">
        <v>1379</v>
      </c>
      <c r="F3488" s="853" t="s">
        <v>526</v>
      </c>
      <c r="H3488" t="s">
        <v>6754</v>
      </c>
    </row>
    <row r="3489" spans="2:8">
      <c r="B3489" s="871">
        <v>46282</v>
      </c>
      <c r="C3489" t="s">
        <v>2486</v>
      </c>
      <c r="D3489" t="s">
        <v>1376</v>
      </c>
      <c r="E3489" t="s">
        <v>1379</v>
      </c>
      <c r="F3489" s="853" t="s">
        <v>527</v>
      </c>
      <c r="H3489" t="s">
        <v>6755</v>
      </c>
    </row>
    <row r="3490" spans="2:8">
      <c r="B3490" s="871">
        <v>46282</v>
      </c>
      <c r="C3490" t="s">
        <v>2486</v>
      </c>
      <c r="D3490" t="s">
        <v>1376</v>
      </c>
      <c r="E3490" t="s">
        <v>1379</v>
      </c>
      <c r="F3490" s="853" t="s">
        <v>528</v>
      </c>
      <c r="H3490" t="s">
        <v>6756</v>
      </c>
    </row>
    <row r="3491" spans="2:8">
      <c r="B3491" s="871">
        <v>46282</v>
      </c>
      <c r="C3491" t="s">
        <v>2486</v>
      </c>
      <c r="D3491" t="s">
        <v>1375</v>
      </c>
      <c r="E3491" t="s">
        <v>1380</v>
      </c>
      <c r="F3491" s="853" t="s">
        <v>526</v>
      </c>
      <c r="G3491" s="913" t="s">
        <v>1739</v>
      </c>
      <c r="H3491" t="s">
        <v>6757</v>
      </c>
    </row>
    <row r="3492" spans="2:8">
      <c r="B3492" s="871">
        <v>46282</v>
      </c>
      <c r="C3492" t="s">
        <v>2486</v>
      </c>
      <c r="D3492" t="s">
        <v>1375</v>
      </c>
      <c r="E3492" t="s">
        <v>1380</v>
      </c>
      <c r="F3492" s="853" t="s">
        <v>527</v>
      </c>
      <c r="G3492" s="913" t="s">
        <v>1739</v>
      </c>
      <c r="H3492" t="s">
        <v>6758</v>
      </c>
    </row>
    <row r="3493" spans="2:8">
      <c r="B3493" s="871">
        <v>46282</v>
      </c>
      <c r="C3493" t="s">
        <v>2486</v>
      </c>
      <c r="D3493" t="s">
        <v>1375</v>
      </c>
      <c r="E3493" t="s">
        <v>1380</v>
      </c>
      <c r="F3493" s="853" t="s">
        <v>528</v>
      </c>
      <c r="G3493" s="913" t="s">
        <v>1739</v>
      </c>
      <c r="H3493" t="s">
        <v>6759</v>
      </c>
    </row>
    <row r="3494" spans="2:8">
      <c r="B3494" s="871">
        <v>46282</v>
      </c>
      <c r="C3494" t="s">
        <v>2486</v>
      </c>
      <c r="D3494" t="s">
        <v>1376</v>
      </c>
      <c r="E3494" t="s">
        <v>1383</v>
      </c>
      <c r="F3494" s="853" t="s">
        <v>526</v>
      </c>
      <c r="G3494" s="913">
        <v>0</v>
      </c>
      <c r="H3494" t="s">
        <v>6760</v>
      </c>
    </row>
    <row r="3495" spans="2:8">
      <c r="B3495" s="871">
        <v>46282</v>
      </c>
      <c r="C3495" t="s">
        <v>2486</v>
      </c>
      <c r="D3495" t="s">
        <v>1376</v>
      </c>
      <c r="E3495" t="s">
        <v>1383</v>
      </c>
      <c r="F3495" s="853" t="s">
        <v>527</v>
      </c>
      <c r="G3495" s="913">
        <v>0</v>
      </c>
      <c r="H3495" t="s">
        <v>6761</v>
      </c>
    </row>
    <row r="3496" spans="2:8">
      <c r="B3496" s="871">
        <v>46282</v>
      </c>
      <c r="C3496" t="s">
        <v>2486</v>
      </c>
      <c r="D3496" t="s">
        <v>1376</v>
      </c>
      <c r="E3496" t="s">
        <v>1383</v>
      </c>
      <c r="F3496" s="853" t="s">
        <v>528</v>
      </c>
      <c r="G3496" s="913">
        <v>0</v>
      </c>
      <c r="H3496" t="s">
        <v>6762</v>
      </c>
    </row>
    <row r="3497" spans="2:8">
      <c r="B3497" s="871">
        <v>46282</v>
      </c>
      <c r="C3497" t="s">
        <v>2486</v>
      </c>
      <c r="D3497" t="s">
        <v>1375</v>
      </c>
      <c r="E3497" t="s">
        <v>54</v>
      </c>
      <c r="F3497" s="853" t="s">
        <v>526</v>
      </c>
      <c r="H3497" t="s">
        <v>6763</v>
      </c>
    </row>
    <row r="3498" spans="2:8">
      <c r="B3498" s="871">
        <v>46282</v>
      </c>
      <c r="C3498" t="s">
        <v>2486</v>
      </c>
      <c r="D3498" t="s">
        <v>1375</v>
      </c>
      <c r="E3498" t="s">
        <v>54</v>
      </c>
      <c r="F3498" s="853" t="s">
        <v>527</v>
      </c>
      <c r="H3498" t="s">
        <v>6764</v>
      </c>
    </row>
    <row r="3499" spans="2:8">
      <c r="B3499" s="871">
        <v>46282</v>
      </c>
      <c r="C3499" t="s">
        <v>2486</v>
      </c>
      <c r="D3499" t="s">
        <v>1375</v>
      </c>
      <c r="E3499" t="s">
        <v>54</v>
      </c>
      <c r="F3499" s="853" t="s">
        <v>528</v>
      </c>
      <c r="H3499" t="s">
        <v>6765</v>
      </c>
    </row>
    <row r="3500" spans="2:8">
      <c r="B3500" s="871">
        <v>46282</v>
      </c>
      <c r="C3500" t="s">
        <v>2486</v>
      </c>
      <c r="D3500" t="s">
        <v>1376</v>
      </c>
      <c r="E3500" t="s">
        <v>1384</v>
      </c>
      <c r="F3500" s="853" t="s">
        <v>526</v>
      </c>
      <c r="G3500" s="913">
        <v>0.32</v>
      </c>
      <c r="H3500" t="s">
        <v>6766</v>
      </c>
    </row>
    <row r="3501" spans="2:8">
      <c r="B3501" s="871">
        <v>46282</v>
      </c>
      <c r="C3501" t="s">
        <v>2486</v>
      </c>
      <c r="D3501" t="s">
        <v>1376</v>
      </c>
      <c r="E3501" t="s">
        <v>1384</v>
      </c>
      <c r="F3501" s="853" t="s">
        <v>527</v>
      </c>
      <c r="G3501" s="913">
        <v>0.4</v>
      </c>
      <c r="H3501" t="s">
        <v>6767</v>
      </c>
    </row>
    <row r="3502" spans="2:8">
      <c r="B3502" s="871">
        <v>46282</v>
      </c>
      <c r="C3502" t="s">
        <v>2486</v>
      </c>
      <c r="D3502" t="s">
        <v>1376</v>
      </c>
      <c r="E3502" t="s">
        <v>1384</v>
      </c>
      <c r="F3502" s="853" t="s">
        <v>528</v>
      </c>
      <c r="G3502" s="913">
        <v>0.5</v>
      </c>
      <c r="H3502" t="s">
        <v>6768</v>
      </c>
    </row>
    <row r="3503" spans="2:8">
      <c r="B3503" s="871">
        <v>46282</v>
      </c>
      <c r="C3503" t="s">
        <v>2486</v>
      </c>
      <c r="D3503" t="s">
        <v>1375</v>
      </c>
      <c r="E3503" t="s">
        <v>1385</v>
      </c>
      <c r="F3503" s="853" t="s">
        <v>526</v>
      </c>
      <c r="G3503" s="913">
        <v>1192</v>
      </c>
      <c r="H3503" t="s">
        <v>6769</v>
      </c>
    </row>
    <row r="3504" spans="2:8">
      <c r="B3504" s="871">
        <v>46282</v>
      </c>
      <c r="C3504" t="s">
        <v>2486</v>
      </c>
      <c r="D3504" t="s">
        <v>1375</v>
      </c>
      <c r="E3504" t="s">
        <v>1385</v>
      </c>
      <c r="F3504" s="853" t="s">
        <v>527</v>
      </c>
      <c r="G3504" s="913">
        <v>2075</v>
      </c>
      <c r="H3504" t="s">
        <v>6770</v>
      </c>
    </row>
    <row r="3505" spans="2:8">
      <c r="B3505" s="871">
        <v>46282</v>
      </c>
      <c r="C3505" t="s">
        <v>2486</v>
      </c>
      <c r="D3505" t="s">
        <v>1375</v>
      </c>
      <c r="E3505" t="s">
        <v>1385</v>
      </c>
      <c r="F3505" s="853" t="s">
        <v>528</v>
      </c>
      <c r="G3505" s="913">
        <v>4128</v>
      </c>
      <c r="H3505" t="s">
        <v>6771</v>
      </c>
    </row>
    <row r="3506" spans="2:8">
      <c r="B3506" s="871">
        <v>46282</v>
      </c>
      <c r="C3506" t="s">
        <v>2486</v>
      </c>
      <c r="D3506" t="s">
        <v>1376</v>
      </c>
      <c r="E3506" t="s">
        <v>1386</v>
      </c>
      <c r="F3506" s="853" t="s">
        <v>526</v>
      </c>
      <c r="G3506" s="913">
        <v>0.5</v>
      </c>
      <c r="H3506" t="s">
        <v>6772</v>
      </c>
    </row>
    <row r="3507" spans="2:8">
      <c r="B3507" s="871">
        <v>46282</v>
      </c>
      <c r="C3507" t="s">
        <v>2486</v>
      </c>
      <c r="D3507" t="s">
        <v>1376</v>
      </c>
      <c r="E3507" t="s">
        <v>1386</v>
      </c>
      <c r="F3507" s="853" t="s">
        <v>527</v>
      </c>
      <c r="G3507" s="913">
        <v>0.3</v>
      </c>
      <c r="H3507" t="s">
        <v>6773</v>
      </c>
    </row>
    <row r="3508" spans="2:8">
      <c r="B3508" s="871">
        <v>46282</v>
      </c>
      <c r="C3508" t="s">
        <v>2486</v>
      </c>
      <c r="D3508" t="s">
        <v>1376</v>
      </c>
      <c r="E3508" t="s">
        <v>1386</v>
      </c>
      <c r="F3508" s="853" t="s">
        <v>528</v>
      </c>
      <c r="G3508" s="913">
        <v>0.38</v>
      </c>
      <c r="H3508" t="s">
        <v>6774</v>
      </c>
    </row>
    <row r="3509" spans="2:8">
      <c r="B3509" s="871">
        <v>46282</v>
      </c>
      <c r="C3509" t="s">
        <v>2486</v>
      </c>
      <c r="D3509" t="s">
        <v>1376</v>
      </c>
      <c r="E3509" t="s">
        <v>1387</v>
      </c>
      <c r="F3509" s="853" t="s">
        <v>526</v>
      </c>
      <c r="G3509" s="913">
        <v>8.1999999999999993</v>
      </c>
      <c r="H3509" t="s">
        <v>6775</v>
      </c>
    </row>
    <row r="3510" spans="2:8">
      <c r="B3510" s="871">
        <v>46282</v>
      </c>
      <c r="C3510" t="s">
        <v>2486</v>
      </c>
      <c r="D3510" t="s">
        <v>1376</v>
      </c>
      <c r="E3510" t="s">
        <v>1387</v>
      </c>
      <c r="F3510" s="853" t="s">
        <v>527</v>
      </c>
      <c r="G3510" s="913">
        <v>8.1</v>
      </c>
      <c r="H3510" t="s">
        <v>6776</v>
      </c>
    </row>
    <row r="3511" spans="2:8">
      <c r="B3511" s="871">
        <v>46282</v>
      </c>
      <c r="C3511" t="s">
        <v>2486</v>
      </c>
      <c r="D3511" t="s">
        <v>1376</v>
      </c>
      <c r="E3511" t="s">
        <v>1387</v>
      </c>
      <c r="F3511" s="853" t="s">
        <v>528</v>
      </c>
      <c r="H3511" t="s">
        <v>6777</v>
      </c>
    </row>
    <row r="3512" spans="2:8">
      <c r="B3512" s="871">
        <v>46282</v>
      </c>
      <c r="C3512" t="s">
        <v>2486</v>
      </c>
      <c r="D3512" t="s">
        <v>1375</v>
      </c>
      <c r="E3512" t="s">
        <v>1388</v>
      </c>
      <c r="F3512" s="853" t="s">
        <v>526</v>
      </c>
      <c r="H3512" t="s">
        <v>6778</v>
      </c>
    </row>
    <row r="3513" spans="2:8">
      <c r="B3513" s="871">
        <v>46282</v>
      </c>
      <c r="C3513" t="s">
        <v>2486</v>
      </c>
      <c r="D3513" t="s">
        <v>1375</v>
      </c>
      <c r="E3513" t="s">
        <v>1388</v>
      </c>
      <c r="F3513" s="853" t="s">
        <v>527</v>
      </c>
      <c r="H3513" t="s">
        <v>6779</v>
      </c>
    </row>
    <row r="3514" spans="2:8">
      <c r="B3514" s="871">
        <v>46282</v>
      </c>
      <c r="C3514" t="s">
        <v>2486</v>
      </c>
      <c r="D3514" t="s">
        <v>1375</v>
      </c>
      <c r="E3514" t="s">
        <v>1388</v>
      </c>
      <c r="F3514" s="853" t="s">
        <v>528</v>
      </c>
      <c r="H3514" t="s">
        <v>6780</v>
      </c>
    </row>
    <row r="3515" spans="2:8">
      <c r="B3515" s="871">
        <v>46282</v>
      </c>
      <c r="C3515" t="s">
        <v>2486</v>
      </c>
      <c r="D3515" t="s">
        <v>1376</v>
      </c>
      <c r="E3515" t="s">
        <v>1389</v>
      </c>
      <c r="F3515" s="853" t="s">
        <v>526</v>
      </c>
      <c r="G3515" s="913">
        <v>61.1</v>
      </c>
      <c r="H3515" t="s">
        <v>6781</v>
      </c>
    </row>
    <row r="3516" spans="2:8">
      <c r="B3516" s="871">
        <v>46282</v>
      </c>
      <c r="C3516" t="s">
        <v>2486</v>
      </c>
      <c r="D3516" t="s">
        <v>1376</v>
      </c>
      <c r="E3516" t="s">
        <v>1389</v>
      </c>
      <c r="F3516" s="853" t="s">
        <v>527</v>
      </c>
      <c r="G3516" s="913">
        <v>64.2</v>
      </c>
      <c r="H3516" t="s">
        <v>6782</v>
      </c>
    </row>
    <row r="3517" spans="2:8">
      <c r="B3517" s="871">
        <v>46282</v>
      </c>
      <c r="C3517" t="s">
        <v>2486</v>
      </c>
      <c r="D3517" t="s">
        <v>1376</v>
      </c>
      <c r="E3517" t="s">
        <v>1389</v>
      </c>
      <c r="F3517" s="853" t="s">
        <v>528</v>
      </c>
      <c r="H3517" t="s">
        <v>6783</v>
      </c>
    </row>
    <row r="3518" spans="2:8">
      <c r="B3518" s="871">
        <v>46282</v>
      </c>
      <c r="C3518" t="s">
        <v>2486</v>
      </c>
      <c r="D3518" t="s">
        <v>1375</v>
      </c>
      <c r="E3518" t="s">
        <v>3266</v>
      </c>
      <c r="F3518" s="853" t="s">
        <v>526</v>
      </c>
      <c r="G3518" s="913">
        <v>3</v>
      </c>
      <c r="H3518" t="s">
        <v>6784</v>
      </c>
    </row>
    <row r="3519" spans="2:8">
      <c r="B3519" s="871">
        <v>46282</v>
      </c>
      <c r="C3519" t="s">
        <v>2486</v>
      </c>
      <c r="D3519" t="s">
        <v>1375</v>
      </c>
      <c r="E3519" t="s">
        <v>3266</v>
      </c>
      <c r="F3519" s="853" t="s">
        <v>527</v>
      </c>
      <c r="G3519" s="913">
        <v>3</v>
      </c>
      <c r="H3519" t="s">
        <v>6785</v>
      </c>
    </row>
    <row r="3520" spans="2:8">
      <c r="B3520" s="871">
        <v>46282</v>
      </c>
      <c r="C3520" t="s">
        <v>2486</v>
      </c>
      <c r="D3520" t="s">
        <v>1375</v>
      </c>
      <c r="E3520" t="s">
        <v>3266</v>
      </c>
      <c r="F3520" s="853" t="s">
        <v>528</v>
      </c>
      <c r="G3520" s="913">
        <v>3</v>
      </c>
      <c r="H3520" t="s">
        <v>6786</v>
      </c>
    </row>
    <row r="3521" spans="2:8">
      <c r="B3521" s="871">
        <v>46282</v>
      </c>
      <c r="C3521" t="s">
        <v>2486</v>
      </c>
      <c r="D3521" t="s">
        <v>1376</v>
      </c>
      <c r="E3521" t="s">
        <v>1390</v>
      </c>
      <c r="F3521" s="853" t="s">
        <v>526</v>
      </c>
      <c r="G3521" s="913">
        <v>1.34E-3</v>
      </c>
      <c r="H3521" t="s">
        <v>6787</v>
      </c>
    </row>
    <row r="3522" spans="2:8">
      <c r="B3522" s="871">
        <v>46282</v>
      </c>
      <c r="C3522" t="s">
        <v>2486</v>
      </c>
      <c r="D3522" t="s">
        <v>1376</v>
      </c>
      <c r="E3522" t="s">
        <v>1390</v>
      </c>
      <c r="F3522" s="853" t="s">
        <v>527</v>
      </c>
      <c r="G3522" s="913">
        <v>1.8799999999999999E-3</v>
      </c>
      <c r="H3522" t="s">
        <v>6788</v>
      </c>
    </row>
    <row r="3523" spans="2:8">
      <c r="B3523" s="871">
        <v>46282</v>
      </c>
      <c r="C3523" t="s">
        <v>2486</v>
      </c>
      <c r="D3523" t="s">
        <v>1376</v>
      </c>
      <c r="E3523" t="s">
        <v>1390</v>
      </c>
      <c r="F3523" s="853" t="s">
        <v>528</v>
      </c>
      <c r="H3523" t="s">
        <v>6789</v>
      </c>
    </row>
    <row r="3524" spans="2:8">
      <c r="B3524" s="871">
        <v>46282</v>
      </c>
      <c r="C3524" t="s">
        <v>2486</v>
      </c>
      <c r="D3524" t="s">
        <v>1375</v>
      </c>
      <c r="E3524" t="s">
        <v>3273</v>
      </c>
      <c r="F3524" s="853" t="s">
        <v>526</v>
      </c>
      <c r="G3524" s="913">
        <v>4</v>
      </c>
      <c r="H3524" t="s">
        <v>6790</v>
      </c>
    </row>
    <row r="3525" spans="2:8">
      <c r="B3525" s="871">
        <v>46282</v>
      </c>
      <c r="C3525" t="s">
        <v>2486</v>
      </c>
      <c r="D3525" t="s">
        <v>1375</v>
      </c>
      <c r="E3525" t="s">
        <v>3273</v>
      </c>
      <c r="F3525" s="853" t="s">
        <v>527</v>
      </c>
      <c r="G3525" s="913">
        <v>4</v>
      </c>
      <c r="H3525" t="s">
        <v>6791</v>
      </c>
    </row>
    <row r="3526" spans="2:8">
      <c r="B3526" s="871">
        <v>46282</v>
      </c>
      <c r="C3526" t="s">
        <v>2486</v>
      </c>
      <c r="D3526" t="s">
        <v>1375</v>
      </c>
      <c r="E3526" t="s">
        <v>3273</v>
      </c>
      <c r="F3526" s="853" t="s">
        <v>528</v>
      </c>
      <c r="G3526" s="913">
        <v>4</v>
      </c>
      <c r="H3526" t="s">
        <v>6792</v>
      </c>
    </row>
    <row r="3527" spans="2:8">
      <c r="B3527" s="871">
        <v>46282</v>
      </c>
      <c r="C3527" t="s">
        <v>2486</v>
      </c>
      <c r="D3527" t="s">
        <v>1376</v>
      </c>
      <c r="E3527" t="s">
        <v>1391</v>
      </c>
      <c r="F3527" s="853" t="s">
        <v>526</v>
      </c>
      <c r="H3527" t="s">
        <v>6793</v>
      </c>
    </row>
    <row r="3528" spans="2:8">
      <c r="B3528" s="871">
        <v>46282</v>
      </c>
      <c r="C3528" t="s">
        <v>2486</v>
      </c>
      <c r="D3528" t="s">
        <v>1376</v>
      </c>
      <c r="E3528" t="s">
        <v>1391</v>
      </c>
      <c r="F3528" s="853" t="s">
        <v>527</v>
      </c>
      <c r="H3528" t="s">
        <v>6794</v>
      </c>
    </row>
    <row r="3529" spans="2:8">
      <c r="B3529" s="871">
        <v>46282</v>
      </c>
      <c r="C3529" t="s">
        <v>2486</v>
      </c>
      <c r="D3529" t="s">
        <v>1376</v>
      </c>
      <c r="E3529" t="s">
        <v>1391</v>
      </c>
      <c r="F3529" s="853" t="s">
        <v>528</v>
      </c>
      <c r="G3529" s="913">
        <v>6040</v>
      </c>
      <c r="H3529" t="s">
        <v>6795</v>
      </c>
    </row>
    <row r="3530" spans="2:8">
      <c r="B3530" s="871">
        <v>46282</v>
      </c>
      <c r="C3530" t="s">
        <v>2486</v>
      </c>
      <c r="D3530" t="s">
        <v>1375</v>
      </c>
      <c r="E3530" t="s">
        <v>3280</v>
      </c>
      <c r="F3530" s="853" t="s">
        <v>526</v>
      </c>
      <c r="G3530" s="913">
        <v>1</v>
      </c>
      <c r="H3530" t="s">
        <v>6796</v>
      </c>
    </row>
    <row r="3531" spans="2:8">
      <c r="B3531" s="871">
        <v>46282</v>
      </c>
      <c r="C3531" t="s">
        <v>2486</v>
      </c>
      <c r="D3531" t="s">
        <v>1375</v>
      </c>
      <c r="E3531" t="s">
        <v>3280</v>
      </c>
      <c r="F3531" s="853" t="s">
        <v>527</v>
      </c>
      <c r="G3531" s="913">
        <v>1</v>
      </c>
      <c r="H3531" t="s">
        <v>6797</v>
      </c>
    </row>
    <row r="3532" spans="2:8">
      <c r="B3532" s="871">
        <v>46282</v>
      </c>
      <c r="C3532" t="s">
        <v>2486</v>
      </c>
      <c r="D3532" t="s">
        <v>1375</v>
      </c>
      <c r="E3532" t="s">
        <v>3280</v>
      </c>
      <c r="F3532" s="853" t="s">
        <v>528</v>
      </c>
      <c r="G3532" s="913">
        <v>3</v>
      </c>
      <c r="H3532" t="s">
        <v>6798</v>
      </c>
    </row>
    <row r="3533" spans="2:8">
      <c r="B3533" s="871">
        <v>46282</v>
      </c>
      <c r="C3533" t="s">
        <v>2486</v>
      </c>
      <c r="D3533" t="s">
        <v>1376</v>
      </c>
      <c r="E3533" t="s">
        <v>1392</v>
      </c>
      <c r="F3533" s="853" t="s">
        <v>526</v>
      </c>
      <c r="G3533" s="913">
        <v>6040</v>
      </c>
      <c r="H3533" t="s">
        <v>6799</v>
      </c>
    </row>
    <row r="3534" spans="2:8">
      <c r="B3534" s="871">
        <v>46282</v>
      </c>
      <c r="C3534" t="s">
        <v>2486</v>
      </c>
      <c r="D3534" t="s">
        <v>1376</v>
      </c>
      <c r="E3534" t="s">
        <v>1392</v>
      </c>
      <c r="F3534" s="853" t="s">
        <v>527</v>
      </c>
      <c r="H3534" t="s">
        <v>6800</v>
      </c>
    </row>
    <row r="3535" spans="2:8">
      <c r="B3535" s="871">
        <v>46282</v>
      </c>
      <c r="C3535" t="s">
        <v>2486</v>
      </c>
      <c r="D3535" t="s">
        <v>1376</v>
      </c>
      <c r="E3535" t="s">
        <v>1392</v>
      </c>
      <c r="F3535" s="853" t="s">
        <v>528</v>
      </c>
      <c r="H3535" t="s">
        <v>6801</v>
      </c>
    </row>
    <row r="3536" spans="2:8">
      <c r="B3536" s="871">
        <v>46282</v>
      </c>
      <c r="C3536" t="s">
        <v>2486</v>
      </c>
      <c r="D3536" t="s">
        <v>1375</v>
      </c>
      <c r="E3536" t="s">
        <v>3287</v>
      </c>
      <c r="F3536" s="853" t="s">
        <v>526</v>
      </c>
      <c r="G3536" s="913">
        <v>1</v>
      </c>
      <c r="H3536" t="s">
        <v>6802</v>
      </c>
    </row>
    <row r="3537" spans="2:8">
      <c r="B3537" s="871">
        <v>46282</v>
      </c>
      <c r="C3537" t="s">
        <v>2486</v>
      </c>
      <c r="D3537" t="s">
        <v>1375</v>
      </c>
      <c r="E3537" t="s">
        <v>3287</v>
      </c>
      <c r="F3537" s="853" t="s">
        <v>527</v>
      </c>
      <c r="G3537" s="913">
        <v>1</v>
      </c>
      <c r="H3537" t="s">
        <v>6803</v>
      </c>
    </row>
    <row r="3538" spans="2:8">
      <c r="B3538" s="871">
        <v>46282</v>
      </c>
      <c r="C3538" t="s">
        <v>2486</v>
      </c>
      <c r="D3538" t="s">
        <v>1375</v>
      </c>
      <c r="E3538" t="s">
        <v>3287</v>
      </c>
      <c r="F3538" s="853" t="s">
        <v>528</v>
      </c>
      <c r="G3538" s="913">
        <v>1</v>
      </c>
      <c r="H3538" t="s">
        <v>6804</v>
      </c>
    </row>
    <row r="3539" spans="2:8">
      <c r="B3539" s="871">
        <v>46282</v>
      </c>
      <c r="C3539" t="s">
        <v>2486</v>
      </c>
      <c r="D3539" t="s">
        <v>1376</v>
      </c>
      <c r="E3539" t="s">
        <v>453</v>
      </c>
      <c r="F3539" s="853" t="s">
        <v>526</v>
      </c>
      <c r="H3539" t="s">
        <v>6805</v>
      </c>
    </row>
    <row r="3540" spans="2:8">
      <c r="B3540" s="871">
        <v>46282</v>
      </c>
      <c r="C3540" t="s">
        <v>2486</v>
      </c>
      <c r="D3540" t="s">
        <v>1376</v>
      </c>
      <c r="E3540" t="s">
        <v>453</v>
      </c>
      <c r="F3540" s="853" t="s">
        <v>527</v>
      </c>
      <c r="H3540" t="s">
        <v>6806</v>
      </c>
    </row>
    <row r="3541" spans="2:8">
      <c r="B3541" s="871">
        <v>46282</v>
      </c>
      <c r="C3541" t="s">
        <v>2486</v>
      </c>
      <c r="D3541" t="s">
        <v>1376</v>
      </c>
      <c r="E3541" t="s">
        <v>453</v>
      </c>
      <c r="F3541" s="853" t="s">
        <v>528</v>
      </c>
      <c r="H3541" t="s">
        <v>6807</v>
      </c>
    </row>
    <row r="3542" spans="2:8">
      <c r="B3542" s="871">
        <v>46282</v>
      </c>
      <c r="C3542" t="s">
        <v>2486</v>
      </c>
      <c r="D3542" t="s">
        <v>1375</v>
      </c>
      <c r="E3542" t="s">
        <v>3291</v>
      </c>
      <c r="F3542" s="853" t="s">
        <v>526</v>
      </c>
      <c r="G3542" s="913">
        <v>3</v>
      </c>
      <c r="H3542" t="s">
        <v>6808</v>
      </c>
    </row>
    <row r="3543" spans="2:8">
      <c r="B3543" s="871">
        <v>46282</v>
      </c>
      <c r="C3543" t="s">
        <v>2486</v>
      </c>
      <c r="D3543" t="s">
        <v>1375</v>
      </c>
      <c r="E3543" t="s">
        <v>3291</v>
      </c>
      <c r="F3543" s="853" t="s">
        <v>527</v>
      </c>
      <c r="G3543" s="913">
        <v>2</v>
      </c>
      <c r="H3543" t="s">
        <v>6809</v>
      </c>
    </row>
    <row r="3544" spans="2:8">
      <c r="B3544" s="871">
        <v>46282</v>
      </c>
      <c r="C3544" t="s">
        <v>2486</v>
      </c>
      <c r="D3544" t="s">
        <v>1375</v>
      </c>
      <c r="E3544" t="s">
        <v>3291</v>
      </c>
      <c r="F3544" s="853" t="s">
        <v>528</v>
      </c>
      <c r="G3544" s="913">
        <v>3</v>
      </c>
      <c r="H3544" t="s">
        <v>6810</v>
      </c>
    </row>
    <row r="3545" spans="2:8">
      <c r="B3545" s="871">
        <v>46282</v>
      </c>
      <c r="C3545" t="s">
        <v>2486</v>
      </c>
      <c r="D3545" t="s">
        <v>1376</v>
      </c>
      <c r="E3545" t="s">
        <v>1394</v>
      </c>
      <c r="F3545" s="853" t="s">
        <v>526</v>
      </c>
      <c r="G3545" s="913" t="s">
        <v>1995</v>
      </c>
      <c r="H3545" t="s">
        <v>6811</v>
      </c>
    </row>
    <row r="3546" spans="2:8">
      <c r="B3546" s="871">
        <v>46282</v>
      </c>
      <c r="C3546" t="s">
        <v>2486</v>
      </c>
      <c r="D3546" t="s">
        <v>1376</v>
      </c>
      <c r="E3546" t="s">
        <v>1394</v>
      </c>
      <c r="F3546" s="853" t="s">
        <v>527</v>
      </c>
      <c r="G3546" s="913" t="s">
        <v>1742</v>
      </c>
      <c r="H3546" t="s">
        <v>6812</v>
      </c>
    </row>
    <row r="3547" spans="2:8">
      <c r="B3547" s="871">
        <v>46282</v>
      </c>
      <c r="C3547" t="s">
        <v>2486</v>
      </c>
      <c r="D3547" t="s">
        <v>1376</v>
      </c>
      <c r="E3547" t="s">
        <v>1394</v>
      </c>
      <c r="F3547" s="853" t="s">
        <v>528</v>
      </c>
      <c r="G3547" s="913" t="s">
        <v>1996</v>
      </c>
      <c r="H3547" t="s">
        <v>6813</v>
      </c>
    </row>
    <row r="3548" spans="2:8">
      <c r="B3548" s="871">
        <v>46282</v>
      </c>
      <c r="C3548" t="s">
        <v>2486</v>
      </c>
      <c r="D3548" t="s">
        <v>1375</v>
      </c>
      <c r="E3548" t="s">
        <v>3298</v>
      </c>
      <c r="F3548" s="853" t="s">
        <v>526</v>
      </c>
      <c r="G3548" s="913">
        <v>4</v>
      </c>
      <c r="H3548" t="s">
        <v>6814</v>
      </c>
    </row>
    <row r="3549" spans="2:8">
      <c r="B3549" s="871">
        <v>46282</v>
      </c>
      <c r="C3549" t="s">
        <v>2486</v>
      </c>
      <c r="D3549" t="s">
        <v>1375</v>
      </c>
      <c r="E3549" t="s">
        <v>3298</v>
      </c>
      <c r="F3549" s="853" t="s">
        <v>527</v>
      </c>
      <c r="G3549" s="913">
        <v>1</v>
      </c>
      <c r="H3549" t="s">
        <v>6815</v>
      </c>
    </row>
    <row r="3550" spans="2:8">
      <c r="B3550" s="871">
        <v>46282</v>
      </c>
      <c r="C3550" t="s">
        <v>2486</v>
      </c>
      <c r="D3550" t="s">
        <v>1375</v>
      </c>
      <c r="E3550" t="s">
        <v>3298</v>
      </c>
      <c r="F3550" s="853" t="s">
        <v>528</v>
      </c>
      <c r="G3550" s="913">
        <v>3</v>
      </c>
      <c r="H3550" t="s">
        <v>6816</v>
      </c>
    </row>
    <row r="3551" spans="2:8">
      <c r="B3551" s="871">
        <v>46282</v>
      </c>
      <c r="C3551" t="s">
        <v>2486</v>
      </c>
      <c r="D3551" t="s">
        <v>1376</v>
      </c>
      <c r="E3551" t="s">
        <v>1398</v>
      </c>
      <c r="F3551" s="853" t="s">
        <v>526</v>
      </c>
      <c r="G3551" s="913">
        <v>12</v>
      </c>
      <c r="H3551" t="s">
        <v>6817</v>
      </c>
    </row>
    <row r="3552" spans="2:8">
      <c r="B3552" s="871">
        <v>46282</v>
      </c>
      <c r="C3552" t="s">
        <v>2486</v>
      </c>
      <c r="D3552" t="s">
        <v>1376</v>
      </c>
      <c r="E3552" t="s">
        <v>1398</v>
      </c>
      <c r="F3552" s="853" t="s">
        <v>527</v>
      </c>
      <c r="G3552" s="913">
        <v>11</v>
      </c>
      <c r="H3552" t="s">
        <v>6818</v>
      </c>
    </row>
    <row r="3553" spans="2:8">
      <c r="B3553" s="871">
        <v>46282</v>
      </c>
      <c r="C3553" t="s">
        <v>2486</v>
      </c>
      <c r="D3553" t="s">
        <v>1376</v>
      </c>
      <c r="E3553" t="s">
        <v>1398</v>
      </c>
      <c r="F3553" s="853" t="s">
        <v>528</v>
      </c>
      <c r="G3553" s="913">
        <v>12</v>
      </c>
      <c r="H3553" t="s">
        <v>6819</v>
      </c>
    </row>
    <row r="3554" spans="2:8">
      <c r="B3554" s="871">
        <v>46282</v>
      </c>
      <c r="C3554" t="s">
        <v>2486</v>
      </c>
      <c r="D3554" t="s">
        <v>1375</v>
      </c>
      <c r="E3554" t="s">
        <v>3305</v>
      </c>
      <c r="F3554" s="853" t="s">
        <v>526</v>
      </c>
      <c r="G3554" s="913">
        <v>2</v>
      </c>
      <c r="H3554" t="s">
        <v>6820</v>
      </c>
    </row>
    <row r="3555" spans="2:8">
      <c r="B3555" s="871">
        <v>46282</v>
      </c>
      <c r="C3555" t="s">
        <v>2486</v>
      </c>
      <c r="D3555" t="s">
        <v>1375</v>
      </c>
      <c r="E3555" t="s">
        <v>3305</v>
      </c>
      <c r="F3555" s="853" t="s">
        <v>527</v>
      </c>
      <c r="G3555" s="913">
        <v>2</v>
      </c>
      <c r="H3555" t="s">
        <v>6821</v>
      </c>
    </row>
    <row r="3556" spans="2:8">
      <c r="B3556" s="871">
        <v>46282</v>
      </c>
      <c r="C3556" t="s">
        <v>2486</v>
      </c>
      <c r="D3556" t="s">
        <v>1375</v>
      </c>
      <c r="E3556" t="s">
        <v>3305</v>
      </c>
      <c r="F3556" s="853" t="s">
        <v>528</v>
      </c>
      <c r="G3556" s="913">
        <v>1</v>
      </c>
      <c r="H3556" t="s">
        <v>6822</v>
      </c>
    </row>
    <row r="3557" spans="2:8">
      <c r="B3557" s="871">
        <v>46282</v>
      </c>
      <c r="C3557" t="s">
        <v>2486</v>
      </c>
      <c r="D3557" t="s">
        <v>1376</v>
      </c>
      <c r="E3557" t="s">
        <v>1399</v>
      </c>
      <c r="F3557" s="853" t="s">
        <v>526</v>
      </c>
      <c r="G3557" s="913">
        <v>13</v>
      </c>
      <c r="H3557" t="s">
        <v>6823</v>
      </c>
    </row>
    <row r="3558" spans="2:8">
      <c r="B3558" s="871">
        <v>46282</v>
      </c>
      <c r="C3558" t="s">
        <v>2486</v>
      </c>
      <c r="D3558" t="s">
        <v>1376</v>
      </c>
      <c r="E3558" t="s">
        <v>1399</v>
      </c>
      <c r="F3558" s="853" t="s">
        <v>527</v>
      </c>
      <c r="G3558" s="913">
        <v>12</v>
      </c>
      <c r="H3558" t="s">
        <v>6824</v>
      </c>
    </row>
    <row r="3559" spans="2:8">
      <c r="B3559" s="871">
        <v>46282</v>
      </c>
      <c r="C3559" t="s">
        <v>2486</v>
      </c>
      <c r="D3559" t="s">
        <v>1376</v>
      </c>
      <c r="E3559" t="s">
        <v>1399</v>
      </c>
      <c r="F3559" s="853" t="s">
        <v>528</v>
      </c>
      <c r="G3559" s="913">
        <v>13</v>
      </c>
      <c r="H3559" t="s">
        <v>6825</v>
      </c>
    </row>
    <row r="3560" spans="2:8">
      <c r="B3560" s="871">
        <v>46282</v>
      </c>
      <c r="C3560" t="s">
        <v>2486</v>
      </c>
      <c r="D3560" t="s">
        <v>1375</v>
      </c>
      <c r="E3560" t="s">
        <v>3312</v>
      </c>
      <c r="F3560" s="853" t="s">
        <v>526</v>
      </c>
      <c r="G3560" s="913">
        <v>4</v>
      </c>
      <c r="H3560" t="s">
        <v>6826</v>
      </c>
    </row>
    <row r="3561" spans="2:8">
      <c r="B3561" s="871">
        <v>46282</v>
      </c>
      <c r="C3561" t="s">
        <v>2486</v>
      </c>
      <c r="D3561" t="s">
        <v>1375</v>
      </c>
      <c r="E3561" t="s">
        <v>3312</v>
      </c>
      <c r="F3561" s="853" t="s">
        <v>527</v>
      </c>
      <c r="G3561" s="913">
        <v>3</v>
      </c>
      <c r="H3561" t="s">
        <v>6827</v>
      </c>
    </row>
    <row r="3562" spans="2:8">
      <c r="B3562" s="871">
        <v>46282</v>
      </c>
      <c r="C3562" t="s">
        <v>2486</v>
      </c>
      <c r="D3562" t="s">
        <v>1375</v>
      </c>
      <c r="E3562" t="s">
        <v>3312</v>
      </c>
      <c r="F3562" s="853" t="s">
        <v>528</v>
      </c>
      <c r="G3562" s="913">
        <v>2</v>
      </c>
      <c r="H3562" t="s">
        <v>6828</v>
      </c>
    </row>
    <row r="3563" spans="2:8">
      <c r="B3563" s="871">
        <v>46282</v>
      </c>
      <c r="C3563" t="s">
        <v>2486</v>
      </c>
      <c r="D3563" t="s">
        <v>1376</v>
      </c>
      <c r="E3563" t="s">
        <v>1400</v>
      </c>
      <c r="F3563" s="853" t="s">
        <v>526</v>
      </c>
      <c r="G3563" s="913">
        <v>6.26</v>
      </c>
      <c r="H3563" t="s">
        <v>6829</v>
      </c>
    </row>
    <row r="3564" spans="2:8">
      <c r="B3564" s="871">
        <v>46282</v>
      </c>
      <c r="C3564" t="s">
        <v>2486</v>
      </c>
      <c r="D3564" t="s">
        <v>1376</v>
      </c>
      <c r="E3564" t="s">
        <v>1400</v>
      </c>
      <c r="F3564" s="853" t="s">
        <v>527</v>
      </c>
      <c r="G3564" s="913">
        <v>17</v>
      </c>
      <c r="H3564" t="s">
        <v>6830</v>
      </c>
    </row>
    <row r="3565" spans="2:8">
      <c r="B3565" s="871">
        <v>46282</v>
      </c>
      <c r="C3565" t="s">
        <v>2486</v>
      </c>
      <c r="D3565" t="s">
        <v>1376</v>
      </c>
      <c r="E3565" t="s">
        <v>1400</v>
      </c>
      <c r="F3565" s="853" t="s">
        <v>528</v>
      </c>
      <c r="G3565" s="913">
        <v>17</v>
      </c>
      <c r="H3565" t="s">
        <v>6831</v>
      </c>
    </row>
    <row r="3566" spans="2:8">
      <c r="B3566" s="871">
        <v>46282</v>
      </c>
      <c r="C3566" t="s">
        <v>2486</v>
      </c>
      <c r="D3566" t="s">
        <v>1375</v>
      </c>
      <c r="E3566" t="s">
        <v>3319</v>
      </c>
      <c r="F3566" s="853" t="s">
        <v>526</v>
      </c>
      <c r="G3566" s="913">
        <v>4</v>
      </c>
      <c r="H3566" t="s">
        <v>6832</v>
      </c>
    </row>
    <row r="3567" spans="2:8">
      <c r="B3567" s="871">
        <v>46282</v>
      </c>
      <c r="C3567" t="s">
        <v>2486</v>
      </c>
      <c r="D3567" t="s">
        <v>1375</v>
      </c>
      <c r="E3567" t="s">
        <v>3319</v>
      </c>
      <c r="F3567" s="853" t="s">
        <v>527</v>
      </c>
      <c r="G3567" s="913">
        <v>2</v>
      </c>
      <c r="H3567" t="s">
        <v>6833</v>
      </c>
    </row>
    <row r="3568" spans="2:8">
      <c r="B3568" s="871">
        <v>46282</v>
      </c>
      <c r="C3568" t="s">
        <v>2486</v>
      </c>
      <c r="D3568" t="s">
        <v>1375</v>
      </c>
      <c r="E3568" t="s">
        <v>3319</v>
      </c>
      <c r="F3568" s="853" t="s">
        <v>528</v>
      </c>
      <c r="G3568" s="913">
        <v>3</v>
      </c>
      <c r="H3568" t="s">
        <v>6834</v>
      </c>
    </row>
    <row r="3569" spans="2:8">
      <c r="B3569" s="871">
        <v>46282</v>
      </c>
      <c r="C3569" t="s">
        <v>2486</v>
      </c>
      <c r="D3569" t="s">
        <v>1376</v>
      </c>
      <c r="E3569" t="s">
        <v>1401</v>
      </c>
      <c r="F3569" s="853" t="s">
        <v>526</v>
      </c>
      <c r="G3569" s="913">
        <v>5.03</v>
      </c>
      <c r="H3569" t="s">
        <v>6835</v>
      </c>
    </row>
    <row r="3570" spans="2:8">
      <c r="B3570" s="871">
        <v>46282</v>
      </c>
      <c r="C3570" t="s">
        <v>2486</v>
      </c>
      <c r="D3570" t="s">
        <v>1376</v>
      </c>
      <c r="E3570" t="s">
        <v>1401</v>
      </c>
      <c r="F3570" s="853" t="s">
        <v>527</v>
      </c>
      <c r="G3570" s="913">
        <v>6.1</v>
      </c>
      <c r="H3570" t="s">
        <v>6836</v>
      </c>
    </row>
    <row r="3571" spans="2:8">
      <c r="B3571" s="871">
        <v>46282</v>
      </c>
      <c r="C3571" t="s">
        <v>2486</v>
      </c>
      <c r="D3571" t="s">
        <v>1376</v>
      </c>
      <c r="E3571" t="s">
        <v>1401</v>
      </c>
      <c r="F3571" s="853" t="s">
        <v>528</v>
      </c>
      <c r="G3571" s="913">
        <v>6.98</v>
      </c>
      <c r="H3571" t="s">
        <v>6837</v>
      </c>
    </row>
    <row r="3572" spans="2:8">
      <c r="B3572" s="871">
        <v>46282</v>
      </c>
      <c r="C3572" t="s">
        <v>2486</v>
      </c>
      <c r="D3572" t="s">
        <v>1375</v>
      </c>
      <c r="E3572" t="s">
        <v>3326</v>
      </c>
      <c r="F3572" s="853" t="s">
        <v>526</v>
      </c>
      <c r="G3572" s="913" t="s">
        <v>1583</v>
      </c>
      <c r="H3572" t="s">
        <v>6838</v>
      </c>
    </row>
    <row r="3573" spans="2:8">
      <c r="B3573" s="871">
        <v>46282</v>
      </c>
      <c r="C3573" t="s">
        <v>2486</v>
      </c>
      <c r="D3573" t="s">
        <v>1375</v>
      </c>
      <c r="E3573" t="s">
        <v>3326</v>
      </c>
      <c r="F3573" s="853" t="s">
        <v>527</v>
      </c>
      <c r="G3573" s="913" t="s">
        <v>1583</v>
      </c>
      <c r="H3573" t="s">
        <v>6839</v>
      </c>
    </row>
    <row r="3574" spans="2:8">
      <c r="B3574" s="871">
        <v>46282</v>
      </c>
      <c r="C3574" t="s">
        <v>2486</v>
      </c>
      <c r="D3574" t="s">
        <v>1375</v>
      </c>
      <c r="E3574" t="s">
        <v>3326</v>
      </c>
      <c r="F3574" s="853" t="s">
        <v>528</v>
      </c>
      <c r="G3574" s="913" t="s">
        <v>1583</v>
      </c>
      <c r="H3574" t="s">
        <v>6840</v>
      </c>
    </row>
    <row r="3575" spans="2:8">
      <c r="B3575" s="871">
        <v>46282</v>
      </c>
      <c r="C3575" t="s">
        <v>2486</v>
      </c>
      <c r="D3575" t="s">
        <v>1376</v>
      </c>
      <c r="E3575" t="s">
        <v>1403</v>
      </c>
      <c r="F3575" s="853" t="s">
        <v>526</v>
      </c>
      <c r="G3575" s="913">
        <v>745</v>
      </c>
      <c r="H3575" t="s">
        <v>6841</v>
      </c>
    </row>
    <row r="3576" spans="2:8">
      <c r="B3576" s="871">
        <v>46282</v>
      </c>
      <c r="C3576" t="s">
        <v>2486</v>
      </c>
      <c r="D3576" t="s">
        <v>1376</v>
      </c>
      <c r="E3576" t="s">
        <v>1403</v>
      </c>
      <c r="F3576" s="853" t="s">
        <v>527</v>
      </c>
      <c r="G3576" s="913">
        <v>646</v>
      </c>
      <c r="H3576" t="s">
        <v>6842</v>
      </c>
    </row>
    <row r="3577" spans="2:8">
      <c r="B3577" s="871">
        <v>46282</v>
      </c>
      <c r="C3577" t="s">
        <v>2486</v>
      </c>
      <c r="D3577" t="s">
        <v>1376</v>
      </c>
      <c r="E3577" t="s">
        <v>1403</v>
      </c>
      <c r="F3577" s="853" t="s">
        <v>528</v>
      </c>
      <c r="G3577" s="913">
        <v>625</v>
      </c>
      <c r="H3577" t="s">
        <v>6843</v>
      </c>
    </row>
    <row r="3578" spans="2:8">
      <c r="B3578" s="871">
        <v>46282</v>
      </c>
      <c r="C3578" t="s">
        <v>2486</v>
      </c>
      <c r="D3578" t="s">
        <v>1376</v>
      </c>
      <c r="E3578" t="s">
        <v>1404</v>
      </c>
      <c r="F3578" s="853" t="s">
        <v>526</v>
      </c>
      <c r="G3578" s="913">
        <v>5.22</v>
      </c>
      <c r="H3578" t="s">
        <v>6844</v>
      </c>
    </row>
    <row r="3579" spans="2:8">
      <c r="B3579" s="871">
        <v>46282</v>
      </c>
      <c r="C3579" t="s">
        <v>2486</v>
      </c>
      <c r="D3579" t="s">
        <v>1376</v>
      </c>
      <c r="E3579" t="s">
        <v>1404</v>
      </c>
      <c r="F3579" s="853" t="s">
        <v>527</v>
      </c>
      <c r="G3579" s="913">
        <v>3.3</v>
      </c>
      <c r="H3579" t="s">
        <v>6845</v>
      </c>
    </row>
    <row r="3580" spans="2:8">
      <c r="B3580" s="871">
        <v>46282</v>
      </c>
      <c r="C3580" t="s">
        <v>2486</v>
      </c>
      <c r="D3580" t="s">
        <v>1376</v>
      </c>
      <c r="E3580" t="s">
        <v>1404</v>
      </c>
      <c r="F3580" s="853" t="s">
        <v>528</v>
      </c>
      <c r="G3580" s="913">
        <v>4.4000000000000004</v>
      </c>
      <c r="H3580" t="s">
        <v>6846</v>
      </c>
    </row>
    <row r="3581" spans="2:8">
      <c r="B3581" s="871">
        <v>46282</v>
      </c>
      <c r="C3581" t="s">
        <v>2486</v>
      </c>
      <c r="D3581" t="s">
        <v>1375</v>
      </c>
      <c r="E3581" t="s">
        <v>3336</v>
      </c>
      <c r="F3581" s="853" t="s">
        <v>526</v>
      </c>
      <c r="G3581" s="913" t="s">
        <v>1406</v>
      </c>
      <c r="H3581" t="s">
        <v>6847</v>
      </c>
    </row>
    <row r="3582" spans="2:8">
      <c r="B3582" s="871">
        <v>46282</v>
      </c>
      <c r="C3582" t="s">
        <v>2486</v>
      </c>
      <c r="D3582" t="s">
        <v>1375</v>
      </c>
      <c r="E3582" t="s">
        <v>3336</v>
      </c>
      <c r="F3582" s="853" t="s">
        <v>527</v>
      </c>
      <c r="G3582" s="913" t="s">
        <v>1406</v>
      </c>
      <c r="H3582" t="s">
        <v>6848</v>
      </c>
    </row>
    <row r="3583" spans="2:8">
      <c r="B3583" s="871">
        <v>46282</v>
      </c>
      <c r="C3583" t="s">
        <v>2486</v>
      </c>
      <c r="D3583" t="s">
        <v>1375</v>
      </c>
      <c r="E3583" t="s">
        <v>3336</v>
      </c>
      <c r="F3583" s="853" t="s">
        <v>528</v>
      </c>
      <c r="G3583" s="913" t="s">
        <v>1406</v>
      </c>
      <c r="H3583" t="s">
        <v>6849</v>
      </c>
    </row>
    <row r="3584" spans="2:8">
      <c r="B3584" s="871">
        <v>46282</v>
      </c>
      <c r="C3584" t="s">
        <v>2486</v>
      </c>
      <c r="D3584" t="s">
        <v>1376</v>
      </c>
      <c r="E3584" t="s">
        <v>1407</v>
      </c>
      <c r="F3584" s="853" t="s">
        <v>526</v>
      </c>
      <c r="G3584" s="913">
        <v>300</v>
      </c>
      <c r="H3584" t="s">
        <v>6850</v>
      </c>
    </row>
    <row r="3585" spans="2:8">
      <c r="B3585" s="871">
        <v>46282</v>
      </c>
      <c r="C3585" t="s">
        <v>2486</v>
      </c>
      <c r="D3585" t="s">
        <v>1376</v>
      </c>
      <c r="E3585" t="s">
        <v>1407</v>
      </c>
      <c r="F3585" s="853" t="s">
        <v>527</v>
      </c>
      <c r="G3585" s="913">
        <v>323</v>
      </c>
      <c r="H3585" t="s">
        <v>6851</v>
      </c>
    </row>
    <row r="3586" spans="2:8">
      <c r="B3586" s="871">
        <v>46282</v>
      </c>
      <c r="C3586" t="s">
        <v>2486</v>
      </c>
      <c r="D3586" t="s">
        <v>1376</v>
      </c>
      <c r="E3586" t="s">
        <v>1407</v>
      </c>
      <c r="F3586" s="853" t="s">
        <v>528</v>
      </c>
      <c r="G3586" s="913">
        <v>415</v>
      </c>
      <c r="H3586" t="s">
        <v>6852</v>
      </c>
    </row>
    <row r="3587" spans="2:8">
      <c r="B3587" s="871">
        <v>46282</v>
      </c>
      <c r="C3587" t="s">
        <v>2486</v>
      </c>
      <c r="D3587" t="s">
        <v>1376</v>
      </c>
      <c r="E3587" t="s">
        <v>1408</v>
      </c>
      <c r="F3587" s="853" t="s">
        <v>526</v>
      </c>
      <c r="G3587" s="913">
        <v>971</v>
      </c>
      <c r="H3587" t="s">
        <v>6853</v>
      </c>
    </row>
    <row r="3588" spans="2:8">
      <c r="B3588" s="871">
        <v>46282</v>
      </c>
      <c r="C3588" t="s">
        <v>2486</v>
      </c>
      <c r="D3588" t="s">
        <v>1376</v>
      </c>
      <c r="E3588" t="s">
        <v>1408</v>
      </c>
      <c r="F3588" s="853" t="s">
        <v>527</v>
      </c>
      <c r="G3588" s="913">
        <v>1040</v>
      </c>
      <c r="H3588" t="s">
        <v>6854</v>
      </c>
    </row>
    <row r="3589" spans="2:8">
      <c r="B3589" s="871">
        <v>46282</v>
      </c>
      <c r="C3589" t="s">
        <v>2486</v>
      </c>
      <c r="D3589" t="s">
        <v>1376</v>
      </c>
      <c r="E3589" t="s">
        <v>1408</v>
      </c>
      <c r="F3589" s="853" t="s">
        <v>528</v>
      </c>
      <c r="G3589" s="913">
        <v>948</v>
      </c>
      <c r="H3589" t="s">
        <v>6855</v>
      </c>
    </row>
    <row r="3590" spans="2:8">
      <c r="B3590" s="871">
        <v>46282</v>
      </c>
      <c r="C3590" t="s">
        <v>2486</v>
      </c>
      <c r="D3590" t="s">
        <v>1409</v>
      </c>
      <c r="E3590" t="s">
        <v>1411</v>
      </c>
      <c r="F3590" s="853" t="s">
        <v>526</v>
      </c>
      <c r="H3590" t="s">
        <v>6856</v>
      </c>
    </row>
    <row r="3591" spans="2:8">
      <c r="B3591" s="871">
        <v>46282</v>
      </c>
      <c r="C3591" t="s">
        <v>2486</v>
      </c>
      <c r="D3591" t="s">
        <v>1409</v>
      </c>
      <c r="E3591" t="s">
        <v>1411</v>
      </c>
      <c r="F3591" s="853" t="s">
        <v>527</v>
      </c>
      <c r="H3591" t="s">
        <v>6857</v>
      </c>
    </row>
    <row r="3592" spans="2:8">
      <c r="B3592" s="871">
        <v>46282</v>
      </c>
      <c r="C3592" t="s">
        <v>2486</v>
      </c>
      <c r="D3592" t="s">
        <v>1409</v>
      </c>
      <c r="E3592" t="s">
        <v>1411</v>
      </c>
      <c r="F3592" s="853" t="s">
        <v>528</v>
      </c>
      <c r="H3592" t="s">
        <v>6858</v>
      </c>
    </row>
    <row r="3593" spans="2:8">
      <c r="B3593" s="871">
        <v>46282</v>
      </c>
      <c r="C3593" t="s">
        <v>2486</v>
      </c>
      <c r="D3593" t="s">
        <v>1409</v>
      </c>
      <c r="E3593" t="s">
        <v>1413</v>
      </c>
      <c r="F3593" s="853" t="s">
        <v>526</v>
      </c>
      <c r="G3593" s="913" t="s">
        <v>1743</v>
      </c>
      <c r="H3593" t="s">
        <v>6859</v>
      </c>
    </row>
    <row r="3594" spans="2:8">
      <c r="B3594" s="871">
        <v>46282</v>
      </c>
      <c r="C3594" t="s">
        <v>2486</v>
      </c>
      <c r="D3594" t="s">
        <v>1409</v>
      </c>
      <c r="E3594" t="s">
        <v>1413</v>
      </c>
      <c r="F3594" s="853" t="s">
        <v>527</v>
      </c>
      <c r="G3594" s="913" t="s">
        <v>1415</v>
      </c>
      <c r="H3594" t="s">
        <v>6860</v>
      </c>
    </row>
    <row r="3595" spans="2:8">
      <c r="B3595" s="871">
        <v>46282</v>
      </c>
      <c r="C3595" t="s">
        <v>2486</v>
      </c>
      <c r="D3595" t="s">
        <v>1409</v>
      </c>
      <c r="E3595" t="s">
        <v>1413</v>
      </c>
      <c r="F3595" s="853" t="s">
        <v>528</v>
      </c>
      <c r="G3595" s="913" t="s">
        <v>1973</v>
      </c>
      <c r="H3595" t="s">
        <v>6861</v>
      </c>
    </row>
    <row r="3596" spans="2:8">
      <c r="B3596" s="871">
        <v>46282</v>
      </c>
      <c r="C3596" t="s">
        <v>2486</v>
      </c>
      <c r="D3596" t="s">
        <v>1410</v>
      </c>
      <c r="E3596" t="s">
        <v>3352</v>
      </c>
      <c r="F3596" s="853" t="s">
        <v>526</v>
      </c>
      <c r="G3596" s="913" t="s">
        <v>1418</v>
      </c>
      <c r="H3596" t="s">
        <v>6862</v>
      </c>
    </row>
    <row r="3597" spans="2:8">
      <c r="B3597" s="871">
        <v>46282</v>
      </c>
      <c r="C3597" t="s">
        <v>2486</v>
      </c>
      <c r="D3597" t="s">
        <v>1410</v>
      </c>
      <c r="E3597" t="s">
        <v>3352</v>
      </c>
      <c r="F3597" s="853" t="s">
        <v>527</v>
      </c>
      <c r="G3597" s="913" t="s">
        <v>1418</v>
      </c>
      <c r="H3597" t="s">
        <v>6863</v>
      </c>
    </row>
    <row r="3598" spans="2:8">
      <c r="B3598" s="871">
        <v>46282</v>
      </c>
      <c r="C3598" t="s">
        <v>2486</v>
      </c>
      <c r="D3598" t="s">
        <v>1410</v>
      </c>
      <c r="E3598" t="s">
        <v>3352</v>
      </c>
      <c r="F3598" s="853" t="s">
        <v>528</v>
      </c>
      <c r="G3598" s="913" t="s">
        <v>1418</v>
      </c>
      <c r="H3598" t="s">
        <v>6864</v>
      </c>
    </row>
    <row r="3599" spans="2:8">
      <c r="B3599" s="871">
        <v>46282</v>
      </c>
      <c r="C3599" t="s">
        <v>2486</v>
      </c>
      <c r="D3599" t="s">
        <v>1409</v>
      </c>
      <c r="E3599" t="s">
        <v>1420</v>
      </c>
      <c r="F3599" s="853" t="s">
        <v>526</v>
      </c>
      <c r="G3599" s="913" t="s">
        <v>1876</v>
      </c>
      <c r="H3599" t="s">
        <v>6865</v>
      </c>
    </row>
    <row r="3600" spans="2:8">
      <c r="B3600" s="871">
        <v>46282</v>
      </c>
      <c r="C3600" t="s">
        <v>2486</v>
      </c>
      <c r="D3600" t="s">
        <v>1409</v>
      </c>
      <c r="E3600" t="s">
        <v>1420</v>
      </c>
      <c r="F3600" s="853" t="s">
        <v>527</v>
      </c>
      <c r="G3600" s="913" t="s">
        <v>1876</v>
      </c>
      <c r="H3600" t="s">
        <v>6866</v>
      </c>
    </row>
    <row r="3601" spans="2:8">
      <c r="B3601" s="871">
        <v>46282</v>
      </c>
      <c r="C3601" t="s">
        <v>2486</v>
      </c>
      <c r="D3601" t="s">
        <v>1409</v>
      </c>
      <c r="E3601" t="s">
        <v>1420</v>
      </c>
      <c r="F3601" s="853" t="s">
        <v>528</v>
      </c>
      <c r="G3601" s="913" t="s">
        <v>1974</v>
      </c>
      <c r="H3601" t="s">
        <v>6867</v>
      </c>
    </row>
    <row r="3602" spans="2:8">
      <c r="B3602" s="871">
        <v>46282</v>
      </c>
      <c r="C3602" t="s">
        <v>2486</v>
      </c>
      <c r="D3602" t="s">
        <v>1410</v>
      </c>
      <c r="E3602" t="s">
        <v>3359</v>
      </c>
      <c r="F3602" s="853" t="s">
        <v>526</v>
      </c>
      <c r="G3602" s="913">
        <v>117</v>
      </c>
      <c r="H3602" t="s">
        <v>6868</v>
      </c>
    </row>
    <row r="3603" spans="2:8">
      <c r="B3603" s="871">
        <v>46282</v>
      </c>
      <c r="C3603" t="s">
        <v>2486</v>
      </c>
      <c r="D3603" t="s">
        <v>1410</v>
      </c>
      <c r="E3603" t="s">
        <v>3359</v>
      </c>
      <c r="F3603" s="853" t="s">
        <v>527</v>
      </c>
      <c r="G3603" s="913">
        <v>116</v>
      </c>
      <c r="H3603" t="s">
        <v>6869</v>
      </c>
    </row>
    <row r="3604" spans="2:8">
      <c r="B3604" s="871">
        <v>46282</v>
      </c>
      <c r="C3604" t="s">
        <v>2486</v>
      </c>
      <c r="D3604" t="s">
        <v>1410</v>
      </c>
      <c r="E3604" t="s">
        <v>3359</v>
      </c>
      <c r="F3604" s="853" t="s">
        <v>528</v>
      </c>
      <c r="G3604" s="913">
        <v>114</v>
      </c>
      <c r="H3604" t="s">
        <v>6870</v>
      </c>
    </row>
    <row r="3605" spans="2:8">
      <c r="B3605" s="871">
        <v>46282</v>
      </c>
      <c r="C3605" t="s">
        <v>2486</v>
      </c>
      <c r="D3605" t="s">
        <v>1409</v>
      </c>
      <c r="E3605" t="s">
        <v>1424</v>
      </c>
      <c r="F3605" s="853" t="s">
        <v>526</v>
      </c>
      <c r="H3605" t="s">
        <v>6871</v>
      </c>
    </row>
    <row r="3606" spans="2:8">
      <c r="B3606" s="871">
        <v>46282</v>
      </c>
      <c r="C3606" t="s">
        <v>2486</v>
      </c>
      <c r="D3606" t="s">
        <v>1409</v>
      </c>
      <c r="E3606" t="s">
        <v>1424</v>
      </c>
      <c r="F3606" s="853" t="s">
        <v>527</v>
      </c>
      <c r="H3606" t="s">
        <v>6872</v>
      </c>
    </row>
    <row r="3607" spans="2:8">
      <c r="B3607" s="871">
        <v>46282</v>
      </c>
      <c r="C3607" t="s">
        <v>2486</v>
      </c>
      <c r="D3607" t="s">
        <v>1409</v>
      </c>
      <c r="E3607" t="s">
        <v>1424</v>
      </c>
      <c r="F3607" s="853" t="s">
        <v>528</v>
      </c>
      <c r="H3607" t="s">
        <v>6873</v>
      </c>
    </row>
    <row r="3608" spans="2:8">
      <c r="B3608" s="871">
        <v>46282</v>
      </c>
      <c r="C3608" t="s">
        <v>2486</v>
      </c>
      <c r="D3608" t="s">
        <v>1410</v>
      </c>
      <c r="E3608" t="s">
        <v>3366</v>
      </c>
      <c r="F3608" s="853" t="s">
        <v>526</v>
      </c>
      <c r="G3608" s="913">
        <v>2595</v>
      </c>
      <c r="H3608" t="s">
        <v>6874</v>
      </c>
    </row>
    <row r="3609" spans="2:8">
      <c r="B3609" s="871">
        <v>46282</v>
      </c>
      <c r="C3609" t="s">
        <v>2486</v>
      </c>
      <c r="D3609" t="s">
        <v>1410</v>
      </c>
      <c r="E3609" t="s">
        <v>3366</v>
      </c>
      <c r="F3609" s="853" t="s">
        <v>527</v>
      </c>
      <c r="G3609" s="913">
        <v>2540</v>
      </c>
      <c r="H3609" t="s">
        <v>6875</v>
      </c>
    </row>
    <row r="3610" spans="2:8">
      <c r="B3610" s="871">
        <v>46282</v>
      </c>
      <c r="C3610" t="s">
        <v>2486</v>
      </c>
      <c r="D3610" t="s">
        <v>1410</v>
      </c>
      <c r="E3610" t="s">
        <v>3366</v>
      </c>
      <c r="F3610" s="853" t="s">
        <v>528</v>
      </c>
      <c r="G3610" s="913">
        <v>2699</v>
      </c>
      <c r="H3610" t="s">
        <v>6876</v>
      </c>
    </row>
    <row r="3611" spans="2:8">
      <c r="B3611" s="871">
        <v>46282</v>
      </c>
      <c r="C3611" t="s">
        <v>2486</v>
      </c>
      <c r="D3611" t="s">
        <v>1410</v>
      </c>
      <c r="E3611" t="s">
        <v>3370</v>
      </c>
      <c r="F3611" s="853" t="s">
        <v>526</v>
      </c>
      <c r="G3611" s="913" t="s">
        <v>1427</v>
      </c>
      <c r="H3611" t="s">
        <v>6877</v>
      </c>
    </row>
    <row r="3612" spans="2:8">
      <c r="B3612" s="871">
        <v>46282</v>
      </c>
      <c r="C3612" t="s">
        <v>2486</v>
      </c>
      <c r="D3612" t="s">
        <v>1410</v>
      </c>
      <c r="E3612" t="s">
        <v>3370</v>
      </c>
      <c r="F3612" s="853" t="s">
        <v>527</v>
      </c>
      <c r="G3612" s="913" t="s">
        <v>1427</v>
      </c>
      <c r="H3612" t="s">
        <v>6878</v>
      </c>
    </row>
    <row r="3613" spans="2:8">
      <c r="B3613" s="871">
        <v>46282</v>
      </c>
      <c r="C3613" t="s">
        <v>2486</v>
      </c>
      <c r="D3613" t="s">
        <v>1410</v>
      </c>
      <c r="E3613" t="s">
        <v>3370</v>
      </c>
      <c r="F3613" s="853" t="s">
        <v>528</v>
      </c>
      <c r="G3613" s="913" t="s">
        <v>1427</v>
      </c>
      <c r="H3613" t="s">
        <v>6879</v>
      </c>
    </row>
    <row r="3614" spans="2:8">
      <c r="B3614" s="871">
        <v>46282</v>
      </c>
      <c r="C3614" t="s">
        <v>2486</v>
      </c>
      <c r="D3614" t="s">
        <v>1410</v>
      </c>
      <c r="E3614" t="s">
        <v>3374</v>
      </c>
      <c r="F3614" s="853" t="s">
        <v>526</v>
      </c>
      <c r="G3614" s="913">
        <v>1.7</v>
      </c>
      <c r="H3614" t="s">
        <v>6880</v>
      </c>
    </row>
    <row r="3615" spans="2:8">
      <c r="B3615" s="871">
        <v>46282</v>
      </c>
      <c r="C3615" t="s">
        <v>2486</v>
      </c>
      <c r="D3615" t="s">
        <v>1410</v>
      </c>
      <c r="E3615" t="s">
        <v>3374</v>
      </c>
      <c r="F3615" s="853" t="s">
        <v>527</v>
      </c>
      <c r="G3615" s="913">
        <v>2.5299999999999998</v>
      </c>
      <c r="H3615" t="s">
        <v>6881</v>
      </c>
    </row>
    <row r="3616" spans="2:8">
      <c r="B3616" s="871">
        <v>46282</v>
      </c>
      <c r="C3616" t="s">
        <v>2486</v>
      </c>
      <c r="D3616" t="s">
        <v>1410</v>
      </c>
      <c r="E3616" t="s">
        <v>3374</v>
      </c>
      <c r="F3616" s="853" t="s">
        <v>528</v>
      </c>
      <c r="G3616" s="913">
        <v>2.2999999999999998</v>
      </c>
      <c r="H3616" t="s">
        <v>6882</v>
      </c>
    </row>
    <row r="3617" spans="2:8">
      <c r="B3617" s="871">
        <v>46282</v>
      </c>
      <c r="C3617" t="s">
        <v>2486</v>
      </c>
      <c r="D3617" t="s">
        <v>1410</v>
      </c>
      <c r="E3617" t="s">
        <v>3378</v>
      </c>
      <c r="F3617" s="853" t="s">
        <v>526</v>
      </c>
      <c r="G3617" s="913" t="s">
        <v>1627</v>
      </c>
      <c r="H3617" t="s">
        <v>6883</v>
      </c>
    </row>
    <row r="3618" spans="2:8">
      <c r="B3618" s="871">
        <v>46282</v>
      </c>
      <c r="C3618" t="s">
        <v>2486</v>
      </c>
      <c r="D3618" t="s">
        <v>1410</v>
      </c>
      <c r="E3618" t="s">
        <v>3378</v>
      </c>
      <c r="F3618" s="853" t="s">
        <v>527</v>
      </c>
      <c r="G3618" s="913" t="s">
        <v>1627</v>
      </c>
      <c r="H3618" t="s">
        <v>6884</v>
      </c>
    </row>
    <row r="3619" spans="2:8">
      <c r="B3619" s="871">
        <v>46282</v>
      </c>
      <c r="C3619" t="s">
        <v>2486</v>
      </c>
      <c r="D3619" t="s">
        <v>1410</v>
      </c>
      <c r="E3619" t="s">
        <v>3378</v>
      </c>
      <c r="F3619" s="853" t="s">
        <v>528</v>
      </c>
      <c r="G3619" s="913" t="s">
        <v>1627</v>
      </c>
      <c r="H3619" t="s">
        <v>6885</v>
      </c>
    </row>
    <row r="3620" spans="2:8">
      <c r="B3620" s="871">
        <v>46282</v>
      </c>
      <c r="C3620" t="s">
        <v>2486</v>
      </c>
      <c r="D3620" t="s">
        <v>1410</v>
      </c>
      <c r="E3620" t="s">
        <v>3382</v>
      </c>
      <c r="F3620" s="853" t="s">
        <v>526</v>
      </c>
      <c r="G3620" s="913">
        <v>114</v>
      </c>
      <c r="H3620" t="s">
        <v>6886</v>
      </c>
    </row>
    <row r="3621" spans="2:8">
      <c r="B3621" s="871">
        <v>46282</v>
      </c>
      <c r="C3621" t="s">
        <v>2486</v>
      </c>
      <c r="D3621" t="s">
        <v>1410</v>
      </c>
      <c r="E3621" t="s">
        <v>3382</v>
      </c>
      <c r="F3621" s="853" t="s">
        <v>527</v>
      </c>
      <c r="G3621" s="913">
        <v>107</v>
      </c>
      <c r="H3621" t="s">
        <v>6887</v>
      </c>
    </row>
    <row r="3622" spans="2:8">
      <c r="B3622" s="871">
        <v>46282</v>
      </c>
      <c r="C3622" t="s">
        <v>2486</v>
      </c>
      <c r="D3622" t="s">
        <v>1410</v>
      </c>
      <c r="E3622" t="s">
        <v>3382</v>
      </c>
      <c r="F3622" s="853" t="s">
        <v>528</v>
      </c>
      <c r="G3622" s="913">
        <v>105</v>
      </c>
      <c r="H3622" t="s">
        <v>6888</v>
      </c>
    </row>
    <row r="3623" spans="2:8">
      <c r="B3623" s="871">
        <v>46282</v>
      </c>
      <c r="C3623" t="s">
        <v>2486</v>
      </c>
      <c r="D3623" t="s">
        <v>1409</v>
      </c>
      <c r="E3623" t="s">
        <v>1431</v>
      </c>
      <c r="F3623" s="853" t="s">
        <v>526</v>
      </c>
      <c r="H3623" t="s">
        <v>6889</v>
      </c>
    </row>
    <row r="3624" spans="2:8">
      <c r="B3624" s="871">
        <v>46282</v>
      </c>
      <c r="C3624" t="s">
        <v>2486</v>
      </c>
      <c r="D3624" t="s">
        <v>1409</v>
      </c>
      <c r="E3624" t="s">
        <v>1431</v>
      </c>
      <c r="F3624" s="853" t="s">
        <v>527</v>
      </c>
      <c r="H3624" t="s">
        <v>6890</v>
      </c>
    </row>
    <row r="3625" spans="2:8">
      <c r="B3625" s="871">
        <v>46282</v>
      </c>
      <c r="C3625" t="s">
        <v>2486</v>
      </c>
      <c r="D3625" t="s">
        <v>1409</v>
      </c>
      <c r="E3625" t="s">
        <v>1431</v>
      </c>
      <c r="F3625" s="853" t="s">
        <v>528</v>
      </c>
      <c r="H3625" t="s">
        <v>6891</v>
      </c>
    </row>
    <row r="3626" spans="2:8">
      <c r="B3626" s="871">
        <v>46282</v>
      </c>
      <c r="C3626" t="s">
        <v>2486</v>
      </c>
      <c r="D3626" t="s">
        <v>1410</v>
      </c>
      <c r="E3626" t="s">
        <v>3389</v>
      </c>
      <c r="F3626" s="853" t="s">
        <v>526</v>
      </c>
      <c r="G3626" s="913">
        <v>2710</v>
      </c>
      <c r="H3626" t="s">
        <v>6892</v>
      </c>
    </row>
    <row r="3627" spans="2:8">
      <c r="B3627" s="871">
        <v>46282</v>
      </c>
      <c r="C3627" t="s">
        <v>2486</v>
      </c>
      <c r="D3627" t="s">
        <v>1410</v>
      </c>
      <c r="E3627" t="s">
        <v>3389</v>
      </c>
      <c r="F3627" s="853" t="s">
        <v>527</v>
      </c>
      <c r="G3627" s="913">
        <v>3032</v>
      </c>
      <c r="H3627" t="s">
        <v>6893</v>
      </c>
    </row>
    <row r="3628" spans="2:8">
      <c r="B3628" s="871">
        <v>46282</v>
      </c>
      <c r="C3628" t="s">
        <v>2486</v>
      </c>
      <c r="D3628" t="s">
        <v>1410</v>
      </c>
      <c r="E3628" t="s">
        <v>3389</v>
      </c>
      <c r="F3628" s="853" t="s">
        <v>528</v>
      </c>
      <c r="G3628" s="913">
        <v>3208</v>
      </c>
      <c r="H3628" t="s">
        <v>6894</v>
      </c>
    </row>
    <row r="3629" spans="2:8">
      <c r="B3629" s="871">
        <v>46282</v>
      </c>
      <c r="C3629" t="s">
        <v>2486</v>
      </c>
      <c r="D3629" t="s">
        <v>1410</v>
      </c>
      <c r="E3629" t="s">
        <v>3393</v>
      </c>
      <c r="F3629" s="853" t="s">
        <v>526</v>
      </c>
      <c r="G3629" s="913" t="s">
        <v>1663</v>
      </c>
      <c r="H3629" t="s">
        <v>6895</v>
      </c>
    </row>
    <row r="3630" spans="2:8">
      <c r="B3630" s="871">
        <v>46282</v>
      </c>
      <c r="C3630" t="s">
        <v>2486</v>
      </c>
      <c r="D3630" t="s">
        <v>1410</v>
      </c>
      <c r="E3630" t="s">
        <v>3393</v>
      </c>
      <c r="F3630" s="853" t="s">
        <v>527</v>
      </c>
      <c r="G3630" s="913" t="s">
        <v>1877</v>
      </c>
      <c r="H3630" t="s">
        <v>6896</v>
      </c>
    </row>
    <row r="3631" spans="2:8">
      <c r="B3631" s="871">
        <v>46282</v>
      </c>
      <c r="C3631" t="s">
        <v>2486</v>
      </c>
      <c r="D3631" t="s">
        <v>1410</v>
      </c>
      <c r="E3631" t="s">
        <v>3393</v>
      </c>
      <c r="F3631" s="853" t="s">
        <v>528</v>
      </c>
      <c r="G3631" s="913" t="s">
        <v>1820</v>
      </c>
      <c r="H3631" t="s">
        <v>6897</v>
      </c>
    </row>
    <row r="3632" spans="2:8">
      <c r="B3632" s="871">
        <v>46282</v>
      </c>
      <c r="C3632" t="s">
        <v>2486</v>
      </c>
      <c r="D3632" t="s">
        <v>1410</v>
      </c>
      <c r="E3632" t="s">
        <v>3397</v>
      </c>
      <c r="F3632" s="853" t="s">
        <v>526</v>
      </c>
      <c r="G3632" s="913" t="s">
        <v>1435</v>
      </c>
      <c r="H3632" t="s">
        <v>6898</v>
      </c>
    </row>
    <row r="3633" spans="2:8">
      <c r="B3633" s="871">
        <v>46282</v>
      </c>
      <c r="C3633" t="s">
        <v>2486</v>
      </c>
      <c r="D3633" t="s">
        <v>1410</v>
      </c>
      <c r="E3633" t="s">
        <v>3397</v>
      </c>
      <c r="F3633" s="853" t="s">
        <v>527</v>
      </c>
      <c r="G3633" s="913" t="s">
        <v>1435</v>
      </c>
      <c r="H3633" t="s">
        <v>6899</v>
      </c>
    </row>
    <row r="3634" spans="2:8">
      <c r="B3634" s="871">
        <v>46282</v>
      </c>
      <c r="C3634" t="s">
        <v>2486</v>
      </c>
      <c r="D3634" t="s">
        <v>1410</v>
      </c>
      <c r="E3634" t="s">
        <v>3397</v>
      </c>
      <c r="F3634" s="853" t="s">
        <v>528</v>
      </c>
      <c r="G3634" s="913" t="s">
        <v>1435</v>
      </c>
      <c r="H3634" t="s">
        <v>6900</v>
      </c>
    </row>
    <row r="3635" spans="2:8">
      <c r="B3635" s="871">
        <v>46282</v>
      </c>
      <c r="C3635" t="s">
        <v>2486</v>
      </c>
      <c r="D3635" t="s">
        <v>1434</v>
      </c>
      <c r="E3635" t="s">
        <v>42</v>
      </c>
      <c r="F3635" s="853" t="s">
        <v>526</v>
      </c>
      <c r="G3635" s="913" t="s">
        <v>1862</v>
      </c>
      <c r="H3635" t="s">
        <v>6901</v>
      </c>
    </row>
    <row r="3636" spans="2:8">
      <c r="B3636" s="871">
        <v>46282</v>
      </c>
      <c r="C3636" t="s">
        <v>2486</v>
      </c>
      <c r="D3636" t="s">
        <v>1434</v>
      </c>
      <c r="E3636" t="s">
        <v>42</v>
      </c>
      <c r="F3636" s="853" t="s">
        <v>527</v>
      </c>
      <c r="H3636" t="s">
        <v>6902</v>
      </c>
    </row>
    <row r="3637" spans="2:8">
      <c r="B3637" s="871">
        <v>46282</v>
      </c>
      <c r="C3637" t="s">
        <v>2486</v>
      </c>
      <c r="D3637" t="s">
        <v>1434</v>
      </c>
      <c r="E3637" t="s">
        <v>42</v>
      </c>
      <c r="F3637" s="853" t="s">
        <v>528</v>
      </c>
      <c r="G3637" s="913" t="s">
        <v>1975</v>
      </c>
      <c r="H3637" t="s">
        <v>6903</v>
      </c>
    </row>
    <row r="3638" spans="2:8">
      <c r="B3638" s="871">
        <v>46282</v>
      </c>
      <c r="C3638" t="s">
        <v>2486</v>
      </c>
      <c r="D3638" t="s">
        <v>1410</v>
      </c>
      <c r="E3638" t="s">
        <v>3404</v>
      </c>
      <c r="F3638" s="853" t="s">
        <v>526</v>
      </c>
      <c r="G3638" s="913" t="s">
        <v>1419</v>
      </c>
      <c r="H3638" t="s">
        <v>6904</v>
      </c>
    </row>
    <row r="3639" spans="2:8">
      <c r="B3639" s="871">
        <v>46282</v>
      </c>
      <c r="C3639" t="s">
        <v>2486</v>
      </c>
      <c r="D3639" t="s">
        <v>1410</v>
      </c>
      <c r="E3639" t="s">
        <v>3404</v>
      </c>
      <c r="F3639" s="853" t="s">
        <v>527</v>
      </c>
      <c r="G3639" s="913" t="s">
        <v>1419</v>
      </c>
      <c r="H3639" t="s">
        <v>6905</v>
      </c>
    </row>
    <row r="3640" spans="2:8">
      <c r="B3640" s="871">
        <v>46282</v>
      </c>
      <c r="C3640" t="s">
        <v>2486</v>
      </c>
      <c r="D3640" t="s">
        <v>1410</v>
      </c>
      <c r="E3640" t="s">
        <v>3404</v>
      </c>
      <c r="F3640" s="853" t="s">
        <v>528</v>
      </c>
      <c r="G3640" s="913" t="s">
        <v>1419</v>
      </c>
      <c r="H3640" t="s">
        <v>6906</v>
      </c>
    </row>
    <row r="3641" spans="2:8">
      <c r="B3641" s="871">
        <v>46282</v>
      </c>
      <c r="C3641" t="s">
        <v>2486</v>
      </c>
      <c r="D3641" t="s">
        <v>1434</v>
      </c>
      <c r="E3641" t="s">
        <v>1439</v>
      </c>
      <c r="F3641" s="853" t="s">
        <v>526</v>
      </c>
      <c r="G3641" s="913" t="s">
        <v>1440</v>
      </c>
      <c r="H3641" t="s">
        <v>6907</v>
      </c>
    </row>
    <row r="3642" spans="2:8">
      <c r="B3642" s="871">
        <v>46282</v>
      </c>
      <c r="C3642" t="s">
        <v>2486</v>
      </c>
      <c r="D3642" t="s">
        <v>1434</v>
      </c>
      <c r="E3642" t="s">
        <v>1439</v>
      </c>
      <c r="F3642" s="853" t="s">
        <v>527</v>
      </c>
      <c r="H3642" t="s">
        <v>6908</v>
      </c>
    </row>
    <row r="3643" spans="2:8">
      <c r="B3643" s="871">
        <v>46282</v>
      </c>
      <c r="C3643" t="s">
        <v>2486</v>
      </c>
      <c r="D3643" t="s">
        <v>1434</v>
      </c>
      <c r="E3643" t="s">
        <v>1439</v>
      </c>
      <c r="F3643" s="853" t="s">
        <v>528</v>
      </c>
      <c r="G3643" s="913" t="s">
        <v>9412</v>
      </c>
      <c r="H3643" t="s">
        <v>6909</v>
      </c>
    </row>
    <row r="3644" spans="2:8">
      <c r="B3644" s="871">
        <v>46282</v>
      </c>
      <c r="C3644" t="s">
        <v>2486</v>
      </c>
      <c r="D3644" t="s">
        <v>1410</v>
      </c>
      <c r="E3644" t="s">
        <v>3411</v>
      </c>
      <c r="F3644" s="853" t="s">
        <v>526</v>
      </c>
      <c r="G3644" s="913">
        <v>47</v>
      </c>
      <c r="H3644" t="s">
        <v>6910</v>
      </c>
    </row>
    <row r="3645" spans="2:8">
      <c r="B3645" s="871">
        <v>46282</v>
      </c>
      <c r="C3645" t="s">
        <v>2486</v>
      </c>
      <c r="D3645" t="s">
        <v>1410</v>
      </c>
      <c r="E3645" t="s">
        <v>3411</v>
      </c>
      <c r="F3645" s="853" t="s">
        <v>527</v>
      </c>
      <c r="G3645" s="913">
        <v>64</v>
      </c>
      <c r="H3645" t="s">
        <v>6911</v>
      </c>
    </row>
    <row r="3646" spans="2:8">
      <c r="B3646" s="871">
        <v>46282</v>
      </c>
      <c r="C3646" t="s">
        <v>2486</v>
      </c>
      <c r="D3646" t="s">
        <v>1410</v>
      </c>
      <c r="E3646" t="s">
        <v>3411</v>
      </c>
      <c r="F3646" s="853" t="s">
        <v>528</v>
      </c>
      <c r="G3646" s="913">
        <v>63</v>
      </c>
      <c r="H3646" t="s">
        <v>6912</v>
      </c>
    </row>
    <row r="3647" spans="2:8">
      <c r="B3647" s="871">
        <v>46282</v>
      </c>
      <c r="C3647" t="s">
        <v>2486</v>
      </c>
      <c r="D3647" t="s">
        <v>1434</v>
      </c>
      <c r="E3647" t="s">
        <v>43</v>
      </c>
      <c r="F3647" s="853" t="s">
        <v>526</v>
      </c>
      <c r="G3647" s="913" t="s">
        <v>1863</v>
      </c>
      <c r="H3647" t="s">
        <v>6913</v>
      </c>
    </row>
    <row r="3648" spans="2:8">
      <c r="B3648" s="871">
        <v>46282</v>
      </c>
      <c r="C3648" t="s">
        <v>2486</v>
      </c>
      <c r="D3648" t="s">
        <v>1434</v>
      </c>
      <c r="E3648" t="s">
        <v>43</v>
      </c>
      <c r="F3648" s="853" t="s">
        <v>527</v>
      </c>
      <c r="H3648" t="s">
        <v>6914</v>
      </c>
    </row>
    <row r="3649" spans="2:8">
      <c r="B3649" s="871">
        <v>46282</v>
      </c>
      <c r="C3649" t="s">
        <v>2486</v>
      </c>
      <c r="D3649" t="s">
        <v>1434</v>
      </c>
      <c r="E3649" t="s">
        <v>43</v>
      </c>
      <c r="F3649" s="853" t="s">
        <v>528</v>
      </c>
      <c r="G3649" s="913" t="s">
        <v>9414</v>
      </c>
      <c r="H3649" t="s">
        <v>6915</v>
      </c>
    </row>
    <row r="3650" spans="2:8">
      <c r="B3650" s="871">
        <v>46282</v>
      </c>
      <c r="C3650" t="s">
        <v>2486</v>
      </c>
      <c r="D3650" t="s">
        <v>1410</v>
      </c>
      <c r="E3650" t="s">
        <v>3418</v>
      </c>
      <c r="F3650" s="853" t="s">
        <v>526</v>
      </c>
      <c r="G3650" s="913">
        <v>94</v>
      </c>
      <c r="H3650" t="s">
        <v>6916</v>
      </c>
    </row>
    <row r="3651" spans="2:8">
      <c r="B3651" s="871">
        <v>46282</v>
      </c>
      <c r="C3651" t="s">
        <v>2486</v>
      </c>
      <c r="D3651" t="s">
        <v>1410</v>
      </c>
      <c r="E3651" t="s">
        <v>3418</v>
      </c>
      <c r="F3651" s="853" t="s">
        <v>527</v>
      </c>
      <c r="G3651" s="913">
        <v>68</v>
      </c>
      <c r="H3651" t="s">
        <v>6917</v>
      </c>
    </row>
    <row r="3652" spans="2:8">
      <c r="B3652" s="871">
        <v>46282</v>
      </c>
      <c r="C3652" t="s">
        <v>2486</v>
      </c>
      <c r="D3652" t="s">
        <v>1410</v>
      </c>
      <c r="E3652" t="s">
        <v>3418</v>
      </c>
      <c r="F3652" s="853" t="s">
        <v>528</v>
      </c>
      <c r="G3652" s="913">
        <v>70</v>
      </c>
      <c r="H3652" t="s">
        <v>6918</v>
      </c>
    </row>
    <row r="3653" spans="2:8">
      <c r="B3653" s="871">
        <v>46282</v>
      </c>
      <c r="C3653" t="s">
        <v>2486</v>
      </c>
      <c r="D3653" t="s">
        <v>1434</v>
      </c>
      <c r="E3653" t="s">
        <v>1441</v>
      </c>
      <c r="F3653" s="853" t="s">
        <v>526</v>
      </c>
      <c r="H3653" t="s">
        <v>6919</v>
      </c>
    </row>
    <row r="3654" spans="2:8">
      <c r="B3654" s="871">
        <v>46282</v>
      </c>
      <c r="C3654" t="s">
        <v>2486</v>
      </c>
      <c r="D3654" t="s">
        <v>1434</v>
      </c>
      <c r="E3654" t="s">
        <v>1441</v>
      </c>
      <c r="F3654" s="853" t="s">
        <v>527</v>
      </c>
      <c r="H3654" t="s">
        <v>6920</v>
      </c>
    </row>
    <row r="3655" spans="2:8">
      <c r="B3655" s="871">
        <v>46282</v>
      </c>
      <c r="C3655" t="s">
        <v>2486</v>
      </c>
      <c r="D3655" t="s">
        <v>1434</v>
      </c>
      <c r="E3655" t="s">
        <v>1441</v>
      </c>
      <c r="F3655" s="853" t="s">
        <v>528</v>
      </c>
      <c r="H3655" t="s">
        <v>6921</v>
      </c>
    </row>
    <row r="3656" spans="2:8">
      <c r="B3656" s="871">
        <v>46282</v>
      </c>
      <c r="C3656" t="s">
        <v>2486</v>
      </c>
      <c r="D3656" t="s">
        <v>1410</v>
      </c>
      <c r="E3656" t="s">
        <v>3425</v>
      </c>
      <c r="F3656" s="853" t="s">
        <v>526</v>
      </c>
      <c r="G3656" s="913" t="s">
        <v>1443</v>
      </c>
      <c r="H3656" t="s">
        <v>6922</v>
      </c>
    </row>
    <row r="3657" spans="2:8">
      <c r="B3657" s="871">
        <v>46282</v>
      </c>
      <c r="C3657" t="s">
        <v>2486</v>
      </c>
      <c r="D3657" t="s">
        <v>1410</v>
      </c>
      <c r="E3657" t="s">
        <v>3425</v>
      </c>
      <c r="F3657" s="853" t="s">
        <v>527</v>
      </c>
      <c r="G3657" s="913" t="s">
        <v>1443</v>
      </c>
      <c r="H3657" t="s">
        <v>6923</v>
      </c>
    </row>
    <row r="3658" spans="2:8">
      <c r="B3658" s="871">
        <v>46282</v>
      </c>
      <c r="C3658" t="s">
        <v>2486</v>
      </c>
      <c r="D3658" t="s">
        <v>1410</v>
      </c>
      <c r="E3658" t="s">
        <v>3425</v>
      </c>
      <c r="F3658" s="853" t="s">
        <v>528</v>
      </c>
      <c r="G3658" s="913" t="s">
        <v>1443</v>
      </c>
      <c r="H3658" t="s">
        <v>6924</v>
      </c>
    </row>
    <row r="3659" spans="2:8">
      <c r="B3659" s="871">
        <v>46282</v>
      </c>
      <c r="C3659" t="s">
        <v>2486</v>
      </c>
      <c r="D3659" t="s">
        <v>1434</v>
      </c>
      <c r="E3659" t="s">
        <v>1444</v>
      </c>
      <c r="F3659" s="853" t="s">
        <v>526</v>
      </c>
      <c r="H3659" t="s">
        <v>6925</v>
      </c>
    </row>
    <row r="3660" spans="2:8">
      <c r="B3660" s="871">
        <v>46282</v>
      </c>
      <c r="C3660" t="s">
        <v>2486</v>
      </c>
      <c r="D3660" t="s">
        <v>1434</v>
      </c>
      <c r="E3660" t="s">
        <v>1444</v>
      </c>
      <c r="F3660" s="853" t="s">
        <v>527</v>
      </c>
      <c r="H3660" t="s">
        <v>6926</v>
      </c>
    </row>
    <row r="3661" spans="2:8">
      <c r="B3661" s="871">
        <v>46282</v>
      </c>
      <c r="C3661" t="s">
        <v>2486</v>
      </c>
      <c r="D3661" t="s">
        <v>1434</v>
      </c>
      <c r="E3661" t="s">
        <v>1444</v>
      </c>
      <c r="F3661" s="853" t="s">
        <v>528</v>
      </c>
      <c r="H3661" t="s">
        <v>6927</v>
      </c>
    </row>
    <row r="3662" spans="2:8">
      <c r="B3662" s="871">
        <v>46282</v>
      </c>
      <c r="C3662" t="s">
        <v>2486</v>
      </c>
      <c r="D3662" t="s">
        <v>1434</v>
      </c>
      <c r="E3662" t="s">
        <v>1446</v>
      </c>
      <c r="F3662" s="853" t="s">
        <v>526</v>
      </c>
      <c r="G3662" s="913">
        <v>22500</v>
      </c>
      <c r="H3662" t="s">
        <v>6928</v>
      </c>
    </row>
    <row r="3663" spans="2:8">
      <c r="B3663" s="871">
        <v>46282</v>
      </c>
      <c r="C3663" t="s">
        <v>2486</v>
      </c>
      <c r="D3663" t="s">
        <v>1434</v>
      </c>
      <c r="E3663" t="s">
        <v>1446</v>
      </c>
      <c r="F3663" s="853" t="s">
        <v>527</v>
      </c>
      <c r="H3663" t="s">
        <v>6929</v>
      </c>
    </row>
    <row r="3664" spans="2:8">
      <c r="B3664" s="871">
        <v>46282</v>
      </c>
      <c r="C3664" t="s">
        <v>2486</v>
      </c>
      <c r="D3664" t="s">
        <v>1434</v>
      </c>
      <c r="E3664" t="s">
        <v>1446</v>
      </c>
      <c r="F3664" s="853" t="s">
        <v>528</v>
      </c>
      <c r="G3664" s="913">
        <v>115500</v>
      </c>
      <c r="H3664" t="s">
        <v>6930</v>
      </c>
    </row>
    <row r="3665" spans="2:8">
      <c r="B3665" s="871">
        <v>46282</v>
      </c>
      <c r="C3665" t="s">
        <v>2486</v>
      </c>
      <c r="D3665" t="s">
        <v>1410</v>
      </c>
      <c r="E3665" t="s">
        <v>3435</v>
      </c>
      <c r="F3665" s="853" t="s">
        <v>526</v>
      </c>
      <c r="G3665" s="913" t="s">
        <v>1586</v>
      </c>
      <c r="H3665" t="s">
        <v>6931</v>
      </c>
    </row>
    <row r="3666" spans="2:8">
      <c r="B3666" s="871">
        <v>46282</v>
      </c>
      <c r="C3666" t="s">
        <v>2486</v>
      </c>
      <c r="D3666" t="s">
        <v>1410</v>
      </c>
      <c r="E3666" t="s">
        <v>3435</v>
      </c>
      <c r="F3666" s="853" t="s">
        <v>527</v>
      </c>
      <c r="G3666" s="913" t="s">
        <v>1586</v>
      </c>
      <c r="H3666" t="s">
        <v>6932</v>
      </c>
    </row>
    <row r="3667" spans="2:8">
      <c r="B3667" s="871">
        <v>46282</v>
      </c>
      <c r="C3667" t="s">
        <v>2486</v>
      </c>
      <c r="D3667" t="s">
        <v>1410</v>
      </c>
      <c r="E3667" t="s">
        <v>3435</v>
      </c>
      <c r="F3667" s="853" t="s">
        <v>528</v>
      </c>
      <c r="G3667" s="913" t="s">
        <v>1586</v>
      </c>
      <c r="H3667" t="s">
        <v>6933</v>
      </c>
    </row>
    <row r="3668" spans="2:8">
      <c r="B3668" s="871">
        <v>46282</v>
      </c>
      <c r="C3668" t="s">
        <v>2486</v>
      </c>
      <c r="D3668" t="s">
        <v>1434</v>
      </c>
      <c r="E3668" t="s">
        <v>3439</v>
      </c>
      <c r="F3668" s="853" t="s">
        <v>526</v>
      </c>
      <c r="H3668" t="s">
        <v>6934</v>
      </c>
    </row>
    <row r="3669" spans="2:8">
      <c r="B3669" s="871">
        <v>46282</v>
      </c>
      <c r="C3669" t="s">
        <v>2486</v>
      </c>
      <c r="D3669" t="s">
        <v>1434</v>
      </c>
      <c r="E3669" t="s">
        <v>3439</v>
      </c>
      <c r="F3669" s="853" t="s">
        <v>527</v>
      </c>
      <c r="H3669" t="s">
        <v>6935</v>
      </c>
    </row>
    <row r="3670" spans="2:8">
      <c r="B3670" s="871">
        <v>46282</v>
      </c>
      <c r="C3670" t="s">
        <v>2486</v>
      </c>
      <c r="D3670" t="s">
        <v>1434</v>
      </c>
      <c r="E3670" t="s">
        <v>3439</v>
      </c>
      <c r="F3670" s="853" t="s">
        <v>528</v>
      </c>
      <c r="H3670" t="s">
        <v>6936</v>
      </c>
    </row>
    <row r="3671" spans="2:8">
      <c r="B3671" s="871">
        <v>46282</v>
      </c>
      <c r="C3671" t="s">
        <v>2486</v>
      </c>
      <c r="D3671" t="s">
        <v>1410</v>
      </c>
      <c r="E3671" t="s">
        <v>3443</v>
      </c>
      <c r="F3671" s="853" t="s">
        <v>526</v>
      </c>
      <c r="H3671" t="s">
        <v>6937</v>
      </c>
    </row>
    <row r="3672" spans="2:8">
      <c r="B3672" s="871">
        <v>46282</v>
      </c>
      <c r="C3672" t="s">
        <v>2486</v>
      </c>
      <c r="D3672" t="s">
        <v>1410</v>
      </c>
      <c r="E3672" t="s">
        <v>3443</v>
      </c>
      <c r="F3672" s="853" t="s">
        <v>527</v>
      </c>
      <c r="H3672" t="s">
        <v>6938</v>
      </c>
    </row>
    <row r="3673" spans="2:8">
      <c r="B3673" s="871">
        <v>46282</v>
      </c>
      <c r="C3673" t="s">
        <v>2486</v>
      </c>
      <c r="D3673" t="s">
        <v>1410</v>
      </c>
      <c r="E3673" t="s">
        <v>3443</v>
      </c>
      <c r="F3673" s="853" t="s">
        <v>528</v>
      </c>
      <c r="H3673" t="s">
        <v>6939</v>
      </c>
    </row>
    <row r="3674" spans="2:8">
      <c r="B3674" s="871">
        <v>46282</v>
      </c>
      <c r="C3674" t="s">
        <v>2486</v>
      </c>
      <c r="D3674" t="s">
        <v>1434</v>
      </c>
      <c r="E3674" t="s">
        <v>3447</v>
      </c>
      <c r="F3674" s="853" t="s">
        <v>526</v>
      </c>
      <c r="H3674" t="s">
        <v>6940</v>
      </c>
    </row>
    <row r="3675" spans="2:8">
      <c r="B3675" s="871">
        <v>46282</v>
      </c>
      <c r="C3675" t="s">
        <v>2486</v>
      </c>
      <c r="D3675" t="s">
        <v>1434</v>
      </c>
      <c r="E3675" t="s">
        <v>3447</v>
      </c>
      <c r="F3675" s="853" t="s">
        <v>527</v>
      </c>
      <c r="H3675" t="s">
        <v>6941</v>
      </c>
    </row>
    <row r="3676" spans="2:8">
      <c r="B3676" s="871">
        <v>46282</v>
      </c>
      <c r="C3676" t="s">
        <v>2486</v>
      </c>
      <c r="D3676" t="s">
        <v>1434</v>
      </c>
      <c r="E3676" t="s">
        <v>3447</v>
      </c>
      <c r="F3676" s="853" t="s">
        <v>528</v>
      </c>
      <c r="H3676" t="s">
        <v>6942</v>
      </c>
    </row>
    <row r="3677" spans="2:8">
      <c r="B3677" s="871">
        <v>46282</v>
      </c>
      <c r="C3677" t="s">
        <v>2486</v>
      </c>
      <c r="D3677" t="s">
        <v>1410</v>
      </c>
      <c r="E3677" t="s">
        <v>3451</v>
      </c>
      <c r="F3677" s="853" t="s">
        <v>526</v>
      </c>
      <c r="H3677" t="s">
        <v>6943</v>
      </c>
    </row>
    <row r="3678" spans="2:8">
      <c r="B3678" s="871">
        <v>46282</v>
      </c>
      <c r="C3678" t="s">
        <v>2486</v>
      </c>
      <c r="D3678" t="s">
        <v>1410</v>
      </c>
      <c r="E3678" t="s">
        <v>3451</v>
      </c>
      <c r="F3678" s="853" t="s">
        <v>527</v>
      </c>
      <c r="H3678" t="s">
        <v>6944</v>
      </c>
    </row>
    <row r="3679" spans="2:8">
      <c r="B3679" s="871">
        <v>46282</v>
      </c>
      <c r="C3679" t="s">
        <v>2486</v>
      </c>
      <c r="D3679" t="s">
        <v>1410</v>
      </c>
      <c r="E3679" t="s">
        <v>3451</v>
      </c>
      <c r="F3679" s="853" t="s">
        <v>528</v>
      </c>
      <c r="H3679" t="s">
        <v>6945</v>
      </c>
    </row>
    <row r="3680" spans="2:8">
      <c r="B3680" s="871">
        <v>46282</v>
      </c>
      <c r="C3680" t="s">
        <v>2486</v>
      </c>
      <c r="D3680" t="s">
        <v>1434</v>
      </c>
      <c r="E3680" t="s">
        <v>3455</v>
      </c>
      <c r="F3680" s="853" t="s">
        <v>526</v>
      </c>
      <c r="H3680" t="s">
        <v>6946</v>
      </c>
    </row>
    <row r="3681" spans="2:8">
      <c r="B3681" s="871">
        <v>46282</v>
      </c>
      <c r="C3681" t="s">
        <v>2486</v>
      </c>
      <c r="D3681" t="s">
        <v>1434</v>
      </c>
      <c r="E3681" t="s">
        <v>3455</v>
      </c>
      <c r="F3681" s="853" t="s">
        <v>527</v>
      </c>
      <c r="H3681" t="s">
        <v>6947</v>
      </c>
    </row>
    <row r="3682" spans="2:8">
      <c r="B3682" s="871">
        <v>46282</v>
      </c>
      <c r="C3682" t="s">
        <v>2486</v>
      </c>
      <c r="D3682" t="s">
        <v>1434</v>
      </c>
      <c r="E3682" t="s">
        <v>3455</v>
      </c>
      <c r="F3682" s="853" t="s">
        <v>528</v>
      </c>
      <c r="H3682" t="s">
        <v>6948</v>
      </c>
    </row>
    <row r="3683" spans="2:8">
      <c r="B3683" s="871">
        <v>46282</v>
      </c>
      <c r="C3683" t="s">
        <v>2486</v>
      </c>
      <c r="D3683" t="s">
        <v>1410</v>
      </c>
      <c r="E3683" t="s">
        <v>3459</v>
      </c>
      <c r="F3683" s="853" t="s">
        <v>526</v>
      </c>
      <c r="G3683" s="913">
        <v>28</v>
      </c>
      <c r="H3683" t="s">
        <v>6949</v>
      </c>
    </row>
    <row r="3684" spans="2:8">
      <c r="B3684" s="871">
        <v>46282</v>
      </c>
      <c r="C3684" t="s">
        <v>2486</v>
      </c>
      <c r="D3684" t="s">
        <v>1410</v>
      </c>
      <c r="E3684" t="s">
        <v>3459</v>
      </c>
      <c r="F3684" s="853" t="s">
        <v>527</v>
      </c>
      <c r="G3684" s="913">
        <v>28</v>
      </c>
      <c r="H3684" t="s">
        <v>6950</v>
      </c>
    </row>
    <row r="3685" spans="2:8">
      <c r="B3685" s="871">
        <v>46282</v>
      </c>
      <c r="C3685" t="s">
        <v>2486</v>
      </c>
      <c r="D3685" t="s">
        <v>1410</v>
      </c>
      <c r="E3685" t="s">
        <v>3459</v>
      </c>
      <c r="F3685" s="853" t="s">
        <v>528</v>
      </c>
      <c r="G3685" s="913">
        <v>26</v>
      </c>
      <c r="H3685" t="s">
        <v>6951</v>
      </c>
    </row>
    <row r="3686" spans="2:8">
      <c r="B3686" s="871">
        <v>46282</v>
      </c>
      <c r="C3686" t="s">
        <v>2486</v>
      </c>
      <c r="D3686" t="s">
        <v>1434</v>
      </c>
      <c r="E3686" t="s">
        <v>3463</v>
      </c>
      <c r="F3686" s="853" t="s">
        <v>526</v>
      </c>
      <c r="H3686" t="s">
        <v>6952</v>
      </c>
    </row>
    <row r="3687" spans="2:8">
      <c r="B3687" s="871">
        <v>46282</v>
      </c>
      <c r="C3687" t="s">
        <v>2486</v>
      </c>
      <c r="D3687" t="s">
        <v>1434</v>
      </c>
      <c r="E3687" t="s">
        <v>3463</v>
      </c>
      <c r="F3687" s="853" t="s">
        <v>527</v>
      </c>
      <c r="H3687" t="s">
        <v>6953</v>
      </c>
    </row>
    <row r="3688" spans="2:8">
      <c r="B3688" s="871">
        <v>46282</v>
      </c>
      <c r="C3688" t="s">
        <v>2486</v>
      </c>
      <c r="D3688" t="s">
        <v>1434</v>
      </c>
      <c r="E3688" t="s">
        <v>3463</v>
      </c>
      <c r="F3688" s="853" t="s">
        <v>528</v>
      </c>
      <c r="H3688" t="s">
        <v>6954</v>
      </c>
    </row>
    <row r="3689" spans="2:8">
      <c r="B3689" s="871">
        <v>46282</v>
      </c>
      <c r="C3689" t="s">
        <v>2486</v>
      </c>
      <c r="D3689" t="s">
        <v>1410</v>
      </c>
      <c r="E3689" t="s">
        <v>3467</v>
      </c>
      <c r="F3689" s="853" t="s">
        <v>526</v>
      </c>
      <c r="H3689" t="s">
        <v>6955</v>
      </c>
    </row>
    <row r="3690" spans="2:8">
      <c r="B3690" s="871">
        <v>46282</v>
      </c>
      <c r="C3690" t="s">
        <v>2486</v>
      </c>
      <c r="D3690" t="s">
        <v>1410</v>
      </c>
      <c r="E3690" t="s">
        <v>3467</v>
      </c>
      <c r="F3690" s="853" t="s">
        <v>527</v>
      </c>
      <c r="H3690" t="s">
        <v>6956</v>
      </c>
    </row>
    <row r="3691" spans="2:8">
      <c r="B3691" s="871">
        <v>46282</v>
      </c>
      <c r="C3691" t="s">
        <v>2486</v>
      </c>
      <c r="D3691" t="s">
        <v>1410</v>
      </c>
      <c r="E3691" t="s">
        <v>3467</v>
      </c>
      <c r="F3691" s="853" t="s">
        <v>528</v>
      </c>
      <c r="H3691" t="s">
        <v>6957</v>
      </c>
    </row>
    <row r="3692" spans="2:8">
      <c r="B3692" s="871">
        <v>46282</v>
      </c>
      <c r="C3692" t="s">
        <v>2486</v>
      </c>
      <c r="D3692" t="s">
        <v>1434</v>
      </c>
      <c r="E3692" t="s">
        <v>3471</v>
      </c>
      <c r="F3692" s="853" t="s">
        <v>526</v>
      </c>
      <c r="H3692" t="s">
        <v>6958</v>
      </c>
    </row>
    <row r="3693" spans="2:8">
      <c r="B3693" s="871">
        <v>46282</v>
      </c>
      <c r="C3693" t="s">
        <v>2486</v>
      </c>
      <c r="D3693" t="s">
        <v>1434</v>
      </c>
      <c r="E3693" t="s">
        <v>3471</v>
      </c>
      <c r="F3693" s="853" t="s">
        <v>527</v>
      </c>
      <c r="H3693" t="s">
        <v>6959</v>
      </c>
    </row>
    <row r="3694" spans="2:8">
      <c r="B3694" s="871">
        <v>46282</v>
      </c>
      <c r="C3694" t="s">
        <v>2486</v>
      </c>
      <c r="D3694" t="s">
        <v>1434</v>
      </c>
      <c r="E3694" t="s">
        <v>3471</v>
      </c>
      <c r="F3694" s="853" t="s">
        <v>528</v>
      </c>
      <c r="H3694" t="s">
        <v>6960</v>
      </c>
    </row>
    <row r="3695" spans="2:8">
      <c r="B3695" s="871">
        <v>46282</v>
      </c>
      <c r="C3695" t="s">
        <v>2486</v>
      </c>
      <c r="D3695" t="s">
        <v>1410</v>
      </c>
      <c r="E3695" t="s">
        <v>3475</v>
      </c>
      <c r="F3695" s="853" t="s">
        <v>526</v>
      </c>
      <c r="G3695" s="913">
        <v>18</v>
      </c>
      <c r="H3695" t="s">
        <v>6961</v>
      </c>
    </row>
    <row r="3696" spans="2:8">
      <c r="B3696" s="871">
        <v>46282</v>
      </c>
      <c r="C3696" t="s">
        <v>2486</v>
      </c>
      <c r="D3696" t="s">
        <v>1410</v>
      </c>
      <c r="E3696" t="s">
        <v>3475</v>
      </c>
      <c r="F3696" s="853" t="s">
        <v>527</v>
      </c>
      <c r="G3696" s="913">
        <v>18</v>
      </c>
      <c r="H3696" t="s">
        <v>6962</v>
      </c>
    </row>
    <row r="3697" spans="2:8">
      <c r="B3697" s="871">
        <v>46282</v>
      </c>
      <c r="C3697" t="s">
        <v>2486</v>
      </c>
      <c r="D3697" t="s">
        <v>1410</v>
      </c>
      <c r="E3697" t="s">
        <v>3475</v>
      </c>
      <c r="F3697" s="853" t="s">
        <v>528</v>
      </c>
      <c r="G3697" s="913">
        <v>18</v>
      </c>
      <c r="H3697" t="s">
        <v>6963</v>
      </c>
    </row>
    <row r="3698" spans="2:8">
      <c r="B3698" s="871">
        <v>46282</v>
      </c>
      <c r="C3698" t="s">
        <v>2486</v>
      </c>
      <c r="D3698" t="s">
        <v>1434</v>
      </c>
      <c r="E3698" t="s">
        <v>3479</v>
      </c>
      <c r="F3698" s="853" t="s">
        <v>526</v>
      </c>
      <c r="H3698" t="s">
        <v>6964</v>
      </c>
    </row>
    <row r="3699" spans="2:8">
      <c r="B3699" s="871">
        <v>46282</v>
      </c>
      <c r="C3699" t="s">
        <v>2486</v>
      </c>
      <c r="D3699" t="s">
        <v>1434</v>
      </c>
      <c r="E3699" t="s">
        <v>3479</v>
      </c>
      <c r="F3699" s="853" t="s">
        <v>527</v>
      </c>
      <c r="H3699" t="s">
        <v>6965</v>
      </c>
    </row>
    <row r="3700" spans="2:8">
      <c r="B3700" s="871">
        <v>46282</v>
      </c>
      <c r="C3700" t="s">
        <v>2486</v>
      </c>
      <c r="D3700" t="s">
        <v>1434</v>
      </c>
      <c r="E3700" t="s">
        <v>3479</v>
      </c>
      <c r="F3700" s="853" t="s">
        <v>528</v>
      </c>
      <c r="H3700" t="s">
        <v>6966</v>
      </c>
    </row>
    <row r="3701" spans="2:8">
      <c r="B3701" s="871">
        <v>46282</v>
      </c>
      <c r="C3701" t="s">
        <v>2486</v>
      </c>
      <c r="D3701" t="s">
        <v>1410</v>
      </c>
      <c r="E3701" t="s">
        <v>3483</v>
      </c>
      <c r="F3701" s="853" t="s">
        <v>526</v>
      </c>
      <c r="G3701" s="913" t="s">
        <v>1878</v>
      </c>
      <c r="H3701" t="s">
        <v>6967</v>
      </c>
    </row>
    <row r="3702" spans="2:8">
      <c r="B3702" s="871">
        <v>46282</v>
      </c>
      <c r="C3702" t="s">
        <v>2486</v>
      </c>
      <c r="D3702" t="s">
        <v>1410</v>
      </c>
      <c r="E3702" t="s">
        <v>3483</v>
      </c>
      <c r="F3702" s="853" t="s">
        <v>527</v>
      </c>
      <c r="G3702" s="913" t="s">
        <v>1915</v>
      </c>
      <c r="H3702" t="s">
        <v>6968</v>
      </c>
    </row>
    <row r="3703" spans="2:8">
      <c r="B3703" s="871">
        <v>46282</v>
      </c>
      <c r="C3703" t="s">
        <v>2486</v>
      </c>
      <c r="D3703" t="s">
        <v>1410</v>
      </c>
      <c r="E3703" t="s">
        <v>3483</v>
      </c>
      <c r="F3703" s="853" t="s">
        <v>528</v>
      </c>
      <c r="G3703" s="913">
        <v>5</v>
      </c>
      <c r="H3703" t="s">
        <v>6969</v>
      </c>
    </row>
    <row r="3704" spans="2:8">
      <c r="B3704" s="871">
        <v>46283</v>
      </c>
      <c r="C3704" t="s">
        <v>2487</v>
      </c>
      <c r="D3704" t="s">
        <v>1375</v>
      </c>
      <c r="E3704" t="s">
        <v>1377</v>
      </c>
      <c r="F3704" s="853" t="s">
        <v>526</v>
      </c>
      <c r="G3704" s="913" t="s">
        <v>2030</v>
      </c>
      <c r="H3704" t="s">
        <v>6970</v>
      </c>
    </row>
    <row r="3705" spans="2:8">
      <c r="B3705" s="871">
        <v>46283</v>
      </c>
      <c r="C3705" t="s">
        <v>2487</v>
      </c>
      <c r="D3705" t="s">
        <v>1375</v>
      </c>
      <c r="E3705" t="s">
        <v>1377</v>
      </c>
      <c r="F3705" s="853" t="s">
        <v>527</v>
      </c>
      <c r="G3705" s="913" t="s">
        <v>1378</v>
      </c>
      <c r="H3705" t="s">
        <v>6971</v>
      </c>
    </row>
    <row r="3706" spans="2:8">
      <c r="B3706" s="871">
        <v>46283</v>
      </c>
      <c r="C3706" t="s">
        <v>2487</v>
      </c>
      <c r="D3706" t="s">
        <v>1375</v>
      </c>
      <c r="E3706" t="s">
        <v>1377</v>
      </c>
      <c r="F3706" s="853" t="s">
        <v>528</v>
      </c>
      <c r="G3706" s="913" t="s">
        <v>1378</v>
      </c>
      <c r="H3706" t="s">
        <v>6972</v>
      </c>
    </row>
    <row r="3707" spans="2:8">
      <c r="B3707" s="871">
        <v>46283</v>
      </c>
      <c r="C3707" t="s">
        <v>2487</v>
      </c>
      <c r="D3707" t="s">
        <v>1376</v>
      </c>
      <c r="E3707" t="s">
        <v>1379</v>
      </c>
      <c r="F3707" s="853" t="s">
        <v>526</v>
      </c>
      <c r="H3707" t="s">
        <v>6973</v>
      </c>
    </row>
    <row r="3708" spans="2:8">
      <c r="B3708" s="871">
        <v>46283</v>
      </c>
      <c r="C3708" t="s">
        <v>2487</v>
      </c>
      <c r="D3708" t="s">
        <v>1376</v>
      </c>
      <c r="E3708" t="s">
        <v>1379</v>
      </c>
      <c r="F3708" s="853" t="s">
        <v>527</v>
      </c>
      <c r="H3708" t="s">
        <v>6974</v>
      </c>
    </row>
    <row r="3709" spans="2:8">
      <c r="B3709" s="871">
        <v>46283</v>
      </c>
      <c r="C3709" t="s">
        <v>2487</v>
      </c>
      <c r="D3709" t="s">
        <v>1376</v>
      </c>
      <c r="E3709" t="s">
        <v>1379</v>
      </c>
      <c r="F3709" s="853" t="s">
        <v>528</v>
      </c>
      <c r="H3709" t="s">
        <v>6975</v>
      </c>
    </row>
    <row r="3710" spans="2:8">
      <c r="B3710" s="871">
        <v>46283</v>
      </c>
      <c r="C3710" t="s">
        <v>2487</v>
      </c>
      <c r="D3710" t="s">
        <v>1375</v>
      </c>
      <c r="E3710" t="s">
        <v>1380</v>
      </c>
      <c r="F3710" s="853" t="s">
        <v>526</v>
      </c>
      <c r="H3710" t="s">
        <v>6976</v>
      </c>
    </row>
    <row r="3711" spans="2:8">
      <c r="B3711" s="871">
        <v>46283</v>
      </c>
      <c r="C3711" t="s">
        <v>2487</v>
      </c>
      <c r="D3711" t="s">
        <v>1375</v>
      </c>
      <c r="E3711" t="s">
        <v>1380</v>
      </c>
      <c r="F3711" s="853" t="s">
        <v>527</v>
      </c>
      <c r="G3711" s="913">
        <v>9</v>
      </c>
      <c r="H3711" t="s">
        <v>6977</v>
      </c>
    </row>
    <row r="3712" spans="2:8">
      <c r="B3712" s="871">
        <v>46283</v>
      </c>
      <c r="C3712" t="s">
        <v>2487</v>
      </c>
      <c r="D3712" t="s">
        <v>1375</v>
      </c>
      <c r="E3712" t="s">
        <v>1380</v>
      </c>
      <c r="F3712" s="853" t="s">
        <v>528</v>
      </c>
      <c r="G3712" s="913" t="s">
        <v>2031</v>
      </c>
      <c r="H3712" t="s">
        <v>6978</v>
      </c>
    </row>
    <row r="3713" spans="2:8">
      <c r="B3713" s="871">
        <v>46283</v>
      </c>
      <c r="C3713" t="s">
        <v>2487</v>
      </c>
      <c r="D3713" t="s">
        <v>1376</v>
      </c>
      <c r="E3713" t="s">
        <v>1383</v>
      </c>
      <c r="F3713" s="853" t="s">
        <v>526</v>
      </c>
      <c r="G3713" s="913">
        <v>0</v>
      </c>
      <c r="H3713" t="s">
        <v>6979</v>
      </c>
    </row>
    <row r="3714" spans="2:8">
      <c r="B3714" s="871">
        <v>46283</v>
      </c>
      <c r="C3714" t="s">
        <v>2487</v>
      </c>
      <c r="D3714" t="s">
        <v>1376</v>
      </c>
      <c r="E3714" t="s">
        <v>1383</v>
      </c>
      <c r="F3714" s="853" t="s">
        <v>527</v>
      </c>
      <c r="G3714" s="913">
        <v>0</v>
      </c>
      <c r="H3714" t="s">
        <v>6980</v>
      </c>
    </row>
    <row r="3715" spans="2:8">
      <c r="B3715" s="871">
        <v>46283</v>
      </c>
      <c r="C3715" t="s">
        <v>2487</v>
      </c>
      <c r="D3715" t="s">
        <v>1376</v>
      </c>
      <c r="E3715" t="s">
        <v>1383</v>
      </c>
      <c r="F3715" s="853" t="s">
        <v>528</v>
      </c>
      <c r="G3715" s="913">
        <v>0</v>
      </c>
      <c r="H3715" t="s">
        <v>6981</v>
      </c>
    </row>
    <row r="3716" spans="2:8">
      <c r="B3716" s="871">
        <v>46283</v>
      </c>
      <c r="C3716" t="s">
        <v>2487</v>
      </c>
      <c r="D3716" t="s">
        <v>1375</v>
      </c>
      <c r="E3716" t="s">
        <v>54</v>
      </c>
      <c r="F3716" s="853" t="s">
        <v>526</v>
      </c>
      <c r="H3716" t="s">
        <v>6982</v>
      </c>
    </row>
    <row r="3717" spans="2:8">
      <c r="B3717" s="871">
        <v>46283</v>
      </c>
      <c r="C3717" t="s">
        <v>2487</v>
      </c>
      <c r="D3717" t="s">
        <v>1375</v>
      </c>
      <c r="E3717" t="s">
        <v>54</v>
      </c>
      <c r="F3717" s="853" t="s">
        <v>527</v>
      </c>
      <c r="H3717" t="s">
        <v>6983</v>
      </c>
    </row>
    <row r="3718" spans="2:8">
      <c r="B3718" s="871">
        <v>46283</v>
      </c>
      <c r="C3718" t="s">
        <v>2487</v>
      </c>
      <c r="D3718" t="s">
        <v>1375</v>
      </c>
      <c r="E3718" t="s">
        <v>54</v>
      </c>
      <c r="F3718" s="853" t="s">
        <v>528</v>
      </c>
      <c r="H3718" t="s">
        <v>6984</v>
      </c>
    </row>
    <row r="3719" spans="2:8">
      <c r="B3719" s="871">
        <v>46283</v>
      </c>
      <c r="C3719" t="s">
        <v>2487</v>
      </c>
      <c r="D3719" t="s">
        <v>1376</v>
      </c>
      <c r="E3719" t="s">
        <v>1384</v>
      </c>
      <c r="F3719" s="853" t="s">
        <v>526</v>
      </c>
      <c r="G3719" s="913">
        <v>0.4</v>
      </c>
      <c r="H3719" t="s">
        <v>6985</v>
      </c>
    </row>
    <row r="3720" spans="2:8">
      <c r="B3720" s="871">
        <v>46283</v>
      </c>
      <c r="C3720" t="s">
        <v>2487</v>
      </c>
      <c r="D3720" t="s">
        <v>1376</v>
      </c>
      <c r="E3720" t="s">
        <v>1384</v>
      </c>
      <c r="F3720" s="853" t="s">
        <v>527</v>
      </c>
      <c r="G3720" s="913">
        <v>0.42</v>
      </c>
      <c r="H3720" t="s">
        <v>6986</v>
      </c>
    </row>
    <row r="3721" spans="2:8">
      <c r="B3721" s="871">
        <v>46283</v>
      </c>
      <c r="C3721" t="s">
        <v>2487</v>
      </c>
      <c r="D3721" t="s">
        <v>1376</v>
      </c>
      <c r="E3721" t="s">
        <v>1384</v>
      </c>
      <c r="F3721" s="853" t="s">
        <v>528</v>
      </c>
      <c r="G3721" s="913">
        <v>0.4</v>
      </c>
      <c r="H3721" t="s">
        <v>6987</v>
      </c>
    </row>
    <row r="3722" spans="2:8">
      <c r="B3722" s="871">
        <v>46283</v>
      </c>
      <c r="C3722" t="s">
        <v>2487</v>
      </c>
      <c r="D3722" t="s">
        <v>1375</v>
      </c>
      <c r="E3722" t="s">
        <v>1385</v>
      </c>
      <c r="F3722" s="853" t="s">
        <v>526</v>
      </c>
      <c r="G3722" s="913">
        <v>1150</v>
      </c>
      <c r="H3722" t="s">
        <v>6988</v>
      </c>
    </row>
    <row r="3723" spans="2:8">
      <c r="B3723" s="871">
        <v>46283</v>
      </c>
      <c r="C3723" t="s">
        <v>2487</v>
      </c>
      <c r="D3723" t="s">
        <v>1375</v>
      </c>
      <c r="E3723" t="s">
        <v>1385</v>
      </c>
      <c r="F3723" s="853" t="s">
        <v>527</v>
      </c>
      <c r="G3723" s="913">
        <v>1811</v>
      </c>
      <c r="H3723" t="s">
        <v>6989</v>
      </c>
    </row>
    <row r="3724" spans="2:8">
      <c r="B3724" s="871">
        <v>46283</v>
      </c>
      <c r="C3724" t="s">
        <v>2487</v>
      </c>
      <c r="D3724" t="s">
        <v>1375</v>
      </c>
      <c r="E3724" t="s">
        <v>1385</v>
      </c>
      <c r="F3724" s="853" t="s">
        <v>528</v>
      </c>
      <c r="G3724" s="913">
        <v>5191</v>
      </c>
      <c r="H3724" t="s">
        <v>6990</v>
      </c>
    </row>
    <row r="3725" spans="2:8">
      <c r="B3725" s="871">
        <v>46283</v>
      </c>
      <c r="C3725" t="s">
        <v>2487</v>
      </c>
      <c r="D3725" t="s">
        <v>1376</v>
      </c>
      <c r="E3725" t="s">
        <v>1386</v>
      </c>
      <c r="F3725" s="853" t="s">
        <v>526</v>
      </c>
      <c r="G3725" s="913">
        <v>0.5</v>
      </c>
      <c r="H3725" t="s">
        <v>6991</v>
      </c>
    </row>
    <row r="3726" spans="2:8">
      <c r="B3726" s="871">
        <v>46283</v>
      </c>
      <c r="C3726" t="s">
        <v>2487</v>
      </c>
      <c r="D3726" t="s">
        <v>1376</v>
      </c>
      <c r="E3726" t="s">
        <v>1386</v>
      </c>
      <c r="F3726" s="853" t="s">
        <v>527</v>
      </c>
      <c r="G3726" s="913">
        <v>0.4</v>
      </c>
      <c r="H3726" t="s">
        <v>6992</v>
      </c>
    </row>
    <row r="3727" spans="2:8">
      <c r="B3727" s="871">
        <v>46283</v>
      </c>
      <c r="C3727" t="s">
        <v>2487</v>
      </c>
      <c r="D3727" t="s">
        <v>1376</v>
      </c>
      <c r="E3727" t="s">
        <v>1386</v>
      </c>
      <c r="F3727" s="853" t="s">
        <v>528</v>
      </c>
      <c r="G3727" s="913">
        <v>0.38</v>
      </c>
      <c r="H3727" t="s">
        <v>6993</v>
      </c>
    </row>
    <row r="3728" spans="2:8">
      <c r="B3728" s="871">
        <v>46283</v>
      </c>
      <c r="C3728" t="s">
        <v>2487</v>
      </c>
      <c r="D3728" t="s">
        <v>1376</v>
      </c>
      <c r="E3728" t="s">
        <v>1387</v>
      </c>
      <c r="F3728" s="853" t="s">
        <v>526</v>
      </c>
      <c r="G3728" s="913">
        <v>8.6</v>
      </c>
      <c r="H3728" t="s">
        <v>6994</v>
      </c>
    </row>
    <row r="3729" spans="2:8">
      <c r="B3729" s="871">
        <v>46283</v>
      </c>
      <c r="C3729" t="s">
        <v>2487</v>
      </c>
      <c r="D3729" t="s">
        <v>1376</v>
      </c>
      <c r="E3729" t="s">
        <v>1387</v>
      </c>
      <c r="F3729" s="853" t="s">
        <v>527</v>
      </c>
      <c r="G3729" s="913">
        <v>8.1</v>
      </c>
      <c r="H3729" t="s">
        <v>6995</v>
      </c>
    </row>
    <row r="3730" spans="2:8">
      <c r="B3730" s="871">
        <v>46283</v>
      </c>
      <c r="C3730" t="s">
        <v>2487</v>
      </c>
      <c r="D3730" t="s">
        <v>1376</v>
      </c>
      <c r="E3730" t="s">
        <v>1387</v>
      </c>
      <c r="F3730" s="853" t="s">
        <v>528</v>
      </c>
      <c r="H3730" t="s">
        <v>6996</v>
      </c>
    </row>
    <row r="3731" spans="2:8">
      <c r="B3731" s="871">
        <v>46283</v>
      </c>
      <c r="C3731" t="s">
        <v>2487</v>
      </c>
      <c r="D3731" t="s">
        <v>1375</v>
      </c>
      <c r="E3731" t="s">
        <v>1388</v>
      </c>
      <c r="F3731" s="853" t="s">
        <v>526</v>
      </c>
      <c r="H3731" t="s">
        <v>6997</v>
      </c>
    </row>
    <row r="3732" spans="2:8">
      <c r="B3732" s="871">
        <v>46283</v>
      </c>
      <c r="C3732" t="s">
        <v>2487</v>
      </c>
      <c r="D3732" t="s">
        <v>1375</v>
      </c>
      <c r="E3732" t="s">
        <v>1388</v>
      </c>
      <c r="F3732" s="853" t="s">
        <v>527</v>
      </c>
      <c r="H3732" t="s">
        <v>6998</v>
      </c>
    </row>
    <row r="3733" spans="2:8">
      <c r="B3733" s="871">
        <v>46283</v>
      </c>
      <c r="C3733" t="s">
        <v>2487</v>
      </c>
      <c r="D3733" t="s">
        <v>1375</v>
      </c>
      <c r="E3733" t="s">
        <v>1388</v>
      </c>
      <c r="F3733" s="853" t="s">
        <v>528</v>
      </c>
      <c r="H3733" t="s">
        <v>6999</v>
      </c>
    </row>
    <row r="3734" spans="2:8">
      <c r="B3734" s="871">
        <v>46283</v>
      </c>
      <c r="C3734" t="s">
        <v>2487</v>
      </c>
      <c r="D3734" t="s">
        <v>1376</v>
      </c>
      <c r="E3734" t="s">
        <v>1389</v>
      </c>
      <c r="F3734" s="853" t="s">
        <v>526</v>
      </c>
      <c r="G3734" s="913">
        <v>62.9</v>
      </c>
      <c r="H3734" t="s">
        <v>7000</v>
      </c>
    </row>
    <row r="3735" spans="2:8">
      <c r="B3735" s="871">
        <v>46283</v>
      </c>
      <c r="C3735" t="s">
        <v>2487</v>
      </c>
      <c r="D3735" t="s">
        <v>1376</v>
      </c>
      <c r="E3735" t="s">
        <v>1389</v>
      </c>
      <c r="F3735" s="853" t="s">
        <v>527</v>
      </c>
      <c r="G3735" s="913">
        <v>66.5</v>
      </c>
      <c r="H3735" t="s">
        <v>7001</v>
      </c>
    </row>
    <row r="3736" spans="2:8">
      <c r="B3736" s="871">
        <v>46283</v>
      </c>
      <c r="C3736" t="s">
        <v>2487</v>
      </c>
      <c r="D3736" t="s">
        <v>1376</v>
      </c>
      <c r="E3736" t="s">
        <v>1389</v>
      </c>
      <c r="F3736" s="853" t="s">
        <v>528</v>
      </c>
      <c r="H3736" t="s">
        <v>7002</v>
      </c>
    </row>
    <row r="3737" spans="2:8">
      <c r="B3737" s="871">
        <v>46283</v>
      </c>
      <c r="C3737" t="s">
        <v>2487</v>
      </c>
      <c r="D3737" t="s">
        <v>1375</v>
      </c>
      <c r="E3737" t="s">
        <v>3266</v>
      </c>
      <c r="F3737" s="853" t="s">
        <v>526</v>
      </c>
      <c r="G3737" s="913">
        <v>4</v>
      </c>
      <c r="H3737" t="s">
        <v>7003</v>
      </c>
    </row>
    <row r="3738" spans="2:8">
      <c r="B3738" s="871">
        <v>46283</v>
      </c>
      <c r="C3738" t="s">
        <v>2487</v>
      </c>
      <c r="D3738" t="s">
        <v>1375</v>
      </c>
      <c r="E3738" t="s">
        <v>3266</v>
      </c>
      <c r="F3738" s="853" t="s">
        <v>527</v>
      </c>
      <c r="G3738" s="913">
        <v>1</v>
      </c>
      <c r="H3738" t="s">
        <v>7004</v>
      </c>
    </row>
    <row r="3739" spans="2:8">
      <c r="B3739" s="871">
        <v>46283</v>
      </c>
      <c r="C3739" t="s">
        <v>2487</v>
      </c>
      <c r="D3739" t="s">
        <v>1375</v>
      </c>
      <c r="E3739" t="s">
        <v>3266</v>
      </c>
      <c r="F3739" s="853" t="s">
        <v>528</v>
      </c>
      <c r="G3739" s="913">
        <v>4</v>
      </c>
      <c r="H3739" t="s">
        <v>7005</v>
      </c>
    </row>
    <row r="3740" spans="2:8">
      <c r="B3740" s="871">
        <v>46283</v>
      </c>
      <c r="C3740" t="s">
        <v>2487</v>
      </c>
      <c r="D3740" t="s">
        <v>1376</v>
      </c>
      <c r="E3740" t="s">
        <v>1390</v>
      </c>
      <c r="F3740" s="853" t="s">
        <v>526</v>
      </c>
      <c r="G3740" s="913">
        <v>1.7700000000000001E-3</v>
      </c>
      <c r="H3740" t="s">
        <v>7006</v>
      </c>
    </row>
    <row r="3741" spans="2:8">
      <c r="B3741" s="871">
        <v>46283</v>
      </c>
      <c r="C3741" t="s">
        <v>2487</v>
      </c>
      <c r="D3741" t="s">
        <v>1376</v>
      </c>
      <c r="E3741" t="s">
        <v>1390</v>
      </c>
      <c r="F3741" s="853" t="s">
        <v>527</v>
      </c>
      <c r="G3741" s="913">
        <v>1.5100000000000001E-3</v>
      </c>
      <c r="H3741" t="s">
        <v>7007</v>
      </c>
    </row>
    <row r="3742" spans="2:8">
      <c r="B3742" s="871">
        <v>46283</v>
      </c>
      <c r="C3742" t="s">
        <v>2487</v>
      </c>
      <c r="D3742" t="s">
        <v>1376</v>
      </c>
      <c r="E3742" t="s">
        <v>1390</v>
      </c>
      <c r="F3742" s="853" t="s">
        <v>528</v>
      </c>
      <c r="H3742" t="s">
        <v>7008</v>
      </c>
    </row>
    <row r="3743" spans="2:8">
      <c r="B3743" s="871">
        <v>46283</v>
      </c>
      <c r="C3743" t="s">
        <v>2487</v>
      </c>
      <c r="D3743" t="s">
        <v>1375</v>
      </c>
      <c r="E3743" t="s">
        <v>3273</v>
      </c>
      <c r="F3743" s="853" t="s">
        <v>526</v>
      </c>
      <c r="G3743" s="913">
        <v>4</v>
      </c>
      <c r="H3743" t="s">
        <v>7009</v>
      </c>
    </row>
    <row r="3744" spans="2:8">
      <c r="B3744" s="871">
        <v>46283</v>
      </c>
      <c r="C3744" t="s">
        <v>2487</v>
      </c>
      <c r="D3744" t="s">
        <v>1375</v>
      </c>
      <c r="E3744" t="s">
        <v>3273</v>
      </c>
      <c r="F3744" s="853" t="s">
        <v>527</v>
      </c>
      <c r="G3744" s="913">
        <v>1</v>
      </c>
      <c r="H3744" t="s">
        <v>7010</v>
      </c>
    </row>
    <row r="3745" spans="2:8">
      <c r="B3745" s="871">
        <v>46283</v>
      </c>
      <c r="C3745" t="s">
        <v>2487</v>
      </c>
      <c r="D3745" t="s">
        <v>1375</v>
      </c>
      <c r="E3745" t="s">
        <v>3273</v>
      </c>
      <c r="F3745" s="853" t="s">
        <v>528</v>
      </c>
      <c r="G3745" s="913">
        <v>5</v>
      </c>
      <c r="H3745" t="s">
        <v>7011</v>
      </c>
    </row>
    <row r="3746" spans="2:8">
      <c r="B3746" s="871">
        <v>46283</v>
      </c>
      <c r="C3746" t="s">
        <v>2487</v>
      </c>
      <c r="D3746" t="s">
        <v>1376</v>
      </c>
      <c r="E3746" t="s">
        <v>1391</v>
      </c>
      <c r="F3746" s="853" t="s">
        <v>526</v>
      </c>
      <c r="H3746" t="s">
        <v>7012</v>
      </c>
    </row>
    <row r="3747" spans="2:8">
      <c r="B3747" s="871">
        <v>46283</v>
      </c>
      <c r="C3747" t="s">
        <v>2487</v>
      </c>
      <c r="D3747" t="s">
        <v>1376</v>
      </c>
      <c r="E3747" t="s">
        <v>1391</v>
      </c>
      <c r="F3747" s="853" t="s">
        <v>527</v>
      </c>
      <c r="H3747" t="s">
        <v>7013</v>
      </c>
    </row>
    <row r="3748" spans="2:8">
      <c r="B3748" s="871">
        <v>46283</v>
      </c>
      <c r="C3748" t="s">
        <v>2487</v>
      </c>
      <c r="D3748" t="s">
        <v>1376</v>
      </c>
      <c r="E3748" t="s">
        <v>1391</v>
      </c>
      <c r="F3748" s="853" t="s">
        <v>528</v>
      </c>
      <c r="G3748" s="913">
        <v>5752</v>
      </c>
      <c r="H3748" t="s">
        <v>7014</v>
      </c>
    </row>
    <row r="3749" spans="2:8">
      <c r="B3749" s="871">
        <v>46283</v>
      </c>
      <c r="C3749" t="s">
        <v>2487</v>
      </c>
      <c r="D3749" t="s">
        <v>1375</v>
      </c>
      <c r="E3749" t="s">
        <v>3280</v>
      </c>
      <c r="F3749" s="853" t="s">
        <v>526</v>
      </c>
      <c r="G3749" s="913">
        <v>2</v>
      </c>
      <c r="H3749" t="s">
        <v>7015</v>
      </c>
    </row>
    <row r="3750" spans="2:8">
      <c r="B3750" s="871">
        <v>46283</v>
      </c>
      <c r="C3750" t="s">
        <v>2487</v>
      </c>
      <c r="D3750" t="s">
        <v>1375</v>
      </c>
      <c r="E3750" t="s">
        <v>3280</v>
      </c>
      <c r="F3750" s="853" t="s">
        <v>527</v>
      </c>
      <c r="G3750" s="913">
        <v>1</v>
      </c>
      <c r="H3750" t="s">
        <v>7016</v>
      </c>
    </row>
    <row r="3751" spans="2:8">
      <c r="B3751" s="871">
        <v>46283</v>
      </c>
      <c r="C3751" t="s">
        <v>2487</v>
      </c>
      <c r="D3751" t="s">
        <v>1375</v>
      </c>
      <c r="E3751" t="s">
        <v>3280</v>
      </c>
      <c r="F3751" s="853" t="s">
        <v>528</v>
      </c>
      <c r="G3751" s="913">
        <v>1</v>
      </c>
      <c r="H3751" t="s">
        <v>7017</v>
      </c>
    </row>
    <row r="3752" spans="2:8">
      <c r="B3752" s="871">
        <v>46283</v>
      </c>
      <c r="C3752" t="s">
        <v>2487</v>
      </c>
      <c r="D3752" t="s">
        <v>1376</v>
      </c>
      <c r="E3752" t="s">
        <v>1392</v>
      </c>
      <c r="F3752" s="853" t="s">
        <v>526</v>
      </c>
      <c r="G3752" s="913">
        <v>5752</v>
      </c>
      <c r="H3752" t="s">
        <v>7018</v>
      </c>
    </row>
    <row r="3753" spans="2:8">
      <c r="B3753" s="871">
        <v>46283</v>
      </c>
      <c r="C3753" t="s">
        <v>2487</v>
      </c>
      <c r="D3753" t="s">
        <v>1376</v>
      </c>
      <c r="E3753" t="s">
        <v>1392</v>
      </c>
      <c r="F3753" s="853" t="s">
        <v>527</v>
      </c>
      <c r="H3753" t="s">
        <v>7019</v>
      </c>
    </row>
    <row r="3754" spans="2:8">
      <c r="B3754" s="871">
        <v>46283</v>
      </c>
      <c r="C3754" t="s">
        <v>2487</v>
      </c>
      <c r="D3754" t="s">
        <v>1376</v>
      </c>
      <c r="E3754" t="s">
        <v>1392</v>
      </c>
      <c r="F3754" s="853" t="s">
        <v>528</v>
      </c>
      <c r="H3754" t="s">
        <v>7020</v>
      </c>
    </row>
    <row r="3755" spans="2:8">
      <c r="B3755" s="871">
        <v>46283</v>
      </c>
      <c r="C3755" t="s">
        <v>2487</v>
      </c>
      <c r="D3755" t="s">
        <v>1375</v>
      </c>
      <c r="E3755" t="s">
        <v>3287</v>
      </c>
      <c r="F3755" s="853" t="s">
        <v>526</v>
      </c>
      <c r="G3755" s="913">
        <v>4</v>
      </c>
      <c r="H3755" t="s">
        <v>7021</v>
      </c>
    </row>
    <row r="3756" spans="2:8">
      <c r="B3756" s="871">
        <v>46283</v>
      </c>
      <c r="C3756" t="s">
        <v>2487</v>
      </c>
      <c r="D3756" t="s">
        <v>1375</v>
      </c>
      <c r="E3756" t="s">
        <v>3287</v>
      </c>
      <c r="F3756" s="853" t="s">
        <v>527</v>
      </c>
      <c r="G3756" s="913">
        <v>1</v>
      </c>
      <c r="H3756" t="s">
        <v>7022</v>
      </c>
    </row>
    <row r="3757" spans="2:8">
      <c r="B3757" s="871">
        <v>46283</v>
      </c>
      <c r="C3757" t="s">
        <v>2487</v>
      </c>
      <c r="D3757" t="s">
        <v>1375</v>
      </c>
      <c r="E3757" t="s">
        <v>3287</v>
      </c>
      <c r="F3757" s="853" t="s">
        <v>528</v>
      </c>
      <c r="G3757" s="913">
        <v>4</v>
      </c>
      <c r="H3757" t="s">
        <v>7023</v>
      </c>
    </row>
    <row r="3758" spans="2:8">
      <c r="B3758" s="871">
        <v>46283</v>
      </c>
      <c r="C3758" t="s">
        <v>2487</v>
      </c>
      <c r="D3758" t="s">
        <v>1376</v>
      </c>
      <c r="E3758" t="s">
        <v>453</v>
      </c>
      <c r="F3758" s="853" t="s">
        <v>526</v>
      </c>
      <c r="H3758" t="s">
        <v>7024</v>
      </c>
    </row>
    <row r="3759" spans="2:8">
      <c r="B3759" s="871">
        <v>46283</v>
      </c>
      <c r="C3759" t="s">
        <v>2487</v>
      </c>
      <c r="D3759" t="s">
        <v>1376</v>
      </c>
      <c r="E3759" t="s">
        <v>453</v>
      </c>
      <c r="F3759" s="853" t="s">
        <v>527</v>
      </c>
      <c r="H3759" t="s">
        <v>7025</v>
      </c>
    </row>
    <row r="3760" spans="2:8">
      <c r="B3760" s="871">
        <v>46283</v>
      </c>
      <c r="C3760" t="s">
        <v>2487</v>
      </c>
      <c r="D3760" t="s">
        <v>1376</v>
      </c>
      <c r="E3760" t="s">
        <v>453</v>
      </c>
      <c r="F3760" s="853" t="s">
        <v>528</v>
      </c>
      <c r="H3760" t="s">
        <v>7026</v>
      </c>
    </row>
    <row r="3761" spans="2:8">
      <c r="B3761" s="871">
        <v>46283</v>
      </c>
      <c r="C3761" t="s">
        <v>2487</v>
      </c>
      <c r="D3761" t="s">
        <v>1375</v>
      </c>
      <c r="E3761" t="s">
        <v>3291</v>
      </c>
      <c r="F3761" s="853" t="s">
        <v>526</v>
      </c>
      <c r="G3761" s="913">
        <v>4</v>
      </c>
      <c r="H3761" t="s">
        <v>7027</v>
      </c>
    </row>
    <row r="3762" spans="2:8">
      <c r="B3762" s="871">
        <v>46283</v>
      </c>
      <c r="C3762" t="s">
        <v>2487</v>
      </c>
      <c r="D3762" t="s">
        <v>1375</v>
      </c>
      <c r="E3762" t="s">
        <v>3291</v>
      </c>
      <c r="F3762" s="853" t="s">
        <v>527</v>
      </c>
      <c r="G3762" s="913">
        <v>1</v>
      </c>
      <c r="H3762" t="s">
        <v>7028</v>
      </c>
    </row>
    <row r="3763" spans="2:8">
      <c r="B3763" s="871">
        <v>46283</v>
      </c>
      <c r="C3763" t="s">
        <v>2487</v>
      </c>
      <c r="D3763" t="s">
        <v>1375</v>
      </c>
      <c r="E3763" t="s">
        <v>3291</v>
      </c>
      <c r="F3763" s="853" t="s">
        <v>528</v>
      </c>
      <c r="G3763" s="913">
        <v>4</v>
      </c>
      <c r="H3763" t="s">
        <v>7029</v>
      </c>
    </row>
    <row r="3764" spans="2:8">
      <c r="B3764" s="871">
        <v>46283</v>
      </c>
      <c r="C3764" t="s">
        <v>2487</v>
      </c>
      <c r="D3764" t="s">
        <v>1376</v>
      </c>
      <c r="E3764" t="s">
        <v>1394</v>
      </c>
      <c r="F3764" s="853" t="s">
        <v>526</v>
      </c>
      <c r="G3764" s="913" t="s">
        <v>2032</v>
      </c>
      <c r="H3764" t="s">
        <v>7030</v>
      </c>
    </row>
    <row r="3765" spans="2:8">
      <c r="B3765" s="871">
        <v>46283</v>
      </c>
      <c r="C3765" t="s">
        <v>2487</v>
      </c>
      <c r="D3765" t="s">
        <v>1376</v>
      </c>
      <c r="E3765" t="s">
        <v>1394</v>
      </c>
      <c r="F3765" s="853" t="s">
        <v>527</v>
      </c>
      <c r="G3765" s="913" t="s">
        <v>2033</v>
      </c>
      <c r="H3765" t="s">
        <v>7031</v>
      </c>
    </row>
    <row r="3766" spans="2:8">
      <c r="B3766" s="871">
        <v>46283</v>
      </c>
      <c r="C3766" t="s">
        <v>2487</v>
      </c>
      <c r="D3766" t="s">
        <v>1376</v>
      </c>
      <c r="E3766" t="s">
        <v>1394</v>
      </c>
      <c r="F3766" s="853" t="s">
        <v>528</v>
      </c>
      <c r="G3766" s="913" t="s">
        <v>2034</v>
      </c>
      <c r="H3766" t="s">
        <v>7032</v>
      </c>
    </row>
    <row r="3767" spans="2:8">
      <c r="B3767" s="871">
        <v>46283</v>
      </c>
      <c r="C3767" t="s">
        <v>2487</v>
      </c>
      <c r="D3767" t="s">
        <v>1375</v>
      </c>
      <c r="E3767" t="s">
        <v>3298</v>
      </c>
      <c r="F3767" s="853" t="s">
        <v>526</v>
      </c>
      <c r="G3767" s="913">
        <v>3</v>
      </c>
      <c r="H3767" t="s">
        <v>7033</v>
      </c>
    </row>
    <row r="3768" spans="2:8">
      <c r="B3768" s="871">
        <v>46283</v>
      </c>
      <c r="C3768" t="s">
        <v>2487</v>
      </c>
      <c r="D3768" t="s">
        <v>1375</v>
      </c>
      <c r="E3768" t="s">
        <v>3298</v>
      </c>
      <c r="F3768" s="853" t="s">
        <v>527</v>
      </c>
      <c r="G3768" s="913">
        <v>1</v>
      </c>
      <c r="H3768" t="s">
        <v>7034</v>
      </c>
    </row>
    <row r="3769" spans="2:8">
      <c r="B3769" s="871">
        <v>46283</v>
      </c>
      <c r="C3769" t="s">
        <v>2487</v>
      </c>
      <c r="D3769" t="s">
        <v>1375</v>
      </c>
      <c r="E3769" t="s">
        <v>3298</v>
      </c>
      <c r="F3769" s="853" t="s">
        <v>528</v>
      </c>
      <c r="G3769" s="913">
        <v>5</v>
      </c>
      <c r="H3769" t="s">
        <v>7035</v>
      </c>
    </row>
    <row r="3770" spans="2:8">
      <c r="B3770" s="871">
        <v>46283</v>
      </c>
      <c r="C3770" t="s">
        <v>2487</v>
      </c>
      <c r="D3770" t="s">
        <v>1376</v>
      </c>
      <c r="E3770" t="s">
        <v>1398</v>
      </c>
      <c r="F3770" s="853" t="s">
        <v>526</v>
      </c>
      <c r="G3770" s="913">
        <v>11</v>
      </c>
      <c r="H3770" t="s">
        <v>7036</v>
      </c>
    </row>
    <row r="3771" spans="2:8">
      <c r="B3771" s="871">
        <v>46283</v>
      </c>
      <c r="C3771" t="s">
        <v>2487</v>
      </c>
      <c r="D3771" t="s">
        <v>1376</v>
      </c>
      <c r="E3771" t="s">
        <v>1398</v>
      </c>
      <c r="F3771" s="853" t="s">
        <v>527</v>
      </c>
      <c r="G3771" s="913">
        <v>11</v>
      </c>
      <c r="H3771" t="s">
        <v>7037</v>
      </c>
    </row>
    <row r="3772" spans="2:8">
      <c r="B3772" s="871">
        <v>46283</v>
      </c>
      <c r="C3772" t="s">
        <v>2487</v>
      </c>
      <c r="D3772" t="s">
        <v>1376</v>
      </c>
      <c r="E3772" t="s">
        <v>1398</v>
      </c>
      <c r="F3772" s="853" t="s">
        <v>528</v>
      </c>
      <c r="G3772" s="913">
        <v>11</v>
      </c>
      <c r="H3772" t="s">
        <v>7038</v>
      </c>
    </row>
    <row r="3773" spans="2:8">
      <c r="B3773" s="871">
        <v>46283</v>
      </c>
      <c r="C3773" t="s">
        <v>2487</v>
      </c>
      <c r="D3773" t="s">
        <v>1375</v>
      </c>
      <c r="E3773" t="s">
        <v>3305</v>
      </c>
      <c r="F3773" s="853" t="s">
        <v>526</v>
      </c>
      <c r="G3773" s="913">
        <v>1</v>
      </c>
      <c r="H3773" t="s">
        <v>7039</v>
      </c>
    </row>
    <row r="3774" spans="2:8">
      <c r="B3774" s="871">
        <v>46283</v>
      </c>
      <c r="C3774" t="s">
        <v>2487</v>
      </c>
      <c r="D3774" t="s">
        <v>1375</v>
      </c>
      <c r="E3774" t="s">
        <v>3305</v>
      </c>
      <c r="F3774" s="853" t="s">
        <v>527</v>
      </c>
      <c r="G3774" s="913">
        <v>1</v>
      </c>
      <c r="H3774" t="s">
        <v>7040</v>
      </c>
    </row>
    <row r="3775" spans="2:8">
      <c r="B3775" s="871">
        <v>46283</v>
      </c>
      <c r="C3775" t="s">
        <v>2487</v>
      </c>
      <c r="D3775" t="s">
        <v>1375</v>
      </c>
      <c r="E3775" t="s">
        <v>3305</v>
      </c>
      <c r="F3775" s="853" t="s">
        <v>528</v>
      </c>
      <c r="G3775" s="913">
        <v>1</v>
      </c>
      <c r="H3775" t="s">
        <v>7041</v>
      </c>
    </row>
    <row r="3776" spans="2:8">
      <c r="B3776" s="871">
        <v>46283</v>
      </c>
      <c r="C3776" t="s">
        <v>2487</v>
      </c>
      <c r="D3776" t="s">
        <v>1376</v>
      </c>
      <c r="E3776" t="s">
        <v>1399</v>
      </c>
      <c r="F3776" s="853" t="s">
        <v>526</v>
      </c>
      <c r="G3776" s="913">
        <v>12</v>
      </c>
      <c r="H3776" t="s">
        <v>7042</v>
      </c>
    </row>
    <row r="3777" spans="2:8">
      <c r="B3777" s="871">
        <v>46283</v>
      </c>
      <c r="C3777" t="s">
        <v>2487</v>
      </c>
      <c r="D3777" t="s">
        <v>1376</v>
      </c>
      <c r="E3777" t="s">
        <v>1399</v>
      </c>
      <c r="F3777" s="853" t="s">
        <v>527</v>
      </c>
      <c r="G3777" s="913">
        <v>12</v>
      </c>
      <c r="H3777" t="s">
        <v>7043</v>
      </c>
    </row>
    <row r="3778" spans="2:8">
      <c r="B3778" s="871">
        <v>46283</v>
      </c>
      <c r="C3778" t="s">
        <v>2487</v>
      </c>
      <c r="D3778" t="s">
        <v>1376</v>
      </c>
      <c r="E3778" t="s">
        <v>1399</v>
      </c>
      <c r="F3778" s="853" t="s">
        <v>528</v>
      </c>
      <c r="G3778" s="913">
        <v>12</v>
      </c>
      <c r="H3778" t="s">
        <v>7044</v>
      </c>
    </row>
    <row r="3779" spans="2:8">
      <c r="B3779" s="871">
        <v>46283</v>
      </c>
      <c r="C3779" t="s">
        <v>2487</v>
      </c>
      <c r="D3779" t="s">
        <v>1375</v>
      </c>
      <c r="E3779" t="s">
        <v>3312</v>
      </c>
      <c r="F3779" s="853" t="s">
        <v>526</v>
      </c>
      <c r="G3779" s="913">
        <v>2</v>
      </c>
      <c r="H3779" t="s">
        <v>7045</v>
      </c>
    </row>
    <row r="3780" spans="2:8">
      <c r="B3780" s="871">
        <v>46283</v>
      </c>
      <c r="C3780" t="s">
        <v>2487</v>
      </c>
      <c r="D3780" t="s">
        <v>1375</v>
      </c>
      <c r="E3780" t="s">
        <v>3312</v>
      </c>
      <c r="F3780" s="853" t="s">
        <v>527</v>
      </c>
      <c r="G3780" s="913">
        <v>2</v>
      </c>
      <c r="H3780" t="s">
        <v>7046</v>
      </c>
    </row>
    <row r="3781" spans="2:8">
      <c r="B3781" s="871">
        <v>46283</v>
      </c>
      <c r="C3781" t="s">
        <v>2487</v>
      </c>
      <c r="D3781" t="s">
        <v>1375</v>
      </c>
      <c r="E3781" t="s">
        <v>3312</v>
      </c>
      <c r="F3781" s="853" t="s">
        <v>528</v>
      </c>
      <c r="G3781" s="913">
        <v>4</v>
      </c>
      <c r="H3781" t="s">
        <v>7047</v>
      </c>
    </row>
    <row r="3782" spans="2:8">
      <c r="B3782" s="871">
        <v>46283</v>
      </c>
      <c r="C3782" t="s">
        <v>2487</v>
      </c>
      <c r="D3782" t="s">
        <v>1376</v>
      </c>
      <c r="E3782" t="s">
        <v>1400</v>
      </c>
      <c r="F3782" s="853" t="s">
        <v>526</v>
      </c>
      <c r="G3782" s="913">
        <v>16</v>
      </c>
      <c r="H3782" t="s">
        <v>7048</v>
      </c>
    </row>
    <row r="3783" spans="2:8">
      <c r="B3783" s="871">
        <v>46283</v>
      </c>
      <c r="C3783" t="s">
        <v>2487</v>
      </c>
      <c r="D3783" t="s">
        <v>1376</v>
      </c>
      <c r="E3783" t="s">
        <v>1400</v>
      </c>
      <c r="F3783" s="853" t="s">
        <v>527</v>
      </c>
      <c r="G3783" s="913">
        <v>16</v>
      </c>
      <c r="H3783" t="s">
        <v>7049</v>
      </c>
    </row>
    <row r="3784" spans="2:8">
      <c r="B3784" s="871">
        <v>46283</v>
      </c>
      <c r="C3784" t="s">
        <v>2487</v>
      </c>
      <c r="D3784" t="s">
        <v>1376</v>
      </c>
      <c r="E3784" t="s">
        <v>1400</v>
      </c>
      <c r="F3784" s="853" t="s">
        <v>528</v>
      </c>
      <c r="G3784" s="913">
        <v>16</v>
      </c>
      <c r="H3784" t="s">
        <v>7050</v>
      </c>
    </row>
    <row r="3785" spans="2:8">
      <c r="B3785" s="871">
        <v>46283</v>
      </c>
      <c r="C3785" t="s">
        <v>2487</v>
      </c>
      <c r="D3785" t="s">
        <v>1375</v>
      </c>
      <c r="E3785" t="s">
        <v>3319</v>
      </c>
      <c r="F3785" s="853" t="s">
        <v>526</v>
      </c>
      <c r="G3785" s="913">
        <v>3</v>
      </c>
      <c r="H3785" t="s">
        <v>7051</v>
      </c>
    </row>
    <row r="3786" spans="2:8">
      <c r="B3786" s="871">
        <v>46283</v>
      </c>
      <c r="C3786" t="s">
        <v>2487</v>
      </c>
      <c r="D3786" t="s">
        <v>1375</v>
      </c>
      <c r="E3786" t="s">
        <v>3319</v>
      </c>
      <c r="F3786" s="853" t="s">
        <v>527</v>
      </c>
      <c r="G3786" s="913">
        <v>1</v>
      </c>
      <c r="H3786" t="s">
        <v>7052</v>
      </c>
    </row>
    <row r="3787" spans="2:8">
      <c r="B3787" s="871">
        <v>46283</v>
      </c>
      <c r="C3787" t="s">
        <v>2487</v>
      </c>
      <c r="D3787" t="s">
        <v>1375</v>
      </c>
      <c r="E3787" t="s">
        <v>3319</v>
      </c>
      <c r="F3787" s="853" t="s">
        <v>528</v>
      </c>
      <c r="G3787" s="913">
        <v>5</v>
      </c>
      <c r="H3787" t="s">
        <v>7053</v>
      </c>
    </row>
    <row r="3788" spans="2:8">
      <c r="B3788" s="871">
        <v>46283</v>
      </c>
      <c r="C3788" t="s">
        <v>2487</v>
      </c>
      <c r="D3788" t="s">
        <v>1376</v>
      </c>
      <c r="E3788" t="s">
        <v>1401</v>
      </c>
      <c r="F3788" s="853" t="s">
        <v>526</v>
      </c>
      <c r="G3788" s="913">
        <v>7.82</v>
      </c>
      <c r="H3788" t="s">
        <v>7054</v>
      </c>
    </row>
    <row r="3789" spans="2:8">
      <c r="B3789" s="871">
        <v>46283</v>
      </c>
      <c r="C3789" t="s">
        <v>2487</v>
      </c>
      <c r="D3789" t="s">
        <v>1376</v>
      </c>
      <c r="E3789" t="s">
        <v>1401</v>
      </c>
      <c r="F3789" s="853" t="s">
        <v>527</v>
      </c>
      <c r="G3789" s="913">
        <v>6.9</v>
      </c>
      <c r="H3789" t="s">
        <v>7055</v>
      </c>
    </row>
    <row r="3790" spans="2:8">
      <c r="B3790" s="871">
        <v>46283</v>
      </c>
      <c r="C3790" t="s">
        <v>2487</v>
      </c>
      <c r="D3790" t="s">
        <v>1376</v>
      </c>
      <c r="E3790" t="s">
        <v>1401</v>
      </c>
      <c r="F3790" s="853" t="s">
        <v>528</v>
      </c>
      <c r="G3790" s="913">
        <v>6.72</v>
      </c>
      <c r="H3790" t="s">
        <v>7056</v>
      </c>
    </row>
    <row r="3791" spans="2:8">
      <c r="B3791" s="871">
        <v>46283</v>
      </c>
      <c r="C3791" t="s">
        <v>2487</v>
      </c>
      <c r="D3791" t="s">
        <v>1375</v>
      </c>
      <c r="E3791" t="s">
        <v>3326</v>
      </c>
      <c r="F3791" s="853" t="s">
        <v>526</v>
      </c>
      <c r="G3791" s="913" t="s">
        <v>1583</v>
      </c>
      <c r="H3791" t="s">
        <v>7057</v>
      </c>
    </row>
    <row r="3792" spans="2:8">
      <c r="B3792" s="871">
        <v>46283</v>
      </c>
      <c r="C3792" t="s">
        <v>2487</v>
      </c>
      <c r="D3792" t="s">
        <v>1375</v>
      </c>
      <c r="E3792" t="s">
        <v>3326</v>
      </c>
      <c r="F3792" s="853" t="s">
        <v>527</v>
      </c>
      <c r="G3792" s="913" t="s">
        <v>1583</v>
      </c>
      <c r="H3792" t="s">
        <v>7058</v>
      </c>
    </row>
    <row r="3793" spans="2:8">
      <c r="B3793" s="871">
        <v>46283</v>
      </c>
      <c r="C3793" t="s">
        <v>2487</v>
      </c>
      <c r="D3793" t="s">
        <v>1375</v>
      </c>
      <c r="E3793" t="s">
        <v>3326</v>
      </c>
      <c r="F3793" s="853" t="s">
        <v>528</v>
      </c>
      <c r="G3793" s="913" t="s">
        <v>1583</v>
      </c>
      <c r="H3793" t="s">
        <v>7059</v>
      </c>
    </row>
    <row r="3794" spans="2:8">
      <c r="B3794" s="871">
        <v>46283</v>
      </c>
      <c r="C3794" t="s">
        <v>2487</v>
      </c>
      <c r="D3794" t="s">
        <v>1376</v>
      </c>
      <c r="E3794" t="s">
        <v>1403</v>
      </c>
      <c r="F3794" s="853" t="s">
        <v>526</v>
      </c>
      <c r="G3794" s="913">
        <v>672</v>
      </c>
      <c r="H3794" t="s">
        <v>7060</v>
      </c>
    </row>
    <row r="3795" spans="2:8">
      <c r="B3795" s="871">
        <v>46283</v>
      </c>
      <c r="C3795" t="s">
        <v>2487</v>
      </c>
      <c r="D3795" t="s">
        <v>1376</v>
      </c>
      <c r="E3795" t="s">
        <v>1403</v>
      </c>
      <c r="F3795" s="853" t="s">
        <v>527</v>
      </c>
      <c r="G3795" s="913">
        <v>720</v>
      </c>
      <c r="H3795" t="s">
        <v>7061</v>
      </c>
    </row>
    <row r="3796" spans="2:8">
      <c r="B3796" s="871">
        <v>46283</v>
      </c>
      <c r="C3796" t="s">
        <v>2487</v>
      </c>
      <c r="D3796" t="s">
        <v>1376</v>
      </c>
      <c r="E3796" t="s">
        <v>1403</v>
      </c>
      <c r="F3796" s="853" t="s">
        <v>528</v>
      </c>
      <c r="G3796" s="913">
        <v>655</v>
      </c>
      <c r="H3796" t="s">
        <v>7062</v>
      </c>
    </row>
    <row r="3797" spans="2:8">
      <c r="B3797" s="871">
        <v>46283</v>
      </c>
      <c r="C3797" t="s">
        <v>2487</v>
      </c>
      <c r="D3797" t="s">
        <v>1376</v>
      </c>
      <c r="E3797" t="s">
        <v>1404</v>
      </c>
      <c r="F3797" s="853" t="s">
        <v>526</v>
      </c>
      <c r="G3797" s="913">
        <v>4.9000000000000004</v>
      </c>
      <c r="H3797" t="s">
        <v>7063</v>
      </c>
    </row>
    <row r="3798" spans="2:8">
      <c r="B3798" s="871">
        <v>46283</v>
      </c>
      <c r="C3798" t="s">
        <v>2487</v>
      </c>
      <c r="D3798" t="s">
        <v>1376</v>
      </c>
      <c r="E3798" t="s">
        <v>1404</v>
      </c>
      <c r="F3798" s="853" t="s">
        <v>527</v>
      </c>
      <c r="G3798" s="913">
        <v>4.4400000000000004</v>
      </c>
      <c r="H3798" t="s">
        <v>7064</v>
      </c>
    </row>
    <row r="3799" spans="2:8">
      <c r="B3799" s="871">
        <v>46283</v>
      </c>
      <c r="C3799" t="s">
        <v>2487</v>
      </c>
      <c r="D3799" t="s">
        <v>1376</v>
      </c>
      <c r="E3799" t="s">
        <v>1404</v>
      </c>
      <c r="F3799" s="853" t="s">
        <v>528</v>
      </c>
      <c r="G3799" s="913">
        <v>3.8</v>
      </c>
      <c r="H3799" t="s">
        <v>7065</v>
      </c>
    </row>
    <row r="3800" spans="2:8">
      <c r="B3800" s="871">
        <v>46283</v>
      </c>
      <c r="C3800" t="s">
        <v>2487</v>
      </c>
      <c r="D3800" t="s">
        <v>1375</v>
      </c>
      <c r="E3800" t="s">
        <v>3336</v>
      </c>
      <c r="F3800" s="853" t="s">
        <v>526</v>
      </c>
      <c r="G3800" s="913" t="s">
        <v>1406</v>
      </c>
      <c r="H3800" t="s">
        <v>7066</v>
      </c>
    </row>
    <row r="3801" spans="2:8">
      <c r="B3801" s="871">
        <v>46283</v>
      </c>
      <c r="C3801" t="s">
        <v>2487</v>
      </c>
      <c r="D3801" t="s">
        <v>1375</v>
      </c>
      <c r="E3801" t="s">
        <v>3336</v>
      </c>
      <c r="F3801" s="853" t="s">
        <v>527</v>
      </c>
      <c r="G3801" s="913" t="s">
        <v>1406</v>
      </c>
      <c r="H3801" t="s">
        <v>7067</v>
      </c>
    </row>
    <row r="3802" spans="2:8">
      <c r="B3802" s="871">
        <v>46283</v>
      </c>
      <c r="C3802" t="s">
        <v>2487</v>
      </c>
      <c r="D3802" t="s">
        <v>1375</v>
      </c>
      <c r="E3802" t="s">
        <v>3336</v>
      </c>
      <c r="F3802" s="853" t="s">
        <v>528</v>
      </c>
      <c r="G3802" s="913" t="s">
        <v>1406</v>
      </c>
      <c r="H3802" t="s">
        <v>7068</v>
      </c>
    </row>
    <row r="3803" spans="2:8">
      <c r="B3803" s="871">
        <v>46283</v>
      </c>
      <c r="C3803" t="s">
        <v>2487</v>
      </c>
      <c r="D3803" t="s">
        <v>1376</v>
      </c>
      <c r="E3803" t="s">
        <v>1407</v>
      </c>
      <c r="F3803" s="853" t="s">
        <v>526</v>
      </c>
      <c r="G3803" s="913">
        <v>360</v>
      </c>
      <c r="H3803" t="s">
        <v>7069</v>
      </c>
    </row>
    <row r="3804" spans="2:8">
      <c r="B3804" s="871">
        <v>46283</v>
      </c>
      <c r="C3804" t="s">
        <v>2487</v>
      </c>
      <c r="D3804" t="s">
        <v>1376</v>
      </c>
      <c r="E3804" t="s">
        <v>1407</v>
      </c>
      <c r="F3804" s="853" t="s">
        <v>527</v>
      </c>
      <c r="G3804" s="913">
        <v>360</v>
      </c>
      <c r="H3804" t="s">
        <v>7070</v>
      </c>
    </row>
    <row r="3805" spans="2:8">
      <c r="B3805" s="871">
        <v>46283</v>
      </c>
      <c r="C3805" t="s">
        <v>2487</v>
      </c>
      <c r="D3805" t="s">
        <v>1376</v>
      </c>
      <c r="E3805" t="s">
        <v>1407</v>
      </c>
      <c r="F3805" s="853" t="s">
        <v>528</v>
      </c>
      <c r="G3805" s="913">
        <v>380</v>
      </c>
      <c r="H3805" t="s">
        <v>7071</v>
      </c>
    </row>
    <row r="3806" spans="2:8">
      <c r="B3806" s="871">
        <v>46283</v>
      </c>
      <c r="C3806" t="s">
        <v>2487</v>
      </c>
      <c r="D3806" t="s">
        <v>1376</v>
      </c>
      <c r="E3806" t="s">
        <v>1408</v>
      </c>
      <c r="F3806" s="853" t="s">
        <v>526</v>
      </c>
      <c r="G3806" s="913">
        <v>980</v>
      </c>
      <c r="H3806" t="s">
        <v>7072</v>
      </c>
    </row>
    <row r="3807" spans="2:8">
      <c r="B3807" s="871">
        <v>46283</v>
      </c>
      <c r="C3807" t="s">
        <v>2487</v>
      </c>
      <c r="D3807" t="s">
        <v>1376</v>
      </c>
      <c r="E3807" t="s">
        <v>1408</v>
      </c>
      <c r="F3807" s="853" t="s">
        <v>527</v>
      </c>
      <c r="G3807" s="913">
        <v>990</v>
      </c>
      <c r="H3807" t="s">
        <v>7073</v>
      </c>
    </row>
    <row r="3808" spans="2:8">
      <c r="B3808" s="871">
        <v>46283</v>
      </c>
      <c r="C3808" t="s">
        <v>2487</v>
      </c>
      <c r="D3808" t="s">
        <v>1376</v>
      </c>
      <c r="E3808" t="s">
        <v>1408</v>
      </c>
      <c r="F3808" s="853" t="s">
        <v>528</v>
      </c>
      <c r="G3808" s="913">
        <v>937</v>
      </c>
      <c r="H3808" t="s">
        <v>7074</v>
      </c>
    </row>
    <row r="3809" spans="2:8">
      <c r="B3809" s="871">
        <v>46283</v>
      </c>
      <c r="C3809" t="s">
        <v>2487</v>
      </c>
      <c r="D3809" t="s">
        <v>1409</v>
      </c>
      <c r="E3809" t="s">
        <v>1411</v>
      </c>
      <c r="F3809" s="853" t="s">
        <v>526</v>
      </c>
      <c r="H3809" t="s">
        <v>7075</v>
      </c>
    </row>
    <row r="3810" spans="2:8">
      <c r="B3810" s="871">
        <v>46283</v>
      </c>
      <c r="C3810" t="s">
        <v>2487</v>
      </c>
      <c r="D3810" t="s">
        <v>1409</v>
      </c>
      <c r="E3810" t="s">
        <v>1411</v>
      </c>
      <c r="F3810" s="853" t="s">
        <v>527</v>
      </c>
      <c r="H3810" t="s">
        <v>7076</v>
      </c>
    </row>
    <row r="3811" spans="2:8">
      <c r="B3811" s="871">
        <v>46283</v>
      </c>
      <c r="C3811" t="s">
        <v>2487</v>
      </c>
      <c r="D3811" t="s">
        <v>1409</v>
      </c>
      <c r="E3811" t="s">
        <v>1411</v>
      </c>
      <c r="F3811" s="853" t="s">
        <v>528</v>
      </c>
      <c r="H3811" t="s">
        <v>7077</v>
      </c>
    </row>
    <row r="3812" spans="2:8">
      <c r="B3812" s="871">
        <v>46283</v>
      </c>
      <c r="C3812" t="s">
        <v>2487</v>
      </c>
      <c r="D3812" t="s">
        <v>1409</v>
      </c>
      <c r="E3812" t="s">
        <v>1413</v>
      </c>
      <c r="F3812" s="853" t="s">
        <v>526</v>
      </c>
      <c r="G3812" s="913" t="s">
        <v>1743</v>
      </c>
      <c r="H3812" t="s">
        <v>7078</v>
      </c>
    </row>
    <row r="3813" spans="2:8">
      <c r="B3813" s="871">
        <v>46283</v>
      </c>
      <c r="C3813" t="s">
        <v>2487</v>
      </c>
      <c r="D3813" t="s">
        <v>1409</v>
      </c>
      <c r="E3813" t="s">
        <v>1413</v>
      </c>
      <c r="F3813" s="853" t="s">
        <v>527</v>
      </c>
      <c r="G3813" s="913" t="s">
        <v>2035</v>
      </c>
      <c r="H3813" t="s">
        <v>7079</v>
      </c>
    </row>
    <row r="3814" spans="2:8">
      <c r="B3814" s="871">
        <v>46283</v>
      </c>
      <c r="C3814" t="s">
        <v>2487</v>
      </c>
      <c r="D3814" t="s">
        <v>1409</v>
      </c>
      <c r="E3814" t="s">
        <v>1413</v>
      </c>
      <c r="F3814" s="853" t="s">
        <v>528</v>
      </c>
      <c r="G3814" s="913" t="s">
        <v>2035</v>
      </c>
      <c r="H3814" t="s">
        <v>7080</v>
      </c>
    </row>
    <row r="3815" spans="2:8">
      <c r="B3815" s="871">
        <v>46283</v>
      </c>
      <c r="C3815" t="s">
        <v>2487</v>
      </c>
      <c r="D3815" t="s">
        <v>1410</v>
      </c>
      <c r="E3815" t="s">
        <v>3352</v>
      </c>
      <c r="F3815" s="853" t="s">
        <v>526</v>
      </c>
      <c r="G3815" s="913" t="s">
        <v>1418</v>
      </c>
      <c r="H3815" t="s">
        <v>7081</v>
      </c>
    </row>
    <row r="3816" spans="2:8">
      <c r="B3816" s="871">
        <v>46283</v>
      </c>
      <c r="C3816" t="s">
        <v>2487</v>
      </c>
      <c r="D3816" t="s">
        <v>1410</v>
      </c>
      <c r="E3816" t="s">
        <v>3352</v>
      </c>
      <c r="F3816" s="853" t="s">
        <v>527</v>
      </c>
      <c r="G3816" s="913" t="s">
        <v>1418</v>
      </c>
      <c r="H3816" t="s">
        <v>7082</v>
      </c>
    </row>
    <row r="3817" spans="2:8">
      <c r="B3817" s="871">
        <v>46283</v>
      </c>
      <c r="C3817" t="s">
        <v>2487</v>
      </c>
      <c r="D3817" t="s">
        <v>1410</v>
      </c>
      <c r="E3817" t="s">
        <v>3352</v>
      </c>
      <c r="F3817" s="853" t="s">
        <v>528</v>
      </c>
      <c r="G3817" s="913" t="s">
        <v>1418</v>
      </c>
      <c r="H3817" t="s">
        <v>7083</v>
      </c>
    </row>
    <row r="3818" spans="2:8">
      <c r="B3818" s="871">
        <v>46283</v>
      </c>
      <c r="C3818" t="s">
        <v>2487</v>
      </c>
      <c r="D3818" t="s">
        <v>1409</v>
      </c>
      <c r="E3818" t="s">
        <v>1420</v>
      </c>
      <c r="F3818" s="853" t="s">
        <v>526</v>
      </c>
      <c r="G3818" s="913" t="s">
        <v>1876</v>
      </c>
      <c r="H3818" t="s">
        <v>7084</v>
      </c>
    </row>
    <row r="3819" spans="2:8">
      <c r="B3819" s="871">
        <v>46283</v>
      </c>
      <c r="C3819" t="s">
        <v>2487</v>
      </c>
      <c r="D3819" t="s">
        <v>1409</v>
      </c>
      <c r="E3819" t="s">
        <v>1420</v>
      </c>
      <c r="F3819" s="853" t="s">
        <v>527</v>
      </c>
      <c r="G3819" s="913" t="s">
        <v>2036</v>
      </c>
      <c r="H3819" t="s">
        <v>7085</v>
      </c>
    </row>
    <row r="3820" spans="2:8">
      <c r="B3820" s="871">
        <v>46283</v>
      </c>
      <c r="C3820" t="s">
        <v>2487</v>
      </c>
      <c r="D3820" t="s">
        <v>1409</v>
      </c>
      <c r="E3820" t="s">
        <v>1420</v>
      </c>
      <c r="F3820" s="853" t="s">
        <v>528</v>
      </c>
      <c r="G3820" s="913" t="s">
        <v>2036</v>
      </c>
      <c r="H3820" t="s">
        <v>7086</v>
      </c>
    </row>
    <row r="3821" spans="2:8">
      <c r="B3821" s="871">
        <v>46283</v>
      </c>
      <c r="C3821" t="s">
        <v>2487</v>
      </c>
      <c r="D3821" t="s">
        <v>1410</v>
      </c>
      <c r="E3821" t="s">
        <v>3359</v>
      </c>
      <c r="F3821" s="853" t="s">
        <v>526</v>
      </c>
      <c r="G3821" s="913">
        <v>117</v>
      </c>
      <c r="H3821" t="s">
        <v>7087</v>
      </c>
    </row>
    <row r="3822" spans="2:8">
      <c r="B3822" s="871">
        <v>46283</v>
      </c>
      <c r="C3822" t="s">
        <v>2487</v>
      </c>
      <c r="D3822" t="s">
        <v>1410</v>
      </c>
      <c r="E3822" t="s">
        <v>3359</v>
      </c>
      <c r="F3822" s="853" t="s">
        <v>527</v>
      </c>
      <c r="G3822" s="913">
        <v>110</v>
      </c>
      <c r="H3822" t="s">
        <v>7088</v>
      </c>
    </row>
    <row r="3823" spans="2:8">
      <c r="B3823" s="871">
        <v>46283</v>
      </c>
      <c r="C3823" t="s">
        <v>2487</v>
      </c>
      <c r="D3823" t="s">
        <v>1410</v>
      </c>
      <c r="E3823" t="s">
        <v>3359</v>
      </c>
      <c r="F3823" s="853" t="s">
        <v>528</v>
      </c>
      <c r="G3823" s="913">
        <v>110</v>
      </c>
      <c r="H3823" t="s">
        <v>7089</v>
      </c>
    </row>
    <row r="3824" spans="2:8">
      <c r="B3824" s="871">
        <v>46283</v>
      </c>
      <c r="C3824" t="s">
        <v>2487</v>
      </c>
      <c r="D3824" t="s">
        <v>1409</v>
      </c>
      <c r="E3824" t="s">
        <v>1424</v>
      </c>
      <c r="F3824" s="853" t="s">
        <v>526</v>
      </c>
      <c r="H3824" t="s">
        <v>7090</v>
      </c>
    </row>
    <row r="3825" spans="2:8">
      <c r="B3825" s="871">
        <v>46283</v>
      </c>
      <c r="C3825" t="s">
        <v>2487</v>
      </c>
      <c r="D3825" t="s">
        <v>1409</v>
      </c>
      <c r="E3825" t="s">
        <v>1424</v>
      </c>
      <c r="F3825" s="853" t="s">
        <v>527</v>
      </c>
      <c r="H3825" t="s">
        <v>7091</v>
      </c>
    </row>
    <row r="3826" spans="2:8">
      <c r="B3826" s="871">
        <v>46283</v>
      </c>
      <c r="C3826" t="s">
        <v>2487</v>
      </c>
      <c r="D3826" t="s">
        <v>1409</v>
      </c>
      <c r="E3826" t="s">
        <v>1424</v>
      </c>
      <c r="F3826" s="853" t="s">
        <v>528</v>
      </c>
      <c r="H3826" t="s">
        <v>7092</v>
      </c>
    </row>
    <row r="3827" spans="2:8">
      <c r="B3827" s="871">
        <v>46283</v>
      </c>
      <c r="C3827" t="s">
        <v>2487</v>
      </c>
      <c r="D3827" t="s">
        <v>1410</v>
      </c>
      <c r="E3827" t="s">
        <v>3366</v>
      </c>
      <c r="F3827" s="853" t="s">
        <v>526</v>
      </c>
      <c r="G3827" s="913">
        <v>2595</v>
      </c>
      <c r="H3827" t="s">
        <v>7093</v>
      </c>
    </row>
    <row r="3828" spans="2:8">
      <c r="B3828" s="871">
        <v>46283</v>
      </c>
      <c r="C3828" t="s">
        <v>2487</v>
      </c>
      <c r="D3828" t="s">
        <v>1410</v>
      </c>
      <c r="E3828" t="s">
        <v>3366</v>
      </c>
      <c r="F3828" s="853" t="s">
        <v>527</v>
      </c>
      <c r="G3828" s="913">
        <v>2840</v>
      </c>
      <c r="H3828" t="s">
        <v>7094</v>
      </c>
    </row>
    <row r="3829" spans="2:8">
      <c r="B3829" s="871">
        <v>46283</v>
      </c>
      <c r="C3829" t="s">
        <v>2487</v>
      </c>
      <c r="D3829" t="s">
        <v>1410</v>
      </c>
      <c r="E3829" t="s">
        <v>3366</v>
      </c>
      <c r="F3829" s="853" t="s">
        <v>528</v>
      </c>
      <c r="G3829" s="913">
        <v>2886</v>
      </c>
      <c r="H3829" t="s">
        <v>7095</v>
      </c>
    </row>
    <row r="3830" spans="2:8">
      <c r="B3830" s="871">
        <v>46283</v>
      </c>
      <c r="C3830" t="s">
        <v>2487</v>
      </c>
      <c r="D3830" t="s">
        <v>1410</v>
      </c>
      <c r="E3830" t="s">
        <v>3370</v>
      </c>
      <c r="F3830" s="853" t="s">
        <v>526</v>
      </c>
      <c r="G3830" s="913" t="s">
        <v>1427</v>
      </c>
      <c r="H3830" t="s">
        <v>7096</v>
      </c>
    </row>
    <row r="3831" spans="2:8">
      <c r="B3831" s="871">
        <v>46283</v>
      </c>
      <c r="C3831" t="s">
        <v>2487</v>
      </c>
      <c r="D3831" t="s">
        <v>1410</v>
      </c>
      <c r="E3831" t="s">
        <v>3370</v>
      </c>
      <c r="F3831" s="853" t="s">
        <v>527</v>
      </c>
      <c r="G3831" s="913" t="s">
        <v>1427</v>
      </c>
      <c r="H3831" t="s">
        <v>7097</v>
      </c>
    </row>
    <row r="3832" spans="2:8">
      <c r="B3832" s="871">
        <v>46283</v>
      </c>
      <c r="C3832" t="s">
        <v>2487</v>
      </c>
      <c r="D3832" t="s">
        <v>1410</v>
      </c>
      <c r="E3832" t="s">
        <v>3370</v>
      </c>
      <c r="F3832" s="853" t="s">
        <v>528</v>
      </c>
      <c r="G3832" s="913" t="s">
        <v>1427</v>
      </c>
      <c r="H3832" t="s">
        <v>7098</v>
      </c>
    </row>
    <row r="3833" spans="2:8">
      <c r="B3833" s="871">
        <v>46283</v>
      </c>
      <c r="C3833" t="s">
        <v>2487</v>
      </c>
      <c r="D3833" t="s">
        <v>1410</v>
      </c>
      <c r="E3833" t="s">
        <v>3374</v>
      </c>
      <c r="F3833" s="853" t="s">
        <v>526</v>
      </c>
      <c r="G3833" s="913">
        <v>1.7</v>
      </c>
      <c r="H3833" t="s">
        <v>7099</v>
      </c>
    </row>
    <row r="3834" spans="2:8">
      <c r="B3834" s="871">
        <v>46283</v>
      </c>
      <c r="C3834" t="s">
        <v>2487</v>
      </c>
      <c r="D3834" t="s">
        <v>1410</v>
      </c>
      <c r="E3834" t="s">
        <v>3374</v>
      </c>
      <c r="F3834" s="853" t="s">
        <v>527</v>
      </c>
      <c r="G3834" s="913">
        <v>3.3</v>
      </c>
      <c r="H3834" t="s">
        <v>7100</v>
      </c>
    </row>
    <row r="3835" spans="2:8">
      <c r="B3835" s="871">
        <v>46283</v>
      </c>
      <c r="C3835" t="s">
        <v>2487</v>
      </c>
      <c r="D3835" t="s">
        <v>1410</v>
      </c>
      <c r="E3835" t="s">
        <v>3374</v>
      </c>
      <c r="F3835" s="853" t="s">
        <v>528</v>
      </c>
      <c r="G3835" s="913">
        <v>3.1</v>
      </c>
      <c r="H3835" t="s">
        <v>7101</v>
      </c>
    </row>
    <row r="3836" spans="2:8">
      <c r="B3836" s="871">
        <v>46283</v>
      </c>
      <c r="C3836" t="s">
        <v>2487</v>
      </c>
      <c r="D3836" t="s">
        <v>1410</v>
      </c>
      <c r="E3836" t="s">
        <v>3378</v>
      </c>
      <c r="F3836" s="853" t="s">
        <v>526</v>
      </c>
      <c r="G3836" s="913" t="s">
        <v>1627</v>
      </c>
      <c r="H3836" t="s">
        <v>7102</v>
      </c>
    </row>
    <row r="3837" spans="2:8">
      <c r="B3837" s="871">
        <v>46283</v>
      </c>
      <c r="C3837" t="s">
        <v>2487</v>
      </c>
      <c r="D3837" t="s">
        <v>1410</v>
      </c>
      <c r="E3837" t="s">
        <v>3378</v>
      </c>
      <c r="F3837" s="853" t="s">
        <v>527</v>
      </c>
      <c r="G3837" s="913" t="s">
        <v>1430</v>
      </c>
      <c r="H3837" t="s">
        <v>7103</v>
      </c>
    </row>
    <row r="3838" spans="2:8">
      <c r="B3838" s="871">
        <v>46283</v>
      </c>
      <c r="C3838" t="s">
        <v>2487</v>
      </c>
      <c r="D3838" t="s">
        <v>1410</v>
      </c>
      <c r="E3838" t="s">
        <v>3378</v>
      </c>
      <c r="F3838" s="853" t="s">
        <v>528</v>
      </c>
      <c r="G3838" s="913" t="s">
        <v>1430</v>
      </c>
      <c r="H3838" t="s">
        <v>7104</v>
      </c>
    </row>
    <row r="3839" spans="2:8">
      <c r="B3839" s="871">
        <v>46283</v>
      </c>
      <c r="C3839" t="s">
        <v>2487</v>
      </c>
      <c r="D3839" t="s">
        <v>1410</v>
      </c>
      <c r="E3839" t="s">
        <v>3382</v>
      </c>
      <c r="F3839" s="853" t="s">
        <v>526</v>
      </c>
      <c r="G3839" s="913">
        <v>114</v>
      </c>
      <c r="H3839" t="s">
        <v>7105</v>
      </c>
    </row>
    <row r="3840" spans="2:8">
      <c r="B3840" s="871">
        <v>46283</v>
      </c>
      <c r="C3840" t="s">
        <v>2487</v>
      </c>
      <c r="D3840" t="s">
        <v>1410</v>
      </c>
      <c r="E3840" t="s">
        <v>3382</v>
      </c>
      <c r="F3840" s="853" t="s">
        <v>527</v>
      </c>
      <c r="G3840" s="913">
        <v>97</v>
      </c>
      <c r="H3840" t="s">
        <v>7106</v>
      </c>
    </row>
    <row r="3841" spans="2:8">
      <c r="B3841" s="871">
        <v>46283</v>
      </c>
      <c r="C3841" t="s">
        <v>2487</v>
      </c>
      <c r="D3841" t="s">
        <v>1410</v>
      </c>
      <c r="E3841" t="s">
        <v>3382</v>
      </c>
      <c r="F3841" s="853" t="s">
        <v>528</v>
      </c>
      <c r="G3841" s="913">
        <v>99</v>
      </c>
      <c r="H3841" t="s">
        <v>7107</v>
      </c>
    </row>
    <row r="3842" spans="2:8">
      <c r="B3842" s="871">
        <v>46283</v>
      </c>
      <c r="C3842" t="s">
        <v>2487</v>
      </c>
      <c r="D3842" t="s">
        <v>1409</v>
      </c>
      <c r="E3842" t="s">
        <v>1431</v>
      </c>
      <c r="F3842" s="853" t="s">
        <v>526</v>
      </c>
      <c r="H3842" t="s">
        <v>7108</v>
      </c>
    </row>
    <row r="3843" spans="2:8">
      <c r="B3843" s="871">
        <v>46283</v>
      </c>
      <c r="C3843" t="s">
        <v>2487</v>
      </c>
      <c r="D3843" t="s">
        <v>1409</v>
      </c>
      <c r="E3843" t="s">
        <v>1431</v>
      </c>
      <c r="F3843" s="853" t="s">
        <v>527</v>
      </c>
      <c r="H3843" t="s">
        <v>7109</v>
      </c>
    </row>
    <row r="3844" spans="2:8">
      <c r="B3844" s="871">
        <v>46283</v>
      </c>
      <c r="C3844" t="s">
        <v>2487</v>
      </c>
      <c r="D3844" t="s">
        <v>1409</v>
      </c>
      <c r="E3844" t="s">
        <v>1431</v>
      </c>
      <c r="F3844" s="853" t="s">
        <v>528</v>
      </c>
      <c r="H3844" t="s">
        <v>7110</v>
      </c>
    </row>
    <row r="3845" spans="2:8">
      <c r="B3845" s="871">
        <v>46283</v>
      </c>
      <c r="C3845" t="s">
        <v>2487</v>
      </c>
      <c r="D3845" t="s">
        <v>1410</v>
      </c>
      <c r="E3845" t="s">
        <v>3389</v>
      </c>
      <c r="F3845" s="853" t="s">
        <v>526</v>
      </c>
      <c r="G3845" s="913">
        <v>2710</v>
      </c>
      <c r="H3845" t="s">
        <v>7111</v>
      </c>
    </row>
    <row r="3846" spans="2:8">
      <c r="B3846" s="871">
        <v>46283</v>
      </c>
      <c r="C3846" t="s">
        <v>2487</v>
      </c>
      <c r="D3846" t="s">
        <v>1410</v>
      </c>
      <c r="E3846" t="s">
        <v>3389</v>
      </c>
      <c r="F3846" s="853" t="s">
        <v>527</v>
      </c>
      <c r="G3846" s="913">
        <v>2715</v>
      </c>
      <c r="H3846" t="s">
        <v>7112</v>
      </c>
    </row>
    <row r="3847" spans="2:8">
      <c r="B3847" s="871">
        <v>46283</v>
      </c>
      <c r="C3847" t="s">
        <v>2487</v>
      </c>
      <c r="D3847" t="s">
        <v>1410</v>
      </c>
      <c r="E3847" t="s">
        <v>3389</v>
      </c>
      <c r="F3847" s="853" t="s">
        <v>528</v>
      </c>
      <c r="G3847" s="913">
        <v>2785</v>
      </c>
      <c r="H3847" t="s">
        <v>7113</v>
      </c>
    </row>
    <row r="3848" spans="2:8">
      <c r="B3848" s="871">
        <v>46283</v>
      </c>
      <c r="C3848" t="s">
        <v>2487</v>
      </c>
      <c r="D3848" t="s">
        <v>1410</v>
      </c>
      <c r="E3848" t="s">
        <v>3393</v>
      </c>
      <c r="F3848" s="853" t="s">
        <v>526</v>
      </c>
      <c r="G3848" s="913" t="s">
        <v>1663</v>
      </c>
      <c r="H3848" t="s">
        <v>7114</v>
      </c>
    </row>
    <row r="3849" spans="2:8">
      <c r="B3849" s="871">
        <v>46283</v>
      </c>
      <c r="C3849" t="s">
        <v>2487</v>
      </c>
      <c r="D3849" t="s">
        <v>1410</v>
      </c>
      <c r="E3849" t="s">
        <v>3393</v>
      </c>
      <c r="F3849" s="853" t="s">
        <v>527</v>
      </c>
      <c r="G3849" s="913" t="s">
        <v>1432</v>
      </c>
      <c r="H3849" t="s">
        <v>7115</v>
      </c>
    </row>
    <row r="3850" spans="2:8">
      <c r="B3850" s="871">
        <v>46283</v>
      </c>
      <c r="C3850" t="s">
        <v>2487</v>
      </c>
      <c r="D3850" t="s">
        <v>1410</v>
      </c>
      <c r="E3850" t="s">
        <v>3393</v>
      </c>
      <c r="F3850" s="853" t="s">
        <v>528</v>
      </c>
      <c r="G3850" s="913" t="s">
        <v>1820</v>
      </c>
      <c r="H3850" t="s">
        <v>7116</v>
      </c>
    </row>
    <row r="3851" spans="2:8">
      <c r="B3851" s="871">
        <v>46283</v>
      </c>
      <c r="C3851" t="s">
        <v>2487</v>
      </c>
      <c r="D3851" t="s">
        <v>1410</v>
      </c>
      <c r="E3851" t="s">
        <v>3397</v>
      </c>
      <c r="F3851" s="853" t="s">
        <v>526</v>
      </c>
      <c r="G3851" s="913" t="s">
        <v>1435</v>
      </c>
      <c r="H3851" t="s">
        <v>7117</v>
      </c>
    </row>
    <row r="3852" spans="2:8">
      <c r="B3852" s="871">
        <v>46283</v>
      </c>
      <c r="C3852" t="s">
        <v>2487</v>
      </c>
      <c r="D3852" t="s">
        <v>1410</v>
      </c>
      <c r="E3852" t="s">
        <v>3397</v>
      </c>
      <c r="F3852" s="853" t="s">
        <v>527</v>
      </c>
      <c r="G3852" s="913" t="s">
        <v>1435</v>
      </c>
      <c r="H3852" t="s">
        <v>7118</v>
      </c>
    </row>
    <row r="3853" spans="2:8">
      <c r="B3853" s="871">
        <v>46283</v>
      </c>
      <c r="C3853" t="s">
        <v>2487</v>
      </c>
      <c r="D3853" t="s">
        <v>1410</v>
      </c>
      <c r="E3853" t="s">
        <v>3397</v>
      </c>
      <c r="F3853" s="853" t="s">
        <v>528</v>
      </c>
      <c r="G3853" s="913" t="s">
        <v>1435</v>
      </c>
      <c r="H3853" t="s">
        <v>7119</v>
      </c>
    </row>
    <row r="3854" spans="2:8">
      <c r="B3854" s="871">
        <v>46283</v>
      </c>
      <c r="C3854" t="s">
        <v>2487</v>
      </c>
      <c r="D3854" t="s">
        <v>1434</v>
      </c>
      <c r="E3854" t="s">
        <v>42</v>
      </c>
      <c r="F3854" s="853" t="s">
        <v>526</v>
      </c>
      <c r="G3854" s="913" t="s">
        <v>1862</v>
      </c>
      <c r="H3854" t="s">
        <v>7120</v>
      </c>
    </row>
    <row r="3855" spans="2:8">
      <c r="B3855" s="871">
        <v>46283</v>
      </c>
      <c r="C3855" t="s">
        <v>2487</v>
      </c>
      <c r="D3855" t="s">
        <v>1434</v>
      </c>
      <c r="E3855" t="s">
        <v>42</v>
      </c>
      <c r="F3855" s="853" t="s">
        <v>527</v>
      </c>
      <c r="G3855" s="913" t="s">
        <v>1975</v>
      </c>
      <c r="H3855" t="s">
        <v>7121</v>
      </c>
    </row>
    <row r="3856" spans="2:8">
      <c r="B3856" s="871">
        <v>46283</v>
      </c>
      <c r="C3856" t="s">
        <v>2487</v>
      </c>
      <c r="D3856" t="s">
        <v>1434</v>
      </c>
      <c r="E3856" t="s">
        <v>42</v>
      </c>
      <c r="F3856" s="853" t="s">
        <v>528</v>
      </c>
      <c r="G3856" s="913" t="s">
        <v>2037</v>
      </c>
      <c r="H3856" t="s">
        <v>7122</v>
      </c>
    </row>
    <row r="3857" spans="2:8">
      <c r="B3857" s="871">
        <v>46283</v>
      </c>
      <c r="C3857" t="s">
        <v>2487</v>
      </c>
      <c r="D3857" t="s">
        <v>1410</v>
      </c>
      <c r="E3857" t="s">
        <v>3404</v>
      </c>
      <c r="F3857" s="853" t="s">
        <v>526</v>
      </c>
      <c r="G3857" s="913" t="s">
        <v>1419</v>
      </c>
      <c r="H3857" t="s">
        <v>7123</v>
      </c>
    </row>
    <row r="3858" spans="2:8">
      <c r="B3858" s="871">
        <v>46283</v>
      </c>
      <c r="C3858" t="s">
        <v>2487</v>
      </c>
      <c r="D3858" t="s">
        <v>1410</v>
      </c>
      <c r="E3858" t="s">
        <v>3404</v>
      </c>
      <c r="F3858" s="853" t="s">
        <v>527</v>
      </c>
      <c r="G3858" s="913" t="s">
        <v>1419</v>
      </c>
      <c r="H3858" t="s">
        <v>7124</v>
      </c>
    </row>
    <row r="3859" spans="2:8">
      <c r="B3859" s="871">
        <v>46283</v>
      </c>
      <c r="C3859" t="s">
        <v>2487</v>
      </c>
      <c r="D3859" t="s">
        <v>1410</v>
      </c>
      <c r="E3859" t="s">
        <v>3404</v>
      </c>
      <c r="F3859" s="853" t="s">
        <v>528</v>
      </c>
      <c r="G3859" s="913" t="s">
        <v>1419</v>
      </c>
      <c r="H3859" t="s">
        <v>7125</v>
      </c>
    </row>
    <row r="3860" spans="2:8">
      <c r="B3860" s="871">
        <v>46283</v>
      </c>
      <c r="C3860" t="s">
        <v>2487</v>
      </c>
      <c r="D3860" t="s">
        <v>1434</v>
      </c>
      <c r="E3860" t="s">
        <v>1439</v>
      </c>
      <c r="F3860" s="853" t="s">
        <v>526</v>
      </c>
      <c r="G3860" s="913" t="s">
        <v>1440</v>
      </c>
      <c r="H3860" t="s">
        <v>7126</v>
      </c>
    </row>
    <row r="3861" spans="2:8">
      <c r="B3861" s="871">
        <v>46283</v>
      </c>
      <c r="C3861" t="s">
        <v>2487</v>
      </c>
      <c r="D3861" t="s">
        <v>1434</v>
      </c>
      <c r="E3861" t="s">
        <v>1439</v>
      </c>
      <c r="F3861" s="853" t="s">
        <v>527</v>
      </c>
      <c r="G3861" s="913" t="s">
        <v>9412</v>
      </c>
      <c r="H3861" t="s">
        <v>7127</v>
      </c>
    </row>
    <row r="3862" spans="2:8">
      <c r="B3862" s="871">
        <v>46283</v>
      </c>
      <c r="C3862" t="s">
        <v>2487</v>
      </c>
      <c r="D3862" t="s">
        <v>1434</v>
      </c>
      <c r="E3862" t="s">
        <v>1439</v>
      </c>
      <c r="F3862" s="853" t="s">
        <v>528</v>
      </c>
      <c r="G3862" s="913" t="s">
        <v>9412</v>
      </c>
      <c r="H3862" t="s">
        <v>7128</v>
      </c>
    </row>
    <row r="3863" spans="2:8">
      <c r="B3863" s="871">
        <v>46283</v>
      </c>
      <c r="C3863" t="s">
        <v>2487</v>
      </c>
      <c r="D3863" t="s">
        <v>1410</v>
      </c>
      <c r="E3863" t="s">
        <v>3411</v>
      </c>
      <c r="F3863" s="853" t="s">
        <v>526</v>
      </c>
      <c r="G3863" s="913">
        <v>47</v>
      </c>
      <c r="H3863" t="s">
        <v>7129</v>
      </c>
    </row>
    <row r="3864" spans="2:8">
      <c r="B3864" s="871">
        <v>46283</v>
      </c>
      <c r="C3864" t="s">
        <v>2487</v>
      </c>
      <c r="D3864" t="s">
        <v>1410</v>
      </c>
      <c r="E3864" t="s">
        <v>3411</v>
      </c>
      <c r="F3864" s="853" t="s">
        <v>527</v>
      </c>
      <c r="G3864" s="913">
        <v>37</v>
      </c>
      <c r="H3864" t="s">
        <v>7130</v>
      </c>
    </row>
    <row r="3865" spans="2:8">
      <c r="B3865" s="871">
        <v>46283</v>
      </c>
      <c r="C3865" t="s">
        <v>2487</v>
      </c>
      <c r="D3865" t="s">
        <v>1410</v>
      </c>
      <c r="E3865" t="s">
        <v>3411</v>
      </c>
      <c r="F3865" s="853" t="s">
        <v>528</v>
      </c>
      <c r="G3865" s="913">
        <v>36</v>
      </c>
      <c r="H3865" t="s">
        <v>7131</v>
      </c>
    </row>
    <row r="3866" spans="2:8">
      <c r="B3866" s="871">
        <v>46283</v>
      </c>
      <c r="C3866" t="s">
        <v>2487</v>
      </c>
      <c r="D3866" t="s">
        <v>1434</v>
      </c>
      <c r="E3866" t="s">
        <v>43</v>
      </c>
      <c r="F3866" s="853" t="s">
        <v>526</v>
      </c>
      <c r="G3866" s="913" t="s">
        <v>1863</v>
      </c>
      <c r="H3866" t="s">
        <v>7132</v>
      </c>
    </row>
    <row r="3867" spans="2:8">
      <c r="B3867" s="871">
        <v>46283</v>
      </c>
      <c r="C3867" t="s">
        <v>2487</v>
      </c>
      <c r="D3867" t="s">
        <v>1434</v>
      </c>
      <c r="E3867" t="s">
        <v>43</v>
      </c>
      <c r="F3867" s="853" t="s">
        <v>527</v>
      </c>
      <c r="G3867" s="913" t="s">
        <v>9414</v>
      </c>
      <c r="H3867" t="s">
        <v>7133</v>
      </c>
    </row>
    <row r="3868" spans="2:8">
      <c r="B3868" s="871">
        <v>46283</v>
      </c>
      <c r="C3868" t="s">
        <v>2487</v>
      </c>
      <c r="D3868" t="s">
        <v>1434</v>
      </c>
      <c r="E3868" t="s">
        <v>43</v>
      </c>
      <c r="F3868" s="853" t="s">
        <v>528</v>
      </c>
      <c r="G3868" s="913" t="s">
        <v>2038</v>
      </c>
      <c r="H3868" t="s">
        <v>7134</v>
      </c>
    </row>
    <row r="3869" spans="2:8">
      <c r="B3869" s="871">
        <v>46283</v>
      </c>
      <c r="C3869" t="s">
        <v>2487</v>
      </c>
      <c r="D3869" t="s">
        <v>1410</v>
      </c>
      <c r="E3869" t="s">
        <v>3418</v>
      </c>
      <c r="F3869" s="853" t="s">
        <v>526</v>
      </c>
      <c r="G3869" s="913">
        <v>94</v>
      </c>
      <c r="H3869" t="s">
        <v>7135</v>
      </c>
    </row>
    <row r="3870" spans="2:8">
      <c r="B3870" s="871">
        <v>46283</v>
      </c>
      <c r="C3870" t="s">
        <v>2487</v>
      </c>
      <c r="D3870" t="s">
        <v>1410</v>
      </c>
      <c r="E3870" t="s">
        <v>3418</v>
      </c>
      <c r="F3870" s="853" t="s">
        <v>527</v>
      </c>
      <c r="G3870" s="913">
        <v>105</v>
      </c>
      <c r="H3870" t="s">
        <v>7136</v>
      </c>
    </row>
    <row r="3871" spans="2:8">
      <c r="B3871" s="871">
        <v>46283</v>
      </c>
      <c r="C3871" t="s">
        <v>2487</v>
      </c>
      <c r="D3871" t="s">
        <v>1410</v>
      </c>
      <c r="E3871" t="s">
        <v>3418</v>
      </c>
      <c r="F3871" s="853" t="s">
        <v>528</v>
      </c>
      <c r="G3871" s="913">
        <v>107</v>
      </c>
      <c r="H3871" t="s">
        <v>7137</v>
      </c>
    </row>
    <row r="3872" spans="2:8">
      <c r="B3872" s="871">
        <v>46283</v>
      </c>
      <c r="C3872" t="s">
        <v>2487</v>
      </c>
      <c r="D3872" t="s">
        <v>1434</v>
      </c>
      <c r="E3872" t="s">
        <v>1441</v>
      </c>
      <c r="F3872" s="853" t="s">
        <v>526</v>
      </c>
      <c r="H3872" t="s">
        <v>7138</v>
      </c>
    </row>
    <row r="3873" spans="2:8">
      <c r="B3873" s="871">
        <v>46283</v>
      </c>
      <c r="C3873" t="s">
        <v>2487</v>
      </c>
      <c r="D3873" t="s">
        <v>1434</v>
      </c>
      <c r="E3873" t="s">
        <v>1441</v>
      </c>
      <c r="F3873" s="853" t="s">
        <v>527</v>
      </c>
      <c r="G3873" s="913" t="s">
        <v>9416</v>
      </c>
      <c r="H3873" t="s">
        <v>7139</v>
      </c>
    </row>
    <row r="3874" spans="2:8">
      <c r="B3874" s="871">
        <v>46283</v>
      </c>
      <c r="C3874" t="s">
        <v>2487</v>
      </c>
      <c r="D3874" t="s">
        <v>1434</v>
      </c>
      <c r="E3874" t="s">
        <v>1441</v>
      </c>
      <c r="F3874" s="853" t="s">
        <v>528</v>
      </c>
      <c r="H3874" t="s">
        <v>7140</v>
      </c>
    </row>
    <row r="3875" spans="2:8">
      <c r="B3875" s="871">
        <v>46283</v>
      </c>
      <c r="C3875" t="s">
        <v>2487</v>
      </c>
      <c r="D3875" t="s">
        <v>1410</v>
      </c>
      <c r="E3875" t="s">
        <v>3425</v>
      </c>
      <c r="F3875" s="853" t="s">
        <v>526</v>
      </c>
      <c r="G3875" s="913" t="s">
        <v>1443</v>
      </c>
      <c r="H3875" t="s">
        <v>7141</v>
      </c>
    </row>
    <row r="3876" spans="2:8">
      <c r="B3876" s="871">
        <v>46283</v>
      </c>
      <c r="C3876" t="s">
        <v>2487</v>
      </c>
      <c r="D3876" t="s">
        <v>1410</v>
      </c>
      <c r="E3876" t="s">
        <v>3425</v>
      </c>
      <c r="F3876" s="853" t="s">
        <v>527</v>
      </c>
      <c r="G3876" s="913" t="s">
        <v>1443</v>
      </c>
      <c r="H3876" t="s">
        <v>7142</v>
      </c>
    </row>
    <row r="3877" spans="2:8">
      <c r="B3877" s="871">
        <v>46283</v>
      </c>
      <c r="C3877" t="s">
        <v>2487</v>
      </c>
      <c r="D3877" t="s">
        <v>1410</v>
      </c>
      <c r="E3877" t="s">
        <v>3425</v>
      </c>
      <c r="F3877" s="853" t="s">
        <v>528</v>
      </c>
      <c r="G3877" s="913" t="s">
        <v>1443</v>
      </c>
      <c r="H3877" t="s">
        <v>7143</v>
      </c>
    </row>
    <row r="3878" spans="2:8">
      <c r="B3878" s="871">
        <v>46283</v>
      </c>
      <c r="C3878" t="s">
        <v>2487</v>
      </c>
      <c r="D3878" t="s">
        <v>1434</v>
      </c>
      <c r="E3878" t="s">
        <v>1444</v>
      </c>
      <c r="F3878" s="853" t="s">
        <v>526</v>
      </c>
      <c r="H3878" t="s">
        <v>7144</v>
      </c>
    </row>
    <row r="3879" spans="2:8">
      <c r="B3879" s="871">
        <v>46283</v>
      </c>
      <c r="C3879" t="s">
        <v>2487</v>
      </c>
      <c r="D3879" t="s">
        <v>1434</v>
      </c>
      <c r="E3879" t="s">
        <v>1444</v>
      </c>
      <c r="F3879" s="853" t="s">
        <v>527</v>
      </c>
      <c r="H3879" t="s">
        <v>7145</v>
      </c>
    </row>
    <row r="3880" spans="2:8">
      <c r="B3880" s="871">
        <v>46283</v>
      </c>
      <c r="C3880" t="s">
        <v>2487</v>
      </c>
      <c r="D3880" t="s">
        <v>1434</v>
      </c>
      <c r="E3880" t="s">
        <v>1444</v>
      </c>
      <c r="F3880" s="853" t="s">
        <v>528</v>
      </c>
      <c r="H3880" t="s">
        <v>7146</v>
      </c>
    </row>
    <row r="3881" spans="2:8">
      <c r="B3881" s="871">
        <v>46283</v>
      </c>
      <c r="C3881" t="s">
        <v>2487</v>
      </c>
      <c r="D3881" t="s">
        <v>1434</v>
      </c>
      <c r="E3881" t="s">
        <v>1446</v>
      </c>
      <c r="F3881" s="853" t="s">
        <v>526</v>
      </c>
      <c r="G3881" s="913">
        <v>22500</v>
      </c>
      <c r="H3881" t="s">
        <v>7147</v>
      </c>
    </row>
    <row r="3882" spans="2:8">
      <c r="B3882" s="871">
        <v>46283</v>
      </c>
      <c r="C3882" t="s">
        <v>2487</v>
      </c>
      <c r="D3882" t="s">
        <v>1434</v>
      </c>
      <c r="E3882" t="s">
        <v>1446</v>
      </c>
      <c r="F3882" s="853" t="s">
        <v>527</v>
      </c>
      <c r="G3882" s="913">
        <v>166798</v>
      </c>
      <c r="H3882" t="s">
        <v>7148</v>
      </c>
    </row>
    <row r="3883" spans="2:8">
      <c r="B3883" s="871">
        <v>46283</v>
      </c>
      <c r="C3883" t="s">
        <v>2487</v>
      </c>
      <c r="D3883" t="s">
        <v>1434</v>
      </c>
      <c r="E3883" t="s">
        <v>1446</v>
      </c>
      <c r="F3883" s="853" t="s">
        <v>528</v>
      </c>
      <c r="G3883" s="913" t="s">
        <v>2039</v>
      </c>
      <c r="H3883" t="s">
        <v>7149</v>
      </c>
    </row>
    <row r="3884" spans="2:8">
      <c r="B3884" s="871">
        <v>46283</v>
      </c>
      <c r="C3884" t="s">
        <v>2487</v>
      </c>
      <c r="D3884" t="s">
        <v>1410</v>
      </c>
      <c r="E3884" t="s">
        <v>3435</v>
      </c>
      <c r="F3884" s="853" t="s">
        <v>526</v>
      </c>
      <c r="G3884" s="913" t="s">
        <v>1586</v>
      </c>
      <c r="H3884" t="s">
        <v>7150</v>
      </c>
    </row>
    <row r="3885" spans="2:8">
      <c r="B3885" s="871">
        <v>46283</v>
      </c>
      <c r="C3885" t="s">
        <v>2487</v>
      </c>
      <c r="D3885" t="s">
        <v>1410</v>
      </c>
      <c r="E3885" t="s">
        <v>3435</v>
      </c>
      <c r="F3885" s="853" t="s">
        <v>527</v>
      </c>
      <c r="G3885" s="913" t="s">
        <v>1586</v>
      </c>
      <c r="H3885" t="s">
        <v>7151</v>
      </c>
    </row>
    <row r="3886" spans="2:8">
      <c r="B3886" s="871">
        <v>46283</v>
      </c>
      <c r="C3886" t="s">
        <v>2487</v>
      </c>
      <c r="D3886" t="s">
        <v>1410</v>
      </c>
      <c r="E3886" t="s">
        <v>3435</v>
      </c>
      <c r="F3886" s="853" t="s">
        <v>528</v>
      </c>
      <c r="G3886" s="913" t="s">
        <v>1586</v>
      </c>
      <c r="H3886" t="s">
        <v>7152</v>
      </c>
    </row>
    <row r="3887" spans="2:8">
      <c r="B3887" s="871">
        <v>46283</v>
      </c>
      <c r="C3887" t="s">
        <v>2487</v>
      </c>
      <c r="D3887" t="s">
        <v>1434</v>
      </c>
      <c r="E3887" t="s">
        <v>3439</v>
      </c>
      <c r="F3887" s="853" t="s">
        <v>526</v>
      </c>
      <c r="H3887" t="s">
        <v>7153</v>
      </c>
    </row>
    <row r="3888" spans="2:8">
      <c r="B3888" s="871">
        <v>46283</v>
      </c>
      <c r="C3888" t="s">
        <v>2487</v>
      </c>
      <c r="D3888" t="s">
        <v>1434</v>
      </c>
      <c r="E3888" t="s">
        <v>3439</v>
      </c>
      <c r="F3888" s="853" t="s">
        <v>527</v>
      </c>
      <c r="H3888" t="s">
        <v>7154</v>
      </c>
    </row>
    <row r="3889" spans="2:8">
      <c r="B3889" s="871">
        <v>46283</v>
      </c>
      <c r="C3889" t="s">
        <v>2487</v>
      </c>
      <c r="D3889" t="s">
        <v>1434</v>
      </c>
      <c r="E3889" t="s">
        <v>3439</v>
      </c>
      <c r="F3889" s="853" t="s">
        <v>528</v>
      </c>
      <c r="H3889" t="s">
        <v>7155</v>
      </c>
    </row>
    <row r="3890" spans="2:8">
      <c r="B3890" s="871">
        <v>46283</v>
      </c>
      <c r="C3890" t="s">
        <v>2487</v>
      </c>
      <c r="D3890" t="s">
        <v>1410</v>
      </c>
      <c r="E3890" t="s">
        <v>3443</v>
      </c>
      <c r="F3890" s="853" t="s">
        <v>526</v>
      </c>
      <c r="H3890" t="s">
        <v>7156</v>
      </c>
    </row>
    <row r="3891" spans="2:8">
      <c r="B3891" s="871">
        <v>46283</v>
      </c>
      <c r="C3891" t="s">
        <v>2487</v>
      </c>
      <c r="D3891" t="s">
        <v>1410</v>
      </c>
      <c r="E3891" t="s">
        <v>3443</v>
      </c>
      <c r="F3891" s="853" t="s">
        <v>527</v>
      </c>
      <c r="H3891" t="s">
        <v>7157</v>
      </c>
    </row>
    <row r="3892" spans="2:8">
      <c r="B3892" s="871">
        <v>46283</v>
      </c>
      <c r="C3892" t="s">
        <v>2487</v>
      </c>
      <c r="D3892" t="s">
        <v>1410</v>
      </c>
      <c r="E3892" t="s">
        <v>3443</v>
      </c>
      <c r="F3892" s="853" t="s">
        <v>528</v>
      </c>
      <c r="H3892" t="s">
        <v>7158</v>
      </c>
    </row>
    <row r="3893" spans="2:8">
      <c r="B3893" s="871">
        <v>46283</v>
      </c>
      <c r="C3893" t="s">
        <v>2487</v>
      </c>
      <c r="D3893" t="s">
        <v>1434</v>
      </c>
      <c r="E3893" t="s">
        <v>3447</v>
      </c>
      <c r="F3893" s="853" t="s">
        <v>526</v>
      </c>
      <c r="H3893" t="s">
        <v>7159</v>
      </c>
    </row>
    <row r="3894" spans="2:8">
      <c r="B3894" s="871">
        <v>46283</v>
      </c>
      <c r="C3894" t="s">
        <v>2487</v>
      </c>
      <c r="D3894" t="s">
        <v>1434</v>
      </c>
      <c r="E3894" t="s">
        <v>3447</v>
      </c>
      <c r="F3894" s="853" t="s">
        <v>527</v>
      </c>
      <c r="H3894" t="s">
        <v>7160</v>
      </c>
    </row>
    <row r="3895" spans="2:8">
      <c r="B3895" s="871">
        <v>46283</v>
      </c>
      <c r="C3895" t="s">
        <v>2487</v>
      </c>
      <c r="D3895" t="s">
        <v>1434</v>
      </c>
      <c r="E3895" t="s">
        <v>3447</v>
      </c>
      <c r="F3895" s="853" t="s">
        <v>528</v>
      </c>
      <c r="H3895" t="s">
        <v>7161</v>
      </c>
    </row>
    <row r="3896" spans="2:8">
      <c r="B3896" s="871">
        <v>46283</v>
      </c>
      <c r="C3896" t="s">
        <v>2487</v>
      </c>
      <c r="D3896" t="s">
        <v>1410</v>
      </c>
      <c r="E3896" t="s">
        <v>3451</v>
      </c>
      <c r="F3896" s="853" t="s">
        <v>526</v>
      </c>
      <c r="H3896" t="s">
        <v>7162</v>
      </c>
    </row>
    <row r="3897" spans="2:8">
      <c r="B3897" s="871">
        <v>46283</v>
      </c>
      <c r="C3897" t="s">
        <v>2487</v>
      </c>
      <c r="D3897" t="s">
        <v>1410</v>
      </c>
      <c r="E3897" t="s">
        <v>3451</v>
      </c>
      <c r="F3897" s="853" t="s">
        <v>527</v>
      </c>
      <c r="H3897" t="s">
        <v>7163</v>
      </c>
    </row>
    <row r="3898" spans="2:8">
      <c r="B3898" s="871">
        <v>46283</v>
      </c>
      <c r="C3898" t="s">
        <v>2487</v>
      </c>
      <c r="D3898" t="s">
        <v>1410</v>
      </c>
      <c r="E3898" t="s">
        <v>3451</v>
      </c>
      <c r="F3898" s="853" t="s">
        <v>528</v>
      </c>
      <c r="H3898" t="s">
        <v>7164</v>
      </c>
    </row>
    <row r="3899" spans="2:8">
      <c r="B3899" s="871">
        <v>46283</v>
      </c>
      <c r="C3899" t="s">
        <v>2487</v>
      </c>
      <c r="D3899" t="s">
        <v>1434</v>
      </c>
      <c r="E3899" t="s">
        <v>3455</v>
      </c>
      <c r="F3899" s="853" t="s">
        <v>526</v>
      </c>
      <c r="H3899" t="s">
        <v>7165</v>
      </c>
    </row>
    <row r="3900" spans="2:8">
      <c r="B3900" s="871">
        <v>46283</v>
      </c>
      <c r="C3900" t="s">
        <v>2487</v>
      </c>
      <c r="D3900" t="s">
        <v>1434</v>
      </c>
      <c r="E3900" t="s">
        <v>3455</v>
      </c>
      <c r="F3900" s="853" t="s">
        <v>527</v>
      </c>
      <c r="H3900" t="s">
        <v>7166</v>
      </c>
    </row>
    <row r="3901" spans="2:8">
      <c r="B3901" s="871">
        <v>46283</v>
      </c>
      <c r="C3901" t="s">
        <v>2487</v>
      </c>
      <c r="D3901" t="s">
        <v>1434</v>
      </c>
      <c r="E3901" t="s">
        <v>3455</v>
      </c>
      <c r="F3901" s="853" t="s">
        <v>528</v>
      </c>
      <c r="H3901" t="s">
        <v>7167</v>
      </c>
    </row>
    <row r="3902" spans="2:8">
      <c r="B3902" s="871">
        <v>46283</v>
      </c>
      <c r="C3902" t="s">
        <v>2487</v>
      </c>
      <c r="D3902" t="s">
        <v>1410</v>
      </c>
      <c r="E3902" t="s">
        <v>3459</v>
      </c>
      <c r="F3902" s="853" t="s">
        <v>526</v>
      </c>
      <c r="G3902" s="913">
        <v>28</v>
      </c>
      <c r="H3902" t="s">
        <v>7168</v>
      </c>
    </row>
    <row r="3903" spans="2:8">
      <c r="B3903" s="871">
        <v>46283</v>
      </c>
      <c r="C3903" t="s">
        <v>2487</v>
      </c>
      <c r="D3903" t="s">
        <v>1410</v>
      </c>
      <c r="E3903" t="s">
        <v>3459</v>
      </c>
      <c r="F3903" s="853" t="s">
        <v>527</v>
      </c>
      <c r="G3903" s="913">
        <v>27</v>
      </c>
      <c r="H3903" t="s">
        <v>7169</v>
      </c>
    </row>
    <row r="3904" spans="2:8">
      <c r="B3904" s="871">
        <v>46283</v>
      </c>
      <c r="C3904" t="s">
        <v>2487</v>
      </c>
      <c r="D3904" t="s">
        <v>1410</v>
      </c>
      <c r="E3904" t="s">
        <v>3459</v>
      </c>
      <c r="F3904" s="853" t="s">
        <v>528</v>
      </c>
      <c r="G3904" s="913">
        <v>27</v>
      </c>
      <c r="H3904" t="s">
        <v>7170</v>
      </c>
    </row>
    <row r="3905" spans="2:8">
      <c r="B3905" s="871">
        <v>46283</v>
      </c>
      <c r="C3905" t="s">
        <v>2487</v>
      </c>
      <c r="D3905" t="s">
        <v>1434</v>
      </c>
      <c r="E3905" t="s">
        <v>3463</v>
      </c>
      <c r="F3905" s="853" t="s">
        <v>526</v>
      </c>
      <c r="H3905" t="s">
        <v>7171</v>
      </c>
    </row>
    <row r="3906" spans="2:8">
      <c r="B3906" s="871">
        <v>46283</v>
      </c>
      <c r="C3906" t="s">
        <v>2487</v>
      </c>
      <c r="D3906" t="s">
        <v>1434</v>
      </c>
      <c r="E3906" t="s">
        <v>3463</v>
      </c>
      <c r="F3906" s="853" t="s">
        <v>527</v>
      </c>
      <c r="H3906" t="s">
        <v>7172</v>
      </c>
    </row>
    <row r="3907" spans="2:8">
      <c r="B3907" s="871">
        <v>46283</v>
      </c>
      <c r="C3907" t="s">
        <v>2487</v>
      </c>
      <c r="D3907" t="s">
        <v>1434</v>
      </c>
      <c r="E3907" t="s">
        <v>3463</v>
      </c>
      <c r="F3907" s="853" t="s">
        <v>528</v>
      </c>
      <c r="H3907" t="s">
        <v>7173</v>
      </c>
    </row>
    <row r="3908" spans="2:8">
      <c r="B3908" s="871">
        <v>46283</v>
      </c>
      <c r="C3908" t="s">
        <v>2487</v>
      </c>
      <c r="D3908" t="s">
        <v>1410</v>
      </c>
      <c r="E3908" t="s">
        <v>3467</v>
      </c>
      <c r="F3908" s="853" t="s">
        <v>526</v>
      </c>
      <c r="H3908" t="s">
        <v>7174</v>
      </c>
    </row>
    <row r="3909" spans="2:8">
      <c r="B3909" s="871">
        <v>46283</v>
      </c>
      <c r="C3909" t="s">
        <v>2487</v>
      </c>
      <c r="D3909" t="s">
        <v>1410</v>
      </c>
      <c r="E3909" t="s">
        <v>3467</v>
      </c>
      <c r="F3909" s="853" t="s">
        <v>527</v>
      </c>
      <c r="G3909" s="913">
        <v>27</v>
      </c>
      <c r="H3909" t="s">
        <v>7175</v>
      </c>
    </row>
    <row r="3910" spans="2:8">
      <c r="B3910" s="871">
        <v>46283</v>
      </c>
      <c r="C3910" t="s">
        <v>2487</v>
      </c>
      <c r="D3910" t="s">
        <v>1410</v>
      </c>
      <c r="E3910" t="s">
        <v>3467</v>
      </c>
      <c r="F3910" s="853" t="s">
        <v>528</v>
      </c>
      <c r="H3910" t="s">
        <v>7176</v>
      </c>
    </row>
    <row r="3911" spans="2:8">
      <c r="B3911" s="871">
        <v>46283</v>
      </c>
      <c r="C3911" t="s">
        <v>2487</v>
      </c>
      <c r="D3911" t="s">
        <v>1434</v>
      </c>
      <c r="E3911" t="s">
        <v>3471</v>
      </c>
      <c r="F3911" s="853" t="s">
        <v>526</v>
      </c>
      <c r="H3911" t="s">
        <v>7177</v>
      </c>
    </row>
    <row r="3912" spans="2:8">
      <c r="B3912" s="871">
        <v>46283</v>
      </c>
      <c r="C3912" t="s">
        <v>2487</v>
      </c>
      <c r="D3912" t="s">
        <v>1434</v>
      </c>
      <c r="E3912" t="s">
        <v>3471</v>
      </c>
      <c r="F3912" s="853" t="s">
        <v>527</v>
      </c>
      <c r="H3912" t="s">
        <v>7178</v>
      </c>
    </row>
    <row r="3913" spans="2:8">
      <c r="B3913" s="871">
        <v>46283</v>
      </c>
      <c r="C3913" t="s">
        <v>2487</v>
      </c>
      <c r="D3913" t="s">
        <v>1434</v>
      </c>
      <c r="E3913" t="s">
        <v>3471</v>
      </c>
      <c r="F3913" s="853" t="s">
        <v>528</v>
      </c>
      <c r="H3913" t="s">
        <v>7179</v>
      </c>
    </row>
    <row r="3914" spans="2:8">
      <c r="B3914" s="871">
        <v>46283</v>
      </c>
      <c r="C3914" t="s">
        <v>2487</v>
      </c>
      <c r="D3914" t="s">
        <v>1410</v>
      </c>
      <c r="E3914" t="s">
        <v>3475</v>
      </c>
      <c r="F3914" s="853" t="s">
        <v>526</v>
      </c>
      <c r="G3914" s="913">
        <v>18</v>
      </c>
      <c r="H3914" t="s">
        <v>7180</v>
      </c>
    </row>
    <row r="3915" spans="2:8">
      <c r="B3915" s="871">
        <v>46283</v>
      </c>
      <c r="C3915" t="s">
        <v>2487</v>
      </c>
      <c r="D3915" t="s">
        <v>1410</v>
      </c>
      <c r="E3915" t="s">
        <v>3475</v>
      </c>
      <c r="F3915" s="853" t="s">
        <v>527</v>
      </c>
      <c r="G3915" s="913">
        <v>17</v>
      </c>
      <c r="H3915" t="s">
        <v>7181</v>
      </c>
    </row>
    <row r="3916" spans="2:8">
      <c r="B3916" s="871">
        <v>46283</v>
      </c>
      <c r="C3916" t="s">
        <v>2487</v>
      </c>
      <c r="D3916" t="s">
        <v>1410</v>
      </c>
      <c r="E3916" t="s">
        <v>3475</v>
      </c>
      <c r="F3916" s="853" t="s">
        <v>528</v>
      </c>
      <c r="G3916" s="913">
        <v>16</v>
      </c>
      <c r="H3916" t="s">
        <v>7182</v>
      </c>
    </row>
    <row r="3917" spans="2:8">
      <c r="B3917" s="871">
        <v>46283</v>
      </c>
      <c r="C3917" t="s">
        <v>2487</v>
      </c>
      <c r="D3917" t="s">
        <v>1434</v>
      </c>
      <c r="E3917" t="s">
        <v>3479</v>
      </c>
      <c r="F3917" s="853" t="s">
        <v>526</v>
      </c>
      <c r="H3917" t="s">
        <v>7183</v>
      </c>
    </row>
    <row r="3918" spans="2:8">
      <c r="B3918" s="871">
        <v>46283</v>
      </c>
      <c r="C3918" t="s">
        <v>2487</v>
      </c>
      <c r="D3918" t="s">
        <v>1434</v>
      </c>
      <c r="E3918" t="s">
        <v>3479</v>
      </c>
      <c r="F3918" s="853" t="s">
        <v>527</v>
      </c>
      <c r="H3918" t="s">
        <v>7184</v>
      </c>
    </row>
    <row r="3919" spans="2:8">
      <c r="B3919" s="871">
        <v>46283</v>
      </c>
      <c r="C3919" t="s">
        <v>2487</v>
      </c>
      <c r="D3919" t="s">
        <v>1434</v>
      </c>
      <c r="E3919" t="s">
        <v>3479</v>
      </c>
      <c r="F3919" s="853" t="s">
        <v>528</v>
      </c>
      <c r="H3919" t="s">
        <v>7185</v>
      </c>
    </row>
    <row r="3920" spans="2:8">
      <c r="B3920" s="871">
        <v>46283</v>
      </c>
      <c r="C3920" t="s">
        <v>2487</v>
      </c>
      <c r="D3920" t="s">
        <v>1410</v>
      </c>
      <c r="E3920" t="s">
        <v>3483</v>
      </c>
      <c r="F3920" s="853" t="s">
        <v>526</v>
      </c>
      <c r="G3920" s="913" t="s">
        <v>1878</v>
      </c>
      <c r="H3920" t="s">
        <v>7186</v>
      </c>
    </row>
    <row r="3921" spans="2:8">
      <c r="B3921" s="871">
        <v>46283</v>
      </c>
      <c r="C3921" t="s">
        <v>2487</v>
      </c>
      <c r="D3921" t="s">
        <v>1410</v>
      </c>
      <c r="E3921" t="s">
        <v>3483</v>
      </c>
      <c r="F3921" s="853" t="s">
        <v>527</v>
      </c>
      <c r="G3921" s="913" t="s">
        <v>2040</v>
      </c>
      <c r="H3921" t="s">
        <v>7187</v>
      </c>
    </row>
    <row r="3922" spans="2:8">
      <c r="B3922" s="871">
        <v>46283</v>
      </c>
      <c r="C3922" t="s">
        <v>2487</v>
      </c>
      <c r="D3922" t="s">
        <v>1410</v>
      </c>
      <c r="E3922" t="s">
        <v>3483</v>
      </c>
      <c r="F3922" s="853" t="s">
        <v>528</v>
      </c>
      <c r="G3922" s="913">
        <v>5</v>
      </c>
      <c r="H3922" t="s">
        <v>7188</v>
      </c>
    </row>
    <row r="3923" spans="2:8">
      <c r="B3923" s="871">
        <v>46284</v>
      </c>
      <c r="C3923" t="s">
        <v>2488</v>
      </c>
      <c r="D3923" t="s">
        <v>1375</v>
      </c>
      <c r="E3923" t="s">
        <v>1377</v>
      </c>
      <c r="F3923" s="853" t="s">
        <v>526</v>
      </c>
      <c r="G3923" s="913" t="s">
        <v>1378</v>
      </c>
      <c r="H3923" t="s">
        <v>7189</v>
      </c>
    </row>
    <row r="3924" spans="2:8">
      <c r="B3924" s="871">
        <v>46284</v>
      </c>
      <c r="C3924" t="s">
        <v>2488</v>
      </c>
      <c r="D3924" t="s">
        <v>1375</v>
      </c>
      <c r="E3924" t="s">
        <v>1377</v>
      </c>
      <c r="F3924" s="853" t="s">
        <v>527</v>
      </c>
      <c r="G3924" s="913" t="s">
        <v>1378</v>
      </c>
      <c r="H3924" t="s">
        <v>7190</v>
      </c>
    </row>
    <row r="3925" spans="2:8">
      <c r="B3925" s="871">
        <v>46284</v>
      </c>
      <c r="C3925" t="s">
        <v>2488</v>
      </c>
      <c r="D3925" t="s">
        <v>1375</v>
      </c>
      <c r="E3925" t="s">
        <v>1377</v>
      </c>
      <c r="F3925" s="853" t="s">
        <v>528</v>
      </c>
      <c r="G3925" s="913" t="s">
        <v>1378</v>
      </c>
      <c r="H3925" t="s">
        <v>7191</v>
      </c>
    </row>
    <row r="3926" spans="2:8">
      <c r="B3926" s="871">
        <v>46284</v>
      </c>
      <c r="C3926" t="s">
        <v>2488</v>
      </c>
      <c r="D3926" t="s">
        <v>1376</v>
      </c>
      <c r="E3926" t="s">
        <v>1379</v>
      </c>
      <c r="F3926" s="853" t="s">
        <v>526</v>
      </c>
      <c r="H3926" t="s">
        <v>7192</v>
      </c>
    </row>
    <row r="3927" spans="2:8">
      <c r="B3927" s="871">
        <v>46284</v>
      </c>
      <c r="C3927" t="s">
        <v>2488</v>
      </c>
      <c r="D3927" t="s">
        <v>1376</v>
      </c>
      <c r="E3927" t="s">
        <v>1379</v>
      </c>
      <c r="F3927" s="853" t="s">
        <v>527</v>
      </c>
      <c r="H3927" t="s">
        <v>7193</v>
      </c>
    </row>
    <row r="3928" spans="2:8">
      <c r="B3928" s="871">
        <v>46284</v>
      </c>
      <c r="C3928" t="s">
        <v>2488</v>
      </c>
      <c r="D3928" t="s">
        <v>1376</v>
      </c>
      <c r="E3928" t="s">
        <v>1379</v>
      </c>
      <c r="F3928" s="853" t="s">
        <v>528</v>
      </c>
      <c r="H3928" t="s">
        <v>7194</v>
      </c>
    </row>
    <row r="3929" spans="2:8">
      <c r="B3929" s="871">
        <v>46284</v>
      </c>
      <c r="C3929" t="s">
        <v>2488</v>
      </c>
      <c r="D3929" t="s">
        <v>1375</v>
      </c>
      <c r="E3929" t="s">
        <v>1380</v>
      </c>
      <c r="F3929" s="853" t="s">
        <v>526</v>
      </c>
      <c r="G3929" s="913" t="s">
        <v>2031</v>
      </c>
      <c r="H3929" t="s">
        <v>7195</v>
      </c>
    </row>
    <row r="3930" spans="2:8">
      <c r="B3930" s="871">
        <v>46284</v>
      </c>
      <c r="C3930" t="s">
        <v>2488</v>
      </c>
      <c r="D3930" t="s">
        <v>1375</v>
      </c>
      <c r="E3930" t="s">
        <v>1380</v>
      </c>
      <c r="F3930" s="853" t="s">
        <v>527</v>
      </c>
      <c r="G3930" s="913" t="s">
        <v>2075</v>
      </c>
      <c r="H3930" t="s">
        <v>7196</v>
      </c>
    </row>
    <row r="3931" spans="2:8">
      <c r="B3931" s="871">
        <v>46284</v>
      </c>
      <c r="C3931" t="s">
        <v>2488</v>
      </c>
      <c r="D3931" t="s">
        <v>1375</v>
      </c>
      <c r="E3931" t="s">
        <v>1380</v>
      </c>
      <c r="F3931" s="853" t="s">
        <v>528</v>
      </c>
      <c r="G3931" s="913" t="s">
        <v>2031</v>
      </c>
      <c r="H3931" t="s">
        <v>7197</v>
      </c>
    </row>
    <row r="3932" spans="2:8">
      <c r="B3932" s="871">
        <v>46284</v>
      </c>
      <c r="C3932" t="s">
        <v>2488</v>
      </c>
      <c r="D3932" t="s">
        <v>1376</v>
      </c>
      <c r="E3932" t="s">
        <v>1383</v>
      </c>
      <c r="F3932" s="853" t="s">
        <v>526</v>
      </c>
      <c r="G3932" s="913">
        <v>0</v>
      </c>
      <c r="H3932" t="s">
        <v>7198</v>
      </c>
    </row>
    <row r="3933" spans="2:8">
      <c r="B3933" s="871">
        <v>46284</v>
      </c>
      <c r="C3933" t="s">
        <v>2488</v>
      </c>
      <c r="D3933" t="s">
        <v>1376</v>
      </c>
      <c r="E3933" t="s">
        <v>1383</v>
      </c>
      <c r="F3933" s="853" t="s">
        <v>527</v>
      </c>
      <c r="G3933" s="913">
        <v>0</v>
      </c>
      <c r="H3933" t="s">
        <v>7199</v>
      </c>
    </row>
    <row r="3934" spans="2:8">
      <c r="B3934" s="871">
        <v>46284</v>
      </c>
      <c r="C3934" t="s">
        <v>2488</v>
      </c>
      <c r="D3934" t="s">
        <v>1376</v>
      </c>
      <c r="E3934" t="s">
        <v>1383</v>
      </c>
      <c r="F3934" s="853" t="s">
        <v>528</v>
      </c>
      <c r="G3934" s="913">
        <v>0</v>
      </c>
      <c r="H3934" t="s">
        <v>7200</v>
      </c>
    </row>
    <row r="3935" spans="2:8">
      <c r="B3935" s="871">
        <v>46284</v>
      </c>
      <c r="C3935" t="s">
        <v>2488</v>
      </c>
      <c r="D3935" t="s">
        <v>1375</v>
      </c>
      <c r="E3935" t="s">
        <v>54</v>
      </c>
      <c r="F3935" s="853" t="s">
        <v>526</v>
      </c>
      <c r="H3935" t="s">
        <v>7201</v>
      </c>
    </row>
    <row r="3936" spans="2:8">
      <c r="B3936" s="871">
        <v>46284</v>
      </c>
      <c r="C3936" t="s">
        <v>2488</v>
      </c>
      <c r="D3936" t="s">
        <v>1375</v>
      </c>
      <c r="E3936" t="s">
        <v>54</v>
      </c>
      <c r="F3936" s="853" t="s">
        <v>527</v>
      </c>
      <c r="H3936" t="s">
        <v>7202</v>
      </c>
    </row>
    <row r="3937" spans="2:8">
      <c r="B3937" s="871">
        <v>46284</v>
      </c>
      <c r="C3937" t="s">
        <v>2488</v>
      </c>
      <c r="D3937" t="s">
        <v>1375</v>
      </c>
      <c r="E3937" t="s">
        <v>54</v>
      </c>
      <c r="F3937" s="853" t="s">
        <v>528</v>
      </c>
      <c r="H3937" t="s">
        <v>7203</v>
      </c>
    </row>
    <row r="3938" spans="2:8">
      <c r="B3938" s="871">
        <v>46284</v>
      </c>
      <c r="C3938" t="s">
        <v>2488</v>
      </c>
      <c r="D3938" t="s">
        <v>1376</v>
      </c>
      <c r="E3938" t="s">
        <v>1384</v>
      </c>
      <c r="F3938" s="853" t="s">
        <v>526</v>
      </c>
      <c r="G3938" s="913">
        <v>0.4</v>
      </c>
      <c r="H3938" t="s">
        <v>7204</v>
      </c>
    </row>
    <row r="3939" spans="2:8">
      <c r="B3939" s="871">
        <v>46284</v>
      </c>
      <c r="C3939" t="s">
        <v>2488</v>
      </c>
      <c r="D3939" t="s">
        <v>1376</v>
      </c>
      <c r="E3939" t="s">
        <v>1384</v>
      </c>
      <c r="F3939" s="853" t="s">
        <v>527</v>
      </c>
      <c r="G3939" s="913">
        <v>0.42</v>
      </c>
      <c r="H3939" t="s">
        <v>7205</v>
      </c>
    </row>
    <row r="3940" spans="2:8">
      <c r="B3940" s="871">
        <v>46284</v>
      </c>
      <c r="C3940" t="s">
        <v>2488</v>
      </c>
      <c r="D3940" t="s">
        <v>1376</v>
      </c>
      <c r="E3940" t="s">
        <v>1384</v>
      </c>
      <c r="F3940" s="853" t="s">
        <v>528</v>
      </c>
      <c r="G3940" s="913">
        <v>0.4</v>
      </c>
      <c r="H3940" t="s">
        <v>7206</v>
      </c>
    </row>
    <row r="3941" spans="2:8">
      <c r="B3941" s="871">
        <v>46284</v>
      </c>
      <c r="C3941" t="s">
        <v>2488</v>
      </c>
      <c r="D3941" t="s">
        <v>1375</v>
      </c>
      <c r="E3941" t="s">
        <v>1385</v>
      </c>
      <c r="F3941" s="853" t="s">
        <v>526</v>
      </c>
      <c r="G3941" s="913">
        <v>1261</v>
      </c>
      <c r="H3941" t="s">
        <v>7207</v>
      </c>
    </row>
    <row r="3942" spans="2:8">
      <c r="B3942" s="871">
        <v>46284</v>
      </c>
      <c r="C3942" t="s">
        <v>2488</v>
      </c>
      <c r="D3942" t="s">
        <v>1375</v>
      </c>
      <c r="E3942" t="s">
        <v>1385</v>
      </c>
      <c r="F3942" s="853" t="s">
        <v>527</v>
      </c>
      <c r="G3942" s="913">
        <v>2536</v>
      </c>
      <c r="H3942" t="s">
        <v>7208</v>
      </c>
    </row>
    <row r="3943" spans="2:8">
      <c r="B3943" s="871">
        <v>46284</v>
      </c>
      <c r="C3943" t="s">
        <v>2488</v>
      </c>
      <c r="D3943" t="s">
        <v>1375</v>
      </c>
      <c r="E3943" t="s">
        <v>1385</v>
      </c>
      <c r="F3943" s="853" t="s">
        <v>528</v>
      </c>
      <c r="G3943" s="913">
        <v>5182</v>
      </c>
      <c r="H3943" t="s">
        <v>7209</v>
      </c>
    </row>
    <row r="3944" spans="2:8">
      <c r="B3944" s="871">
        <v>46284</v>
      </c>
      <c r="C3944" t="s">
        <v>2488</v>
      </c>
      <c r="D3944" t="s">
        <v>1376</v>
      </c>
      <c r="E3944" t="s">
        <v>1386</v>
      </c>
      <c r="F3944" s="853" t="s">
        <v>526</v>
      </c>
      <c r="G3944" s="913">
        <v>0.5</v>
      </c>
      <c r="H3944" t="s">
        <v>7210</v>
      </c>
    </row>
    <row r="3945" spans="2:8">
      <c r="B3945" s="871">
        <v>46284</v>
      </c>
      <c r="C3945" t="s">
        <v>2488</v>
      </c>
      <c r="D3945" t="s">
        <v>1376</v>
      </c>
      <c r="E3945" t="s">
        <v>1386</v>
      </c>
      <c r="F3945" s="853" t="s">
        <v>527</v>
      </c>
      <c r="G3945" s="913">
        <v>0.4</v>
      </c>
      <c r="H3945" t="s">
        <v>7211</v>
      </c>
    </row>
    <row r="3946" spans="2:8">
      <c r="B3946" s="871">
        <v>46284</v>
      </c>
      <c r="C3946" t="s">
        <v>2488</v>
      </c>
      <c r="D3946" t="s">
        <v>1376</v>
      </c>
      <c r="E3946" t="s">
        <v>1386</v>
      </c>
      <c r="F3946" s="853" t="s">
        <v>528</v>
      </c>
      <c r="G3946" s="913">
        <v>0.36</v>
      </c>
      <c r="H3946" t="s">
        <v>7212</v>
      </c>
    </row>
    <row r="3947" spans="2:8">
      <c r="B3947" s="871">
        <v>46284</v>
      </c>
      <c r="C3947" t="s">
        <v>2488</v>
      </c>
      <c r="D3947" t="s">
        <v>1376</v>
      </c>
      <c r="E3947" t="s">
        <v>1387</v>
      </c>
      <c r="F3947" s="853" t="s">
        <v>526</v>
      </c>
      <c r="G3947" s="913">
        <v>8.6</v>
      </c>
      <c r="H3947" t="s">
        <v>7213</v>
      </c>
    </row>
    <row r="3948" spans="2:8">
      <c r="B3948" s="871">
        <v>46284</v>
      </c>
      <c r="C3948" t="s">
        <v>2488</v>
      </c>
      <c r="D3948" t="s">
        <v>1376</v>
      </c>
      <c r="E3948" t="s">
        <v>1387</v>
      </c>
      <c r="F3948" s="853" t="s">
        <v>527</v>
      </c>
      <c r="G3948" s="913">
        <v>8.1999999999999993</v>
      </c>
      <c r="H3948" t="s">
        <v>7214</v>
      </c>
    </row>
    <row r="3949" spans="2:8">
      <c r="B3949" s="871">
        <v>46284</v>
      </c>
      <c r="C3949" t="s">
        <v>2488</v>
      </c>
      <c r="D3949" t="s">
        <v>1376</v>
      </c>
      <c r="E3949" t="s">
        <v>1387</v>
      </c>
      <c r="F3949" s="853" t="s">
        <v>528</v>
      </c>
      <c r="G3949" s="913">
        <v>8.1999999999999993</v>
      </c>
      <c r="H3949" t="s">
        <v>7215</v>
      </c>
    </row>
    <row r="3950" spans="2:8">
      <c r="B3950" s="871">
        <v>46284</v>
      </c>
      <c r="C3950" t="s">
        <v>2488</v>
      </c>
      <c r="D3950" t="s">
        <v>1375</v>
      </c>
      <c r="E3950" t="s">
        <v>1388</v>
      </c>
      <c r="F3950" s="853" t="s">
        <v>526</v>
      </c>
      <c r="H3950" t="s">
        <v>7216</v>
      </c>
    </row>
    <row r="3951" spans="2:8">
      <c r="B3951" s="871">
        <v>46284</v>
      </c>
      <c r="C3951" t="s">
        <v>2488</v>
      </c>
      <c r="D3951" t="s">
        <v>1375</v>
      </c>
      <c r="E3951" t="s">
        <v>1388</v>
      </c>
      <c r="F3951" s="853" t="s">
        <v>527</v>
      </c>
      <c r="H3951" t="s">
        <v>7217</v>
      </c>
    </row>
    <row r="3952" spans="2:8">
      <c r="B3952" s="871">
        <v>46284</v>
      </c>
      <c r="C3952" t="s">
        <v>2488</v>
      </c>
      <c r="D3952" t="s">
        <v>1375</v>
      </c>
      <c r="E3952" t="s">
        <v>1388</v>
      </c>
      <c r="F3952" s="853" t="s">
        <v>528</v>
      </c>
      <c r="H3952" t="s">
        <v>7218</v>
      </c>
    </row>
    <row r="3953" spans="2:8">
      <c r="B3953" s="871">
        <v>46284</v>
      </c>
      <c r="C3953" t="s">
        <v>2488</v>
      </c>
      <c r="D3953" t="s">
        <v>1376</v>
      </c>
      <c r="E3953" t="s">
        <v>1389</v>
      </c>
      <c r="F3953" s="853" t="s">
        <v>526</v>
      </c>
      <c r="G3953" s="913">
        <v>62.9</v>
      </c>
      <c r="H3953" t="s">
        <v>7219</v>
      </c>
    </row>
    <row r="3954" spans="2:8">
      <c r="B3954" s="871">
        <v>46284</v>
      </c>
      <c r="C3954" t="s">
        <v>2488</v>
      </c>
      <c r="D3954" t="s">
        <v>1376</v>
      </c>
      <c r="E3954" t="s">
        <v>1389</v>
      </c>
      <c r="F3954" s="853" t="s">
        <v>527</v>
      </c>
      <c r="G3954" s="913">
        <v>63.2</v>
      </c>
      <c r="H3954" t="s">
        <v>7220</v>
      </c>
    </row>
    <row r="3955" spans="2:8">
      <c r="B3955" s="871">
        <v>46284</v>
      </c>
      <c r="C3955" t="s">
        <v>2488</v>
      </c>
      <c r="D3955" t="s">
        <v>1376</v>
      </c>
      <c r="E3955" t="s">
        <v>1389</v>
      </c>
      <c r="F3955" s="853" t="s">
        <v>528</v>
      </c>
      <c r="G3955" s="913">
        <v>63.3</v>
      </c>
      <c r="H3955" t="s">
        <v>7221</v>
      </c>
    </row>
    <row r="3956" spans="2:8">
      <c r="B3956" s="871">
        <v>46284</v>
      </c>
      <c r="C3956" t="s">
        <v>2488</v>
      </c>
      <c r="D3956" t="s">
        <v>1375</v>
      </c>
      <c r="E3956" t="s">
        <v>3266</v>
      </c>
      <c r="F3956" s="853" t="s">
        <v>526</v>
      </c>
      <c r="G3956" s="913">
        <v>4</v>
      </c>
      <c r="H3956" t="s">
        <v>7222</v>
      </c>
    </row>
    <row r="3957" spans="2:8">
      <c r="B3957" s="871">
        <v>46284</v>
      </c>
      <c r="C3957" t="s">
        <v>2488</v>
      </c>
      <c r="D3957" t="s">
        <v>1375</v>
      </c>
      <c r="E3957" t="s">
        <v>3266</v>
      </c>
      <c r="F3957" s="853" t="s">
        <v>527</v>
      </c>
      <c r="G3957" s="913">
        <v>3</v>
      </c>
      <c r="H3957" t="s">
        <v>7223</v>
      </c>
    </row>
    <row r="3958" spans="2:8">
      <c r="B3958" s="871">
        <v>46284</v>
      </c>
      <c r="C3958" t="s">
        <v>2488</v>
      </c>
      <c r="D3958" t="s">
        <v>1375</v>
      </c>
      <c r="E3958" t="s">
        <v>3266</v>
      </c>
      <c r="F3958" s="853" t="s">
        <v>528</v>
      </c>
      <c r="G3958" s="913">
        <v>2</v>
      </c>
      <c r="H3958" t="s">
        <v>7224</v>
      </c>
    </row>
    <row r="3959" spans="2:8">
      <c r="B3959" s="871">
        <v>46284</v>
      </c>
      <c r="C3959" t="s">
        <v>2488</v>
      </c>
      <c r="D3959" t="s">
        <v>1376</v>
      </c>
      <c r="E3959" t="s">
        <v>1390</v>
      </c>
      <c r="F3959" s="853" t="s">
        <v>526</v>
      </c>
      <c r="G3959" s="913">
        <v>1.7700000000000001E-3</v>
      </c>
      <c r="H3959" t="s">
        <v>7225</v>
      </c>
    </row>
    <row r="3960" spans="2:8">
      <c r="B3960" s="871">
        <v>46284</v>
      </c>
      <c r="C3960" t="s">
        <v>2488</v>
      </c>
      <c r="D3960" t="s">
        <v>1376</v>
      </c>
      <c r="E3960" t="s">
        <v>1390</v>
      </c>
      <c r="F3960" s="853" t="s">
        <v>527</v>
      </c>
      <c r="G3960" s="913">
        <v>1.89E-3</v>
      </c>
      <c r="H3960" t="s">
        <v>7226</v>
      </c>
    </row>
    <row r="3961" spans="2:8">
      <c r="B3961" s="871">
        <v>46284</v>
      </c>
      <c r="C3961" t="s">
        <v>2488</v>
      </c>
      <c r="D3961" t="s">
        <v>1376</v>
      </c>
      <c r="E3961" t="s">
        <v>1390</v>
      </c>
      <c r="F3961" s="853" t="s">
        <v>528</v>
      </c>
      <c r="H3961" t="s">
        <v>7227</v>
      </c>
    </row>
    <row r="3962" spans="2:8">
      <c r="B3962" s="871">
        <v>46284</v>
      </c>
      <c r="C3962" t="s">
        <v>2488</v>
      </c>
      <c r="D3962" t="s">
        <v>1375</v>
      </c>
      <c r="E3962" t="s">
        <v>3273</v>
      </c>
      <c r="F3962" s="853" t="s">
        <v>526</v>
      </c>
      <c r="G3962" s="913">
        <v>3</v>
      </c>
      <c r="H3962" t="s">
        <v>7228</v>
      </c>
    </row>
    <row r="3963" spans="2:8">
      <c r="B3963" s="871">
        <v>46284</v>
      </c>
      <c r="C3963" t="s">
        <v>2488</v>
      </c>
      <c r="D3963" t="s">
        <v>1375</v>
      </c>
      <c r="E3963" t="s">
        <v>3273</v>
      </c>
      <c r="F3963" s="853" t="s">
        <v>527</v>
      </c>
      <c r="G3963" s="913">
        <v>3</v>
      </c>
      <c r="H3963" t="s">
        <v>7229</v>
      </c>
    </row>
    <row r="3964" spans="2:8">
      <c r="B3964" s="871">
        <v>46284</v>
      </c>
      <c r="C3964" t="s">
        <v>2488</v>
      </c>
      <c r="D3964" t="s">
        <v>1375</v>
      </c>
      <c r="E3964" t="s">
        <v>3273</v>
      </c>
      <c r="F3964" s="853" t="s">
        <v>528</v>
      </c>
      <c r="G3964" s="913">
        <v>2</v>
      </c>
      <c r="H3964" t="s">
        <v>7230</v>
      </c>
    </row>
    <row r="3965" spans="2:8">
      <c r="B3965" s="871">
        <v>46284</v>
      </c>
      <c r="C3965" t="s">
        <v>2488</v>
      </c>
      <c r="D3965" t="s">
        <v>1376</v>
      </c>
      <c r="E3965" t="s">
        <v>1391</v>
      </c>
      <c r="F3965" s="853" t="s">
        <v>526</v>
      </c>
      <c r="H3965" t="s">
        <v>7231</v>
      </c>
    </row>
    <row r="3966" spans="2:8">
      <c r="B3966" s="871">
        <v>46284</v>
      </c>
      <c r="C3966" t="s">
        <v>2488</v>
      </c>
      <c r="D3966" t="s">
        <v>1376</v>
      </c>
      <c r="E3966" t="s">
        <v>1391</v>
      </c>
      <c r="F3966" s="853" t="s">
        <v>527</v>
      </c>
      <c r="H3966" t="s">
        <v>7232</v>
      </c>
    </row>
    <row r="3967" spans="2:8">
      <c r="B3967" s="871">
        <v>46284</v>
      </c>
      <c r="C3967" t="s">
        <v>2488</v>
      </c>
      <c r="D3967" t="s">
        <v>1376</v>
      </c>
      <c r="E3967" t="s">
        <v>1391</v>
      </c>
      <c r="F3967" s="853" t="s">
        <v>528</v>
      </c>
      <c r="G3967" s="913">
        <v>5752</v>
      </c>
      <c r="H3967" t="s">
        <v>7233</v>
      </c>
    </row>
    <row r="3968" spans="2:8">
      <c r="B3968" s="871">
        <v>46284</v>
      </c>
      <c r="C3968" t="s">
        <v>2488</v>
      </c>
      <c r="D3968" t="s">
        <v>1375</v>
      </c>
      <c r="E3968" t="s">
        <v>3280</v>
      </c>
      <c r="F3968" s="853" t="s">
        <v>526</v>
      </c>
      <c r="G3968" s="913">
        <v>3</v>
      </c>
      <c r="H3968" t="s">
        <v>7234</v>
      </c>
    </row>
    <row r="3969" spans="2:8">
      <c r="B3969" s="871">
        <v>46284</v>
      </c>
      <c r="C3969" t="s">
        <v>2488</v>
      </c>
      <c r="D3969" t="s">
        <v>1375</v>
      </c>
      <c r="E3969" t="s">
        <v>3280</v>
      </c>
      <c r="F3969" s="853" t="s">
        <v>527</v>
      </c>
      <c r="G3969" s="913">
        <v>1</v>
      </c>
      <c r="H3969" t="s">
        <v>7235</v>
      </c>
    </row>
    <row r="3970" spans="2:8">
      <c r="B3970" s="871">
        <v>46284</v>
      </c>
      <c r="C3970" t="s">
        <v>2488</v>
      </c>
      <c r="D3970" t="s">
        <v>1375</v>
      </c>
      <c r="E3970" t="s">
        <v>3280</v>
      </c>
      <c r="F3970" s="853" t="s">
        <v>528</v>
      </c>
      <c r="G3970" s="913">
        <v>1</v>
      </c>
      <c r="H3970" t="s">
        <v>7236</v>
      </c>
    </row>
    <row r="3971" spans="2:8">
      <c r="B3971" s="871">
        <v>46284</v>
      </c>
      <c r="C3971" t="s">
        <v>2488</v>
      </c>
      <c r="D3971" t="s">
        <v>1376</v>
      </c>
      <c r="E3971" t="s">
        <v>1392</v>
      </c>
      <c r="F3971" s="853" t="s">
        <v>526</v>
      </c>
      <c r="G3971" s="913">
        <v>5752</v>
      </c>
      <c r="H3971" t="s">
        <v>7237</v>
      </c>
    </row>
    <row r="3972" spans="2:8">
      <c r="B3972" s="871">
        <v>46284</v>
      </c>
      <c r="C3972" t="s">
        <v>2488</v>
      </c>
      <c r="D3972" t="s">
        <v>1376</v>
      </c>
      <c r="E3972" t="s">
        <v>1392</v>
      </c>
      <c r="F3972" s="853" t="s">
        <v>527</v>
      </c>
      <c r="H3972" t="s">
        <v>7238</v>
      </c>
    </row>
    <row r="3973" spans="2:8">
      <c r="B3973" s="871">
        <v>46284</v>
      </c>
      <c r="C3973" t="s">
        <v>2488</v>
      </c>
      <c r="D3973" t="s">
        <v>1376</v>
      </c>
      <c r="E3973" t="s">
        <v>1392</v>
      </c>
      <c r="F3973" s="853" t="s">
        <v>528</v>
      </c>
      <c r="H3973" t="s">
        <v>7239</v>
      </c>
    </row>
    <row r="3974" spans="2:8">
      <c r="B3974" s="871">
        <v>46284</v>
      </c>
      <c r="C3974" t="s">
        <v>2488</v>
      </c>
      <c r="D3974" t="s">
        <v>1375</v>
      </c>
      <c r="E3974" t="s">
        <v>3287</v>
      </c>
      <c r="F3974" s="853" t="s">
        <v>526</v>
      </c>
      <c r="G3974" s="913">
        <v>3</v>
      </c>
      <c r="H3974" t="s">
        <v>7240</v>
      </c>
    </row>
    <row r="3975" spans="2:8">
      <c r="B3975" s="871">
        <v>46284</v>
      </c>
      <c r="C3975" t="s">
        <v>2488</v>
      </c>
      <c r="D3975" t="s">
        <v>1375</v>
      </c>
      <c r="E3975" t="s">
        <v>3287</v>
      </c>
      <c r="F3975" s="853" t="s">
        <v>527</v>
      </c>
      <c r="G3975" s="913">
        <v>3</v>
      </c>
      <c r="H3975" t="s">
        <v>7241</v>
      </c>
    </row>
    <row r="3976" spans="2:8">
      <c r="B3976" s="871">
        <v>46284</v>
      </c>
      <c r="C3976" t="s">
        <v>2488</v>
      </c>
      <c r="D3976" t="s">
        <v>1375</v>
      </c>
      <c r="E3976" t="s">
        <v>3287</v>
      </c>
      <c r="F3976" s="853" t="s">
        <v>528</v>
      </c>
      <c r="G3976" s="913">
        <v>2</v>
      </c>
      <c r="H3976" t="s">
        <v>7242</v>
      </c>
    </row>
    <row r="3977" spans="2:8">
      <c r="B3977" s="871">
        <v>46284</v>
      </c>
      <c r="C3977" t="s">
        <v>2488</v>
      </c>
      <c r="D3977" t="s">
        <v>1376</v>
      </c>
      <c r="E3977" t="s">
        <v>453</v>
      </c>
      <c r="F3977" s="853" t="s">
        <v>526</v>
      </c>
      <c r="H3977" t="s">
        <v>7243</v>
      </c>
    </row>
    <row r="3978" spans="2:8">
      <c r="B3978" s="871">
        <v>46284</v>
      </c>
      <c r="C3978" t="s">
        <v>2488</v>
      </c>
      <c r="D3978" t="s">
        <v>1376</v>
      </c>
      <c r="E3978" t="s">
        <v>453</v>
      </c>
      <c r="F3978" s="853" t="s">
        <v>527</v>
      </c>
      <c r="H3978" t="s">
        <v>7244</v>
      </c>
    </row>
    <row r="3979" spans="2:8">
      <c r="B3979" s="871">
        <v>46284</v>
      </c>
      <c r="C3979" t="s">
        <v>2488</v>
      </c>
      <c r="D3979" t="s">
        <v>1376</v>
      </c>
      <c r="E3979" t="s">
        <v>453</v>
      </c>
      <c r="F3979" s="853" t="s">
        <v>528</v>
      </c>
      <c r="H3979" t="s">
        <v>7245</v>
      </c>
    </row>
    <row r="3980" spans="2:8">
      <c r="B3980" s="871">
        <v>46284</v>
      </c>
      <c r="C3980" t="s">
        <v>2488</v>
      </c>
      <c r="D3980" t="s">
        <v>1375</v>
      </c>
      <c r="E3980" t="s">
        <v>3291</v>
      </c>
      <c r="F3980" s="853" t="s">
        <v>526</v>
      </c>
      <c r="G3980" s="913">
        <v>2</v>
      </c>
      <c r="H3980" t="s">
        <v>7246</v>
      </c>
    </row>
    <row r="3981" spans="2:8">
      <c r="B3981" s="871">
        <v>46284</v>
      </c>
      <c r="C3981" t="s">
        <v>2488</v>
      </c>
      <c r="D3981" t="s">
        <v>1375</v>
      </c>
      <c r="E3981" t="s">
        <v>3291</v>
      </c>
      <c r="F3981" s="853" t="s">
        <v>527</v>
      </c>
      <c r="G3981" s="913">
        <v>2</v>
      </c>
      <c r="H3981" t="s">
        <v>7247</v>
      </c>
    </row>
    <row r="3982" spans="2:8">
      <c r="B3982" s="871">
        <v>46284</v>
      </c>
      <c r="C3982" t="s">
        <v>2488</v>
      </c>
      <c r="D3982" t="s">
        <v>1375</v>
      </c>
      <c r="E3982" t="s">
        <v>3291</v>
      </c>
      <c r="F3982" s="853" t="s">
        <v>528</v>
      </c>
      <c r="G3982" s="913">
        <v>2</v>
      </c>
      <c r="H3982" t="s">
        <v>7248</v>
      </c>
    </row>
    <row r="3983" spans="2:8">
      <c r="B3983" s="871">
        <v>46284</v>
      </c>
      <c r="C3983" t="s">
        <v>2488</v>
      </c>
      <c r="D3983" t="s">
        <v>1376</v>
      </c>
      <c r="E3983" t="s">
        <v>1394</v>
      </c>
      <c r="F3983" s="853" t="s">
        <v>526</v>
      </c>
      <c r="G3983" s="913" t="s">
        <v>2032</v>
      </c>
      <c r="H3983" t="s">
        <v>7249</v>
      </c>
    </row>
    <row r="3984" spans="2:8">
      <c r="B3984" s="871">
        <v>46284</v>
      </c>
      <c r="C3984" t="s">
        <v>2488</v>
      </c>
      <c r="D3984" t="s">
        <v>1376</v>
      </c>
      <c r="E3984" t="s">
        <v>1394</v>
      </c>
      <c r="F3984" s="853" t="s">
        <v>527</v>
      </c>
      <c r="G3984" s="913" t="s">
        <v>2076</v>
      </c>
      <c r="H3984" t="s">
        <v>7250</v>
      </c>
    </row>
    <row r="3985" spans="2:8">
      <c r="B3985" s="871">
        <v>46284</v>
      </c>
      <c r="C3985" t="s">
        <v>2488</v>
      </c>
      <c r="D3985" t="s">
        <v>1376</v>
      </c>
      <c r="E3985" t="s">
        <v>1394</v>
      </c>
      <c r="F3985" s="853" t="s">
        <v>528</v>
      </c>
      <c r="G3985" s="913" t="s">
        <v>2077</v>
      </c>
      <c r="H3985" t="s">
        <v>7251</v>
      </c>
    </row>
    <row r="3986" spans="2:8">
      <c r="B3986" s="871">
        <v>46284</v>
      </c>
      <c r="C3986" t="s">
        <v>2488</v>
      </c>
      <c r="D3986" t="s">
        <v>1375</v>
      </c>
      <c r="E3986" t="s">
        <v>3298</v>
      </c>
      <c r="F3986" s="853" t="s">
        <v>526</v>
      </c>
      <c r="G3986" s="913">
        <v>3</v>
      </c>
      <c r="H3986" t="s">
        <v>7252</v>
      </c>
    </row>
    <row r="3987" spans="2:8">
      <c r="B3987" s="871">
        <v>46284</v>
      </c>
      <c r="C3987" t="s">
        <v>2488</v>
      </c>
      <c r="D3987" t="s">
        <v>1375</v>
      </c>
      <c r="E3987" t="s">
        <v>3298</v>
      </c>
      <c r="F3987" s="853" t="s">
        <v>527</v>
      </c>
      <c r="G3987" s="913">
        <v>2</v>
      </c>
      <c r="H3987" t="s">
        <v>7253</v>
      </c>
    </row>
    <row r="3988" spans="2:8">
      <c r="B3988" s="871">
        <v>46284</v>
      </c>
      <c r="C3988" t="s">
        <v>2488</v>
      </c>
      <c r="D3988" t="s">
        <v>1375</v>
      </c>
      <c r="E3988" t="s">
        <v>3298</v>
      </c>
      <c r="F3988" s="853" t="s">
        <v>528</v>
      </c>
      <c r="G3988" s="913">
        <v>5</v>
      </c>
      <c r="H3988" t="s">
        <v>7254</v>
      </c>
    </row>
    <row r="3989" spans="2:8">
      <c r="B3989" s="871">
        <v>46284</v>
      </c>
      <c r="C3989" t="s">
        <v>2488</v>
      </c>
      <c r="D3989" t="s">
        <v>1376</v>
      </c>
      <c r="E3989" t="s">
        <v>1398</v>
      </c>
      <c r="F3989" s="853" t="s">
        <v>526</v>
      </c>
      <c r="G3989" s="913">
        <v>11</v>
      </c>
      <c r="H3989" t="s">
        <v>7255</v>
      </c>
    </row>
    <row r="3990" spans="2:8">
      <c r="B3990" s="871">
        <v>46284</v>
      </c>
      <c r="C3990" t="s">
        <v>2488</v>
      </c>
      <c r="D3990" t="s">
        <v>1376</v>
      </c>
      <c r="E3990" t="s">
        <v>1398</v>
      </c>
      <c r="F3990" s="853" t="s">
        <v>527</v>
      </c>
      <c r="G3990" s="913">
        <v>12</v>
      </c>
      <c r="H3990" t="s">
        <v>7256</v>
      </c>
    </row>
    <row r="3991" spans="2:8">
      <c r="B3991" s="871">
        <v>46284</v>
      </c>
      <c r="C3991" t="s">
        <v>2488</v>
      </c>
      <c r="D3991" t="s">
        <v>1376</v>
      </c>
      <c r="E3991" t="s">
        <v>1398</v>
      </c>
      <c r="F3991" s="853" t="s">
        <v>528</v>
      </c>
      <c r="G3991" s="913">
        <v>11</v>
      </c>
      <c r="H3991" t="s">
        <v>7257</v>
      </c>
    </row>
    <row r="3992" spans="2:8">
      <c r="B3992" s="871">
        <v>46284</v>
      </c>
      <c r="C3992" t="s">
        <v>2488</v>
      </c>
      <c r="D3992" t="s">
        <v>1375</v>
      </c>
      <c r="E3992" t="s">
        <v>3305</v>
      </c>
      <c r="F3992" s="853" t="s">
        <v>526</v>
      </c>
      <c r="G3992" s="913">
        <v>1</v>
      </c>
      <c r="H3992" t="s">
        <v>7258</v>
      </c>
    </row>
    <row r="3993" spans="2:8">
      <c r="B3993" s="871">
        <v>46284</v>
      </c>
      <c r="C3993" t="s">
        <v>2488</v>
      </c>
      <c r="D3993" t="s">
        <v>1375</v>
      </c>
      <c r="E3993" t="s">
        <v>3305</v>
      </c>
      <c r="F3993" s="853" t="s">
        <v>527</v>
      </c>
      <c r="G3993" s="913">
        <v>1</v>
      </c>
      <c r="H3993" t="s">
        <v>7259</v>
      </c>
    </row>
    <row r="3994" spans="2:8">
      <c r="B3994" s="871">
        <v>46284</v>
      </c>
      <c r="C3994" t="s">
        <v>2488</v>
      </c>
      <c r="D3994" t="s">
        <v>1375</v>
      </c>
      <c r="E3994" t="s">
        <v>3305</v>
      </c>
      <c r="F3994" s="853" t="s">
        <v>528</v>
      </c>
      <c r="G3994" s="913">
        <v>1</v>
      </c>
      <c r="H3994" t="s">
        <v>7260</v>
      </c>
    </row>
    <row r="3995" spans="2:8">
      <c r="B3995" s="871">
        <v>46284</v>
      </c>
      <c r="C3995" t="s">
        <v>2488</v>
      </c>
      <c r="D3995" t="s">
        <v>1376</v>
      </c>
      <c r="E3995" t="s">
        <v>1399</v>
      </c>
      <c r="F3995" s="853" t="s">
        <v>526</v>
      </c>
      <c r="G3995" s="913">
        <v>12</v>
      </c>
      <c r="H3995" t="s">
        <v>7261</v>
      </c>
    </row>
    <row r="3996" spans="2:8">
      <c r="B3996" s="871">
        <v>46284</v>
      </c>
      <c r="C3996" t="s">
        <v>2488</v>
      </c>
      <c r="D3996" t="s">
        <v>1376</v>
      </c>
      <c r="E3996" t="s">
        <v>1399</v>
      </c>
      <c r="F3996" s="853" t="s">
        <v>527</v>
      </c>
      <c r="G3996" s="913">
        <v>13</v>
      </c>
      <c r="H3996" t="s">
        <v>7262</v>
      </c>
    </row>
    <row r="3997" spans="2:8">
      <c r="B3997" s="871">
        <v>46284</v>
      </c>
      <c r="C3997" t="s">
        <v>2488</v>
      </c>
      <c r="D3997" t="s">
        <v>1376</v>
      </c>
      <c r="E3997" t="s">
        <v>1399</v>
      </c>
      <c r="F3997" s="853" t="s">
        <v>528</v>
      </c>
      <c r="G3997" s="913">
        <v>12</v>
      </c>
      <c r="H3997" t="s">
        <v>7263</v>
      </c>
    </row>
    <row r="3998" spans="2:8">
      <c r="B3998" s="871">
        <v>46284</v>
      </c>
      <c r="C3998" t="s">
        <v>2488</v>
      </c>
      <c r="D3998" t="s">
        <v>1375</v>
      </c>
      <c r="E3998" t="s">
        <v>3312</v>
      </c>
      <c r="F3998" s="853" t="s">
        <v>526</v>
      </c>
      <c r="G3998" s="913">
        <v>3</v>
      </c>
      <c r="H3998" t="s">
        <v>7264</v>
      </c>
    </row>
    <row r="3999" spans="2:8">
      <c r="B3999" s="871">
        <v>46284</v>
      </c>
      <c r="C3999" t="s">
        <v>2488</v>
      </c>
      <c r="D3999" t="s">
        <v>1375</v>
      </c>
      <c r="E3999" t="s">
        <v>3312</v>
      </c>
      <c r="F3999" s="853" t="s">
        <v>527</v>
      </c>
      <c r="G3999" s="913">
        <v>2</v>
      </c>
      <c r="H3999" t="s">
        <v>7265</v>
      </c>
    </row>
    <row r="4000" spans="2:8">
      <c r="B4000" s="871">
        <v>46284</v>
      </c>
      <c r="C4000" t="s">
        <v>2488</v>
      </c>
      <c r="D4000" t="s">
        <v>1375</v>
      </c>
      <c r="E4000" t="s">
        <v>3312</v>
      </c>
      <c r="F4000" s="853" t="s">
        <v>528</v>
      </c>
      <c r="G4000" s="913">
        <v>4</v>
      </c>
      <c r="H4000" t="s">
        <v>7266</v>
      </c>
    </row>
    <row r="4001" spans="2:8">
      <c r="B4001" s="871">
        <v>46284</v>
      </c>
      <c r="C4001" t="s">
        <v>2488</v>
      </c>
      <c r="D4001" t="s">
        <v>1376</v>
      </c>
      <c r="E4001" t="s">
        <v>1400</v>
      </c>
      <c r="F4001" s="853" t="s">
        <v>526</v>
      </c>
      <c r="G4001" s="913">
        <v>16</v>
      </c>
      <c r="H4001" t="s">
        <v>7267</v>
      </c>
    </row>
    <row r="4002" spans="2:8">
      <c r="B4002" s="871">
        <v>46284</v>
      </c>
      <c r="C4002" t="s">
        <v>2488</v>
      </c>
      <c r="D4002" t="s">
        <v>1376</v>
      </c>
      <c r="E4002" t="s">
        <v>1400</v>
      </c>
      <c r="F4002" s="853" t="s">
        <v>527</v>
      </c>
      <c r="G4002" s="913">
        <v>17</v>
      </c>
      <c r="H4002" t="s">
        <v>7268</v>
      </c>
    </row>
    <row r="4003" spans="2:8">
      <c r="B4003" s="871">
        <v>46284</v>
      </c>
      <c r="C4003" t="s">
        <v>2488</v>
      </c>
      <c r="D4003" t="s">
        <v>1376</v>
      </c>
      <c r="E4003" t="s">
        <v>1400</v>
      </c>
      <c r="F4003" s="853" t="s">
        <v>528</v>
      </c>
      <c r="G4003" s="913">
        <v>16</v>
      </c>
      <c r="H4003" t="s">
        <v>7269</v>
      </c>
    </row>
    <row r="4004" spans="2:8">
      <c r="B4004" s="871">
        <v>46284</v>
      </c>
      <c r="C4004" t="s">
        <v>2488</v>
      </c>
      <c r="D4004" t="s">
        <v>1375</v>
      </c>
      <c r="E4004" t="s">
        <v>3319</v>
      </c>
      <c r="F4004" s="853" t="s">
        <v>526</v>
      </c>
      <c r="G4004" s="913">
        <v>2</v>
      </c>
      <c r="H4004" t="s">
        <v>7270</v>
      </c>
    </row>
    <row r="4005" spans="2:8">
      <c r="B4005" s="871">
        <v>46284</v>
      </c>
      <c r="C4005" t="s">
        <v>2488</v>
      </c>
      <c r="D4005" t="s">
        <v>1375</v>
      </c>
      <c r="E4005" t="s">
        <v>3319</v>
      </c>
      <c r="F4005" s="853" t="s">
        <v>527</v>
      </c>
      <c r="G4005" s="913">
        <v>2</v>
      </c>
      <c r="H4005" t="s">
        <v>7271</v>
      </c>
    </row>
    <row r="4006" spans="2:8">
      <c r="B4006" s="871">
        <v>46284</v>
      </c>
      <c r="C4006" t="s">
        <v>2488</v>
      </c>
      <c r="D4006" t="s">
        <v>1375</v>
      </c>
      <c r="E4006" t="s">
        <v>3319</v>
      </c>
      <c r="F4006" s="853" t="s">
        <v>528</v>
      </c>
      <c r="G4006" s="913">
        <v>4</v>
      </c>
      <c r="H4006" t="s">
        <v>7272</v>
      </c>
    </row>
    <row r="4007" spans="2:8">
      <c r="B4007" s="871">
        <v>46284</v>
      </c>
      <c r="C4007" t="s">
        <v>2488</v>
      </c>
      <c r="D4007" t="s">
        <v>1376</v>
      </c>
      <c r="E4007" t="s">
        <v>1401</v>
      </c>
      <c r="F4007" s="853" t="s">
        <v>526</v>
      </c>
      <c r="G4007" s="913">
        <v>7.82</v>
      </c>
      <c r="H4007" t="s">
        <v>7273</v>
      </c>
    </row>
    <row r="4008" spans="2:8">
      <c r="B4008" s="871">
        <v>46284</v>
      </c>
      <c r="C4008" t="s">
        <v>2488</v>
      </c>
      <c r="D4008" t="s">
        <v>1376</v>
      </c>
      <c r="E4008" t="s">
        <v>1401</v>
      </c>
      <c r="F4008" s="853" t="s">
        <v>527</v>
      </c>
      <c r="G4008" s="913">
        <v>6.5</v>
      </c>
      <c r="H4008" t="s">
        <v>7274</v>
      </c>
    </row>
    <row r="4009" spans="2:8">
      <c r="B4009" s="871">
        <v>46284</v>
      </c>
      <c r="C4009" t="s">
        <v>2488</v>
      </c>
      <c r="D4009" t="s">
        <v>1376</v>
      </c>
      <c r="E4009" t="s">
        <v>1401</v>
      </c>
      <c r="F4009" s="853" t="s">
        <v>528</v>
      </c>
      <c r="G4009" s="913">
        <v>6.81</v>
      </c>
      <c r="H4009" t="s">
        <v>7275</v>
      </c>
    </row>
    <row r="4010" spans="2:8">
      <c r="B4010" s="871">
        <v>46284</v>
      </c>
      <c r="C4010" t="s">
        <v>2488</v>
      </c>
      <c r="D4010" t="s">
        <v>1375</v>
      </c>
      <c r="E4010" t="s">
        <v>3326</v>
      </c>
      <c r="F4010" s="853" t="s">
        <v>526</v>
      </c>
      <c r="G4010" s="913" t="s">
        <v>1583</v>
      </c>
      <c r="H4010" t="s">
        <v>7276</v>
      </c>
    </row>
    <row r="4011" spans="2:8">
      <c r="B4011" s="871">
        <v>46284</v>
      </c>
      <c r="C4011" t="s">
        <v>2488</v>
      </c>
      <c r="D4011" t="s">
        <v>1375</v>
      </c>
      <c r="E4011" t="s">
        <v>3326</v>
      </c>
      <c r="F4011" s="853" t="s">
        <v>527</v>
      </c>
      <c r="G4011" s="913" t="s">
        <v>1583</v>
      </c>
      <c r="H4011" t="s">
        <v>7277</v>
      </c>
    </row>
    <row r="4012" spans="2:8">
      <c r="B4012" s="871">
        <v>46284</v>
      </c>
      <c r="C4012" t="s">
        <v>2488</v>
      </c>
      <c r="D4012" t="s">
        <v>1375</v>
      </c>
      <c r="E4012" t="s">
        <v>3326</v>
      </c>
      <c r="F4012" s="853" t="s">
        <v>528</v>
      </c>
      <c r="G4012" s="913" t="s">
        <v>1583</v>
      </c>
      <c r="H4012" t="s">
        <v>7278</v>
      </c>
    </row>
    <row r="4013" spans="2:8">
      <c r="B4013" s="871">
        <v>46284</v>
      </c>
      <c r="C4013" t="s">
        <v>2488</v>
      </c>
      <c r="D4013" t="s">
        <v>1376</v>
      </c>
      <c r="E4013" t="s">
        <v>1403</v>
      </c>
      <c r="F4013" s="853" t="s">
        <v>526</v>
      </c>
      <c r="G4013" s="913">
        <v>672</v>
      </c>
      <c r="H4013" t="s">
        <v>7279</v>
      </c>
    </row>
    <row r="4014" spans="2:8">
      <c r="B4014" s="871">
        <v>46284</v>
      </c>
      <c r="C4014" t="s">
        <v>2488</v>
      </c>
      <c r="D4014" t="s">
        <v>1376</v>
      </c>
      <c r="E4014" t="s">
        <v>1403</v>
      </c>
      <c r="F4014" s="853" t="s">
        <v>527</v>
      </c>
      <c r="G4014" s="913">
        <v>680</v>
      </c>
      <c r="H4014" t="s">
        <v>7280</v>
      </c>
    </row>
    <row r="4015" spans="2:8">
      <c r="B4015" s="871">
        <v>46284</v>
      </c>
      <c r="C4015" t="s">
        <v>2488</v>
      </c>
      <c r="D4015" t="s">
        <v>1376</v>
      </c>
      <c r="E4015" t="s">
        <v>1403</v>
      </c>
      <c r="F4015" s="853" t="s">
        <v>528</v>
      </c>
      <c r="G4015" s="913">
        <v>660</v>
      </c>
      <c r="H4015" t="s">
        <v>7281</v>
      </c>
    </row>
    <row r="4016" spans="2:8">
      <c r="B4016" s="871">
        <v>46284</v>
      </c>
      <c r="C4016" t="s">
        <v>2488</v>
      </c>
      <c r="D4016" t="s">
        <v>1376</v>
      </c>
      <c r="E4016" t="s">
        <v>1404</v>
      </c>
      <c r="F4016" s="853" t="s">
        <v>526</v>
      </c>
      <c r="G4016" s="913">
        <v>4.9000000000000004</v>
      </c>
      <c r="H4016" t="s">
        <v>7282</v>
      </c>
    </row>
    <row r="4017" spans="2:8">
      <c r="B4017" s="871">
        <v>46284</v>
      </c>
      <c r="C4017" t="s">
        <v>2488</v>
      </c>
      <c r="D4017" t="s">
        <v>1376</v>
      </c>
      <c r="E4017" t="s">
        <v>1404</v>
      </c>
      <c r="F4017" s="853" t="s">
        <v>527</v>
      </c>
      <c r="G4017" s="913">
        <v>5.42</v>
      </c>
      <c r="H4017" t="s">
        <v>7283</v>
      </c>
    </row>
    <row r="4018" spans="2:8">
      <c r="B4018" s="871">
        <v>46284</v>
      </c>
      <c r="C4018" t="s">
        <v>2488</v>
      </c>
      <c r="D4018" t="s">
        <v>1376</v>
      </c>
      <c r="E4018" t="s">
        <v>1404</v>
      </c>
      <c r="F4018" s="853" t="s">
        <v>528</v>
      </c>
      <c r="G4018" s="913">
        <v>3.39</v>
      </c>
      <c r="H4018" t="s">
        <v>7284</v>
      </c>
    </row>
    <row r="4019" spans="2:8">
      <c r="B4019" s="871">
        <v>46284</v>
      </c>
      <c r="C4019" t="s">
        <v>2488</v>
      </c>
      <c r="D4019" t="s">
        <v>1375</v>
      </c>
      <c r="E4019" t="s">
        <v>3336</v>
      </c>
      <c r="F4019" s="853" t="s">
        <v>526</v>
      </c>
      <c r="G4019" s="913" t="s">
        <v>1406</v>
      </c>
      <c r="H4019" t="s">
        <v>7285</v>
      </c>
    </row>
    <row r="4020" spans="2:8">
      <c r="B4020" s="871">
        <v>46284</v>
      </c>
      <c r="C4020" t="s">
        <v>2488</v>
      </c>
      <c r="D4020" t="s">
        <v>1375</v>
      </c>
      <c r="E4020" t="s">
        <v>3336</v>
      </c>
      <c r="F4020" s="853" t="s">
        <v>527</v>
      </c>
      <c r="G4020" s="913" t="s">
        <v>1406</v>
      </c>
      <c r="H4020" t="s">
        <v>7286</v>
      </c>
    </row>
    <row r="4021" spans="2:8">
      <c r="B4021" s="871">
        <v>46284</v>
      </c>
      <c r="C4021" t="s">
        <v>2488</v>
      </c>
      <c r="D4021" t="s">
        <v>1375</v>
      </c>
      <c r="E4021" t="s">
        <v>3336</v>
      </c>
      <c r="F4021" s="853" t="s">
        <v>528</v>
      </c>
      <c r="G4021" s="913" t="s">
        <v>1406</v>
      </c>
      <c r="H4021" t="s">
        <v>7287</v>
      </c>
    </row>
    <row r="4022" spans="2:8">
      <c r="B4022" s="871">
        <v>46284</v>
      </c>
      <c r="C4022" t="s">
        <v>2488</v>
      </c>
      <c r="D4022" t="s">
        <v>1376</v>
      </c>
      <c r="E4022" t="s">
        <v>1407</v>
      </c>
      <c r="F4022" s="853" t="s">
        <v>526</v>
      </c>
      <c r="G4022" s="913">
        <v>360</v>
      </c>
      <c r="H4022" t="s">
        <v>7288</v>
      </c>
    </row>
    <row r="4023" spans="2:8">
      <c r="B4023" s="871">
        <v>46284</v>
      </c>
      <c r="C4023" t="s">
        <v>2488</v>
      </c>
      <c r="D4023" t="s">
        <v>1376</v>
      </c>
      <c r="E4023" t="s">
        <v>1407</v>
      </c>
      <c r="F4023" s="853" t="s">
        <v>527</v>
      </c>
      <c r="G4023" s="913">
        <v>360</v>
      </c>
      <c r="H4023" t="s">
        <v>7289</v>
      </c>
    </row>
    <row r="4024" spans="2:8">
      <c r="B4024" s="871">
        <v>46284</v>
      </c>
      <c r="C4024" t="s">
        <v>2488</v>
      </c>
      <c r="D4024" t="s">
        <v>1376</v>
      </c>
      <c r="E4024" t="s">
        <v>1407</v>
      </c>
      <c r="F4024" s="853" t="s">
        <v>528</v>
      </c>
      <c r="G4024" s="913">
        <v>413</v>
      </c>
      <c r="H4024" t="s">
        <v>7290</v>
      </c>
    </row>
    <row r="4025" spans="2:8">
      <c r="B4025" s="871">
        <v>46284</v>
      </c>
      <c r="C4025" t="s">
        <v>2488</v>
      </c>
      <c r="D4025" t="s">
        <v>1376</v>
      </c>
      <c r="E4025" t="s">
        <v>1408</v>
      </c>
      <c r="F4025" s="853" t="s">
        <v>526</v>
      </c>
      <c r="G4025" s="913">
        <v>980</v>
      </c>
      <c r="H4025" t="s">
        <v>7291</v>
      </c>
    </row>
    <row r="4026" spans="2:8">
      <c r="B4026" s="871">
        <v>46284</v>
      </c>
      <c r="C4026" t="s">
        <v>2488</v>
      </c>
      <c r="D4026" t="s">
        <v>1376</v>
      </c>
      <c r="E4026" t="s">
        <v>1408</v>
      </c>
      <c r="F4026" s="853" t="s">
        <v>527</v>
      </c>
      <c r="G4026" s="913">
        <v>939</v>
      </c>
      <c r="H4026" t="s">
        <v>7292</v>
      </c>
    </row>
    <row r="4027" spans="2:8">
      <c r="B4027" s="871">
        <v>46284</v>
      </c>
      <c r="C4027" t="s">
        <v>2488</v>
      </c>
      <c r="D4027" t="s">
        <v>1376</v>
      </c>
      <c r="E4027" t="s">
        <v>1408</v>
      </c>
      <c r="F4027" s="853" t="s">
        <v>528</v>
      </c>
      <c r="G4027" s="913">
        <v>927</v>
      </c>
      <c r="H4027" t="s">
        <v>7293</v>
      </c>
    </row>
    <row r="4028" spans="2:8">
      <c r="B4028" s="871">
        <v>46284</v>
      </c>
      <c r="C4028" t="s">
        <v>2488</v>
      </c>
      <c r="D4028" t="s">
        <v>1409</v>
      </c>
      <c r="E4028" t="s">
        <v>1411</v>
      </c>
      <c r="F4028" s="853" t="s">
        <v>526</v>
      </c>
      <c r="H4028" t="s">
        <v>7294</v>
      </c>
    </row>
    <row r="4029" spans="2:8">
      <c r="B4029" s="871">
        <v>46284</v>
      </c>
      <c r="C4029" t="s">
        <v>2488</v>
      </c>
      <c r="D4029" t="s">
        <v>1409</v>
      </c>
      <c r="E4029" t="s">
        <v>1411</v>
      </c>
      <c r="F4029" s="853" t="s">
        <v>527</v>
      </c>
      <c r="H4029" t="s">
        <v>7295</v>
      </c>
    </row>
    <row r="4030" spans="2:8">
      <c r="B4030" s="871">
        <v>46284</v>
      </c>
      <c r="C4030" t="s">
        <v>2488</v>
      </c>
      <c r="D4030" t="s">
        <v>1409</v>
      </c>
      <c r="E4030" t="s">
        <v>1411</v>
      </c>
      <c r="F4030" s="853" t="s">
        <v>528</v>
      </c>
      <c r="H4030" t="s">
        <v>7296</v>
      </c>
    </row>
    <row r="4031" spans="2:8">
      <c r="B4031" s="871">
        <v>46284</v>
      </c>
      <c r="C4031" t="s">
        <v>2488</v>
      </c>
      <c r="D4031" t="s">
        <v>1409</v>
      </c>
      <c r="E4031" t="s">
        <v>1413</v>
      </c>
      <c r="F4031" s="853" t="s">
        <v>526</v>
      </c>
      <c r="G4031" s="913" t="s">
        <v>1743</v>
      </c>
      <c r="H4031" t="s">
        <v>7297</v>
      </c>
    </row>
    <row r="4032" spans="2:8">
      <c r="B4032" s="871">
        <v>46284</v>
      </c>
      <c r="C4032" t="s">
        <v>2488</v>
      </c>
      <c r="D4032" t="s">
        <v>1409</v>
      </c>
      <c r="E4032" t="s">
        <v>1413</v>
      </c>
      <c r="F4032" s="853" t="s">
        <v>527</v>
      </c>
      <c r="G4032" s="913" t="s">
        <v>2035</v>
      </c>
      <c r="H4032" t="s">
        <v>7298</v>
      </c>
    </row>
    <row r="4033" spans="2:8">
      <c r="B4033" s="871">
        <v>46284</v>
      </c>
      <c r="C4033" t="s">
        <v>2488</v>
      </c>
      <c r="D4033" t="s">
        <v>1409</v>
      </c>
      <c r="E4033" t="s">
        <v>1413</v>
      </c>
      <c r="F4033" s="853" t="s">
        <v>528</v>
      </c>
      <c r="G4033" s="913" t="s">
        <v>2035</v>
      </c>
      <c r="H4033" t="s">
        <v>7299</v>
      </c>
    </row>
    <row r="4034" spans="2:8">
      <c r="B4034" s="871">
        <v>46284</v>
      </c>
      <c r="C4034" t="s">
        <v>2488</v>
      </c>
      <c r="D4034" t="s">
        <v>1410</v>
      </c>
      <c r="E4034" t="s">
        <v>3352</v>
      </c>
      <c r="F4034" s="853" t="s">
        <v>526</v>
      </c>
      <c r="G4034" s="913" t="s">
        <v>1418</v>
      </c>
      <c r="H4034" t="s">
        <v>7300</v>
      </c>
    </row>
    <row r="4035" spans="2:8">
      <c r="B4035" s="871">
        <v>46284</v>
      </c>
      <c r="C4035" t="s">
        <v>2488</v>
      </c>
      <c r="D4035" t="s">
        <v>1410</v>
      </c>
      <c r="E4035" t="s">
        <v>3352</v>
      </c>
      <c r="F4035" s="853" t="s">
        <v>527</v>
      </c>
      <c r="G4035" s="913" t="s">
        <v>1418</v>
      </c>
      <c r="H4035" t="s">
        <v>7301</v>
      </c>
    </row>
    <row r="4036" spans="2:8">
      <c r="B4036" s="871">
        <v>46284</v>
      </c>
      <c r="C4036" t="s">
        <v>2488</v>
      </c>
      <c r="D4036" t="s">
        <v>1410</v>
      </c>
      <c r="E4036" t="s">
        <v>3352</v>
      </c>
      <c r="F4036" s="853" t="s">
        <v>528</v>
      </c>
      <c r="G4036" s="913" t="s">
        <v>1418</v>
      </c>
      <c r="H4036" t="s">
        <v>7302</v>
      </c>
    </row>
    <row r="4037" spans="2:8">
      <c r="B4037" s="871">
        <v>46284</v>
      </c>
      <c r="C4037" t="s">
        <v>2488</v>
      </c>
      <c r="D4037" t="s">
        <v>1409</v>
      </c>
      <c r="E4037" t="s">
        <v>1420</v>
      </c>
      <c r="F4037" s="853" t="s">
        <v>526</v>
      </c>
      <c r="G4037" s="913" t="s">
        <v>1876</v>
      </c>
      <c r="H4037" t="s">
        <v>7303</v>
      </c>
    </row>
    <row r="4038" spans="2:8">
      <c r="B4038" s="871">
        <v>46284</v>
      </c>
      <c r="C4038" t="s">
        <v>2488</v>
      </c>
      <c r="D4038" t="s">
        <v>1409</v>
      </c>
      <c r="E4038" t="s">
        <v>1420</v>
      </c>
      <c r="F4038" s="853" t="s">
        <v>527</v>
      </c>
      <c r="G4038" s="913" t="s">
        <v>2036</v>
      </c>
      <c r="H4038" t="s">
        <v>7304</v>
      </c>
    </row>
    <row r="4039" spans="2:8">
      <c r="B4039" s="871">
        <v>46284</v>
      </c>
      <c r="C4039" t="s">
        <v>2488</v>
      </c>
      <c r="D4039" t="s">
        <v>1409</v>
      </c>
      <c r="E4039" t="s">
        <v>1420</v>
      </c>
      <c r="F4039" s="853" t="s">
        <v>528</v>
      </c>
      <c r="G4039" s="913" t="s">
        <v>2036</v>
      </c>
      <c r="H4039" t="s">
        <v>7305</v>
      </c>
    </row>
    <row r="4040" spans="2:8">
      <c r="B4040" s="871">
        <v>46284</v>
      </c>
      <c r="C4040" t="s">
        <v>2488</v>
      </c>
      <c r="D4040" t="s">
        <v>1410</v>
      </c>
      <c r="E4040" t="s">
        <v>3359</v>
      </c>
      <c r="F4040" s="853" t="s">
        <v>526</v>
      </c>
      <c r="G4040" s="913">
        <v>105</v>
      </c>
      <c r="H4040" t="s">
        <v>7306</v>
      </c>
    </row>
    <row r="4041" spans="2:8">
      <c r="B4041" s="871">
        <v>46284</v>
      </c>
      <c r="C4041" t="s">
        <v>2488</v>
      </c>
      <c r="D4041" t="s">
        <v>1410</v>
      </c>
      <c r="E4041" t="s">
        <v>3359</v>
      </c>
      <c r="F4041" s="853" t="s">
        <v>527</v>
      </c>
      <c r="G4041" s="913">
        <v>109</v>
      </c>
      <c r="H4041" t="s">
        <v>7307</v>
      </c>
    </row>
    <row r="4042" spans="2:8">
      <c r="B4042" s="871">
        <v>46284</v>
      </c>
      <c r="C4042" t="s">
        <v>2488</v>
      </c>
      <c r="D4042" t="s">
        <v>1410</v>
      </c>
      <c r="E4042" t="s">
        <v>3359</v>
      </c>
      <c r="F4042" s="853" t="s">
        <v>528</v>
      </c>
      <c r="G4042" s="913">
        <v>107</v>
      </c>
      <c r="H4042" t="s">
        <v>7308</v>
      </c>
    </row>
    <row r="4043" spans="2:8">
      <c r="B4043" s="871">
        <v>46284</v>
      </c>
      <c r="C4043" t="s">
        <v>2488</v>
      </c>
      <c r="D4043" t="s">
        <v>1409</v>
      </c>
      <c r="E4043" t="s">
        <v>1424</v>
      </c>
      <c r="F4043" s="853" t="s">
        <v>526</v>
      </c>
      <c r="H4043" t="s">
        <v>7309</v>
      </c>
    </row>
    <row r="4044" spans="2:8">
      <c r="B4044" s="871">
        <v>46284</v>
      </c>
      <c r="C4044" t="s">
        <v>2488</v>
      </c>
      <c r="D4044" t="s">
        <v>1409</v>
      </c>
      <c r="E4044" t="s">
        <v>1424</v>
      </c>
      <c r="F4044" s="853" t="s">
        <v>527</v>
      </c>
      <c r="H4044" t="s">
        <v>7310</v>
      </c>
    </row>
    <row r="4045" spans="2:8">
      <c r="B4045" s="871">
        <v>46284</v>
      </c>
      <c r="C4045" t="s">
        <v>2488</v>
      </c>
      <c r="D4045" t="s">
        <v>1409</v>
      </c>
      <c r="E4045" t="s">
        <v>1424</v>
      </c>
      <c r="F4045" s="853" t="s">
        <v>528</v>
      </c>
      <c r="H4045" t="s">
        <v>7311</v>
      </c>
    </row>
    <row r="4046" spans="2:8">
      <c r="B4046" s="871">
        <v>46284</v>
      </c>
      <c r="C4046" t="s">
        <v>2488</v>
      </c>
      <c r="D4046" t="s">
        <v>1410</v>
      </c>
      <c r="E4046" t="s">
        <v>3366</v>
      </c>
      <c r="F4046" s="853" t="s">
        <v>526</v>
      </c>
      <c r="G4046" s="913">
        <v>2855</v>
      </c>
      <c r="H4046" t="s">
        <v>7312</v>
      </c>
    </row>
    <row r="4047" spans="2:8">
      <c r="B4047" s="871">
        <v>46284</v>
      </c>
      <c r="C4047" t="s">
        <v>2488</v>
      </c>
      <c r="D4047" t="s">
        <v>1410</v>
      </c>
      <c r="E4047" t="s">
        <v>3366</v>
      </c>
      <c r="F4047" s="853" t="s">
        <v>527</v>
      </c>
      <c r="G4047" s="913">
        <v>2800</v>
      </c>
      <c r="H4047" t="s">
        <v>7313</v>
      </c>
    </row>
    <row r="4048" spans="2:8">
      <c r="B4048" s="871">
        <v>46284</v>
      </c>
      <c r="C4048" t="s">
        <v>2488</v>
      </c>
      <c r="D4048" t="s">
        <v>1410</v>
      </c>
      <c r="E4048" t="s">
        <v>3366</v>
      </c>
      <c r="F4048" s="853" t="s">
        <v>528</v>
      </c>
      <c r="G4048" s="913">
        <v>2786</v>
      </c>
      <c r="H4048" t="s">
        <v>7314</v>
      </c>
    </row>
    <row r="4049" spans="2:8">
      <c r="B4049" s="871">
        <v>46284</v>
      </c>
      <c r="C4049" t="s">
        <v>2488</v>
      </c>
      <c r="D4049" t="s">
        <v>1410</v>
      </c>
      <c r="E4049" t="s">
        <v>3370</v>
      </c>
      <c r="F4049" s="853" t="s">
        <v>526</v>
      </c>
      <c r="G4049" s="913" t="s">
        <v>1427</v>
      </c>
      <c r="H4049" t="s">
        <v>7315</v>
      </c>
    </row>
    <row r="4050" spans="2:8">
      <c r="B4050" s="871">
        <v>46284</v>
      </c>
      <c r="C4050" t="s">
        <v>2488</v>
      </c>
      <c r="D4050" t="s">
        <v>1410</v>
      </c>
      <c r="E4050" t="s">
        <v>3370</v>
      </c>
      <c r="F4050" s="853" t="s">
        <v>527</v>
      </c>
      <c r="G4050" s="913" t="s">
        <v>1427</v>
      </c>
      <c r="H4050" t="s">
        <v>7316</v>
      </c>
    </row>
    <row r="4051" spans="2:8">
      <c r="B4051" s="871">
        <v>46284</v>
      </c>
      <c r="C4051" t="s">
        <v>2488</v>
      </c>
      <c r="D4051" t="s">
        <v>1410</v>
      </c>
      <c r="E4051" t="s">
        <v>3370</v>
      </c>
      <c r="F4051" s="853" t="s">
        <v>528</v>
      </c>
      <c r="G4051" s="913" t="s">
        <v>1427</v>
      </c>
      <c r="H4051" t="s">
        <v>7317</v>
      </c>
    </row>
    <row r="4052" spans="2:8">
      <c r="B4052" s="871">
        <v>46284</v>
      </c>
      <c r="C4052" t="s">
        <v>2488</v>
      </c>
      <c r="D4052" t="s">
        <v>1410</v>
      </c>
      <c r="E4052" t="s">
        <v>3374</v>
      </c>
      <c r="F4052" s="853" t="s">
        <v>526</v>
      </c>
      <c r="G4052" s="913">
        <v>3</v>
      </c>
      <c r="H4052" t="s">
        <v>7318</v>
      </c>
    </row>
    <row r="4053" spans="2:8">
      <c r="B4053" s="871">
        <v>46284</v>
      </c>
      <c r="C4053" t="s">
        <v>2488</v>
      </c>
      <c r="D4053" t="s">
        <v>1410</v>
      </c>
      <c r="E4053" t="s">
        <v>3374</v>
      </c>
      <c r="F4053" s="853" t="s">
        <v>527</v>
      </c>
      <c r="G4053" s="913">
        <v>2.2999999999999998</v>
      </c>
      <c r="H4053" t="s">
        <v>7319</v>
      </c>
    </row>
    <row r="4054" spans="2:8">
      <c r="B4054" s="871">
        <v>46284</v>
      </c>
      <c r="C4054" t="s">
        <v>2488</v>
      </c>
      <c r="D4054" t="s">
        <v>1410</v>
      </c>
      <c r="E4054" t="s">
        <v>3374</v>
      </c>
      <c r="F4054" s="853" t="s">
        <v>528</v>
      </c>
      <c r="G4054" s="913">
        <v>3</v>
      </c>
      <c r="H4054" t="s">
        <v>7320</v>
      </c>
    </row>
    <row r="4055" spans="2:8">
      <c r="B4055" s="871">
        <v>46284</v>
      </c>
      <c r="C4055" t="s">
        <v>2488</v>
      </c>
      <c r="D4055" t="s">
        <v>1410</v>
      </c>
      <c r="E4055" t="s">
        <v>3378</v>
      </c>
      <c r="F4055" s="853" t="s">
        <v>526</v>
      </c>
      <c r="G4055" s="913" t="s">
        <v>1430</v>
      </c>
      <c r="H4055" t="s">
        <v>7321</v>
      </c>
    </row>
    <row r="4056" spans="2:8">
      <c r="B4056" s="871">
        <v>46284</v>
      </c>
      <c r="C4056" t="s">
        <v>2488</v>
      </c>
      <c r="D4056" t="s">
        <v>1410</v>
      </c>
      <c r="E4056" t="s">
        <v>3378</v>
      </c>
      <c r="F4056" s="853" t="s">
        <v>527</v>
      </c>
      <c r="G4056" s="913" t="s">
        <v>1430</v>
      </c>
      <c r="H4056" t="s">
        <v>7322</v>
      </c>
    </row>
    <row r="4057" spans="2:8">
      <c r="B4057" s="871">
        <v>46284</v>
      </c>
      <c r="C4057" t="s">
        <v>2488</v>
      </c>
      <c r="D4057" t="s">
        <v>1410</v>
      </c>
      <c r="E4057" t="s">
        <v>3378</v>
      </c>
      <c r="F4057" s="853" t="s">
        <v>528</v>
      </c>
      <c r="G4057" s="913" t="s">
        <v>1430</v>
      </c>
      <c r="H4057" t="s">
        <v>7323</v>
      </c>
    </row>
    <row r="4058" spans="2:8">
      <c r="B4058" s="871">
        <v>46284</v>
      </c>
      <c r="C4058" t="s">
        <v>2488</v>
      </c>
      <c r="D4058" t="s">
        <v>1410</v>
      </c>
      <c r="E4058" t="s">
        <v>3382</v>
      </c>
      <c r="F4058" s="853" t="s">
        <v>526</v>
      </c>
      <c r="G4058" s="913">
        <v>95</v>
      </c>
      <c r="H4058" t="s">
        <v>7324</v>
      </c>
    </row>
    <row r="4059" spans="2:8">
      <c r="B4059" s="871">
        <v>46284</v>
      </c>
      <c r="C4059" t="s">
        <v>2488</v>
      </c>
      <c r="D4059" t="s">
        <v>1410</v>
      </c>
      <c r="E4059" t="s">
        <v>3382</v>
      </c>
      <c r="F4059" s="853" t="s">
        <v>527</v>
      </c>
      <c r="G4059" s="913">
        <v>98</v>
      </c>
      <c r="H4059" t="s">
        <v>7325</v>
      </c>
    </row>
    <row r="4060" spans="2:8">
      <c r="B4060" s="871">
        <v>46284</v>
      </c>
      <c r="C4060" t="s">
        <v>2488</v>
      </c>
      <c r="D4060" t="s">
        <v>1410</v>
      </c>
      <c r="E4060" t="s">
        <v>3382</v>
      </c>
      <c r="F4060" s="853" t="s">
        <v>528</v>
      </c>
      <c r="G4060" s="913">
        <v>99</v>
      </c>
      <c r="H4060" t="s">
        <v>7326</v>
      </c>
    </row>
    <row r="4061" spans="2:8">
      <c r="B4061" s="871">
        <v>46284</v>
      </c>
      <c r="C4061" t="s">
        <v>2488</v>
      </c>
      <c r="D4061" t="s">
        <v>1409</v>
      </c>
      <c r="E4061" t="s">
        <v>1431</v>
      </c>
      <c r="F4061" s="853" t="s">
        <v>526</v>
      </c>
      <c r="H4061" t="s">
        <v>7327</v>
      </c>
    </row>
    <row r="4062" spans="2:8">
      <c r="B4062" s="871">
        <v>46284</v>
      </c>
      <c r="C4062" t="s">
        <v>2488</v>
      </c>
      <c r="D4062" t="s">
        <v>1409</v>
      </c>
      <c r="E4062" t="s">
        <v>1431</v>
      </c>
      <c r="F4062" s="853" t="s">
        <v>527</v>
      </c>
      <c r="H4062" t="s">
        <v>7328</v>
      </c>
    </row>
    <row r="4063" spans="2:8">
      <c r="B4063" s="871">
        <v>46284</v>
      </c>
      <c r="C4063" t="s">
        <v>2488</v>
      </c>
      <c r="D4063" t="s">
        <v>1409</v>
      </c>
      <c r="E4063" t="s">
        <v>1431</v>
      </c>
      <c r="F4063" s="853" t="s">
        <v>528</v>
      </c>
      <c r="H4063" t="s">
        <v>7329</v>
      </c>
    </row>
    <row r="4064" spans="2:8">
      <c r="B4064" s="871">
        <v>46284</v>
      </c>
      <c r="C4064" t="s">
        <v>2488</v>
      </c>
      <c r="D4064" t="s">
        <v>1410</v>
      </c>
      <c r="E4064" t="s">
        <v>3389</v>
      </c>
      <c r="F4064" s="853" t="s">
        <v>526</v>
      </c>
      <c r="G4064" s="913">
        <v>2640</v>
      </c>
      <c r="H4064" t="s">
        <v>7330</v>
      </c>
    </row>
    <row r="4065" spans="2:8">
      <c r="B4065" s="871">
        <v>46284</v>
      </c>
      <c r="C4065" t="s">
        <v>2488</v>
      </c>
      <c r="D4065" t="s">
        <v>1410</v>
      </c>
      <c r="E4065" t="s">
        <v>3389</v>
      </c>
      <c r="F4065" s="853" t="s">
        <v>527</v>
      </c>
      <c r="G4065" s="913">
        <v>2720</v>
      </c>
      <c r="H4065" t="s">
        <v>7331</v>
      </c>
    </row>
    <row r="4066" spans="2:8">
      <c r="B4066" s="871">
        <v>46284</v>
      </c>
      <c r="C4066" t="s">
        <v>2488</v>
      </c>
      <c r="D4066" t="s">
        <v>1410</v>
      </c>
      <c r="E4066" t="s">
        <v>3389</v>
      </c>
      <c r="F4066" s="853" t="s">
        <v>528</v>
      </c>
      <c r="G4066" s="913">
        <v>2685</v>
      </c>
      <c r="H4066" t="s">
        <v>7332</v>
      </c>
    </row>
    <row r="4067" spans="2:8">
      <c r="B4067" s="871">
        <v>46284</v>
      </c>
      <c r="C4067" t="s">
        <v>2488</v>
      </c>
      <c r="D4067" t="s">
        <v>1410</v>
      </c>
      <c r="E4067" t="s">
        <v>3393</v>
      </c>
      <c r="F4067" s="853" t="s">
        <v>526</v>
      </c>
      <c r="G4067" s="913" t="s">
        <v>1663</v>
      </c>
      <c r="H4067" t="s">
        <v>7333</v>
      </c>
    </row>
    <row r="4068" spans="2:8">
      <c r="B4068" s="871">
        <v>46284</v>
      </c>
      <c r="C4068" t="s">
        <v>2488</v>
      </c>
      <c r="D4068" t="s">
        <v>1410</v>
      </c>
      <c r="E4068" t="s">
        <v>3393</v>
      </c>
      <c r="F4068" s="853" t="s">
        <v>527</v>
      </c>
      <c r="G4068" s="913" t="s">
        <v>1663</v>
      </c>
      <c r="H4068" t="s">
        <v>7334</v>
      </c>
    </row>
    <row r="4069" spans="2:8">
      <c r="B4069" s="871">
        <v>46284</v>
      </c>
      <c r="C4069" t="s">
        <v>2488</v>
      </c>
      <c r="D4069" t="s">
        <v>1410</v>
      </c>
      <c r="E4069" t="s">
        <v>3393</v>
      </c>
      <c r="F4069" s="853" t="s">
        <v>528</v>
      </c>
      <c r="G4069" s="913" t="s">
        <v>1820</v>
      </c>
      <c r="H4069" t="s">
        <v>7335</v>
      </c>
    </row>
    <row r="4070" spans="2:8">
      <c r="B4070" s="871">
        <v>46284</v>
      </c>
      <c r="C4070" t="s">
        <v>2488</v>
      </c>
      <c r="D4070" t="s">
        <v>1410</v>
      </c>
      <c r="E4070" t="s">
        <v>3397</v>
      </c>
      <c r="F4070" s="853" t="s">
        <v>526</v>
      </c>
      <c r="G4070" s="913" t="s">
        <v>1435</v>
      </c>
      <c r="H4070" t="s">
        <v>7336</v>
      </c>
    </row>
    <row r="4071" spans="2:8">
      <c r="B4071" s="871">
        <v>46284</v>
      </c>
      <c r="C4071" t="s">
        <v>2488</v>
      </c>
      <c r="D4071" t="s">
        <v>1410</v>
      </c>
      <c r="E4071" t="s">
        <v>3397</v>
      </c>
      <c r="F4071" s="853" t="s">
        <v>527</v>
      </c>
      <c r="G4071" s="913" t="s">
        <v>1435</v>
      </c>
      <c r="H4071" t="s">
        <v>7337</v>
      </c>
    </row>
    <row r="4072" spans="2:8">
      <c r="B4072" s="871">
        <v>46284</v>
      </c>
      <c r="C4072" t="s">
        <v>2488</v>
      </c>
      <c r="D4072" t="s">
        <v>1410</v>
      </c>
      <c r="E4072" t="s">
        <v>3397</v>
      </c>
      <c r="F4072" s="853" t="s">
        <v>528</v>
      </c>
      <c r="G4072" s="913" t="s">
        <v>1435</v>
      </c>
      <c r="H4072" t="s">
        <v>7338</v>
      </c>
    </row>
    <row r="4073" spans="2:8">
      <c r="B4073" s="871">
        <v>46284</v>
      </c>
      <c r="C4073" t="s">
        <v>2488</v>
      </c>
      <c r="D4073" t="s">
        <v>1434</v>
      </c>
      <c r="E4073" t="s">
        <v>42</v>
      </c>
      <c r="F4073" s="853" t="s">
        <v>526</v>
      </c>
      <c r="G4073" s="913" t="s">
        <v>1862</v>
      </c>
      <c r="H4073" t="s">
        <v>7339</v>
      </c>
    </row>
    <row r="4074" spans="2:8">
      <c r="B4074" s="871">
        <v>46284</v>
      </c>
      <c r="C4074" t="s">
        <v>2488</v>
      </c>
      <c r="D4074" t="s">
        <v>1434</v>
      </c>
      <c r="E4074" t="s">
        <v>42</v>
      </c>
      <c r="F4074" s="853" t="s">
        <v>527</v>
      </c>
      <c r="G4074" s="913" t="s">
        <v>2037</v>
      </c>
      <c r="H4074" t="s">
        <v>7340</v>
      </c>
    </row>
    <row r="4075" spans="2:8">
      <c r="B4075" s="871">
        <v>46284</v>
      </c>
      <c r="C4075" t="s">
        <v>2488</v>
      </c>
      <c r="D4075" t="s">
        <v>1434</v>
      </c>
      <c r="E4075" t="s">
        <v>42</v>
      </c>
      <c r="F4075" s="853" t="s">
        <v>528</v>
      </c>
      <c r="G4075" s="913" t="s">
        <v>2037</v>
      </c>
      <c r="H4075" t="s">
        <v>7341</v>
      </c>
    </row>
    <row r="4076" spans="2:8">
      <c r="B4076" s="871">
        <v>46284</v>
      </c>
      <c r="C4076" t="s">
        <v>2488</v>
      </c>
      <c r="D4076" t="s">
        <v>1410</v>
      </c>
      <c r="E4076" t="s">
        <v>3404</v>
      </c>
      <c r="F4076" s="853" t="s">
        <v>526</v>
      </c>
      <c r="G4076" s="913" t="s">
        <v>1419</v>
      </c>
      <c r="H4076" t="s">
        <v>7342</v>
      </c>
    </row>
    <row r="4077" spans="2:8">
      <c r="B4077" s="871">
        <v>46284</v>
      </c>
      <c r="C4077" t="s">
        <v>2488</v>
      </c>
      <c r="D4077" t="s">
        <v>1410</v>
      </c>
      <c r="E4077" t="s">
        <v>3404</v>
      </c>
      <c r="F4077" s="853" t="s">
        <v>527</v>
      </c>
      <c r="G4077" s="913" t="s">
        <v>1419</v>
      </c>
      <c r="H4077" t="s">
        <v>7343</v>
      </c>
    </row>
    <row r="4078" spans="2:8">
      <c r="B4078" s="871">
        <v>46284</v>
      </c>
      <c r="C4078" t="s">
        <v>2488</v>
      </c>
      <c r="D4078" t="s">
        <v>1410</v>
      </c>
      <c r="E4078" t="s">
        <v>3404</v>
      </c>
      <c r="F4078" s="853" t="s">
        <v>528</v>
      </c>
      <c r="G4078" s="913" t="s">
        <v>1419</v>
      </c>
      <c r="H4078" t="s">
        <v>7344</v>
      </c>
    </row>
    <row r="4079" spans="2:8">
      <c r="B4079" s="871">
        <v>46284</v>
      </c>
      <c r="C4079" t="s">
        <v>2488</v>
      </c>
      <c r="D4079" t="s">
        <v>1434</v>
      </c>
      <c r="E4079" t="s">
        <v>1439</v>
      </c>
      <c r="F4079" s="853" t="s">
        <v>526</v>
      </c>
      <c r="G4079" s="913" t="s">
        <v>1440</v>
      </c>
      <c r="H4079" t="s">
        <v>7345</v>
      </c>
    </row>
    <row r="4080" spans="2:8">
      <c r="B4080" s="871">
        <v>46284</v>
      </c>
      <c r="C4080" t="s">
        <v>2488</v>
      </c>
      <c r="D4080" t="s">
        <v>1434</v>
      </c>
      <c r="E4080" t="s">
        <v>1439</v>
      </c>
      <c r="F4080" s="853" t="s">
        <v>527</v>
      </c>
      <c r="G4080" s="913" t="s">
        <v>9412</v>
      </c>
      <c r="H4080" t="s">
        <v>7346</v>
      </c>
    </row>
    <row r="4081" spans="2:8">
      <c r="B4081" s="871">
        <v>46284</v>
      </c>
      <c r="C4081" t="s">
        <v>2488</v>
      </c>
      <c r="D4081" t="s">
        <v>1434</v>
      </c>
      <c r="E4081" t="s">
        <v>1439</v>
      </c>
      <c r="F4081" s="853" t="s">
        <v>528</v>
      </c>
      <c r="G4081" s="913" t="s">
        <v>9412</v>
      </c>
      <c r="H4081" t="s">
        <v>7347</v>
      </c>
    </row>
    <row r="4082" spans="2:8">
      <c r="B4082" s="871">
        <v>46284</v>
      </c>
      <c r="C4082" t="s">
        <v>2488</v>
      </c>
      <c r="D4082" t="s">
        <v>1410</v>
      </c>
      <c r="E4082" t="s">
        <v>3411</v>
      </c>
      <c r="F4082" s="853" t="s">
        <v>526</v>
      </c>
      <c r="G4082" s="913">
        <v>36</v>
      </c>
      <c r="H4082" t="s">
        <v>7348</v>
      </c>
    </row>
    <row r="4083" spans="2:8">
      <c r="B4083" s="871">
        <v>46284</v>
      </c>
      <c r="C4083" t="s">
        <v>2488</v>
      </c>
      <c r="D4083" t="s">
        <v>1410</v>
      </c>
      <c r="E4083" t="s">
        <v>3411</v>
      </c>
      <c r="F4083" s="853" t="s">
        <v>527</v>
      </c>
      <c r="G4083" s="913">
        <v>35</v>
      </c>
      <c r="H4083" t="s">
        <v>7349</v>
      </c>
    </row>
    <row r="4084" spans="2:8">
      <c r="B4084" s="871">
        <v>46284</v>
      </c>
      <c r="C4084" t="s">
        <v>2488</v>
      </c>
      <c r="D4084" t="s">
        <v>1410</v>
      </c>
      <c r="E4084" t="s">
        <v>3411</v>
      </c>
      <c r="F4084" s="853" t="s">
        <v>528</v>
      </c>
      <c r="G4084" s="913">
        <v>35</v>
      </c>
      <c r="H4084" t="s">
        <v>7350</v>
      </c>
    </row>
    <row r="4085" spans="2:8">
      <c r="B4085" s="871">
        <v>46284</v>
      </c>
      <c r="C4085" t="s">
        <v>2488</v>
      </c>
      <c r="D4085" t="s">
        <v>1434</v>
      </c>
      <c r="E4085" t="s">
        <v>43</v>
      </c>
      <c r="F4085" s="853" t="s">
        <v>526</v>
      </c>
      <c r="G4085" s="913" t="s">
        <v>1863</v>
      </c>
      <c r="H4085" t="s">
        <v>7351</v>
      </c>
    </row>
    <row r="4086" spans="2:8">
      <c r="B4086" s="871">
        <v>46284</v>
      </c>
      <c r="C4086" t="s">
        <v>2488</v>
      </c>
      <c r="D4086" t="s">
        <v>1434</v>
      </c>
      <c r="E4086" t="s">
        <v>43</v>
      </c>
      <c r="F4086" s="853" t="s">
        <v>527</v>
      </c>
      <c r="G4086" s="913" t="s">
        <v>2038</v>
      </c>
      <c r="H4086" t="s">
        <v>7352</v>
      </c>
    </row>
    <row r="4087" spans="2:8">
      <c r="B4087" s="871">
        <v>46284</v>
      </c>
      <c r="C4087" t="s">
        <v>2488</v>
      </c>
      <c r="D4087" t="s">
        <v>1434</v>
      </c>
      <c r="E4087" t="s">
        <v>43</v>
      </c>
      <c r="F4087" s="853" t="s">
        <v>528</v>
      </c>
      <c r="G4087" s="913" t="s">
        <v>2038</v>
      </c>
      <c r="H4087" t="s">
        <v>7353</v>
      </c>
    </row>
    <row r="4088" spans="2:8">
      <c r="B4088" s="871">
        <v>46284</v>
      </c>
      <c r="C4088" t="s">
        <v>2488</v>
      </c>
      <c r="D4088" t="s">
        <v>1410</v>
      </c>
      <c r="E4088" t="s">
        <v>3418</v>
      </c>
      <c r="F4088" s="853" t="s">
        <v>526</v>
      </c>
      <c r="G4088" s="913">
        <v>104</v>
      </c>
      <c r="H4088" t="s">
        <v>7354</v>
      </c>
    </row>
    <row r="4089" spans="2:8">
      <c r="B4089" s="871">
        <v>46284</v>
      </c>
      <c r="C4089" t="s">
        <v>2488</v>
      </c>
      <c r="D4089" t="s">
        <v>1410</v>
      </c>
      <c r="E4089" t="s">
        <v>3418</v>
      </c>
      <c r="F4089" s="853" t="s">
        <v>527</v>
      </c>
      <c r="G4089" s="913">
        <v>106</v>
      </c>
      <c r="H4089" t="s">
        <v>7355</v>
      </c>
    </row>
    <row r="4090" spans="2:8">
      <c r="B4090" s="871">
        <v>46284</v>
      </c>
      <c r="C4090" t="s">
        <v>2488</v>
      </c>
      <c r="D4090" t="s">
        <v>1410</v>
      </c>
      <c r="E4090" t="s">
        <v>3418</v>
      </c>
      <c r="F4090" s="853" t="s">
        <v>528</v>
      </c>
      <c r="G4090" s="913">
        <v>107</v>
      </c>
      <c r="H4090" t="s">
        <v>7356</v>
      </c>
    </row>
    <row r="4091" spans="2:8">
      <c r="B4091" s="871">
        <v>46284</v>
      </c>
      <c r="C4091" t="s">
        <v>2488</v>
      </c>
      <c r="D4091" t="s">
        <v>1434</v>
      </c>
      <c r="E4091" t="s">
        <v>1441</v>
      </c>
      <c r="F4091" s="853" t="s">
        <v>526</v>
      </c>
      <c r="H4091" t="s">
        <v>7357</v>
      </c>
    </row>
    <row r="4092" spans="2:8">
      <c r="B4092" s="871">
        <v>46284</v>
      </c>
      <c r="C4092" t="s">
        <v>2488</v>
      </c>
      <c r="D4092" t="s">
        <v>1434</v>
      </c>
      <c r="E4092" t="s">
        <v>1441</v>
      </c>
      <c r="F4092" s="853" t="s">
        <v>527</v>
      </c>
      <c r="H4092" t="s">
        <v>7358</v>
      </c>
    </row>
    <row r="4093" spans="2:8">
      <c r="B4093" s="871">
        <v>46284</v>
      </c>
      <c r="C4093" t="s">
        <v>2488</v>
      </c>
      <c r="D4093" t="s">
        <v>1434</v>
      </c>
      <c r="E4093" t="s">
        <v>1441</v>
      </c>
      <c r="F4093" s="853" t="s">
        <v>528</v>
      </c>
      <c r="H4093" t="s">
        <v>7359</v>
      </c>
    </row>
    <row r="4094" spans="2:8">
      <c r="B4094" s="871">
        <v>46284</v>
      </c>
      <c r="C4094" t="s">
        <v>2488</v>
      </c>
      <c r="D4094" t="s">
        <v>1410</v>
      </c>
      <c r="E4094" t="s">
        <v>3425</v>
      </c>
      <c r="F4094" s="853" t="s">
        <v>526</v>
      </c>
      <c r="G4094" s="913" t="s">
        <v>1443</v>
      </c>
      <c r="H4094" t="s">
        <v>7360</v>
      </c>
    </row>
    <row r="4095" spans="2:8">
      <c r="B4095" s="871">
        <v>46284</v>
      </c>
      <c r="C4095" t="s">
        <v>2488</v>
      </c>
      <c r="D4095" t="s">
        <v>1410</v>
      </c>
      <c r="E4095" t="s">
        <v>3425</v>
      </c>
      <c r="F4095" s="853" t="s">
        <v>527</v>
      </c>
      <c r="G4095" s="913" t="s">
        <v>1443</v>
      </c>
      <c r="H4095" t="s">
        <v>7361</v>
      </c>
    </row>
    <row r="4096" spans="2:8">
      <c r="B4096" s="871">
        <v>46284</v>
      </c>
      <c r="C4096" t="s">
        <v>2488</v>
      </c>
      <c r="D4096" t="s">
        <v>1410</v>
      </c>
      <c r="E4096" t="s">
        <v>3425</v>
      </c>
      <c r="F4096" s="853" t="s">
        <v>528</v>
      </c>
      <c r="G4096" s="913" t="s">
        <v>1443</v>
      </c>
      <c r="H4096" t="s">
        <v>7362</v>
      </c>
    </row>
    <row r="4097" spans="2:8">
      <c r="B4097" s="871">
        <v>46284</v>
      </c>
      <c r="C4097" t="s">
        <v>2488</v>
      </c>
      <c r="D4097" t="s">
        <v>1434</v>
      </c>
      <c r="E4097" t="s">
        <v>1444</v>
      </c>
      <c r="F4097" s="853" t="s">
        <v>526</v>
      </c>
      <c r="H4097" t="s">
        <v>7363</v>
      </c>
    </row>
    <row r="4098" spans="2:8">
      <c r="B4098" s="871">
        <v>46284</v>
      </c>
      <c r="C4098" t="s">
        <v>2488</v>
      </c>
      <c r="D4098" t="s">
        <v>1434</v>
      </c>
      <c r="E4098" t="s">
        <v>1444</v>
      </c>
      <c r="F4098" s="853" t="s">
        <v>527</v>
      </c>
      <c r="H4098" t="s">
        <v>7364</v>
      </c>
    </row>
    <row r="4099" spans="2:8">
      <c r="B4099" s="871">
        <v>46284</v>
      </c>
      <c r="C4099" t="s">
        <v>2488</v>
      </c>
      <c r="D4099" t="s">
        <v>1434</v>
      </c>
      <c r="E4099" t="s">
        <v>1444</v>
      </c>
      <c r="F4099" s="853" t="s">
        <v>528</v>
      </c>
      <c r="H4099" t="s">
        <v>7365</v>
      </c>
    </row>
    <row r="4100" spans="2:8">
      <c r="B4100" s="871">
        <v>46284</v>
      </c>
      <c r="C4100" t="s">
        <v>2488</v>
      </c>
      <c r="D4100" t="s">
        <v>1434</v>
      </c>
      <c r="E4100" t="s">
        <v>1446</v>
      </c>
      <c r="F4100" s="853" t="s">
        <v>526</v>
      </c>
      <c r="G4100" s="913">
        <v>22500</v>
      </c>
      <c r="H4100" t="s">
        <v>7366</v>
      </c>
    </row>
    <row r="4101" spans="2:8">
      <c r="B4101" s="871">
        <v>46284</v>
      </c>
      <c r="C4101" t="s">
        <v>2488</v>
      </c>
      <c r="D4101" t="s">
        <v>1434</v>
      </c>
      <c r="E4101" t="s">
        <v>1446</v>
      </c>
      <c r="F4101" s="853" t="s">
        <v>527</v>
      </c>
      <c r="G4101" s="913" t="s">
        <v>2078</v>
      </c>
      <c r="H4101" t="s">
        <v>7367</v>
      </c>
    </row>
    <row r="4102" spans="2:8">
      <c r="B4102" s="871">
        <v>46284</v>
      </c>
      <c r="C4102" t="s">
        <v>2488</v>
      </c>
      <c r="D4102" t="s">
        <v>1434</v>
      </c>
      <c r="E4102" t="s">
        <v>1446</v>
      </c>
      <c r="F4102" s="853" t="s">
        <v>528</v>
      </c>
      <c r="G4102" s="913" t="s">
        <v>2079</v>
      </c>
      <c r="H4102" t="s">
        <v>7368</v>
      </c>
    </row>
    <row r="4103" spans="2:8">
      <c r="B4103" s="871">
        <v>46284</v>
      </c>
      <c r="C4103" t="s">
        <v>2488</v>
      </c>
      <c r="D4103" t="s">
        <v>1410</v>
      </c>
      <c r="E4103" t="s">
        <v>3435</v>
      </c>
      <c r="F4103" s="853" t="s">
        <v>526</v>
      </c>
      <c r="G4103" s="913" t="s">
        <v>1586</v>
      </c>
      <c r="H4103" t="s">
        <v>7369</v>
      </c>
    </row>
    <row r="4104" spans="2:8">
      <c r="B4104" s="871">
        <v>46284</v>
      </c>
      <c r="C4104" t="s">
        <v>2488</v>
      </c>
      <c r="D4104" t="s">
        <v>1410</v>
      </c>
      <c r="E4104" t="s">
        <v>3435</v>
      </c>
      <c r="F4104" s="853" t="s">
        <v>527</v>
      </c>
      <c r="G4104" s="913" t="s">
        <v>1586</v>
      </c>
      <c r="H4104" t="s">
        <v>7370</v>
      </c>
    </row>
    <row r="4105" spans="2:8">
      <c r="B4105" s="871">
        <v>46284</v>
      </c>
      <c r="C4105" t="s">
        <v>2488</v>
      </c>
      <c r="D4105" t="s">
        <v>1410</v>
      </c>
      <c r="E4105" t="s">
        <v>3435</v>
      </c>
      <c r="F4105" s="853" t="s">
        <v>528</v>
      </c>
      <c r="G4105" s="913" t="s">
        <v>1586</v>
      </c>
      <c r="H4105" t="s">
        <v>7371</v>
      </c>
    </row>
    <row r="4106" spans="2:8">
      <c r="B4106" s="871">
        <v>46284</v>
      </c>
      <c r="C4106" t="s">
        <v>2488</v>
      </c>
      <c r="D4106" t="s">
        <v>1434</v>
      </c>
      <c r="E4106" t="s">
        <v>3439</v>
      </c>
      <c r="F4106" s="853" t="s">
        <v>526</v>
      </c>
      <c r="H4106" t="s">
        <v>7372</v>
      </c>
    </row>
    <row r="4107" spans="2:8">
      <c r="B4107" s="871">
        <v>46284</v>
      </c>
      <c r="C4107" t="s">
        <v>2488</v>
      </c>
      <c r="D4107" t="s">
        <v>1434</v>
      </c>
      <c r="E4107" t="s">
        <v>3439</v>
      </c>
      <c r="F4107" s="853" t="s">
        <v>527</v>
      </c>
      <c r="H4107" t="s">
        <v>7373</v>
      </c>
    </row>
    <row r="4108" spans="2:8">
      <c r="B4108" s="871">
        <v>46284</v>
      </c>
      <c r="C4108" t="s">
        <v>2488</v>
      </c>
      <c r="D4108" t="s">
        <v>1434</v>
      </c>
      <c r="E4108" t="s">
        <v>3439</v>
      </c>
      <c r="F4108" s="853" t="s">
        <v>528</v>
      </c>
      <c r="H4108" t="s">
        <v>7374</v>
      </c>
    </row>
    <row r="4109" spans="2:8">
      <c r="B4109" s="871">
        <v>46284</v>
      </c>
      <c r="C4109" t="s">
        <v>2488</v>
      </c>
      <c r="D4109" t="s">
        <v>1410</v>
      </c>
      <c r="E4109" t="s">
        <v>3443</v>
      </c>
      <c r="F4109" s="853" t="s">
        <v>526</v>
      </c>
      <c r="H4109" t="s">
        <v>7375</v>
      </c>
    </row>
    <row r="4110" spans="2:8">
      <c r="B4110" s="871">
        <v>46284</v>
      </c>
      <c r="C4110" t="s">
        <v>2488</v>
      </c>
      <c r="D4110" t="s">
        <v>1410</v>
      </c>
      <c r="E4110" t="s">
        <v>3443</v>
      </c>
      <c r="F4110" s="853" t="s">
        <v>527</v>
      </c>
      <c r="H4110" t="s">
        <v>7376</v>
      </c>
    </row>
    <row r="4111" spans="2:8">
      <c r="B4111" s="871">
        <v>46284</v>
      </c>
      <c r="C4111" t="s">
        <v>2488</v>
      </c>
      <c r="D4111" t="s">
        <v>1410</v>
      </c>
      <c r="E4111" t="s">
        <v>3443</v>
      </c>
      <c r="F4111" s="853" t="s">
        <v>528</v>
      </c>
      <c r="H4111" t="s">
        <v>7377</v>
      </c>
    </row>
    <row r="4112" spans="2:8">
      <c r="B4112" s="871">
        <v>46284</v>
      </c>
      <c r="C4112" t="s">
        <v>2488</v>
      </c>
      <c r="D4112" t="s">
        <v>1434</v>
      </c>
      <c r="E4112" t="s">
        <v>3447</v>
      </c>
      <c r="F4112" s="853" t="s">
        <v>526</v>
      </c>
      <c r="H4112" t="s">
        <v>7378</v>
      </c>
    </row>
    <row r="4113" spans="2:8">
      <c r="B4113" s="871">
        <v>46284</v>
      </c>
      <c r="C4113" t="s">
        <v>2488</v>
      </c>
      <c r="D4113" t="s">
        <v>1434</v>
      </c>
      <c r="E4113" t="s">
        <v>3447</v>
      </c>
      <c r="F4113" s="853" t="s">
        <v>527</v>
      </c>
      <c r="H4113" t="s">
        <v>7379</v>
      </c>
    </row>
    <row r="4114" spans="2:8">
      <c r="B4114" s="871">
        <v>46284</v>
      </c>
      <c r="C4114" t="s">
        <v>2488</v>
      </c>
      <c r="D4114" t="s">
        <v>1434</v>
      </c>
      <c r="E4114" t="s">
        <v>3447</v>
      </c>
      <c r="F4114" s="853" t="s">
        <v>528</v>
      </c>
      <c r="H4114" t="s">
        <v>7380</v>
      </c>
    </row>
    <row r="4115" spans="2:8">
      <c r="B4115" s="871">
        <v>46284</v>
      </c>
      <c r="C4115" t="s">
        <v>2488</v>
      </c>
      <c r="D4115" t="s">
        <v>1410</v>
      </c>
      <c r="E4115" t="s">
        <v>3451</v>
      </c>
      <c r="F4115" s="853" t="s">
        <v>526</v>
      </c>
      <c r="H4115" t="s">
        <v>7381</v>
      </c>
    </row>
    <row r="4116" spans="2:8">
      <c r="B4116" s="871">
        <v>46284</v>
      </c>
      <c r="C4116" t="s">
        <v>2488</v>
      </c>
      <c r="D4116" t="s">
        <v>1410</v>
      </c>
      <c r="E4116" t="s">
        <v>3451</v>
      </c>
      <c r="F4116" s="853" t="s">
        <v>527</v>
      </c>
      <c r="H4116" t="s">
        <v>7382</v>
      </c>
    </row>
    <row r="4117" spans="2:8">
      <c r="B4117" s="871">
        <v>46284</v>
      </c>
      <c r="C4117" t="s">
        <v>2488</v>
      </c>
      <c r="D4117" t="s">
        <v>1410</v>
      </c>
      <c r="E4117" t="s">
        <v>3451</v>
      </c>
      <c r="F4117" s="853" t="s">
        <v>528</v>
      </c>
      <c r="H4117" t="s">
        <v>7383</v>
      </c>
    </row>
    <row r="4118" spans="2:8">
      <c r="B4118" s="871">
        <v>46284</v>
      </c>
      <c r="C4118" t="s">
        <v>2488</v>
      </c>
      <c r="D4118" t="s">
        <v>1434</v>
      </c>
      <c r="E4118" t="s">
        <v>3455</v>
      </c>
      <c r="F4118" s="853" t="s">
        <v>526</v>
      </c>
      <c r="H4118" t="s">
        <v>7384</v>
      </c>
    </row>
    <row r="4119" spans="2:8">
      <c r="B4119" s="871">
        <v>46284</v>
      </c>
      <c r="C4119" t="s">
        <v>2488</v>
      </c>
      <c r="D4119" t="s">
        <v>1434</v>
      </c>
      <c r="E4119" t="s">
        <v>3455</v>
      </c>
      <c r="F4119" s="853" t="s">
        <v>527</v>
      </c>
      <c r="H4119" t="s">
        <v>7385</v>
      </c>
    </row>
    <row r="4120" spans="2:8">
      <c r="B4120" s="871">
        <v>46284</v>
      </c>
      <c r="C4120" t="s">
        <v>2488</v>
      </c>
      <c r="D4120" t="s">
        <v>1434</v>
      </c>
      <c r="E4120" t="s">
        <v>3455</v>
      </c>
      <c r="F4120" s="853" t="s">
        <v>528</v>
      </c>
      <c r="H4120" t="s">
        <v>7386</v>
      </c>
    </row>
    <row r="4121" spans="2:8">
      <c r="B4121" s="871">
        <v>46284</v>
      </c>
      <c r="C4121" t="s">
        <v>2488</v>
      </c>
      <c r="D4121" t="s">
        <v>1410</v>
      </c>
      <c r="E4121" t="s">
        <v>3459</v>
      </c>
      <c r="F4121" s="853" t="s">
        <v>526</v>
      </c>
      <c r="G4121" s="913">
        <v>28</v>
      </c>
      <c r="H4121" t="s">
        <v>7387</v>
      </c>
    </row>
    <row r="4122" spans="2:8">
      <c r="B4122" s="871">
        <v>46284</v>
      </c>
      <c r="C4122" t="s">
        <v>2488</v>
      </c>
      <c r="D4122" t="s">
        <v>1410</v>
      </c>
      <c r="E4122" t="s">
        <v>3459</v>
      </c>
      <c r="F4122" s="853" t="s">
        <v>527</v>
      </c>
      <c r="G4122" s="913">
        <v>28</v>
      </c>
      <c r="H4122" t="s">
        <v>7388</v>
      </c>
    </row>
    <row r="4123" spans="2:8">
      <c r="B4123" s="871">
        <v>46284</v>
      </c>
      <c r="C4123" t="s">
        <v>2488</v>
      </c>
      <c r="D4123" t="s">
        <v>1410</v>
      </c>
      <c r="E4123" t="s">
        <v>3459</v>
      </c>
      <c r="F4123" s="853" t="s">
        <v>528</v>
      </c>
      <c r="G4123" s="913">
        <v>29.8</v>
      </c>
      <c r="H4123" t="s">
        <v>7389</v>
      </c>
    </row>
    <row r="4124" spans="2:8">
      <c r="B4124" s="871">
        <v>46284</v>
      </c>
      <c r="C4124" t="s">
        <v>2488</v>
      </c>
      <c r="D4124" t="s">
        <v>1434</v>
      </c>
      <c r="E4124" t="s">
        <v>3463</v>
      </c>
      <c r="F4124" s="853" t="s">
        <v>526</v>
      </c>
      <c r="H4124" t="s">
        <v>7390</v>
      </c>
    </row>
    <row r="4125" spans="2:8">
      <c r="B4125" s="871">
        <v>46284</v>
      </c>
      <c r="C4125" t="s">
        <v>2488</v>
      </c>
      <c r="D4125" t="s">
        <v>1434</v>
      </c>
      <c r="E4125" t="s">
        <v>3463</v>
      </c>
      <c r="F4125" s="853" t="s">
        <v>527</v>
      </c>
      <c r="H4125" t="s">
        <v>7391</v>
      </c>
    </row>
    <row r="4126" spans="2:8">
      <c r="B4126" s="871">
        <v>46284</v>
      </c>
      <c r="C4126" t="s">
        <v>2488</v>
      </c>
      <c r="D4126" t="s">
        <v>1434</v>
      </c>
      <c r="E4126" t="s">
        <v>3463</v>
      </c>
      <c r="F4126" s="853" t="s">
        <v>528</v>
      </c>
      <c r="H4126" t="s">
        <v>7392</v>
      </c>
    </row>
    <row r="4127" spans="2:8">
      <c r="B4127" s="871">
        <v>46284</v>
      </c>
      <c r="C4127" t="s">
        <v>2488</v>
      </c>
      <c r="D4127" t="s">
        <v>1410</v>
      </c>
      <c r="E4127" t="s">
        <v>3467</v>
      </c>
      <c r="F4127" s="853" t="s">
        <v>526</v>
      </c>
      <c r="G4127" s="913">
        <v>28</v>
      </c>
      <c r="H4127" t="s">
        <v>7393</v>
      </c>
    </row>
    <row r="4128" spans="2:8">
      <c r="B4128" s="871">
        <v>46284</v>
      </c>
      <c r="C4128" t="s">
        <v>2488</v>
      </c>
      <c r="D4128" t="s">
        <v>1410</v>
      </c>
      <c r="E4128" t="s">
        <v>3467</v>
      </c>
      <c r="F4128" s="853" t="s">
        <v>527</v>
      </c>
      <c r="G4128" s="913">
        <v>28</v>
      </c>
      <c r="H4128" t="s">
        <v>7394</v>
      </c>
    </row>
    <row r="4129" spans="2:8">
      <c r="B4129" s="871">
        <v>46284</v>
      </c>
      <c r="C4129" t="s">
        <v>2488</v>
      </c>
      <c r="D4129" t="s">
        <v>1410</v>
      </c>
      <c r="E4129" t="s">
        <v>3467</v>
      </c>
      <c r="F4129" s="853" t="s">
        <v>528</v>
      </c>
      <c r="H4129" t="s">
        <v>7395</v>
      </c>
    </row>
    <row r="4130" spans="2:8">
      <c r="B4130" s="871">
        <v>46284</v>
      </c>
      <c r="C4130" t="s">
        <v>2488</v>
      </c>
      <c r="D4130" t="s">
        <v>1434</v>
      </c>
      <c r="E4130" t="s">
        <v>3471</v>
      </c>
      <c r="F4130" s="853" t="s">
        <v>526</v>
      </c>
      <c r="H4130" t="s">
        <v>7396</v>
      </c>
    </row>
    <row r="4131" spans="2:8">
      <c r="B4131" s="871">
        <v>46284</v>
      </c>
      <c r="C4131" t="s">
        <v>2488</v>
      </c>
      <c r="D4131" t="s">
        <v>1434</v>
      </c>
      <c r="E4131" t="s">
        <v>3471</v>
      </c>
      <c r="F4131" s="853" t="s">
        <v>527</v>
      </c>
      <c r="H4131" t="s">
        <v>7397</v>
      </c>
    </row>
    <row r="4132" spans="2:8">
      <c r="B4132" s="871">
        <v>46284</v>
      </c>
      <c r="C4132" t="s">
        <v>2488</v>
      </c>
      <c r="D4132" t="s">
        <v>1434</v>
      </c>
      <c r="E4132" t="s">
        <v>3471</v>
      </c>
      <c r="F4132" s="853" t="s">
        <v>528</v>
      </c>
      <c r="H4132" t="s">
        <v>7398</v>
      </c>
    </row>
    <row r="4133" spans="2:8">
      <c r="B4133" s="871">
        <v>46284</v>
      </c>
      <c r="C4133" t="s">
        <v>2488</v>
      </c>
      <c r="D4133" t="s">
        <v>1410</v>
      </c>
      <c r="E4133" t="s">
        <v>3475</v>
      </c>
      <c r="F4133" s="853" t="s">
        <v>526</v>
      </c>
      <c r="G4133" s="913">
        <v>17</v>
      </c>
      <c r="H4133" t="s">
        <v>7399</v>
      </c>
    </row>
    <row r="4134" spans="2:8">
      <c r="B4134" s="871">
        <v>46284</v>
      </c>
      <c r="C4134" t="s">
        <v>2488</v>
      </c>
      <c r="D4134" t="s">
        <v>1410</v>
      </c>
      <c r="E4134" t="s">
        <v>3475</v>
      </c>
      <c r="F4134" s="853" t="s">
        <v>527</v>
      </c>
      <c r="G4134" s="913">
        <v>19</v>
      </c>
      <c r="H4134" t="s">
        <v>7400</v>
      </c>
    </row>
    <row r="4135" spans="2:8">
      <c r="B4135" s="871">
        <v>46284</v>
      </c>
      <c r="C4135" t="s">
        <v>2488</v>
      </c>
      <c r="D4135" t="s">
        <v>1410</v>
      </c>
      <c r="E4135" t="s">
        <v>3475</v>
      </c>
      <c r="F4135" s="853" t="s">
        <v>528</v>
      </c>
      <c r="G4135" s="913">
        <v>16</v>
      </c>
      <c r="H4135" t="s">
        <v>7401</v>
      </c>
    </row>
    <row r="4136" spans="2:8">
      <c r="B4136" s="871">
        <v>46284</v>
      </c>
      <c r="C4136" t="s">
        <v>2488</v>
      </c>
      <c r="D4136" t="s">
        <v>1434</v>
      </c>
      <c r="E4136" t="s">
        <v>3479</v>
      </c>
      <c r="F4136" s="853" t="s">
        <v>526</v>
      </c>
      <c r="H4136" t="s">
        <v>7402</v>
      </c>
    </row>
    <row r="4137" spans="2:8">
      <c r="B4137" s="871">
        <v>46284</v>
      </c>
      <c r="C4137" t="s">
        <v>2488</v>
      </c>
      <c r="D4137" t="s">
        <v>1434</v>
      </c>
      <c r="E4137" t="s">
        <v>3479</v>
      </c>
      <c r="F4137" s="853" t="s">
        <v>527</v>
      </c>
      <c r="H4137" t="s">
        <v>7403</v>
      </c>
    </row>
    <row r="4138" spans="2:8">
      <c r="B4138" s="871">
        <v>46284</v>
      </c>
      <c r="C4138" t="s">
        <v>2488</v>
      </c>
      <c r="D4138" t="s">
        <v>1434</v>
      </c>
      <c r="E4138" t="s">
        <v>3479</v>
      </c>
      <c r="F4138" s="853" t="s">
        <v>528</v>
      </c>
      <c r="H4138" t="s">
        <v>7404</v>
      </c>
    </row>
    <row r="4139" spans="2:8">
      <c r="B4139" s="871">
        <v>46284</v>
      </c>
      <c r="C4139" t="s">
        <v>2488</v>
      </c>
      <c r="D4139" t="s">
        <v>1410</v>
      </c>
      <c r="E4139" t="s">
        <v>3483</v>
      </c>
      <c r="F4139" s="853" t="s">
        <v>526</v>
      </c>
      <c r="G4139" s="913" t="s">
        <v>1878</v>
      </c>
      <c r="H4139" t="s">
        <v>7405</v>
      </c>
    </row>
    <row r="4140" spans="2:8">
      <c r="B4140" s="871">
        <v>46284</v>
      </c>
      <c r="C4140" t="s">
        <v>2488</v>
      </c>
      <c r="D4140" t="s">
        <v>1410</v>
      </c>
      <c r="E4140" t="s">
        <v>3483</v>
      </c>
      <c r="F4140" s="853" t="s">
        <v>527</v>
      </c>
      <c r="G4140" s="913">
        <v>5</v>
      </c>
      <c r="H4140" t="s">
        <v>7406</v>
      </c>
    </row>
    <row r="4141" spans="2:8">
      <c r="B4141" s="871">
        <v>46284</v>
      </c>
      <c r="C4141" t="s">
        <v>2488</v>
      </c>
      <c r="D4141" t="s">
        <v>1410</v>
      </c>
      <c r="E4141" t="s">
        <v>3483</v>
      </c>
      <c r="F4141" s="853" t="s">
        <v>528</v>
      </c>
      <c r="G4141" s="913">
        <v>5</v>
      </c>
      <c r="H4141" t="s">
        <v>7407</v>
      </c>
    </row>
    <row r="4142" spans="2:8">
      <c r="B4142" s="871">
        <v>46285</v>
      </c>
      <c r="C4142" t="s">
        <v>2489</v>
      </c>
      <c r="D4142" t="s">
        <v>1375</v>
      </c>
      <c r="E4142" t="s">
        <v>1377</v>
      </c>
      <c r="F4142" s="853" t="s">
        <v>526</v>
      </c>
      <c r="G4142" s="913" t="s">
        <v>1378</v>
      </c>
      <c r="H4142" t="s">
        <v>7408</v>
      </c>
    </row>
    <row r="4143" spans="2:8">
      <c r="B4143" s="871">
        <v>46285</v>
      </c>
      <c r="C4143" t="s">
        <v>2489</v>
      </c>
      <c r="D4143" t="s">
        <v>1375</v>
      </c>
      <c r="E4143" t="s">
        <v>1377</v>
      </c>
      <c r="F4143" s="853" t="s">
        <v>527</v>
      </c>
      <c r="G4143" s="913" t="s">
        <v>1378</v>
      </c>
      <c r="H4143" t="s">
        <v>7409</v>
      </c>
    </row>
    <row r="4144" spans="2:8">
      <c r="B4144" s="871">
        <v>46285</v>
      </c>
      <c r="C4144" t="s">
        <v>2489</v>
      </c>
      <c r="D4144" t="s">
        <v>1375</v>
      </c>
      <c r="E4144" t="s">
        <v>1377</v>
      </c>
      <c r="F4144" s="853" t="s">
        <v>528</v>
      </c>
      <c r="G4144" s="913" t="s">
        <v>1378</v>
      </c>
      <c r="H4144" t="s">
        <v>7410</v>
      </c>
    </row>
    <row r="4145" spans="2:8">
      <c r="B4145" s="871">
        <v>46285</v>
      </c>
      <c r="C4145" t="s">
        <v>2489</v>
      </c>
      <c r="D4145" t="s">
        <v>1376</v>
      </c>
      <c r="E4145" t="s">
        <v>1379</v>
      </c>
      <c r="F4145" s="853" t="s">
        <v>526</v>
      </c>
      <c r="H4145" t="s">
        <v>7411</v>
      </c>
    </row>
    <row r="4146" spans="2:8">
      <c r="B4146" s="871">
        <v>46285</v>
      </c>
      <c r="C4146" t="s">
        <v>2489</v>
      </c>
      <c r="D4146" t="s">
        <v>1376</v>
      </c>
      <c r="E4146" t="s">
        <v>1379</v>
      </c>
      <c r="F4146" s="853" t="s">
        <v>527</v>
      </c>
      <c r="H4146" t="s">
        <v>7412</v>
      </c>
    </row>
    <row r="4147" spans="2:8">
      <c r="B4147" s="871">
        <v>46285</v>
      </c>
      <c r="C4147" t="s">
        <v>2489</v>
      </c>
      <c r="D4147" t="s">
        <v>1376</v>
      </c>
      <c r="E4147" t="s">
        <v>1379</v>
      </c>
      <c r="F4147" s="853" t="s">
        <v>528</v>
      </c>
      <c r="H4147" t="s">
        <v>7413</v>
      </c>
    </row>
    <row r="4148" spans="2:8">
      <c r="B4148" s="871">
        <v>46285</v>
      </c>
      <c r="C4148" t="s">
        <v>2489</v>
      </c>
      <c r="D4148" t="s">
        <v>1375</v>
      </c>
      <c r="E4148" t="s">
        <v>1380</v>
      </c>
      <c r="F4148" s="853" t="s">
        <v>526</v>
      </c>
      <c r="G4148" s="913" t="s">
        <v>2031</v>
      </c>
      <c r="H4148" t="s">
        <v>7414</v>
      </c>
    </row>
    <row r="4149" spans="2:8">
      <c r="B4149" s="871">
        <v>46285</v>
      </c>
      <c r="C4149" t="s">
        <v>2489</v>
      </c>
      <c r="D4149" t="s">
        <v>1375</v>
      </c>
      <c r="E4149" t="s">
        <v>1380</v>
      </c>
      <c r="F4149" s="853" t="s">
        <v>527</v>
      </c>
      <c r="G4149" s="913" t="s">
        <v>2031</v>
      </c>
      <c r="H4149" t="s">
        <v>7415</v>
      </c>
    </row>
    <row r="4150" spans="2:8">
      <c r="B4150" s="871">
        <v>46285</v>
      </c>
      <c r="C4150" t="s">
        <v>2489</v>
      </c>
      <c r="D4150" t="s">
        <v>1375</v>
      </c>
      <c r="E4150" t="s">
        <v>1380</v>
      </c>
      <c r="F4150" s="853" t="s">
        <v>528</v>
      </c>
      <c r="G4150" s="913" t="s">
        <v>2031</v>
      </c>
      <c r="H4150" t="s">
        <v>7416</v>
      </c>
    </row>
    <row r="4151" spans="2:8">
      <c r="B4151" s="871">
        <v>46285</v>
      </c>
      <c r="C4151" t="s">
        <v>2489</v>
      </c>
      <c r="D4151" t="s">
        <v>1376</v>
      </c>
      <c r="E4151" t="s">
        <v>1383</v>
      </c>
      <c r="F4151" s="853" t="s">
        <v>526</v>
      </c>
      <c r="G4151" s="913">
        <v>0</v>
      </c>
      <c r="H4151" t="s">
        <v>7417</v>
      </c>
    </row>
    <row r="4152" spans="2:8">
      <c r="B4152" s="871">
        <v>46285</v>
      </c>
      <c r="C4152" t="s">
        <v>2489</v>
      </c>
      <c r="D4152" t="s">
        <v>1376</v>
      </c>
      <c r="E4152" t="s">
        <v>1383</v>
      </c>
      <c r="F4152" s="853" t="s">
        <v>527</v>
      </c>
      <c r="G4152" s="913">
        <v>0</v>
      </c>
      <c r="H4152" t="s">
        <v>7418</v>
      </c>
    </row>
    <row r="4153" spans="2:8">
      <c r="B4153" s="871">
        <v>46285</v>
      </c>
      <c r="C4153" t="s">
        <v>2489</v>
      </c>
      <c r="D4153" t="s">
        <v>1376</v>
      </c>
      <c r="E4153" t="s">
        <v>1383</v>
      </c>
      <c r="F4153" s="853" t="s">
        <v>528</v>
      </c>
      <c r="G4153" s="913">
        <v>0</v>
      </c>
      <c r="H4153" t="s">
        <v>7419</v>
      </c>
    </row>
    <row r="4154" spans="2:8">
      <c r="B4154" s="871">
        <v>46285</v>
      </c>
      <c r="C4154" t="s">
        <v>2489</v>
      </c>
      <c r="D4154" t="s">
        <v>1375</v>
      </c>
      <c r="E4154" t="s">
        <v>54</v>
      </c>
      <c r="F4154" s="853" t="s">
        <v>526</v>
      </c>
      <c r="H4154" t="s">
        <v>7420</v>
      </c>
    </row>
    <row r="4155" spans="2:8">
      <c r="B4155" s="871">
        <v>46285</v>
      </c>
      <c r="C4155" t="s">
        <v>2489</v>
      </c>
      <c r="D4155" t="s">
        <v>1375</v>
      </c>
      <c r="E4155" t="s">
        <v>54</v>
      </c>
      <c r="F4155" s="853" t="s">
        <v>527</v>
      </c>
      <c r="H4155" t="s">
        <v>7421</v>
      </c>
    </row>
    <row r="4156" spans="2:8">
      <c r="B4156" s="871">
        <v>46285</v>
      </c>
      <c r="C4156" t="s">
        <v>2489</v>
      </c>
      <c r="D4156" t="s">
        <v>1375</v>
      </c>
      <c r="E4156" t="s">
        <v>54</v>
      </c>
      <c r="F4156" s="853" t="s">
        <v>528</v>
      </c>
      <c r="H4156" t="s">
        <v>7422</v>
      </c>
    </row>
    <row r="4157" spans="2:8">
      <c r="B4157" s="871">
        <v>46285</v>
      </c>
      <c r="C4157" t="s">
        <v>2489</v>
      </c>
      <c r="D4157" t="s">
        <v>1376</v>
      </c>
      <c r="E4157" t="s">
        <v>1384</v>
      </c>
      <c r="F4157" s="853" t="s">
        <v>526</v>
      </c>
      <c r="G4157" s="913">
        <v>0.4</v>
      </c>
      <c r="H4157" t="s">
        <v>7423</v>
      </c>
    </row>
    <row r="4158" spans="2:8">
      <c r="B4158" s="871">
        <v>46285</v>
      </c>
      <c r="C4158" t="s">
        <v>2489</v>
      </c>
      <c r="D4158" t="s">
        <v>1376</v>
      </c>
      <c r="E4158" t="s">
        <v>1384</v>
      </c>
      <c r="F4158" s="853" t="s">
        <v>527</v>
      </c>
      <c r="G4158" s="913">
        <v>0.42</v>
      </c>
      <c r="H4158" t="s">
        <v>7424</v>
      </c>
    </row>
    <row r="4159" spans="2:8">
      <c r="B4159" s="871">
        <v>46285</v>
      </c>
      <c r="C4159" t="s">
        <v>2489</v>
      </c>
      <c r="D4159" t="s">
        <v>1376</v>
      </c>
      <c r="E4159" t="s">
        <v>1384</v>
      </c>
      <c r="F4159" s="853" t="s">
        <v>528</v>
      </c>
      <c r="G4159" s="913">
        <v>0.4</v>
      </c>
      <c r="H4159" t="s">
        <v>7425</v>
      </c>
    </row>
    <row r="4160" spans="2:8">
      <c r="B4160" s="871">
        <v>46285</v>
      </c>
      <c r="C4160" t="s">
        <v>2489</v>
      </c>
      <c r="D4160" t="s">
        <v>1375</v>
      </c>
      <c r="E4160" t="s">
        <v>1385</v>
      </c>
      <c r="F4160" s="853" t="s">
        <v>526</v>
      </c>
      <c r="G4160" s="913">
        <v>738</v>
      </c>
      <c r="H4160" t="s">
        <v>7426</v>
      </c>
    </row>
    <row r="4161" spans="2:8">
      <c r="B4161" s="871">
        <v>46285</v>
      </c>
      <c r="C4161" t="s">
        <v>2489</v>
      </c>
      <c r="D4161" t="s">
        <v>1375</v>
      </c>
      <c r="E4161" t="s">
        <v>1385</v>
      </c>
      <c r="F4161" s="853" t="s">
        <v>527</v>
      </c>
      <c r="G4161" s="913">
        <v>2657</v>
      </c>
      <c r="H4161" t="s">
        <v>7427</v>
      </c>
    </row>
    <row r="4162" spans="2:8">
      <c r="B4162" s="871">
        <v>46285</v>
      </c>
      <c r="C4162" t="s">
        <v>2489</v>
      </c>
      <c r="D4162" t="s">
        <v>1375</v>
      </c>
      <c r="E4162" t="s">
        <v>1385</v>
      </c>
      <c r="F4162" s="853" t="s">
        <v>528</v>
      </c>
      <c r="G4162" s="913">
        <v>4126</v>
      </c>
      <c r="H4162" t="s">
        <v>7428</v>
      </c>
    </row>
    <row r="4163" spans="2:8">
      <c r="B4163" s="871">
        <v>46285</v>
      </c>
      <c r="C4163" t="s">
        <v>2489</v>
      </c>
      <c r="D4163" t="s">
        <v>1376</v>
      </c>
      <c r="E4163" t="s">
        <v>1386</v>
      </c>
      <c r="F4163" s="853" t="s">
        <v>526</v>
      </c>
      <c r="G4163" s="913">
        <v>0.5</v>
      </c>
      <c r="H4163" t="s">
        <v>7429</v>
      </c>
    </row>
    <row r="4164" spans="2:8">
      <c r="B4164" s="871">
        <v>46285</v>
      </c>
      <c r="C4164" t="s">
        <v>2489</v>
      </c>
      <c r="D4164" t="s">
        <v>1376</v>
      </c>
      <c r="E4164" t="s">
        <v>1386</v>
      </c>
      <c r="F4164" s="853" t="s">
        <v>527</v>
      </c>
      <c r="G4164" s="913">
        <v>0.4</v>
      </c>
      <c r="H4164" t="s">
        <v>7430</v>
      </c>
    </row>
    <row r="4165" spans="2:8">
      <c r="B4165" s="871">
        <v>46285</v>
      </c>
      <c r="C4165" t="s">
        <v>2489</v>
      </c>
      <c r="D4165" t="s">
        <v>1376</v>
      </c>
      <c r="E4165" t="s">
        <v>1386</v>
      </c>
      <c r="F4165" s="853" t="s">
        <v>528</v>
      </c>
      <c r="G4165" s="913">
        <v>0.36</v>
      </c>
      <c r="H4165" t="s">
        <v>7431</v>
      </c>
    </row>
    <row r="4166" spans="2:8">
      <c r="B4166" s="871">
        <v>46285</v>
      </c>
      <c r="C4166" t="s">
        <v>2489</v>
      </c>
      <c r="D4166" t="s">
        <v>1376</v>
      </c>
      <c r="E4166" t="s">
        <v>1387</v>
      </c>
      <c r="F4166" s="853" t="s">
        <v>526</v>
      </c>
      <c r="G4166" s="913">
        <v>8.1999999999999993</v>
      </c>
      <c r="H4166" t="s">
        <v>7432</v>
      </c>
    </row>
    <row r="4167" spans="2:8">
      <c r="B4167" s="871">
        <v>46285</v>
      </c>
      <c r="C4167" t="s">
        <v>2489</v>
      </c>
      <c r="D4167" t="s">
        <v>1376</v>
      </c>
      <c r="E4167" t="s">
        <v>1387</v>
      </c>
      <c r="F4167" s="853" t="s">
        <v>527</v>
      </c>
      <c r="G4167" s="913">
        <v>8.1999999999999993</v>
      </c>
      <c r="H4167" t="s">
        <v>7433</v>
      </c>
    </row>
    <row r="4168" spans="2:8">
      <c r="B4168" s="871">
        <v>46285</v>
      </c>
      <c r="C4168" t="s">
        <v>2489</v>
      </c>
      <c r="D4168" t="s">
        <v>1376</v>
      </c>
      <c r="E4168" t="s">
        <v>1387</v>
      </c>
      <c r="F4168" s="853" t="s">
        <v>528</v>
      </c>
      <c r="G4168" s="913">
        <v>8.1999999999999993</v>
      </c>
      <c r="H4168" t="s">
        <v>7434</v>
      </c>
    </row>
    <row r="4169" spans="2:8">
      <c r="B4169" s="871">
        <v>46285</v>
      </c>
      <c r="C4169" t="s">
        <v>2489</v>
      </c>
      <c r="D4169" t="s">
        <v>1375</v>
      </c>
      <c r="E4169" t="s">
        <v>1388</v>
      </c>
      <c r="F4169" s="853" t="s">
        <v>526</v>
      </c>
      <c r="H4169" t="s">
        <v>7435</v>
      </c>
    </row>
    <row r="4170" spans="2:8">
      <c r="B4170" s="871">
        <v>46285</v>
      </c>
      <c r="C4170" t="s">
        <v>2489</v>
      </c>
      <c r="D4170" t="s">
        <v>1375</v>
      </c>
      <c r="E4170" t="s">
        <v>1388</v>
      </c>
      <c r="F4170" s="853" t="s">
        <v>527</v>
      </c>
      <c r="H4170" t="s">
        <v>7436</v>
      </c>
    </row>
    <row r="4171" spans="2:8">
      <c r="B4171" s="871">
        <v>46285</v>
      </c>
      <c r="C4171" t="s">
        <v>2489</v>
      </c>
      <c r="D4171" t="s">
        <v>1375</v>
      </c>
      <c r="E4171" t="s">
        <v>1388</v>
      </c>
      <c r="F4171" s="853" t="s">
        <v>528</v>
      </c>
      <c r="H4171" t="s">
        <v>7437</v>
      </c>
    </row>
    <row r="4172" spans="2:8">
      <c r="B4172" s="871">
        <v>46285</v>
      </c>
      <c r="C4172" t="s">
        <v>2489</v>
      </c>
      <c r="D4172" t="s">
        <v>1376</v>
      </c>
      <c r="E4172" t="s">
        <v>1389</v>
      </c>
      <c r="F4172" s="853" t="s">
        <v>526</v>
      </c>
      <c r="G4172" s="913">
        <v>64.7</v>
      </c>
      <c r="H4172" t="s">
        <v>7438</v>
      </c>
    </row>
    <row r="4173" spans="2:8">
      <c r="B4173" s="871">
        <v>46285</v>
      </c>
      <c r="C4173" t="s">
        <v>2489</v>
      </c>
      <c r="D4173" t="s">
        <v>1376</v>
      </c>
      <c r="E4173" t="s">
        <v>1389</v>
      </c>
      <c r="F4173" s="853" t="s">
        <v>527</v>
      </c>
      <c r="G4173" s="913">
        <v>63.2</v>
      </c>
      <c r="H4173" t="s">
        <v>7439</v>
      </c>
    </row>
    <row r="4174" spans="2:8">
      <c r="B4174" s="871">
        <v>46285</v>
      </c>
      <c r="C4174" t="s">
        <v>2489</v>
      </c>
      <c r="D4174" t="s">
        <v>1376</v>
      </c>
      <c r="E4174" t="s">
        <v>1389</v>
      </c>
      <c r="F4174" s="853" t="s">
        <v>528</v>
      </c>
      <c r="G4174" s="913">
        <v>63.3</v>
      </c>
      <c r="H4174" t="s">
        <v>7440</v>
      </c>
    </row>
    <row r="4175" spans="2:8">
      <c r="B4175" s="871">
        <v>46285</v>
      </c>
      <c r="C4175" t="s">
        <v>2489</v>
      </c>
      <c r="D4175" t="s">
        <v>1375</v>
      </c>
      <c r="E4175" t="s">
        <v>3266</v>
      </c>
      <c r="F4175" s="853" t="s">
        <v>526</v>
      </c>
      <c r="G4175" s="913">
        <v>4</v>
      </c>
      <c r="H4175" t="s">
        <v>7441</v>
      </c>
    </row>
    <row r="4176" spans="2:8">
      <c r="B4176" s="871">
        <v>46285</v>
      </c>
      <c r="C4176" t="s">
        <v>2489</v>
      </c>
      <c r="D4176" t="s">
        <v>1375</v>
      </c>
      <c r="E4176" t="s">
        <v>3266</v>
      </c>
      <c r="F4176" s="853" t="s">
        <v>527</v>
      </c>
      <c r="G4176" s="913">
        <v>4</v>
      </c>
      <c r="H4176" t="s">
        <v>7442</v>
      </c>
    </row>
    <row r="4177" spans="2:8">
      <c r="B4177" s="871">
        <v>46285</v>
      </c>
      <c r="C4177" t="s">
        <v>2489</v>
      </c>
      <c r="D4177" t="s">
        <v>1375</v>
      </c>
      <c r="E4177" t="s">
        <v>3266</v>
      </c>
      <c r="F4177" s="853" t="s">
        <v>528</v>
      </c>
      <c r="G4177" s="913">
        <v>2</v>
      </c>
      <c r="H4177" t="s">
        <v>7443</v>
      </c>
    </row>
    <row r="4178" spans="2:8">
      <c r="B4178" s="871">
        <v>46285</v>
      </c>
      <c r="C4178" t="s">
        <v>2489</v>
      </c>
      <c r="D4178" t="s">
        <v>1376</v>
      </c>
      <c r="E4178" t="s">
        <v>1390</v>
      </c>
      <c r="F4178" s="853" t="s">
        <v>526</v>
      </c>
      <c r="G4178" s="913">
        <v>1.9300000000000001E-3</v>
      </c>
      <c r="H4178" t="s">
        <v>7444</v>
      </c>
    </row>
    <row r="4179" spans="2:8">
      <c r="B4179" s="871">
        <v>46285</v>
      </c>
      <c r="C4179" t="s">
        <v>2489</v>
      </c>
      <c r="D4179" t="s">
        <v>1376</v>
      </c>
      <c r="E4179" t="s">
        <v>1390</v>
      </c>
      <c r="F4179" s="853" t="s">
        <v>527</v>
      </c>
      <c r="G4179" s="913">
        <v>1.89E-3</v>
      </c>
      <c r="H4179" t="s">
        <v>7445</v>
      </c>
    </row>
    <row r="4180" spans="2:8">
      <c r="B4180" s="871">
        <v>46285</v>
      </c>
      <c r="C4180" t="s">
        <v>2489</v>
      </c>
      <c r="D4180" t="s">
        <v>1376</v>
      </c>
      <c r="E4180" t="s">
        <v>1390</v>
      </c>
      <c r="F4180" s="853" t="s">
        <v>528</v>
      </c>
      <c r="H4180" t="s">
        <v>7446</v>
      </c>
    </row>
    <row r="4181" spans="2:8">
      <c r="B4181" s="871">
        <v>46285</v>
      </c>
      <c r="C4181" t="s">
        <v>2489</v>
      </c>
      <c r="D4181" t="s">
        <v>1375</v>
      </c>
      <c r="E4181" t="s">
        <v>3273</v>
      </c>
      <c r="F4181" s="853" t="s">
        <v>526</v>
      </c>
      <c r="G4181" s="913">
        <v>4</v>
      </c>
      <c r="H4181" t="s">
        <v>7447</v>
      </c>
    </row>
    <row r="4182" spans="2:8">
      <c r="B4182" s="871">
        <v>46285</v>
      </c>
      <c r="C4182" t="s">
        <v>2489</v>
      </c>
      <c r="D4182" t="s">
        <v>1375</v>
      </c>
      <c r="E4182" t="s">
        <v>3273</v>
      </c>
      <c r="F4182" s="853" t="s">
        <v>527</v>
      </c>
      <c r="G4182" s="913">
        <v>1</v>
      </c>
      <c r="H4182" t="s">
        <v>7448</v>
      </c>
    </row>
    <row r="4183" spans="2:8">
      <c r="B4183" s="871">
        <v>46285</v>
      </c>
      <c r="C4183" t="s">
        <v>2489</v>
      </c>
      <c r="D4183" t="s">
        <v>1375</v>
      </c>
      <c r="E4183" t="s">
        <v>3273</v>
      </c>
      <c r="F4183" s="853" t="s">
        <v>528</v>
      </c>
      <c r="G4183" s="913">
        <v>2</v>
      </c>
      <c r="H4183" t="s">
        <v>7449</v>
      </c>
    </row>
    <row r="4184" spans="2:8">
      <c r="B4184" s="871">
        <v>46285</v>
      </c>
      <c r="C4184" t="s">
        <v>2489</v>
      </c>
      <c r="D4184" t="s">
        <v>1376</v>
      </c>
      <c r="E4184" t="s">
        <v>1391</v>
      </c>
      <c r="F4184" s="853" t="s">
        <v>526</v>
      </c>
      <c r="H4184" t="s">
        <v>7450</v>
      </c>
    </row>
    <row r="4185" spans="2:8">
      <c r="B4185" s="871">
        <v>46285</v>
      </c>
      <c r="C4185" t="s">
        <v>2489</v>
      </c>
      <c r="D4185" t="s">
        <v>1376</v>
      </c>
      <c r="E4185" t="s">
        <v>1391</v>
      </c>
      <c r="F4185" s="853" t="s">
        <v>527</v>
      </c>
      <c r="H4185" t="s">
        <v>7451</v>
      </c>
    </row>
    <row r="4186" spans="2:8">
      <c r="B4186" s="871">
        <v>46285</v>
      </c>
      <c r="C4186" t="s">
        <v>2489</v>
      </c>
      <c r="D4186" t="s">
        <v>1376</v>
      </c>
      <c r="E4186" t="s">
        <v>1391</v>
      </c>
      <c r="F4186" s="853" t="s">
        <v>528</v>
      </c>
      <c r="G4186" s="913">
        <v>5752</v>
      </c>
      <c r="H4186" t="s">
        <v>7452</v>
      </c>
    </row>
    <row r="4187" spans="2:8">
      <c r="B4187" s="871">
        <v>46285</v>
      </c>
      <c r="C4187" t="s">
        <v>2489</v>
      </c>
      <c r="D4187" t="s">
        <v>1375</v>
      </c>
      <c r="E4187" t="s">
        <v>3280</v>
      </c>
      <c r="F4187" s="853" t="s">
        <v>526</v>
      </c>
      <c r="G4187" s="913">
        <v>3</v>
      </c>
      <c r="H4187" t="s">
        <v>7453</v>
      </c>
    </row>
    <row r="4188" spans="2:8">
      <c r="B4188" s="871">
        <v>46285</v>
      </c>
      <c r="C4188" t="s">
        <v>2489</v>
      </c>
      <c r="D4188" t="s">
        <v>1375</v>
      </c>
      <c r="E4188" t="s">
        <v>3280</v>
      </c>
      <c r="F4188" s="853" t="s">
        <v>527</v>
      </c>
      <c r="G4188" s="913">
        <v>4</v>
      </c>
      <c r="H4188" t="s">
        <v>7454</v>
      </c>
    </row>
    <row r="4189" spans="2:8">
      <c r="B4189" s="871">
        <v>46285</v>
      </c>
      <c r="C4189" t="s">
        <v>2489</v>
      </c>
      <c r="D4189" t="s">
        <v>1375</v>
      </c>
      <c r="E4189" t="s">
        <v>3280</v>
      </c>
      <c r="F4189" s="853" t="s">
        <v>528</v>
      </c>
      <c r="G4189" s="913">
        <v>1</v>
      </c>
      <c r="H4189" t="s">
        <v>7455</v>
      </c>
    </row>
    <row r="4190" spans="2:8">
      <c r="B4190" s="871">
        <v>46285</v>
      </c>
      <c r="C4190" t="s">
        <v>2489</v>
      </c>
      <c r="D4190" t="s">
        <v>1376</v>
      </c>
      <c r="E4190" t="s">
        <v>1392</v>
      </c>
      <c r="F4190" s="853" t="s">
        <v>526</v>
      </c>
      <c r="G4190" s="913">
        <v>5752</v>
      </c>
      <c r="H4190" t="s">
        <v>7456</v>
      </c>
    </row>
    <row r="4191" spans="2:8">
      <c r="B4191" s="871">
        <v>46285</v>
      </c>
      <c r="C4191" t="s">
        <v>2489</v>
      </c>
      <c r="D4191" t="s">
        <v>1376</v>
      </c>
      <c r="E4191" t="s">
        <v>1392</v>
      </c>
      <c r="F4191" s="853" t="s">
        <v>527</v>
      </c>
      <c r="H4191" t="s">
        <v>7457</v>
      </c>
    </row>
    <row r="4192" spans="2:8">
      <c r="B4192" s="871">
        <v>46285</v>
      </c>
      <c r="C4192" t="s">
        <v>2489</v>
      </c>
      <c r="D4192" t="s">
        <v>1376</v>
      </c>
      <c r="E4192" t="s">
        <v>1392</v>
      </c>
      <c r="F4192" s="853" t="s">
        <v>528</v>
      </c>
      <c r="H4192" t="s">
        <v>7458</v>
      </c>
    </row>
    <row r="4193" spans="2:8">
      <c r="B4193" s="871">
        <v>46285</v>
      </c>
      <c r="C4193" t="s">
        <v>2489</v>
      </c>
      <c r="D4193" t="s">
        <v>1375</v>
      </c>
      <c r="E4193" t="s">
        <v>3287</v>
      </c>
      <c r="F4193" s="853" t="s">
        <v>526</v>
      </c>
      <c r="G4193" s="913">
        <v>3</v>
      </c>
      <c r="H4193" t="s">
        <v>7459</v>
      </c>
    </row>
    <row r="4194" spans="2:8">
      <c r="B4194" s="871">
        <v>46285</v>
      </c>
      <c r="C4194" t="s">
        <v>2489</v>
      </c>
      <c r="D4194" t="s">
        <v>1375</v>
      </c>
      <c r="E4194" t="s">
        <v>3287</v>
      </c>
      <c r="F4194" s="853" t="s">
        <v>527</v>
      </c>
      <c r="G4194" s="913">
        <v>3</v>
      </c>
      <c r="H4194" t="s">
        <v>7460</v>
      </c>
    </row>
    <row r="4195" spans="2:8">
      <c r="B4195" s="871">
        <v>46285</v>
      </c>
      <c r="C4195" t="s">
        <v>2489</v>
      </c>
      <c r="D4195" t="s">
        <v>1375</v>
      </c>
      <c r="E4195" t="s">
        <v>3287</v>
      </c>
      <c r="F4195" s="853" t="s">
        <v>528</v>
      </c>
      <c r="G4195" s="913">
        <v>2</v>
      </c>
      <c r="H4195" t="s">
        <v>7461</v>
      </c>
    </row>
    <row r="4196" spans="2:8">
      <c r="B4196" s="871">
        <v>46285</v>
      </c>
      <c r="C4196" t="s">
        <v>2489</v>
      </c>
      <c r="D4196" t="s">
        <v>1376</v>
      </c>
      <c r="E4196" t="s">
        <v>453</v>
      </c>
      <c r="F4196" s="853" t="s">
        <v>526</v>
      </c>
      <c r="H4196" t="s">
        <v>7462</v>
      </c>
    </row>
    <row r="4197" spans="2:8">
      <c r="B4197" s="871">
        <v>46285</v>
      </c>
      <c r="C4197" t="s">
        <v>2489</v>
      </c>
      <c r="D4197" t="s">
        <v>1376</v>
      </c>
      <c r="E4197" t="s">
        <v>453</v>
      </c>
      <c r="F4197" s="853" t="s">
        <v>527</v>
      </c>
      <c r="H4197" t="s">
        <v>7463</v>
      </c>
    </row>
    <row r="4198" spans="2:8">
      <c r="B4198" s="871">
        <v>46285</v>
      </c>
      <c r="C4198" t="s">
        <v>2489</v>
      </c>
      <c r="D4198" t="s">
        <v>1376</v>
      </c>
      <c r="E4198" t="s">
        <v>453</v>
      </c>
      <c r="F4198" s="853" t="s">
        <v>528</v>
      </c>
      <c r="H4198" t="s">
        <v>7464</v>
      </c>
    </row>
    <row r="4199" spans="2:8">
      <c r="B4199" s="871">
        <v>46285</v>
      </c>
      <c r="C4199" t="s">
        <v>2489</v>
      </c>
      <c r="D4199" t="s">
        <v>1375</v>
      </c>
      <c r="E4199" t="s">
        <v>3291</v>
      </c>
      <c r="F4199" s="853" t="s">
        <v>526</v>
      </c>
      <c r="G4199" s="913">
        <v>4</v>
      </c>
      <c r="H4199" t="s">
        <v>7465</v>
      </c>
    </row>
    <row r="4200" spans="2:8">
      <c r="B4200" s="871">
        <v>46285</v>
      </c>
      <c r="C4200" t="s">
        <v>2489</v>
      </c>
      <c r="D4200" t="s">
        <v>1375</v>
      </c>
      <c r="E4200" t="s">
        <v>3291</v>
      </c>
      <c r="F4200" s="853" t="s">
        <v>527</v>
      </c>
      <c r="G4200" s="913">
        <v>2</v>
      </c>
      <c r="H4200" t="s">
        <v>7466</v>
      </c>
    </row>
    <row r="4201" spans="2:8">
      <c r="B4201" s="871">
        <v>46285</v>
      </c>
      <c r="C4201" t="s">
        <v>2489</v>
      </c>
      <c r="D4201" t="s">
        <v>1375</v>
      </c>
      <c r="E4201" t="s">
        <v>3291</v>
      </c>
      <c r="F4201" s="853" t="s">
        <v>528</v>
      </c>
      <c r="G4201" s="913">
        <v>2</v>
      </c>
      <c r="H4201" t="s">
        <v>7467</v>
      </c>
    </row>
    <row r="4202" spans="2:8">
      <c r="B4202" s="871">
        <v>46285</v>
      </c>
      <c r="C4202" t="s">
        <v>2489</v>
      </c>
      <c r="D4202" t="s">
        <v>1376</v>
      </c>
      <c r="E4202" t="s">
        <v>1394</v>
      </c>
      <c r="F4202" s="853" t="s">
        <v>526</v>
      </c>
      <c r="G4202" s="913" t="s">
        <v>2110</v>
      </c>
      <c r="H4202" t="s">
        <v>7468</v>
      </c>
    </row>
    <row r="4203" spans="2:8">
      <c r="B4203" s="871">
        <v>46285</v>
      </c>
      <c r="C4203" t="s">
        <v>2489</v>
      </c>
      <c r="D4203" t="s">
        <v>1376</v>
      </c>
      <c r="E4203" t="s">
        <v>1394</v>
      </c>
      <c r="F4203" s="853" t="s">
        <v>527</v>
      </c>
      <c r="G4203" s="913" t="s">
        <v>2076</v>
      </c>
      <c r="H4203" t="s">
        <v>7469</v>
      </c>
    </row>
    <row r="4204" spans="2:8">
      <c r="B4204" s="871">
        <v>46285</v>
      </c>
      <c r="C4204" t="s">
        <v>2489</v>
      </c>
      <c r="D4204" t="s">
        <v>1376</v>
      </c>
      <c r="E4204" t="s">
        <v>1394</v>
      </c>
      <c r="F4204" s="853" t="s">
        <v>528</v>
      </c>
      <c r="G4204" s="913" t="s">
        <v>2077</v>
      </c>
      <c r="H4204" t="s">
        <v>7470</v>
      </c>
    </row>
    <row r="4205" spans="2:8">
      <c r="B4205" s="871">
        <v>46285</v>
      </c>
      <c r="C4205" t="s">
        <v>2489</v>
      </c>
      <c r="D4205" t="s">
        <v>1375</v>
      </c>
      <c r="E4205" t="s">
        <v>3298</v>
      </c>
      <c r="F4205" s="853" t="s">
        <v>526</v>
      </c>
      <c r="G4205" s="913">
        <v>4</v>
      </c>
      <c r="H4205" t="s">
        <v>7471</v>
      </c>
    </row>
    <row r="4206" spans="2:8">
      <c r="B4206" s="871">
        <v>46285</v>
      </c>
      <c r="C4206" t="s">
        <v>2489</v>
      </c>
      <c r="D4206" t="s">
        <v>1375</v>
      </c>
      <c r="E4206" t="s">
        <v>3298</v>
      </c>
      <c r="F4206" s="853" t="s">
        <v>527</v>
      </c>
      <c r="G4206" s="913">
        <v>2</v>
      </c>
      <c r="H4206" t="s">
        <v>7472</v>
      </c>
    </row>
    <row r="4207" spans="2:8">
      <c r="B4207" s="871">
        <v>46285</v>
      </c>
      <c r="C4207" t="s">
        <v>2489</v>
      </c>
      <c r="D4207" t="s">
        <v>1375</v>
      </c>
      <c r="E4207" t="s">
        <v>3298</v>
      </c>
      <c r="F4207" s="853" t="s">
        <v>528</v>
      </c>
      <c r="G4207" s="913">
        <v>5</v>
      </c>
      <c r="H4207" t="s">
        <v>7473</v>
      </c>
    </row>
    <row r="4208" spans="2:8">
      <c r="B4208" s="871">
        <v>46285</v>
      </c>
      <c r="C4208" t="s">
        <v>2489</v>
      </c>
      <c r="D4208" t="s">
        <v>1376</v>
      </c>
      <c r="E4208" t="s">
        <v>1398</v>
      </c>
      <c r="F4208" s="853" t="s">
        <v>526</v>
      </c>
      <c r="G4208" s="913">
        <v>12</v>
      </c>
      <c r="H4208" t="s">
        <v>7474</v>
      </c>
    </row>
    <row r="4209" spans="2:8">
      <c r="B4209" s="871">
        <v>46285</v>
      </c>
      <c r="C4209" t="s">
        <v>2489</v>
      </c>
      <c r="D4209" t="s">
        <v>1376</v>
      </c>
      <c r="E4209" t="s">
        <v>1398</v>
      </c>
      <c r="F4209" s="853" t="s">
        <v>527</v>
      </c>
      <c r="G4209" s="913">
        <v>12</v>
      </c>
      <c r="H4209" t="s">
        <v>7475</v>
      </c>
    </row>
    <row r="4210" spans="2:8">
      <c r="B4210" s="871">
        <v>46285</v>
      </c>
      <c r="C4210" t="s">
        <v>2489</v>
      </c>
      <c r="D4210" t="s">
        <v>1376</v>
      </c>
      <c r="E4210" t="s">
        <v>1398</v>
      </c>
      <c r="F4210" s="853" t="s">
        <v>528</v>
      </c>
      <c r="G4210" s="913">
        <v>11</v>
      </c>
      <c r="H4210" t="s">
        <v>7476</v>
      </c>
    </row>
    <row r="4211" spans="2:8">
      <c r="B4211" s="871">
        <v>46285</v>
      </c>
      <c r="C4211" t="s">
        <v>2489</v>
      </c>
      <c r="D4211" t="s">
        <v>1375</v>
      </c>
      <c r="E4211" t="s">
        <v>3305</v>
      </c>
      <c r="F4211" s="853" t="s">
        <v>526</v>
      </c>
      <c r="G4211" s="913">
        <v>3</v>
      </c>
      <c r="H4211" t="s">
        <v>7477</v>
      </c>
    </row>
    <row r="4212" spans="2:8">
      <c r="B4212" s="871">
        <v>46285</v>
      </c>
      <c r="C4212" t="s">
        <v>2489</v>
      </c>
      <c r="D4212" t="s">
        <v>1375</v>
      </c>
      <c r="E4212" t="s">
        <v>3305</v>
      </c>
      <c r="F4212" s="853" t="s">
        <v>527</v>
      </c>
      <c r="G4212" s="913">
        <v>2</v>
      </c>
      <c r="H4212" t="s">
        <v>7478</v>
      </c>
    </row>
    <row r="4213" spans="2:8">
      <c r="B4213" s="871">
        <v>46285</v>
      </c>
      <c r="C4213" t="s">
        <v>2489</v>
      </c>
      <c r="D4213" t="s">
        <v>1375</v>
      </c>
      <c r="E4213" t="s">
        <v>3305</v>
      </c>
      <c r="F4213" s="853" t="s">
        <v>528</v>
      </c>
      <c r="G4213" s="913">
        <v>1</v>
      </c>
      <c r="H4213" t="s">
        <v>7479</v>
      </c>
    </row>
    <row r="4214" spans="2:8">
      <c r="B4214" s="871">
        <v>46285</v>
      </c>
      <c r="C4214" t="s">
        <v>2489</v>
      </c>
      <c r="D4214" t="s">
        <v>1376</v>
      </c>
      <c r="E4214" t="s">
        <v>1399</v>
      </c>
      <c r="F4214" s="853" t="s">
        <v>526</v>
      </c>
      <c r="G4214" s="913">
        <v>13</v>
      </c>
      <c r="H4214" t="s">
        <v>7480</v>
      </c>
    </row>
    <row r="4215" spans="2:8">
      <c r="B4215" s="871">
        <v>46285</v>
      </c>
      <c r="C4215" t="s">
        <v>2489</v>
      </c>
      <c r="D4215" t="s">
        <v>1376</v>
      </c>
      <c r="E4215" t="s">
        <v>1399</v>
      </c>
      <c r="F4215" s="853" t="s">
        <v>527</v>
      </c>
      <c r="G4215" s="913">
        <v>13</v>
      </c>
      <c r="H4215" t="s">
        <v>7481</v>
      </c>
    </row>
    <row r="4216" spans="2:8">
      <c r="B4216" s="871">
        <v>46285</v>
      </c>
      <c r="C4216" t="s">
        <v>2489</v>
      </c>
      <c r="D4216" t="s">
        <v>1376</v>
      </c>
      <c r="E4216" t="s">
        <v>1399</v>
      </c>
      <c r="F4216" s="853" t="s">
        <v>528</v>
      </c>
      <c r="G4216" s="913">
        <v>12</v>
      </c>
      <c r="H4216" t="s">
        <v>7482</v>
      </c>
    </row>
    <row r="4217" spans="2:8">
      <c r="B4217" s="871">
        <v>46285</v>
      </c>
      <c r="C4217" t="s">
        <v>2489</v>
      </c>
      <c r="D4217" t="s">
        <v>1375</v>
      </c>
      <c r="E4217" t="s">
        <v>3312</v>
      </c>
      <c r="F4217" s="853" t="s">
        <v>526</v>
      </c>
      <c r="G4217" s="913">
        <v>2</v>
      </c>
      <c r="H4217" t="s">
        <v>7483</v>
      </c>
    </row>
    <row r="4218" spans="2:8">
      <c r="B4218" s="871">
        <v>46285</v>
      </c>
      <c r="C4218" t="s">
        <v>2489</v>
      </c>
      <c r="D4218" t="s">
        <v>1375</v>
      </c>
      <c r="E4218" t="s">
        <v>3312</v>
      </c>
      <c r="F4218" s="853" t="s">
        <v>527</v>
      </c>
      <c r="G4218" s="913">
        <v>2</v>
      </c>
      <c r="H4218" t="s">
        <v>7484</v>
      </c>
    </row>
    <row r="4219" spans="2:8">
      <c r="B4219" s="871">
        <v>46285</v>
      </c>
      <c r="C4219" t="s">
        <v>2489</v>
      </c>
      <c r="D4219" t="s">
        <v>1375</v>
      </c>
      <c r="E4219" t="s">
        <v>3312</v>
      </c>
      <c r="F4219" s="853" t="s">
        <v>528</v>
      </c>
      <c r="G4219" s="913">
        <v>4</v>
      </c>
      <c r="H4219" t="s">
        <v>7485</v>
      </c>
    </row>
    <row r="4220" spans="2:8">
      <c r="B4220" s="871">
        <v>46285</v>
      </c>
      <c r="C4220" t="s">
        <v>2489</v>
      </c>
      <c r="D4220" t="s">
        <v>1376</v>
      </c>
      <c r="E4220" t="s">
        <v>1400</v>
      </c>
      <c r="F4220" s="853" t="s">
        <v>526</v>
      </c>
      <c r="G4220" s="913">
        <v>17</v>
      </c>
      <c r="H4220" t="s">
        <v>7486</v>
      </c>
    </row>
    <row r="4221" spans="2:8">
      <c r="B4221" s="871">
        <v>46285</v>
      </c>
      <c r="C4221" t="s">
        <v>2489</v>
      </c>
      <c r="D4221" t="s">
        <v>1376</v>
      </c>
      <c r="E4221" t="s">
        <v>1400</v>
      </c>
      <c r="F4221" s="853" t="s">
        <v>527</v>
      </c>
      <c r="G4221" s="913">
        <v>17</v>
      </c>
      <c r="H4221" t="s">
        <v>7487</v>
      </c>
    </row>
    <row r="4222" spans="2:8">
      <c r="B4222" s="871">
        <v>46285</v>
      </c>
      <c r="C4222" t="s">
        <v>2489</v>
      </c>
      <c r="D4222" t="s">
        <v>1376</v>
      </c>
      <c r="E4222" t="s">
        <v>1400</v>
      </c>
      <c r="F4222" s="853" t="s">
        <v>528</v>
      </c>
      <c r="G4222" s="913">
        <v>16</v>
      </c>
      <c r="H4222" t="s">
        <v>7488</v>
      </c>
    </row>
    <row r="4223" spans="2:8">
      <c r="B4223" s="871">
        <v>46285</v>
      </c>
      <c r="C4223" t="s">
        <v>2489</v>
      </c>
      <c r="D4223" t="s">
        <v>1375</v>
      </c>
      <c r="E4223" t="s">
        <v>3319</v>
      </c>
      <c r="F4223" s="853" t="s">
        <v>526</v>
      </c>
      <c r="G4223" s="913">
        <v>2</v>
      </c>
      <c r="H4223" t="s">
        <v>7489</v>
      </c>
    </row>
    <row r="4224" spans="2:8">
      <c r="B4224" s="871">
        <v>46285</v>
      </c>
      <c r="C4224" t="s">
        <v>2489</v>
      </c>
      <c r="D4224" t="s">
        <v>1375</v>
      </c>
      <c r="E4224" t="s">
        <v>3319</v>
      </c>
      <c r="F4224" s="853" t="s">
        <v>527</v>
      </c>
      <c r="G4224" s="913">
        <v>1</v>
      </c>
      <c r="H4224" t="s">
        <v>7490</v>
      </c>
    </row>
    <row r="4225" spans="2:8">
      <c r="B4225" s="871">
        <v>46285</v>
      </c>
      <c r="C4225" t="s">
        <v>2489</v>
      </c>
      <c r="D4225" t="s">
        <v>1375</v>
      </c>
      <c r="E4225" t="s">
        <v>3319</v>
      </c>
      <c r="F4225" s="853" t="s">
        <v>528</v>
      </c>
      <c r="G4225" s="913">
        <v>4</v>
      </c>
      <c r="H4225" t="s">
        <v>7491</v>
      </c>
    </row>
    <row r="4226" spans="2:8">
      <c r="B4226" s="871">
        <v>46285</v>
      </c>
      <c r="C4226" t="s">
        <v>2489</v>
      </c>
      <c r="D4226" t="s">
        <v>1376</v>
      </c>
      <c r="E4226" t="s">
        <v>1401</v>
      </c>
      <c r="F4226" s="853" t="s">
        <v>526</v>
      </c>
      <c r="G4226" s="913">
        <v>7.21</v>
      </c>
      <c r="H4226" t="s">
        <v>7492</v>
      </c>
    </row>
    <row r="4227" spans="2:8">
      <c r="B4227" s="871">
        <v>46285</v>
      </c>
      <c r="C4227" t="s">
        <v>2489</v>
      </c>
      <c r="D4227" t="s">
        <v>1376</v>
      </c>
      <c r="E4227" t="s">
        <v>1401</v>
      </c>
      <c r="F4227" s="853" t="s">
        <v>527</v>
      </c>
      <c r="G4227" s="913">
        <v>6.5</v>
      </c>
      <c r="H4227" t="s">
        <v>7493</v>
      </c>
    </row>
    <row r="4228" spans="2:8">
      <c r="B4228" s="871">
        <v>46285</v>
      </c>
      <c r="C4228" t="s">
        <v>2489</v>
      </c>
      <c r="D4228" t="s">
        <v>1376</v>
      </c>
      <c r="E4228" t="s">
        <v>1401</v>
      </c>
      <c r="F4228" s="853" t="s">
        <v>528</v>
      </c>
      <c r="G4228" s="913">
        <v>6.81</v>
      </c>
      <c r="H4228" t="s">
        <v>7494</v>
      </c>
    </row>
    <row r="4229" spans="2:8">
      <c r="B4229" s="871">
        <v>46285</v>
      </c>
      <c r="C4229" t="s">
        <v>2489</v>
      </c>
      <c r="D4229" t="s">
        <v>1375</v>
      </c>
      <c r="E4229" t="s">
        <v>3326</v>
      </c>
      <c r="F4229" s="853" t="s">
        <v>526</v>
      </c>
      <c r="G4229" s="913" t="s">
        <v>1583</v>
      </c>
      <c r="H4229" t="s">
        <v>7495</v>
      </c>
    </row>
    <row r="4230" spans="2:8">
      <c r="B4230" s="871">
        <v>46285</v>
      </c>
      <c r="C4230" t="s">
        <v>2489</v>
      </c>
      <c r="D4230" t="s">
        <v>1375</v>
      </c>
      <c r="E4230" t="s">
        <v>3326</v>
      </c>
      <c r="F4230" s="853" t="s">
        <v>527</v>
      </c>
      <c r="G4230" s="913" t="s">
        <v>1583</v>
      </c>
      <c r="H4230" t="s">
        <v>7496</v>
      </c>
    </row>
    <row r="4231" spans="2:8">
      <c r="B4231" s="871">
        <v>46285</v>
      </c>
      <c r="C4231" t="s">
        <v>2489</v>
      </c>
      <c r="D4231" t="s">
        <v>1375</v>
      </c>
      <c r="E4231" t="s">
        <v>3326</v>
      </c>
      <c r="F4231" s="853" t="s">
        <v>528</v>
      </c>
      <c r="G4231" s="913" t="s">
        <v>1583</v>
      </c>
      <c r="H4231" t="s">
        <v>7497</v>
      </c>
    </row>
    <row r="4232" spans="2:8">
      <c r="B4232" s="871">
        <v>46285</v>
      </c>
      <c r="C4232" t="s">
        <v>2489</v>
      </c>
      <c r="D4232" t="s">
        <v>1376</v>
      </c>
      <c r="E4232" t="s">
        <v>1403</v>
      </c>
      <c r="F4232" s="853" t="s">
        <v>526</v>
      </c>
      <c r="G4232" s="913">
        <v>633</v>
      </c>
      <c r="H4232" t="s">
        <v>7498</v>
      </c>
    </row>
    <row r="4233" spans="2:8">
      <c r="B4233" s="871">
        <v>46285</v>
      </c>
      <c r="C4233" t="s">
        <v>2489</v>
      </c>
      <c r="D4233" t="s">
        <v>1376</v>
      </c>
      <c r="E4233" t="s">
        <v>1403</v>
      </c>
      <c r="F4233" s="853" t="s">
        <v>527</v>
      </c>
      <c r="G4233" s="913">
        <v>680</v>
      </c>
      <c r="H4233" t="s">
        <v>7499</v>
      </c>
    </row>
    <row r="4234" spans="2:8">
      <c r="B4234" s="871">
        <v>46285</v>
      </c>
      <c r="C4234" t="s">
        <v>2489</v>
      </c>
      <c r="D4234" t="s">
        <v>1376</v>
      </c>
      <c r="E4234" t="s">
        <v>1403</v>
      </c>
      <c r="F4234" s="853" t="s">
        <v>528</v>
      </c>
      <c r="G4234" s="913">
        <v>660</v>
      </c>
      <c r="H4234" t="s">
        <v>7500</v>
      </c>
    </row>
    <row r="4235" spans="2:8">
      <c r="B4235" s="871">
        <v>46285</v>
      </c>
      <c r="C4235" t="s">
        <v>2489</v>
      </c>
      <c r="D4235" t="s">
        <v>1376</v>
      </c>
      <c r="E4235" t="s">
        <v>1404</v>
      </c>
      <c r="F4235" s="853" t="s">
        <v>526</v>
      </c>
      <c r="G4235" s="913">
        <v>4.4400000000000004</v>
      </c>
      <c r="H4235" t="s">
        <v>7501</v>
      </c>
    </row>
    <row r="4236" spans="2:8">
      <c r="B4236" s="871">
        <v>46285</v>
      </c>
      <c r="C4236" t="s">
        <v>2489</v>
      </c>
      <c r="D4236" t="s">
        <v>1376</v>
      </c>
      <c r="E4236" t="s">
        <v>1404</v>
      </c>
      <c r="F4236" s="853" t="s">
        <v>527</v>
      </c>
      <c r="G4236" s="913">
        <v>5.42</v>
      </c>
      <c r="H4236" t="s">
        <v>7502</v>
      </c>
    </row>
    <row r="4237" spans="2:8">
      <c r="B4237" s="871">
        <v>46285</v>
      </c>
      <c r="C4237" t="s">
        <v>2489</v>
      </c>
      <c r="D4237" t="s">
        <v>1376</v>
      </c>
      <c r="E4237" t="s">
        <v>1404</v>
      </c>
      <c r="F4237" s="853" t="s">
        <v>528</v>
      </c>
      <c r="G4237" s="913">
        <v>3.39</v>
      </c>
      <c r="H4237" t="s">
        <v>7503</v>
      </c>
    </row>
    <row r="4238" spans="2:8">
      <c r="B4238" s="871">
        <v>46285</v>
      </c>
      <c r="C4238" t="s">
        <v>2489</v>
      </c>
      <c r="D4238" t="s">
        <v>1375</v>
      </c>
      <c r="E4238" t="s">
        <v>3336</v>
      </c>
      <c r="F4238" s="853" t="s">
        <v>526</v>
      </c>
      <c r="G4238" s="913" t="s">
        <v>1406</v>
      </c>
      <c r="H4238" t="s">
        <v>7504</v>
      </c>
    </row>
    <row r="4239" spans="2:8">
      <c r="B4239" s="871">
        <v>46285</v>
      </c>
      <c r="C4239" t="s">
        <v>2489</v>
      </c>
      <c r="D4239" t="s">
        <v>1375</v>
      </c>
      <c r="E4239" t="s">
        <v>3336</v>
      </c>
      <c r="F4239" s="853" t="s">
        <v>527</v>
      </c>
      <c r="G4239" s="913" t="s">
        <v>1406</v>
      </c>
      <c r="H4239" t="s">
        <v>7505</v>
      </c>
    </row>
    <row r="4240" spans="2:8">
      <c r="B4240" s="871">
        <v>46285</v>
      </c>
      <c r="C4240" t="s">
        <v>2489</v>
      </c>
      <c r="D4240" t="s">
        <v>1375</v>
      </c>
      <c r="E4240" t="s">
        <v>3336</v>
      </c>
      <c r="F4240" s="853" t="s">
        <v>528</v>
      </c>
      <c r="G4240" s="913" t="s">
        <v>1406</v>
      </c>
      <c r="H4240" t="s">
        <v>7506</v>
      </c>
    </row>
    <row r="4241" spans="2:8">
      <c r="B4241" s="871">
        <v>46285</v>
      </c>
      <c r="C4241" t="s">
        <v>2489</v>
      </c>
      <c r="D4241" t="s">
        <v>1376</v>
      </c>
      <c r="E4241" t="s">
        <v>1407</v>
      </c>
      <c r="F4241" s="853" t="s">
        <v>526</v>
      </c>
      <c r="G4241" s="913">
        <v>370</v>
      </c>
      <c r="H4241" t="s">
        <v>7507</v>
      </c>
    </row>
    <row r="4242" spans="2:8">
      <c r="B4242" s="871">
        <v>46285</v>
      </c>
      <c r="C4242" t="s">
        <v>2489</v>
      </c>
      <c r="D4242" t="s">
        <v>1376</v>
      </c>
      <c r="E4242" t="s">
        <v>1407</v>
      </c>
      <c r="F4242" s="853" t="s">
        <v>527</v>
      </c>
      <c r="G4242" s="913">
        <v>360</v>
      </c>
      <c r="H4242" t="s">
        <v>7508</v>
      </c>
    </row>
    <row r="4243" spans="2:8">
      <c r="B4243" s="871">
        <v>46285</v>
      </c>
      <c r="C4243" t="s">
        <v>2489</v>
      </c>
      <c r="D4243" t="s">
        <v>1376</v>
      </c>
      <c r="E4243" t="s">
        <v>1407</v>
      </c>
      <c r="F4243" s="853" t="s">
        <v>528</v>
      </c>
      <c r="G4243" s="913">
        <v>413</v>
      </c>
      <c r="H4243" t="s">
        <v>7509</v>
      </c>
    </row>
    <row r="4244" spans="2:8">
      <c r="B4244" s="871">
        <v>46285</v>
      </c>
      <c r="C4244" t="s">
        <v>2489</v>
      </c>
      <c r="D4244" t="s">
        <v>1376</v>
      </c>
      <c r="E4244" t="s">
        <v>1408</v>
      </c>
      <c r="F4244" s="853" t="s">
        <v>526</v>
      </c>
      <c r="G4244" s="913">
        <v>910</v>
      </c>
      <c r="H4244" t="s">
        <v>7510</v>
      </c>
    </row>
    <row r="4245" spans="2:8">
      <c r="B4245" s="871">
        <v>46285</v>
      </c>
      <c r="C4245" t="s">
        <v>2489</v>
      </c>
      <c r="D4245" t="s">
        <v>1376</v>
      </c>
      <c r="E4245" t="s">
        <v>1408</v>
      </c>
      <c r="F4245" s="853" t="s">
        <v>527</v>
      </c>
      <c r="G4245" s="913">
        <v>939</v>
      </c>
      <c r="H4245" t="s">
        <v>7511</v>
      </c>
    </row>
    <row r="4246" spans="2:8">
      <c r="B4246" s="871">
        <v>46285</v>
      </c>
      <c r="C4246" t="s">
        <v>2489</v>
      </c>
      <c r="D4246" t="s">
        <v>1376</v>
      </c>
      <c r="E4246" t="s">
        <v>1408</v>
      </c>
      <c r="F4246" s="853" t="s">
        <v>528</v>
      </c>
      <c r="G4246" s="913">
        <v>927</v>
      </c>
      <c r="H4246" t="s">
        <v>7512</v>
      </c>
    </row>
    <row r="4247" spans="2:8">
      <c r="B4247" s="871">
        <v>46285</v>
      </c>
      <c r="C4247" t="s">
        <v>2489</v>
      </c>
      <c r="D4247" t="s">
        <v>1409</v>
      </c>
      <c r="E4247" t="s">
        <v>1411</v>
      </c>
      <c r="F4247" s="853" t="s">
        <v>526</v>
      </c>
      <c r="H4247" t="s">
        <v>7513</v>
      </c>
    </row>
    <row r="4248" spans="2:8">
      <c r="B4248" s="871">
        <v>46285</v>
      </c>
      <c r="C4248" t="s">
        <v>2489</v>
      </c>
      <c r="D4248" t="s">
        <v>1409</v>
      </c>
      <c r="E4248" t="s">
        <v>1411</v>
      </c>
      <c r="F4248" s="853" t="s">
        <v>527</v>
      </c>
      <c r="H4248" t="s">
        <v>7514</v>
      </c>
    </row>
    <row r="4249" spans="2:8">
      <c r="B4249" s="871">
        <v>46285</v>
      </c>
      <c r="C4249" t="s">
        <v>2489</v>
      </c>
      <c r="D4249" t="s">
        <v>1409</v>
      </c>
      <c r="E4249" t="s">
        <v>1411</v>
      </c>
      <c r="F4249" s="853" t="s">
        <v>528</v>
      </c>
      <c r="H4249" t="s">
        <v>7515</v>
      </c>
    </row>
    <row r="4250" spans="2:8">
      <c r="B4250" s="871">
        <v>46285</v>
      </c>
      <c r="C4250" t="s">
        <v>2489</v>
      </c>
      <c r="D4250" t="s">
        <v>1409</v>
      </c>
      <c r="E4250" t="s">
        <v>1413</v>
      </c>
      <c r="F4250" s="853" t="s">
        <v>526</v>
      </c>
      <c r="G4250" s="913" t="s">
        <v>2111</v>
      </c>
      <c r="H4250" t="s">
        <v>7516</v>
      </c>
    </row>
    <row r="4251" spans="2:8">
      <c r="B4251" s="871">
        <v>46285</v>
      </c>
      <c r="C4251" t="s">
        <v>2489</v>
      </c>
      <c r="D4251" t="s">
        <v>1409</v>
      </c>
      <c r="E4251" t="s">
        <v>1413</v>
      </c>
      <c r="F4251" s="853" t="s">
        <v>527</v>
      </c>
      <c r="G4251" s="913" t="s">
        <v>2035</v>
      </c>
      <c r="H4251" t="s">
        <v>7517</v>
      </c>
    </row>
    <row r="4252" spans="2:8">
      <c r="B4252" s="871">
        <v>46285</v>
      </c>
      <c r="C4252" t="s">
        <v>2489</v>
      </c>
      <c r="D4252" t="s">
        <v>1409</v>
      </c>
      <c r="E4252" t="s">
        <v>1413</v>
      </c>
      <c r="F4252" s="853" t="s">
        <v>528</v>
      </c>
      <c r="G4252" s="913" t="s">
        <v>2035</v>
      </c>
      <c r="H4252" t="s">
        <v>7518</v>
      </c>
    </row>
    <row r="4253" spans="2:8">
      <c r="B4253" s="871">
        <v>46285</v>
      </c>
      <c r="C4253" t="s">
        <v>2489</v>
      </c>
      <c r="D4253" t="s">
        <v>1410</v>
      </c>
      <c r="E4253" t="s">
        <v>3352</v>
      </c>
      <c r="F4253" s="853" t="s">
        <v>526</v>
      </c>
      <c r="G4253" s="913" t="s">
        <v>1418</v>
      </c>
      <c r="H4253" t="s">
        <v>7519</v>
      </c>
    </row>
    <row r="4254" spans="2:8">
      <c r="B4254" s="871">
        <v>46285</v>
      </c>
      <c r="C4254" t="s">
        <v>2489</v>
      </c>
      <c r="D4254" t="s">
        <v>1410</v>
      </c>
      <c r="E4254" t="s">
        <v>3352</v>
      </c>
      <c r="F4254" s="853" t="s">
        <v>527</v>
      </c>
      <c r="G4254" s="913" t="s">
        <v>1418</v>
      </c>
      <c r="H4254" t="s">
        <v>7520</v>
      </c>
    </row>
    <row r="4255" spans="2:8">
      <c r="B4255" s="871">
        <v>46285</v>
      </c>
      <c r="C4255" t="s">
        <v>2489</v>
      </c>
      <c r="D4255" t="s">
        <v>1410</v>
      </c>
      <c r="E4255" t="s">
        <v>3352</v>
      </c>
      <c r="F4255" s="853" t="s">
        <v>528</v>
      </c>
      <c r="G4255" s="913" t="s">
        <v>1418</v>
      </c>
      <c r="H4255" t="s">
        <v>7521</v>
      </c>
    </row>
    <row r="4256" spans="2:8">
      <c r="B4256" s="871">
        <v>46285</v>
      </c>
      <c r="C4256" t="s">
        <v>2489</v>
      </c>
      <c r="D4256" t="s">
        <v>1409</v>
      </c>
      <c r="E4256" t="s">
        <v>1420</v>
      </c>
      <c r="F4256" s="853" t="s">
        <v>526</v>
      </c>
      <c r="G4256" s="913" t="s">
        <v>2112</v>
      </c>
      <c r="H4256" t="s">
        <v>7522</v>
      </c>
    </row>
    <row r="4257" spans="2:8">
      <c r="B4257" s="871">
        <v>46285</v>
      </c>
      <c r="C4257" t="s">
        <v>2489</v>
      </c>
      <c r="D4257" t="s">
        <v>1409</v>
      </c>
      <c r="E4257" t="s">
        <v>1420</v>
      </c>
      <c r="F4257" s="853" t="s">
        <v>527</v>
      </c>
      <c r="G4257" s="913" t="s">
        <v>2036</v>
      </c>
      <c r="H4257" t="s">
        <v>7523</v>
      </c>
    </row>
    <row r="4258" spans="2:8">
      <c r="B4258" s="871">
        <v>46285</v>
      </c>
      <c r="C4258" t="s">
        <v>2489</v>
      </c>
      <c r="D4258" t="s">
        <v>1409</v>
      </c>
      <c r="E4258" t="s">
        <v>1420</v>
      </c>
      <c r="F4258" s="853" t="s">
        <v>528</v>
      </c>
      <c r="G4258" s="913" t="s">
        <v>2036</v>
      </c>
      <c r="H4258" t="s">
        <v>7524</v>
      </c>
    </row>
    <row r="4259" spans="2:8">
      <c r="B4259" s="871">
        <v>46285</v>
      </c>
      <c r="C4259" t="s">
        <v>2489</v>
      </c>
      <c r="D4259" t="s">
        <v>1410</v>
      </c>
      <c r="E4259" t="s">
        <v>3359</v>
      </c>
      <c r="F4259" s="853" t="s">
        <v>526</v>
      </c>
      <c r="G4259" s="913">
        <v>108</v>
      </c>
      <c r="H4259" t="s">
        <v>7525</v>
      </c>
    </row>
    <row r="4260" spans="2:8">
      <c r="B4260" s="871">
        <v>46285</v>
      </c>
      <c r="C4260" t="s">
        <v>2489</v>
      </c>
      <c r="D4260" t="s">
        <v>1410</v>
      </c>
      <c r="E4260" t="s">
        <v>3359</v>
      </c>
      <c r="F4260" s="853" t="s">
        <v>527</v>
      </c>
      <c r="G4260" s="913">
        <v>109</v>
      </c>
      <c r="H4260" t="s">
        <v>7526</v>
      </c>
    </row>
    <row r="4261" spans="2:8">
      <c r="B4261" s="871">
        <v>46285</v>
      </c>
      <c r="C4261" t="s">
        <v>2489</v>
      </c>
      <c r="D4261" t="s">
        <v>1410</v>
      </c>
      <c r="E4261" t="s">
        <v>3359</v>
      </c>
      <c r="F4261" s="853" t="s">
        <v>528</v>
      </c>
      <c r="G4261" s="913">
        <v>107</v>
      </c>
      <c r="H4261" t="s">
        <v>7527</v>
      </c>
    </row>
    <row r="4262" spans="2:8">
      <c r="B4262" s="871">
        <v>46285</v>
      </c>
      <c r="C4262" t="s">
        <v>2489</v>
      </c>
      <c r="D4262" t="s">
        <v>1409</v>
      </c>
      <c r="E4262" t="s">
        <v>1424</v>
      </c>
      <c r="F4262" s="853" t="s">
        <v>526</v>
      </c>
      <c r="H4262" t="s">
        <v>7528</v>
      </c>
    </row>
    <row r="4263" spans="2:8">
      <c r="B4263" s="871">
        <v>46285</v>
      </c>
      <c r="C4263" t="s">
        <v>2489</v>
      </c>
      <c r="D4263" t="s">
        <v>1409</v>
      </c>
      <c r="E4263" t="s">
        <v>1424</v>
      </c>
      <c r="F4263" s="853" t="s">
        <v>527</v>
      </c>
      <c r="H4263" t="s">
        <v>7529</v>
      </c>
    </row>
    <row r="4264" spans="2:8">
      <c r="B4264" s="871">
        <v>46285</v>
      </c>
      <c r="C4264" t="s">
        <v>2489</v>
      </c>
      <c r="D4264" t="s">
        <v>1409</v>
      </c>
      <c r="E4264" t="s">
        <v>1424</v>
      </c>
      <c r="F4264" s="853" t="s">
        <v>528</v>
      </c>
      <c r="H4264" t="s">
        <v>7530</v>
      </c>
    </row>
    <row r="4265" spans="2:8">
      <c r="B4265" s="871">
        <v>46285</v>
      </c>
      <c r="C4265" t="s">
        <v>2489</v>
      </c>
      <c r="D4265" t="s">
        <v>1410</v>
      </c>
      <c r="E4265" t="s">
        <v>3366</v>
      </c>
      <c r="F4265" s="853" t="s">
        <v>526</v>
      </c>
      <c r="G4265" s="913">
        <v>2850</v>
      </c>
      <c r="H4265" t="s">
        <v>7531</v>
      </c>
    </row>
    <row r="4266" spans="2:8">
      <c r="B4266" s="871">
        <v>46285</v>
      </c>
      <c r="C4266" t="s">
        <v>2489</v>
      </c>
      <c r="D4266" t="s">
        <v>1410</v>
      </c>
      <c r="E4266" t="s">
        <v>3366</v>
      </c>
      <c r="F4266" s="853" t="s">
        <v>527</v>
      </c>
      <c r="G4266" s="913">
        <v>2800</v>
      </c>
      <c r="H4266" t="s">
        <v>7532</v>
      </c>
    </row>
    <row r="4267" spans="2:8">
      <c r="B4267" s="871">
        <v>46285</v>
      </c>
      <c r="C4267" t="s">
        <v>2489</v>
      </c>
      <c r="D4267" t="s">
        <v>1410</v>
      </c>
      <c r="E4267" t="s">
        <v>3366</v>
      </c>
      <c r="F4267" s="853" t="s">
        <v>528</v>
      </c>
      <c r="G4267" s="913">
        <v>2786</v>
      </c>
      <c r="H4267" t="s">
        <v>7533</v>
      </c>
    </row>
    <row r="4268" spans="2:8">
      <c r="B4268" s="871">
        <v>46285</v>
      </c>
      <c r="C4268" t="s">
        <v>2489</v>
      </c>
      <c r="D4268" t="s">
        <v>1410</v>
      </c>
      <c r="E4268" t="s">
        <v>3370</v>
      </c>
      <c r="F4268" s="853" t="s">
        <v>526</v>
      </c>
      <c r="G4268" s="913" t="s">
        <v>1427</v>
      </c>
      <c r="H4268" t="s">
        <v>7534</v>
      </c>
    </row>
    <row r="4269" spans="2:8">
      <c r="B4269" s="871">
        <v>46285</v>
      </c>
      <c r="C4269" t="s">
        <v>2489</v>
      </c>
      <c r="D4269" t="s">
        <v>1410</v>
      </c>
      <c r="E4269" t="s">
        <v>3370</v>
      </c>
      <c r="F4269" s="853" t="s">
        <v>527</v>
      </c>
      <c r="G4269" s="913" t="s">
        <v>1427</v>
      </c>
      <c r="H4269" t="s">
        <v>7535</v>
      </c>
    </row>
    <row r="4270" spans="2:8">
      <c r="B4270" s="871">
        <v>46285</v>
      </c>
      <c r="C4270" t="s">
        <v>2489</v>
      </c>
      <c r="D4270" t="s">
        <v>1410</v>
      </c>
      <c r="E4270" t="s">
        <v>3370</v>
      </c>
      <c r="F4270" s="853" t="s">
        <v>528</v>
      </c>
      <c r="G4270" s="913" t="s">
        <v>1427</v>
      </c>
      <c r="H4270" t="s">
        <v>7536</v>
      </c>
    </row>
    <row r="4271" spans="2:8">
      <c r="B4271" s="871">
        <v>46285</v>
      </c>
      <c r="C4271" t="s">
        <v>2489</v>
      </c>
      <c r="D4271" t="s">
        <v>1410</v>
      </c>
      <c r="E4271" t="s">
        <v>3374</v>
      </c>
      <c r="F4271" s="853" t="s">
        <v>526</v>
      </c>
      <c r="G4271" s="913">
        <v>3</v>
      </c>
      <c r="H4271" t="s">
        <v>7537</v>
      </c>
    </row>
    <row r="4272" spans="2:8">
      <c r="B4272" s="871">
        <v>46285</v>
      </c>
      <c r="C4272" t="s">
        <v>2489</v>
      </c>
      <c r="D4272" t="s">
        <v>1410</v>
      </c>
      <c r="E4272" t="s">
        <v>3374</v>
      </c>
      <c r="F4272" s="853" t="s">
        <v>527</v>
      </c>
      <c r="G4272" s="913">
        <v>2.2999999999999998</v>
      </c>
      <c r="H4272" t="s">
        <v>7538</v>
      </c>
    </row>
    <row r="4273" spans="2:8">
      <c r="B4273" s="871">
        <v>46285</v>
      </c>
      <c r="C4273" t="s">
        <v>2489</v>
      </c>
      <c r="D4273" t="s">
        <v>1410</v>
      </c>
      <c r="E4273" t="s">
        <v>3374</v>
      </c>
      <c r="F4273" s="853" t="s">
        <v>528</v>
      </c>
      <c r="G4273" s="913">
        <v>3</v>
      </c>
      <c r="H4273" t="s">
        <v>7539</v>
      </c>
    </row>
    <row r="4274" spans="2:8">
      <c r="B4274" s="871">
        <v>46285</v>
      </c>
      <c r="C4274" t="s">
        <v>2489</v>
      </c>
      <c r="D4274" t="s">
        <v>1410</v>
      </c>
      <c r="E4274" t="s">
        <v>3378</v>
      </c>
      <c r="F4274" s="853" t="s">
        <v>526</v>
      </c>
      <c r="G4274" s="913" t="s">
        <v>1430</v>
      </c>
      <c r="H4274" t="s">
        <v>7540</v>
      </c>
    </row>
    <row r="4275" spans="2:8">
      <c r="B4275" s="871">
        <v>46285</v>
      </c>
      <c r="C4275" t="s">
        <v>2489</v>
      </c>
      <c r="D4275" t="s">
        <v>1410</v>
      </c>
      <c r="E4275" t="s">
        <v>3378</v>
      </c>
      <c r="F4275" s="853" t="s">
        <v>527</v>
      </c>
      <c r="G4275" s="913" t="s">
        <v>1430</v>
      </c>
      <c r="H4275" t="s">
        <v>7541</v>
      </c>
    </row>
    <row r="4276" spans="2:8">
      <c r="B4276" s="871">
        <v>46285</v>
      </c>
      <c r="C4276" t="s">
        <v>2489</v>
      </c>
      <c r="D4276" t="s">
        <v>1410</v>
      </c>
      <c r="E4276" t="s">
        <v>3378</v>
      </c>
      <c r="F4276" s="853" t="s">
        <v>528</v>
      </c>
      <c r="G4276" s="913" t="s">
        <v>1430</v>
      </c>
      <c r="H4276" t="s">
        <v>7542</v>
      </c>
    </row>
    <row r="4277" spans="2:8">
      <c r="B4277" s="871">
        <v>46285</v>
      </c>
      <c r="C4277" t="s">
        <v>2489</v>
      </c>
      <c r="D4277" t="s">
        <v>1410</v>
      </c>
      <c r="E4277" t="s">
        <v>3382</v>
      </c>
      <c r="F4277" s="853" t="s">
        <v>526</v>
      </c>
      <c r="G4277" s="913">
        <v>98</v>
      </c>
      <c r="H4277" t="s">
        <v>7543</v>
      </c>
    </row>
    <row r="4278" spans="2:8">
      <c r="B4278" s="871">
        <v>46285</v>
      </c>
      <c r="C4278" t="s">
        <v>2489</v>
      </c>
      <c r="D4278" t="s">
        <v>1410</v>
      </c>
      <c r="E4278" t="s">
        <v>3382</v>
      </c>
      <c r="F4278" s="853" t="s">
        <v>527</v>
      </c>
      <c r="G4278" s="913">
        <v>98</v>
      </c>
      <c r="H4278" t="s">
        <v>7544</v>
      </c>
    </row>
    <row r="4279" spans="2:8">
      <c r="B4279" s="871">
        <v>46285</v>
      </c>
      <c r="C4279" t="s">
        <v>2489</v>
      </c>
      <c r="D4279" t="s">
        <v>1410</v>
      </c>
      <c r="E4279" t="s">
        <v>3382</v>
      </c>
      <c r="F4279" s="853" t="s">
        <v>528</v>
      </c>
      <c r="G4279" s="913">
        <v>99</v>
      </c>
      <c r="H4279" t="s">
        <v>7545</v>
      </c>
    </row>
    <row r="4280" spans="2:8">
      <c r="B4280" s="871">
        <v>46285</v>
      </c>
      <c r="C4280" t="s">
        <v>2489</v>
      </c>
      <c r="D4280" t="s">
        <v>1409</v>
      </c>
      <c r="E4280" t="s">
        <v>1431</v>
      </c>
      <c r="F4280" s="853" t="s">
        <v>526</v>
      </c>
      <c r="H4280" t="s">
        <v>7546</v>
      </c>
    </row>
    <row r="4281" spans="2:8">
      <c r="B4281" s="871">
        <v>46285</v>
      </c>
      <c r="C4281" t="s">
        <v>2489</v>
      </c>
      <c r="D4281" t="s">
        <v>1409</v>
      </c>
      <c r="E4281" t="s">
        <v>1431</v>
      </c>
      <c r="F4281" s="853" t="s">
        <v>527</v>
      </c>
      <c r="H4281" t="s">
        <v>7547</v>
      </c>
    </row>
    <row r="4282" spans="2:8">
      <c r="B4282" s="871">
        <v>46285</v>
      </c>
      <c r="C4282" t="s">
        <v>2489</v>
      </c>
      <c r="D4282" t="s">
        <v>1409</v>
      </c>
      <c r="E4282" t="s">
        <v>1431</v>
      </c>
      <c r="F4282" s="853" t="s">
        <v>528</v>
      </c>
      <c r="H4282" t="s">
        <v>7548</v>
      </c>
    </row>
    <row r="4283" spans="2:8">
      <c r="B4283" s="871">
        <v>46285</v>
      </c>
      <c r="C4283" t="s">
        <v>2489</v>
      </c>
      <c r="D4283" t="s">
        <v>1410</v>
      </c>
      <c r="E4283" t="s">
        <v>3389</v>
      </c>
      <c r="F4283" s="853" t="s">
        <v>526</v>
      </c>
      <c r="G4283" s="913">
        <v>2630</v>
      </c>
      <c r="H4283" t="s">
        <v>7549</v>
      </c>
    </row>
    <row r="4284" spans="2:8">
      <c r="B4284" s="871">
        <v>46285</v>
      </c>
      <c r="C4284" t="s">
        <v>2489</v>
      </c>
      <c r="D4284" t="s">
        <v>1410</v>
      </c>
      <c r="E4284" t="s">
        <v>3389</v>
      </c>
      <c r="F4284" s="853" t="s">
        <v>527</v>
      </c>
      <c r="G4284" s="913">
        <v>2720</v>
      </c>
      <c r="H4284" t="s">
        <v>7550</v>
      </c>
    </row>
    <row r="4285" spans="2:8">
      <c r="B4285" s="871">
        <v>46285</v>
      </c>
      <c r="C4285" t="s">
        <v>2489</v>
      </c>
      <c r="D4285" t="s">
        <v>1410</v>
      </c>
      <c r="E4285" t="s">
        <v>3389</v>
      </c>
      <c r="F4285" s="853" t="s">
        <v>528</v>
      </c>
      <c r="G4285" s="913">
        <v>2685</v>
      </c>
      <c r="H4285" t="s">
        <v>7551</v>
      </c>
    </row>
    <row r="4286" spans="2:8">
      <c r="B4286" s="871">
        <v>46285</v>
      </c>
      <c r="C4286" t="s">
        <v>2489</v>
      </c>
      <c r="D4286" t="s">
        <v>1410</v>
      </c>
      <c r="E4286" t="s">
        <v>3393</v>
      </c>
      <c r="F4286" s="853" t="s">
        <v>526</v>
      </c>
      <c r="G4286" s="913" t="s">
        <v>1820</v>
      </c>
      <c r="H4286" t="s">
        <v>7552</v>
      </c>
    </row>
    <row r="4287" spans="2:8">
      <c r="B4287" s="871">
        <v>46285</v>
      </c>
      <c r="C4287" t="s">
        <v>2489</v>
      </c>
      <c r="D4287" t="s">
        <v>1410</v>
      </c>
      <c r="E4287" t="s">
        <v>3393</v>
      </c>
      <c r="F4287" s="853" t="s">
        <v>527</v>
      </c>
      <c r="G4287" s="913" t="s">
        <v>1663</v>
      </c>
      <c r="H4287" t="s">
        <v>7553</v>
      </c>
    </row>
    <row r="4288" spans="2:8">
      <c r="B4288" s="871">
        <v>46285</v>
      </c>
      <c r="C4288" t="s">
        <v>2489</v>
      </c>
      <c r="D4288" t="s">
        <v>1410</v>
      </c>
      <c r="E4288" t="s">
        <v>3393</v>
      </c>
      <c r="F4288" s="853" t="s">
        <v>528</v>
      </c>
      <c r="G4288" s="913" t="s">
        <v>1820</v>
      </c>
      <c r="H4288" t="s">
        <v>7554</v>
      </c>
    </row>
    <row r="4289" spans="2:8">
      <c r="B4289" s="871">
        <v>46285</v>
      </c>
      <c r="C4289" t="s">
        <v>2489</v>
      </c>
      <c r="D4289" t="s">
        <v>1410</v>
      </c>
      <c r="E4289" t="s">
        <v>3397</v>
      </c>
      <c r="F4289" s="853" t="s">
        <v>526</v>
      </c>
      <c r="G4289" s="913" t="s">
        <v>1435</v>
      </c>
      <c r="H4289" t="s">
        <v>7555</v>
      </c>
    </row>
    <row r="4290" spans="2:8">
      <c r="B4290" s="871">
        <v>46285</v>
      </c>
      <c r="C4290" t="s">
        <v>2489</v>
      </c>
      <c r="D4290" t="s">
        <v>1410</v>
      </c>
      <c r="E4290" t="s">
        <v>3397</v>
      </c>
      <c r="F4290" s="853" t="s">
        <v>527</v>
      </c>
      <c r="G4290" s="913" t="s">
        <v>1435</v>
      </c>
      <c r="H4290" t="s">
        <v>7556</v>
      </c>
    </row>
    <row r="4291" spans="2:8">
      <c r="B4291" s="871">
        <v>46285</v>
      </c>
      <c r="C4291" t="s">
        <v>2489</v>
      </c>
      <c r="D4291" t="s">
        <v>1410</v>
      </c>
      <c r="E4291" t="s">
        <v>3397</v>
      </c>
      <c r="F4291" s="853" t="s">
        <v>528</v>
      </c>
      <c r="G4291" s="913" t="s">
        <v>1435</v>
      </c>
      <c r="H4291" t="s">
        <v>7557</v>
      </c>
    </row>
    <row r="4292" spans="2:8">
      <c r="B4292" s="871">
        <v>46285</v>
      </c>
      <c r="C4292" t="s">
        <v>2489</v>
      </c>
      <c r="D4292" t="s">
        <v>1434</v>
      </c>
      <c r="E4292" t="s">
        <v>42</v>
      </c>
      <c r="F4292" s="853" t="s">
        <v>526</v>
      </c>
      <c r="G4292" s="913" t="s">
        <v>2037</v>
      </c>
      <c r="H4292" t="s">
        <v>7558</v>
      </c>
    </row>
    <row r="4293" spans="2:8">
      <c r="B4293" s="871">
        <v>46285</v>
      </c>
      <c r="C4293" t="s">
        <v>2489</v>
      </c>
      <c r="D4293" t="s">
        <v>1434</v>
      </c>
      <c r="E4293" t="s">
        <v>42</v>
      </c>
      <c r="F4293" s="853" t="s">
        <v>527</v>
      </c>
      <c r="G4293" s="913" t="s">
        <v>2037</v>
      </c>
      <c r="H4293" t="s">
        <v>7559</v>
      </c>
    </row>
    <row r="4294" spans="2:8">
      <c r="B4294" s="871">
        <v>46285</v>
      </c>
      <c r="C4294" t="s">
        <v>2489</v>
      </c>
      <c r="D4294" t="s">
        <v>1434</v>
      </c>
      <c r="E4294" t="s">
        <v>42</v>
      </c>
      <c r="F4294" s="853" t="s">
        <v>528</v>
      </c>
      <c r="G4294" s="913" t="s">
        <v>2037</v>
      </c>
      <c r="H4294" t="s">
        <v>7560</v>
      </c>
    </row>
    <row r="4295" spans="2:8">
      <c r="B4295" s="871">
        <v>46285</v>
      </c>
      <c r="C4295" t="s">
        <v>2489</v>
      </c>
      <c r="D4295" t="s">
        <v>1410</v>
      </c>
      <c r="E4295" t="s">
        <v>3404</v>
      </c>
      <c r="F4295" s="853" t="s">
        <v>526</v>
      </c>
      <c r="G4295" s="913" t="s">
        <v>1419</v>
      </c>
      <c r="H4295" t="s">
        <v>7561</v>
      </c>
    </row>
    <row r="4296" spans="2:8">
      <c r="B4296" s="871">
        <v>46285</v>
      </c>
      <c r="C4296" t="s">
        <v>2489</v>
      </c>
      <c r="D4296" t="s">
        <v>1410</v>
      </c>
      <c r="E4296" t="s">
        <v>3404</v>
      </c>
      <c r="F4296" s="853" t="s">
        <v>527</v>
      </c>
      <c r="G4296" s="913" t="s">
        <v>1419</v>
      </c>
      <c r="H4296" t="s">
        <v>7562</v>
      </c>
    </row>
    <row r="4297" spans="2:8">
      <c r="B4297" s="871">
        <v>46285</v>
      </c>
      <c r="C4297" t="s">
        <v>2489</v>
      </c>
      <c r="D4297" t="s">
        <v>1410</v>
      </c>
      <c r="E4297" t="s">
        <v>3404</v>
      </c>
      <c r="F4297" s="853" t="s">
        <v>528</v>
      </c>
      <c r="G4297" s="913" t="s">
        <v>1419</v>
      </c>
      <c r="H4297" t="s">
        <v>7563</v>
      </c>
    </row>
    <row r="4298" spans="2:8">
      <c r="B4298" s="871">
        <v>46285</v>
      </c>
      <c r="C4298" t="s">
        <v>2489</v>
      </c>
      <c r="D4298" t="s">
        <v>1434</v>
      </c>
      <c r="E4298" t="s">
        <v>1439</v>
      </c>
      <c r="F4298" s="853" t="s">
        <v>526</v>
      </c>
      <c r="G4298" s="913" t="s">
        <v>9412</v>
      </c>
      <c r="H4298" t="s">
        <v>7564</v>
      </c>
    </row>
    <row r="4299" spans="2:8">
      <c r="B4299" s="871">
        <v>46285</v>
      </c>
      <c r="C4299" t="s">
        <v>2489</v>
      </c>
      <c r="D4299" t="s">
        <v>1434</v>
      </c>
      <c r="E4299" t="s">
        <v>1439</v>
      </c>
      <c r="F4299" s="853" t="s">
        <v>527</v>
      </c>
      <c r="G4299" s="913" t="s">
        <v>9412</v>
      </c>
      <c r="H4299" t="s">
        <v>7565</v>
      </c>
    </row>
    <row r="4300" spans="2:8">
      <c r="B4300" s="871">
        <v>46285</v>
      </c>
      <c r="C4300" t="s">
        <v>2489</v>
      </c>
      <c r="D4300" t="s">
        <v>1434</v>
      </c>
      <c r="E4300" t="s">
        <v>1439</v>
      </c>
      <c r="F4300" s="853" t="s">
        <v>528</v>
      </c>
      <c r="G4300" s="913" t="s">
        <v>9412</v>
      </c>
      <c r="H4300" t="s">
        <v>7566</v>
      </c>
    </row>
    <row r="4301" spans="2:8">
      <c r="B4301" s="871">
        <v>46285</v>
      </c>
      <c r="C4301" t="s">
        <v>2489</v>
      </c>
      <c r="D4301" t="s">
        <v>1410</v>
      </c>
      <c r="E4301" t="s">
        <v>3411</v>
      </c>
      <c r="F4301" s="853" t="s">
        <v>526</v>
      </c>
      <c r="G4301" s="913">
        <v>35</v>
      </c>
      <c r="H4301" t="s">
        <v>7567</v>
      </c>
    </row>
    <row r="4302" spans="2:8">
      <c r="B4302" s="871">
        <v>46285</v>
      </c>
      <c r="C4302" t="s">
        <v>2489</v>
      </c>
      <c r="D4302" t="s">
        <v>1410</v>
      </c>
      <c r="E4302" t="s">
        <v>3411</v>
      </c>
      <c r="F4302" s="853" t="s">
        <v>527</v>
      </c>
      <c r="G4302" s="913">
        <v>35</v>
      </c>
      <c r="H4302" t="s">
        <v>7568</v>
      </c>
    </row>
    <row r="4303" spans="2:8">
      <c r="B4303" s="871">
        <v>46285</v>
      </c>
      <c r="C4303" t="s">
        <v>2489</v>
      </c>
      <c r="D4303" t="s">
        <v>1410</v>
      </c>
      <c r="E4303" t="s">
        <v>3411</v>
      </c>
      <c r="F4303" s="853" t="s">
        <v>528</v>
      </c>
      <c r="G4303" s="913">
        <v>35</v>
      </c>
      <c r="H4303" t="s">
        <v>7569</v>
      </c>
    </row>
    <row r="4304" spans="2:8">
      <c r="B4304" s="871">
        <v>46285</v>
      </c>
      <c r="C4304" t="s">
        <v>2489</v>
      </c>
      <c r="D4304" t="s">
        <v>1434</v>
      </c>
      <c r="E4304" t="s">
        <v>43</v>
      </c>
      <c r="F4304" s="853" t="s">
        <v>526</v>
      </c>
      <c r="G4304" s="913" t="s">
        <v>2038</v>
      </c>
      <c r="H4304" t="s">
        <v>7570</v>
      </c>
    </row>
    <row r="4305" spans="2:8">
      <c r="B4305" s="871">
        <v>46285</v>
      </c>
      <c r="C4305" t="s">
        <v>2489</v>
      </c>
      <c r="D4305" t="s">
        <v>1434</v>
      </c>
      <c r="E4305" t="s">
        <v>43</v>
      </c>
      <c r="F4305" s="853" t="s">
        <v>527</v>
      </c>
      <c r="G4305" s="913" t="s">
        <v>2038</v>
      </c>
      <c r="H4305" t="s">
        <v>7571</v>
      </c>
    </row>
    <row r="4306" spans="2:8">
      <c r="B4306" s="871">
        <v>46285</v>
      </c>
      <c r="C4306" t="s">
        <v>2489</v>
      </c>
      <c r="D4306" t="s">
        <v>1434</v>
      </c>
      <c r="E4306" t="s">
        <v>43</v>
      </c>
      <c r="F4306" s="853" t="s">
        <v>528</v>
      </c>
      <c r="G4306" s="913" t="s">
        <v>2038</v>
      </c>
      <c r="H4306" t="s">
        <v>7572</v>
      </c>
    </row>
    <row r="4307" spans="2:8">
      <c r="B4307" s="871">
        <v>46285</v>
      </c>
      <c r="C4307" t="s">
        <v>2489</v>
      </c>
      <c r="D4307" t="s">
        <v>1410</v>
      </c>
      <c r="E4307" t="s">
        <v>3418</v>
      </c>
      <c r="F4307" s="853" t="s">
        <v>526</v>
      </c>
      <c r="G4307" s="913">
        <v>99</v>
      </c>
      <c r="H4307" t="s">
        <v>7573</v>
      </c>
    </row>
    <row r="4308" spans="2:8">
      <c r="B4308" s="871">
        <v>46285</v>
      </c>
      <c r="C4308" t="s">
        <v>2489</v>
      </c>
      <c r="D4308" t="s">
        <v>1410</v>
      </c>
      <c r="E4308" t="s">
        <v>3418</v>
      </c>
      <c r="F4308" s="853" t="s">
        <v>527</v>
      </c>
      <c r="G4308" s="913">
        <v>106</v>
      </c>
      <c r="H4308" t="s">
        <v>7574</v>
      </c>
    </row>
    <row r="4309" spans="2:8">
      <c r="B4309" s="871">
        <v>46285</v>
      </c>
      <c r="C4309" t="s">
        <v>2489</v>
      </c>
      <c r="D4309" t="s">
        <v>1410</v>
      </c>
      <c r="E4309" t="s">
        <v>3418</v>
      </c>
      <c r="F4309" s="853" t="s">
        <v>528</v>
      </c>
      <c r="G4309" s="913">
        <v>107</v>
      </c>
      <c r="H4309" t="s">
        <v>7575</v>
      </c>
    </row>
    <row r="4310" spans="2:8">
      <c r="B4310" s="871">
        <v>46285</v>
      </c>
      <c r="C4310" t="s">
        <v>2489</v>
      </c>
      <c r="D4310" t="s">
        <v>1434</v>
      </c>
      <c r="E4310" t="s">
        <v>1441</v>
      </c>
      <c r="F4310" s="853" t="s">
        <v>526</v>
      </c>
      <c r="H4310" t="s">
        <v>7576</v>
      </c>
    </row>
    <row r="4311" spans="2:8">
      <c r="B4311" s="871">
        <v>46285</v>
      </c>
      <c r="C4311" t="s">
        <v>2489</v>
      </c>
      <c r="D4311" t="s">
        <v>1434</v>
      </c>
      <c r="E4311" t="s">
        <v>1441</v>
      </c>
      <c r="F4311" s="853" t="s">
        <v>527</v>
      </c>
      <c r="H4311" t="s">
        <v>7577</v>
      </c>
    </row>
    <row r="4312" spans="2:8">
      <c r="B4312" s="871">
        <v>46285</v>
      </c>
      <c r="C4312" t="s">
        <v>2489</v>
      </c>
      <c r="D4312" t="s">
        <v>1434</v>
      </c>
      <c r="E4312" t="s">
        <v>1441</v>
      </c>
      <c r="F4312" s="853" t="s">
        <v>528</v>
      </c>
      <c r="H4312" t="s">
        <v>7578</v>
      </c>
    </row>
    <row r="4313" spans="2:8">
      <c r="B4313" s="871">
        <v>46285</v>
      </c>
      <c r="C4313" t="s">
        <v>2489</v>
      </c>
      <c r="D4313" t="s">
        <v>1410</v>
      </c>
      <c r="E4313" t="s">
        <v>3425</v>
      </c>
      <c r="F4313" s="853" t="s">
        <v>526</v>
      </c>
      <c r="G4313" s="913" t="s">
        <v>1443</v>
      </c>
      <c r="H4313" t="s">
        <v>7579</v>
      </c>
    </row>
    <row r="4314" spans="2:8">
      <c r="B4314" s="871">
        <v>46285</v>
      </c>
      <c r="C4314" t="s">
        <v>2489</v>
      </c>
      <c r="D4314" t="s">
        <v>1410</v>
      </c>
      <c r="E4314" t="s">
        <v>3425</v>
      </c>
      <c r="F4314" s="853" t="s">
        <v>527</v>
      </c>
      <c r="G4314" s="913" t="s">
        <v>1443</v>
      </c>
      <c r="H4314" t="s">
        <v>7580</v>
      </c>
    </row>
    <row r="4315" spans="2:8">
      <c r="B4315" s="871">
        <v>46285</v>
      </c>
      <c r="C4315" t="s">
        <v>2489</v>
      </c>
      <c r="D4315" t="s">
        <v>1410</v>
      </c>
      <c r="E4315" t="s">
        <v>3425</v>
      </c>
      <c r="F4315" s="853" t="s">
        <v>528</v>
      </c>
      <c r="G4315" s="913" t="s">
        <v>1443</v>
      </c>
      <c r="H4315" t="s">
        <v>7581</v>
      </c>
    </row>
    <row r="4316" spans="2:8">
      <c r="B4316" s="871">
        <v>46285</v>
      </c>
      <c r="C4316" t="s">
        <v>2489</v>
      </c>
      <c r="D4316" t="s">
        <v>1434</v>
      </c>
      <c r="E4316" t="s">
        <v>1444</v>
      </c>
      <c r="F4316" s="853" t="s">
        <v>526</v>
      </c>
      <c r="H4316" t="s">
        <v>7582</v>
      </c>
    </row>
    <row r="4317" spans="2:8">
      <c r="B4317" s="871">
        <v>46285</v>
      </c>
      <c r="C4317" t="s">
        <v>2489</v>
      </c>
      <c r="D4317" t="s">
        <v>1434</v>
      </c>
      <c r="E4317" t="s">
        <v>1444</v>
      </c>
      <c r="F4317" s="853" t="s">
        <v>527</v>
      </c>
      <c r="H4317" t="s">
        <v>7583</v>
      </c>
    </row>
    <row r="4318" spans="2:8">
      <c r="B4318" s="871">
        <v>46285</v>
      </c>
      <c r="C4318" t="s">
        <v>2489</v>
      </c>
      <c r="D4318" t="s">
        <v>1434</v>
      </c>
      <c r="E4318" t="s">
        <v>1444</v>
      </c>
      <c r="F4318" s="853" t="s">
        <v>528</v>
      </c>
      <c r="H4318" t="s">
        <v>7584</v>
      </c>
    </row>
    <row r="4319" spans="2:8">
      <c r="B4319" s="871">
        <v>46285</v>
      </c>
      <c r="C4319" t="s">
        <v>2489</v>
      </c>
      <c r="D4319" t="s">
        <v>1434</v>
      </c>
      <c r="E4319" t="s">
        <v>1446</v>
      </c>
      <c r="F4319" s="853" t="s">
        <v>526</v>
      </c>
      <c r="G4319" s="913" t="s">
        <v>2113</v>
      </c>
      <c r="H4319" t="s">
        <v>7585</v>
      </c>
    </row>
    <row r="4320" spans="2:8">
      <c r="B4320" s="871">
        <v>46285</v>
      </c>
      <c r="C4320" t="s">
        <v>2489</v>
      </c>
      <c r="D4320" t="s">
        <v>1434</v>
      </c>
      <c r="E4320" t="s">
        <v>1446</v>
      </c>
      <c r="F4320" s="853" t="s">
        <v>527</v>
      </c>
      <c r="G4320" s="913" t="s">
        <v>2078</v>
      </c>
      <c r="H4320" t="s">
        <v>7586</v>
      </c>
    </row>
    <row r="4321" spans="2:8">
      <c r="B4321" s="871">
        <v>46285</v>
      </c>
      <c r="C4321" t="s">
        <v>2489</v>
      </c>
      <c r="D4321" t="s">
        <v>1434</v>
      </c>
      <c r="E4321" t="s">
        <v>1446</v>
      </c>
      <c r="F4321" s="853" t="s">
        <v>528</v>
      </c>
      <c r="G4321" s="913" t="s">
        <v>2079</v>
      </c>
      <c r="H4321" t="s">
        <v>7587</v>
      </c>
    </row>
    <row r="4322" spans="2:8">
      <c r="B4322" s="871">
        <v>46285</v>
      </c>
      <c r="C4322" t="s">
        <v>2489</v>
      </c>
      <c r="D4322" t="s">
        <v>1410</v>
      </c>
      <c r="E4322" t="s">
        <v>3435</v>
      </c>
      <c r="F4322" s="853" t="s">
        <v>526</v>
      </c>
      <c r="G4322" s="913" t="s">
        <v>1586</v>
      </c>
      <c r="H4322" t="s">
        <v>7588</v>
      </c>
    </row>
    <row r="4323" spans="2:8">
      <c r="B4323" s="871">
        <v>46285</v>
      </c>
      <c r="C4323" t="s">
        <v>2489</v>
      </c>
      <c r="D4323" t="s">
        <v>1410</v>
      </c>
      <c r="E4323" t="s">
        <v>3435</v>
      </c>
      <c r="F4323" s="853" t="s">
        <v>527</v>
      </c>
      <c r="G4323" s="913" t="s">
        <v>1586</v>
      </c>
      <c r="H4323" t="s">
        <v>7589</v>
      </c>
    </row>
    <row r="4324" spans="2:8">
      <c r="B4324" s="871">
        <v>46285</v>
      </c>
      <c r="C4324" t="s">
        <v>2489</v>
      </c>
      <c r="D4324" t="s">
        <v>1410</v>
      </c>
      <c r="E4324" t="s">
        <v>3435</v>
      </c>
      <c r="F4324" s="853" t="s">
        <v>528</v>
      </c>
      <c r="G4324" s="913" t="s">
        <v>1586</v>
      </c>
      <c r="H4324" t="s">
        <v>7590</v>
      </c>
    </row>
    <row r="4325" spans="2:8">
      <c r="B4325" s="871">
        <v>46285</v>
      </c>
      <c r="C4325" t="s">
        <v>2489</v>
      </c>
      <c r="D4325" t="s">
        <v>1434</v>
      </c>
      <c r="E4325" t="s">
        <v>3439</v>
      </c>
      <c r="F4325" s="853" t="s">
        <v>526</v>
      </c>
      <c r="H4325" t="s">
        <v>7591</v>
      </c>
    </row>
    <row r="4326" spans="2:8">
      <c r="B4326" s="871">
        <v>46285</v>
      </c>
      <c r="C4326" t="s">
        <v>2489</v>
      </c>
      <c r="D4326" t="s">
        <v>1434</v>
      </c>
      <c r="E4326" t="s">
        <v>3439</v>
      </c>
      <c r="F4326" s="853" t="s">
        <v>527</v>
      </c>
      <c r="H4326" t="s">
        <v>7592</v>
      </c>
    </row>
    <row r="4327" spans="2:8">
      <c r="B4327" s="871">
        <v>46285</v>
      </c>
      <c r="C4327" t="s">
        <v>2489</v>
      </c>
      <c r="D4327" t="s">
        <v>1434</v>
      </c>
      <c r="E4327" t="s">
        <v>3439</v>
      </c>
      <c r="F4327" s="853" t="s">
        <v>528</v>
      </c>
      <c r="H4327" t="s">
        <v>7593</v>
      </c>
    </row>
    <row r="4328" spans="2:8">
      <c r="B4328" s="871">
        <v>46285</v>
      </c>
      <c r="C4328" t="s">
        <v>2489</v>
      </c>
      <c r="D4328" t="s">
        <v>1410</v>
      </c>
      <c r="E4328" t="s">
        <v>3443</v>
      </c>
      <c r="F4328" s="853" t="s">
        <v>526</v>
      </c>
      <c r="H4328" t="s">
        <v>7594</v>
      </c>
    </row>
    <row r="4329" spans="2:8">
      <c r="B4329" s="871">
        <v>46285</v>
      </c>
      <c r="C4329" t="s">
        <v>2489</v>
      </c>
      <c r="D4329" t="s">
        <v>1410</v>
      </c>
      <c r="E4329" t="s">
        <v>3443</v>
      </c>
      <c r="F4329" s="853" t="s">
        <v>527</v>
      </c>
      <c r="H4329" t="s">
        <v>7595</v>
      </c>
    </row>
    <row r="4330" spans="2:8">
      <c r="B4330" s="871">
        <v>46285</v>
      </c>
      <c r="C4330" t="s">
        <v>2489</v>
      </c>
      <c r="D4330" t="s">
        <v>1410</v>
      </c>
      <c r="E4330" t="s">
        <v>3443</v>
      </c>
      <c r="F4330" s="853" t="s">
        <v>528</v>
      </c>
      <c r="H4330" t="s">
        <v>7596</v>
      </c>
    </row>
    <row r="4331" spans="2:8">
      <c r="B4331" s="871">
        <v>46285</v>
      </c>
      <c r="C4331" t="s">
        <v>2489</v>
      </c>
      <c r="D4331" t="s">
        <v>1434</v>
      </c>
      <c r="E4331" t="s">
        <v>3447</v>
      </c>
      <c r="F4331" s="853" t="s">
        <v>526</v>
      </c>
      <c r="H4331" t="s">
        <v>7597</v>
      </c>
    </row>
    <row r="4332" spans="2:8">
      <c r="B4332" s="871">
        <v>46285</v>
      </c>
      <c r="C4332" t="s">
        <v>2489</v>
      </c>
      <c r="D4332" t="s">
        <v>1434</v>
      </c>
      <c r="E4332" t="s">
        <v>3447</v>
      </c>
      <c r="F4332" s="853" t="s">
        <v>527</v>
      </c>
      <c r="H4332" t="s">
        <v>7598</v>
      </c>
    </row>
    <row r="4333" spans="2:8">
      <c r="B4333" s="871">
        <v>46285</v>
      </c>
      <c r="C4333" t="s">
        <v>2489</v>
      </c>
      <c r="D4333" t="s">
        <v>1434</v>
      </c>
      <c r="E4333" t="s">
        <v>3447</v>
      </c>
      <c r="F4333" s="853" t="s">
        <v>528</v>
      </c>
      <c r="H4333" t="s">
        <v>7599</v>
      </c>
    </row>
    <row r="4334" spans="2:8">
      <c r="B4334" s="871">
        <v>46285</v>
      </c>
      <c r="C4334" t="s">
        <v>2489</v>
      </c>
      <c r="D4334" t="s">
        <v>1410</v>
      </c>
      <c r="E4334" t="s">
        <v>3451</v>
      </c>
      <c r="F4334" s="853" t="s">
        <v>526</v>
      </c>
      <c r="H4334" t="s">
        <v>7600</v>
      </c>
    </row>
    <row r="4335" spans="2:8">
      <c r="B4335" s="871">
        <v>46285</v>
      </c>
      <c r="C4335" t="s">
        <v>2489</v>
      </c>
      <c r="D4335" t="s">
        <v>1410</v>
      </c>
      <c r="E4335" t="s">
        <v>3451</v>
      </c>
      <c r="F4335" s="853" t="s">
        <v>527</v>
      </c>
      <c r="H4335" t="s">
        <v>7601</v>
      </c>
    </row>
    <row r="4336" spans="2:8">
      <c r="B4336" s="871">
        <v>46285</v>
      </c>
      <c r="C4336" t="s">
        <v>2489</v>
      </c>
      <c r="D4336" t="s">
        <v>1410</v>
      </c>
      <c r="E4336" t="s">
        <v>3451</v>
      </c>
      <c r="F4336" s="853" t="s">
        <v>528</v>
      </c>
      <c r="H4336" t="s">
        <v>7602</v>
      </c>
    </row>
    <row r="4337" spans="2:8">
      <c r="B4337" s="871">
        <v>46285</v>
      </c>
      <c r="C4337" t="s">
        <v>2489</v>
      </c>
      <c r="D4337" t="s">
        <v>1434</v>
      </c>
      <c r="E4337" t="s">
        <v>3455</v>
      </c>
      <c r="F4337" s="853" t="s">
        <v>526</v>
      </c>
      <c r="H4337" t="s">
        <v>7603</v>
      </c>
    </row>
    <row r="4338" spans="2:8">
      <c r="B4338" s="871">
        <v>46285</v>
      </c>
      <c r="C4338" t="s">
        <v>2489</v>
      </c>
      <c r="D4338" t="s">
        <v>1434</v>
      </c>
      <c r="E4338" t="s">
        <v>3455</v>
      </c>
      <c r="F4338" s="853" t="s">
        <v>527</v>
      </c>
      <c r="H4338" t="s">
        <v>7604</v>
      </c>
    </row>
    <row r="4339" spans="2:8">
      <c r="B4339" s="871">
        <v>46285</v>
      </c>
      <c r="C4339" t="s">
        <v>2489</v>
      </c>
      <c r="D4339" t="s">
        <v>1434</v>
      </c>
      <c r="E4339" t="s">
        <v>3455</v>
      </c>
      <c r="F4339" s="853" t="s">
        <v>528</v>
      </c>
      <c r="H4339" t="s">
        <v>7605</v>
      </c>
    </row>
    <row r="4340" spans="2:8">
      <c r="B4340" s="871">
        <v>46285</v>
      </c>
      <c r="C4340" t="s">
        <v>2489</v>
      </c>
      <c r="D4340" t="s">
        <v>1410</v>
      </c>
      <c r="E4340" t="s">
        <v>3459</v>
      </c>
      <c r="F4340" s="853" t="s">
        <v>526</v>
      </c>
      <c r="G4340" s="913">
        <v>27</v>
      </c>
      <c r="H4340" t="s">
        <v>7606</v>
      </c>
    </row>
    <row r="4341" spans="2:8">
      <c r="B4341" s="871">
        <v>46285</v>
      </c>
      <c r="C4341" t="s">
        <v>2489</v>
      </c>
      <c r="D4341" t="s">
        <v>1410</v>
      </c>
      <c r="E4341" t="s">
        <v>3459</v>
      </c>
      <c r="F4341" s="853" t="s">
        <v>527</v>
      </c>
      <c r="G4341" s="913">
        <v>28</v>
      </c>
      <c r="H4341" t="s">
        <v>7607</v>
      </c>
    </row>
    <row r="4342" spans="2:8">
      <c r="B4342" s="871">
        <v>46285</v>
      </c>
      <c r="C4342" t="s">
        <v>2489</v>
      </c>
      <c r="D4342" t="s">
        <v>1410</v>
      </c>
      <c r="E4342" t="s">
        <v>3459</v>
      </c>
      <c r="F4342" s="853" t="s">
        <v>528</v>
      </c>
      <c r="G4342" s="913">
        <v>29.8</v>
      </c>
      <c r="H4342" t="s">
        <v>7608</v>
      </c>
    </row>
    <row r="4343" spans="2:8">
      <c r="B4343" s="871">
        <v>46285</v>
      </c>
      <c r="C4343" t="s">
        <v>2489</v>
      </c>
      <c r="D4343" t="s">
        <v>1434</v>
      </c>
      <c r="E4343" t="s">
        <v>3463</v>
      </c>
      <c r="F4343" s="853" t="s">
        <v>526</v>
      </c>
      <c r="H4343" t="s">
        <v>7609</v>
      </c>
    </row>
    <row r="4344" spans="2:8">
      <c r="B4344" s="871">
        <v>46285</v>
      </c>
      <c r="C4344" t="s">
        <v>2489</v>
      </c>
      <c r="D4344" t="s">
        <v>1434</v>
      </c>
      <c r="E4344" t="s">
        <v>3463</v>
      </c>
      <c r="F4344" s="853" t="s">
        <v>527</v>
      </c>
      <c r="H4344" t="s">
        <v>7610</v>
      </c>
    </row>
    <row r="4345" spans="2:8">
      <c r="B4345" s="871">
        <v>46285</v>
      </c>
      <c r="C4345" t="s">
        <v>2489</v>
      </c>
      <c r="D4345" t="s">
        <v>1434</v>
      </c>
      <c r="E4345" t="s">
        <v>3463</v>
      </c>
      <c r="F4345" s="853" t="s">
        <v>528</v>
      </c>
      <c r="H4345" t="s">
        <v>7611</v>
      </c>
    </row>
    <row r="4346" spans="2:8">
      <c r="B4346" s="871">
        <v>46285</v>
      </c>
      <c r="C4346" t="s">
        <v>2489</v>
      </c>
      <c r="D4346" t="s">
        <v>1410</v>
      </c>
      <c r="E4346" t="s">
        <v>3467</v>
      </c>
      <c r="F4346" s="853" t="s">
        <v>526</v>
      </c>
      <c r="G4346" s="913">
        <v>27</v>
      </c>
      <c r="H4346" t="s">
        <v>7612</v>
      </c>
    </row>
    <row r="4347" spans="2:8">
      <c r="B4347" s="871">
        <v>46285</v>
      </c>
      <c r="C4347" t="s">
        <v>2489</v>
      </c>
      <c r="D4347" t="s">
        <v>1410</v>
      </c>
      <c r="E4347" t="s">
        <v>3467</v>
      </c>
      <c r="F4347" s="853" t="s">
        <v>527</v>
      </c>
      <c r="G4347" s="913">
        <v>28</v>
      </c>
      <c r="H4347" t="s">
        <v>7613</v>
      </c>
    </row>
    <row r="4348" spans="2:8">
      <c r="B4348" s="871">
        <v>46285</v>
      </c>
      <c r="C4348" t="s">
        <v>2489</v>
      </c>
      <c r="D4348" t="s">
        <v>1410</v>
      </c>
      <c r="E4348" t="s">
        <v>3467</v>
      </c>
      <c r="F4348" s="853" t="s">
        <v>528</v>
      </c>
      <c r="H4348" t="s">
        <v>7614</v>
      </c>
    </row>
    <row r="4349" spans="2:8">
      <c r="B4349" s="871">
        <v>46285</v>
      </c>
      <c r="C4349" t="s">
        <v>2489</v>
      </c>
      <c r="D4349" t="s">
        <v>1434</v>
      </c>
      <c r="E4349" t="s">
        <v>3471</v>
      </c>
      <c r="F4349" s="853" t="s">
        <v>526</v>
      </c>
      <c r="H4349" t="s">
        <v>7615</v>
      </c>
    </row>
    <row r="4350" spans="2:8">
      <c r="B4350" s="871">
        <v>46285</v>
      </c>
      <c r="C4350" t="s">
        <v>2489</v>
      </c>
      <c r="D4350" t="s">
        <v>1434</v>
      </c>
      <c r="E4350" t="s">
        <v>3471</v>
      </c>
      <c r="F4350" s="853" t="s">
        <v>527</v>
      </c>
      <c r="H4350" t="s">
        <v>7616</v>
      </c>
    </row>
    <row r="4351" spans="2:8">
      <c r="B4351" s="871">
        <v>46285</v>
      </c>
      <c r="C4351" t="s">
        <v>2489</v>
      </c>
      <c r="D4351" t="s">
        <v>1434</v>
      </c>
      <c r="E4351" t="s">
        <v>3471</v>
      </c>
      <c r="F4351" s="853" t="s">
        <v>528</v>
      </c>
      <c r="H4351" t="s">
        <v>7617</v>
      </c>
    </row>
    <row r="4352" spans="2:8">
      <c r="B4352" s="871">
        <v>46285</v>
      </c>
      <c r="C4352" t="s">
        <v>2489</v>
      </c>
      <c r="D4352" t="s">
        <v>1410</v>
      </c>
      <c r="E4352" t="s">
        <v>3475</v>
      </c>
      <c r="F4352" s="853" t="s">
        <v>526</v>
      </c>
      <c r="G4352" s="913">
        <v>17</v>
      </c>
      <c r="H4352" t="s">
        <v>7618</v>
      </c>
    </row>
    <row r="4353" spans="2:8">
      <c r="B4353" s="871">
        <v>46285</v>
      </c>
      <c r="C4353" t="s">
        <v>2489</v>
      </c>
      <c r="D4353" t="s">
        <v>1410</v>
      </c>
      <c r="E4353" t="s">
        <v>3475</v>
      </c>
      <c r="F4353" s="853" t="s">
        <v>527</v>
      </c>
      <c r="G4353" s="913">
        <v>19</v>
      </c>
      <c r="H4353" t="s">
        <v>7619</v>
      </c>
    </row>
    <row r="4354" spans="2:8">
      <c r="B4354" s="871">
        <v>46285</v>
      </c>
      <c r="C4354" t="s">
        <v>2489</v>
      </c>
      <c r="D4354" t="s">
        <v>1410</v>
      </c>
      <c r="E4354" t="s">
        <v>3475</v>
      </c>
      <c r="F4354" s="853" t="s">
        <v>528</v>
      </c>
      <c r="G4354" s="913">
        <v>16</v>
      </c>
      <c r="H4354" t="s">
        <v>7620</v>
      </c>
    </row>
    <row r="4355" spans="2:8">
      <c r="B4355" s="871">
        <v>46285</v>
      </c>
      <c r="C4355" t="s">
        <v>2489</v>
      </c>
      <c r="D4355" t="s">
        <v>1434</v>
      </c>
      <c r="E4355" t="s">
        <v>3479</v>
      </c>
      <c r="F4355" s="853" t="s">
        <v>526</v>
      </c>
      <c r="H4355" t="s">
        <v>7621</v>
      </c>
    </row>
    <row r="4356" spans="2:8">
      <c r="B4356" s="871">
        <v>46285</v>
      </c>
      <c r="C4356" t="s">
        <v>2489</v>
      </c>
      <c r="D4356" t="s">
        <v>1434</v>
      </c>
      <c r="E4356" t="s">
        <v>3479</v>
      </c>
      <c r="F4356" s="853" t="s">
        <v>527</v>
      </c>
      <c r="H4356" t="s">
        <v>7622</v>
      </c>
    </row>
    <row r="4357" spans="2:8">
      <c r="B4357" s="871">
        <v>46285</v>
      </c>
      <c r="C4357" t="s">
        <v>2489</v>
      </c>
      <c r="D4357" t="s">
        <v>1434</v>
      </c>
      <c r="E4357" t="s">
        <v>3479</v>
      </c>
      <c r="F4357" s="853" t="s">
        <v>528</v>
      </c>
      <c r="H4357" t="s">
        <v>7623</v>
      </c>
    </row>
    <row r="4358" spans="2:8">
      <c r="B4358" s="871">
        <v>46285</v>
      </c>
      <c r="C4358" t="s">
        <v>2489</v>
      </c>
      <c r="D4358" t="s">
        <v>1410</v>
      </c>
      <c r="E4358" t="s">
        <v>3483</v>
      </c>
      <c r="F4358" s="853" t="s">
        <v>526</v>
      </c>
      <c r="G4358" s="913">
        <v>5</v>
      </c>
      <c r="H4358" t="s">
        <v>7624</v>
      </c>
    </row>
    <row r="4359" spans="2:8">
      <c r="B4359" s="871">
        <v>46285</v>
      </c>
      <c r="C4359" t="s">
        <v>2489</v>
      </c>
      <c r="D4359" t="s">
        <v>1410</v>
      </c>
      <c r="E4359" t="s">
        <v>3483</v>
      </c>
      <c r="F4359" s="853" t="s">
        <v>527</v>
      </c>
      <c r="G4359" s="913">
        <v>5</v>
      </c>
      <c r="H4359" t="s">
        <v>7625</v>
      </c>
    </row>
    <row r="4360" spans="2:8">
      <c r="B4360" s="871">
        <v>46285</v>
      </c>
      <c r="C4360" t="s">
        <v>2489</v>
      </c>
      <c r="D4360" t="s">
        <v>1410</v>
      </c>
      <c r="E4360" t="s">
        <v>3483</v>
      </c>
      <c r="F4360" s="853" t="s">
        <v>528</v>
      </c>
      <c r="G4360" s="913">
        <v>5</v>
      </c>
      <c r="H4360" t="s">
        <v>7626</v>
      </c>
    </row>
    <row r="4361" spans="2:8">
      <c r="B4361" s="871">
        <v>46286</v>
      </c>
      <c r="C4361" t="s">
        <v>2490</v>
      </c>
      <c r="D4361" t="s">
        <v>1375</v>
      </c>
      <c r="E4361" t="s">
        <v>1377</v>
      </c>
      <c r="F4361" s="853" t="s">
        <v>526</v>
      </c>
      <c r="G4361" s="913" t="s">
        <v>1378</v>
      </c>
      <c r="H4361" t="s">
        <v>7627</v>
      </c>
    </row>
    <row r="4362" spans="2:8">
      <c r="B4362" s="871">
        <v>46286</v>
      </c>
      <c r="C4362" t="s">
        <v>2490</v>
      </c>
      <c r="D4362" t="s">
        <v>1375</v>
      </c>
      <c r="E4362" t="s">
        <v>1377</v>
      </c>
      <c r="F4362" s="853" t="s">
        <v>527</v>
      </c>
      <c r="G4362" s="913" t="s">
        <v>1378</v>
      </c>
      <c r="H4362" t="s">
        <v>7628</v>
      </c>
    </row>
    <row r="4363" spans="2:8">
      <c r="B4363" s="871">
        <v>46286</v>
      </c>
      <c r="C4363" t="s">
        <v>2490</v>
      </c>
      <c r="D4363" t="s">
        <v>1375</v>
      </c>
      <c r="E4363" t="s">
        <v>1377</v>
      </c>
      <c r="F4363" s="853" t="s">
        <v>528</v>
      </c>
      <c r="G4363" s="913" t="s">
        <v>1378</v>
      </c>
      <c r="H4363" t="s">
        <v>7629</v>
      </c>
    </row>
    <row r="4364" spans="2:8">
      <c r="B4364" s="871">
        <v>46286</v>
      </c>
      <c r="C4364" t="s">
        <v>2490</v>
      </c>
      <c r="D4364" t="s">
        <v>1376</v>
      </c>
      <c r="E4364" t="s">
        <v>1379</v>
      </c>
      <c r="F4364" s="853" t="s">
        <v>526</v>
      </c>
      <c r="H4364" t="s">
        <v>7630</v>
      </c>
    </row>
    <row r="4365" spans="2:8">
      <c r="B4365" s="871">
        <v>46286</v>
      </c>
      <c r="C4365" t="s">
        <v>2490</v>
      </c>
      <c r="D4365" t="s">
        <v>1376</v>
      </c>
      <c r="E4365" t="s">
        <v>1379</v>
      </c>
      <c r="F4365" s="853" t="s">
        <v>527</v>
      </c>
      <c r="H4365" t="s">
        <v>7631</v>
      </c>
    </row>
    <row r="4366" spans="2:8">
      <c r="B4366" s="871">
        <v>46286</v>
      </c>
      <c r="C4366" t="s">
        <v>2490</v>
      </c>
      <c r="D4366" t="s">
        <v>1376</v>
      </c>
      <c r="E4366" t="s">
        <v>1379</v>
      </c>
      <c r="F4366" s="853" t="s">
        <v>528</v>
      </c>
      <c r="H4366" t="s">
        <v>7632</v>
      </c>
    </row>
    <row r="4367" spans="2:8">
      <c r="B4367" s="871">
        <v>46286</v>
      </c>
      <c r="C4367" t="s">
        <v>2490</v>
      </c>
      <c r="D4367" t="s">
        <v>1375</v>
      </c>
      <c r="E4367" t="s">
        <v>1380</v>
      </c>
      <c r="F4367" s="853" t="s">
        <v>526</v>
      </c>
      <c r="G4367" s="913" t="s">
        <v>2121</v>
      </c>
      <c r="H4367" t="s">
        <v>7633</v>
      </c>
    </row>
    <row r="4368" spans="2:8">
      <c r="B4368" s="871">
        <v>46286</v>
      </c>
      <c r="C4368" t="s">
        <v>2490</v>
      </c>
      <c r="D4368" t="s">
        <v>1375</v>
      </c>
      <c r="E4368" t="s">
        <v>1380</v>
      </c>
      <c r="F4368" s="853" t="s">
        <v>527</v>
      </c>
      <c r="G4368" s="913" t="s">
        <v>2031</v>
      </c>
      <c r="H4368" t="s">
        <v>7634</v>
      </c>
    </row>
    <row r="4369" spans="2:8">
      <c r="B4369" s="871">
        <v>46286</v>
      </c>
      <c r="C4369" t="s">
        <v>2490</v>
      </c>
      <c r="D4369" t="s">
        <v>1375</v>
      </c>
      <c r="E4369" t="s">
        <v>1380</v>
      </c>
      <c r="F4369" s="853" t="s">
        <v>528</v>
      </c>
      <c r="G4369" s="913" t="s">
        <v>2031</v>
      </c>
      <c r="H4369" t="s">
        <v>7635</v>
      </c>
    </row>
    <row r="4370" spans="2:8">
      <c r="B4370" s="871">
        <v>46286</v>
      </c>
      <c r="C4370" t="s">
        <v>2490</v>
      </c>
      <c r="D4370" t="s">
        <v>1376</v>
      </c>
      <c r="E4370" t="s">
        <v>1383</v>
      </c>
      <c r="F4370" s="853" t="s">
        <v>526</v>
      </c>
      <c r="G4370" s="913">
        <v>0</v>
      </c>
      <c r="H4370" t="s">
        <v>7636</v>
      </c>
    </row>
    <row r="4371" spans="2:8">
      <c r="B4371" s="871">
        <v>46286</v>
      </c>
      <c r="C4371" t="s">
        <v>2490</v>
      </c>
      <c r="D4371" t="s">
        <v>1376</v>
      </c>
      <c r="E4371" t="s">
        <v>1383</v>
      </c>
      <c r="F4371" s="853" t="s">
        <v>527</v>
      </c>
      <c r="G4371" s="913">
        <v>0</v>
      </c>
      <c r="H4371" t="s">
        <v>7637</v>
      </c>
    </row>
    <row r="4372" spans="2:8">
      <c r="B4372" s="871">
        <v>46286</v>
      </c>
      <c r="C4372" t="s">
        <v>2490</v>
      </c>
      <c r="D4372" t="s">
        <v>1376</v>
      </c>
      <c r="E4372" t="s">
        <v>1383</v>
      </c>
      <c r="F4372" s="853" t="s">
        <v>528</v>
      </c>
      <c r="H4372" t="s">
        <v>7638</v>
      </c>
    </row>
    <row r="4373" spans="2:8">
      <c r="B4373" s="871">
        <v>46286</v>
      </c>
      <c r="C4373" t="s">
        <v>2490</v>
      </c>
      <c r="D4373" t="s">
        <v>1375</v>
      </c>
      <c r="E4373" t="s">
        <v>54</v>
      </c>
      <c r="F4373" s="853" t="s">
        <v>526</v>
      </c>
      <c r="H4373" t="s">
        <v>7639</v>
      </c>
    </row>
    <row r="4374" spans="2:8">
      <c r="B4374" s="871">
        <v>46286</v>
      </c>
      <c r="C4374" t="s">
        <v>2490</v>
      </c>
      <c r="D4374" t="s">
        <v>1375</v>
      </c>
      <c r="E4374" t="s">
        <v>54</v>
      </c>
      <c r="F4374" s="853" t="s">
        <v>527</v>
      </c>
      <c r="H4374" t="s">
        <v>7640</v>
      </c>
    </row>
    <row r="4375" spans="2:8">
      <c r="B4375" s="871">
        <v>46286</v>
      </c>
      <c r="C4375" t="s">
        <v>2490</v>
      </c>
      <c r="D4375" t="s">
        <v>1375</v>
      </c>
      <c r="E4375" t="s">
        <v>54</v>
      </c>
      <c r="F4375" s="853" t="s">
        <v>528</v>
      </c>
      <c r="H4375" t="s">
        <v>7641</v>
      </c>
    </row>
    <row r="4376" spans="2:8">
      <c r="B4376" s="871">
        <v>46286</v>
      </c>
      <c r="C4376" t="s">
        <v>2490</v>
      </c>
      <c r="D4376" t="s">
        <v>1376</v>
      </c>
      <c r="E4376" t="s">
        <v>1384</v>
      </c>
      <c r="F4376" s="853" t="s">
        <v>526</v>
      </c>
      <c r="G4376" s="913">
        <v>0.4</v>
      </c>
      <c r="H4376" t="s">
        <v>7642</v>
      </c>
    </row>
    <row r="4377" spans="2:8">
      <c r="B4377" s="871">
        <v>46286</v>
      </c>
      <c r="C4377" t="s">
        <v>2490</v>
      </c>
      <c r="D4377" t="s">
        <v>1376</v>
      </c>
      <c r="E4377" t="s">
        <v>1384</v>
      </c>
      <c r="F4377" s="853" t="s">
        <v>527</v>
      </c>
      <c r="G4377" s="913">
        <v>0.38</v>
      </c>
      <c r="H4377" t="s">
        <v>7643</v>
      </c>
    </row>
    <row r="4378" spans="2:8">
      <c r="B4378" s="871">
        <v>46286</v>
      </c>
      <c r="C4378" t="s">
        <v>2490</v>
      </c>
      <c r="D4378" t="s">
        <v>1376</v>
      </c>
      <c r="E4378" t="s">
        <v>1384</v>
      </c>
      <c r="F4378" s="853" t="s">
        <v>528</v>
      </c>
      <c r="H4378" t="s">
        <v>7644</v>
      </c>
    </row>
    <row r="4379" spans="2:8">
      <c r="B4379" s="871">
        <v>46286</v>
      </c>
      <c r="C4379" t="s">
        <v>2490</v>
      </c>
      <c r="D4379" t="s">
        <v>1375</v>
      </c>
      <c r="E4379" t="s">
        <v>1385</v>
      </c>
      <c r="F4379" s="853" t="s">
        <v>526</v>
      </c>
      <c r="G4379" s="913">
        <v>315</v>
      </c>
      <c r="H4379" t="s">
        <v>7645</v>
      </c>
    </row>
    <row r="4380" spans="2:8">
      <c r="B4380" s="871">
        <v>46286</v>
      </c>
      <c r="C4380" t="s">
        <v>2490</v>
      </c>
      <c r="D4380" t="s">
        <v>1375</v>
      </c>
      <c r="E4380" t="s">
        <v>1385</v>
      </c>
      <c r="F4380" s="853" t="s">
        <v>527</v>
      </c>
      <c r="G4380" s="913">
        <v>1800</v>
      </c>
      <c r="H4380" t="s">
        <v>7646</v>
      </c>
    </row>
    <row r="4381" spans="2:8">
      <c r="B4381" s="871">
        <v>46286</v>
      </c>
      <c r="C4381" t="s">
        <v>2490</v>
      </c>
      <c r="D4381" t="s">
        <v>1375</v>
      </c>
      <c r="E4381" t="s">
        <v>1385</v>
      </c>
      <c r="F4381" s="853" t="s">
        <v>528</v>
      </c>
      <c r="G4381" s="913">
        <v>3588</v>
      </c>
      <c r="H4381" t="s">
        <v>7647</v>
      </c>
    </row>
    <row r="4382" spans="2:8">
      <c r="B4382" s="871">
        <v>46286</v>
      </c>
      <c r="C4382" t="s">
        <v>2490</v>
      </c>
      <c r="D4382" t="s">
        <v>1376</v>
      </c>
      <c r="E4382" t="s">
        <v>1386</v>
      </c>
      <c r="F4382" s="853" t="s">
        <v>526</v>
      </c>
      <c r="G4382" s="913">
        <v>0.5</v>
      </c>
      <c r="H4382" t="s">
        <v>7648</v>
      </c>
    </row>
    <row r="4383" spans="2:8">
      <c r="B4383" s="871">
        <v>46286</v>
      </c>
      <c r="C4383" t="s">
        <v>2490</v>
      </c>
      <c r="D4383" t="s">
        <v>1376</v>
      </c>
      <c r="E4383" t="s">
        <v>1386</v>
      </c>
      <c r="F4383" s="853" t="s">
        <v>527</v>
      </c>
      <c r="G4383" s="913">
        <v>0.57999999999999996</v>
      </c>
      <c r="H4383" t="s">
        <v>7649</v>
      </c>
    </row>
    <row r="4384" spans="2:8">
      <c r="B4384" s="871">
        <v>46286</v>
      </c>
      <c r="C4384" t="s">
        <v>2490</v>
      </c>
      <c r="D4384" t="s">
        <v>1376</v>
      </c>
      <c r="E4384" t="s">
        <v>1386</v>
      </c>
      <c r="F4384" s="853" t="s">
        <v>528</v>
      </c>
      <c r="H4384" t="s">
        <v>7650</v>
      </c>
    </row>
    <row r="4385" spans="2:8">
      <c r="B4385" s="871">
        <v>46286</v>
      </c>
      <c r="C4385" t="s">
        <v>2490</v>
      </c>
      <c r="D4385" t="s">
        <v>1376</v>
      </c>
      <c r="E4385" t="s">
        <v>1387</v>
      </c>
      <c r="F4385" s="853" t="s">
        <v>526</v>
      </c>
      <c r="G4385" s="913">
        <v>8.3000000000000007</v>
      </c>
      <c r="H4385" t="s">
        <v>7651</v>
      </c>
    </row>
    <row r="4386" spans="2:8">
      <c r="B4386" s="871">
        <v>46286</v>
      </c>
      <c r="C4386" t="s">
        <v>2490</v>
      </c>
      <c r="D4386" t="s">
        <v>1376</v>
      </c>
      <c r="E4386" t="s">
        <v>1387</v>
      </c>
      <c r="F4386" s="853" t="s">
        <v>527</v>
      </c>
      <c r="G4386" s="913">
        <v>8.1999999999999993</v>
      </c>
      <c r="H4386" t="s">
        <v>7652</v>
      </c>
    </row>
    <row r="4387" spans="2:8">
      <c r="B4387" s="871">
        <v>46286</v>
      </c>
      <c r="C4387" t="s">
        <v>2490</v>
      </c>
      <c r="D4387" t="s">
        <v>1376</v>
      </c>
      <c r="E4387" t="s">
        <v>1387</v>
      </c>
      <c r="F4387" s="853" t="s">
        <v>528</v>
      </c>
      <c r="H4387" t="s">
        <v>7653</v>
      </c>
    </row>
    <row r="4388" spans="2:8">
      <c r="B4388" s="871">
        <v>46286</v>
      </c>
      <c r="C4388" t="s">
        <v>2490</v>
      </c>
      <c r="D4388" t="s">
        <v>1375</v>
      </c>
      <c r="E4388" t="s">
        <v>1388</v>
      </c>
      <c r="F4388" s="853" t="s">
        <v>526</v>
      </c>
      <c r="H4388" t="s">
        <v>7654</v>
      </c>
    </row>
    <row r="4389" spans="2:8">
      <c r="B4389" s="871">
        <v>46286</v>
      </c>
      <c r="C4389" t="s">
        <v>2490</v>
      </c>
      <c r="D4389" t="s">
        <v>1375</v>
      </c>
      <c r="E4389" t="s">
        <v>1388</v>
      </c>
      <c r="F4389" s="853" t="s">
        <v>527</v>
      </c>
      <c r="H4389" t="s">
        <v>7655</v>
      </c>
    </row>
    <row r="4390" spans="2:8">
      <c r="B4390" s="871">
        <v>46286</v>
      </c>
      <c r="C4390" t="s">
        <v>2490</v>
      </c>
      <c r="D4390" t="s">
        <v>1375</v>
      </c>
      <c r="E4390" t="s">
        <v>1388</v>
      </c>
      <c r="F4390" s="853" t="s">
        <v>528</v>
      </c>
      <c r="H4390" t="s">
        <v>7656</v>
      </c>
    </row>
    <row r="4391" spans="2:8">
      <c r="B4391" s="871">
        <v>46286</v>
      </c>
      <c r="C4391" t="s">
        <v>2490</v>
      </c>
      <c r="D4391" t="s">
        <v>1376</v>
      </c>
      <c r="E4391" t="s">
        <v>1389</v>
      </c>
      <c r="F4391" s="853" t="s">
        <v>526</v>
      </c>
      <c r="G4391" s="913">
        <v>62.3</v>
      </c>
      <c r="H4391" t="s">
        <v>7657</v>
      </c>
    </row>
    <row r="4392" spans="2:8">
      <c r="B4392" s="871">
        <v>46286</v>
      </c>
      <c r="C4392" t="s">
        <v>2490</v>
      </c>
      <c r="D4392" t="s">
        <v>1376</v>
      </c>
      <c r="E4392" t="s">
        <v>1389</v>
      </c>
      <c r="F4392" s="853" t="s">
        <v>527</v>
      </c>
      <c r="G4392" s="913">
        <v>60.5</v>
      </c>
      <c r="H4392" t="s">
        <v>7658</v>
      </c>
    </row>
    <row r="4393" spans="2:8">
      <c r="B4393" s="871">
        <v>46286</v>
      </c>
      <c r="C4393" t="s">
        <v>2490</v>
      </c>
      <c r="D4393" t="s">
        <v>1376</v>
      </c>
      <c r="E4393" t="s">
        <v>1389</v>
      </c>
      <c r="F4393" s="853" t="s">
        <v>528</v>
      </c>
      <c r="H4393" t="s">
        <v>7659</v>
      </c>
    </row>
    <row r="4394" spans="2:8">
      <c r="B4394" s="871">
        <v>46286</v>
      </c>
      <c r="C4394" t="s">
        <v>2490</v>
      </c>
      <c r="D4394" t="s">
        <v>1375</v>
      </c>
      <c r="E4394" t="s">
        <v>3266</v>
      </c>
      <c r="F4394" s="853" t="s">
        <v>526</v>
      </c>
      <c r="G4394" s="913">
        <v>2</v>
      </c>
      <c r="H4394" t="s">
        <v>7660</v>
      </c>
    </row>
    <row r="4395" spans="2:8">
      <c r="B4395" s="871">
        <v>46286</v>
      </c>
      <c r="C4395" t="s">
        <v>2490</v>
      </c>
      <c r="D4395" t="s">
        <v>1375</v>
      </c>
      <c r="E4395" t="s">
        <v>3266</v>
      </c>
      <c r="F4395" s="853" t="s">
        <v>527</v>
      </c>
      <c r="G4395" s="913">
        <v>3</v>
      </c>
      <c r="H4395" t="s">
        <v>7661</v>
      </c>
    </row>
    <row r="4396" spans="2:8">
      <c r="B4396" s="871">
        <v>46286</v>
      </c>
      <c r="C4396" t="s">
        <v>2490</v>
      </c>
      <c r="D4396" t="s">
        <v>1375</v>
      </c>
      <c r="E4396" t="s">
        <v>3266</v>
      </c>
      <c r="F4396" s="853" t="s">
        <v>528</v>
      </c>
      <c r="G4396" s="913">
        <v>2</v>
      </c>
      <c r="H4396" t="s">
        <v>7662</v>
      </c>
    </row>
    <row r="4397" spans="2:8">
      <c r="B4397" s="871">
        <v>46286</v>
      </c>
      <c r="C4397" t="s">
        <v>2490</v>
      </c>
      <c r="D4397" t="s">
        <v>1376</v>
      </c>
      <c r="E4397" t="s">
        <v>1390</v>
      </c>
      <c r="F4397" s="853" t="s">
        <v>526</v>
      </c>
      <c r="G4397" s="913">
        <v>2.0300000000000001E-3</v>
      </c>
      <c r="H4397" t="s">
        <v>7663</v>
      </c>
    </row>
    <row r="4398" spans="2:8">
      <c r="B4398" s="871">
        <v>46286</v>
      </c>
      <c r="C4398" t="s">
        <v>2490</v>
      </c>
      <c r="D4398" t="s">
        <v>1376</v>
      </c>
      <c r="E4398" t="s">
        <v>1390</v>
      </c>
      <c r="F4398" s="853" t="s">
        <v>527</v>
      </c>
      <c r="G4398" s="913">
        <v>1.2700000000000001E-3</v>
      </c>
      <c r="H4398" t="s">
        <v>7664</v>
      </c>
    </row>
    <row r="4399" spans="2:8">
      <c r="B4399" s="871">
        <v>46286</v>
      </c>
      <c r="C4399" t="s">
        <v>2490</v>
      </c>
      <c r="D4399" t="s">
        <v>1376</v>
      </c>
      <c r="E4399" t="s">
        <v>1390</v>
      </c>
      <c r="F4399" s="853" t="s">
        <v>528</v>
      </c>
      <c r="H4399" t="s">
        <v>7665</v>
      </c>
    </row>
    <row r="4400" spans="2:8">
      <c r="B4400" s="871">
        <v>46286</v>
      </c>
      <c r="C4400" t="s">
        <v>2490</v>
      </c>
      <c r="D4400" t="s">
        <v>1375</v>
      </c>
      <c r="E4400" t="s">
        <v>3273</v>
      </c>
      <c r="F4400" s="853" t="s">
        <v>526</v>
      </c>
      <c r="G4400" s="913">
        <v>1</v>
      </c>
      <c r="H4400" t="s">
        <v>7666</v>
      </c>
    </row>
    <row r="4401" spans="2:8">
      <c r="B4401" s="871">
        <v>46286</v>
      </c>
      <c r="C4401" t="s">
        <v>2490</v>
      </c>
      <c r="D4401" t="s">
        <v>1375</v>
      </c>
      <c r="E4401" t="s">
        <v>3273</v>
      </c>
      <c r="F4401" s="853" t="s">
        <v>527</v>
      </c>
      <c r="G4401" s="913">
        <v>1</v>
      </c>
      <c r="H4401" t="s">
        <v>7667</v>
      </c>
    </row>
    <row r="4402" spans="2:8">
      <c r="B4402" s="871">
        <v>46286</v>
      </c>
      <c r="C4402" t="s">
        <v>2490</v>
      </c>
      <c r="D4402" t="s">
        <v>1375</v>
      </c>
      <c r="E4402" t="s">
        <v>3273</v>
      </c>
      <c r="F4402" s="853" t="s">
        <v>528</v>
      </c>
      <c r="G4402" s="913">
        <v>1</v>
      </c>
      <c r="H4402" t="s">
        <v>7668</v>
      </c>
    </row>
    <row r="4403" spans="2:8">
      <c r="B4403" s="871">
        <v>46286</v>
      </c>
      <c r="C4403" t="s">
        <v>2490</v>
      </c>
      <c r="D4403" t="s">
        <v>1376</v>
      </c>
      <c r="E4403" t="s">
        <v>1391</v>
      </c>
      <c r="F4403" s="853" t="s">
        <v>526</v>
      </c>
      <c r="H4403" t="s">
        <v>7669</v>
      </c>
    </row>
    <row r="4404" spans="2:8">
      <c r="B4404" s="871">
        <v>46286</v>
      </c>
      <c r="C4404" t="s">
        <v>2490</v>
      </c>
      <c r="D4404" t="s">
        <v>1376</v>
      </c>
      <c r="E4404" t="s">
        <v>1391</v>
      </c>
      <c r="F4404" s="853" t="s">
        <v>527</v>
      </c>
      <c r="H4404" t="s">
        <v>7670</v>
      </c>
    </row>
    <row r="4405" spans="2:8">
      <c r="B4405" s="871">
        <v>46286</v>
      </c>
      <c r="C4405" t="s">
        <v>2490</v>
      </c>
      <c r="D4405" t="s">
        <v>1376</v>
      </c>
      <c r="E4405" t="s">
        <v>1391</v>
      </c>
      <c r="F4405" s="853" t="s">
        <v>528</v>
      </c>
      <c r="G4405" s="913">
        <v>6520</v>
      </c>
      <c r="H4405" t="s">
        <v>7671</v>
      </c>
    </row>
    <row r="4406" spans="2:8">
      <c r="B4406" s="871">
        <v>46286</v>
      </c>
      <c r="C4406" t="s">
        <v>2490</v>
      </c>
      <c r="D4406" t="s">
        <v>1375</v>
      </c>
      <c r="E4406" t="s">
        <v>3280</v>
      </c>
      <c r="F4406" s="853" t="s">
        <v>526</v>
      </c>
      <c r="G4406" s="913">
        <v>3</v>
      </c>
      <c r="H4406" t="s">
        <v>7672</v>
      </c>
    </row>
    <row r="4407" spans="2:8">
      <c r="B4407" s="871">
        <v>46286</v>
      </c>
      <c r="C4407" t="s">
        <v>2490</v>
      </c>
      <c r="D4407" t="s">
        <v>1375</v>
      </c>
      <c r="E4407" t="s">
        <v>3280</v>
      </c>
      <c r="F4407" s="853" t="s">
        <v>527</v>
      </c>
      <c r="G4407" s="913">
        <v>2</v>
      </c>
      <c r="H4407" t="s">
        <v>7673</v>
      </c>
    </row>
    <row r="4408" spans="2:8">
      <c r="B4408" s="871">
        <v>46286</v>
      </c>
      <c r="C4408" t="s">
        <v>2490</v>
      </c>
      <c r="D4408" t="s">
        <v>1375</v>
      </c>
      <c r="E4408" t="s">
        <v>3280</v>
      </c>
      <c r="F4408" s="853" t="s">
        <v>528</v>
      </c>
      <c r="G4408" s="913">
        <v>1</v>
      </c>
      <c r="H4408" t="s">
        <v>7674</v>
      </c>
    </row>
    <row r="4409" spans="2:8">
      <c r="B4409" s="871">
        <v>46286</v>
      </c>
      <c r="C4409" t="s">
        <v>2490</v>
      </c>
      <c r="D4409" t="s">
        <v>1376</v>
      </c>
      <c r="E4409" t="s">
        <v>1392</v>
      </c>
      <c r="F4409" s="853" t="s">
        <v>526</v>
      </c>
      <c r="G4409" s="913">
        <v>6520</v>
      </c>
      <c r="H4409" t="s">
        <v>7675</v>
      </c>
    </row>
    <row r="4410" spans="2:8">
      <c r="B4410" s="871">
        <v>46286</v>
      </c>
      <c r="C4410" t="s">
        <v>2490</v>
      </c>
      <c r="D4410" t="s">
        <v>1376</v>
      </c>
      <c r="E4410" t="s">
        <v>1392</v>
      </c>
      <c r="F4410" s="853" t="s">
        <v>527</v>
      </c>
      <c r="H4410" t="s">
        <v>7676</v>
      </c>
    </row>
    <row r="4411" spans="2:8">
      <c r="B4411" s="871">
        <v>46286</v>
      </c>
      <c r="C4411" t="s">
        <v>2490</v>
      </c>
      <c r="D4411" t="s">
        <v>1376</v>
      </c>
      <c r="E4411" t="s">
        <v>1392</v>
      </c>
      <c r="F4411" s="853" t="s">
        <v>528</v>
      </c>
      <c r="H4411" t="s">
        <v>7677</v>
      </c>
    </row>
    <row r="4412" spans="2:8">
      <c r="B4412" s="871">
        <v>46286</v>
      </c>
      <c r="C4412" t="s">
        <v>2490</v>
      </c>
      <c r="D4412" t="s">
        <v>1375</v>
      </c>
      <c r="E4412" t="s">
        <v>3287</v>
      </c>
      <c r="F4412" s="853" t="s">
        <v>526</v>
      </c>
      <c r="G4412" s="913">
        <v>3</v>
      </c>
      <c r="H4412" t="s">
        <v>7678</v>
      </c>
    </row>
    <row r="4413" spans="2:8">
      <c r="B4413" s="871">
        <v>46286</v>
      </c>
      <c r="C4413" t="s">
        <v>2490</v>
      </c>
      <c r="D4413" t="s">
        <v>1375</v>
      </c>
      <c r="E4413" t="s">
        <v>3287</v>
      </c>
      <c r="F4413" s="853" t="s">
        <v>527</v>
      </c>
      <c r="G4413" s="913">
        <v>3</v>
      </c>
      <c r="H4413" t="s">
        <v>7679</v>
      </c>
    </row>
    <row r="4414" spans="2:8">
      <c r="B4414" s="871">
        <v>46286</v>
      </c>
      <c r="C4414" t="s">
        <v>2490</v>
      </c>
      <c r="D4414" t="s">
        <v>1375</v>
      </c>
      <c r="E4414" t="s">
        <v>3287</v>
      </c>
      <c r="F4414" s="853" t="s">
        <v>528</v>
      </c>
      <c r="G4414" s="913">
        <v>1</v>
      </c>
      <c r="H4414" t="s">
        <v>7680</v>
      </c>
    </row>
    <row r="4415" spans="2:8">
      <c r="B4415" s="871">
        <v>46286</v>
      </c>
      <c r="C4415" t="s">
        <v>2490</v>
      </c>
      <c r="D4415" t="s">
        <v>1376</v>
      </c>
      <c r="E4415" t="s">
        <v>453</v>
      </c>
      <c r="F4415" s="853" t="s">
        <v>526</v>
      </c>
      <c r="H4415" t="s">
        <v>7681</v>
      </c>
    </row>
    <row r="4416" spans="2:8">
      <c r="B4416" s="871">
        <v>46286</v>
      </c>
      <c r="C4416" t="s">
        <v>2490</v>
      </c>
      <c r="D4416" t="s">
        <v>1376</v>
      </c>
      <c r="E4416" t="s">
        <v>453</v>
      </c>
      <c r="F4416" s="853" t="s">
        <v>527</v>
      </c>
      <c r="H4416" t="s">
        <v>7682</v>
      </c>
    </row>
    <row r="4417" spans="2:8">
      <c r="B4417" s="871">
        <v>46286</v>
      </c>
      <c r="C4417" t="s">
        <v>2490</v>
      </c>
      <c r="D4417" t="s">
        <v>1376</v>
      </c>
      <c r="E4417" t="s">
        <v>453</v>
      </c>
      <c r="F4417" s="853" t="s">
        <v>528</v>
      </c>
      <c r="H4417" t="s">
        <v>7683</v>
      </c>
    </row>
    <row r="4418" spans="2:8">
      <c r="B4418" s="871">
        <v>46286</v>
      </c>
      <c r="C4418" t="s">
        <v>2490</v>
      </c>
      <c r="D4418" t="s">
        <v>1375</v>
      </c>
      <c r="E4418" t="s">
        <v>3291</v>
      </c>
      <c r="F4418" s="853" t="s">
        <v>526</v>
      </c>
      <c r="G4418" s="913">
        <v>3</v>
      </c>
      <c r="H4418" t="s">
        <v>7684</v>
      </c>
    </row>
    <row r="4419" spans="2:8">
      <c r="B4419" s="871">
        <v>46286</v>
      </c>
      <c r="C4419" t="s">
        <v>2490</v>
      </c>
      <c r="D4419" t="s">
        <v>1375</v>
      </c>
      <c r="E4419" t="s">
        <v>3291</v>
      </c>
      <c r="F4419" s="853" t="s">
        <v>527</v>
      </c>
      <c r="G4419" s="913">
        <v>2</v>
      </c>
      <c r="H4419" t="s">
        <v>7685</v>
      </c>
    </row>
    <row r="4420" spans="2:8">
      <c r="B4420" s="871">
        <v>46286</v>
      </c>
      <c r="C4420" t="s">
        <v>2490</v>
      </c>
      <c r="D4420" t="s">
        <v>1375</v>
      </c>
      <c r="E4420" t="s">
        <v>3291</v>
      </c>
      <c r="F4420" s="853" t="s">
        <v>528</v>
      </c>
      <c r="G4420" s="913">
        <v>2</v>
      </c>
      <c r="H4420" t="s">
        <v>7686</v>
      </c>
    </row>
    <row r="4421" spans="2:8">
      <c r="B4421" s="871">
        <v>46286</v>
      </c>
      <c r="C4421" t="s">
        <v>2490</v>
      </c>
      <c r="D4421" t="s">
        <v>1376</v>
      </c>
      <c r="E4421" t="s">
        <v>1394</v>
      </c>
      <c r="F4421" s="853" t="s">
        <v>526</v>
      </c>
      <c r="G4421" s="913" t="s">
        <v>2122</v>
      </c>
      <c r="H4421" t="s">
        <v>7687</v>
      </c>
    </row>
    <row r="4422" spans="2:8">
      <c r="B4422" s="871">
        <v>46286</v>
      </c>
      <c r="C4422" t="s">
        <v>2490</v>
      </c>
      <c r="D4422" t="s">
        <v>1376</v>
      </c>
      <c r="E4422" t="s">
        <v>1394</v>
      </c>
      <c r="F4422" s="853" t="s">
        <v>527</v>
      </c>
      <c r="G4422" s="913" t="s">
        <v>2123</v>
      </c>
      <c r="H4422" t="s">
        <v>7688</v>
      </c>
    </row>
    <row r="4423" spans="2:8">
      <c r="B4423" s="871">
        <v>46286</v>
      </c>
      <c r="C4423" t="s">
        <v>2490</v>
      </c>
      <c r="D4423" t="s">
        <v>1376</v>
      </c>
      <c r="E4423" t="s">
        <v>1394</v>
      </c>
      <c r="F4423" s="853" t="s">
        <v>528</v>
      </c>
      <c r="H4423" t="s">
        <v>7689</v>
      </c>
    </row>
    <row r="4424" spans="2:8">
      <c r="B4424" s="871">
        <v>46286</v>
      </c>
      <c r="C4424" t="s">
        <v>2490</v>
      </c>
      <c r="D4424" t="s">
        <v>1375</v>
      </c>
      <c r="E4424" t="s">
        <v>3298</v>
      </c>
      <c r="F4424" s="853" t="s">
        <v>526</v>
      </c>
      <c r="G4424" s="913">
        <v>3</v>
      </c>
      <c r="H4424" t="s">
        <v>7690</v>
      </c>
    </row>
    <row r="4425" spans="2:8">
      <c r="B4425" s="871">
        <v>46286</v>
      </c>
      <c r="C4425" t="s">
        <v>2490</v>
      </c>
      <c r="D4425" t="s">
        <v>1375</v>
      </c>
      <c r="E4425" t="s">
        <v>3298</v>
      </c>
      <c r="F4425" s="853" t="s">
        <v>527</v>
      </c>
      <c r="G4425" s="913">
        <v>2</v>
      </c>
      <c r="H4425" t="s">
        <v>7691</v>
      </c>
    </row>
    <row r="4426" spans="2:8">
      <c r="B4426" s="871">
        <v>46286</v>
      </c>
      <c r="C4426" t="s">
        <v>2490</v>
      </c>
      <c r="D4426" t="s">
        <v>1375</v>
      </c>
      <c r="E4426" t="s">
        <v>3298</v>
      </c>
      <c r="F4426" s="853" t="s">
        <v>528</v>
      </c>
      <c r="G4426" s="913">
        <v>2</v>
      </c>
      <c r="H4426" t="s">
        <v>7692</v>
      </c>
    </row>
    <row r="4427" spans="2:8">
      <c r="B4427" s="871">
        <v>46286</v>
      </c>
      <c r="C4427" t="s">
        <v>2490</v>
      </c>
      <c r="D4427" t="s">
        <v>1376</v>
      </c>
      <c r="E4427" t="s">
        <v>1398</v>
      </c>
      <c r="F4427" s="853" t="s">
        <v>526</v>
      </c>
      <c r="G4427" s="913">
        <v>11</v>
      </c>
      <c r="H4427" t="s">
        <v>7693</v>
      </c>
    </row>
    <row r="4428" spans="2:8">
      <c r="B4428" s="871">
        <v>46286</v>
      </c>
      <c r="C4428" t="s">
        <v>2490</v>
      </c>
      <c r="D4428" t="s">
        <v>1376</v>
      </c>
      <c r="E4428" t="s">
        <v>1398</v>
      </c>
      <c r="F4428" s="853" t="s">
        <v>527</v>
      </c>
      <c r="G4428" s="913">
        <v>12</v>
      </c>
      <c r="H4428" t="s">
        <v>7694</v>
      </c>
    </row>
    <row r="4429" spans="2:8">
      <c r="B4429" s="871">
        <v>46286</v>
      </c>
      <c r="C4429" t="s">
        <v>2490</v>
      </c>
      <c r="D4429" t="s">
        <v>1376</v>
      </c>
      <c r="E4429" t="s">
        <v>1398</v>
      </c>
      <c r="F4429" s="853" t="s">
        <v>528</v>
      </c>
      <c r="H4429" t="s">
        <v>7695</v>
      </c>
    </row>
    <row r="4430" spans="2:8">
      <c r="B4430" s="871">
        <v>46286</v>
      </c>
      <c r="C4430" t="s">
        <v>2490</v>
      </c>
      <c r="D4430" t="s">
        <v>1375</v>
      </c>
      <c r="E4430" t="s">
        <v>3305</v>
      </c>
      <c r="F4430" s="853" t="s">
        <v>526</v>
      </c>
      <c r="G4430" s="913">
        <v>1</v>
      </c>
      <c r="H4430" t="s">
        <v>7696</v>
      </c>
    </row>
    <row r="4431" spans="2:8">
      <c r="B4431" s="871">
        <v>46286</v>
      </c>
      <c r="C4431" t="s">
        <v>2490</v>
      </c>
      <c r="D4431" t="s">
        <v>1375</v>
      </c>
      <c r="E4431" t="s">
        <v>3305</v>
      </c>
      <c r="F4431" s="853" t="s">
        <v>527</v>
      </c>
      <c r="G4431" s="913">
        <v>1</v>
      </c>
      <c r="H4431" t="s">
        <v>7697</v>
      </c>
    </row>
    <row r="4432" spans="2:8">
      <c r="B4432" s="871">
        <v>46286</v>
      </c>
      <c r="C4432" t="s">
        <v>2490</v>
      </c>
      <c r="D4432" t="s">
        <v>1375</v>
      </c>
      <c r="E4432" t="s">
        <v>3305</v>
      </c>
      <c r="F4432" s="853" t="s">
        <v>528</v>
      </c>
      <c r="G4432" s="913">
        <v>1</v>
      </c>
      <c r="H4432" t="s">
        <v>7698</v>
      </c>
    </row>
    <row r="4433" spans="2:8">
      <c r="B4433" s="871">
        <v>46286</v>
      </c>
      <c r="C4433" t="s">
        <v>2490</v>
      </c>
      <c r="D4433" t="s">
        <v>1376</v>
      </c>
      <c r="E4433" t="s">
        <v>1399</v>
      </c>
      <c r="F4433" s="853" t="s">
        <v>526</v>
      </c>
      <c r="G4433" s="913">
        <v>12</v>
      </c>
      <c r="H4433" t="s">
        <v>7699</v>
      </c>
    </row>
    <row r="4434" spans="2:8">
      <c r="B4434" s="871">
        <v>46286</v>
      </c>
      <c r="C4434" t="s">
        <v>2490</v>
      </c>
      <c r="D4434" t="s">
        <v>1376</v>
      </c>
      <c r="E4434" t="s">
        <v>1399</v>
      </c>
      <c r="F4434" s="853" t="s">
        <v>527</v>
      </c>
      <c r="G4434" s="913">
        <v>13</v>
      </c>
      <c r="H4434" t="s">
        <v>7700</v>
      </c>
    </row>
    <row r="4435" spans="2:8">
      <c r="B4435" s="871">
        <v>46286</v>
      </c>
      <c r="C4435" t="s">
        <v>2490</v>
      </c>
      <c r="D4435" t="s">
        <v>1376</v>
      </c>
      <c r="E4435" t="s">
        <v>1399</v>
      </c>
      <c r="F4435" s="853" t="s">
        <v>528</v>
      </c>
      <c r="H4435" t="s">
        <v>7701</v>
      </c>
    </row>
    <row r="4436" spans="2:8">
      <c r="B4436" s="871">
        <v>46286</v>
      </c>
      <c r="C4436" t="s">
        <v>2490</v>
      </c>
      <c r="D4436" t="s">
        <v>1375</v>
      </c>
      <c r="E4436" t="s">
        <v>3312</v>
      </c>
      <c r="F4436" s="853" t="s">
        <v>526</v>
      </c>
      <c r="G4436" s="913">
        <v>3</v>
      </c>
      <c r="H4436" t="s">
        <v>7702</v>
      </c>
    </row>
    <row r="4437" spans="2:8">
      <c r="B4437" s="871">
        <v>46286</v>
      </c>
      <c r="C4437" t="s">
        <v>2490</v>
      </c>
      <c r="D4437" t="s">
        <v>1375</v>
      </c>
      <c r="E4437" t="s">
        <v>3312</v>
      </c>
      <c r="F4437" s="853" t="s">
        <v>527</v>
      </c>
      <c r="G4437" s="913">
        <v>2</v>
      </c>
      <c r="H4437" t="s">
        <v>7703</v>
      </c>
    </row>
    <row r="4438" spans="2:8">
      <c r="B4438" s="871">
        <v>46286</v>
      </c>
      <c r="C4438" t="s">
        <v>2490</v>
      </c>
      <c r="D4438" t="s">
        <v>1375</v>
      </c>
      <c r="E4438" t="s">
        <v>3312</v>
      </c>
      <c r="F4438" s="853" t="s">
        <v>528</v>
      </c>
      <c r="G4438" s="913">
        <v>2</v>
      </c>
      <c r="H4438" t="s">
        <v>7704</v>
      </c>
    </row>
    <row r="4439" spans="2:8">
      <c r="B4439" s="871">
        <v>46286</v>
      </c>
      <c r="C4439" t="s">
        <v>2490</v>
      </c>
      <c r="D4439" t="s">
        <v>1376</v>
      </c>
      <c r="E4439" t="s">
        <v>1400</v>
      </c>
      <c r="F4439" s="853" t="s">
        <v>526</v>
      </c>
      <c r="G4439" s="913">
        <v>17</v>
      </c>
      <c r="H4439" t="s">
        <v>7705</v>
      </c>
    </row>
    <row r="4440" spans="2:8">
      <c r="B4440" s="871">
        <v>46286</v>
      </c>
      <c r="C4440" t="s">
        <v>2490</v>
      </c>
      <c r="D4440" t="s">
        <v>1376</v>
      </c>
      <c r="E4440" t="s">
        <v>1400</v>
      </c>
      <c r="F4440" s="853" t="s">
        <v>527</v>
      </c>
      <c r="G4440" s="913">
        <v>17</v>
      </c>
      <c r="H4440" t="s">
        <v>7706</v>
      </c>
    </row>
    <row r="4441" spans="2:8">
      <c r="B4441" s="871">
        <v>46286</v>
      </c>
      <c r="C4441" t="s">
        <v>2490</v>
      </c>
      <c r="D4441" t="s">
        <v>1376</v>
      </c>
      <c r="E4441" t="s">
        <v>1400</v>
      </c>
      <c r="F4441" s="853" t="s">
        <v>528</v>
      </c>
      <c r="H4441" t="s">
        <v>7707</v>
      </c>
    </row>
    <row r="4442" spans="2:8">
      <c r="B4442" s="871">
        <v>46286</v>
      </c>
      <c r="C4442" t="s">
        <v>2490</v>
      </c>
      <c r="D4442" t="s">
        <v>1375</v>
      </c>
      <c r="E4442" t="s">
        <v>3319</v>
      </c>
      <c r="F4442" s="853" t="s">
        <v>526</v>
      </c>
      <c r="G4442" s="913">
        <v>3</v>
      </c>
      <c r="H4442" t="s">
        <v>7708</v>
      </c>
    </row>
    <row r="4443" spans="2:8">
      <c r="B4443" s="871">
        <v>46286</v>
      </c>
      <c r="C4443" t="s">
        <v>2490</v>
      </c>
      <c r="D4443" t="s">
        <v>1375</v>
      </c>
      <c r="E4443" t="s">
        <v>3319</v>
      </c>
      <c r="F4443" s="853" t="s">
        <v>527</v>
      </c>
      <c r="G4443" s="913">
        <v>2</v>
      </c>
      <c r="H4443" t="s">
        <v>7709</v>
      </c>
    </row>
    <row r="4444" spans="2:8">
      <c r="B4444" s="871">
        <v>46286</v>
      </c>
      <c r="C4444" t="s">
        <v>2490</v>
      </c>
      <c r="D4444" t="s">
        <v>1375</v>
      </c>
      <c r="E4444" t="s">
        <v>3319</v>
      </c>
      <c r="F4444" s="853" t="s">
        <v>528</v>
      </c>
      <c r="G4444" s="913">
        <v>1</v>
      </c>
      <c r="H4444" t="s">
        <v>7710</v>
      </c>
    </row>
    <row r="4445" spans="2:8">
      <c r="B4445" s="871">
        <v>46286</v>
      </c>
      <c r="C4445" t="s">
        <v>2490</v>
      </c>
      <c r="D4445" t="s">
        <v>1376</v>
      </c>
      <c r="E4445" t="s">
        <v>1401</v>
      </c>
      <c r="F4445" s="853" t="s">
        <v>526</v>
      </c>
      <c r="G4445" s="913">
        <v>6.45</v>
      </c>
      <c r="H4445" t="s">
        <v>7711</v>
      </c>
    </row>
    <row r="4446" spans="2:8">
      <c r="B4446" s="871">
        <v>46286</v>
      </c>
      <c r="C4446" t="s">
        <v>2490</v>
      </c>
      <c r="D4446" t="s">
        <v>1376</v>
      </c>
      <c r="E4446" t="s">
        <v>1401</v>
      </c>
      <c r="F4446" s="853" t="s">
        <v>527</v>
      </c>
      <c r="G4446" s="913">
        <v>6.9</v>
      </c>
      <c r="H4446" t="s">
        <v>7712</v>
      </c>
    </row>
    <row r="4447" spans="2:8">
      <c r="B4447" s="871">
        <v>46286</v>
      </c>
      <c r="C4447" t="s">
        <v>2490</v>
      </c>
      <c r="D4447" t="s">
        <v>1376</v>
      </c>
      <c r="E4447" t="s">
        <v>1401</v>
      </c>
      <c r="F4447" s="853" t="s">
        <v>528</v>
      </c>
      <c r="H4447" t="s">
        <v>7713</v>
      </c>
    </row>
    <row r="4448" spans="2:8">
      <c r="B4448" s="871">
        <v>46286</v>
      </c>
      <c r="C4448" t="s">
        <v>2490</v>
      </c>
      <c r="D4448" t="s">
        <v>1375</v>
      </c>
      <c r="E4448" t="s">
        <v>3326</v>
      </c>
      <c r="F4448" s="853" t="s">
        <v>526</v>
      </c>
      <c r="G4448" s="913" t="s">
        <v>1583</v>
      </c>
      <c r="H4448" t="s">
        <v>7714</v>
      </c>
    </row>
    <row r="4449" spans="2:8">
      <c r="B4449" s="871">
        <v>46286</v>
      </c>
      <c r="C4449" t="s">
        <v>2490</v>
      </c>
      <c r="D4449" t="s">
        <v>1375</v>
      </c>
      <c r="E4449" t="s">
        <v>3326</v>
      </c>
      <c r="F4449" s="853" t="s">
        <v>527</v>
      </c>
      <c r="G4449" s="913" t="s">
        <v>1583</v>
      </c>
      <c r="H4449" t="s">
        <v>7715</v>
      </c>
    </row>
    <row r="4450" spans="2:8">
      <c r="B4450" s="871">
        <v>46286</v>
      </c>
      <c r="C4450" t="s">
        <v>2490</v>
      </c>
      <c r="D4450" t="s">
        <v>1375</v>
      </c>
      <c r="E4450" t="s">
        <v>3326</v>
      </c>
      <c r="F4450" s="853" t="s">
        <v>528</v>
      </c>
      <c r="G4450" s="913" t="s">
        <v>1583</v>
      </c>
      <c r="H4450" t="s">
        <v>7716</v>
      </c>
    </row>
    <row r="4451" spans="2:8">
      <c r="B4451" s="871">
        <v>46286</v>
      </c>
      <c r="C4451" t="s">
        <v>2490</v>
      </c>
      <c r="D4451" t="s">
        <v>1376</v>
      </c>
      <c r="E4451" t="s">
        <v>1403</v>
      </c>
      <c r="F4451" s="853" t="s">
        <v>526</v>
      </c>
      <c r="G4451" s="913">
        <v>670</v>
      </c>
      <c r="H4451" t="s">
        <v>7717</v>
      </c>
    </row>
    <row r="4452" spans="2:8">
      <c r="B4452" s="871">
        <v>46286</v>
      </c>
      <c r="C4452" t="s">
        <v>2490</v>
      </c>
      <c r="D4452" t="s">
        <v>1376</v>
      </c>
      <c r="E4452" t="s">
        <v>1403</v>
      </c>
      <c r="F4452" s="853" t="s">
        <v>527</v>
      </c>
      <c r="G4452" s="913">
        <v>640</v>
      </c>
      <c r="H4452" t="s">
        <v>7718</v>
      </c>
    </row>
    <row r="4453" spans="2:8">
      <c r="B4453" s="871">
        <v>46286</v>
      </c>
      <c r="C4453" t="s">
        <v>2490</v>
      </c>
      <c r="D4453" t="s">
        <v>1376</v>
      </c>
      <c r="E4453" t="s">
        <v>1403</v>
      </c>
      <c r="F4453" s="853" t="s">
        <v>528</v>
      </c>
      <c r="H4453" t="s">
        <v>7719</v>
      </c>
    </row>
    <row r="4454" spans="2:8">
      <c r="B4454" s="871">
        <v>46286</v>
      </c>
      <c r="C4454" t="s">
        <v>2490</v>
      </c>
      <c r="D4454" t="s">
        <v>1376</v>
      </c>
      <c r="E4454" t="s">
        <v>1404</v>
      </c>
      <c r="F4454" s="853" t="s">
        <v>526</v>
      </c>
      <c r="G4454" s="913">
        <v>5.33</v>
      </c>
      <c r="H4454" t="s">
        <v>7720</v>
      </c>
    </row>
    <row r="4455" spans="2:8">
      <c r="B4455" s="871">
        <v>46286</v>
      </c>
      <c r="C4455" t="s">
        <v>2490</v>
      </c>
      <c r="D4455" t="s">
        <v>1376</v>
      </c>
      <c r="E4455" t="s">
        <v>1404</v>
      </c>
      <c r="F4455" s="853" t="s">
        <v>527</v>
      </c>
      <c r="G4455" s="913">
        <v>4.9000000000000004</v>
      </c>
      <c r="H4455" t="s">
        <v>7721</v>
      </c>
    </row>
    <row r="4456" spans="2:8">
      <c r="B4456" s="871">
        <v>46286</v>
      </c>
      <c r="C4456" t="s">
        <v>2490</v>
      </c>
      <c r="D4456" t="s">
        <v>1376</v>
      </c>
      <c r="E4456" t="s">
        <v>1404</v>
      </c>
      <c r="F4456" s="853" t="s">
        <v>528</v>
      </c>
      <c r="H4456" t="s">
        <v>7722</v>
      </c>
    </row>
    <row r="4457" spans="2:8">
      <c r="B4457" s="871">
        <v>46286</v>
      </c>
      <c r="C4457" t="s">
        <v>2490</v>
      </c>
      <c r="D4457" t="s">
        <v>1375</v>
      </c>
      <c r="E4457" t="s">
        <v>3336</v>
      </c>
      <c r="F4457" s="853" t="s">
        <v>526</v>
      </c>
      <c r="G4457" s="913" t="s">
        <v>1406</v>
      </c>
      <c r="H4457" t="s">
        <v>7723</v>
      </c>
    </row>
    <row r="4458" spans="2:8">
      <c r="B4458" s="871">
        <v>46286</v>
      </c>
      <c r="C4458" t="s">
        <v>2490</v>
      </c>
      <c r="D4458" t="s">
        <v>1375</v>
      </c>
      <c r="E4458" t="s">
        <v>3336</v>
      </c>
      <c r="F4458" s="853" t="s">
        <v>527</v>
      </c>
      <c r="G4458" s="913" t="s">
        <v>1406</v>
      </c>
      <c r="H4458" t="s">
        <v>7724</v>
      </c>
    </row>
    <row r="4459" spans="2:8">
      <c r="B4459" s="871">
        <v>46286</v>
      </c>
      <c r="C4459" t="s">
        <v>2490</v>
      </c>
      <c r="D4459" t="s">
        <v>1375</v>
      </c>
      <c r="E4459" t="s">
        <v>3336</v>
      </c>
      <c r="F4459" s="853" t="s">
        <v>528</v>
      </c>
      <c r="G4459" s="913" t="s">
        <v>1406</v>
      </c>
      <c r="H4459" t="s">
        <v>7725</v>
      </c>
    </row>
    <row r="4460" spans="2:8">
      <c r="B4460" s="871">
        <v>46286</v>
      </c>
      <c r="C4460" t="s">
        <v>2490</v>
      </c>
      <c r="D4460" t="s">
        <v>1376</v>
      </c>
      <c r="E4460" t="s">
        <v>1407</v>
      </c>
      <c r="F4460" s="853" t="s">
        <v>526</v>
      </c>
      <c r="G4460" s="913">
        <v>378</v>
      </c>
      <c r="H4460" t="s">
        <v>7726</v>
      </c>
    </row>
    <row r="4461" spans="2:8">
      <c r="B4461" s="871">
        <v>46286</v>
      </c>
      <c r="C4461" t="s">
        <v>2490</v>
      </c>
      <c r="D4461" t="s">
        <v>1376</v>
      </c>
      <c r="E4461" t="s">
        <v>1407</v>
      </c>
      <c r="F4461" s="853" t="s">
        <v>527</v>
      </c>
      <c r="G4461" s="913">
        <v>320</v>
      </c>
      <c r="H4461" t="s">
        <v>7727</v>
      </c>
    </row>
    <row r="4462" spans="2:8">
      <c r="B4462" s="871">
        <v>46286</v>
      </c>
      <c r="C4462" t="s">
        <v>2490</v>
      </c>
      <c r="D4462" t="s">
        <v>1376</v>
      </c>
      <c r="E4462" t="s">
        <v>1407</v>
      </c>
      <c r="F4462" s="853" t="s">
        <v>528</v>
      </c>
      <c r="H4462" t="s">
        <v>7728</v>
      </c>
    </row>
    <row r="4463" spans="2:8">
      <c r="B4463" s="871">
        <v>46286</v>
      </c>
      <c r="C4463" t="s">
        <v>2490</v>
      </c>
      <c r="D4463" t="s">
        <v>1376</v>
      </c>
      <c r="E4463" t="s">
        <v>1408</v>
      </c>
      <c r="F4463" s="853" t="s">
        <v>526</v>
      </c>
      <c r="G4463" s="913">
        <v>888</v>
      </c>
      <c r="H4463" t="s">
        <v>7729</v>
      </c>
    </row>
    <row r="4464" spans="2:8">
      <c r="B4464" s="871">
        <v>46286</v>
      </c>
      <c r="C4464" t="s">
        <v>2490</v>
      </c>
      <c r="D4464" t="s">
        <v>1376</v>
      </c>
      <c r="E4464" t="s">
        <v>1408</v>
      </c>
      <c r="F4464" s="853" t="s">
        <v>527</v>
      </c>
      <c r="G4464" s="913">
        <v>940</v>
      </c>
      <c r="H4464" t="s">
        <v>7730</v>
      </c>
    </row>
    <row r="4465" spans="2:8">
      <c r="B4465" s="871">
        <v>46286</v>
      </c>
      <c r="C4465" t="s">
        <v>2490</v>
      </c>
      <c r="D4465" t="s">
        <v>1376</v>
      </c>
      <c r="E4465" t="s">
        <v>1408</v>
      </c>
      <c r="F4465" s="853" t="s">
        <v>528</v>
      </c>
      <c r="H4465" t="s">
        <v>7731</v>
      </c>
    </row>
    <row r="4466" spans="2:8">
      <c r="B4466" s="871">
        <v>46286</v>
      </c>
      <c r="C4466" t="s">
        <v>2490</v>
      </c>
      <c r="D4466" t="s">
        <v>1409</v>
      </c>
      <c r="E4466" t="s">
        <v>1411</v>
      </c>
      <c r="F4466" s="853" t="s">
        <v>526</v>
      </c>
      <c r="H4466" t="s">
        <v>7732</v>
      </c>
    </row>
    <row r="4467" spans="2:8">
      <c r="B4467" s="871">
        <v>46286</v>
      </c>
      <c r="C4467" t="s">
        <v>2490</v>
      </c>
      <c r="D4467" t="s">
        <v>1409</v>
      </c>
      <c r="E4467" t="s">
        <v>1411</v>
      </c>
      <c r="F4467" s="853" t="s">
        <v>527</v>
      </c>
      <c r="H4467" t="s">
        <v>7733</v>
      </c>
    </row>
    <row r="4468" spans="2:8">
      <c r="B4468" s="871">
        <v>46286</v>
      </c>
      <c r="C4468" t="s">
        <v>2490</v>
      </c>
      <c r="D4468" t="s">
        <v>1409</v>
      </c>
      <c r="E4468" t="s">
        <v>1411</v>
      </c>
      <c r="F4468" s="853" t="s">
        <v>528</v>
      </c>
      <c r="H4468" t="s">
        <v>7734</v>
      </c>
    </row>
    <row r="4469" spans="2:8">
      <c r="B4469" s="871">
        <v>46286</v>
      </c>
      <c r="C4469" t="s">
        <v>2490</v>
      </c>
      <c r="D4469" t="s">
        <v>1409</v>
      </c>
      <c r="E4469" t="s">
        <v>1413</v>
      </c>
      <c r="F4469" s="853" t="s">
        <v>526</v>
      </c>
      <c r="G4469" s="913" t="s">
        <v>2111</v>
      </c>
      <c r="H4469" t="s">
        <v>7735</v>
      </c>
    </row>
    <row r="4470" spans="2:8">
      <c r="B4470" s="871">
        <v>46286</v>
      </c>
      <c r="C4470" t="s">
        <v>2490</v>
      </c>
      <c r="D4470" t="s">
        <v>1409</v>
      </c>
      <c r="E4470" t="s">
        <v>1413</v>
      </c>
      <c r="F4470" s="853" t="s">
        <v>527</v>
      </c>
      <c r="G4470" s="913" t="s">
        <v>2035</v>
      </c>
      <c r="H4470" t="s">
        <v>7736</v>
      </c>
    </row>
    <row r="4471" spans="2:8">
      <c r="B4471" s="871">
        <v>46286</v>
      </c>
      <c r="C4471" t="s">
        <v>2490</v>
      </c>
      <c r="D4471" t="s">
        <v>1409</v>
      </c>
      <c r="E4471" t="s">
        <v>1413</v>
      </c>
      <c r="F4471" s="853" t="s">
        <v>528</v>
      </c>
      <c r="G4471" s="913" t="s">
        <v>2035</v>
      </c>
      <c r="H4471" t="s">
        <v>7737</v>
      </c>
    </row>
    <row r="4472" spans="2:8">
      <c r="B4472" s="871">
        <v>46286</v>
      </c>
      <c r="C4472" t="s">
        <v>2490</v>
      </c>
      <c r="D4472" t="s">
        <v>1410</v>
      </c>
      <c r="E4472" t="s">
        <v>3352</v>
      </c>
      <c r="F4472" s="853" t="s">
        <v>526</v>
      </c>
      <c r="G4472" s="913" t="s">
        <v>1418</v>
      </c>
      <c r="H4472" t="s">
        <v>7738</v>
      </c>
    </row>
    <row r="4473" spans="2:8">
      <c r="B4473" s="871">
        <v>46286</v>
      </c>
      <c r="C4473" t="s">
        <v>2490</v>
      </c>
      <c r="D4473" t="s">
        <v>1410</v>
      </c>
      <c r="E4473" t="s">
        <v>3352</v>
      </c>
      <c r="F4473" s="853" t="s">
        <v>527</v>
      </c>
      <c r="G4473" s="913" t="s">
        <v>1418</v>
      </c>
      <c r="H4473" t="s">
        <v>7739</v>
      </c>
    </row>
    <row r="4474" spans="2:8">
      <c r="B4474" s="871">
        <v>46286</v>
      </c>
      <c r="C4474" t="s">
        <v>2490</v>
      </c>
      <c r="D4474" t="s">
        <v>1410</v>
      </c>
      <c r="E4474" t="s">
        <v>3352</v>
      </c>
      <c r="F4474" s="853" t="s">
        <v>528</v>
      </c>
      <c r="H4474" t="s">
        <v>7740</v>
      </c>
    </row>
    <row r="4475" spans="2:8">
      <c r="B4475" s="871">
        <v>46286</v>
      </c>
      <c r="C4475" t="s">
        <v>2490</v>
      </c>
      <c r="D4475" t="s">
        <v>1409</v>
      </c>
      <c r="E4475" t="s">
        <v>1420</v>
      </c>
      <c r="F4475" s="853" t="s">
        <v>526</v>
      </c>
      <c r="G4475" s="913" t="s">
        <v>2112</v>
      </c>
      <c r="H4475" t="s">
        <v>7741</v>
      </c>
    </row>
    <row r="4476" spans="2:8">
      <c r="B4476" s="871">
        <v>46286</v>
      </c>
      <c r="C4476" t="s">
        <v>2490</v>
      </c>
      <c r="D4476" t="s">
        <v>1409</v>
      </c>
      <c r="E4476" t="s">
        <v>1420</v>
      </c>
      <c r="F4476" s="853" t="s">
        <v>527</v>
      </c>
      <c r="G4476" s="913" t="s">
        <v>2036</v>
      </c>
      <c r="H4476" t="s">
        <v>7742</v>
      </c>
    </row>
    <row r="4477" spans="2:8">
      <c r="B4477" s="871">
        <v>46286</v>
      </c>
      <c r="C4477" t="s">
        <v>2490</v>
      </c>
      <c r="D4477" t="s">
        <v>1409</v>
      </c>
      <c r="E4477" t="s">
        <v>1420</v>
      </c>
      <c r="F4477" s="853" t="s">
        <v>528</v>
      </c>
      <c r="G4477" s="913" t="s">
        <v>2036</v>
      </c>
      <c r="H4477" t="s">
        <v>7743</v>
      </c>
    </row>
    <row r="4478" spans="2:8">
      <c r="B4478" s="871">
        <v>46286</v>
      </c>
      <c r="C4478" t="s">
        <v>2490</v>
      </c>
      <c r="D4478" t="s">
        <v>1410</v>
      </c>
      <c r="E4478" t="s">
        <v>3359</v>
      </c>
      <c r="F4478" s="853" t="s">
        <v>526</v>
      </c>
      <c r="G4478" s="913">
        <v>104</v>
      </c>
      <c r="H4478" t="s">
        <v>7744</v>
      </c>
    </row>
    <row r="4479" spans="2:8">
      <c r="B4479" s="871">
        <v>46286</v>
      </c>
      <c r="C4479" t="s">
        <v>2490</v>
      </c>
      <c r="D4479" t="s">
        <v>1410</v>
      </c>
      <c r="E4479" t="s">
        <v>3359</v>
      </c>
      <c r="F4479" s="853" t="s">
        <v>527</v>
      </c>
      <c r="G4479" s="913">
        <v>108</v>
      </c>
      <c r="H4479" t="s">
        <v>7745</v>
      </c>
    </row>
    <row r="4480" spans="2:8">
      <c r="B4480" s="871">
        <v>46286</v>
      </c>
      <c r="C4480" t="s">
        <v>2490</v>
      </c>
      <c r="D4480" t="s">
        <v>1410</v>
      </c>
      <c r="E4480" t="s">
        <v>3359</v>
      </c>
      <c r="F4480" s="853" t="s">
        <v>528</v>
      </c>
      <c r="H4480" t="s">
        <v>7746</v>
      </c>
    </row>
    <row r="4481" spans="2:8">
      <c r="B4481" s="871">
        <v>46286</v>
      </c>
      <c r="C4481" t="s">
        <v>2490</v>
      </c>
      <c r="D4481" t="s">
        <v>1409</v>
      </c>
      <c r="E4481" t="s">
        <v>1424</v>
      </c>
      <c r="F4481" s="853" t="s">
        <v>526</v>
      </c>
      <c r="H4481" t="s">
        <v>7747</v>
      </c>
    </row>
    <row r="4482" spans="2:8">
      <c r="B4482" s="871">
        <v>46286</v>
      </c>
      <c r="C4482" t="s">
        <v>2490</v>
      </c>
      <c r="D4482" t="s">
        <v>1409</v>
      </c>
      <c r="E4482" t="s">
        <v>1424</v>
      </c>
      <c r="F4482" s="853" t="s">
        <v>527</v>
      </c>
      <c r="H4482" t="s">
        <v>7748</v>
      </c>
    </row>
    <row r="4483" spans="2:8">
      <c r="B4483" s="871">
        <v>46286</v>
      </c>
      <c r="C4483" t="s">
        <v>2490</v>
      </c>
      <c r="D4483" t="s">
        <v>1409</v>
      </c>
      <c r="E4483" t="s">
        <v>1424</v>
      </c>
      <c r="F4483" s="853" t="s">
        <v>528</v>
      </c>
      <c r="H4483" t="s">
        <v>7749</v>
      </c>
    </row>
    <row r="4484" spans="2:8">
      <c r="B4484" s="871">
        <v>46286</v>
      </c>
      <c r="C4484" t="s">
        <v>2490</v>
      </c>
      <c r="D4484" t="s">
        <v>1410</v>
      </c>
      <c r="E4484" t="s">
        <v>3366</v>
      </c>
      <c r="F4484" s="853" t="s">
        <v>526</v>
      </c>
      <c r="G4484" s="913">
        <v>2850</v>
      </c>
      <c r="H4484" t="s">
        <v>7750</v>
      </c>
    </row>
    <row r="4485" spans="2:8">
      <c r="B4485" s="871">
        <v>46286</v>
      </c>
      <c r="C4485" t="s">
        <v>2490</v>
      </c>
      <c r="D4485" t="s">
        <v>1410</v>
      </c>
      <c r="E4485" t="s">
        <v>3366</v>
      </c>
      <c r="F4485" s="853" t="s">
        <v>527</v>
      </c>
      <c r="G4485" s="913">
        <v>2745</v>
      </c>
      <c r="H4485" t="s">
        <v>7751</v>
      </c>
    </row>
    <row r="4486" spans="2:8">
      <c r="B4486" s="871">
        <v>46286</v>
      </c>
      <c r="C4486" t="s">
        <v>2490</v>
      </c>
      <c r="D4486" t="s">
        <v>1410</v>
      </c>
      <c r="E4486" t="s">
        <v>3366</v>
      </c>
      <c r="F4486" s="853" t="s">
        <v>528</v>
      </c>
      <c r="H4486" t="s">
        <v>7752</v>
      </c>
    </row>
    <row r="4487" spans="2:8">
      <c r="B4487" s="871">
        <v>46286</v>
      </c>
      <c r="C4487" t="s">
        <v>2490</v>
      </c>
      <c r="D4487" t="s">
        <v>1410</v>
      </c>
      <c r="E4487" t="s">
        <v>3370</v>
      </c>
      <c r="F4487" s="853" t="s">
        <v>526</v>
      </c>
      <c r="G4487" s="913" t="s">
        <v>1427</v>
      </c>
      <c r="H4487" t="s">
        <v>7753</v>
      </c>
    </row>
    <row r="4488" spans="2:8">
      <c r="B4488" s="871">
        <v>46286</v>
      </c>
      <c r="C4488" t="s">
        <v>2490</v>
      </c>
      <c r="D4488" t="s">
        <v>1410</v>
      </c>
      <c r="E4488" t="s">
        <v>3370</v>
      </c>
      <c r="F4488" s="853" t="s">
        <v>527</v>
      </c>
      <c r="G4488" s="913" t="s">
        <v>1427</v>
      </c>
      <c r="H4488" t="s">
        <v>7754</v>
      </c>
    </row>
    <row r="4489" spans="2:8">
      <c r="B4489" s="871">
        <v>46286</v>
      </c>
      <c r="C4489" t="s">
        <v>2490</v>
      </c>
      <c r="D4489" t="s">
        <v>1410</v>
      </c>
      <c r="E4489" t="s">
        <v>3370</v>
      </c>
      <c r="F4489" s="853" t="s">
        <v>528</v>
      </c>
      <c r="H4489" t="s">
        <v>7755</v>
      </c>
    </row>
    <row r="4490" spans="2:8">
      <c r="B4490" s="871">
        <v>46286</v>
      </c>
      <c r="C4490" t="s">
        <v>2490</v>
      </c>
      <c r="D4490" t="s">
        <v>1410</v>
      </c>
      <c r="E4490" t="s">
        <v>3374</v>
      </c>
      <c r="F4490" s="853" t="s">
        <v>526</v>
      </c>
      <c r="G4490" s="913">
        <v>2.9</v>
      </c>
      <c r="H4490" t="s">
        <v>7756</v>
      </c>
    </row>
    <row r="4491" spans="2:8">
      <c r="B4491" s="871">
        <v>46286</v>
      </c>
      <c r="C4491" t="s">
        <v>2490</v>
      </c>
      <c r="D4491" t="s">
        <v>1410</v>
      </c>
      <c r="E4491" t="s">
        <v>3374</v>
      </c>
      <c r="F4491" s="853" t="s">
        <v>527</v>
      </c>
      <c r="G4491" s="913">
        <v>2.1</v>
      </c>
      <c r="H4491" t="s">
        <v>7757</v>
      </c>
    </row>
    <row r="4492" spans="2:8">
      <c r="B4492" s="871">
        <v>46286</v>
      </c>
      <c r="C4492" t="s">
        <v>2490</v>
      </c>
      <c r="D4492" t="s">
        <v>1410</v>
      </c>
      <c r="E4492" t="s">
        <v>3374</v>
      </c>
      <c r="F4492" s="853" t="s">
        <v>528</v>
      </c>
      <c r="H4492" t="s">
        <v>7758</v>
      </c>
    </row>
    <row r="4493" spans="2:8">
      <c r="B4493" s="871">
        <v>46286</v>
      </c>
      <c r="C4493" t="s">
        <v>2490</v>
      </c>
      <c r="D4493" t="s">
        <v>1410</v>
      </c>
      <c r="E4493" t="s">
        <v>3378</v>
      </c>
      <c r="F4493" s="853" t="s">
        <v>526</v>
      </c>
      <c r="G4493" s="913" t="s">
        <v>1430</v>
      </c>
      <c r="H4493" t="s">
        <v>7759</v>
      </c>
    </row>
    <row r="4494" spans="2:8">
      <c r="B4494" s="871">
        <v>46286</v>
      </c>
      <c r="C4494" t="s">
        <v>2490</v>
      </c>
      <c r="D4494" t="s">
        <v>1410</v>
      </c>
      <c r="E4494" t="s">
        <v>3378</v>
      </c>
      <c r="F4494" s="853" t="s">
        <v>527</v>
      </c>
      <c r="G4494" s="913" t="s">
        <v>1430</v>
      </c>
      <c r="H4494" t="s">
        <v>7760</v>
      </c>
    </row>
    <row r="4495" spans="2:8">
      <c r="B4495" s="871">
        <v>46286</v>
      </c>
      <c r="C4495" t="s">
        <v>2490</v>
      </c>
      <c r="D4495" t="s">
        <v>1410</v>
      </c>
      <c r="E4495" t="s">
        <v>3378</v>
      </c>
      <c r="F4495" s="853" t="s">
        <v>528</v>
      </c>
      <c r="H4495" t="s">
        <v>7761</v>
      </c>
    </row>
    <row r="4496" spans="2:8">
      <c r="B4496" s="871">
        <v>46286</v>
      </c>
      <c r="C4496" t="s">
        <v>2490</v>
      </c>
      <c r="D4496" t="s">
        <v>1410</v>
      </c>
      <c r="E4496" t="s">
        <v>3382</v>
      </c>
      <c r="F4496" s="853" t="s">
        <v>526</v>
      </c>
      <c r="G4496" s="913">
        <v>99</v>
      </c>
      <c r="H4496" t="s">
        <v>7762</v>
      </c>
    </row>
    <row r="4497" spans="2:8">
      <c r="B4497" s="871">
        <v>46286</v>
      </c>
      <c r="C4497" t="s">
        <v>2490</v>
      </c>
      <c r="D4497" t="s">
        <v>1410</v>
      </c>
      <c r="E4497" t="s">
        <v>3382</v>
      </c>
      <c r="F4497" s="853" t="s">
        <v>527</v>
      </c>
      <c r="G4497" s="913">
        <v>100</v>
      </c>
      <c r="H4497" t="s">
        <v>7763</v>
      </c>
    </row>
    <row r="4498" spans="2:8">
      <c r="B4498" s="871">
        <v>46286</v>
      </c>
      <c r="C4498" t="s">
        <v>2490</v>
      </c>
      <c r="D4498" t="s">
        <v>1410</v>
      </c>
      <c r="E4498" t="s">
        <v>3382</v>
      </c>
      <c r="F4498" s="853" t="s">
        <v>528</v>
      </c>
      <c r="H4498" t="s">
        <v>7764</v>
      </c>
    </row>
    <row r="4499" spans="2:8">
      <c r="B4499" s="871">
        <v>46286</v>
      </c>
      <c r="C4499" t="s">
        <v>2490</v>
      </c>
      <c r="D4499" t="s">
        <v>1409</v>
      </c>
      <c r="E4499" t="s">
        <v>1431</v>
      </c>
      <c r="F4499" s="853" t="s">
        <v>526</v>
      </c>
      <c r="H4499" t="s">
        <v>7765</v>
      </c>
    </row>
    <row r="4500" spans="2:8">
      <c r="B4500" s="871">
        <v>46286</v>
      </c>
      <c r="C4500" t="s">
        <v>2490</v>
      </c>
      <c r="D4500" t="s">
        <v>1409</v>
      </c>
      <c r="E4500" t="s">
        <v>1431</v>
      </c>
      <c r="F4500" s="853" t="s">
        <v>527</v>
      </c>
      <c r="H4500" t="s">
        <v>7766</v>
      </c>
    </row>
    <row r="4501" spans="2:8">
      <c r="B4501" s="871">
        <v>46286</v>
      </c>
      <c r="C4501" t="s">
        <v>2490</v>
      </c>
      <c r="D4501" t="s">
        <v>1409</v>
      </c>
      <c r="E4501" t="s">
        <v>1431</v>
      </c>
      <c r="F4501" s="853" t="s">
        <v>528</v>
      </c>
      <c r="H4501" t="s">
        <v>7767</v>
      </c>
    </row>
    <row r="4502" spans="2:8">
      <c r="B4502" s="871">
        <v>46286</v>
      </c>
      <c r="C4502" t="s">
        <v>2490</v>
      </c>
      <c r="D4502" t="s">
        <v>1410</v>
      </c>
      <c r="E4502" t="s">
        <v>3389</v>
      </c>
      <c r="F4502" s="853" t="s">
        <v>526</v>
      </c>
      <c r="G4502" s="913">
        <v>2760</v>
      </c>
      <c r="H4502" t="s">
        <v>7768</v>
      </c>
    </row>
    <row r="4503" spans="2:8">
      <c r="B4503" s="871">
        <v>46286</v>
      </c>
      <c r="C4503" t="s">
        <v>2490</v>
      </c>
      <c r="D4503" t="s">
        <v>1410</v>
      </c>
      <c r="E4503" t="s">
        <v>3389</v>
      </c>
      <c r="F4503" s="853" t="s">
        <v>527</v>
      </c>
      <c r="G4503" s="913">
        <v>2670</v>
      </c>
      <c r="H4503" t="s">
        <v>7769</v>
      </c>
    </row>
    <row r="4504" spans="2:8">
      <c r="B4504" s="871">
        <v>46286</v>
      </c>
      <c r="C4504" t="s">
        <v>2490</v>
      </c>
      <c r="D4504" t="s">
        <v>1410</v>
      </c>
      <c r="E4504" t="s">
        <v>3389</v>
      </c>
      <c r="F4504" s="853" t="s">
        <v>528</v>
      </c>
      <c r="H4504" t="s">
        <v>7770</v>
      </c>
    </row>
    <row r="4505" spans="2:8">
      <c r="B4505" s="871">
        <v>46286</v>
      </c>
      <c r="C4505" t="s">
        <v>2490</v>
      </c>
      <c r="D4505" t="s">
        <v>1410</v>
      </c>
      <c r="E4505" t="s">
        <v>3393</v>
      </c>
      <c r="F4505" s="853" t="s">
        <v>526</v>
      </c>
      <c r="G4505" s="913" t="s">
        <v>1663</v>
      </c>
      <c r="H4505" t="s">
        <v>7771</v>
      </c>
    </row>
    <row r="4506" spans="2:8">
      <c r="B4506" s="871">
        <v>46286</v>
      </c>
      <c r="C4506" t="s">
        <v>2490</v>
      </c>
      <c r="D4506" t="s">
        <v>1410</v>
      </c>
      <c r="E4506" t="s">
        <v>3393</v>
      </c>
      <c r="F4506" s="853" t="s">
        <v>527</v>
      </c>
      <c r="G4506" s="913" t="s">
        <v>1663</v>
      </c>
      <c r="H4506" t="s">
        <v>7772</v>
      </c>
    </row>
    <row r="4507" spans="2:8">
      <c r="B4507" s="871">
        <v>46286</v>
      </c>
      <c r="C4507" t="s">
        <v>2490</v>
      </c>
      <c r="D4507" t="s">
        <v>1410</v>
      </c>
      <c r="E4507" t="s">
        <v>3393</v>
      </c>
      <c r="F4507" s="853" t="s">
        <v>528</v>
      </c>
      <c r="H4507" t="s">
        <v>7773</v>
      </c>
    </row>
    <row r="4508" spans="2:8">
      <c r="B4508" s="871">
        <v>46286</v>
      </c>
      <c r="C4508" t="s">
        <v>2490</v>
      </c>
      <c r="D4508" t="s">
        <v>1410</v>
      </c>
      <c r="E4508" t="s">
        <v>3397</v>
      </c>
      <c r="F4508" s="853" t="s">
        <v>526</v>
      </c>
      <c r="G4508" s="913" t="s">
        <v>1435</v>
      </c>
      <c r="H4508" t="s">
        <v>7774</v>
      </c>
    </row>
    <row r="4509" spans="2:8">
      <c r="B4509" s="871">
        <v>46286</v>
      </c>
      <c r="C4509" t="s">
        <v>2490</v>
      </c>
      <c r="D4509" t="s">
        <v>1410</v>
      </c>
      <c r="E4509" t="s">
        <v>3397</v>
      </c>
      <c r="F4509" s="853" t="s">
        <v>527</v>
      </c>
      <c r="G4509" s="913" t="s">
        <v>1435</v>
      </c>
      <c r="H4509" t="s">
        <v>7775</v>
      </c>
    </row>
    <row r="4510" spans="2:8">
      <c r="B4510" s="871">
        <v>46286</v>
      </c>
      <c r="C4510" t="s">
        <v>2490</v>
      </c>
      <c r="D4510" t="s">
        <v>1410</v>
      </c>
      <c r="E4510" t="s">
        <v>3397</v>
      </c>
      <c r="F4510" s="853" t="s">
        <v>528</v>
      </c>
      <c r="H4510" t="s">
        <v>7776</v>
      </c>
    </row>
    <row r="4511" spans="2:8">
      <c r="B4511" s="871">
        <v>46286</v>
      </c>
      <c r="C4511" t="s">
        <v>2490</v>
      </c>
      <c r="D4511" t="s">
        <v>1434</v>
      </c>
      <c r="E4511" t="s">
        <v>42</v>
      </c>
      <c r="F4511" s="853" t="s">
        <v>526</v>
      </c>
      <c r="G4511" s="913" t="s">
        <v>2037</v>
      </c>
      <c r="H4511" t="s">
        <v>7777</v>
      </c>
    </row>
    <row r="4512" spans="2:8">
      <c r="B4512" s="871">
        <v>46286</v>
      </c>
      <c r="C4512" t="s">
        <v>2490</v>
      </c>
      <c r="D4512" t="s">
        <v>1434</v>
      </c>
      <c r="E4512" t="s">
        <v>42</v>
      </c>
      <c r="F4512" s="853" t="s">
        <v>527</v>
      </c>
      <c r="H4512" t="s">
        <v>7778</v>
      </c>
    </row>
    <row r="4513" spans="2:8">
      <c r="B4513" s="871">
        <v>46286</v>
      </c>
      <c r="C4513" t="s">
        <v>2490</v>
      </c>
      <c r="D4513" t="s">
        <v>1434</v>
      </c>
      <c r="E4513" t="s">
        <v>42</v>
      </c>
      <c r="F4513" s="853" t="s">
        <v>528</v>
      </c>
      <c r="G4513" s="913" t="s">
        <v>2037</v>
      </c>
      <c r="H4513" t="s">
        <v>7779</v>
      </c>
    </row>
    <row r="4514" spans="2:8">
      <c r="B4514" s="871">
        <v>46286</v>
      </c>
      <c r="C4514" t="s">
        <v>2490</v>
      </c>
      <c r="D4514" t="s">
        <v>1410</v>
      </c>
      <c r="E4514" t="s">
        <v>3404</v>
      </c>
      <c r="F4514" s="853" t="s">
        <v>526</v>
      </c>
      <c r="G4514" s="913" t="s">
        <v>1419</v>
      </c>
      <c r="H4514" t="s">
        <v>7780</v>
      </c>
    </row>
    <row r="4515" spans="2:8">
      <c r="B4515" s="871">
        <v>46286</v>
      </c>
      <c r="C4515" t="s">
        <v>2490</v>
      </c>
      <c r="D4515" t="s">
        <v>1410</v>
      </c>
      <c r="E4515" t="s">
        <v>3404</v>
      </c>
      <c r="F4515" s="853" t="s">
        <v>527</v>
      </c>
      <c r="G4515" s="913" t="s">
        <v>1419</v>
      </c>
      <c r="H4515" t="s">
        <v>7781</v>
      </c>
    </row>
    <row r="4516" spans="2:8">
      <c r="B4516" s="871">
        <v>46286</v>
      </c>
      <c r="C4516" t="s">
        <v>2490</v>
      </c>
      <c r="D4516" t="s">
        <v>1410</v>
      </c>
      <c r="E4516" t="s">
        <v>3404</v>
      </c>
      <c r="F4516" s="853" t="s">
        <v>528</v>
      </c>
      <c r="H4516" t="s">
        <v>7782</v>
      </c>
    </row>
    <row r="4517" spans="2:8">
      <c r="B4517" s="871">
        <v>46286</v>
      </c>
      <c r="C4517" t="s">
        <v>2490</v>
      </c>
      <c r="D4517" t="s">
        <v>1434</v>
      </c>
      <c r="E4517" t="s">
        <v>1439</v>
      </c>
      <c r="F4517" s="853" t="s">
        <v>526</v>
      </c>
      <c r="G4517" s="913" t="s">
        <v>9412</v>
      </c>
      <c r="H4517" t="s">
        <v>7783</v>
      </c>
    </row>
    <row r="4518" spans="2:8">
      <c r="B4518" s="871">
        <v>46286</v>
      </c>
      <c r="C4518" t="s">
        <v>2490</v>
      </c>
      <c r="D4518" t="s">
        <v>1434</v>
      </c>
      <c r="E4518" t="s">
        <v>1439</v>
      </c>
      <c r="F4518" s="853" t="s">
        <v>527</v>
      </c>
      <c r="H4518" t="s">
        <v>7784</v>
      </c>
    </row>
    <row r="4519" spans="2:8">
      <c r="B4519" s="871">
        <v>46286</v>
      </c>
      <c r="C4519" t="s">
        <v>2490</v>
      </c>
      <c r="D4519" t="s">
        <v>1434</v>
      </c>
      <c r="E4519" t="s">
        <v>1439</v>
      </c>
      <c r="F4519" s="853" t="s">
        <v>528</v>
      </c>
      <c r="G4519" s="913" t="s">
        <v>9412</v>
      </c>
      <c r="H4519" t="s">
        <v>7785</v>
      </c>
    </row>
    <row r="4520" spans="2:8">
      <c r="B4520" s="871">
        <v>46286</v>
      </c>
      <c r="C4520" t="s">
        <v>2490</v>
      </c>
      <c r="D4520" t="s">
        <v>1410</v>
      </c>
      <c r="E4520" t="s">
        <v>3411</v>
      </c>
      <c r="F4520" s="853" t="s">
        <v>526</v>
      </c>
      <c r="G4520" s="913">
        <v>37</v>
      </c>
      <c r="H4520" t="s">
        <v>7786</v>
      </c>
    </row>
    <row r="4521" spans="2:8">
      <c r="B4521" s="871">
        <v>46286</v>
      </c>
      <c r="C4521" t="s">
        <v>2490</v>
      </c>
      <c r="D4521" t="s">
        <v>1410</v>
      </c>
      <c r="E4521" t="s">
        <v>3411</v>
      </c>
      <c r="F4521" s="853" t="s">
        <v>527</v>
      </c>
      <c r="G4521" s="913">
        <v>37</v>
      </c>
      <c r="H4521" t="s">
        <v>7787</v>
      </c>
    </row>
    <row r="4522" spans="2:8">
      <c r="B4522" s="871">
        <v>46286</v>
      </c>
      <c r="C4522" t="s">
        <v>2490</v>
      </c>
      <c r="D4522" t="s">
        <v>1410</v>
      </c>
      <c r="E4522" t="s">
        <v>3411</v>
      </c>
      <c r="F4522" s="853" t="s">
        <v>528</v>
      </c>
      <c r="H4522" t="s">
        <v>7788</v>
      </c>
    </row>
    <row r="4523" spans="2:8">
      <c r="B4523" s="871">
        <v>46286</v>
      </c>
      <c r="C4523" t="s">
        <v>2490</v>
      </c>
      <c r="D4523" t="s">
        <v>1434</v>
      </c>
      <c r="E4523" t="s">
        <v>43</v>
      </c>
      <c r="F4523" s="853" t="s">
        <v>526</v>
      </c>
      <c r="G4523" s="913" t="s">
        <v>2124</v>
      </c>
      <c r="H4523" t="s">
        <v>7789</v>
      </c>
    </row>
    <row r="4524" spans="2:8">
      <c r="B4524" s="871">
        <v>46286</v>
      </c>
      <c r="C4524" t="s">
        <v>2490</v>
      </c>
      <c r="D4524" t="s">
        <v>1434</v>
      </c>
      <c r="E4524" t="s">
        <v>43</v>
      </c>
      <c r="F4524" s="853" t="s">
        <v>527</v>
      </c>
      <c r="H4524" t="s">
        <v>7790</v>
      </c>
    </row>
    <row r="4525" spans="2:8">
      <c r="B4525" s="871">
        <v>46286</v>
      </c>
      <c r="C4525" t="s">
        <v>2490</v>
      </c>
      <c r="D4525" t="s">
        <v>1434</v>
      </c>
      <c r="E4525" t="s">
        <v>43</v>
      </c>
      <c r="F4525" s="853" t="s">
        <v>528</v>
      </c>
      <c r="G4525" s="913" t="s">
        <v>2124</v>
      </c>
      <c r="H4525" t="s">
        <v>7791</v>
      </c>
    </row>
    <row r="4526" spans="2:8">
      <c r="B4526" s="871">
        <v>46286</v>
      </c>
      <c r="C4526" t="s">
        <v>2490</v>
      </c>
      <c r="D4526" t="s">
        <v>1410</v>
      </c>
      <c r="E4526" t="s">
        <v>3418</v>
      </c>
      <c r="F4526" s="853" t="s">
        <v>526</v>
      </c>
      <c r="G4526" s="913">
        <v>101</v>
      </c>
      <c r="H4526" t="s">
        <v>7792</v>
      </c>
    </row>
    <row r="4527" spans="2:8">
      <c r="B4527" s="871">
        <v>46286</v>
      </c>
      <c r="C4527" t="s">
        <v>2490</v>
      </c>
      <c r="D4527" t="s">
        <v>1410</v>
      </c>
      <c r="E4527" t="s">
        <v>3418</v>
      </c>
      <c r="F4527" s="853" t="s">
        <v>527</v>
      </c>
      <c r="G4527" s="913">
        <v>100</v>
      </c>
      <c r="H4527" t="s">
        <v>7793</v>
      </c>
    </row>
    <row r="4528" spans="2:8">
      <c r="B4528" s="871">
        <v>46286</v>
      </c>
      <c r="C4528" t="s">
        <v>2490</v>
      </c>
      <c r="D4528" t="s">
        <v>1410</v>
      </c>
      <c r="E4528" t="s">
        <v>3418</v>
      </c>
      <c r="F4528" s="853" t="s">
        <v>528</v>
      </c>
      <c r="H4528" t="s">
        <v>7794</v>
      </c>
    </row>
    <row r="4529" spans="2:8">
      <c r="B4529" s="871">
        <v>46286</v>
      </c>
      <c r="C4529" t="s">
        <v>2490</v>
      </c>
      <c r="D4529" t="s">
        <v>1434</v>
      </c>
      <c r="E4529" t="s">
        <v>1441</v>
      </c>
      <c r="F4529" s="853" t="s">
        <v>526</v>
      </c>
      <c r="H4529" t="s">
        <v>7795</v>
      </c>
    </row>
    <row r="4530" spans="2:8">
      <c r="B4530" s="871">
        <v>46286</v>
      </c>
      <c r="C4530" t="s">
        <v>2490</v>
      </c>
      <c r="D4530" t="s">
        <v>1434</v>
      </c>
      <c r="E4530" t="s">
        <v>1441</v>
      </c>
      <c r="F4530" s="853" t="s">
        <v>527</v>
      </c>
      <c r="H4530" t="s">
        <v>7796</v>
      </c>
    </row>
    <row r="4531" spans="2:8">
      <c r="B4531" s="871">
        <v>46286</v>
      </c>
      <c r="C4531" t="s">
        <v>2490</v>
      </c>
      <c r="D4531" t="s">
        <v>1434</v>
      </c>
      <c r="E4531" t="s">
        <v>1441</v>
      </c>
      <c r="F4531" s="853" t="s">
        <v>528</v>
      </c>
      <c r="H4531" t="s">
        <v>7797</v>
      </c>
    </row>
    <row r="4532" spans="2:8">
      <c r="B4532" s="871">
        <v>46286</v>
      </c>
      <c r="C4532" t="s">
        <v>2490</v>
      </c>
      <c r="D4532" t="s">
        <v>1410</v>
      </c>
      <c r="E4532" t="s">
        <v>3425</v>
      </c>
      <c r="F4532" s="853" t="s">
        <v>526</v>
      </c>
      <c r="G4532" s="913" t="s">
        <v>1443</v>
      </c>
      <c r="H4532" t="s">
        <v>7798</v>
      </c>
    </row>
    <row r="4533" spans="2:8">
      <c r="B4533" s="871">
        <v>46286</v>
      </c>
      <c r="C4533" t="s">
        <v>2490</v>
      </c>
      <c r="D4533" t="s">
        <v>1410</v>
      </c>
      <c r="E4533" t="s">
        <v>3425</v>
      </c>
      <c r="F4533" s="853" t="s">
        <v>527</v>
      </c>
      <c r="G4533" s="913" t="s">
        <v>1443</v>
      </c>
      <c r="H4533" t="s">
        <v>7799</v>
      </c>
    </row>
    <row r="4534" spans="2:8">
      <c r="B4534" s="871">
        <v>46286</v>
      </c>
      <c r="C4534" t="s">
        <v>2490</v>
      </c>
      <c r="D4534" t="s">
        <v>1410</v>
      </c>
      <c r="E4534" t="s">
        <v>3425</v>
      </c>
      <c r="F4534" s="853" t="s">
        <v>528</v>
      </c>
      <c r="H4534" t="s">
        <v>7800</v>
      </c>
    </row>
    <row r="4535" spans="2:8">
      <c r="B4535" s="871">
        <v>46286</v>
      </c>
      <c r="C4535" t="s">
        <v>2490</v>
      </c>
      <c r="D4535" t="s">
        <v>1434</v>
      </c>
      <c r="E4535" t="s">
        <v>1444</v>
      </c>
      <c r="F4535" s="853" t="s">
        <v>526</v>
      </c>
      <c r="H4535" t="s">
        <v>7801</v>
      </c>
    </row>
    <row r="4536" spans="2:8">
      <c r="B4536" s="871">
        <v>46286</v>
      </c>
      <c r="C4536" t="s">
        <v>2490</v>
      </c>
      <c r="D4536" t="s">
        <v>1434</v>
      </c>
      <c r="E4536" t="s">
        <v>1444</v>
      </c>
      <c r="F4536" s="853" t="s">
        <v>527</v>
      </c>
      <c r="H4536" t="s">
        <v>7802</v>
      </c>
    </row>
    <row r="4537" spans="2:8">
      <c r="B4537" s="871">
        <v>46286</v>
      </c>
      <c r="C4537" t="s">
        <v>2490</v>
      </c>
      <c r="D4537" t="s">
        <v>1434</v>
      </c>
      <c r="E4537" t="s">
        <v>1444</v>
      </c>
      <c r="F4537" s="853" t="s">
        <v>528</v>
      </c>
      <c r="G4537" s="913" t="s">
        <v>2125</v>
      </c>
      <c r="H4537" t="s">
        <v>7803</v>
      </c>
    </row>
    <row r="4538" spans="2:8">
      <c r="B4538" s="871">
        <v>46286</v>
      </c>
      <c r="C4538" t="s">
        <v>2490</v>
      </c>
      <c r="D4538" t="s">
        <v>1434</v>
      </c>
      <c r="E4538" t="s">
        <v>1446</v>
      </c>
      <c r="F4538" s="853" t="s">
        <v>526</v>
      </c>
      <c r="G4538" s="913" t="s">
        <v>2113</v>
      </c>
      <c r="H4538" t="s">
        <v>7804</v>
      </c>
    </row>
    <row r="4539" spans="2:8">
      <c r="B4539" s="871">
        <v>46286</v>
      </c>
      <c r="C4539" t="s">
        <v>2490</v>
      </c>
      <c r="D4539" t="s">
        <v>1434</v>
      </c>
      <c r="E4539" t="s">
        <v>1446</v>
      </c>
      <c r="F4539" s="853" t="s">
        <v>527</v>
      </c>
      <c r="H4539" t="s">
        <v>7805</v>
      </c>
    </row>
    <row r="4540" spans="2:8">
      <c r="B4540" s="871">
        <v>46286</v>
      </c>
      <c r="C4540" t="s">
        <v>2490</v>
      </c>
      <c r="D4540" t="s">
        <v>1434</v>
      </c>
      <c r="E4540" t="s">
        <v>1446</v>
      </c>
      <c r="F4540" s="853" t="s">
        <v>528</v>
      </c>
      <c r="G4540" s="913" t="s">
        <v>2126</v>
      </c>
      <c r="H4540" t="s">
        <v>7806</v>
      </c>
    </row>
    <row r="4541" spans="2:8">
      <c r="B4541" s="871">
        <v>46286</v>
      </c>
      <c r="C4541" t="s">
        <v>2490</v>
      </c>
      <c r="D4541" t="s">
        <v>1410</v>
      </c>
      <c r="E4541" t="s">
        <v>3435</v>
      </c>
      <c r="F4541" s="853" t="s">
        <v>526</v>
      </c>
      <c r="G4541" s="913" t="s">
        <v>1586</v>
      </c>
      <c r="H4541" t="s">
        <v>7807</v>
      </c>
    </row>
    <row r="4542" spans="2:8">
      <c r="B4542" s="871">
        <v>46286</v>
      </c>
      <c r="C4542" t="s">
        <v>2490</v>
      </c>
      <c r="D4542" t="s">
        <v>1410</v>
      </c>
      <c r="E4542" t="s">
        <v>3435</v>
      </c>
      <c r="F4542" s="853" t="s">
        <v>527</v>
      </c>
      <c r="G4542" s="913" t="s">
        <v>2127</v>
      </c>
      <c r="H4542" t="s">
        <v>7808</v>
      </c>
    </row>
    <row r="4543" spans="2:8">
      <c r="B4543" s="871">
        <v>46286</v>
      </c>
      <c r="C4543" t="s">
        <v>2490</v>
      </c>
      <c r="D4543" t="s">
        <v>1410</v>
      </c>
      <c r="E4543" t="s">
        <v>3435</v>
      </c>
      <c r="F4543" s="853" t="s">
        <v>528</v>
      </c>
      <c r="H4543" t="s">
        <v>7809</v>
      </c>
    </row>
    <row r="4544" spans="2:8">
      <c r="B4544" s="871">
        <v>46286</v>
      </c>
      <c r="C4544" t="s">
        <v>2490</v>
      </c>
      <c r="D4544" t="s">
        <v>1434</v>
      </c>
      <c r="E4544" t="s">
        <v>3439</v>
      </c>
      <c r="F4544" s="853" t="s">
        <v>526</v>
      </c>
      <c r="H4544" t="s">
        <v>7810</v>
      </c>
    </row>
    <row r="4545" spans="2:8">
      <c r="B4545" s="871">
        <v>46286</v>
      </c>
      <c r="C4545" t="s">
        <v>2490</v>
      </c>
      <c r="D4545" t="s">
        <v>1434</v>
      </c>
      <c r="E4545" t="s">
        <v>3439</v>
      </c>
      <c r="F4545" s="853" t="s">
        <v>527</v>
      </c>
      <c r="H4545" t="s">
        <v>7811</v>
      </c>
    </row>
    <row r="4546" spans="2:8">
      <c r="B4546" s="871">
        <v>46286</v>
      </c>
      <c r="C4546" t="s">
        <v>2490</v>
      </c>
      <c r="D4546" t="s">
        <v>1434</v>
      </c>
      <c r="E4546" t="s">
        <v>3439</v>
      </c>
      <c r="F4546" s="853" t="s">
        <v>528</v>
      </c>
      <c r="G4546" s="913" t="s">
        <v>2128</v>
      </c>
      <c r="H4546" t="s">
        <v>7812</v>
      </c>
    </row>
    <row r="4547" spans="2:8">
      <c r="B4547" s="871">
        <v>46286</v>
      </c>
      <c r="C4547" t="s">
        <v>2490</v>
      </c>
      <c r="D4547" t="s">
        <v>1410</v>
      </c>
      <c r="E4547" t="s">
        <v>3443</v>
      </c>
      <c r="F4547" s="853" t="s">
        <v>526</v>
      </c>
      <c r="H4547" t="s">
        <v>7813</v>
      </c>
    </row>
    <row r="4548" spans="2:8">
      <c r="B4548" s="871">
        <v>46286</v>
      </c>
      <c r="C4548" t="s">
        <v>2490</v>
      </c>
      <c r="D4548" t="s">
        <v>1410</v>
      </c>
      <c r="E4548" t="s">
        <v>3443</v>
      </c>
      <c r="F4548" s="853" t="s">
        <v>527</v>
      </c>
      <c r="H4548" t="s">
        <v>7814</v>
      </c>
    </row>
    <row r="4549" spans="2:8">
      <c r="B4549" s="871">
        <v>46286</v>
      </c>
      <c r="C4549" t="s">
        <v>2490</v>
      </c>
      <c r="D4549" t="s">
        <v>1410</v>
      </c>
      <c r="E4549" t="s">
        <v>3443</v>
      </c>
      <c r="F4549" s="853" t="s">
        <v>528</v>
      </c>
      <c r="H4549" t="s">
        <v>7815</v>
      </c>
    </row>
    <row r="4550" spans="2:8">
      <c r="B4550" s="871">
        <v>46286</v>
      </c>
      <c r="C4550" t="s">
        <v>2490</v>
      </c>
      <c r="D4550" t="s">
        <v>1434</v>
      </c>
      <c r="E4550" t="s">
        <v>3447</v>
      </c>
      <c r="F4550" s="853" t="s">
        <v>526</v>
      </c>
      <c r="H4550" t="s">
        <v>7816</v>
      </c>
    </row>
    <row r="4551" spans="2:8">
      <c r="B4551" s="871">
        <v>46286</v>
      </c>
      <c r="C4551" t="s">
        <v>2490</v>
      </c>
      <c r="D4551" t="s">
        <v>1434</v>
      </c>
      <c r="E4551" t="s">
        <v>3447</v>
      </c>
      <c r="F4551" s="853" t="s">
        <v>527</v>
      </c>
      <c r="H4551" t="s">
        <v>7817</v>
      </c>
    </row>
    <row r="4552" spans="2:8">
      <c r="B4552" s="871">
        <v>46286</v>
      </c>
      <c r="C4552" t="s">
        <v>2490</v>
      </c>
      <c r="D4552" t="s">
        <v>1434</v>
      </c>
      <c r="E4552" t="s">
        <v>3447</v>
      </c>
      <c r="F4552" s="853" t="s">
        <v>528</v>
      </c>
      <c r="G4552" s="913" t="s">
        <v>9412</v>
      </c>
      <c r="H4552" t="s">
        <v>7818</v>
      </c>
    </row>
    <row r="4553" spans="2:8">
      <c r="B4553" s="871">
        <v>46286</v>
      </c>
      <c r="C4553" t="s">
        <v>2490</v>
      </c>
      <c r="D4553" t="s">
        <v>1410</v>
      </c>
      <c r="E4553" t="s">
        <v>3451</v>
      </c>
      <c r="F4553" s="853" t="s">
        <v>526</v>
      </c>
      <c r="H4553" t="s">
        <v>7819</v>
      </c>
    </row>
    <row r="4554" spans="2:8">
      <c r="B4554" s="871">
        <v>46286</v>
      </c>
      <c r="C4554" t="s">
        <v>2490</v>
      </c>
      <c r="D4554" t="s">
        <v>1410</v>
      </c>
      <c r="E4554" t="s">
        <v>3451</v>
      </c>
      <c r="F4554" s="853" t="s">
        <v>527</v>
      </c>
      <c r="H4554" t="s">
        <v>7820</v>
      </c>
    </row>
    <row r="4555" spans="2:8">
      <c r="B4555" s="871">
        <v>46286</v>
      </c>
      <c r="C4555" t="s">
        <v>2490</v>
      </c>
      <c r="D4555" t="s">
        <v>1410</v>
      </c>
      <c r="E4555" t="s">
        <v>3451</v>
      </c>
      <c r="F4555" s="853" t="s">
        <v>528</v>
      </c>
      <c r="H4555" t="s">
        <v>7821</v>
      </c>
    </row>
    <row r="4556" spans="2:8">
      <c r="B4556" s="871">
        <v>46286</v>
      </c>
      <c r="C4556" t="s">
        <v>2490</v>
      </c>
      <c r="D4556" t="s">
        <v>1434</v>
      </c>
      <c r="E4556" t="s">
        <v>3455</v>
      </c>
      <c r="F4556" s="853" t="s">
        <v>526</v>
      </c>
      <c r="H4556" t="s">
        <v>7822</v>
      </c>
    </row>
    <row r="4557" spans="2:8">
      <c r="B4557" s="871">
        <v>46286</v>
      </c>
      <c r="C4557" t="s">
        <v>2490</v>
      </c>
      <c r="D4557" t="s">
        <v>1434</v>
      </c>
      <c r="E4557" t="s">
        <v>3455</v>
      </c>
      <c r="F4557" s="853" t="s">
        <v>527</v>
      </c>
      <c r="H4557" t="s">
        <v>7823</v>
      </c>
    </row>
    <row r="4558" spans="2:8">
      <c r="B4558" s="871">
        <v>46286</v>
      </c>
      <c r="C4558" t="s">
        <v>2490</v>
      </c>
      <c r="D4558" t="s">
        <v>1434</v>
      </c>
      <c r="E4558" t="s">
        <v>3455</v>
      </c>
      <c r="F4558" s="853" t="s">
        <v>528</v>
      </c>
      <c r="G4558" s="913" t="s">
        <v>2129</v>
      </c>
      <c r="H4558" t="s">
        <v>7824</v>
      </c>
    </row>
    <row r="4559" spans="2:8">
      <c r="B4559" s="871">
        <v>46286</v>
      </c>
      <c r="C4559" t="s">
        <v>2490</v>
      </c>
      <c r="D4559" t="s">
        <v>1410</v>
      </c>
      <c r="E4559" t="s">
        <v>3459</v>
      </c>
      <c r="F4559" s="853" t="s">
        <v>526</v>
      </c>
      <c r="G4559" s="913">
        <v>30</v>
      </c>
      <c r="H4559" t="s">
        <v>7825</v>
      </c>
    </row>
    <row r="4560" spans="2:8">
      <c r="B4560" s="871">
        <v>46286</v>
      </c>
      <c r="C4560" t="s">
        <v>2490</v>
      </c>
      <c r="D4560" t="s">
        <v>1410</v>
      </c>
      <c r="E4560" t="s">
        <v>3459</v>
      </c>
      <c r="F4560" s="853" t="s">
        <v>527</v>
      </c>
      <c r="G4560" s="913">
        <v>28</v>
      </c>
      <c r="H4560" t="s">
        <v>7826</v>
      </c>
    </row>
    <row r="4561" spans="2:8">
      <c r="B4561" s="871">
        <v>46286</v>
      </c>
      <c r="C4561" t="s">
        <v>2490</v>
      </c>
      <c r="D4561" t="s">
        <v>1410</v>
      </c>
      <c r="E4561" t="s">
        <v>3459</v>
      </c>
      <c r="F4561" s="853" t="s">
        <v>528</v>
      </c>
      <c r="H4561" t="s">
        <v>7827</v>
      </c>
    </row>
    <row r="4562" spans="2:8">
      <c r="B4562" s="871">
        <v>46286</v>
      </c>
      <c r="C4562" t="s">
        <v>2490</v>
      </c>
      <c r="D4562" t="s">
        <v>1434</v>
      </c>
      <c r="E4562" t="s">
        <v>3463</v>
      </c>
      <c r="F4562" s="853" t="s">
        <v>526</v>
      </c>
      <c r="H4562" t="s">
        <v>7828</v>
      </c>
    </row>
    <row r="4563" spans="2:8">
      <c r="B4563" s="871">
        <v>46286</v>
      </c>
      <c r="C4563" t="s">
        <v>2490</v>
      </c>
      <c r="D4563" t="s">
        <v>1434</v>
      </c>
      <c r="E4563" t="s">
        <v>3463</v>
      </c>
      <c r="F4563" s="853" t="s">
        <v>527</v>
      </c>
      <c r="H4563" t="s">
        <v>7829</v>
      </c>
    </row>
    <row r="4564" spans="2:8">
      <c r="B4564" s="871">
        <v>46286</v>
      </c>
      <c r="C4564" t="s">
        <v>2490</v>
      </c>
      <c r="D4564" t="s">
        <v>1434</v>
      </c>
      <c r="E4564" t="s">
        <v>3463</v>
      </c>
      <c r="F4564" s="853" t="s">
        <v>528</v>
      </c>
      <c r="H4564" t="s">
        <v>7830</v>
      </c>
    </row>
    <row r="4565" spans="2:8">
      <c r="B4565" s="871">
        <v>46286</v>
      </c>
      <c r="C4565" t="s">
        <v>2490</v>
      </c>
      <c r="D4565" t="s">
        <v>1410</v>
      </c>
      <c r="E4565" t="s">
        <v>3467</v>
      </c>
      <c r="F4565" s="853" t="s">
        <v>526</v>
      </c>
      <c r="G4565" s="913">
        <v>30</v>
      </c>
      <c r="H4565" t="s">
        <v>7831</v>
      </c>
    </row>
    <row r="4566" spans="2:8">
      <c r="B4566" s="871">
        <v>46286</v>
      </c>
      <c r="C4566" t="s">
        <v>2490</v>
      </c>
      <c r="D4566" t="s">
        <v>1410</v>
      </c>
      <c r="E4566" t="s">
        <v>3467</v>
      </c>
      <c r="F4566" s="853" t="s">
        <v>527</v>
      </c>
      <c r="G4566" s="913">
        <v>28</v>
      </c>
      <c r="H4566" t="s">
        <v>7832</v>
      </c>
    </row>
    <row r="4567" spans="2:8">
      <c r="B4567" s="871">
        <v>46286</v>
      </c>
      <c r="C4567" t="s">
        <v>2490</v>
      </c>
      <c r="D4567" t="s">
        <v>1410</v>
      </c>
      <c r="E4567" t="s">
        <v>3467</v>
      </c>
      <c r="F4567" s="853" t="s">
        <v>528</v>
      </c>
      <c r="H4567" t="s">
        <v>7833</v>
      </c>
    </row>
    <row r="4568" spans="2:8">
      <c r="B4568" s="871">
        <v>46286</v>
      </c>
      <c r="C4568" t="s">
        <v>2490</v>
      </c>
      <c r="D4568" t="s">
        <v>1434</v>
      </c>
      <c r="E4568" t="s">
        <v>3471</v>
      </c>
      <c r="F4568" s="853" t="s">
        <v>526</v>
      </c>
      <c r="H4568" t="s">
        <v>7834</v>
      </c>
    </row>
    <row r="4569" spans="2:8">
      <c r="B4569" s="871">
        <v>46286</v>
      </c>
      <c r="C4569" t="s">
        <v>2490</v>
      </c>
      <c r="D4569" t="s">
        <v>1434</v>
      </c>
      <c r="E4569" t="s">
        <v>3471</v>
      </c>
      <c r="F4569" s="853" t="s">
        <v>527</v>
      </c>
      <c r="H4569" t="s">
        <v>7835</v>
      </c>
    </row>
    <row r="4570" spans="2:8">
      <c r="B4570" s="871">
        <v>46286</v>
      </c>
      <c r="C4570" t="s">
        <v>2490</v>
      </c>
      <c r="D4570" t="s">
        <v>1434</v>
      </c>
      <c r="E4570" t="s">
        <v>3471</v>
      </c>
      <c r="F4570" s="853" t="s">
        <v>528</v>
      </c>
      <c r="H4570" t="s">
        <v>7836</v>
      </c>
    </row>
    <row r="4571" spans="2:8">
      <c r="B4571" s="871">
        <v>46286</v>
      </c>
      <c r="C4571" t="s">
        <v>2490</v>
      </c>
      <c r="D4571" t="s">
        <v>1410</v>
      </c>
      <c r="E4571" t="s">
        <v>3475</v>
      </c>
      <c r="F4571" s="853" t="s">
        <v>526</v>
      </c>
      <c r="G4571" s="913">
        <v>16</v>
      </c>
      <c r="H4571" t="s">
        <v>7837</v>
      </c>
    </row>
    <row r="4572" spans="2:8">
      <c r="B4572" s="871">
        <v>46286</v>
      </c>
      <c r="C4572" t="s">
        <v>2490</v>
      </c>
      <c r="D4572" t="s">
        <v>1410</v>
      </c>
      <c r="E4572" t="s">
        <v>3475</v>
      </c>
      <c r="F4572" s="853" t="s">
        <v>527</v>
      </c>
      <c r="G4572" s="913">
        <v>17</v>
      </c>
      <c r="H4572" t="s">
        <v>7838</v>
      </c>
    </row>
    <row r="4573" spans="2:8">
      <c r="B4573" s="871">
        <v>46286</v>
      </c>
      <c r="C4573" t="s">
        <v>2490</v>
      </c>
      <c r="D4573" t="s">
        <v>1410</v>
      </c>
      <c r="E4573" t="s">
        <v>3475</v>
      </c>
      <c r="F4573" s="853" t="s">
        <v>528</v>
      </c>
      <c r="H4573" t="s">
        <v>7839</v>
      </c>
    </row>
    <row r="4574" spans="2:8">
      <c r="B4574" s="871">
        <v>46286</v>
      </c>
      <c r="C4574" t="s">
        <v>2490</v>
      </c>
      <c r="D4574" t="s">
        <v>1434</v>
      </c>
      <c r="E4574" t="s">
        <v>3479</v>
      </c>
      <c r="F4574" s="853" t="s">
        <v>526</v>
      </c>
      <c r="H4574" t="s">
        <v>7840</v>
      </c>
    </row>
    <row r="4575" spans="2:8">
      <c r="B4575" s="871">
        <v>46286</v>
      </c>
      <c r="C4575" t="s">
        <v>2490</v>
      </c>
      <c r="D4575" t="s">
        <v>1434</v>
      </c>
      <c r="E4575" t="s">
        <v>3479</v>
      </c>
      <c r="F4575" s="853" t="s">
        <v>527</v>
      </c>
      <c r="H4575" t="s">
        <v>7841</v>
      </c>
    </row>
    <row r="4576" spans="2:8">
      <c r="B4576" s="871">
        <v>46286</v>
      </c>
      <c r="C4576" t="s">
        <v>2490</v>
      </c>
      <c r="D4576" t="s">
        <v>1434</v>
      </c>
      <c r="E4576" t="s">
        <v>3479</v>
      </c>
      <c r="F4576" s="853" t="s">
        <v>528</v>
      </c>
      <c r="G4576" s="913" t="s">
        <v>2130</v>
      </c>
      <c r="H4576" t="s">
        <v>7842</v>
      </c>
    </row>
    <row r="4577" spans="2:8">
      <c r="B4577" s="871">
        <v>46286</v>
      </c>
      <c r="C4577" t="s">
        <v>2490</v>
      </c>
      <c r="D4577" t="s">
        <v>1410</v>
      </c>
      <c r="E4577" t="s">
        <v>3483</v>
      </c>
      <c r="F4577" s="853" t="s">
        <v>526</v>
      </c>
      <c r="G4577" s="913" t="s">
        <v>2131</v>
      </c>
      <c r="H4577" t="s">
        <v>7843</v>
      </c>
    </row>
    <row r="4578" spans="2:8">
      <c r="B4578" s="871">
        <v>46286</v>
      </c>
      <c r="C4578" t="s">
        <v>2490</v>
      </c>
      <c r="D4578" t="s">
        <v>1410</v>
      </c>
      <c r="E4578" t="s">
        <v>3483</v>
      </c>
      <c r="F4578" s="853" t="s">
        <v>527</v>
      </c>
      <c r="G4578" s="913">
        <v>5</v>
      </c>
      <c r="H4578" t="s">
        <v>7844</v>
      </c>
    </row>
    <row r="4579" spans="2:8">
      <c r="B4579" s="871">
        <v>46286</v>
      </c>
      <c r="C4579" t="s">
        <v>2490</v>
      </c>
      <c r="D4579" t="s">
        <v>1410</v>
      </c>
      <c r="E4579" t="s">
        <v>3483</v>
      </c>
      <c r="F4579" s="853" t="s">
        <v>528</v>
      </c>
      <c r="H4579" t="s">
        <v>7845</v>
      </c>
    </row>
    <row r="4580" spans="2:8">
      <c r="B4580" s="871">
        <v>46287</v>
      </c>
      <c r="C4580" t="s">
        <v>2491</v>
      </c>
      <c r="D4580" t="s">
        <v>1375</v>
      </c>
      <c r="E4580" t="s">
        <v>1377</v>
      </c>
      <c r="F4580" s="853" t="s">
        <v>526</v>
      </c>
      <c r="G4580" s="913" t="s">
        <v>1378</v>
      </c>
      <c r="H4580" t="s">
        <v>7846</v>
      </c>
    </row>
    <row r="4581" spans="2:8">
      <c r="B4581" s="871">
        <v>46287</v>
      </c>
      <c r="C4581" t="s">
        <v>2491</v>
      </c>
      <c r="D4581" t="s">
        <v>1375</v>
      </c>
      <c r="E4581" t="s">
        <v>1377</v>
      </c>
      <c r="F4581" s="853" t="s">
        <v>527</v>
      </c>
      <c r="G4581" s="913" t="s">
        <v>1378</v>
      </c>
      <c r="H4581" t="s">
        <v>7847</v>
      </c>
    </row>
    <row r="4582" spans="2:8">
      <c r="B4582" s="871">
        <v>46287</v>
      </c>
      <c r="C4582" t="s">
        <v>2491</v>
      </c>
      <c r="D4582" t="s">
        <v>1375</v>
      </c>
      <c r="E4582" t="s">
        <v>1377</v>
      </c>
      <c r="F4582" s="853" t="s">
        <v>528</v>
      </c>
      <c r="G4582" s="913" t="s">
        <v>1378</v>
      </c>
      <c r="H4582" t="s">
        <v>7848</v>
      </c>
    </row>
    <row r="4583" spans="2:8">
      <c r="B4583" s="871">
        <v>46287</v>
      </c>
      <c r="C4583" t="s">
        <v>2491</v>
      </c>
      <c r="D4583" t="s">
        <v>1376</v>
      </c>
      <c r="E4583" t="s">
        <v>1379</v>
      </c>
      <c r="F4583" s="853" t="s">
        <v>526</v>
      </c>
      <c r="H4583" t="s">
        <v>7849</v>
      </c>
    </row>
    <row r="4584" spans="2:8">
      <c r="B4584" s="871">
        <v>46287</v>
      </c>
      <c r="C4584" t="s">
        <v>2491</v>
      </c>
      <c r="D4584" t="s">
        <v>1376</v>
      </c>
      <c r="E4584" t="s">
        <v>1379</v>
      </c>
      <c r="F4584" s="853" t="s">
        <v>527</v>
      </c>
      <c r="H4584" t="s">
        <v>7850</v>
      </c>
    </row>
    <row r="4585" spans="2:8">
      <c r="B4585" s="871">
        <v>46287</v>
      </c>
      <c r="C4585" t="s">
        <v>2491</v>
      </c>
      <c r="D4585" t="s">
        <v>1376</v>
      </c>
      <c r="E4585" t="s">
        <v>1379</v>
      </c>
      <c r="F4585" s="853" t="s">
        <v>528</v>
      </c>
      <c r="H4585" t="s">
        <v>7851</v>
      </c>
    </row>
    <row r="4586" spans="2:8">
      <c r="B4586" s="871">
        <v>46287</v>
      </c>
      <c r="C4586" t="s">
        <v>2491</v>
      </c>
      <c r="D4586" t="s">
        <v>1375</v>
      </c>
      <c r="E4586" t="s">
        <v>1380</v>
      </c>
      <c r="F4586" s="853" t="s">
        <v>526</v>
      </c>
      <c r="G4586" s="913" t="s">
        <v>2121</v>
      </c>
      <c r="H4586" t="s">
        <v>7852</v>
      </c>
    </row>
    <row r="4587" spans="2:8">
      <c r="B4587" s="871">
        <v>46287</v>
      </c>
      <c r="C4587" t="s">
        <v>2491</v>
      </c>
      <c r="D4587" t="s">
        <v>1375</v>
      </c>
      <c r="E4587" t="s">
        <v>1380</v>
      </c>
      <c r="F4587" s="853" t="s">
        <v>527</v>
      </c>
      <c r="G4587" s="913" t="s">
        <v>2031</v>
      </c>
      <c r="H4587" t="s">
        <v>7853</v>
      </c>
    </row>
    <row r="4588" spans="2:8">
      <c r="B4588" s="871">
        <v>46287</v>
      </c>
      <c r="C4588" t="s">
        <v>2491</v>
      </c>
      <c r="D4588" t="s">
        <v>1375</v>
      </c>
      <c r="E4588" t="s">
        <v>1380</v>
      </c>
      <c r="F4588" s="853" t="s">
        <v>528</v>
      </c>
      <c r="G4588" s="913" t="s">
        <v>2031</v>
      </c>
      <c r="H4588" t="s">
        <v>7854</v>
      </c>
    </row>
    <row r="4589" spans="2:8">
      <c r="B4589" s="871">
        <v>46287</v>
      </c>
      <c r="C4589" t="s">
        <v>2491</v>
      </c>
      <c r="D4589" t="s">
        <v>1376</v>
      </c>
      <c r="E4589" t="s">
        <v>1383</v>
      </c>
      <c r="F4589" s="853" t="s">
        <v>526</v>
      </c>
      <c r="G4589" s="913">
        <v>0</v>
      </c>
      <c r="H4589" t="s">
        <v>7855</v>
      </c>
    </row>
    <row r="4590" spans="2:8">
      <c r="B4590" s="871">
        <v>46287</v>
      </c>
      <c r="C4590" t="s">
        <v>2491</v>
      </c>
      <c r="D4590" t="s">
        <v>1376</v>
      </c>
      <c r="E4590" t="s">
        <v>1383</v>
      </c>
      <c r="F4590" s="853" t="s">
        <v>527</v>
      </c>
      <c r="G4590" s="913">
        <v>0</v>
      </c>
      <c r="H4590" t="s">
        <v>7856</v>
      </c>
    </row>
    <row r="4591" spans="2:8">
      <c r="B4591" s="871">
        <v>46287</v>
      </c>
      <c r="C4591" t="s">
        <v>2491</v>
      </c>
      <c r="D4591" t="s">
        <v>1376</v>
      </c>
      <c r="E4591" t="s">
        <v>1383</v>
      </c>
      <c r="F4591" s="853" t="s">
        <v>528</v>
      </c>
      <c r="G4591" s="913">
        <v>0</v>
      </c>
      <c r="H4591" t="s">
        <v>7857</v>
      </c>
    </row>
    <row r="4592" spans="2:8">
      <c r="B4592" s="871">
        <v>46287</v>
      </c>
      <c r="C4592" t="s">
        <v>2491</v>
      </c>
      <c r="D4592" t="s">
        <v>1375</v>
      </c>
      <c r="E4592" t="s">
        <v>54</v>
      </c>
      <c r="F4592" s="853" t="s">
        <v>526</v>
      </c>
      <c r="H4592" t="s">
        <v>7858</v>
      </c>
    </row>
    <row r="4593" spans="2:8">
      <c r="B4593" s="871">
        <v>46287</v>
      </c>
      <c r="C4593" t="s">
        <v>2491</v>
      </c>
      <c r="D4593" t="s">
        <v>1375</v>
      </c>
      <c r="E4593" t="s">
        <v>54</v>
      </c>
      <c r="F4593" s="853" t="s">
        <v>527</v>
      </c>
      <c r="H4593" t="s">
        <v>7859</v>
      </c>
    </row>
    <row r="4594" spans="2:8">
      <c r="B4594" s="871">
        <v>46287</v>
      </c>
      <c r="C4594" t="s">
        <v>2491</v>
      </c>
      <c r="D4594" t="s">
        <v>1375</v>
      </c>
      <c r="E4594" t="s">
        <v>54</v>
      </c>
      <c r="F4594" s="853" t="s">
        <v>528</v>
      </c>
      <c r="H4594" t="s">
        <v>7860</v>
      </c>
    </row>
    <row r="4595" spans="2:8">
      <c r="B4595" s="871">
        <v>46287</v>
      </c>
      <c r="C4595" t="s">
        <v>2491</v>
      </c>
      <c r="D4595" t="s">
        <v>1376</v>
      </c>
      <c r="E4595" t="s">
        <v>1384</v>
      </c>
      <c r="F4595" s="853" t="s">
        <v>526</v>
      </c>
      <c r="G4595" s="913">
        <v>0.38</v>
      </c>
      <c r="H4595" t="s">
        <v>7861</v>
      </c>
    </row>
    <row r="4596" spans="2:8">
      <c r="B4596" s="871">
        <v>46287</v>
      </c>
      <c r="C4596" t="s">
        <v>2491</v>
      </c>
      <c r="D4596" t="s">
        <v>1376</v>
      </c>
      <c r="E4596" t="s">
        <v>1384</v>
      </c>
      <c r="F4596" s="853" t="s">
        <v>527</v>
      </c>
      <c r="G4596" s="913">
        <v>0.46</v>
      </c>
      <c r="H4596" t="s">
        <v>7862</v>
      </c>
    </row>
    <row r="4597" spans="2:8">
      <c r="B4597" s="871">
        <v>46287</v>
      </c>
      <c r="C4597" t="s">
        <v>2491</v>
      </c>
      <c r="D4597" t="s">
        <v>1376</v>
      </c>
      <c r="E4597" t="s">
        <v>1384</v>
      </c>
      <c r="F4597" s="853" t="s">
        <v>528</v>
      </c>
      <c r="G4597" s="913">
        <v>0.38</v>
      </c>
      <c r="H4597" t="s">
        <v>7863</v>
      </c>
    </row>
    <row r="4598" spans="2:8">
      <c r="B4598" s="871">
        <v>46287</v>
      </c>
      <c r="C4598" t="s">
        <v>2491</v>
      </c>
      <c r="D4598" t="s">
        <v>1375</v>
      </c>
      <c r="E4598" t="s">
        <v>1385</v>
      </c>
      <c r="F4598" s="853" t="s">
        <v>526</v>
      </c>
      <c r="G4598" s="913">
        <v>0</v>
      </c>
      <c r="H4598" t="s">
        <v>7864</v>
      </c>
    </row>
    <row r="4599" spans="2:8">
      <c r="B4599" s="871">
        <v>46287</v>
      </c>
      <c r="C4599" t="s">
        <v>2491</v>
      </c>
      <c r="D4599" t="s">
        <v>1375</v>
      </c>
      <c r="E4599" t="s">
        <v>1385</v>
      </c>
      <c r="F4599" s="853" t="s">
        <v>527</v>
      </c>
      <c r="G4599" s="913">
        <v>0</v>
      </c>
      <c r="H4599" t="s">
        <v>7865</v>
      </c>
    </row>
    <row r="4600" spans="2:8">
      <c r="B4600" s="871">
        <v>46287</v>
      </c>
      <c r="C4600" t="s">
        <v>2491</v>
      </c>
      <c r="D4600" t="s">
        <v>1375</v>
      </c>
      <c r="E4600" t="s">
        <v>1385</v>
      </c>
      <c r="F4600" s="853" t="s">
        <v>528</v>
      </c>
      <c r="G4600" s="913">
        <v>0</v>
      </c>
      <c r="H4600" t="s">
        <v>7866</v>
      </c>
    </row>
    <row r="4601" spans="2:8">
      <c r="B4601" s="871">
        <v>46287</v>
      </c>
      <c r="C4601" t="s">
        <v>2491</v>
      </c>
      <c r="D4601" t="s">
        <v>1376</v>
      </c>
      <c r="E4601" t="s">
        <v>1386</v>
      </c>
      <c r="F4601" s="853" t="s">
        <v>526</v>
      </c>
      <c r="G4601" s="913">
        <v>0.5</v>
      </c>
      <c r="H4601" t="s">
        <v>7867</v>
      </c>
    </row>
    <row r="4602" spans="2:8">
      <c r="B4602" s="871">
        <v>46287</v>
      </c>
      <c r="C4602" t="s">
        <v>2491</v>
      </c>
      <c r="D4602" t="s">
        <v>1376</v>
      </c>
      <c r="E4602" t="s">
        <v>1386</v>
      </c>
      <c r="F4602" s="853" t="s">
        <v>527</v>
      </c>
      <c r="G4602" s="913">
        <v>0.35</v>
      </c>
      <c r="H4602" t="s">
        <v>7868</v>
      </c>
    </row>
    <row r="4603" spans="2:8">
      <c r="B4603" s="871">
        <v>46287</v>
      </c>
      <c r="C4603" t="s">
        <v>2491</v>
      </c>
      <c r="D4603" t="s">
        <v>1376</v>
      </c>
      <c r="E4603" t="s">
        <v>1386</v>
      </c>
      <c r="F4603" s="853" t="s">
        <v>528</v>
      </c>
      <c r="G4603" s="913">
        <v>0.34</v>
      </c>
      <c r="H4603" t="s">
        <v>7869</v>
      </c>
    </row>
    <row r="4604" spans="2:8">
      <c r="B4604" s="871">
        <v>46287</v>
      </c>
      <c r="C4604" t="s">
        <v>2491</v>
      </c>
      <c r="D4604" t="s">
        <v>1376</v>
      </c>
      <c r="E4604" t="s">
        <v>1387</v>
      </c>
      <c r="F4604" s="853" t="s">
        <v>526</v>
      </c>
      <c r="G4604" s="913">
        <v>8.5</v>
      </c>
      <c r="H4604" t="s">
        <v>7870</v>
      </c>
    </row>
    <row r="4605" spans="2:8">
      <c r="B4605" s="871">
        <v>46287</v>
      </c>
      <c r="C4605" t="s">
        <v>2491</v>
      </c>
      <c r="D4605" t="s">
        <v>1376</v>
      </c>
      <c r="E4605" t="s">
        <v>1387</v>
      </c>
      <c r="F4605" s="853" t="s">
        <v>527</v>
      </c>
      <c r="G4605" s="913">
        <v>8.5</v>
      </c>
      <c r="H4605" t="s">
        <v>7871</v>
      </c>
    </row>
    <row r="4606" spans="2:8">
      <c r="B4606" s="871">
        <v>46287</v>
      </c>
      <c r="C4606" t="s">
        <v>2491</v>
      </c>
      <c r="D4606" t="s">
        <v>1376</v>
      </c>
      <c r="E4606" t="s">
        <v>1387</v>
      </c>
      <c r="F4606" s="853" t="s">
        <v>528</v>
      </c>
      <c r="H4606" t="s">
        <v>7872</v>
      </c>
    </row>
    <row r="4607" spans="2:8">
      <c r="B4607" s="871">
        <v>46287</v>
      </c>
      <c r="C4607" t="s">
        <v>2491</v>
      </c>
      <c r="D4607" t="s">
        <v>1375</v>
      </c>
      <c r="E4607" t="s">
        <v>1388</v>
      </c>
      <c r="F4607" s="853" t="s">
        <v>526</v>
      </c>
      <c r="H4607" t="s">
        <v>7873</v>
      </c>
    </row>
    <row r="4608" spans="2:8">
      <c r="B4608" s="871">
        <v>46287</v>
      </c>
      <c r="C4608" t="s">
        <v>2491</v>
      </c>
      <c r="D4608" t="s">
        <v>1375</v>
      </c>
      <c r="E4608" t="s">
        <v>1388</v>
      </c>
      <c r="F4608" s="853" t="s">
        <v>527</v>
      </c>
      <c r="H4608" t="s">
        <v>7874</v>
      </c>
    </row>
    <row r="4609" spans="2:8">
      <c r="B4609" s="871">
        <v>46287</v>
      </c>
      <c r="C4609" t="s">
        <v>2491</v>
      </c>
      <c r="D4609" t="s">
        <v>1375</v>
      </c>
      <c r="E4609" t="s">
        <v>1388</v>
      </c>
      <c r="F4609" s="853" t="s">
        <v>528</v>
      </c>
      <c r="H4609" t="s">
        <v>7875</v>
      </c>
    </row>
    <row r="4610" spans="2:8">
      <c r="B4610" s="871">
        <v>46287</v>
      </c>
      <c r="C4610" t="s">
        <v>2491</v>
      </c>
      <c r="D4610" t="s">
        <v>1376</v>
      </c>
      <c r="E4610" t="s">
        <v>1389</v>
      </c>
      <c r="F4610" s="853" t="s">
        <v>526</v>
      </c>
      <c r="G4610" s="913">
        <v>62.9</v>
      </c>
      <c r="H4610" t="s">
        <v>7876</v>
      </c>
    </row>
    <row r="4611" spans="2:8">
      <c r="B4611" s="871">
        <v>46287</v>
      </c>
      <c r="C4611" t="s">
        <v>2491</v>
      </c>
      <c r="D4611" t="s">
        <v>1376</v>
      </c>
      <c r="E4611" t="s">
        <v>1389</v>
      </c>
      <c r="F4611" s="853" t="s">
        <v>527</v>
      </c>
      <c r="G4611" s="913">
        <v>63.4</v>
      </c>
      <c r="H4611" t="s">
        <v>7877</v>
      </c>
    </row>
    <row r="4612" spans="2:8">
      <c r="B4612" s="871">
        <v>46287</v>
      </c>
      <c r="C4612" t="s">
        <v>2491</v>
      </c>
      <c r="D4612" t="s">
        <v>1376</v>
      </c>
      <c r="E4612" t="s">
        <v>1389</v>
      </c>
      <c r="F4612" s="853" t="s">
        <v>528</v>
      </c>
      <c r="H4612" t="s">
        <v>7878</v>
      </c>
    </row>
    <row r="4613" spans="2:8">
      <c r="B4613" s="871">
        <v>46287</v>
      </c>
      <c r="C4613" t="s">
        <v>2491</v>
      </c>
      <c r="D4613" t="s">
        <v>1375</v>
      </c>
      <c r="E4613" t="s">
        <v>3266</v>
      </c>
      <c r="F4613" s="853" t="s">
        <v>526</v>
      </c>
      <c r="G4613" s="913">
        <v>2</v>
      </c>
      <c r="H4613" t="s">
        <v>7879</v>
      </c>
    </row>
    <row r="4614" spans="2:8">
      <c r="B4614" s="871">
        <v>46287</v>
      </c>
      <c r="C4614" t="s">
        <v>2491</v>
      </c>
      <c r="D4614" t="s">
        <v>1375</v>
      </c>
      <c r="E4614" t="s">
        <v>3266</v>
      </c>
      <c r="F4614" s="853" t="s">
        <v>527</v>
      </c>
      <c r="G4614" s="913">
        <v>1</v>
      </c>
      <c r="H4614" t="s">
        <v>7880</v>
      </c>
    </row>
    <row r="4615" spans="2:8">
      <c r="B4615" s="871">
        <v>46287</v>
      </c>
      <c r="C4615" t="s">
        <v>2491</v>
      </c>
      <c r="D4615" t="s">
        <v>1375</v>
      </c>
      <c r="E4615" t="s">
        <v>3266</v>
      </c>
      <c r="F4615" s="853" t="s">
        <v>528</v>
      </c>
      <c r="G4615" s="913">
        <v>1</v>
      </c>
      <c r="H4615" t="s">
        <v>7881</v>
      </c>
    </row>
    <row r="4616" spans="2:8">
      <c r="B4616" s="871">
        <v>46287</v>
      </c>
      <c r="C4616" t="s">
        <v>2491</v>
      </c>
      <c r="D4616" t="s">
        <v>1376</v>
      </c>
      <c r="E4616" t="s">
        <v>1390</v>
      </c>
      <c r="F4616" s="853" t="s">
        <v>526</v>
      </c>
      <c r="G4616" s="913">
        <v>1.42E-3</v>
      </c>
      <c r="H4616" t="s">
        <v>7882</v>
      </c>
    </row>
    <row r="4617" spans="2:8">
      <c r="B4617" s="871">
        <v>46287</v>
      </c>
      <c r="C4617" t="s">
        <v>2491</v>
      </c>
      <c r="D4617" t="s">
        <v>1376</v>
      </c>
      <c r="E4617" t="s">
        <v>1390</v>
      </c>
      <c r="F4617" s="853" t="s">
        <v>527</v>
      </c>
      <c r="G4617" s="913">
        <v>1.75E-3</v>
      </c>
      <c r="H4617" t="s">
        <v>7883</v>
      </c>
    </row>
    <row r="4618" spans="2:8">
      <c r="B4618" s="871">
        <v>46287</v>
      </c>
      <c r="C4618" t="s">
        <v>2491</v>
      </c>
      <c r="D4618" t="s">
        <v>1376</v>
      </c>
      <c r="E4618" t="s">
        <v>1390</v>
      </c>
      <c r="F4618" s="853" t="s">
        <v>528</v>
      </c>
      <c r="H4618" t="s">
        <v>7884</v>
      </c>
    </row>
    <row r="4619" spans="2:8">
      <c r="B4619" s="871">
        <v>46287</v>
      </c>
      <c r="C4619" t="s">
        <v>2491</v>
      </c>
      <c r="D4619" t="s">
        <v>1375</v>
      </c>
      <c r="E4619" t="s">
        <v>3273</v>
      </c>
      <c r="F4619" s="853" t="s">
        <v>526</v>
      </c>
      <c r="G4619" s="913">
        <v>1</v>
      </c>
      <c r="H4619" t="s">
        <v>7885</v>
      </c>
    </row>
    <row r="4620" spans="2:8">
      <c r="B4620" s="871">
        <v>46287</v>
      </c>
      <c r="C4620" t="s">
        <v>2491</v>
      </c>
      <c r="D4620" t="s">
        <v>1375</v>
      </c>
      <c r="E4620" t="s">
        <v>3273</v>
      </c>
      <c r="F4620" s="853" t="s">
        <v>527</v>
      </c>
      <c r="G4620" s="913">
        <v>1</v>
      </c>
      <c r="H4620" t="s">
        <v>7886</v>
      </c>
    </row>
    <row r="4621" spans="2:8">
      <c r="B4621" s="871">
        <v>46287</v>
      </c>
      <c r="C4621" t="s">
        <v>2491</v>
      </c>
      <c r="D4621" t="s">
        <v>1375</v>
      </c>
      <c r="E4621" t="s">
        <v>3273</v>
      </c>
      <c r="F4621" s="853" t="s">
        <v>528</v>
      </c>
      <c r="G4621" s="913">
        <v>1</v>
      </c>
      <c r="H4621" t="s">
        <v>7887</v>
      </c>
    </row>
    <row r="4622" spans="2:8">
      <c r="B4622" s="871">
        <v>46287</v>
      </c>
      <c r="C4622" t="s">
        <v>2491</v>
      </c>
      <c r="D4622" t="s">
        <v>1376</v>
      </c>
      <c r="E4622" t="s">
        <v>1391</v>
      </c>
      <c r="F4622" s="853" t="s">
        <v>526</v>
      </c>
      <c r="H4622" t="s">
        <v>7888</v>
      </c>
    </row>
    <row r="4623" spans="2:8">
      <c r="B4623" s="871">
        <v>46287</v>
      </c>
      <c r="C4623" t="s">
        <v>2491</v>
      </c>
      <c r="D4623" t="s">
        <v>1376</v>
      </c>
      <c r="E4623" t="s">
        <v>1391</v>
      </c>
      <c r="F4623" s="853" t="s">
        <v>527</v>
      </c>
      <c r="H4623" t="s">
        <v>7889</v>
      </c>
    </row>
    <row r="4624" spans="2:8">
      <c r="B4624" s="871">
        <v>46287</v>
      </c>
      <c r="C4624" t="s">
        <v>2491</v>
      </c>
      <c r="D4624" t="s">
        <v>1376</v>
      </c>
      <c r="E4624" t="s">
        <v>1391</v>
      </c>
      <c r="F4624" s="853" t="s">
        <v>528</v>
      </c>
      <c r="G4624" s="913">
        <v>7259</v>
      </c>
      <c r="H4624" t="s">
        <v>7890</v>
      </c>
    </row>
    <row r="4625" spans="2:8">
      <c r="B4625" s="871">
        <v>46287</v>
      </c>
      <c r="C4625" t="s">
        <v>2491</v>
      </c>
      <c r="D4625" t="s">
        <v>1375</v>
      </c>
      <c r="E4625" t="s">
        <v>3280</v>
      </c>
      <c r="F4625" s="853" t="s">
        <v>526</v>
      </c>
      <c r="G4625" s="913">
        <v>2</v>
      </c>
      <c r="H4625" t="s">
        <v>7891</v>
      </c>
    </row>
    <row r="4626" spans="2:8">
      <c r="B4626" s="871">
        <v>46287</v>
      </c>
      <c r="C4626" t="s">
        <v>2491</v>
      </c>
      <c r="D4626" t="s">
        <v>1375</v>
      </c>
      <c r="E4626" t="s">
        <v>3280</v>
      </c>
      <c r="F4626" s="853" t="s">
        <v>527</v>
      </c>
      <c r="G4626" s="913">
        <v>2</v>
      </c>
      <c r="H4626" t="s">
        <v>7892</v>
      </c>
    </row>
    <row r="4627" spans="2:8">
      <c r="B4627" s="871">
        <v>46287</v>
      </c>
      <c r="C4627" t="s">
        <v>2491</v>
      </c>
      <c r="D4627" t="s">
        <v>1375</v>
      </c>
      <c r="E4627" t="s">
        <v>3280</v>
      </c>
      <c r="F4627" s="853" t="s">
        <v>528</v>
      </c>
      <c r="G4627" s="913">
        <v>1</v>
      </c>
      <c r="H4627" t="s">
        <v>7893</v>
      </c>
    </row>
    <row r="4628" spans="2:8">
      <c r="B4628" s="871">
        <v>46287</v>
      </c>
      <c r="C4628" t="s">
        <v>2491</v>
      </c>
      <c r="D4628" t="s">
        <v>1376</v>
      </c>
      <c r="E4628" t="s">
        <v>1392</v>
      </c>
      <c r="F4628" s="853" t="s">
        <v>526</v>
      </c>
      <c r="G4628" s="913">
        <v>7259</v>
      </c>
      <c r="H4628" t="s">
        <v>7894</v>
      </c>
    </row>
    <row r="4629" spans="2:8">
      <c r="B4629" s="871">
        <v>46287</v>
      </c>
      <c r="C4629" t="s">
        <v>2491</v>
      </c>
      <c r="D4629" t="s">
        <v>1376</v>
      </c>
      <c r="E4629" t="s">
        <v>1392</v>
      </c>
      <c r="F4629" s="853" t="s">
        <v>527</v>
      </c>
      <c r="H4629" t="s">
        <v>7895</v>
      </c>
    </row>
    <row r="4630" spans="2:8">
      <c r="B4630" s="871">
        <v>46287</v>
      </c>
      <c r="C4630" t="s">
        <v>2491</v>
      </c>
      <c r="D4630" t="s">
        <v>1376</v>
      </c>
      <c r="E4630" t="s">
        <v>1392</v>
      </c>
      <c r="F4630" s="853" t="s">
        <v>528</v>
      </c>
      <c r="H4630" t="s">
        <v>7896</v>
      </c>
    </row>
    <row r="4631" spans="2:8">
      <c r="B4631" s="871">
        <v>46287</v>
      </c>
      <c r="C4631" t="s">
        <v>2491</v>
      </c>
      <c r="D4631" t="s">
        <v>1375</v>
      </c>
      <c r="E4631" t="s">
        <v>3287</v>
      </c>
      <c r="F4631" s="853" t="s">
        <v>526</v>
      </c>
      <c r="G4631" s="913">
        <v>2</v>
      </c>
      <c r="H4631" t="s">
        <v>7897</v>
      </c>
    </row>
    <row r="4632" spans="2:8">
      <c r="B4632" s="871">
        <v>46287</v>
      </c>
      <c r="C4632" t="s">
        <v>2491</v>
      </c>
      <c r="D4632" t="s">
        <v>1375</v>
      </c>
      <c r="E4632" t="s">
        <v>3287</v>
      </c>
      <c r="F4632" s="853" t="s">
        <v>527</v>
      </c>
      <c r="G4632" s="913">
        <v>2</v>
      </c>
      <c r="H4632" t="s">
        <v>7898</v>
      </c>
    </row>
    <row r="4633" spans="2:8">
      <c r="B4633" s="871">
        <v>46287</v>
      </c>
      <c r="C4633" t="s">
        <v>2491</v>
      </c>
      <c r="D4633" t="s">
        <v>1375</v>
      </c>
      <c r="E4633" t="s">
        <v>3287</v>
      </c>
      <c r="F4633" s="853" t="s">
        <v>528</v>
      </c>
      <c r="G4633" s="913">
        <v>1</v>
      </c>
      <c r="H4633" t="s">
        <v>7899</v>
      </c>
    </row>
    <row r="4634" spans="2:8">
      <c r="B4634" s="871">
        <v>46287</v>
      </c>
      <c r="C4634" t="s">
        <v>2491</v>
      </c>
      <c r="D4634" t="s">
        <v>1376</v>
      </c>
      <c r="E4634" t="s">
        <v>453</v>
      </c>
      <c r="F4634" s="853" t="s">
        <v>526</v>
      </c>
      <c r="H4634" t="s">
        <v>7900</v>
      </c>
    </row>
    <row r="4635" spans="2:8">
      <c r="B4635" s="871">
        <v>46287</v>
      </c>
      <c r="C4635" t="s">
        <v>2491</v>
      </c>
      <c r="D4635" t="s">
        <v>1376</v>
      </c>
      <c r="E4635" t="s">
        <v>453</v>
      </c>
      <c r="F4635" s="853" t="s">
        <v>527</v>
      </c>
      <c r="H4635" t="s">
        <v>7901</v>
      </c>
    </row>
    <row r="4636" spans="2:8">
      <c r="B4636" s="871">
        <v>46287</v>
      </c>
      <c r="C4636" t="s">
        <v>2491</v>
      </c>
      <c r="D4636" t="s">
        <v>1376</v>
      </c>
      <c r="E4636" t="s">
        <v>453</v>
      </c>
      <c r="F4636" s="853" t="s">
        <v>528</v>
      </c>
      <c r="H4636" t="s">
        <v>7902</v>
      </c>
    </row>
    <row r="4637" spans="2:8">
      <c r="B4637" s="871">
        <v>46287</v>
      </c>
      <c r="C4637" t="s">
        <v>2491</v>
      </c>
      <c r="D4637" t="s">
        <v>1375</v>
      </c>
      <c r="E4637" t="s">
        <v>3291</v>
      </c>
      <c r="F4637" s="853" t="s">
        <v>526</v>
      </c>
      <c r="G4637" s="913">
        <v>2</v>
      </c>
      <c r="H4637" t="s">
        <v>7903</v>
      </c>
    </row>
    <row r="4638" spans="2:8">
      <c r="B4638" s="871">
        <v>46287</v>
      </c>
      <c r="C4638" t="s">
        <v>2491</v>
      </c>
      <c r="D4638" t="s">
        <v>1375</v>
      </c>
      <c r="E4638" t="s">
        <v>3291</v>
      </c>
      <c r="F4638" s="853" t="s">
        <v>527</v>
      </c>
      <c r="G4638" s="913">
        <v>2</v>
      </c>
      <c r="H4638" t="s">
        <v>7904</v>
      </c>
    </row>
    <row r="4639" spans="2:8">
      <c r="B4639" s="871">
        <v>46287</v>
      </c>
      <c r="C4639" t="s">
        <v>2491</v>
      </c>
      <c r="D4639" t="s">
        <v>1375</v>
      </c>
      <c r="E4639" t="s">
        <v>3291</v>
      </c>
      <c r="F4639" s="853" t="s">
        <v>528</v>
      </c>
      <c r="G4639" s="913">
        <v>2</v>
      </c>
      <c r="H4639" t="s">
        <v>7905</v>
      </c>
    </row>
    <row r="4640" spans="2:8">
      <c r="B4640" s="871">
        <v>46287</v>
      </c>
      <c r="C4640" t="s">
        <v>2491</v>
      </c>
      <c r="D4640" t="s">
        <v>1376</v>
      </c>
      <c r="E4640" t="s">
        <v>1394</v>
      </c>
      <c r="F4640" s="853" t="s">
        <v>526</v>
      </c>
      <c r="G4640" s="913" t="s">
        <v>2122</v>
      </c>
      <c r="H4640" t="s">
        <v>7906</v>
      </c>
    </row>
    <row r="4641" spans="2:8">
      <c r="B4641" s="871">
        <v>46287</v>
      </c>
      <c r="C4641" t="s">
        <v>2491</v>
      </c>
      <c r="D4641" t="s">
        <v>1376</v>
      </c>
      <c r="E4641" t="s">
        <v>1394</v>
      </c>
      <c r="F4641" s="853" t="s">
        <v>527</v>
      </c>
      <c r="G4641" s="913" t="s">
        <v>2144</v>
      </c>
      <c r="H4641" t="s">
        <v>7907</v>
      </c>
    </row>
    <row r="4642" spans="2:8">
      <c r="B4642" s="871">
        <v>46287</v>
      </c>
      <c r="C4642" t="s">
        <v>2491</v>
      </c>
      <c r="D4642" t="s">
        <v>1376</v>
      </c>
      <c r="E4642" t="s">
        <v>1394</v>
      </c>
      <c r="F4642" s="853" t="s">
        <v>528</v>
      </c>
      <c r="G4642" s="913" t="s">
        <v>1490</v>
      </c>
      <c r="H4642" t="s">
        <v>7908</v>
      </c>
    </row>
    <row r="4643" spans="2:8">
      <c r="B4643" s="871">
        <v>46287</v>
      </c>
      <c r="C4643" t="s">
        <v>2491</v>
      </c>
      <c r="D4643" t="s">
        <v>1375</v>
      </c>
      <c r="E4643" t="s">
        <v>3298</v>
      </c>
      <c r="F4643" s="853" t="s">
        <v>526</v>
      </c>
      <c r="G4643" s="913">
        <v>2</v>
      </c>
      <c r="H4643" t="s">
        <v>7909</v>
      </c>
    </row>
    <row r="4644" spans="2:8">
      <c r="B4644" s="871">
        <v>46287</v>
      </c>
      <c r="C4644" t="s">
        <v>2491</v>
      </c>
      <c r="D4644" t="s">
        <v>1375</v>
      </c>
      <c r="E4644" t="s">
        <v>3298</v>
      </c>
      <c r="F4644" s="853" t="s">
        <v>527</v>
      </c>
      <c r="G4644" s="913">
        <v>3</v>
      </c>
      <c r="H4644" t="s">
        <v>7910</v>
      </c>
    </row>
    <row r="4645" spans="2:8">
      <c r="B4645" s="871">
        <v>46287</v>
      </c>
      <c r="C4645" t="s">
        <v>2491</v>
      </c>
      <c r="D4645" t="s">
        <v>1375</v>
      </c>
      <c r="E4645" t="s">
        <v>3298</v>
      </c>
      <c r="F4645" s="853" t="s">
        <v>528</v>
      </c>
      <c r="G4645" s="913">
        <v>3</v>
      </c>
      <c r="H4645" t="s">
        <v>7911</v>
      </c>
    </row>
    <row r="4646" spans="2:8">
      <c r="B4646" s="871">
        <v>46287</v>
      </c>
      <c r="C4646" t="s">
        <v>2491</v>
      </c>
      <c r="D4646" t="s">
        <v>1376</v>
      </c>
      <c r="E4646" t="s">
        <v>1398</v>
      </c>
      <c r="F4646" s="853" t="s">
        <v>526</v>
      </c>
      <c r="G4646" s="913">
        <v>11</v>
      </c>
      <c r="H4646" t="s">
        <v>7912</v>
      </c>
    </row>
    <row r="4647" spans="2:8">
      <c r="B4647" s="871">
        <v>46287</v>
      </c>
      <c r="C4647" t="s">
        <v>2491</v>
      </c>
      <c r="D4647" t="s">
        <v>1376</v>
      </c>
      <c r="E4647" t="s">
        <v>1398</v>
      </c>
      <c r="F4647" s="853" t="s">
        <v>527</v>
      </c>
      <c r="G4647" s="913">
        <v>11</v>
      </c>
      <c r="H4647" t="s">
        <v>7913</v>
      </c>
    </row>
    <row r="4648" spans="2:8">
      <c r="B4648" s="871">
        <v>46287</v>
      </c>
      <c r="C4648" t="s">
        <v>2491</v>
      </c>
      <c r="D4648" t="s">
        <v>1376</v>
      </c>
      <c r="E4648" t="s">
        <v>1398</v>
      </c>
      <c r="F4648" s="853" t="s">
        <v>528</v>
      </c>
      <c r="G4648" s="913">
        <v>11</v>
      </c>
      <c r="H4648" t="s">
        <v>7914</v>
      </c>
    </row>
    <row r="4649" spans="2:8">
      <c r="B4649" s="871">
        <v>46287</v>
      </c>
      <c r="C4649" t="s">
        <v>2491</v>
      </c>
      <c r="D4649" t="s">
        <v>1375</v>
      </c>
      <c r="E4649" t="s">
        <v>3305</v>
      </c>
      <c r="F4649" s="853" t="s">
        <v>526</v>
      </c>
      <c r="G4649" s="913">
        <v>2</v>
      </c>
      <c r="H4649" t="s">
        <v>7915</v>
      </c>
    </row>
    <row r="4650" spans="2:8">
      <c r="B4650" s="871">
        <v>46287</v>
      </c>
      <c r="C4650" t="s">
        <v>2491</v>
      </c>
      <c r="D4650" t="s">
        <v>1375</v>
      </c>
      <c r="E4650" t="s">
        <v>3305</v>
      </c>
      <c r="F4650" s="853" t="s">
        <v>527</v>
      </c>
      <c r="G4650" s="913">
        <v>1</v>
      </c>
      <c r="H4650" t="s">
        <v>7916</v>
      </c>
    </row>
    <row r="4651" spans="2:8">
      <c r="B4651" s="871">
        <v>46287</v>
      </c>
      <c r="C4651" t="s">
        <v>2491</v>
      </c>
      <c r="D4651" t="s">
        <v>1375</v>
      </c>
      <c r="E4651" t="s">
        <v>3305</v>
      </c>
      <c r="F4651" s="853" t="s">
        <v>528</v>
      </c>
      <c r="G4651" s="913">
        <v>1</v>
      </c>
      <c r="H4651" t="s">
        <v>7917</v>
      </c>
    </row>
    <row r="4652" spans="2:8">
      <c r="B4652" s="871">
        <v>46287</v>
      </c>
      <c r="C4652" t="s">
        <v>2491</v>
      </c>
      <c r="D4652" t="s">
        <v>1376</v>
      </c>
      <c r="E4652" t="s">
        <v>1399</v>
      </c>
      <c r="F4652" s="853" t="s">
        <v>526</v>
      </c>
      <c r="G4652" s="913">
        <v>12</v>
      </c>
      <c r="H4652" t="s">
        <v>7918</v>
      </c>
    </row>
    <row r="4653" spans="2:8">
      <c r="B4653" s="871">
        <v>46287</v>
      </c>
      <c r="C4653" t="s">
        <v>2491</v>
      </c>
      <c r="D4653" t="s">
        <v>1376</v>
      </c>
      <c r="E4653" t="s">
        <v>1399</v>
      </c>
      <c r="F4653" s="853" t="s">
        <v>527</v>
      </c>
      <c r="G4653" s="913">
        <v>12</v>
      </c>
      <c r="H4653" t="s">
        <v>7919</v>
      </c>
    </row>
    <row r="4654" spans="2:8">
      <c r="B4654" s="871">
        <v>46287</v>
      </c>
      <c r="C4654" t="s">
        <v>2491</v>
      </c>
      <c r="D4654" t="s">
        <v>1376</v>
      </c>
      <c r="E4654" t="s">
        <v>1399</v>
      </c>
      <c r="F4654" s="853" t="s">
        <v>528</v>
      </c>
      <c r="G4654" s="913">
        <v>12</v>
      </c>
      <c r="H4654" t="s">
        <v>7920</v>
      </c>
    </row>
    <row r="4655" spans="2:8">
      <c r="B4655" s="871">
        <v>46287</v>
      </c>
      <c r="C4655" t="s">
        <v>2491</v>
      </c>
      <c r="D4655" t="s">
        <v>1375</v>
      </c>
      <c r="E4655" t="s">
        <v>3312</v>
      </c>
      <c r="F4655" s="853" t="s">
        <v>526</v>
      </c>
      <c r="G4655" s="913">
        <v>2</v>
      </c>
      <c r="H4655" t="s">
        <v>7921</v>
      </c>
    </row>
    <row r="4656" spans="2:8">
      <c r="B4656" s="871">
        <v>46287</v>
      </c>
      <c r="C4656" t="s">
        <v>2491</v>
      </c>
      <c r="D4656" t="s">
        <v>1375</v>
      </c>
      <c r="E4656" t="s">
        <v>3312</v>
      </c>
      <c r="F4656" s="853" t="s">
        <v>527</v>
      </c>
      <c r="G4656" s="913">
        <v>2</v>
      </c>
      <c r="H4656" t="s">
        <v>7922</v>
      </c>
    </row>
    <row r="4657" spans="2:8">
      <c r="B4657" s="871">
        <v>46287</v>
      </c>
      <c r="C4657" t="s">
        <v>2491</v>
      </c>
      <c r="D4657" t="s">
        <v>1375</v>
      </c>
      <c r="E4657" t="s">
        <v>3312</v>
      </c>
      <c r="F4657" s="853" t="s">
        <v>528</v>
      </c>
      <c r="G4657" s="913">
        <v>2</v>
      </c>
      <c r="H4657" t="s">
        <v>7923</v>
      </c>
    </row>
    <row r="4658" spans="2:8">
      <c r="B4658" s="871">
        <v>46287</v>
      </c>
      <c r="C4658" t="s">
        <v>2491</v>
      </c>
      <c r="D4658" t="s">
        <v>1376</v>
      </c>
      <c r="E4658" t="s">
        <v>1400</v>
      </c>
      <c r="F4658" s="853" t="s">
        <v>526</v>
      </c>
      <c r="G4658" s="913">
        <v>16</v>
      </c>
      <c r="H4658" t="s">
        <v>7924</v>
      </c>
    </row>
    <row r="4659" spans="2:8">
      <c r="B4659" s="871">
        <v>46287</v>
      </c>
      <c r="C4659" t="s">
        <v>2491</v>
      </c>
      <c r="D4659" t="s">
        <v>1376</v>
      </c>
      <c r="E4659" t="s">
        <v>1400</v>
      </c>
      <c r="F4659" s="853" t="s">
        <v>527</v>
      </c>
      <c r="G4659" s="913">
        <v>16</v>
      </c>
      <c r="H4659" t="s">
        <v>7925</v>
      </c>
    </row>
    <row r="4660" spans="2:8">
      <c r="B4660" s="871">
        <v>46287</v>
      </c>
      <c r="C4660" t="s">
        <v>2491</v>
      </c>
      <c r="D4660" t="s">
        <v>1376</v>
      </c>
      <c r="E4660" t="s">
        <v>1400</v>
      </c>
      <c r="F4660" s="853" t="s">
        <v>528</v>
      </c>
      <c r="G4660" s="913">
        <v>16</v>
      </c>
      <c r="H4660" t="s">
        <v>7926</v>
      </c>
    </row>
    <row r="4661" spans="2:8">
      <c r="B4661" s="871">
        <v>46287</v>
      </c>
      <c r="C4661" t="s">
        <v>2491</v>
      </c>
      <c r="D4661" t="s">
        <v>1375</v>
      </c>
      <c r="E4661" t="s">
        <v>3319</v>
      </c>
      <c r="F4661" s="853" t="s">
        <v>526</v>
      </c>
      <c r="G4661" s="913">
        <v>3</v>
      </c>
      <c r="H4661" t="s">
        <v>7927</v>
      </c>
    </row>
    <row r="4662" spans="2:8">
      <c r="B4662" s="871">
        <v>46287</v>
      </c>
      <c r="C4662" t="s">
        <v>2491</v>
      </c>
      <c r="D4662" t="s">
        <v>1375</v>
      </c>
      <c r="E4662" t="s">
        <v>3319</v>
      </c>
      <c r="F4662" s="853" t="s">
        <v>527</v>
      </c>
      <c r="G4662" s="913">
        <v>2</v>
      </c>
      <c r="H4662" t="s">
        <v>7928</v>
      </c>
    </row>
    <row r="4663" spans="2:8">
      <c r="B4663" s="871">
        <v>46287</v>
      </c>
      <c r="C4663" t="s">
        <v>2491</v>
      </c>
      <c r="D4663" t="s">
        <v>1375</v>
      </c>
      <c r="E4663" t="s">
        <v>3319</v>
      </c>
      <c r="F4663" s="853" t="s">
        <v>528</v>
      </c>
      <c r="G4663" s="913">
        <v>1</v>
      </c>
      <c r="H4663" t="s">
        <v>7929</v>
      </c>
    </row>
    <row r="4664" spans="2:8">
      <c r="B4664" s="871">
        <v>46287</v>
      </c>
      <c r="C4664" t="s">
        <v>2491</v>
      </c>
      <c r="D4664" t="s">
        <v>1376</v>
      </c>
      <c r="E4664" t="s">
        <v>1401</v>
      </c>
      <c r="F4664" s="853" t="s">
        <v>526</v>
      </c>
      <c r="G4664" s="913">
        <v>6.87</v>
      </c>
      <c r="H4664" t="s">
        <v>7930</v>
      </c>
    </row>
    <row r="4665" spans="2:8">
      <c r="B4665" s="871">
        <v>46287</v>
      </c>
      <c r="C4665" t="s">
        <v>2491</v>
      </c>
      <c r="D4665" t="s">
        <v>1376</v>
      </c>
      <c r="E4665" t="s">
        <v>1401</v>
      </c>
      <c r="F4665" s="853" t="s">
        <v>527</v>
      </c>
      <c r="G4665" s="913">
        <v>6.53</v>
      </c>
      <c r="H4665" t="s">
        <v>7931</v>
      </c>
    </row>
    <row r="4666" spans="2:8">
      <c r="B4666" s="871">
        <v>46287</v>
      </c>
      <c r="C4666" t="s">
        <v>2491</v>
      </c>
      <c r="D4666" t="s">
        <v>1376</v>
      </c>
      <c r="E4666" t="s">
        <v>1401</v>
      </c>
      <c r="F4666" s="853" t="s">
        <v>528</v>
      </c>
      <c r="G4666" s="913">
        <v>6.49</v>
      </c>
      <c r="H4666" t="s">
        <v>7932</v>
      </c>
    </row>
    <row r="4667" spans="2:8">
      <c r="B4667" s="871">
        <v>46287</v>
      </c>
      <c r="C4667" t="s">
        <v>2491</v>
      </c>
      <c r="D4667" t="s">
        <v>1375</v>
      </c>
      <c r="E4667" t="s">
        <v>3326</v>
      </c>
      <c r="F4667" s="853" t="s">
        <v>526</v>
      </c>
      <c r="G4667" s="913" t="s">
        <v>1583</v>
      </c>
      <c r="H4667" t="s">
        <v>7933</v>
      </c>
    </row>
    <row r="4668" spans="2:8">
      <c r="B4668" s="871">
        <v>46287</v>
      </c>
      <c r="C4668" t="s">
        <v>2491</v>
      </c>
      <c r="D4668" t="s">
        <v>1375</v>
      </c>
      <c r="E4668" t="s">
        <v>3326</v>
      </c>
      <c r="F4668" s="853" t="s">
        <v>527</v>
      </c>
      <c r="G4668" s="913" t="s">
        <v>1583</v>
      </c>
      <c r="H4668" t="s">
        <v>7934</v>
      </c>
    </row>
    <row r="4669" spans="2:8">
      <c r="B4669" s="871">
        <v>46287</v>
      </c>
      <c r="C4669" t="s">
        <v>2491</v>
      </c>
      <c r="D4669" t="s">
        <v>1375</v>
      </c>
      <c r="E4669" t="s">
        <v>3326</v>
      </c>
      <c r="F4669" s="853" t="s">
        <v>528</v>
      </c>
      <c r="G4669" s="913" t="s">
        <v>1583</v>
      </c>
      <c r="H4669" t="s">
        <v>7935</v>
      </c>
    </row>
    <row r="4670" spans="2:8">
      <c r="B4670" s="871">
        <v>46287</v>
      </c>
      <c r="C4670" t="s">
        <v>2491</v>
      </c>
      <c r="D4670" t="s">
        <v>1376</v>
      </c>
      <c r="E4670" t="s">
        <v>1403</v>
      </c>
      <c r="F4670" s="853" t="s">
        <v>526</v>
      </c>
      <c r="G4670" s="913">
        <v>625</v>
      </c>
      <c r="H4670" t="s">
        <v>7936</v>
      </c>
    </row>
    <row r="4671" spans="2:8">
      <c r="B4671" s="871">
        <v>46287</v>
      </c>
      <c r="C4671" t="s">
        <v>2491</v>
      </c>
      <c r="D4671" t="s">
        <v>1376</v>
      </c>
      <c r="E4671" t="s">
        <v>1403</v>
      </c>
      <c r="F4671" s="853" t="s">
        <v>527</v>
      </c>
      <c r="G4671" s="913">
        <v>650</v>
      </c>
      <c r="H4671" t="s">
        <v>7937</v>
      </c>
    </row>
    <row r="4672" spans="2:8">
      <c r="B4672" s="871">
        <v>46287</v>
      </c>
      <c r="C4672" t="s">
        <v>2491</v>
      </c>
      <c r="D4672" t="s">
        <v>1376</v>
      </c>
      <c r="E4672" t="s">
        <v>1403</v>
      </c>
      <c r="F4672" s="853" t="s">
        <v>528</v>
      </c>
      <c r="G4672" s="913">
        <v>710</v>
      </c>
      <c r="H4672" t="s">
        <v>7938</v>
      </c>
    </row>
    <row r="4673" spans="2:8">
      <c r="B4673" s="871">
        <v>46287</v>
      </c>
      <c r="C4673" t="s">
        <v>2491</v>
      </c>
      <c r="D4673" t="s">
        <v>1376</v>
      </c>
      <c r="E4673" t="s">
        <v>1404</v>
      </c>
      <c r="F4673" s="853" t="s">
        <v>526</v>
      </c>
      <c r="G4673" s="913" t="s">
        <v>2145</v>
      </c>
      <c r="H4673" t="s">
        <v>7939</v>
      </c>
    </row>
    <row r="4674" spans="2:8">
      <c r="B4674" s="871">
        <v>46287</v>
      </c>
      <c r="C4674" t="s">
        <v>2491</v>
      </c>
      <c r="D4674" t="s">
        <v>1376</v>
      </c>
      <c r="E4674" t="s">
        <v>1404</v>
      </c>
      <c r="F4674" s="853" t="s">
        <v>527</v>
      </c>
      <c r="G4674" s="913">
        <v>3.65</v>
      </c>
      <c r="H4674" t="s">
        <v>7940</v>
      </c>
    </row>
    <row r="4675" spans="2:8">
      <c r="B4675" s="871">
        <v>46287</v>
      </c>
      <c r="C4675" t="s">
        <v>2491</v>
      </c>
      <c r="D4675" t="s">
        <v>1376</v>
      </c>
      <c r="E4675" t="s">
        <v>1404</v>
      </c>
      <c r="F4675" s="853" t="s">
        <v>528</v>
      </c>
      <c r="G4675" s="913">
        <v>5.47</v>
      </c>
      <c r="H4675" t="s">
        <v>7941</v>
      </c>
    </row>
    <row r="4676" spans="2:8">
      <c r="B4676" s="871">
        <v>46287</v>
      </c>
      <c r="C4676" t="s">
        <v>2491</v>
      </c>
      <c r="D4676" t="s">
        <v>1375</v>
      </c>
      <c r="E4676" t="s">
        <v>3336</v>
      </c>
      <c r="F4676" s="853" t="s">
        <v>526</v>
      </c>
      <c r="G4676" s="913" t="s">
        <v>1406</v>
      </c>
      <c r="H4676" t="s">
        <v>7942</v>
      </c>
    </row>
    <row r="4677" spans="2:8">
      <c r="B4677" s="871">
        <v>46287</v>
      </c>
      <c r="C4677" t="s">
        <v>2491</v>
      </c>
      <c r="D4677" t="s">
        <v>1375</v>
      </c>
      <c r="E4677" t="s">
        <v>3336</v>
      </c>
      <c r="F4677" s="853" t="s">
        <v>527</v>
      </c>
      <c r="G4677" s="913" t="s">
        <v>1406</v>
      </c>
      <c r="H4677" t="s">
        <v>7943</v>
      </c>
    </row>
    <row r="4678" spans="2:8">
      <c r="B4678" s="871">
        <v>46287</v>
      </c>
      <c r="C4678" t="s">
        <v>2491</v>
      </c>
      <c r="D4678" t="s">
        <v>1375</v>
      </c>
      <c r="E4678" t="s">
        <v>3336</v>
      </c>
      <c r="F4678" s="853" t="s">
        <v>528</v>
      </c>
      <c r="G4678" s="913" t="s">
        <v>1406</v>
      </c>
      <c r="H4678" t="s">
        <v>7944</v>
      </c>
    </row>
    <row r="4679" spans="2:8">
      <c r="B4679" s="871">
        <v>46287</v>
      </c>
      <c r="C4679" t="s">
        <v>2491</v>
      </c>
      <c r="D4679" t="s">
        <v>1376</v>
      </c>
      <c r="E4679" t="s">
        <v>1407</v>
      </c>
      <c r="F4679" s="853" t="s">
        <v>526</v>
      </c>
      <c r="G4679" s="913">
        <v>367</v>
      </c>
      <c r="H4679" t="s">
        <v>7945</v>
      </c>
    </row>
    <row r="4680" spans="2:8">
      <c r="B4680" s="871">
        <v>46287</v>
      </c>
      <c r="C4680" t="s">
        <v>2491</v>
      </c>
      <c r="D4680" t="s">
        <v>1376</v>
      </c>
      <c r="E4680" t="s">
        <v>1407</v>
      </c>
      <c r="F4680" s="853" t="s">
        <v>527</v>
      </c>
      <c r="G4680" s="913">
        <v>360</v>
      </c>
      <c r="H4680" t="s">
        <v>7946</v>
      </c>
    </row>
    <row r="4681" spans="2:8">
      <c r="B4681" s="871">
        <v>46287</v>
      </c>
      <c r="C4681" t="s">
        <v>2491</v>
      </c>
      <c r="D4681" t="s">
        <v>1376</v>
      </c>
      <c r="E4681" t="s">
        <v>1407</v>
      </c>
      <c r="F4681" s="853" t="s">
        <v>528</v>
      </c>
      <c r="G4681" s="913">
        <v>305</v>
      </c>
      <c r="H4681" t="s">
        <v>7947</v>
      </c>
    </row>
    <row r="4682" spans="2:8">
      <c r="B4682" s="871">
        <v>46287</v>
      </c>
      <c r="C4682" t="s">
        <v>2491</v>
      </c>
      <c r="D4682" t="s">
        <v>1376</v>
      </c>
      <c r="E4682" t="s">
        <v>1408</v>
      </c>
      <c r="F4682" s="853" t="s">
        <v>526</v>
      </c>
      <c r="G4682" s="913">
        <v>920</v>
      </c>
      <c r="H4682" t="s">
        <v>7948</v>
      </c>
    </row>
    <row r="4683" spans="2:8">
      <c r="B4683" s="871">
        <v>46287</v>
      </c>
      <c r="C4683" t="s">
        <v>2491</v>
      </c>
      <c r="D4683" t="s">
        <v>1376</v>
      </c>
      <c r="E4683" t="s">
        <v>1408</v>
      </c>
      <c r="F4683" s="853" t="s">
        <v>527</v>
      </c>
      <c r="G4683" s="913">
        <v>932</v>
      </c>
      <c r="H4683" t="s">
        <v>7949</v>
      </c>
    </row>
    <row r="4684" spans="2:8">
      <c r="B4684" s="871">
        <v>46287</v>
      </c>
      <c r="C4684" t="s">
        <v>2491</v>
      </c>
      <c r="D4684" t="s">
        <v>1376</v>
      </c>
      <c r="E4684" t="s">
        <v>1408</v>
      </c>
      <c r="F4684" s="853" t="s">
        <v>528</v>
      </c>
      <c r="G4684" s="913">
        <v>898</v>
      </c>
      <c r="H4684" t="s">
        <v>7950</v>
      </c>
    </row>
    <row r="4685" spans="2:8">
      <c r="B4685" s="871">
        <v>46287</v>
      </c>
      <c r="C4685" t="s">
        <v>2491</v>
      </c>
      <c r="D4685" t="s">
        <v>1409</v>
      </c>
      <c r="E4685" t="s">
        <v>1411</v>
      </c>
      <c r="F4685" s="853" t="s">
        <v>526</v>
      </c>
      <c r="H4685" t="s">
        <v>7951</v>
      </c>
    </row>
    <row r="4686" spans="2:8">
      <c r="B4686" s="871">
        <v>46287</v>
      </c>
      <c r="C4686" t="s">
        <v>2491</v>
      </c>
      <c r="D4686" t="s">
        <v>1409</v>
      </c>
      <c r="E4686" t="s">
        <v>1411</v>
      </c>
      <c r="F4686" s="853" t="s">
        <v>527</v>
      </c>
      <c r="H4686" t="s">
        <v>7952</v>
      </c>
    </row>
    <row r="4687" spans="2:8">
      <c r="B4687" s="871">
        <v>46287</v>
      </c>
      <c r="C4687" t="s">
        <v>2491</v>
      </c>
      <c r="D4687" t="s">
        <v>1409</v>
      </c>
      <c r="E4687" t="s">
        <v>1411</v>
      </c>
      <c r="F4687" s="853" t="s">
        <v>528</v>
      </c>
      <c r="H4687" t="s">
        <v>7953</v>
      </c>
    </row>
    <row r="4688" spans="2:8">
      <c r="B4688" s="871">
        <v>46287</v>
      </c>
      <c r="C4688" t="s">
        <v>2491</v>
      </c>
      <c r="D4688" t="s">
        <v>1409</v>
      </c>
      <c r="E4688" t="s">
        <v>1413</v>
      </c>
      <c r="F4688" s="853" t="s">
        <v>526</v>
      </c>
      <c r="G4688" s="913" t="s">
        <v>2111</v>
      </c>
      <c r="H4688" t="s">
        <v>7954</v>
      </c>
    </row>
    <row r="4689" spans="2:8">
      <c r="B4689" s="871">
        <v>46287</v>
      </c>
      <c r="C4689" t="s">
        <v>2491</v>
      </c>
      <c r="D4689" t="s">
        <v>1409</v>
      </c>
      <c r="E4689" t="s">
        <v>1413</v>
      </c>
      <c r="F4689" s="853" t="s">
        <v>527</v>
      </c>
      <c r="G4689" s="913" t="s">
        <v>2035</v>
      </c>
      <c r="H4689" t="s">
        <v>7955</v>
      </c>
    </row>
    <row r="4690" spans="2:8">
      <c r="B4690" s="871">
        <v>46287</v>
      </c>
      <c r="C4690" t="s">
        <v>2491</v>
      </c>
      <c r="D4690" t="s">
        <v>1409</v>
      </c>
      <c r="E4690" t="s">
        <v>1413</v>
      </c>
      <c r="F4690" s="853" t="s">
        <v>528</v>
      </c>
      <c r="G4690" s="913" t="s">
        <v>2146</v>
      </c>
      <c r="H4690" t="s">
        <v>7956</v>
      </c>
    </row>
    <row r="4691" spans="2:8">
      <c r="B4691" s="871">
        <v>46287</v>
      </c>
      <c r="C4691" t="s">
        <v>2491</v>
      </c>
      <c r="D4691" t="s">
        <v>1410</v>
      </c>
      <c r="E4691" t="s">
        <v>3352</v>
      </c>
      <c r="F4691" s="853" t="s">
        <v>526</v>
      </c>
      <c r="G4691" s="913" t="s">
        <v>1418</v>
      </c>
      <c r="H4691" t="s">
        <v>7957</v>
      </c>
    </row>
    <row r="4692" spans="2:8">
      <c r="B4692" s="871">
        <v>46287</v>
      </c>
      <c r="C4692" t="s">
        <v>2491</v>
      </c>
      <c r="D4692" t="s">
        <v>1410</v>
      </c>
      <c r="E4692" t="s">
        <v>3352</v>
      </c>
      <c r="F4692" s="853" t="s">
        <v>527</v>
      </c>
      <c r="G4692" s="913" t="s">
        <v>1418</v>
      </c>
      <c r="H4692" t="s">
        <v>7958</v>
      </c>
    </row>
    <row r="4693" spans="2:8">
      <c r="B4693" s="871">
        <v>46287</v>
      </c>
      <c r="C4693" t="s">
        <v>2491</v>
      </c>
      <c r="D4693" t="s">
        <v>1410</v>
      </c>
      <c r="E4693" t="s">
        <v>3352</v>
      </c>
      <c r="F4693" s="853" t="s">
        <v>528</v>
      </c>
      <c r="G4693" s="913" t="s">
        <v>1418</v>
      </c>
      <c r="H4693" t="s">
        <v>7959</v>
      </c>
    </row>
    <row r="4694" spans="2:8">
      <c r="B4694" s="871">
        <v>46287</v>
      </c>
      <c r="C4694" t="s">
        <v>2491</v>
      </c>
      <c r="D4694" t="s">
        <v>1409</v>
      </c>
      <c r="E4694" t="s">
        <v>1420</v>
      </c>
      <c r="F4694" s="853" t="s">
        <v>526</v>
      </c>
      <c r="G4694" s="913" t="s">
        <v>2112</v>
      </c>
      <c r="H4694" t="s">
        <v>7960</v>
      </c>
    </row>
    <row r="4695" spans="2:8">
      <c r="B4695" s="871">
        <v>46287</v>
      </c>
      <c r="C4695" t="s">
        <v>2491</v>
      </c>
      <c r="D4695" t="s">
        <v>1409</v>
      </c>
      <c r="E4695" t="s">
        <v>1420</v>
      </c>
      <c r="F4695" s="853" t="s">
        <v>527</v>
      </c>
      <c r="G4695" s="913" t="s">
        <v>2036</v>
      </c>
      <c r="H4695" t="s">
        <v>7961</v>
      </c>
    </row>
    <row r="4696" spans="2:8">
      <c r="B4696" s="871">
        <v>46287</v>
      </c>
      <c r="C4696" t="s">
        <v>2491</v>
      </c>
      <c r="D4696" t="s">
        <v>1409</v>
      </c>
      <c r="E4696" t="s">
        <v>1420</v>
      </c>
      <c r="F4696" s="853" t="s">
        <v>528</v>
      </c>
      <c r="G4696" s="913" t="s">
        <v>2036</v>
      </c>
      <c r="H4696" t="s">
        <v>7962</v>
      </c>
    </row>
    <row r="4697" spans="2:8">
      <c r="B4697" s="871">
        <v>46287</v>
      </c>
      <c r="C4697" t="s">
        <v>2491</v>
      </c>
      <c r="D4697" t="s">
        <v>1410</v>
      </c>
      <c r="E4697" t="s">
        <v>3359</v>
      </c>
      <c r="F4697" s="853" t="s">
        <v>526</v>
      </c>
      <c r="G4697" s="913">
        <v>107</v>
      </c>
      <c r="H4697" t="s">
        <v>7963</v>
      </c>
    </row>
    <row r="4698" spans="2:8">
      <c r="B4698" s="871">
        <v>46287</v>
      </c>
      <c r="C4698" t="s">
        <v>2491</v>
      </c>
      <c r="D4698" t="s">
        <v>1410</v>
      </c>
      <c r="E4698" t="s">
        <v>3359</v>
      </c>
      <c r="F4698" s="853" t="s">
        <v>527</v>
      </c>
      <c r="G4698" s="913">
        <v>103</v>
      </c>
      <c r="H4698" t="s">
        <v>7964</v>
      </c>
    </row>
    <row r="4699" spans="2:8">
      <c r="B4699" s="871">
        <v>46287</v>
      </c>
      <c r="C4699" t="s">
        <v>2491</v>
      </c>
      <c r="D4699" t="s">
        <v>1410</v>
      </c>
      <c r="E4699" t="s">
        <v>3359</v>
      </c>
      <c r="F4699" s="853" t="s">
        <v>528</v>
      </c>
      <c r="G4699" s="913">
        <v>110</v>
      </c>
      <c r="H4699" t="s">
        <v>7965</v>
      </c>
    </row>
    <row r="4700" spans="2:8">
      <c r="B4700" s="871">
        <v>46287</v>
      </c>
      <c r="C4700" t="s">
        <v>2491</v>
      </c>
      <c r="D4700" t="s">
        <v>1409</v>
      </c>
      <c r="E4700" t="s">
        <v>1424</v>
      </c>
      <c r="F4700" s="853" t="s">
        <v>526</v>
      </c>
      <c r="H4700" t="s">
        <v>7966</v>
      </c>
    </row>
    <row r="4701" spans="2:8">
      <c r="B4701" s="871">
        <v>46287</v>
      </c>
      <c r="C4701" t="s">
        <v>2491</v>
      </c>
      <c r="D4701" t="s">
        <v>1409</v>
      </c>
      <c r="E4701" t="s">
        <v>1424</v>
      </c>
      <c r="F4701" s="853" t="s">
        <v>527</v>
      </c>
      <c r="H4701" t="s">
        <v>7967</v>
      </c>
    </row>
    <row r="4702" spans="2:8">
      <c r="B4702" s="871">
        <v>46287</v>
      </c>
      <c r="C4702" t="s">
        <v>2491</v>
      </c>
      <c r="D4702" t="s">
        <v>1409</v>
      </c>
      <c r="E4702" t="s">
        <v>1424</v>
      </c>
      <c r="F4702" s="853" t="s">
        <v>528</v>
      </c>
      <c r="H4702" t="s">
        <v>7968</v>
      </c>
    </row>
    <row r="4703" spans="2:8">
      <c r="B4703" s="871">
        <v>46287</v>
      </c>
      <c r="C4703" t="s">
        <v>2491</v>
      </c>
      <c r="D4703" t="s">
        <v>1410</v>
      </c>
      <c r="E4703" t="s">
        <v>3366</v>
      </c>
      <c r="F4703" s="853" t="s">
        <v>526</v>
      </c>
      <c r="G4703" s="913">
        <v>2782</v>
      </c>
      <c r="H4703" t="s">
        <v>7969</v>
      </c>
    </row>
    <row r="4704" spans="2:8">
      <c r="B4704" s="871">
        <v>46287</v>
      </c>
      <c r="C4704" t="s">
        <v>2491</v>
      </c>
      <c r="D4704" t="s">
        <v>1410</v>
      </c>
      <c r="E4704" t="s">
        <v>3366</v>
      </c>
      <c r="F4704" s="853" t="s">
        <v>527</v>
      </c>
      <c r="G4704" s="913">
        <v>2800</v>
      </c>
      <c r="H4704" t="s">
        <v>7970</v>
      </c>
    </row>
    <row r="4705" spans="2:8">
      <c r="B4705" s="871">
        <v>46287</v>
      </c>
      <c r="C4705" t="s">
        <v>2491</v>
      </c>
      <c r="D4705" t="s">
        <v>1410</v>
      </c>
      <c r="E4705" t="s">
        <v>3366</v>
      </c>
      <c r="F4705" s="853" t="s">
        <v>528</v>
      </c>
      <c r="G4705" s="913">
        <v>2786</v>
      </c>
      <c r="H4705" t="s">
        <v>7971</v>
      </c>
    </row>
    <row r="4706" spans="2:8">
      <c r="B4706" s="871">
        <v>46287</v>
      </c>
      <c r="C4706" t="s">
        <v>2491</v>
      </c>
      <c r="D4706" t="s">
        <v>1410</v>
      </c>
      <c r="E4706" t="s">
        <v>3370</v>
      </c>
      <c r="F4706" s="853" t="s">
        <v>526</v>
      </c>
      <c r="G4706" s="913" t="s">
        <v>1427</v>
      </c>
      <c r="H4706" t="s">
        <v>7972</v>
      </c>
    </row>
    <row r="4707" spans="2:8">
      <c r="B4707" s="871">
        <v>46287</v>
      </c>
      <c r="C4707" t="s">
        <v>2491</v>
      </c>
      <c r="D4707" t="s">
        <v>1410</v>
      </c>
      <c r="E4707" t="s">
        <v>3370</v>
      </c>
      <c r="F4707" s="853" t="s">
        <v>527</v>
      </c>
      <c r="G4707" s="913" t="s">
        <v>1427</v>
      </c>
      <c r="H4707" t="s">
        <v>7973</v>
      </c>
    </row>
    <row r="4708" spans="2:8">
      <c r="B4708" s="871">
        <v>46287</v>
      </c>
      <c r="C4708" t="s">
        <v>2491</v>
      </c>
      <c r="D4708" t="s">
        <v>1410</v>
      </c>
      <c r="E4708" t="s">
        <v>3370</v>
      </c>
      <c r="F4708" s="853" t="s">
        <v>528</v>
      </c>
      <c r="G4708" s="913" t="s">
        <v>1427</v>
      </c>
      <c r="H4708" t="s">
        <v>7974</v>
      </c>
    </row>
    <row r="4709" spans="2:8">
      <c r="B4709" s="871">
        <v>46287</v>
      </c>
      <c r="C4709" t="s">
        <v>2491</v>
      </c>
      <c r="D4709" t="s">
        <v>1410</v>
      </c>
      <c r="E4709" t="s">
        <v>3374</v>
      </c>
      <c r="F4709" s="853" t="s">
        <v>526</v>
      </c>
      <c r="G4709" s="913">
        <v>1.9</v>
      </c>
      <c r="H4709" t="s">
        <v>7975</v>
      </c>
    </row>
    <row r="4710" spans="2:8">
      <c r="B4710" s="871">
        <v>46287</v>
      </c>
      <c r="C4710" t="s">
        <v>2491</v>
      </c>
      <c r="D4710" t="s">
        <v>1410</v>
      </c>
      <c r="E4710" t="s">
        <v>3374</v>
      </c>
      <c r="F4710" s="853" t="s">
        <v>527</v>
      </c>
      <c r="G4710" s="913">
        <v>3</v>
      </c>
      <c r="H4710" t="s">
        <v>7976</v>
      </c>
    </row>
    <row r="4711" spans="2:8">
      <c r="B4711" s="871">
        <v>46287</v>
      </c>
      <c r="C4711" t="s">
        <v>2491</v>
      </c>
      <c r="D4711" t="s">
        <v>1410</v>
      </c>
      <c r="E4711" t="s">
        <v>3374</v>
      </c>
      <c r="F4711" s="853" t="s">
        <v>528</v>
      </c>
      <c r="G4711" s="913">
        <v>3.1</v>
      </c>
      <c r="H4711" t="s">
        <v>7977</v>
      </c>
    </row>
    <row r="4712" spans="2:8">
      <c r="B4712" s="871">
        <v>46287</v>
      </c>
      <c r="C4712" t="s">
        <v>2491</v>
      </c>
      <c r="D4712" t="s">
        <v>1410</v>
      </c>
      <c r="E4712" t="s">
        <v>3378</v>
      </c>
      <c r="F4712" s="853" t="s">
        <v>526</v>
      </c>
      <c r="G4712" s="913" t="s">
        <v>1430</v>
      </c>
      <c r="H4712" t="s">
        <v>7978</v>
      </c>
    </row>
    <row r="4713" spans="2:8">
      <c r="B4713" s="871">
        <v>46287</v>
      </c>
      <c r="C4713" t="s">
        <v>2491</v>
      </c>
      <c r="D4713" t="s">
        <v>1410</v>
      </c>
      <c r="E4713" t="s">
        <v>3378</v>
      </c>
      <c r="F4713" s="853" t="s">
        <v>527</v>
      </c>
      <c r="G4713" s="913" t="s">
        <v>1430</v>
      </c>
      <c r="H4713" t="s">
        <v>7979</v>
      </c>
    </row>
    <row r="4714" spans="2:8">
      <c r="B4714" s="871">
        <v>46287</v>
      </c>
      <c r="C4714" t="s">
        <v>2491</v>
      </c>
      <c r="D4714" t="s">
        <v>1410</v>
      </c>
      <c r="E4714" t="s">
        <v>3378</v>
      </c>
      <c r="F4714" s="853" t="s">
        <v>528</v>
      </c>
      <c r="G4714" s="913" t="s">
        <v>1430</v>
      </c>
      <c r="H4714" t="s">
        <v>7980</v>
      </c>
    </row>
    <row r="4715" spans="2:8">
      <c r="B4715" s="871">
        <v>46287</v>
      </c>
      <c r="C4715" t="s">
        <v>2491</v>
      </c>
      <c r="D4715" t="s">
        <v>1410</v>
      </c>
      <c r="E4715" t="s">
        <v>3382</v>
      </c>
      <c r="F4715" s="853" t="s">
        <v>526</v>
      </c>
      <c r="G4715" s="913">
        <v>98</v>
      </c>
      <c r="H4715" t="s">
        <v>7981</v>
      </c>
    </row>
    <row r="4716" spans="2:8">
      <c r="B4716" s="871">
        <v>46287</v>
      </c>
      <c r="C4716" t="s">
        <v>2491</v>
      </c>
      <c r="D4716" t="s">
        <v>1410</v>
      </c>
      <c r="E4716" t="s">
        <v>3382</v>
      </c>
      <c r="F4716" s="853" t="s">
        <v>527</v>
      </c>
      <c r="G4716" s="913">
        <v>35</v>
      </c>
      <c r="H4716" t="s">
        <v>7982</v>
      </c>
    </row>
    <row r="4717" spans="2:8">
      <c r="B4717" s="871">
        <v>46287</v>
      </c>
      <c r="C4717" t="s">
        <v>2491</v>
      </c>
      <c r="D4717" t="s">
        <v>1410</v>
      </c>
      <c r="E4717" t="s">
        <v>3382</v>
      </c>
      <c r="F4717" s="853" t="s">
        <v>528</v>
      </c>
      <c r="G4717" s="913">
        <v>100</v>
      </c>
      <c r="H4717" t="s">
        <v>7983</v>
      </c>
    </row>
    <row r="4718" spans="2:8">
      <c r="B4718" s="871">
        <v>46287</v>
      </c>
      <c r="C4718" t="s">
        <v>2491</v>
      </c>
      <c r="D4718" t="s">
        <v>1409</v>
      </c>
      <c r="E4718" t="s">
        <v>1431</v>
      </c>
      <c r="F4718" s="853" t="s">
        <v>526</v>
      </c>
      <c r="H4718" t="s">
        <v>7984</v>
      </c>
    </row>
    <row r="4719" spans="2:8">
      <c r="B4719" s="871">
        <v>46287</v>
      </c>
      <c r="C4719" t="s">
        <v>2491</v>
      </c>
      <c r="D4719" t="s">
        <v>1409</v>
      </c>
      <c r="E4719" t="s">
        <v>1431</v>
      </c>
      <c r="F4719" s="853" t="s">
        <v>527</v>
      </c>
      <c r="H4719" t="s">
        <v>7985</v>
      </c>
    </row>
    <row r="4720" spans="2:8">
      <c r="B4720" s="871">
        <v>46287</v>
      </c>
      <c r="C4720" t="s">
        <v>2491</v>
      </c>
      <c r="D4720" t="s">
        <v>1409</v>
      </c>
      <c r="E4720" t="s">
        <v>1431</v>
      </c>
      <c r="F4720" s="853" t="s">
        <v>528</v>
      </c>
      <c r="H4720" t="s">
        <v>7986</v>
      </c>
    </row>
    <row r="4721" spans="2:8">
      <c r="B4721" s="871">
        <v>46287</v>
      </c>
      <c r="C4721" t="s">
        <v>2491</v>
      </c>
      <c r="D4721" t="s">
        <v>1410</v>
      </c>
      <c r="E4721" t="s">
        <v>3389</v>
      </c>
      <c r="F4721" s="853" t="s">
        <v>526</v>
      </c>
      <c r="G4721" s="913">
        <v>2755</v>
      </c>
      <c r="H4721" t="s">
        <v>7987</v>
      </c>
    </row>
    <row r="4722" spans="2:8">
      <c r="B4722" s="871">
        <v>46287</v>
      </c>
      <c r="C4722" t="s">
        <v>2491</v>
      </c>
      <c r="D4722" t="s">
        <v>1410</v>
      </c>
      <c r="E4722" t="s">
        <v>3389</v>
      </c>
      <c r="F4722" s="853" t="s">
        <v>527</v>
      </c>
      <c r="G4722" s="913">
        <v>100</v>
      </c>
      <c r="H4722" t="s">
        <v>7988</v>
      </c>
    </row>
    <row r="4723" spans="2:8">
      <c r="B4723" s="871">
        <v>46287</v>
      </c>
      <c r="C4723" t="s">
        <v>2491</v>
      </c>
      <c r="D4723" t="s">
        <v>1410</v>
      </c>
      <c r="E4723" t="s">
        <v>3389</v>
      </c>
      <c r="F4723" s="853" t="s">
        <v>528</v>
      </c>
      <c r="G4723" s="913">
        <v>2685</v>
      </c>
      <c r="H4723" t="s">
        <v>7989</v>
      </c>
    </row>
    <row r="4724" spans="2:8">
      <c r="B4724" s="871">
        <v>46287</v>
      </c>
      <c r="C4724" t="s">
        <v>2491</v>
      </c>
      <c r="D4724" t="s">
        <v>1410</v>
      </c>
      <c r="E4724" t="s">
        <v>3393</v>
      </c>
      <c r="F4724" s="853" t="s">
        <v>526</v>
      </c>
      <c r="G4724" s="913" t="s">
        <v>1663</v>
      </c>
      <c r="H4724" t="s">
        <v>7990</v>
      </c>
    </row>
    <row r="4725" spans="2:8">
      <c r="B4725" s="871">
        <v>46287</v>
      </c>
      <c r="C4725" t="s">
        <v>2491</v>
      </c>
      <c r="D4725" t="s">
        <v>1410</v>
      </c>
      <c r="E4725" t="s">
        <v>3393</v>
      </c>
      <c r="F4725" s="853" t="s">
        <v>527</v>
      </c>
      <c r="G4725" s="913" t="s">
        <v>1663</v>
      </c>
      <c r="H4725" t="s">
        <v>7991</v>
      </c>
    </row>
    <row r="4726" spans="2:8">
      <c r="B4726" s="871">
        <v>46287</v>
      </c>
      <c r="C4726" t="s">
        <v>2491</v>
      </c>
      <c r="D4726" t="s">
        <v>1410</v>
      </c>
      <c r="E4726" t="s">
        <v>3393</v>
      </c>
      <c r="F4726" s="853" t="s">
        <v>528</v>
      </c>
      <c r="G4726" s="913" t="s">
        <v>1663</v>
      </c>
      <c r="H4726" t="s">
        <v>7992</v>
      </c>
    </row>
    <row r="4727" spans="2:8">
      <c r="B4727" s="871">
        <v>46287</v>
      </c>
      <c r="C4727" t="s">
        <v>2491</v>
      </c>
      <c r="D4727" t="s">
        <v>1410</v>
      </c>
      <c r="E4727" t="s">
        <v>3397</v>
      </c>
      <c r="F4727" s="853" t="s">
        <v>526</v>
      </c>
      <c r="G4727" s="913" t="s">
        <v>1435</v>
      </c>
      <c r="H4727" t="s">
        <v>7993</v>
      </c>
    </row>
    <row r="4728" spans="2:8">
      <c r="B4728" s="871">
        <v>46287</v>
      </c>
      <c r="C4728" t="s">
        <v>2491</v>
      </c>
      <c r="D4728" t="s">
        <v>1410</v>
      </c>
      <c r="E4728" t="s">
        <v>3397</v>
      </c>
      <c r="F4728" s="853" t="s">
        <v>527</v>
      </c>
      <c r="G4728" s="913" t="s">
        <v>1435</v>
      </c>
      <c r="H4728" t="s">
        <v>7994</v>
      </c>
    </row>
    <row r="4729" spans="2:8">
      <c r="B4729" s="871">
        <v>46287</v>
      </c>
      <c r="C4729" t="s">
        <v>2491</v>
      </c>
      <c r="D4729" t="s">
        <v>1410</v>
      </c>
      <c r="E4729" t="s">
        <v>3397</v>
      </c>
      <c r="F4729" s="853" t="s">
        <v>528</v>
      </c>
      <c r="G4729" s="913" t="s">
        <v>1435</v>
      </c>
      <c r="H4729" t="s">
        <v>7995</v>
      </c>
    </row>
    <row r="4730" spans="2:8">
      <c r="B4730" s="871">
        <v>46287</v>
      </c>
      <c r="C4730" t="s">
        <v>2491</v>
      </c>
      <c r="D4730" t="s">
        <v>1434</v>
      </c>
      <c r="E4730" t="s">
        <v>42</v>
      </c>
      <c r="F4730" s="853" t="s">
        <v>526</v>
      </c>
      <c r="G4730" s="913" t="s">
        <v>2128</v>
      </c>
      <c r="H4730" t="s">
        <v>7996</v>
      </c>
    </row>
    <row r="4731" spans="2:8">
      <c r="B4731" s="871">
        <v>46287</v>
      </c>
      <c r="C4731" t="s">
        <v>2491</v>
      </c>
      <c r="D4731" t="s">
        <v>1434</v>
      </c>
      <c r="E4731" t="s">
        <v>42</v>
      </c>
      <c r="F4731" s="853" t="s">
        <v>527</v>
      </c>
      <c r="G4731" s="913" t="s">
        <v>2128</v>
      </c>
      <c r="H4731" t="s">
        <v>7997</v>
      </c>
    </row>
    <row r="4732" spans="2:8">
      <c r="B4732" s="871">
        <v>46287</v>
      </c>
      <c r="C4732" t="s">
        <v>2491</v>
      </c>
      <c r="D4732" t="s">
        <v>1434</v>
      </c>
      <c r="E4732" t="s">
        <v>42</v>
      </c>
      <c r="F4732" s="853" t="s">
        <v>528</v>
      </c>
      <c r="G4732" s="913" t="s">
        <v>2128</v>
      </c>
      <c r="H4732" t="s">
        <v>7998</v>
      </c>
    </row>
    <row r="4733" spans="2:8">
      <c r="B4733" s="871">
        <v>46287</v>
      </c>
      <c r="C4733" t="s">
        <v>2491</v>
      </c>
      <c r="D4733" t="s">
        <v>1410</v>
      </c>
      <c r="E4733" t="s">
        <v>3404</v>
      </c>
      <c r="F4733" s="853" t="s">
        <v>526</v>
      </c>
      <c r="G4733" s="913" t="s">
        <v>1438</v>
      </c>
      <c r="H4733" t="s">
        <v>7999</v>
      </c>
    </row>
    <row r="4734" spans="2:8">
      <c r="B4734" s="871">
        <v>46287</v>
      </c>
      <c r="C4734" t="s">
        <v>2491</v>
      </c>
      <c r="D4734" t="s">
        <v>1410</v>
      </c>
      <c r="E4734" t="s">
        <v>3404</v>
      </c>
      <c r="F4734" s="853" t="s">
        <v>527</v>
      </c>
      <c r="G4734" s="913" t="s">
        <v>1438</v>
      </c>
      <c r="H4734" t="s">
        <v>8000</v>
      </c>
    </row>
    <row r="4735" spans="2:8">
      <c r="B4735" s="871">
        <v>46287</v>
      </c>
      <c r="C4735" t="s">
        <v>2491</v>
      </c>
      <c r="D4735" t="s">
        <v>1410</v>
      </c>
      <c r="E4735" t="s">
        <v>3404</v>
      </c>
      <c r="F4735" s="853" t="s">
        <v>528</v>
      </c>
      <c r="G4735" s="913" t="s">
        <v>1438</v>
      </c>
      <c r="H4735" t="s">
        <v>8001</v>
      </c>
    </row>
    <row r="4736" spans="2:8">
      <c r="B4736" s="871">
        <v>46287</v>
      </c>
      <c r="C4736" t="s">
        <v>2491</v>
      </c>
      <c r="D4736" t="s">
        <v>1434</v>
      </c>
      <c r="E4736" t="s">
        <v>1439</v>
      </c>
      <c r="F4736" s="853" t="s">
        <v>526</v>
      </c>
      <c r="G4736" s="913" t="s">
        <v>9412</v>
      </c>
      <c r="H4736" t="s">
        <v>8002</v>
      </c>
    </row>
    <row r="4737" spans="2:8">
      <c r="B4737" s="871">
        <v>46287</v>
      </c>
      <c r="C4737" t="s">
        <v>2491</v>
      </c>
      <c r="D4737" t="s">
        <v>1434</v>
      </c>
      <c r="E4737" t="s">
        <v>1439</v>
      </c>
      <c r="F4737" s="853" t="s">
        <v>527</v>
      </c>
      <c r="G4737" s="913" t="s">
        <v>9412</v>
      </c>
      <c r="H4737" t="s">
        <v>8003</v>
      </c>
    </row>
    <row r="4738" spans="2:8">
      <c r="B4738" s="871">
        <v>46287</v>
      </c>
      <c r="C4738" t="s">
        <v>2491</v>
      </c>
      <c r="D4738" t="s">
        <v>1434</v>
      </c>
      <c r="E4738" t="s">
        <v>1439</v>
      </c>
      <c r="F4738" s="853" t="s">
        <v>528</v>
      </c>
      <c r="G4738" s="913" t="s">
        <v>9412</v>
      </c>
      <c r="H4738" t="s">
        <v>8004</v>
      </c>
    </row>
    <row r="4739" spans="2:8">
      <c r="B4739" s="871">
        <v>46287</v>
      </c>
      <c r="C4739" t="s">
        <v>2491</v>
      </c>
      <c r="D4739" t="s">
        <v>1410</v>
      </c>
      <c r="E4739" t="s">
        <v>3411</v>
      </c>
      <c r="F4739" s="853" t="s">
        <v>526</v>
      </c>
      <c r="G4739" s="913">
        <v>34</v>
      </c>
      <c r="H4739" t="s">
        <v>8005</v>
      </c>
    </row>
    <row r="4740" spans="2:8">
      <c r="B4740" s="871">
        <v>46287</v>
      </c>
      <c r="C4740" t="s">
        <v>2491</v>
      </c>
      <c r="D4740" t="s">
        <v>1410</v>
      </c>
      <c r="E4740" t="s">
        <v>3411</v>
      </c>
      <c r="F4740" s="853" t="s">
        <v>527</v>
      </c>
      <c r="G4740" s="913">
        <v>35</v>
      </c>
      <c r="H4740" t="s">
        <v>8006</v>
      </c>
    </row>
    <row r="4741" spans="2:8">
      <c r="B4741" s="871">
        <v>46287</v>
      </c>
      <c r="C4741" t="s">
        <v>2491</v>
      </c>
      <c r="D4741" t="s">
        <v>1410</v>
      </c>
      <c r="E4741" t="s">
        <v>3411</v>
      </c>
      <c r="F4741" s="853" t="s">
        <v>528</v>
      </c>
      <c r="G4741" s="913">
        <v>37</v>
      </c>
      <c r="H4741" t="s">
        <v>8007</v>
      </c>
    </row>
    <row r="4742" spans="2:8">
      <c r="B4742" s="871">
        <v>46287</v>
      </c>
      <c r="C4742" t="s">
        <v>2491</v>
      </c>
      <c r="D4742" t="s">
        <v>1434</v>
      </c>
      <c r="E4742" t="s">
        <v>43</v>
      </c>
      <c r="F4742" s="853" t="s">
        <v>526</v>
      </c>
      <c r="G4742" s="913" t="s">
        <v>2147</v>
      </c>
      <c r="H4742" t="s">
        <v>8008</v>
      </c>
    </row>
    <row r="4743" spans="2:8">
      <c r="B4743" s="871">
        <v>46287</v>
      </c>
      <c r="C4743" t="s">
        <v>2491</v>
      </c>
      <c r="D4743" t="s">
        <v>1434</v>
      </c>
      <c r="E4743" t="s">
        <v>43</v>
      </c>
      <c r="F4743" s="853" t="s">
        <v>527</v>
      </c>
      <c r="G4743" s="913" t="s">
        <v>2147</v>
      </c>
      <c r="H4743" t="s">
        <v>8009</v>
      </c>
    </row>
    <row r="4744" spans="2:8">
      <c r="B4744" s="871">
        <v>46287</v>
      </c>
      <c r="C4744" t="s">
        <v>2491</v>
      </c>
      <c r="D4744" t="s">
        <v>1434</v>
      </c>
      <c r="E4744" t="s">
        <v>43</v>
      </c>
      <c r="F4744" s="853" t="s">
        <v>528</v>
      </c>
      <c r="G4744" s="913" t="s">
        <v>2147</v>
      </c>
      <c r="H4744" t="s">
        <v>8010</v>
      </c>
    </row>
    <row r="4745" spans="2:8">
      <c r="B4745" s="871">
        <v>46287</v>
      </c>
      <c r="C4745" t="s">
        <v>2491</v>
      </c>
      <c r="D4745" t="s">
        <v>1410</v>
      </c>
      <c r="E4745" t="s">
        <v>3418</v>
      </c>
      <c r="F4745" s="853" t="s">
        <v>526</v>
      </c>
      <c r="G4745" s="913">
        <v>100</v>
      </c>
      <c r="H4745" t="s">
        <v>8011</v>
      </c>
    </row>
    <row r="4746" spans="2:8">
      <c r="B4746" s="871">
        <v>46287</v>
      </c>
      <c r="C4746" t="s">
        <v>2491</v>
      </c>
      <c r="D4746" t="s">
        <v>1410</v>
      </c>
      <c r="E4746" t="s">
        <v>3418</v>
      </c>
      <c r="F4746" s="853" t="s">
        <v>527</v>
      </c>
      <c r="G4746" s="913">
        <v>100</v>
      </c>
      <c r="H4746" t="s">
        <v>8012</v>
      </c>
    </row>
    <row r="4747" spans="2:8">
      <c r="B4747" s="871">
        <v>46287</v>
      </c>
      <c r="C4747" t="s">
        <v>2491</v>
      </c>
      <c r="D4747" t="s">
        <v>1410</v>
      </c>
      <c r="E4747" t="s">
        <v>3418</v>
      </c>
      <c r="F4747" s="853" t="s">
        <v>528</v>
      </c>
      <c r="G4747" s="913">
        <v>101</v>
      </c>
      <c r="H4747" t="s">
        <v>8013</v>
      </c>
    </row>
    <row r="4748" spans="2:8">
      <c r="B4748" s="871">
        <v>46287</v>
      </c>
      <c r="C4748" t="s">
        <v>2491</v>
      </c>
      <c r="D4748" t="s">
        <v>1434</v>
      </c>
      <c r="E4748" t="s">
        <v>1441</v>
      </c>
      <c r="F4748" s="853" t="s">
        <v>526</v>
      </c>
      <c r="H4748" t="s">
        <v>8014</v>
      </c>
    </row>
    <row r="4749" spans="2:8">
      <c r="B4749" s="871">
        <v>46287</v>
      </c>
      <c r="C4749" t="s">
        <v>2491</v>
      </c>
      <c r="D4749" t="s">
        <v>1434</v>
      </c>
      <c r="E4749" t="s">
        <v>1441</v>
      </c>
      <c r="F4749" s="853" t="s">
        <v>527</v>
      </c>
      <c r="H4749" t="s">
        <v>8015</v>
      </c>
    </row>
    <row r="4750" spans="2:8">
      <c r="B4750" s="871">
        <v>46287</v>
      </c>
      <c r="C4750" t="s">
        <v>2491</v>
      </c>
      <c r="D4750" t="s">
        <v>1434</v>
      </c>
      <c r="E4750" t="s">
        <v>1441</v>
      </c>
      <c r="F4750" s="853" t="s">
        <v>528</v>
      </c>
      <c r="H4750" t="s">
        <v>8016</v>
      </c>
    </row>
    <row r="4751" spans="2:8">
      <c r="B4751" s="871">
        <v>46287</v>
      </c>
      <c r="C4751" t="s">
        <v>2491</v>
      </c>
      <c r="D4751" t="s">
        <v>1410</v>
      </c>
      <c r="E4751" t="s">
        <v>3425</v>
      </c>
      <c r="F4751" s="853" t="s">
        <v>526</v>
      </c>
      <c r="G4751" s="913" t="s">
        <v>1443</v>
      </c>
      <c r="H4751" t="s">
        <v>8017</v>
      </c>
    </row>
    <row r="4752" spans="2:8">
      <c r="B4752" s="871">
        <v>46287</v>
      </c>
      <c r="C4752" t="s">
        <v>2491</v>
      </c>
      <c r="D4752" t="s">
        <v>1410</v>
      </c>
      <c r="E4752" t="s">
        <v>3425</v>
      </c>
      <c r="F4752" s="853" t="s">
        <v>527</v>
      </c>
      <c r="G4752" s="913" t="s">
        <v>1443</v>
      </c>
      <c r="H4752" t="s">
        <v>8018</v>
      </c>
    </row>
    <row r="4753" spans="2:8">
      <c r="B4753" s="871">
        <v>46287</v>
      </c>
      <c r="C4753" t="s">
        <v>2491</v>
      </c>
      <c r="D4753" t="s">
        <v>1410</v>
      </c>
      <c r="E4753" t="s">
        <v>3425</v>
      </c>
      <c r="F4753" s="853" t="s">
        <v>528</v>
      </c>
      <c r="G4753" s="913" t="s">
        <v>1443</v>
      </c>
      <c r="H4753" t="s">
        <v>8019</v>
      </c>
    </row>
    <row r="4754" spans="2:8">
      <c r="B4754" s="871">
        <v>46287</v>
      </c>
      <c r="C4754" t="s">
        <v>2491</v>
      </c>
      <c r="D4754" t="s">
        <v>1434</v>
      </c>
      <c r="E4754" t="s">
        <v>1444</v>
      </c>
      <c r="F4754" s="853" t="s">
        <v>526</v>
      </c>
      <c r="H4754" t="s">
        <v>8020</v>
      </c>
    </row>
    <row r="4755" spans="2:8">
      <c r="B4755" s="871">
        <v>46287</v>
      </c>
      <c r="C4755" t="s">
        <v>2491</v>
      </c>
      <c r="D4755" t="s">
        <v>1434</v>
      </c>
      <c r="E4755" t="s">
        <v>1444</v>
      </c>
      <c r="F4755" s="853" t="s">
        <v>527</v>
      </c>
      <c r="H4755" t="s">
        <v>8021</v>
      </c>
    </row>
    <row r="4756" spans="2:8">
      <c r="B4756" s="871">
        <v>46287</v>
      </c>
      <c r="C4756" t="s">
        <v>2491</v>
      </c>
      <c r="D4756" t="s">
        <v>1434</v>
      </c>
      <c r="E4756" t="s">
        <v>1444</v>
      </c>
      <c r="F4756" s="853" t="s">
        <v>528</v>
      </c>
      <c r="G4756" s="913" t="s">
        <v>2148</v>
      </c>
      <c r="H4756" t="s">
        <v>8022</v>
      </c>
    </row>
    <row r="4757" spans="2:8">
      <c r="B4757" s="871">
        <v>46287</v>
      </c>
      <c r="C4757" t="s">
        <v>2491</v>
      </c>
      <c r="D4757" t="s">
        <v>1434</v>
      </c>
      <c r="E4757" t="s">
        <v>1446</v>
      </c>
      <c r="F4757" s="853" t="s">
        <v>526</v>
      </c>
      <c r="G4757" s="913" t="s">
        <v>2149</v>
      </c>
      <c r="H4757" t="s">
        <v>8023</v>
      </c>
    </row>
    <row r="4758" spans="2:8">
      <c r="B4758" s="871">
        <v>46287</v>
      </c>
      <c r="C4758" t="s">
        <v>2491</v>
      </c>
      <c r="D4758" t="s">
        <v>1434</v>
      </c>
      <c r="E4758" t="s">
        <v>1446</v>
      </c>
      <c r="F4758" s="853" t="s">
        <v>527</v>
      </c>
      <c r="G4758" s="913" t="s">
        <v>2150</v>
      </c>
      <c r="H4758" t="s">
        <v>8024</v>
      </c>
    </row>
    <row r="4759" spans="2:8">
      <c r="B4759" s="871">
        <v>46287</v>
      </c>
      <c r="C4759" t="s">
        <v>2491</v>
      </c>
      <c r="D4759" t="s">
        <v>1434</v>
      </c>
      <c r="E4759" t="s">
        <v>1446</v>
      </c>
      <c r="F4759" s="853" t="s">
        <v>528</v>
      </c>
      <c r="G4759" s="913" t="s">
        <v>2151</v>
      </c>
      <c r="H4759" t="s">
        <v>8025</v>
      </c>
    </row>
    <row r="4760" spans="2:8">
      <c r="B4760" s="871">
        <v>46287</v>
      </c>
      <c r="C4760" t="s">
        <v>2491</v>
      </c>
      <c r="D4760" t="s">
        <v>1410</v>
      </c>
      <c r="E4760" t="s">
        <v>3435</v>
      </c>
      <c r="F4760" s="853" t="s">
        <v>526</v>
      </c>
      <c r="G4760" s="913" t="s">
        <v>1586</v>
      </c>
      <c r="H4760" t="s">
        <v>8026</v>
      </c>
    </row>
    <row r="4761" spans="2:8">
      <c r="B4761" s="871">
        <v>46287</v>
      </c>
      <c r="C4761" t="s">
        <v>2491</v>
      </c>
      <c r="D4761" t="s">
        <v>1410</v>
      </c>
      <c r="E4761" t="s">
        <v>3435</v>
      </c>
      <c r="F4761" s="853" t="s">
        <v>527</v>
      </c>
      <c r="G4761" s="913" t="s">
        <v>1586</v>
      </c>
      <c r="H4761" t="s">
        <v>8027</v>
      </c>
    </row>
    <row r="4762" spans="2:8">
      <c r="B4762" s="871">
        <v>46287</v>
      </c>
      <c r="C4762" t="s">
        <v>2491</v>
      </c>
      <c r="D4762" t="s">
        <v>1410</v>
      </c>
      <c r="E4762" t="s">
        <v>3435</v>
      </c>
      <c r="F4762" s="853" t="s">
        <v>528</v>
      </c>
      <c r="G4762" s="913" t="s">
        <v>1586</v>
      </c>
      <c r="H4762" t="s">
        <v>8028</v>
      </c>
    </row>
    <row r="4763" spans="2:8">
      <c r="B4763" s="871">
        <v>46287</v>
      </c>
      <c r="C4763" t="s">
        <v>2491</v>
      </c>
      <c r="D4763" t="s">
        <v>1434</v>
      </c>
      <c r="E4763" t="s">
        <v>3439</v>
      </c>
      <c r="F4763" s="853" t="s">
        <v>526</v>
      </c>
      <c r="H4763" t="s">
        <v>8029</v>
      </c>
    </row>
    <row r="4764" spans="2:8">
      <c r="B4764" s="871">
        <v>46287</v>
      </c>
      <c r="C4764" t="s">
        <v>2491</v>
      </c>
      <c r="D4764" t="s">
        <v>1434</v>
      </c>
      <c r="E4764" t="s">
        <v>3439</v>
      </c>
      <c r="F4764" s="853" t="s">
        <v>527</v>
      </c>
      <c r="H4764" t="s">
        <v>8030</v>
      </c>
    </row>
    <row r="4765" spans="2:8">
      <c r="B4765" s="871">
        <v>46287</v>
      </c>
      <c r="C4765" t="s">
        <v>2491</v>
      </c>
      <c r="D4765" t="s">
        <v>1434</v>
      </c>
      <c r="E4765" t="s">
        <v>3439</v>
      </c>
      <c r="F4765" s="853" t="s">
        <v>528</v>
      </c>
      <c r="H4765" t="s">
        <v>8031</v>
      </c>
    </row>
    <row r="4766" spans="2:8">
      <c r="B4766" s="871">
        <v>46287</v>
      </c>
      <c r="C4766" t="s">
        <v>2491</v>
      </c>
      <c r="D4766" t="s">
        <v>1410</v>
      </c>
      <c r="E4766" t="s">
        <v>3443</v>
      </c>
      <c r="F4766" s="853" t="s">
        <v>526</v>
      </c>
      <c r="H4766" t="s">
        <v>8032</v>
      </c>
    </row>
    <row r="4767" spans="2:8">
      <c r="B4767" s="871">
        <v>46287</v>
      </c>
      <c r="C4767" t="s">
        <v>2491</v>
      </c>
      <c r="D4767" t="s">
        <v>1410</v>
      </c>
      <c r="E4767" t="s">
        <v>3443</v>
      </c>
      <c r="F4767" s="853" t="s">
        <v>527</v>
      </c>
      <c r="H4767" t="s">
        <v>8033</v>
      </c>
    </row>
    <row r="4768" spans="2:8">
      <c r="B4768" s="871">
        <v>46287</v>
      </c>
      <c r="C4768" t="s">
        <v>2491</v>
      </c>
      <c r="D4768" t="s">
        <v>1410</v>
      </c>
      <c r="E4768" t="s">
        <v>3443</v>
      </c>
      <c r="F4768" s="853" t="s">
        <v>528</v>
      </c>
      <c r="H4768" t="s">
        <v>8034</v>
      </c>
    </row>
    <row r="4769" spans="2:8">
      <c r="B4769" s="871">
        <v>46287</v>
      </c>
      <c r="C4769" t="s">
        <v>2491</v>
      </c>
      <c r="D4769" t="s">
        <v>1434</v>
      </c>
      <c r="E4769" t="s">
        <v>3447</v>
      </c>
      <c r="F4769" s="853" t="s">
        <v>526</v>
      </c>
      <c r="H4769" t="s">
        <v>8035</v>
      </c>
    </row>
    <row r="4770" spans="2:8">
      <c r="B4770" s="871">
        <v>46287</v>
      </c>
      <c r="C4770" t="s">
        <v>2491</v>
      </c>
      <c r="D4770" t="s">
        <v>1434</v>
      </c>
      <c r="E4770" t="s">
        <v>3447</v>
      </c>
      <c r="F4770" s="853" t="s">
        <v>527</v>
      </c>
      <c r="H4770" t="s">
        <v>8036</v>
      </c>
    </row>
    <row r="4771" spans="2:8">
      <c r="B4771" s="871">
        <v>46287</v>
      </c>
      <c r="C4771" t="s">
        <v>2491</v>
      </c>
      <c r="D4771" t="s">
        <v>1434</v>
      </c>
      <c r="E4771" t="s">
        <v>3447</v>
      </c>
      <c r="F4771" s="853" t="s">
        <v>528</v>
      </c>
      <c r="H4771" t="s">
        <v>8037</v>
      </c>
    </row>
    <row r="4772" spans="2:8">
      <c r="B4772" s="871">
        <v>46287</v>
      </c>
      <c r="C4772" t="s">
        <v>2491</v>
      </c>
      <c r="D4772" t="s">
        <v>1410</v>
      </c>
      <c r="E4772" t="s">
        <v>3451</v>
      </c>
      <c r="F4772" s="853" t="s">
        <v>526</v>
      </c>
      <c r="H4772" t="s">
        <v>8038</v>
      </c>
    </row>
    <row r="4773" spans="2:8">
      <c r="B4773" s="871">
        <v>46287</v>
      </c>
      <c r="C4773" t="s">
        <v>2491</v>
      </c>
      <c r="D4773" t="s">
        <v>1410</v>
      </c>
      <c r="E4773" t="s">
        <v>3451</v>
      </c>
      <c r="F4773" s="853" t="s">
        <v>527</v>
      </c>
      <c r="H4773" t="s">
        <v>8039</v>
      </c>
    </row>
    <row r="4774" spans="2:8">
      <c r="B4774" s="871">
        <v>46287</v>
      </c>
      <c r="C4774" t="s">
        <v>2491</v>
      </c>
      <c r="D4774" t="s">
        <v>1410</v>
      </c>
      <c r="E4774" t="s">
        <v>3451</v>
      </c>
      <c r="F4774" s="853" t="s">
        <v>528</v>
      </c>
      <c r="H4774" t="s">
        <v>8040</v>
      </c>
    </row>
    <row r="4775" spans="2:8">
      <c r="B4775" s="871">
        <v>46287</v>
      </c>
      <c r="C4775" t="s">
        <v>2491</v>
      </c>
      <c r="D4775" t="s">
        <v>1434</v>
      </c>
      <c r="E4775" t="s">
        <v>3455</v>
      </c>
      <c r="F4775" s="853" t="s">
        <v>526</v>
      </c>
      <c r="H4775" t="s">
        <v>8041</v>
      </c>
    </row>
    <row r="4776" spans="2:8">
      <c r="B4776" s="871">
        <v>46287</v>
      </c>
      <c r="C4776" t="s">
        <v>2491</v>
      </c>
      <c r="D4776" t="s">
        <v>1434</v>
      </c>
      <c r="E4776" t="s">
        <v>3455</v>
      </c>
      <c r="F4776" s="853" t="s">
        <v>527</v>
      </c>
      <c r="H4776" t="s">
        <v>8042</v>
      </c>
    </row>
    <row r="4777" spans="2:8">
      <c r="B4777" s="871">
        <v>46287</v>
      </c>
      <c r="C4777" t="s">
        <v>2491</v>
      </c>
      <c r="D4777" t="s">
        <v>1434</v>
      </c>
      <c r="E4777" t="s">
        <v>3455</v>
      </c>
      <c r="F4777" s="853" t="s">
        <v>528</v>
      </c>
      <c r="H4777" t="s">
        <v>8043</v>
      </c>
    </row>
    <row r="4778" spans="2:8">
      <c r="B4778" s="871">
        <v>46287</v>
      </c>
      <c r="C4778" t="s">
        <v>2491</v>
      </c>
      <c r="D4778" t="s">
        <v>1410</v>
      </c>
      <c r="E4778" t="s">
        <v>3459</v>
      </c>
      <c r="F4778" s="853" t="s">
        <v>526</v>
      </c>
      <c r="G4778" s="913">
        <v>29</v>
      </c>
      <c r="H4778" t="s">
        <v>8044</v>
      </c>
    </row>
    <row r="4779" spans="2:8">
      <c r="B4779" s="871">
        <v>46287</v>
      </c>
      <c r="C4779" t="s">
        <v>2491</v>
      </c>
      <c r="D4779" t="s">
        <v>1410</v>
      </c>
      <c r="E4779" t="s">
        <v>3459</v>
      </c>
      <c r="F4779" s="853" t="s">
        <v>527</v>
      </c>
      <c r="G4779" s="913">
        <v>26</v>
      </c>
      <c r="H4779" t="s">
        <v>8045</v>
      </c>
    </row>
    <row r="4780" spans="2:8">
      <c r="B4780" s="871">
        <v>46287</v>
      </c>
      <c r="C4780" t="s">
        <v>2491</v>
      </c>
      <c r="D4780" t="s">
        <v>1410</v>
      </c>
      <c r="E4780" t="s">
        <v>3459</v>
      </c>
      <c r="F4780" s="853" t="s">
        <v>528</v>
      </c>
      <c r="G4780" s="913">
        <v>26</v>
      </c>
      <c r="H4780" t="s">
        <v>8046</v>
      </c>
    </row>
    <row r="4781" spans="2:8">
      <c r="B4781" s="871">
        <v>46287</v>
      </c>
      <c r="C4781" t="s">
        <v>2491</v>
      </c>
      <c r="D4781" t="s">
        <v>1434</v>
      </c>
      <c r="E4781" t="s">
        <v>3463</v>
      </c>
      <c r="F4781" s="853" t="s">
        <v>526</v>
      </c>
      <c r="H4781" t="s">
        <v>8047</v>
      </c>
    </row>
    <row r="4782" spans="2:8">
      <c r="B4782" s="871">
        <v>46287</v>
      </c>
      <c r="C4782" t="s">
        <v>2491</v>
      </c>
      <c r="D4782" t="s">
        <v>1434</v>
      </c>
      <c r="E4782" t="s">
        <v>3463</v>
      </c>
      <c r="F4782" s="853" t="s">
        <v>527</v>
      </c>
      <c r="H4782" t="s">
        <v>8048</v>
      </c>
    </row>
    <row r="4783" spans="2:8">
      <c r="B4783" s="871">
        <v>46287</v>
      </c>
      <c r="C4783" t="s">
        <v>2491</v>
      </c>
      <c r="D4783" t="s">
        <v>1434</v>
      </c>
      <c r="E4783" t="s">
        <v>3463</v>
      </c>
      <c r="F4783" s="853" t="s">
        <v>528</v>
      </c>
      <c r="H4783" t="s">
        <v>8049</v>
      </c>
    </row>
    <row r="4784" spans="2:8">
      <c r="B4784" s="871">
        <v>46287</v>
      </c>
      <c r="C4784" t="s">
        <v>2491</v>
      </c>
      <c r="D4784" t="s">
        <v>1410</v>
      </c>
      <c r="E4784" t="s">
        <v>3467</v>
      </c>
      <c r="F4784" s="853" t="s">
        <v>526</v>
      </c>
      <c r="G4784" s="913">
        <v>29</v>
      </c>
      <c r="H4784" t="s">
        <v>8050</v>
      </c>
    </row>
    <row r="4785" spans="2:8">
      <c r="B4785" s="871">
        <v>46287</v>
      </c>
      <c r="C4785" t="s">
        <v>2491</v>
      </c>
      <c r="D4785" t="s">
        <v>1410</v>
      </c>
      <c r="E4785" t="s">
        <v>3467</v>
      </c>
      <c r="F4785" s="853" t="s">
        <v>527</v>
      </c>
      <c r="G4785" s="913">
        <v>26</v>
      </c>
      <c r="H4785" t="s">
        <v>8051</v>
      </c>
    </row>
    <row r="4786" spans="2:8">
      <c r="B4786" s="871">
        <v>46287</v>
      </c>
      <c r="C4786" t="s">
        <v>2491</v>
      </c>
      <c r="D4786" t="s">
        <v>1410</v>
      </c>
      <c r="E4786" t="s">
        <v>3467</v>
      </c>
      <c r="F4786" s="853" t="s">
        <v>528</v>
      </c>
      <c r="H4786" t="s">
        <v>8052</v>
      </c>
    </row>
    <row r="4787" spans="2:8">
      <c r="B4787" s="871">
        <v>46287</v>
      </c>
      <c r="C4787" t="s">
        <v>2491</v>
      </c>
      <c r="D4787" t="s">
        <v>1434</v>
      </c>
      <c r="E4787" t="s">
        <v>3471</v>
      </c>
      <c r="F4787" s="853" t="s">
        <v>526</v>
      </c>
      <c r="H4787" t="s">
        <v>8053</v>
      </c>
    </row>
    <row r="4788" spans="2:8">
      <c r="B4788" s="871">
        <v>46287</v>
      </c>
      <c r="C4788" t="s">
        <v>2491</v>
      </c>
      <c r="D4788" t="s">
        <v>1434</v>
      </c>
      <c r="E4788" t="s">
        <v>3471</v>
      </c>
      <c r="F4788" s="853" t="s">
        <v>527</v>
      </c>
      <c r="H4788" t="s">
        <v>8054</v>
      </c>
    </row>
    <row r="4789" spans="2:8">
      <c r="B4789" s="871">
        <v>46287</v>
      </c>
      <c r="C4789" t="s">
        <v>2491</v>
      </c>
      <c r="D4789" t="s">
        <v>1434</v>
      </c>
      <c r="E4789" t="s">
        <v>3471</v>
      </c>
      <c r="F4789" s="853" t="s">
        <v>528</v>
      </c>
      <c r="H4789" t="s">
        <v>8055</v>
      </c>
    </row>
    <row r="4790" spans="2:8">
      <c r="B4790" s="871">
        <v>46287</v>
      </c>
      <c r="C4790" t="s">
        <v>2491</v>
      </c>
      <c r="D4790" t="s">
        <v>1410</v>
      </c>
      <c r="E4790" t="s">
        <v>3475</v>
      </c>
      <c r="F4790" s="853" t="s">
        <v>526</v>
      </c>
      <c r="G4790" s="913">
        <v>17</v>
      </c>
      <c r="H4790" t="s">
        <v>8056</v>
      </c>
    </row>
    <row r="4791" spans="2:8">
      <c r="B4791" s="871">
        <v>46287</v>
      </c>
      <c r="C4791" t="s">
        <v>2491</v>
      </c>
      <c r="D4791" t="s">
        <v>1410</v>
      </c>
      <c r="E4791" t="s">
        <v>3475</v>
      </c>
      <c r="F4791" s="853" t="s">
        <v>527</v>
      </c>
      <c r="G4791" s="913">
        <v>16</v>
      </c>
      <c r="H4791" t="s">
        <v>8057</v>
      </c>
    </row>
    <row r="4792" spans="2:8">
      <c r="B4792" s="871">
        <v>46287</v>
      </c>
      <c r="C4792" t="s">
        <v>2491</v>
      </c>
      <c r="D4792" t="s">
        <v>1410</v>
      </c>
      <c r="E4792" t="s">
        <v>3475</v>
      </c>
      <c r="F4792" s="853" t="s">
        <v>528</v>
      </c>
      <c r="G4792" s="913">
        <v>17</v>
      </c>
      <c r="H4792" t="s">
        <v>8058</v>
      </c>
    </row>
    <row r="4793" spans="2:8">
      <c r="B4793" s="871">
        <v>46287</v>
      </c>
      <c r="C4793" t="s">
        <v>2491</v>
      </c>
      <c r="D4793" t="s">
        <v>1434</v>
      </c>
      <c r="E4793" t="s">
        <v>3479</v>
      </c>
      <c r="F4793" s="853" t="s">
        <v>526</v>
      </c>
      <c r="H4793" t="s">
        <v>8059</v>
      </c>
    </row>
    <row r="4794" spans="2:8">
      <c r="B4794" s="871">
        <v>46287</v>
      </c>
      <c r="C4794" t="s">
        <v>2491</v>
      </c>
      <c r="D4794" t="s">
        <v>1434</v>
      </c>
      <c r="E4794" t="s">
        <v>3479</v>
      </c>
      <c r="F4794" s="853" t="s">
        <v>527</v>
      </c>
      <c r="H4794" t="s">
        <v>8060</v>
      </c>
    </row>
    <row r="4795" spans="2:8">
      <c r="B4795" s="871">
        <v>46287</v>
      </c>
      <c r="C4795" t="s">
        <v>2491</v>
      </c>
      <c r="D4795" t="s">
        <v>1434</v>
      </c>
      <c r="E4795" t="s">
        <v>3479</v>
      </c>
      <c r="F4795" s="853" t="s">
        <v>528</v>
      </c>
      <c r="H4795" t="s">
        <v>8061</v>
      </c>
    </row>
    <row r="4796" spans="2:8">
      <c r="B4796" s="871">
        <v>46287</v>
      </c>
      <c r="C4796" t="s">
        <v>2491</v>
      </c>
      <c r="D4796" t="s">
        <v>1410</v>
      </c>
      <c r="E4796" t="s">
        <v>3483</v>
      </c>
      <c r="F4796" s="853" t="s">
        <v>526</v>
      </c>
      <c r="G4796" s="913">
        <v>5</v>
      </c>
      <c r="H4796" t="s">
        <v>8062</v>
      </c>
    </row>
    <row r="4797" spans="2:8">
      <c r="B4797" s="871">
        <v>46287</v>
      </c>
      <c r="C4797" t="s">
        <v>2491</v>
      </c>
      <c r="D4797" t="s">
        <v>1410</v>
      </c>
      <c r="E4797" t="s">
        <v>3483</v>
      </c>
      <c r="F4797" s="853" t="s">
        <v>527</v>
      </c>
      <c r="G4797" s="913">
        <v>5</v>
      </c>
      <c r="H4797" t="s">
        <v>8063</v>
      </c>
    </row>
    <row r="4798" spans="2:8">
      <c r="B4798" s="871">
        <v>46287</v>
      </c>
      <c r="C4798" t="s">
        <v>2491</v>
      </c>
      <c r="D4798" t="s">
        <v>1410</v>
      </c>
      <c r="E4798" t="s">
        <v>3483</v>
      </c>
      <c r="F4798" s="853" t="s">
        <v>528</v>
      </c>
      <c r="G4798" s="913">
        <v>5</v>
      </c>
      <c r="H4798" t="s">
        <v>8064</v>
      </c>
    </row>
    <row r="4799" spans="2:8">
      <c r="B4799" s="1560">
        <v>46288</v>
      </c>
      <c r="C4799" s="1038" t="s">
        <v>10429</v>
      </c>
      <c r="D4799" s="1038" t="s">
        <v>1375</v>
      </c>
      <c r="E4799" s="1038" t="s">
        <v>1377</v>
      </c>
      <c r="F4799" s="1562" t="s">
        <v>526</v>
      </c>
      <c r="G4799" s="1563" t="s">
        <v>1378</v>
      </c>
      <c r="H4799" s="1038" t="s">
        <v>10430</v>
      </c>
    </row>
    <row r="4800" spans="2:8">
      <c r="B4800" s="1560">
        <v>46288</v>
      </c>
      <c r="C4800" s="1038" t="s">
        <v>10429</v>
      </c>
      <c r="D4800" s="1038" t="s">
        <v>1375</v>
      </c>
      <c r="E4800" s="1038" t="s">
        <v>1377</v>
      </c>
      <c r="F4800" s="1562" t="s">
        <v>527</v>
      </c>
      <c r="G4800" s="1563" t="s">
        <v>1378</v>
      </c>
      <c r="H4800" s="1038" t="s">
        <v>10431</v>
      </c>
    </row>
    <row r="4801" spans="2:8">
      <c r="B4801" s="1560">
        <v>46288</v>
      </c>
      <c r="C4801" s="1038" t="s">
        <v>10429</v>
      </c>
      <c r="D4801" s="1038" t="s">
        <v>1375</v>
      </c>
      <c r="E4801" s="1038" t="s">
        <v>1377</v>
      </c>
      <c r="F4801" s="1562" t="s">
        <v>528</v>
      </c>
      <c r="G4801" s="1563" t="s">
        <v>1378</v>
      </c>
      <c r="H4801" s="1038" t="s">
        <v>10432</v>
      </c>
    </row>
    <row r="4802" spans="2:8">
      <c r="B4802" s="1560">
        <v>46288</v>
      </c>
      <c r="C4802" s="1038" t="s">
        <v>10429</v>
      </c>
      <c r="D4802" s="1038" t="s">
        <v>1376</v>
      </c>
      <c r="E4802" s="1038" t="s">
        <v>1379</v>
      </c>
      <c r="F4802" s="1562" t="s">
        <v>526</v>
      </c>
      <c r="G4802" s="1563"/>
      <c r="H4802" s="1038" t="s">
        <v>10433</v>
      </c>
    </row>
    <row r="4803" spans="2:8">
      <c r="B4803" s="1560">
        <v>46288</v>
      </c>
      <c r="C4803" s="1038" t="s">
        <v>10429</v>
      </c>
      <c r="D4803" s="1038" t="s">
        <v>1376</v>
      </c>
      <c r="E4803" s="1038" t="s">
        <v>1379</v>
      </c>
      <c r="F4803" s="1562" t="s">
        <v>527</v>
      </c>
      <c r="G4803" s="1563"/>
      <c r="H4803" s="1038" t="s">
        <v>10434</v>
      </c>
    </row>
    <row r="4804" spans="2:8">
      <c r="B4804" s="1560">
        <v>46288</v>
      </c>
      <c r="C4804" s="1038" t="s">
        <v>10429</v>
      </c>
      <c r="D4804" s="1038" t="s">
        <v>1376</v>
      </c>
      <c r="E4804" s="1038" t="s">
        <v>1379</v>
      </c>
      <c r="F4804" s="1562" t="s">
        <v>528</v>
      </c>
      <c r="G4804" s="1563"/>
      <c r="H4804" s="1038" t="s">
        <v>10435</v>
      </c>
    </row>
    <row r="4805" spans="2:8">
      <c r="B4805" s="1560">
        <v>46288</v>
      </c>
      <c r="C4805" s="1038" t="s">
        <v>10429</v>
      </c>
      <c r="D4805" s="1038" t="s">
        <v>1375</v>
      </c>
      <c r="E4805" s="1038" t="s">
        <v>1380</v>
      </c>
      <c r="F4805" s="1562" t="s">
        <v>526</v>
      </c>
      <c r="G4805" s="1563" t="s">
        <v>2121</v>
      </c>
      <c r="H4805" s="1038" t="s">
        <v>10436</v>
      </c>
    </row>
    <row r="4806" spans="2:8">
      <c r="B4806" s="1560">
        <v>46288</v>
      </c>
      <c r="C4806" s="1038" t="s">
        <v>10429</v>
      </c>
      <c r="D4806" s="1038" t="s">
        <v>1375</v>
      </c>
      <c r="E4806" s="1038" t="s">
        <v>1380</v>
      </c>
      <c r="F4806" s="1562" t="s">
        <v>527</v>
      </c>
      <c r="G4806" s="1563" t="s">
        <v>2121</v>
      </c>
      <c r="H4806" s="1038" t="s">
        <v>10437</v>
      </c>
    </row>
    <row r="4807" spans="2:8">
      <c r="B4807" s="1560">
        <v>46288</v>
      </c>
      <c r="C4807" s="1038" t="s">
        <v>10429</v>
      </c>
      <c r="D4807" s="1038" t="s">
        <v>1375</v>
      </c>
      <c r="E4807" s="1038" t="s">
        <v>1380</v>
      </c>
      <c r="F4807" s="1562" t="s">
        <v>528</v>
      </c>
      <c r="G4807" s="1563" t="s">
        <v>2031</v>
      </c>
      <c r="H4807" s="1038" t="s">
        <v>10438</v>
      </c>
    </row>
    <row r="4808" spans="2:8">
      <c r="B4808" s="1560">
        <v>46288</v>
      </c>
      <c r="C4808" s="1038" t="s">
        <v>10429</v>
      </c>
      <c r="D4808" s="1038" t="s">
        <v>1376</v>
      </c>
      <c r="E4808" s="1038" t="s">
        <v>1383</v>
      </c>
      <c r="F4808" s="1562" t="s">
        <v>526</v>
      </c>
      <c r="G4808" s="1563">
        <v>0</v>
      </c>
      <c r="H4808" s="1038" t="s">
        <v>10439</v>
      </c>
    </row>
    <row r="4809" spans="2:8">
      <c r="B4809" s="1560">
        <v>46288</v>
      </c>
      <c r="C4809" s="1038" t="s">
        <v>10429</v>
      </c>
      <c r="D4809" s="1038" t="s">
        <v>1376</v>
      </c>
      <c r="E4809" s="1038" t="s">
        <v>1383</v>
      </c>
      <c r="F4809" s="1562" t="s">
        <v>527</v>
      </c>
      <c r="G4809" s="1563">
        <v>0</v>
      </c>
      <c r="H4809" s="1038" t="s">
        <v>10440</v>
      </c>
    </row>
    <row r="4810" spans="2:8">
      <c r="B4810" s="1560">
        <v>46288</v>
      </c>
      <c r="C4810" s="1038" t="s">
        <v>10429</v>
      </c>
      <c r="D4810" s="1038" t="s">
        <v>1376</v>
      </c>
      <c r="E4810" s="1038" t="s">
        <v>1383</v>
      </c>
      <c r="F4810" s="1562" t="s">
        <v>528</v>
      </c>
      <c r="G4810" s="1563">
        <v>0</v>
      </c>
      <c r="H4810" s="1038" t="s">
        <v>10441</v>
      </c>
    </row>
    <row r="4811" spans="2:8">
      <c r="B4811" s="1560">
        <v>46288</v>
      </c>
      <c r="C4811" s="1038" t="s">
        <v>10429</v>
      </c>
      <c r="D4811" s="1038" t="s">
        <v>1375</v>
      </c>
      <c r="E4811" s="1038" t="s">
        <v>54</v>
      </c>
      <c r="F4811" s="1562" t="s">
        <v>526</v>
      </c>
      <c r="G4811" s="1563"/>
      <c r="H4811" s="1038" t="s">
        <v>10442</v>
      </c>
    </row>
    <row r="4812" spans="2:8">
      <c r="B4812" s="1560">
        <v>46288</v>
      </c>
      <c r="C4812" s="1038" t="s">
        <v>10429</v>
      </c>
      <c r="D4812" s="1038" t="s">
        <v>1375</v>
      </c>
      <c r="E4812" s="1038" t="s">
        <v>54</v>
      </c>
      <c r="F4812" s="1562" t="s">
        <v>527</v>
      </c>
      <c r="G4812" s="1563"/>
      <c r="H4812" s="1038" t="s">
        <v>10443</v>
      </c>
    </row>
    <row r="4813" spans="2:8">
      <c r="B4813" s="1560">
        <v>46288</v>
      </c>
      <c r="C4813" s="1038" t="s">
        <v>10429</v>
      </c>
      <c r="D4813" s="1038" t="s">
        <v>1375</v>
      </c>
      <c r="E4813" s="1038" t="s">
        <v>54</v>
      </c>
      <c r="F4813" s="1562" t="s">
        <v>528</v>
      </c>
      <c r="G4813" s="1563"/>
      <c r="H4813" s="1038" t="s">
        <v>10444</v>
      </c>
    </row>
    <row r="4814" spans="2:8">
      <c r="B4814" s="1560">
        <v>46288</v>
      </c>
      <c r="C4814" s="1038" t="s">
        <v>10429</v>
      </c>
      <c r="D4814" s="1038" t="s">
        <v>1376</v>
      </c>
      <c r="E4814" s="1038" t="s">
        <v>1384</v>
      </c>
      <c r="F4814" s="1562" t="s">
        <v>526</v>
      </c>
      <c r="G4814" s="1563">
        <v>0.38</v>
      </c>
      <c r="H4814" s="1038" t="s">
        <v>10445</v>
      </c>
    </row>
    <row r="4815" spans="2:8">
      <c r="B4815" s="1560">
        <v>46288</v>
      </c>
      <c r="C4815" s="1038" t="s">
        <v>10429</v>
      </c>
      <c r="D4815" s="1038" t="s">
        <v>1376</v>
      </c>
      <c r="E4815" s="1038" t="s">
        <v>1384</v>
      </c>
      <c r="F4815" s="1562" t="s">
        <v>527</v>
      </c>
      <c r="G4815" s="1563">
        <v>0.46</v>
      </c>
      <c r="H4815" s="1038" t="s">
        <v>10446</v>
      </c>
    </row>
    <row r="4816" spans="2:8">
      <c r="B4816" s="1560">
        <v>46288</v>
      </c>
      <c r="C4816" s="1038" t="s">
        <v>10429</v>
      </c>
      <c r="D4816" s="1038" t="s">
        <v>1376</v>
      </c>
      <c r="E4816" s="1038" t="s">
        <v>1384</v>
      </c>
      <c r="F4816" s="1562" t="s">
        <v>528</v>
      </c>
      <c r="G4816" s="1563">
        <v>0.4</v>
      </c>
      <c r="H4816" s="1038" t="s">
        <v>10447</v>
      </c>
    </row>
    <row r="4817" spans="2:8">
      <c r="B4817" s="1560">
        <v>46288</v>
      </c>
      <c r="C4817" s="1038" t="s">
        <v>10429</v>
      </c>
      <c r="D4817" s="1038" t="s">
        <v>1375</v>
      </c>
      <c r="E4817" s="1038" t="s">
        <v>1385</v>
      </c>
      <c r="F4817" s="1562" t="s">
        <v>526</v>
      </c>
      <c r="G4817" s="1563">
        <v>500</v>
      </c>
      <c r="H4817" s="1038" t="s">
        <v>10448</v>
      </c>
    </row>
    <row r="4818" spans="2:8">
      <c r="B4818" s="1560">
        <v>46288</v>
      </c>
      <c r="C4818" s="1038" t="s">
        <v>10429</v>
      </c>
      <c r="D4818" s="1038" t="s">
        <v>1375</v>
      </c>
      <c r="E4818" s="1038" t="s">
        <v>1385</v>
      </c>
      <c r="F4818" s="1562" t="s">
        <v>527</v>
      </c>
      <c r="G4818" s="1563">
        <v>1900</v>
      </c>
      <c r="H4818" s="1038" t="s">
        <v>10449</v>
      </c>
    </row>
    <row r="4819" spans="2:8">
      <c r="B4819" s="1560">
        <v>46288</v>
      </c>
      <c r="C4819" s="1038" t="s">
        <v>10429</v>
      </c>
      <c r="D4819" s="1038" t="s">
        <v>1375</v>
      </c>
      <c r="E4819" s="1038" t="s">
        <v>1385</v>
      </c>
      <c r="F4819" s="1562" t="s">
        <v>528</v>
      </c>
      <c r="G4819" s="1563">
        <v>3355</v>
      </c>
      <c r="H4819" s="1038" t="s">
        <v>10450</v>
      </c>
    </row>
    <row r="4820" spans="2:8">
      <c r="B4820" s="1560">
        <v>46288</v>
      </c>
      <c r="C4820" s="1038" t="s">
        <v>10429</v>
      </c>
      <c r="D4820" s="1038" t="s">
        <v>1376</v>
      </c>
      <c r="E4820" s="1038" t="s">
        <v>1386</v>
      </c>
      <c r="F4820" s="1562" t="s">
        <v>526</v>
      </c>
      <c r="G4820" s="1563">
        <v>0.5</v>
      </c>
      <c r="H4820" s="1038" t="s">
        <v>10451</v>
      </c>
    </row>
    <row r="4821" spans="2:8">
      <c r="B4821" s="1560">
        <v>46288</v>
      </c>
      <c r="C4821" s="1038" t="s">
        <v>10429</v>
      </c>
      <c r="D4821" s="1038" t="s">
        <v>1376</v>
      </c>
      <c r="E4821" s="1038" t="s">
        <v>1386</v>
      </c>
      <c r="F4821" s="1562" t="s">
        <v>527</v>
      </c>
      <c r="G4821" s="1563">
        <v>0.35</v>
      </c>
      <c r="H4821" s="1038" t="s">
        <v>10452</v>
      </c>
    </row>
    <row r="4822" spans="2:8">
      <c r="B4822" s="1560">
        <v>46288</v>
      </c>
      <c r="C4822" s="1038" t="s">
        <v>10429</v>
      </c>
      <c r="D4822" s="1038" t="s">
        <v>1376</v>
      </c>
      <c r="E4822" s="1038" t="s">
        <v>1386</v>
      </c>
      <c r="F4822" s="1562" t="s">
        <v>528</v>
      </c>
      <c r="G4822" s="1563">
        <v>0.38</v>
      </c>
      <c r="H4822" s="1038" t="s">
        <v>10453</v>
      </c>
    </row>
    <row r="4823" spans="2:8">
      <c r="B4823" s="1560">
        <v>46288</v>
      </c>
      <c r="C4823" s="1038" t="s">
        <v>10429</v>
      </c>
      <c r="D4823" s="1038" t="s">
        <v>1376</v>
      </c>
      <c r="E4823" s="1038" t="s">
        <v>1387</v>
      </c>
      <c r="F4823" s="1562" t="s">
        <v>526</v>
      </c>
      <c r="G4823" s="1563">
        <v>8.5</v>
      </c>
      <c r="H4823" s="1038" t="s">
        <v>10454</v>
      </c>
    </row>
    <row r="4824" spans="2:8">
      <c r="B4824" s="1560">
        <v>46288</v>
      </c>
      <c r="C4824" s="1038" t="s">
        <v>10429</v>
      </c>
      <c r="D4824" s="1038" t="s">
        <v>1376</v>
      </c>
      <c r="E4824" s="1038" t="s">
        <v>1387</v>
      </c>
      <c r="F4824" s="1562" t="s">
        <v>527</v>
      </c>
      <c r="G4824" s="1563">
        <v>8.5</v>
      </c>
      <c r="H4824" s="1038" t="s">
        <v>10455</v>
      </c>
    </row>
    <row r="4825" spans="2:8">
      <c r="B4825" s="1560">
        <v>46288</v>
      </c>
      <c r="C4825" s="1038" t="s">
        <v>10429</v>
      </c>
      <c r="D4825" s="1038" t="s">
        <v>1376</v>
      </c>
      <c r="E4825" s="1038" t="s">
        <v>1387</v>
      </c>
      <c r="F4825" s="1562" t="s">
        <v>528</v>
      </c>
      <c r="G4825" s="1563">
        <v>8.4</v>
      </c>
      <c r="H4825" s="1038" t="s">
        <v>10456</v>
      </c>
    </row>
    <row r="4826" spans="2:8">
      <c r="B4826" s="1560">
        <v>46288</v>
      </c>
      <c r="C4826" s="1038" t="s">
        <v>10429</v>
      </c>
      <c r="D4826" s="1038" t="s">
        <v>1375</v>
      </c>
      <c r="E4826" s="1038" t="s">
        <v>1388</v>
      </c>
      <c r="F4826" s="1562" t="s">
        <v>526</v>
      </c>
      <c r="G4826" s="1563"/>
      <c r="H4826" s="1038" t="s">
        <v>10457</v>
      </c>
    </row>
    <row r="4827" spans="2:8">
      <c r="B4827" s="1560">
        <v>46288</v>
      </c>
      <c r="C4827" s="1038" t="s">
        <v>10429</v>
      </c>
      <c r="D4827" s="1038" t="s">
        <v>1375</v>
      </c>
      <c r="E4827" s="1038" t="s">
        <v>1388</v>
      </c>
      <c r="F4827" s="1562" t="s">
        <v>527</v>
      </c>
      <c r="G4827" s="1563"/>
      <c r="H4827" s="1038" t="s">
        <v>10458</v>
      </c>
    </row>
    <row r="4828" spans="2:8">
      <c r="B4828" s="1560">
        <v>46288</v>
      </c>
      <c r="C4828" s="1038" t="s">
        <v>10429</v>
      </c>
      <c r="D4828" s="1038" t="s">
        <v>1375</v>
      </c>
      <c r="E4828" s="1038" t="s">
        <v>1388</v>
      </c>
      <c r="F4828" s="1562" t="s">
        <v>528</v>
      </c>
      <c r="G4828" s="1563"/>
      <c r="H4828" s="1038" t="s">
        <v>10459</v>
      </c>
    </row>
    <row r="4829" spans="2:8">
      <c r="B4829" s="1560">
        <v>46288</v>
      </c>
      <c r="C4829" s="1038" t="s">
        <v>10429</v>
      </c>
      <c r="D4829" s="1038" t="s">
        <v>1376</v>
      </c>
      <c r="E4829" s="1038" t="s">
        <v>1389</v>
      </c>
      <c r="F4829" s="1562" t="s">
        <v>526</v>
      </c>
      <c r="G4829" s="1563">
        <v>62.9</v>
      </c>
      <c r="H4829" s="1038" t="s">
        <v>10460</v>
      </c>
    </row>
    <row r="4830" spans="2:8">
      <c r="B4830" s="1560">
        <v>46288</v>
      </c>
      <c r="C4830" s="1038" t="s">
        <v>10429</v>
      </c>
      <c r="D4830" s="1038" t="s">
        <v>1376</v>
      </c>
      <c r="E4830" s="1038" t="s">
        <v>1389</v>
      </c>
      <c r="F4830" s="1562" t="s">
        <v>527</v>
      </c>
      <c r="G4830" s="1563">
        <v>63.4</v>
      </c>
      <c r="H4830" s="1038" t="s">
        <v>10461</v>
      </c>
    </row>
    <row r="4831" spans="2:8">
      <c r="B4831" s="1560">
        <v>46288</v>
      </c>
      <c r="C4831" s="1038" t="s">
        <v>10429</v>
      </c>
      <c r="D4831" s="1038" t="s">
        <v>1376</v>
      </c>
      <c r="E4831" s="1038" t="s">
        <v>1389</v>
      </c>
      <c r="F4831" s="1562" t="s">
        <v>528</v>
      </c>
      <c r="G4831" s="1563">
        <v>64.2</v>
      </c>
      <c r="H4831" s="1038" t="s">
        <v>10462</v>
      </c>
    </row>
    <row r="4832" spans="2:8">
      <c r="B4832" s="1560">
        <v>46288</v>
      </c>
      <c r="C4832" s="1038" t="s">
        <v>10429</v>
      </c>
      <c r="D4832" s="1038" t="s">
        <v>1375</v>
      </c>
      <c r="E4832" s="1038" t="s">
        <v>3266</v>
      </c>
      <c r="F4832" s="1562" t="s">
        <v>526</v>
      </c>
      <c r="G4832" s="1563">
        <v>3</v>
      </c>
      <c r="H4832" s="1038" t="s">
        <v>10463</v>
      </c>
    </row>
    <row r="4833" spans="2:8">
      <c r="B4833" s="1560">
        <v>46288</v>
      </c>
      <c r="C4833" s="1038" t="s">
        <v>10429</v>
      </c>
      <c r="D4833" s="1038" t="s">
        <v>1375</v>
      </c>
      <c r="E4833" s="1038" t="s">
        <v>3266</v>
      </c>
      <c r="F4833" s="1562" t="s">
        <v>527</v>
      </c>
      <c r="G4833" s="1563">
        <v>5</v>
      </c>
      <c r="H4833" s="1038" t="s">
        <v>10464</v>
      </c>
    </row>
    <row r="4834" spans="2:8">
      <c r="B4834" s="1560">
        <v>46288</v>
      </c>
      <c r="C4834" s="1038" t="s">
        <v>10429</v>
      </c>
      <c r="D4834" s="1038" t="s">
        <v>1375</v>
      </c>
      <c r="E4834" s="1038" t="s">
        <v>3266</v>
      </c>
      <c r="F4834" s="1562" t="s">
        <v>528</v>
      </c>
      <c r="G4834" s="1563">
        <v>4</v>
      </c>
      <c r="H4834" s="1038" t="s">
        <v>10465</v>
      </c>
    </row>
    <row r="4835" spans="2:8">
      <c r="B4835" s="1560">
        <v>46288</v>
      </c>
      <c r="C4835" s="1038" t="s">
        <v>10429</v>
      </c>
      <c r="D4835" s="1038" t="s">
        <v>1376</v>
      </c>
      <c r="E4835" s="1038" t="s">
        <v>1390</v>
      </c>
      <c r="F4835" s="1562" t="s">
        <v>526</v>
      </c>
      <c r="G4835" s="1563">
        <v>1.42E-3</v>
      </c>
      <c r="H4835" s="1038" t="s">
        <v>10466</v>
      </c>
    </row>
    <row r="4836" spans="2:8">
      <c r="B4836" s="1560">
        <v>46288</v>
      </c>
      <c r="C4836" s="1038" t="s">
        <v>10429</v>
      </c>
      <c r="D4836" s="1038" t="s">
        <v>1376</v>
      </c>
      <c r="E4836" s="1038" t="s">
        <v>1390</v>
      </c>
      <c r="F4836" s="1562" t="s">
        <v>527</v>
      </c>
      <c r="G4836" s="1563">
        <v>1.75E-3</v>
      </c>
      <c r="H4836" s="1038" t="s">
        <v>10467</v>
      </c>
    </row>
    <row r="4837" spans="2:8">
      <c r="B4837" s="1560">
        <v>46288</v>
      </c>
      <c r="C4837" s="1038" t="s">
        <v>10429</v>
      </c>
      <c r="D4837" s="1038" t="s">
        <v>1376</v>
      </c>
      <c r="E4837" s="1038" t="s">
        <v>1390</v>
      </c>
      <c r="F4837" s="1562" t="s">
        <v>528</v>
      </c>
      <c r="G4837" s="1563">
        <v>2.0999999999999999E-3</v>
      </c>
      <c r="H4837" s="1038" t="s">
        <v>10468</v>
      </c>
    </row>
    <row r="4838" spans="2:8">
      <c r="B4838" s="1560">
        <v>46288</v>
      </c>
      <c r="C4838" s="1038" t="s">
        <v>10429</v>
      </c>
      <c r="D4838" s="1038" t="s">
        <v>1375</v>
      </c>
      <c r="E4838" s="1038" t="s">
        <v>3273</v>
      </c>
      <c r="F4838" s="1562" t="s">
        <v>526</v>
      </c>
      <c r="G4838" s="1563">
        <v>3</v>
      </c>
      <c r="H4838" s="1038" t="s">
        <v>10469</v>
      </c>
    </row>
    <row r="4839" spans="2:8">
      <c r="B4839" s="1560">
        <v>46288</v>
      </c>
      <c r="C4839" s="1038" t="s">
        <v>10429</v>
      </c>
      <c r="D4839" s="1038" t="s">
        <v>1375</v>
      </c>
      <c r="E4839" s="1038" t="s">
        <v>3273</v>
      </c>
      <c r="F4839" s="1562" t="s">
        <v>527</v>
      </c>
      <c r="G4839" s="1563">
        <v>4</v>
      </c>
      <c r="H4839" s="1038" t="s">
        <v>10470</v>
      </c>
    </row>
    <row r="4840" spans="2:8">
      <c r="B4840" s="1560">
        <v>46288</v>
      </c>
      <c r="C4840" s="1038" t="s">
        <v>10429</v>
      </c>
      <c r="D4840" s="1038" t="s">
        <v>1375</v>
      </c>
      <c r="E4840" s="1038" t="s">
        <v>3273</v>
      </c>
      <c r="F4840" s="1562" t="s">
        <v>528</v>
      </c>
      <c r="G4840" s="1563">
        <v>3</v>
      </c>
      <c r="H4840" s="1038" t="s">
        <v>10471</v>
      </c>
    </row>
    <row r="4841" spans="2:8">
      <c r="B4841" s="1560">
        <v>46288</v>
      </c>
      <c r="C4841" s="1038" t="s">
        <v>10429</v>
      </c>
      <c r="D4841" s="1038" t="s">
        <v>1376</v>
      </c>
      <c r="E4841" s="1038" t="s">
        <v>1391</v>
      </c>
      <c r="F4841" s="1562" t="s">
        <v>526</v>
      </c>
      <c r="G4841" s="1563"/>
      <c r="H4841" s="1038" t="s">
        <v>10472</v>
      </c>
    </row>
    <row r="4842" spans="2:8">
      <c r="B4842" s="1560">
        <v>46288</v>
      </c>
      <c r="C4842" s="1038" t="s">
        <v>10429</v>
      </c>
      <c r="D4842" s="1038" t="s">
        <v>1376</v>
      </c>
      <c r="E4842" s="1038" t="s">
        <v>1391</v>
      </c>
      <c r="F4842" s="1562" t="s">
        <v>527</v>
      </c>
      <c r="G4842" s="1563"/>
      <c r="H4842" s="1038" t="s">
        <v>10473</v>
      </c>
    </row>
    <row r="4843" spans="2:8">
      <c r="B4843" s="1560">
        <v>46288</v>
      </c>
      <c r="C4843" s="1038" t="s">
        <v>10429</v>
      </c>
      <c r="D4843" s="1038" t="s">
        <v>1376</v>
      </c>
      <c r="E4843" s="1038" t="s">
        <v>1391</v>
      </c>
      <c r="F4843" s="1562" t="s">
        <v>528</v>
      </c>
      <c r="G4843" s="1563">
        <v>7259</v>
      </c>
      <c r="H4843" s="1038" t="s">
        <v>10474</v>
      </c>
    </row>
    <row r="4844" spans="2:8">
      <c r="B4844" s="1560">
        <v>46288</v>
      </c>
      <c r="C4844" s="1038" t="s">
        <v>10429</v>
      </c>
      <c r="D4844" s="1038" t="s">
        <v>1375</v>
      </c>
      <c r="E4844" s="1038" t="s">
        <v>3280</v>
      </c>
      <c r="F4844" s="1562" t="s">
        <v>526</v>
      </c>
      <c r="G4844" s="1563">
        <v>3</v>
      </c>
      <c r="H4844" s="1038" t="s">
        <v>10475</v>
      </c>
    </row>
    <row r="4845" spans="2:8">
      <c r="B4845" s="1560">
        <v>46288</v>
      </c>
      <c r="C4845" s="1038" t="s">
        <v>10429</v>
      </c>
      <c r="D4845" s="1038" t="s">
        <v>1375</v>
      </c>
      <c r="E4845" s="1038" t="s">
        <v>3280</v>
      </c>
      <c r="F4845" s="1562" t="s">
        <v>527</v>
      </c>
      <c r="G4845" s="1563">
        <v>4</v>
      </c>
      <c r="H4845" s="1038" t="s">
        <v>10476</v>
      </c>
    </row>
    <row r="4846" spans="2:8">
      <c r="B4846" s="1560">
        <v>46288</v>
      </c>
      <c r="C4846" s="1038" t="s">
        <v>10429</v>
      </c>
      <c r="D4846" s="1038" t="s">
        <v>1375</v>
      </c>
      <c r="E4846" s="1038" t="s">
        <v>3280</v>
      </c>
      <c r="F4846" s="1562" t="s">
        <v>528</v>
      </c>
      <c r="G4846" s="1563">
        <v>3</v>
      </c>
      <c r="H4846" s="1038" t="s">
        <v>10477</v>
      </c>
    </row>
    <row r="4847" spans="2:8">
      <c r="B4847" s="1560">
        <v>46288</v>
      </c>
      <c r="C4847" s="1038" t="s">
        <v>10429</v>
      </c>
      <c r="D4847" s="1038" t="s">
        <v>1376</v>
      </c>
      <c r="E4847" s="1038" t="s">
        <v>1392</v>
      </c>
      <c r="F4847" s="1562" t="s">
        <v>526</v>
      </c>
      <c r="G4847" s="1563">
        <v>7259</v>
      </c>
      <c r="H4847" s="1038" t="s">
        <v>10478</v>
      </c>
    </row>
    <row r="4848" spans="2:8">
      <c r="B4848" s="1560">
        <v>46288</v>
      </c>
      <c r="C4848" s="1038" t="s">
        <v>10429</v>
      </c>
      <c r="D4848" s="1038" t="s">
        <v>1376</v>
      </c>
      <c r="E4848" s="1038" t="s">
        <v>1392</v>
      </c>
      <c r="F4848" s="1562" t="s">
        <v>527</v>
      </c>
      <c r="G4848" s="1563"/>
      <c r="H4848" s="1038" t="s">
        <v>10479</v>
      </c>
    </row>
    <row r="4849" spans="2:8">
      <c r="B4849" s="1560">
        <v>46288</v>
      </c>
      <c r="C4849" s="1038" t="s">
        <v>10429</v>
      </c>
      <c r="D4849" s="1038" t="s">
        <v>1376</v>
      </c>
      <c r="E4849" s="1038" t="s">
        <v>1392</v>
      </c>
      <c r="F4849" s="1562" t="s">
        <v>528</v>
      </c>
      <c r="G4849" s="1563"/>
      <c r="H4849" s="1038" t="s">
        <v>10480</v>
      </c>
    </row>
    <row r="4850" spans="2:8">
      <c r="B4850" s="1560">
        <v>46288</v>
      </c>
      <c r="C4850" s="1038" t="s">
        <v>10429</v>
      </c>
      <c r="D4850" s="1038" t="s">
        <v>1375</v>
      </c>
      <c r="E4850" s="1038" t="s">
        <v>3287</v>
      </c>
      <c r="F4850" s="1562" t="s">
        <v>526</v>
      </c>
      <c r="G4850" s="1563">
        <v>1</v>
      </c>
      <c r="H4850" s="1038" t="s">
        <v>10481</v>
      </c>
    </row>
    <row r="4851" spans="2:8">
      <c r="B4851" s="1560">
        <v>46288</v>
      </c>
      <c r="C4851" s="1038" t="s">
        <v>10429</v>
      </c>
      <c r="D4851" s="1038" t="s">
        <v>1375</v>
      </c>
      <c r="E4851" s="1038" t="s">
        <v>3287</v>
      </c>
      <c r="F4851" s="1562" t="s">
        <v>527</v>
      </c>
      <c r="G4851" s="1563">
        <v>1</v>
      </c>
      <c r="H4851" s="1038" t="s">
        <v>10482</v>
      </c>
    </row>
    <row r="4852" spans="2:8">
      <c r="B4852" s="1560">
        <v>46288</v>
      </c>
      <c r="C4852" s="1038" t="s">
        <v>10429</v>
      </c>
      <c r="D4852" s="1038" t="s">
        <v>1375</v>
      </c>
      <c r="E4852" s="1038" t="s">
        <v>3287</v>
      </c>
      <c r="F4852" s="1562" t="s">
        <v>528</v>
      </c>
      <c r="G4852" s="1563">
        <v>1</v>
      </c>
      <c r="H4852" s="1038" t="s">
        <v>10483</v>
      </c>
    </row>
    <row r="4853" spans="2:8">
      <c r="B4853" s="1560">
        <v>46288</v>
      </c>
      <c r="C4853" s="1038" t="s">
        <v>10429</v>
      </c>
      <c r="D4853" s="1038" t="s">
        <v>1376</v>
      </c>
      <c r="E4853" s="1038" t="s">
        <v>453</v>
      </c>
      <c r="F4853" s="1562" t="s">
        <v>526</v>
      </c>
      <c r="G4853" s="1563"/>
      <c r="H4853" s="1038" t="s">
        <v>10484</v>
      </c>
    </row>
    <row r="4854" spans="2:8">
      <c r="B4854" s="1560">
        <v>46288</v>
      </c>
      <c r="C4854" s="1038" t="s">
        <v>10429</v>
      </c>
      <c r="D4854" s="1038" t="s">
        <v>1376</v>
      </c>
      <c r="E4854" s="1038" t="s">
        <v>453</v>
      </c>
      <c r="F4854" s="1562" t="s">
        <v>527</v>
      </c>
      <c r="G4854" s="1563"/>
      <c r="H4854" s="1038" t="s">
        <v>10485</v>
      </c>
    </row>
    <row r="4855" spans="2:8">
      <c r="B4855" s="1560">
        <v>46288</v>
      </c>
      <c r="C4855" s="1038" t="s">
        <v>10429</v>
      </c>
      <c r="D4855" s="1038" t="s">
        <v>1376</v>
      </c>
      <c r="E4855" s="1038" t="s">
        <v>453</v>
      </c>
      <c r="F4855" s="1562" t="s">
        <v>528</v>
      </c>
      <c r="G4855" s="1563"/>
      <c r="H4855" s="1038" t="s">
        <v>10486</v>
      </c>
    </row>
    <row r="4856" spans="2:8">
      <c r="B4856" s="1560">
        <v>46288</v>
      </c>
      <c r="C4856" s="1038" t="s">
        <v>10429</v>
      </c>
      <c r="D4856" s="1038" t="s">
        <v>1375</v>
      </c>
      <c r="E4856" s="1038" t="s">
        <v>3291</v>
      </c>
      <c r="F4856" s="1562" t="s">
        <v>526</v>
      </c>
      <c r="G4856" s="1563">
        <v>3</v>
      </c>
      <c r="H4856" s="1038" t="s">
        <v>10487</v>
      </c>
    </row>
    <row r="4857" spans="2:8">
      <c r="B4857" s="1560">
        <v>46288</v>
      </c>
      <c r="C4857" s="1038" t="s">
        <v>10429</v>
      </c>
      <c r="D4857" s="1038" t="s">
        <v>1375</v>
      </c>
      <c r="E4857" s="1038" t="s">
        <v>3291</v>
      </c>
      <c r="F4857" s="1562" t="s">
        <v>527</v>
      </c>
      <c r="G4857" s="1563">
        <v>5</v>
      </c>
      <c r="H4857" s="1038" t="s">
        <v>10488</v>
      </c>
    </row>
    <row r="4858" spans="2:8">
      <c r="B4858" s="1560">
        <v>46288</v>
      </c>
      <c r="C4858" s="1038" t="s">
        <v>10429</v>
      </c>
      <c r="D4858" s="1038" t="s">
        <v>1375</v>
      </c>
      <c r="E4858" s="1038" t="s">
        <v>3291</v>
      </c>
      <c r="F4858" s="1562" t="s">
        <v>528</v>
      </c>
      <c r="G4858" s="1563">
        <v>3</v>
      </c>
      <c r="H4858" s="1038" t="s">
        <v>10489</v>
      </c>
    </row>
    <row r="4859" spans="2:8">
      <c r="B4859" s="1560">
        <v>46288</v>
      </c>
      <c r="C4859" s="1038" t="s">
        <v>10429</v>
      </c>
      <c r="D4859" s="1038" t="s">
        <v>1376</v>
      </c>
      <c r="E4859" s="1038" t="s">
        <v>1394</v>
      </c>
      <c r="F4859" s="1562" t="s">
        <v>526</v>
      </c>
      <c r="G4859" s="1564" t="s">
        <v>2122</v>
      </c>
      <c r="H4859" s="1038" t="s">
        <v>10490</v>
      </c>
    </row>
    <row r="4860" spans="2:8">
      <c r="B4860" s="1560">
        <v>46288</v>
      </c>
      <c r="C4860" s="1038" t="s">
        <v>10429</v>
      </c>
      <c r="D4860" s="1038" t="s">
        <v>1376</v>
      </c>
      <c r="E4860" s="1038" t="s">
        <v>1394</v>
      </c>
      <c r="F4860" s="1562" t="s">
        <v>527</v>
      </c>
      <c r="G4860" s="1564" t="s">
        <v>2144</v>
      </c>
      <c r="H4860" s="1038" t="s">
        <v>10491</v>
      </c>
    </row>
    <row r="4861" spans="2:8">
      <c r="B4861" s="1560">
        <v>46288</v>
      </c>
      <c r="C4861" s="1038" t="s">
        <v>10429</v>
      </c>
      <c r="D4861" s="1038" t="s">
        <v>1376</v>
      </c>
      <c r="E4861" s="1038" t="s">
        <v>1394</v>
      </c>
      <c r="F4861" s="1562" t="s">
        <v>528</v>
      </c>
      <c r="G4861" s="1564" t="s">
        <v>2077</v>
      </c>
      <c r="H4861" s="1038" t="s">
        <v>10492</v>
      </c>
    </row>
    <row r="4862" spans="2:8">
      <c r="B4862" s="1560">
        <v>46288</v>
      </c>
      <c r="C4862" s="1038" t="s">
        <v>10429</v>
      </c>
      <c r="D4862" s="1038" t="s">
        <v>1375</v>
      </c>
      <c r="E4862" s="1038" t="s">
        <v>3298</v>
      </c>
      <c r="F4862" s="1562" t="s">
        <v>526</v>
      </c>
      <c r="G4862" s="1563">
        <v>3</v>
      </c>
      <c r="H4862" s="1038" t="s">
        <v>10493</v>
      </c>
    </row>
    <row r="4863" spans="2:8">
      <c r="B4863" s="1560">
        <v>46288</v>
      </c>
      <c r="C4863" s="1038" t="s">
        <v>10429</v>
      </c>
      <c r="D4863" s="1038" t="s">
        <v>1375</v>
      </c>
      <c r="E4863" s="1038" t="s">
        <v>3298</v>
      </c>
      <c r="F4863" s="1562" t="s">
        <v>527</v>
      </c>
      <c r="G4863" s="1563">
        <v>2</v>
      </c>
      <c r="H4863" s="1038" t="s">
        <v>10494</v>
      </c>
    </row>
    <row r="4864" spans="2:8">
      <c r="B4864" s="1560">
        <v>46288</v>
      </c>
      <c r="C4864" s="1038" t="s">
        <v>10429</v>
      </c>
      <c r="D4864" s="1038" t="s">
        <v>1375</v>
      </c>
      <c r="E4864" s="1038" t="s">
        <v>3298</v>
      </c>
      <c r="F4864" s="1562" t="s">
        <v>528</v>
      </c>
      <c r="G4864" s="1563">
        <v>2</v>
      </c>
      <c r="H4864" s="1038" t="s">
        <v>10495</v>
      </c>
    </row>
    <row r="4865" spans="2:8">
      <c r="B4865" s="1560">
        <v>46288</v>
      </c>
      <c r="C4865" s="1038" t="s">
        <v>10429</v>
      </c>
      <c r="D4865" s="1038" t="s">
        <v>1376</v>
      </c>
      <c r="E4865" s="1038" t="s">
        <v>1398</v>
      </c>
      <c r="F4865" s="1562" t="s">
        <v>526</v>
      </c>
      <c r="G4865" s="1563">
        <v>11</v>
      </c>
      <c r="H4865" s="1038" t="s">
        <v>10496</v>
      </c>
    </row>
    <row r="4866" spans="2:8">
      <c r="B4866" s="1560">
        <v>46288</v>
      </c>
      <c r="C4866" s="1038" t="s">
        <v>10429</v>
      </c>
      <c r="D4866" s="1038" t="s">
        <v>1376</v>
      </c>
      <c r="E4866" s="1038" t="s">
        <v>1398</v>
      </c>
      <c r="F4866" s="1562" t="s">
        <v>527</v>
      </c>
      <c r="G4866" s="1563">
        <v>11</v>
      </c>
      <c r="H4866" s="1038" t="s">
        <v>10497</v>
      </c>
    </row>
    <row r="4867" spans="2:8">
      <c r="B4867" s="1560">
        <v>46288</v>
      </c>
      <c r="C4867" s="1038" t="s">
        <v>10429</v>
      </c>
      <c r="D4867" s="1038" t="s">
        <v>1376</v>
      </c>
      <c r="E4867" s="1038" t="s">
        <v>1398</v>
      </c>
      <c r="F4867" s="1562" t="s">
        <v>528</v>
      </c>
      <c r="G4867" s="1563">
        <v>12</v>
      </c>
      <c r="H4867" s="1038" t="s">
        <v>10498</v>
      </c>
    </row>
    <row r="4868" spans="2:8">
      <c r="B4868" s="1560">
        <v>46288</v>
      </c>
      <c r="C4868" s="1038" t="s">
        <v>10429</v>
      </c>
      <c r="D4868" s="1038" t="s">
        <v>1375</v>
      </c>
      <c r="E4868" s="1038" t="s">
        <v>3305</v>
      </c>
      <c r="F4868" s="1562" t="s">
        <v>526</v>
      </c>
      <c r="G4868" s="1563">
        <v>3</v>
      </c>
      <c r="H4868" s="1038" t="s">
        <v>10499</v>
      </c>
    </row>
    <row r="4869" spans="2:8">
      <c r="B4869" s="1560">
        <v>46288</v>
      </c>
      <c r="C4869" s="1038" t="s">
        <v>10429</v>
      </c>
      <c r="D4869" s="1038" t="s">
        <v>1375</v>
      </c>
      <c r="E4869" s="1038" t="s">
        <v>3305</v>
      </c>
      <c r="F4869" s="1562" t="s">
        <v>527</v>
      </c>
      <c r="G4869" s="1563">
        <v>4</v>
      </c>
      <c r="H4869" s="1038" t="s">
        <v>10500</v>
      </c>
    </row>
    <row r="4870" spans="2:8">
      <c r="B4870" s="1560">
        <v>46288</v>
      </c>
      <c r="C4870" s="1038" t="s">
        <v>10429</v>
      </c>
      <c r="D4870" s="1038" t="s">
        <v>1375</v>
      </c>
      <c r="E4870" s="1038" t="s">
        <v>3305</v>
      </c>
      <c r="F4870" s="1562" t="s">
        <v>528</v>
      </c>
      <c r="G4870" s="1563">
        <v>2</v>
      </c>
      <c r="H4870" s="1038" t="s">
        <v>10501</v>
      </c>
    </row>
    <row r="4871" spans="2:8">
      <c r="B4871" s="1560">
        <v>46288</v>
      </c>
      <c r="C4871" s="1038" t="s">
        <v>10429</v>
      </c>
      <c r="D4871" s="1038" t="s">
        <v>1376</v>
      </c>
      <c r="E4871" s="1038" t="s">
        <v>1399</v>
      </c>
      <c r="F4871" s="1562" t="s">
        <v>526</v>
      </c>
      <c r="G4871" s="1563">
        <v>12</v>
      </c>
      <c r="H4871" s="1038" t="s">
        <v>10502</v>
      </c>
    </row>
    <row r="4872" spans="2:8">
      <c r="B4872" s="1560">
        <v>46288</v>
      </c>
      <c r="C4872" s="1038" t="s">
        <v>10429</v>
      </c>
      <c r="D4872" s="1038" t="s">
        <v>1376</v>
      </c>
      <c r="E4872" s="1038" t="s">
        <v>1399</v>
      </c>
      <c r="F4872" s="1562" t="s">
        <v>527</v>
      </c>
      <c r="G4872" s="1563">
        <v>12</v>
      </c>
      <c r="H4872" s="1038" t="s">
        <v>10503</v>
      </c>
    </row>
    <row r="4873" spans="2:8">
      <c r="B4873" s="1560">
        <v>46288</v>
      </c>
      <c r="C4873" s="1038" t="s">
        <v>10429</v>
      </c>
      <c r="D4873" s="1038" t="s">
        <v>1376</v>
      </c>
      <c r="E4873" s="1038" t="s">
        <v>1399</v>
      </c>
      <c r="F4873" s="1562" t="s">
        <v>528</v>
      </c>
      <c r="G4873" s="1563">
        <v>13</v>
      </c>
      <c r="H4873" s="1038" t="s">
        <v>10504</v>
      </c>
    </row>
    <row r="4874" spans="2:8">
      <c r="B4874" s="1560">
        <v>46288</v>
      </c>
      <c r="C4874" s="1038" t="s">
        <v>10429</v>
      </c>
      <c r="D4874" s="1038" t="s">
        <v>1375</v>
      </c>
      <c r="E4874" s="1038" t="s">
        <v>3312</v>
      </c>
      <c r="F4874" s="1562" t="s">
        <v>526</v>
      </c>
      <c r="G4874" s="1563">
        <v>3</v>
      </c>
      <c r="H4874" s="1038" t="s">
        <v>10505</v>
      </c>
    </row>
    <row r="4875" spans="2:8">
      <c r="B4875" s="1560">
        <v>46288</v>
      </c>
      <c r="C4875" s="1038" t="s">
        <v>10429</v>
      </c>
      <c r="D4875" s="1038" t="s">
        <v>1375</v>
      </c>
      <c r="E4875" s="1038" t="s">
        <v>3312</v>
      </c>
      <c r="F4875" s="1562" t="s">
        <v>527</v>
      </c>
      <c r="G4875" s="1563">
        <v>4</v>
      </c>
      <c r="H4875" s="1038" t="s">
        <v>10506</v>
      </c>
    </row>
    <row r="4876" spans="2:8">
      <c r="B4876" s="1560">
        <v>46288</v>
      </c>
      <c r="C4876" s="1038" t="s">
        <v>10429</v>
      </c>
      <c r="D4876" s="1038" t="s">
        <v>1375</v>
      </c>
      <c r="E4876" s="1038" t="s">
        <v>3312</v>
      </c>
      <c r="F4876" s="1562" t="s">
        <v>528</v>
      </c>
      <c r="G4876" s="1563">
        <v>3</v>
      </c>
      <c r="H4876" s="1038" t="s">
        <v>10507</v>
      </c>
    </row>
    <row r="4877" spans="2:8">
      <c r="B4877" s="1560">
        <v>46288</v>
      </c>
      <c r="C4877" s="1038" t="s">
        <v>10429</v>
      </c>
      <c r="D4877" s="1038" t="s">
        <v>1376</v>
      </c>
      <c r="E4877" s="1038" t="s">
        <v>1400</v>
      </c>
      <c r="F4877" s="1562" t="s">
        <v>526</v>
      </c>
      <c r="G4877" s="1563">
        <v>16</v>
      </c>
      <c r="H4877" s="1038" t="s">
        <v>10508</v>
      </c>
    </row>
    <row r="4878" spans="2:8">
      <c r="B4878" s="1560">
        <v>46288</v>
      </c>
      <c r="C4878" s="1038" t="s">
        <v>10429</v>
      </c>
      <c r="D4878" s="1038" t="s">
        <v>1376</v>
      </c>
      <c r="E4878" s="1038" t="s">
        <v>1400</v>
      </c>
      <c r="F4878" s="1562" t="s">
        <v>527</v>
      </c>
      <c r="G4878" s="1563">
        <v>16</v>
      </c>
      <c r="H4878" s="1038" t="s">
        <v>10509</v>
      </c>
    </row>
    <row r="4879" spans="2:8">
      <c r="B4879" s="1560">
        <v>46288</v>
      </c>
      <c r="C4879" s="1038" t="s">
        <v>10429</v>
      </c>
      <c r="D4879" s="1038" t="s">
        <v>1376</v>
      </c>
      <c r="E4879" s="1038" t="s">
        <v>1400</v>
      </c>
      <c r="F4879" s="1562" t="s">
        <v>528</v>
      </c>
      <c r="G4879" s="1563">
        <v>16</v>
      </c>
      <c r="H4879" s="1038" t="s">
        <v>10510</v>
      </c>
    </row>
    <row r="4880" spans="2:8">
      <c r="B4880" s="1560">
        <v>46288</v>
      </c>
      <c r="C4880" s="1038" t="s">
        <v>10429</v>
      </c>
      <c r="D4880" s="1038" t="s">
        <v>1375</v>
      </c>
      <c r="E4880" s="1038" t="s">
        <v>3319</v>
      </c>
      <c r="F4880" s="1562" t="s">
        <v>526</v>
      </c>
      <c r="G4880" s="1563">
        <v>3</v>
      </c>
      <c r="H4880" s="1038" t="s">
        <v>10511</v>
      </c>
    </row>
    <row r="4881" spans="2:8">
      <c r="B4881" s="1560">
        <v>46288</v>
      </c>
      <c r="C4881" s="1038" t="s">
        <v>10429</v>
      </c>
      <c r="D4881" s="1038" t="s">
        <v>1375</v>
      </c>
      <c r="E4881" s="1038" t="s">
        <v>3319</v>
      </c>
      <c r="F4881" s="1562" t="s">
        <v>527</v>
      </c>
      <c r="G4881" s="1563">
        <v>5</v>
      </c>
      <c r="H4881" s="1038" t="s">
        <v>10512</v>
      </c>
    </row>
    <row r="4882" spans="2:8">
      <c r="B4882" s="1560">
        <v>46288</v>
      </c>
      <c r="C4882" s="1038" t="s">
        <v>10429</v>
      </c>
      <c r="D4882" s="1038" t="s">
        <v>1375</v>
      </c>
      <c r="E4882" s="1038" t="s">
        <v>3319</v>
      </c>
      <c r="F4882" s="1562" t="s">
        <v>528</v>
      </c>
      <c r="G4882" s="1563">
        <v>4</v>
      </c>
      <c r="H4882" s="1038" t="s">
        <v>10513</v>
      </c>
    </row>
    <row r="4883" spans="2:8">
      <c r="B4883" s="1560">
        <v>46288</v>
      </c>
      <c r="C4883" s="1038" t="s">
        <v>10429</v>
      </c>
      <c r="D4883" s="1038" t="s">
        <v>1376</v>
      </c>
      <c r="E4883" s="1038" t="s">
        <v>1401</v>
      </c>
      <c r="F4883" s="1562" t="s">
        <v>526</v>
      </c>
      <c r="G4883" s="1563">
        <v>6.87</v>
      </c>
      <c r="H4883" s="1038" t="s">
        <v>10514</v>
      </c>
    </row>
    <row r="4884" spans="2:8">
      <c r="B4884" s="1560">
        <v>46288</v>
      </c>
      <c r="C4884" s="1038" t="s">
        <v>10429</v>
      </c>
      <c r="D4884" s="1038" t="s">
        <v>1376</v>
      </c>
      <c r="E4884" s="1038" t="s">
        <v>1401</v>
      </c>
      <c r="F4884" s="1562" t="s">
        <v>527</v>
      </c>
      <c r="G4884" s="1563">
        <v>6.53</v>
      </c>
      <c r="H4884" s="1038" t="s">
        <v>10515</v>
      </c>
    </row>
    <row r="4885" spans="2:8">
      <c r="B4885" s="1560">
        <v>46288</v>
      </c>
      <c r="C4885" s="1038" t="s">
        <v>10429</v>
      </c>
      <c r="D4885" s="1038" t="s">
        <v>1376</v>
      </c>
      <c r="E4885" s="1038" t="s">
        <v>1401</v>
      </c>
      <c r="F4885" s="1562" t="s">
        <v>528</v>
      </c>
      <c r="G4885" s="1563">
        <v>7.32</v>
      </c>
      <c r="H4885" s="1038" t="s">
        <v>10516</v>
      </c>
    </row>
    <row r="4886" spans="2:8">
      <c r="B4886" s="1560">
        <v>46288</v>
      </c>
      <c r="C4886" s="1038" t="s">
        <v>10429</v>
      </c>
      <c r="D4886" s="1038" t="s">
        <v>1375</v>
      </c>
      <c r="E4886" s="1038" t="s">
        <v>3326</v>
      </c>
      <c r="F4886" s="1562" t="s">
        <v>526</v>
      </c>
      <c r="G4886" s="1563" t="s">
        <v>1583</v>
      </c>
      <c r="H4886" s="1038" t="s">
        <v>10517</v>
      </c>
    </row>
    <row r="4887" spans="2:8">
      <c r="B4887" s="1560">
        <v>46288</v>
      </c>
      <c r="C4887" s="1038" t="s">
        <v>10429</v>
      </c>
      <c r="D4887" s="1038" t="s">
        <v>1375</v>
      </c>
      <c r="E4887" s="1038" t="s">
        <v>3326</v>
      </c>
      <c r="F4887" s="1562" t="s">
        <v>527</v>
      </c>
      <c r="G4887" s="1563" t="s">
        <v>1583</v>
      </c>
      <c r="H4887" s="1038" t="s">
        <v>10518</v>
      </c>
    </row>
    <row r="4888" spans="2:8">
      <c r="B4888" s="1560">
        <v>46288</v>
      </c>
      <c r="C4888" s="1038" t="s">
        <v>10429</v>
      </c>
      <c r="D4888" s="1038" t="s">
        <v>1375</v>
      </c>
      <c r="E4888" s="1038" t="s">
        <v>3326</v>
      </c>
      <c r="F4888" s="1562" t="s">
        <v>528</v>
      </c>
      <c r="G4888" s="1563" t="s">
        <v>1583</v>
      </c>
      <c r="H4888" s="1038" t="s">
        <v>10519</v>
      </c>
    </row>
    <row r="4889" spans="2:8">
      <c r="B4889" s="1560">
        <v>46288</v>
      </c>
      <c r="C4889" s="1038" t="s">
        <v>10429</v>
      </c>
      <c r="D4889" s="1038" t="s">
        <v>1376</v>
      </c>
      <c r="E4889" s="1038" t="s">
        <v>1403</v>
      </c>
      <c r="F4889" s="1562" t="s">
        <v>526</v>
      </c>
      <c r="G4889" s="1563">
        <v>625</v>
      </c>
      <c r="H4889" s="1038" t="s">
        <v>10520</v>
      </c>
    </row>
    <row r="4890" spans="2:8">
      <c r="B4890" s="1560">
        <v>46288</v>
      </c>
      <c r="C4890" s="1038" t="s">
        <v>10429</v>
      </c>
      <c r="D4890" s="1038" t="s">
        <v>1376</v>
      </c>
      <c r="E4890" s="1038" t="s">
        <v>1403</v>
      </c>
      <c r="F4890" s="1562" t="s">
        <v>527</v>
      </c>
      <c r="G4890" s="1563">
        <v>650</v>
      </c>
      <c r="H4890" s="1038" t="s">
        <v>10521</v>
      </c>
    </row>
    <row r="4891" spans="2:8">
      <c r="B4891" s="1560">
        <v>46288</v>
      </c>
      <c r="C4891" s="1038" t="s">
        <v>10429</v>
      </c>
      <c r="D4891" s="1038" t="s">
        <v>1376</v>
      </c>
      <c r="E4891" s="1038" t="s">
        <v>1403</v>
      </c>
      <c r="F4891" s="1562" t="s">
        <v>528</v>
      </c>
      <c r="G4891" s="1563">
        <v>565</v>
      </c>
      <c r="H4891" s="1038" t="s">
        <v>10522</v>
      </c>
    </row>
    <row r="4892" spans="2:8">
      <c r="B4892" s="1560">
        <v>46288</v>
      </c>
      <c r="C4892" s="1038" t="s">
        <v>10429</v>
      </c>
      <c r="D4892" s="1038" t="s">
        <v>1376</v>
      </c>
      <c r="E4892" s="1038" t="s">
        <v>1404</v>
      </c>
      <c r="F4892" s="1562" t="s">
        <v>526</v>
      </c>
      <c r="G4892" s="1564" t="s">
        <v>2145</v>
      </c>
      <c r="H4892" s="1038" t="s">
        <v>10523</v>
      </c>
    </row>
    <row r="4893" spans="2:8">
      <c r="B4893" s="1560">
        <v>46288</v>
      </c>
      <c r="C4893" s="1038" t="s">
        <v>10429</v>
      </c>
      <c r="D4893" s="1038" t="s">
        <v>1376</v>
      </c>
      <c r="E4893" s="1038" t="s">
        <v>1404</v>
      </c>
      <c r="F4893" s="1562" t="s">
        <v>527</v>
      </c>
      <c r="G4893" s="1563">
        <v>3.65</v>
      </c>
      <c r="H4893" s="1038" t="s">
        <v>10524</v>
      </c>
    </row>
    <row r="4894" spans="2:8">
      <c r="B4894" s="1560">
        <v>46288</v>
      </c>
      <c r="C4894" s="1038" t="s">
        <v>10429</v>
      </c>
      <c r="D4894" s="1038" t="s">
        <v>1376</v>
      </c>
      <c r="E4894" s="1038" t="s">
        <v>1404</v>
      </c>
      <c r="F4894" s="1562" t="s">
        <v>528</v>
      </c>
      <c r="G4894" s="1563">
        <v>3.72</v>
      </c>
      <c r="H4894" s="1038" t="s">
        <v>10525</v>
      </c>
    </row>
    <row r="4895" spans="2:8">
      <c r="B4895" s="1560">
        <v>46288</v>
      </c>
      <c r="C4895" s="1038" t="s">
        <v>10429</v>
      </c>
      <c r="D4895" s="1038" t="s">
        <v>1375</v>
      </c>
      <c r="E4895" s="1038" t="s">
        <v>3336</v>
      </c>
      <c r="F4895" s="1562" t="s">
        <v>526</v>
      </c>
      <c r="G4895" s="1563" t="s">
        <v>1406</v>
      </c>
      <c r="H4895" s="1038" t="s">
        <v>10526</v>
      </c>
    </row>
    <row r="4896" spans="2:8">
      <c r="B4896" s="1560">
        <v>46288</v>
      </c>
      <c r="C4896" s="1038" t="s">
        <v>10429</v>
      </c>
      <c r="D4896" s="1038" t="s">
        <v>1375</v>
      </c>
      <c r="E4896" s="1038" t="s">
        <v>3336</v>
      </c>
      <c r="F4896" s="1562" t="s">
        <v>527</v>
      </c>
      <c r="G4896" s="1563" t="s">
        <v>1406</v>
      </c>
      <c r="H4896" s="1038" t="s">
        <v>10527</v>
      </c>
    </row>
    <row r="4897" spans="2:8">
      <c r="B4897" s="1560">
        <v>46288</v>
      </c>
      <c r="C4897" s="1038" t="s">
        <v>10429</v>
      </c>
      <c r="D4897" s="1038" t="s">
        <v>1375</v>
      </c>
      <c r="E4897" s="1038" t="s">
        <v>3336</v>
      </c>
      <c r="F4897" s="1562" t="s">
        <v>528</v>
      </c>
      <c r="G4897" s="1563" t="s">
        <v>1406</v>
      </c>
      <c r="H4897" s="1038" t="s">
        <v>10528</v>
      </c>
    </row>
    <row r="4898" spans="2:8">
      <c r="B4898" s="1560">
        <v>46288</v>
      </c>
      <c r="C4898" s="1038" t="s">
        <v>10429</v>
      </c>
      <c r="D4898" s="1038" t="s">
        <v>1376</v>
      </c>
      <c r="E4898" s="1038" t="s">
        <v>1407</v>
      </c>
      <c r="F4898" s="1562" t="s">
        <v>526</v>
      </c>
      <c r="G4898" s="1563">
        <v>367</v>
      </c>
      <c r="H4898" s="1038" t="s">
        <v>10529</v>
      </c>
    </row>
    <row r="4899" spans="2:8">
      <c r="B4899" s="1560">
        <v>46288</v>
      </c>
      <c r="C4899" s="1038" t="s">
        <v>10429</v>
      </c>
      <c r="D4899" s="1038" t="s">
        <v>1376</v>
      </c>
      <c r="E4899" s="1038" t="s">
        <v>1407</v>
      </c>
      <c r="F4899" s="1562" t="s">
        <v>527</v>
      </c>
      <c r="G4899" s="1563">
        <v>360</v>
      </c>
      <c r="H4899" s="1038" t="s">
        <v>10530</v>
      </c>
    </row>
    <row r="4900" spans="2:8">
      <c r="B4900" s="1560">
        <v>46288</v>
      </c>
      <c r="C4900" s="1038" t="s">
        <v>10429</v>
      </c>
      <c r="D4900" s="1038" t="s">
        <v>1376</v>
      </c>
      <c r="E4900" s="1038" t="s">
        <v>1407</v>
      </c>
      <c r="F4900" s="1562" t="s">
        <v>528</v>
      </c>
      <c r="G4900" s="1563">
        <v>370</v>
      </c>
      <c r="H4900" s="1038" t="s">
        <v>10531</v>
      </c>
    </row>
    <row r="4901" spans="2:8">
      <c r="B4901" s="1560">
        <v>46288</v>
      </c>
      <c r="C4901" s="1038" t="s">
        <v>10429</v>
      </c>
      <c r="D4901" s="1038" t="s">
        <v>1376</v>
      </c>
      <c r="E4901" s="1038" t="s">
        <v>1408</v>
      </c>
      <c r="F4901" s="1562" t="s">
        <v>526</v>
      </c>
      <c r="G4901" s="1563">
        <v>920</v>
      </c>
      <c r="H4901" s="1038" t="s">
        <v>10532</v>
      </c>
    </row>
    <row r="4902" spans="2:8">
      <c r="B4902" s="1560">
        <v>46288</v>
      </c>
      <c r="C4902" s="1038" t="s">
        <v>10429</v>
      </c>
      <c r="D4902" s="1038" t="s">
        <v>1376</v>
      </c>
      <c r="E4902" s="1038" t="s">
        <v>1408</v>
      </c>
      <c r="F4902" s="1562" t="s">
        <v>527</v>
      </c>
      <c r="G4902" s="1563">
        <v>932</v>
      </c>
      <c r="H4902" s="1038" t="s">
        <v>10533</v>
      </c>
    </row>
    <row r="4903" spans="2:8">
      <c r="B4903" s="1560">
        <v>46288</v>
      </c>
      <c r="C4903" s="1038" t="s">
        <v>10429</v>
      </c>
      <c r="D4903" s="1038" t="s">
        <v>1376</v>
      </c>
      <c r="E4903" s="1038" t="s">
        <v>1408</v>
      </c>
      <c r="F4903" s="1562" t="s">
        <v>528</v>
      </c>
      <c r="G4903" s="1563">
        <v>937</v>
      </c>
      <c r="H4903" s="1038" t="s">
        <v>10534</v>
      </c>
    </row>
    <row r="4904" spans="2:8">
      <c r="B4904" s="1560">
        <v>46288</v>
      </c>
      <c r="C4904" s="1038" t="s">
        <v>10429</v>
      </c>
      <c r="D4904" s="1038" t="s">
        <v>1409</v>
      </c>
      <c r="E4904" s="1038" t="s">
        <v>1411</v>
      </c>
      <c r="F4904" s="1562" t="s">
        <v>526</v>
      </c>
      <c r="G4904" s="1563"/>
      <c r="H4904" s="1038" t="s">
        <v>10535</v>
      </c>
    </row>
    <row r="4905" spans="2:8">
      <c r="B4905" s="1560">
        <v>46288</v>
      </c>
      <c r="C4905" s="1038" t="s">
        <v>10429</v>
      </c>
      <c r="D4905" s="1038" t="s">
        <v>1409</v>
      </c>
      <c r="E4905" s="1038" t="s">
        <v>1411</v>
      </c>
      <c r="F4905" s="1562" t="s">
        <v>527</v>
      </c>
      <c r="G4905" s="1563"/>
      <c r="H4905" s="1038" t="s">
        <v>10536</v>
      </c>
    </row>
    <row r="4906" spans="2:8">
      <c r="B4906" s="1560">
        <v>46288</v>
      </c>
      <c r="C4906" s="1038" t="s">
        <v>10429</v>
      </c>
      <c r="D4906" s="1038" t="s">
        <v>1409</v>
      </c>
      <c r="E4906" s="1038" t="s">
        <v>1411</v>
      </c>
      <c r="F4906" s="1562" t="s">
        <v>528</v>
      </c>
      <c r="G4906" s="1563"/>
      <c r="H4906" s="1038" t="s">
        <v>10537</v>
      </c>
    </row>
    <row r="4907" spans="2:8">
      <c r="B4907" s="1560">
        <v>46288</v>
      </c>
      <c r="C4907" s="1038" t="s">
        <v>10429</v>
      </c>
      <c r="D4907" s="1038" t="s">
        <v>1409</v>
      </c>
      <c r="E4907" s="1038" t="s">
        <v>1413</v>
      </c>
      <c r="F4907" s="1562" t="s">
        <v>526</v>
      </c>
      <c r="G4907" s="1564" t="s">
        <v>2111</v>
      </c>
      <c r="H4907" s="1038" t="s">
        <v>10538</v>
      </c>
    </row>
    <row r="4908" spans="2:8">
      <c r="B4908" s="1560">
        <v>46288</v>
      </c>
      <c r="C4908" s="1038" t="s">
        <v>10429</v>
      </c>
      <c r="D4908" s="1038" t="s">
        <v>1409</v>
      </c>
      <c r="E4908" s="1038" t="s">
        <v>1413</v>
      </c>
      <c r="F4908" s="1562" t="s">
        <v>527</v>
      </c>
      <c r="G4908" s="1564" t="s">
        <v>2035</v>
      </c>
      <c r="H4908" s="1038" t="s">
        <v>10539</v>
      </c>
    </row>
    <row r="4909" spans="2:8">
      <c r="B4909" s="1560">
        <v>46288</v>
      </c>
      <c r="C4909" s="1038" t="s">
        <v>10429</v>
      </c>
      <c r="D4909" s="1038" t="s">
        <v>1409</v>
      </c>
      <c r="E4909" s="1038" t="s">
        <v>1413</v>
      </c>
      <c r="F4909" s="1562" t="s">
        <v>528</v>
      </c>
      <c r="G4909" s="1564" t="s">
        <v>1743</v>
      </c>
      <c r="H4909" s="1038" t="s">
        <v>10540</v>
      </c>
    </row>
    <row r="4910" spans="2:8">
      <c r="B4910" s="1560">
        <v>46288</v>
      </c>
      <c r="C4910" s="1038" t="s">
        <v>10429</v>
      </c>
      <c r="D4910" s="1038" t="s">
        <v>1410</v>
      </c>
      <c r="E4910" s="1038" t="s">
        <v>3352</v>
      </c>
      <c r="F4910" s="1562" t="s">
        <v>526</v>
      </c>
      <c r="G4910" s="1563" t="s">
        <v>1418</v>
      </c>
      <c r="H4910" s="1038" t="s">
        <v>10541</v>
      </c>
    </row>
    <row r="4911" spans="2:8">
      <c r="B4911" s="1560">
        <v>46288</v>
      </c>
      <c r="C4911" s="1038" t="s">
        <v>10429</v>
      </c>
      <c r="D4911" s="1038" t="s">
        <v>1410</v>
      </c>
      <c r="E4911" s="1038" t="s">
        <v>3352</v>
      </c>
      <c r="F4911" s="1562" t="s">
        <v>527</v>
      </c>
      <c r="G4911" s="1563" t="s">
        <v>1418</v>
      </c>
      <c r="H4911" s="1038" t="s">
        <v>10542</v>
      </c>
    </row>
    <row r="4912" spans="2:8">
      <c r="B4912" s="1560">
        <v>46288</v>
      </c>
      <c r="C4912" s="1038" t="s">
        <v>10429</v>
      </c>
      <c r="D4912" s="1038" t="s">
        <v>1410</v>
      </c>
      <c r="E4912" s="1038" t="s">
        <v>3352</v>
      </c>
      <c r="F4912" s="1562" t="s">
        <v>528</v>
      </c>
      <c r="G4912" s="1563" t="s">
        <v>1418</v>
      </c>
      <c r="H4912" s="1038" t="s">
        <v>10543</v>
      </c>
    </row>
    <row r="4913" spans="2:8">
      <c r="B4913" s="1560">
        <v>46288</v>
      </c>
      <c r="C4913" s="1038" t="s">
        <v>10429</v>
      </c>
      <c r="D4913" s="1038" t="s">
        <v>1409</v>
      </c>
      <c r="E4913" s="1038" t="s">
        <v>1420</v>
      </c>
      <c r="F4913" s="1562" t="s">
        <v>526</v>
      </c>
      <c r="G4913" s="1564" t="s">
        <v>2112</v>
      </c>
      <c r="H4913" s="1038" t="s">
        <v>10544</v>
      </c>
    </row>
    <row r="4914" spans="2:8">
      <c r="B4914" s="1560">
        <v>46288</v>
      </c>
      <c r="C4914" s="1038" t="s">
        <v>10429</v>
      </c>
      <c r="D4914" s="1038" t="s">
        <v>1409</v>
      </c>
      <c r="E4914" s="1038" t="s">
        <v>1420</v>
      </c>
      <c r="F4914" s="1562" t="s">
        <v>527</v>
      </c>
      <c r="G4914" s="1564" t="s">
        <v>2036</v>
      </c>
      <c r="H4914" s="1038" t="s">
        <v>10545</v>
      </c>
    </row>
    <row r="4915" spans="2:8">
      <c r="B4915" s="1560">
        <v>46288</v>
      </c>
      <c r="C4915" s="1038" t="s">
        <v>10429</v>
      </c>
      <c r="D4915" s="1038" t="s">
        <v>1409</v>
      </c>
      <c r="E4915" s="1038" t="s">
        <v>1420</v>
      </c>
      <c r="F4915" s="1562" t="s">
        <v>528</v>
      </c>
      <c r="G4915" s="1564" t="s">
        <v>1422</v>
      </c>
      <c r="H4915" s="1038" t="s">
        <v>10546</v>
      </c>
    </row>
    <row r="4916" spans="2:8">
      <c r="B4916" s="1560">
        <v>46288</v>
      </c>
      <c r="C4916" s="1038" t="s">
        <v>10429</v>
      </c>
      <c r="D4916" s="1038" t="s">
        <v>1410</v>
      </c>
      <c r="E4916" s="1038" t="s">
        <v>3359</v>
      </c>
      <c r="F4916" s="1562" t="s">
        <v>526</v>
      </c>
      <c r="G4916" s="1563">
        <v>107</v>
      </c>
      <c r="H4916" s="1038" t="s">
        <v>10547</v>
      </c>
    </row>
    <row r="4917" spans="2:8">
      <c r="B4917" s="1560">
        <v>46288</v>
      </c>
      <c r="C4917" s="1038" t="s">
        <v>10429</v>
      </c>
      <c r="D4917" s="1038" t="s">
        <v>1410</v>
      </c>
      <c r="E4917" s="1038" t="s">
        <v>3359</v>
      </c>
      <c r="F4917" s="1562" t="s">
        <v>527</v>
      </c>
      <c r="G4917" s="1563">
        <v>103</v>
      </c>
      <c r="H4917" s="1038" t="s">
        <v>10548</v>
      </c>
    </row>
    <row r="4918" spans="2:8">
      <c r="B4918" s="1560">
        <v>46288</v>
      </c>
      <c r="C4918" s="1038" t="s">
        <v>10429</v>
      </c>
      <c r="D4918" s="1038" t="s">
        <v>1410</v>
      </c>
      <c r="E4918" s="1038" t="s">
        <v>3359</v>
      </c>
      <c r="F4918" s="1562" t="s">
        <v>528</v>
      </c>
      <c r="G4918" s="1563">
        <v>109</v>
      </c>
      <c r="H4918" s="1038" t="s">
        <v>10549</v>
      </c>
    </row>
    <row r="4919" spans="2:8">
      <c r="B4919" s="1560">
        <v>46288</v>
      </c>
      <c r="C4919" s="1038" t="s">
        <v>10429</v>
      </c>
      <c r="D4919" s="1038" t="s">
        <v>1409</v>
      </c>
      <c r="E4919" s="1038" t="s">
        <v>1424</v>
      </c>
      <c r="F4919" s="1562" t="s">
        <v>526</v>
      </c>
      <c r="G4919" s="1563"/>
      <c r="H4919" s="1038" t="s">
        <v>10550</v>
      </c>
    </row>
    <row r="4920" spans="2:8">
      <c r="B4920" s="1560">
        <v>46288</v>
      </c>
      <c r="C4920" s="1038" t="s">
        <v>10429</v>
      </c>
      <c r="D4920" s="1038" t="s">
        <v>1409</v>
      </c>
      <c r="E4920" s="1038" t="s">
        <v>1424</v>
      </c>
      <c r="F4920" s="1562" t="s">
        <v>527</v>
      </c>
      <c r="G4920" s="1563"/>
      <c r="H4920" s="1038" t="s">
        <v>10551</v>
      </c>
    </row>
    <row r="4921" spans="2:8">
      <c r="B4921" s="1560">
        <v>46288</v>
      </c>
      <c r="C4921" s="1038" t="s">
        <v>10429</v>
      </c>
      <c r="D4921" s="1038" t="s">
        <v>1409</v>
      </c>
      <c r="E4921" s="1038" t="s">
        <v>1424</v>
      </c>
      <c r="F4921" s="1562" t="s">
        <v>528</v>
      </c>
      <c r="G4921" s="1563"/>
      <c r="H4921" s="1038" t="s">
        <v>10552</v>
      </c>
    </row>
    <row r="4922" spans="2:8">
      <c r="B4922" s="1560">
        <v>46288</v>
      </c>
      <c r="C4922" s="1038" t="s">
        <v>10429</v>
      </c>
      <c r="D4922" s="1038" t="s">
        <v>1410</v>
      </c>
      <c r="E4922" s="1038" t="s">
        <v>3366</v>
      </c>
      <c r="F4922" s="1562" t="s">
        <v>526</v>
      </c>
      <c r="G4922" s="1563">
        <v>2782</v>
      </c>
      <c r="H4922" s="1038" t="s">
        <v>10553</v>
      </c>
    </row>
    <row r="4923" spans="2:8">
      <c r="B4923" s="1560">
        <v>46288</v>
      </c>
      <c r="C4923" s="1038" t="s">
        <v>10429</v>
      </c>
      <c r="D4923" s="1038" t="s">
        <v>1410</v>
      </c>
      <c r="E4923" s="1038" t="s">
        <v>3366</v>
      </c>
      <c r="F4923" s="1562" t="s">
        <v>527</v>
      </c>
      <c r="G4923" s="1563">
        <v>2800</v>
      </c>
      <c r="H4923" s="1038" t="s">
        <v>10554</v>
      </c>
    </row>
    <row r="4924" spans="2:8">
      <c r="B4924" s="1560">
        <v>46288</v>
      </c>
      <c r="C4924" s="1038" t="s">
        <v>10429</v>
      </c>
      <c r="D4924" s="1038" t="s">
        <v>1410</v>
      </c>
      <c r="E4924" s="1038" t="s">
        <v>3366</v>
      </c>
      <c r="F4924" s="1562" t="s">
        <v>528</v>
      </c>
      <c r="G4924" s="1563">
        <v>2810</v>
      </c>
      <c r="H4924" s="1038" t="s">
        <v>10555</v>
      </c>
    </row>
    <row r="4925" spans="2:8">
      <c r="B4925" s="1560">
        <v>46288</v>
      </c>
      <c r="C4925" s="1038" t="s">
        <v>10429</v>
      </c>
      <c r="D4925" s="1038" t="s">
        <v>1410</v>
      </c>
      <c r="E4925" s="1038" t="s">
        <v>3370</v>
      </c>
      <c r="F4925" s="1562" t="s">
        <v>526</v>
      </c>
      <c r="G4925" s="1563" t="s">
        <v>1427</v>
      </c>
      <c r="H4925" s="1038" t="s">
        <v>10556</v>
      </c>
    </row>
    <row r="4926" spans="2:8">
      <c r="B4926" s="1560">
        <v>46288</v>
      </c>
      <c r="C4926" s="1038" t="s">
        <v>10429</v>
      </c>
      <c r="D4926" s="1038" t="s">
        <v>1410</v>
      </c>
      <c r="E4926" s="1038" t="s">
        <v>3370</v>
      </c>
      <c r="F4926" s="1562" t="s">
        <v>527</v>
      </c>
      <c r="G4926" s="1563" t="s">
        <v>1427</v>
      </c>
      <c r="H4926" s="1038" t="s">
        <v>10557</v>
      </c>
    </row>
    <row r="4927" spans="2:8">
      <c r="B4927" s="1560">
        <v>46288</v>
      </c>
      <c r="C4927" s="1038" t="s">
        <v>10429</v>
      </c>
      <c r="D4927" s="1038" t="s">
        <v>1410</v>
      </c>
      <c r="E4927" s="1038" t="s">
        <v>3370</v>
      </c>
      <c r="F4927" s="1562" t="s">
        <v>528</v>
      </c>
      <c r="G4927" s="1563" t="s">
        <v>1427</v>
      </c>
      <c r="H4927" s="1038" t="s">
        <v>10558</v>
      </c>
    </row>
    <row r="4928" spans="2:8">
      <c r="B4928" s="1560">
        <v>46288</v>
      </c>
      <c r="C4928" s="1038" t="s">
        <v>10429</v>
      </c>
      <c r="D4928" s="1038" t="s">
        <v>1410</v>
      </c>
      <c r="E4928" s="1038" t="s">
        <v>3374</v>
      </c>
      <c r="F4928" s="1562" t="s">
        <v>526</v>
      </c>
      <c r="G4928" s="1563">
        <v>1.9</v>
      </c>
      <c r="H4928" s="1038" t="s">
        <v>10559</v>
      </c>
    </row>
    <row r="4929" spans="2:8">
      <c r="B4929" s="1560">
        <v>46288</v>
      </c>
      <c r="C4929" s="1038" t="s">
        <v>10429</v>
      </c>
      <c r="D4929" s="1038" t="s">
        <v>1410</v>
      </c>
      <c r="E4929" s="1038" t="s">
        <v>3374</v>
      </c>
      <c r="F4929" s="1562" t="s">
        <v>527</v>
      </c>
      <c r="G4929" s="1563">
        <v>3</v>
      </c>
      <c r="H4929" s="1038" t="s">
        <v>10560</v>
      </c>
    </row>
    <row r="4930" spans="2:8">
      <c r="B4930" s="1560">
        <v>46288</v>
      </c>
      <c r="C4930" s="1038" t="s">
        <v>10429</v>
      </c>
      <c r="D4930" s="1038" t="s">
        <v>1410</v>
      </c>
      <c r="E4930" s="1038" t="s">
        <v>3374</v>
      </c>
      <c r="F4930" s="1562" t="s">
        <v>528</v>
      </c>
      <c r="G4930" s="1563">
        <v>2.48</v>
      </c>
      <c r="H4930" s="1038" t="s">
        <v>10561</v>
      </c>
    </row>
    <row r="4931" spans="2:8">
      <c r="B4931" s="1560">
        <v>46288</v>
      </c>
      <c r="C4931" s="1038" t="s">
        <v>10429</v>
      </c>
      <c r="D4931" s="1038" t="s">
        <v>1410</v>
      </c>
      <c r="E4931" s="1038" t="s">
        <v>3378</v>
      </c>
      <c r="F4931" s="1562" t="s">
        <v>526</v>
      </c>
      <c r="G4931" s="1563" t="s">
        <v>1430</v>
      </c>
      <c r="H4931" s="1038" t="s">
        <v>10562</v>
      </c>
    </row>
    <row r="4932" spans="2:8">
      <c r="B4932" s="1560">
        <v>46288</v>
      </c>
      <c r="C4932" s="1038" t="s">
        <v>10429</v>
      </c>
      <c r="D4932" s="1038" t="s">
        <v>1410</v>
      </c>
      <c r="E4932" s="1038" t="s">
        <v>3378</v>
      </c>
      <c r="F4932" s="1562" t="s">
        <v>527</v>
      </c>
      <c r="G4932" s="1563" t="s">
        <v>1430</v>
      </c>
      <c r="H4932" s="1038" t="s">
        <v>10563</v>
      </c>
    </row>
    <row r="4933" spans="2:8">
      <c r="B4933" s="1560">
        <v>46288</v>
      </c>
      <c r="C4933" s="1038" t="s">
        <v>10429</v>
      </c>
      <c r="D4933" s="1038" t="s">
        <v>1410</v>
      </c>
      <c r="E4933" s="1038" t="s">
        <v>3378</v>
      </c>
      <c r="F4933" s="1562" t="s">
        <v>528</v>
      </c>
      <c r="G4933" s="1563" t="s">
        <v>1430</v>
      </c>
      <c r="H4933" s="1038" t="s">
        <v>10564</v>
      </c>
    </row>
    <row r="4934" spans="2:8">
      <c r="B4934" s="1560">
        <v>46288</v>
      </c>
      <c r="C4934" s="1038" t="s">
        <v>10429</v>
      </c>
      <c r="D4934" s="1038" t="s">
        <v>1410</v>
      </c>
      <c r="E4934" s="1038" t="s">
        <v>3382</v>
      </c>
      <c r="F4934" s="1562" t="s">
        <v>526</v>
      </c>
      <c r="G4934" s="1563">
        <v>98</v>
      </c>
      <c r="H4934" s="1038" t="s">
        <v>10565</v>
      </c>
    </row>
    <row r="4935" spans="2:8">
      <c r="B4935" s="1560">
        <v>46288</v>
      </c>
      <c r="C4935" s="1038" t="s">
        <v>10429</v>
      </c>
      <c r="D4935" s="1038" t="s">
        <v>1410</v>
      </c>
      <c r="E4935" s="1038" t="s">
        <v>3382</v>
      </c>
      <c r="F4935" s="1562" t="s">
        <v>527</v>
      </c>
      <c r="G4935" s="1563">
        <v>35</v>
      </c>
      <c r="H4935" s="1038" t="s">
        <v>10566</v>
      </c>
    </row>
    <row r="4936" spans="2:8">
      <c r="B4936" s="1560">
        <v>46288</v>
      </c>
      <c r="C4936" s="1038" t="s">
        <v>10429</v>
      </c>
      <c r="D4936" s="1038" t="s">
        <v>1410</v>
      </c>
      <c r="E4936" s="1038" t="s">
        <v>3382</v>
      </c>
      <c r="F4936" s="1562" t="s">
        <v>528</v>
      </c>
      <c r="G4936" s="1563">
        <v>90</v>
      </c>
      <c r="H4936" s="1038" t="s">
        <v>10567</v>
      </c>
    </row>
    <row r="4937" spans="2:8">
      <c r="B4937" s="1560">
        <v>46288</v>
      </c>
      <c r="C4937" s="1038" t="s">
        <v>10429</v>
      </c>
      <c r="D4937" s="1038" t="s">
        <v>1409</v>
      </c>
      <c r="E4937" s="1038" t="s">
        <v>1431</v>
      </c>
      <c r="F4937" s="1562" t="s">
        <v>526</v>
      </c>
      <c r="G4937" s="1563"/>
      <c r="H4937" s="1038" t="s">
        <v>10568</v>
      </c>
    </row>
    <row r="4938" spans="2:8">
      <c r="B4938" s="1560">
        <v>46288</v>
      </c>
      <c r="C4938" s="1038" t="s">
        <v>10429</v>
      </c>
      <c r="D4938" s="1038" t="s">
        <v>1409</v>
      </c>
      <c r="E4938" s="1038" t="s">
        <v>1431</v>
      </c>
      <c r="F4938" s="1562" t="s">
        <v>527</v>
      </c>
      <c r="G4938" s="1563"/>
      <c r="H4938" s="1038" t="s">
        <v>10569</v>
      </c>
    </row>
    <row r="4939" spans="2:8">
      <c r="B4939" s="1560">
        <v>46288</v>
      </c>
      <c r="C4939" s="1038" t="s">
        <v>10429</v>
      </c>
      <c r="D4939" s="1038" t="s">
        <v>1409</v>
      </c>
      <c r="E4939" s="1038" t="s">
        <v>1431</v>
      </c>
      <c r="F4939" s="1562" t="s">
        <v>528</v>
      </c>
      <c r="G4939" s="1563"/>
      <c r="H4939" s="1038" t="s">
        <v>10570</v>
      </c>
    </row>
    <row r="4940" spans="2:8">
      <c r="B4940" s="1560">
        <v>46288</v>
      </c>
      <c r="C4940" s="1038" t="s">
        <v>10429</v>
      </c>
      <c r="D4940" s="1038" t="s">
        <v>1410</v>
      </c>
      <c r="E4940" s="1038" t="s">
        <v>3389</v>
      </c>
      <c r="F4940" s="1562" t="s">
        <v>526</v>
      </c>
      <c r="G4940" s="1563">
        <v>2755</v>
      </c>
      <c r="H4940" s="1038" t="s">
        <v>10571</v>
      </c>
    </row>
    <row r="4941" spans="2:8">
      <c r="B4941" s="1560">
        <v>46288</v>
      </c>
      <c r="C4941" s="1038" t="s">
        <v>10429</v>
      </c>
      <c r="D4941" s="1038" t="s">
        <v>1410</v>
      </c>
      <c r="E4941" s="1038" t="s">
        <v>3389</v>
      </c>
      <c r="F4941" s="1562" t="s">
        <v>527</v>
      </c>
      <c r="G4941" s="1563">
        <v>100</v>
      </c>
      <c r="H4941" s="1038" t="s">
        <v>10572</v>
      </c>
    </row>
    <row r="4942" spans="2:8">
      <c r="B4942" s="1560">
        <v>46288</v>
      </c>
      <c r="C4942" s="1038" t="s">
        <v>10429</v>
      </c>
      <c r="D4942" s="1038" t="s">
        <v>1410</v>
      </c>
      <c r="E4942" s="1038" t="s">
        <v>3389</v>
      </c>
      <c r="F4942" s="1562" t="s">
        <v>528</v>
      </c>
      <c r="G4942" s="1563">
        <v>2605</v>
      </c>
      <c r="H4942" s="1038" t="s">
        <v>10573</v>
      </c>
    </row>
    <row r="4943" spans="2:8">
      <c r="B4943" s="1560">
        <v>46288</v>
      </c>
      <c r="C4943" s="1038" t="s">
        <v>10429</v>
      </c>
      <c r="D4943" s="1038" t="s">
        <v>1410</v>
      </c>
      <c r="E4943" s="1038" t="s">
        <v>3393</v>
      </c>
      <c r="F4943" s="1562" t="s">
        <v>526</v>
      </c>
      <c r="G4943" s="1563" t="s">
        <v>1663</v>
      </c>
      <c r="H4943" s="1038" t="s">
        <v>10574</v>
      </c>
    </row>
    <row r="4944" spans="2:8">
      <c r="B4944" s="1560">
        <v>46288</v>
      </c>
      <c r="C4944" s="1038" t="s">
        <v>10429</v>
      </c>
      <c r="D4944" s="1038" t="s">
        <v>1410</v>
      </c>
      <c r="E4944" s="1038" t="s">
        <v>3393</v>
      </c>
      <c r="F4944" s="1562" t="s">
        <v>527</v>
      </c>
      <c r="G4944" s="1563" t="s">
        <v>1663</v>
      </c>
      <c r="H4944" s="1038" t="s">
        <v>10575</v>
      </c>
    </row>
    <row r="4945" spans="2:8">
      <c r="B4945" s="1560">
        <v>46288</v>
      </c>
      <c r="C4945" s="1038" t="s">
        <v>10429</v>
      </c>
      <c r="D4945" s="1038" t="s">
        <v>1410</v>
      </c>
      <c r="E4945" s="1038" t="s">
        <v>3393</v>
      </c>
      <c r="F4945" s="1562" t="s">
        <v>528</v>
      </c>
      <c r="G4945" s="1563" t="s">
        <v>1663</v>
      </c>
      <c r="H4945" s="1038" t="s">
        <v>10576</v>
      </c>
    </row>
    <row r="4946" spans="2:8">
      <c r="B4946" s="1560">
        <v>46288</v>
      </c>
      <c r="C4946" s="1038" t="s">
        <v>10429</v>
      </c>
      <c r="D4946" s="1038" t="s">
        <v>1410</v>
      </c>
      <c r="E4946" s="1038" t="s">
        <v>3397</v>
      </c>
      <c r="F4946" s="1562" t="s">
        <v>526</v>
      </c>
      <c r="G4946" s="1563" t="s">
        <v>1435</v>
      </c>
      <c r="H4946" s="1038" t="s">
        <v>10577</v>
      </c>
    </row>
    <row r="4947" spans="2:8">
      <c r="B4947" s="1560">
        <v>46288</v>
      </c>
      <c r="C4947" s="1038" t="s">
        <v>10429</v>
      </c>
      <c r="D4947" s="1038" t="s">
        <v>1410</v>
      </c>
      <c r="E4947" s="1038" t="s">
        <v>3397</v>
      </c>
      <c r="F4947" s="1562" t="s">
        <v>527</v>
      </c>
      <c r="G4947" s="1563" t="s">
        <v>1435</v>
      </c>
      <c r="H4947" s="1038" t="s">
        <v>10578</v>
      </c>
    </row>
    <row r="4948" spans="2:8">
      <c r="B4948" s="1560">
        <v>46288</v>
      </c>
      <c r="C4948" s="1038" t="s">
        <v>10429</v>
      </c>
      <c r="D4948" s="1038" t="s">
        <v>1410</v>
      </c>
      <c r="E4948" s="1038" t="s">
        <v>3397</v>
      </c>
      <c r="F4948" s="1562" t="s">
        <v>528</v>
      </c>
      <c r="G4948" s="1563" t="s">
        <v>1435</v>
      </c>
      <c r="H4948" s="1038" t="s">
        <v>10579</v>
      </c>
    </row>
    <row r="4949" spans="2:8">
      <c r="B4949" s="1560">
        <v>46288</v>
      </c>
      <c r="C4949" s="1038" t="s">
        <v>10429</v>
      </c>
      <c r="D4949" s="1038" t="s">
        <v>1434</v>
      </c>
      <c r="E4949" s="1038" t="s">
        <v>42</v>
      </c>
      <c r="F4949" s="1562" t="s">
        <v>526</v>
      </c>
      <c r="G4949" s="1563" t="s">
        <v>10580</v>
      </c>
      <c r="H4949" s="1038" t="s">
        <v>10581</v>
      </c>
    </row>
    <row r="4950" spans="2:8">
      <c r="B4950" s="1560">
        <v>46288</v>
      </c>
      <c r="C4950" s="1038" t="s">
        <v>10429</v>
      </c>
      <c r="D4950" s="1038" t="s">
        <v>1434</v>
      </c>
      <c r="E4950" s="1038" t="s">
        <v>42</v>
      </c>
      <c r="F4950" s="1562" t="s">
        <v>527</v>
      </c>
      <c r="G4950" s="1563" t="s">
        <v>10580</v>
      </c>
      <c r="H4950" s="1038" t="s">
        <v>10582</v>
      </c>
    </row>
    <row r="4951" spans="2:8">
      <c r="B4951" s="1560">
        <v>46288</v>
      </c>
      <c r="C4951" s="1038" t="s">
        <v>10429</v>
      </c>
      <c r="D4951" s="1038" t="s">
        <v>1434</v>
      </c>
      <c r="E4951" s="1038" t="s">
        <v>42</v>
      </c>
      <c r="F4951" s="1562" t="s">
        <v>528</v>
      </c>
      <c r="G4951" s="1563" t="s">
        <v>10580</v>
      </c>
      <c r="H4951" s="1038" t="s">
        <v>10583</v>
      </c>
    </row>
    <row r="4952" spans="2:8">
      <c r="B4952" s="1560">
        <v>46288</v>
      </c>
      <c r="C4952" s="1038" t="s">
        <v>10429</v>
      </c>
      <c r="D4952" s="1038" t="s">
        <v>1410</v>
      </c>
      <c r="E4952" s="1038" t="s">
        <v>3404</v>
      </c>
      <c r="F4952" s="1562" t="s">
        <v>526</v>
      </c>
      <c r="G4952" s="1563" t="s">
        <v>1438</v>
      </c>
      <c r="H4952" s="1038" t="s">
        <v>10584</v>
      </c>
    </row>
    <row r="4953" spans="2:8">
      <c r="B4953" s="1560">
        <v>46288</v>
      </c>
      <c r="C4953" s="1038" t="s">
        <v>10429</v>
      </c>
      <c r="D4953" s="1038" t="s">
        <v>1410</v>
      </c>
      <c r="E4953" s="1038" t="s">
        <v>3404</v>
      </c>
      <c r="F4953" s="1562" t="s">
        <v>527</v>
      </c>
      <c r="G4953" s="1563" t="s">
        <v>1438</v>
      </c>
      <c r="H4953" s="1038" t="s">
        <v>10585</v>
      </c>
    </row>
    <row r="4954" spans="2:8">
      <c r="B4954" s="1560">
        <v>46288</v>
      </c>
      <c r="C4954" s="1038" t="s">
        <v>10429</v>
      </c>
      <c r="D4954" s="1038" t="s">
        <v>1410</v>
      </c>
      <c r="E4954" s="1038" t="s">
        <v>3404</v>
      </c>
      <c r="F4954" s="1562" t="s">
        <v>528</v>
      </c>
      <c r="G4954" s="1563" t="s">
        <v>1419</v>
      </c>
      <c r="H4954" s="1038" t="s">
        <v>10586</v>
      </c>
    </row>
    <row r="4955" spans="2:8">
      <c r="B4955" s="1560">
        <v>46288</v>
      </c>
      <c r="C4955" s="1038" t="s">
        <v>10429</v>
      </c>
      <c r="D4955" s="1038" t="s">
        <v>1434</v>
      </c>
      <c r="E4955" s="1038" t="s">
        <v>1439</v>
      </c>
      <c r="F4955" s="1562" t="s">
        <v>526</v>
      </c>
      <c r="G4955" s="1563" t="s">
        <v>9412</v>
      </c>
      <c r="H4955" s="1038" t="s">
        <v>10587</v>
      </c>
    </row>
    <row r="4956" spans="2:8">
      <c r="B4956" s="1560">
        <v>46288</v>
      </c>
      <c r="C4956" s="1038" t="s">
        <v>10429</v>
      </c>
      <c r="D4956" s="1038" t="s">
        <v>1434</v>
      </c>
      <c r="E4956" s="1038" t="s">
        <v>1439</v>
      </c>
      <c r="F4956" s="1562" t="s">
        <v>527</v>
      </c>
      <c r="G4956" s="1563" t="s">
        <v>9412</v>
      </c>
      <c r="H4956" s="1038" t="s">
        <v>10588</v>
      </c>
    </row>
    <row r="4957" spans="2:8">
      <c r="B4957" s="1560">
        <v>46288</v>
      </c>
      <c r="C4957" s="1038" t="s">
        <v>10429</v>
      </c>
      <c r="D4957" s="1038" t="s">
        <v>1434</v>
      </c>
      <c r="E4957" s="1038" t="s">
        <v>1439</v>
      </c>
      <c r="F4957" s="1562" t="s">
        <v>528</v>
      </c>
      <c r="G4957" s="1563" t="s">
        <v>9412</v>
      </c>
      <c r="H4957" s="1038" t="s">
        <v>10589</v>
      </c>
    </row>
    <row r="4958" spans="2:8">
      <c r="B4958" s="1560">
        <v>46288</v>
      </c>
      <c r="C4958" s="1038" t="s">
        <v>10429</v>
      </c>
      <c r="D4958" s="1038" t="s">
        <v>1410</v>
      </c>
      <c r="E4958" s="1038" t="s">
        <v>3411</v>
      </c>
      <c r="F4958" s="1562" t="s">
        <v>526</v>
      </c>
      <c r="G4958" s="1563">
        <v>34</v>
      </c>
      <c r="H4958" s="1038" t="s">
        <v>10590</v>
      </c>
    </row>
    <row r="4959" spans="2:8">
      <c r="B4959" s="1560">
        <v>46288</v>
      </c>
      <c r="C4959" s="1038" t="s">
        <v>10429</v>
      </c>
      <c r="D4959" s="1038" t="s">
        <v>1410</v>
      </c>
      <c r="E4959" s="1038" t="s">
        <v>3411</v>
      </c>
      <c r="F4959" s="1562" t="s">
        <v>527</v>
      </c>
      <c r="G4959" s="1563">
        <v>35</v>
      </c>
      <c r="H4959" s="1038" t="s">
        <v>10591</v>
      </c>
    </row>
    <row r="4960" spans="2:8">
      <c r="B4960" s="1560">
        <v>46288</v>
      </c>
      <c r="C4960" s="1038" t="s">
        <v>10429</v>
      </c>
      <c r="D4960" s="1038" t="s">
        <v>1410</v>
      </c>
      <c r="E4960" s="1038" t="s">
        <v>3411</v>
      </c>
      <c r="F4960" s="1562" t="s">
        <v>528</v>
      </c>
      <c r="G4960" s="1563">
        <v>37</v>
      </c>
      <c r="H4960" s="1038" t="s">
        <v>10592</v>
      </c>
    </row>
    <row r="4961" spans="2:8">
      <c r="B4961" s="1560">
        <v>46288</v>
      </c>
      <c r="C4961" s="1038" t="s">
        <v>10429</v>
      </c>
      <c r="D4961" s="1038" t="s">
        <v>1434</v>
      </c>
      <c r="E4961" s="1038" t="s">
        <v>43</v>
      </c>
      <c r="F4961" s="1562" t="s">
        <v>526</v>
      </c>
      <c r="G4961" s="1563" t="s">
        <v>10593</v>
      </c>
      <c r="H4961" s="1038" t="s">
        <v>10594</v>
      </c>
    </row>
    <row r="4962" spans="2:8">
      <c r="B4962" s="1560">
        <v>46288</v>
      </c>
      <c r="C4962" s="1038" t="s">
        <v>10429</v>
      </c>
      <c r="D4962" s="1038" t="s">
        <v>1434</v>
      </c>
      <c r="E4962" s="1038" t="s">
        <v>43</v>
      </c>
      <c r="F4962" s="1562" t="s">
        <v>527</v>
      </c>
      <c r="G4962" s="1563" t="s">
        <v>10593</v>
      </c>
      <c r="H4962" s="1038" t="s">
        <v>10595</v>
      </c>
    </row>
    <row r="4963" spans="2:8">
      <c r="B4963" s="1560">
        <v>46288</v>
      </c>
      <c r="C4963" s="1038" t="s">
        <v>10429</v>
      </c>
      <c r="D4963" s="1038" t="s">
        <v>1434</v>
      </c>
      <c r="E4963" s="1038" t="s">
        <v>43</v>
      </c>
      <c r="F4963" s="1562" t="s">
        <v>528</v>
      </c>
      <c r="G4963" s="1563" t="s">
        <v>10593</v>
      </c>
      <c r="H4963" s="1038" t="s">
        <v>10596</v>
      </c>
    </row>
    <row r="4964" spans="2:8">
      <c r="B4964" s="1560">
        <v>46288</v>
      </c>
      <c r="C4964" s="1038" t="s">
        <v>10429</v>
      </c>
      <c r="D4964" s="1038" t="s">
        <v>1410</v>
      </c>
      <c r="E4964" s="1038" t="s">
        <v>3418</v>
      </c>
      <c r="F4964" s="1562" t="s">
        <v>526</v>
      </c>
      <c r="G4964" s="1563">
        <v>100</v>
      </c>
      <c r="H4964" s="1038" t="s">
        <v>10597</v>
      </c>
    </row>
    <row r="4965" spans="2:8">
      <c r="B4965" s="1560">
        <v>46288</v>
      </c>
      <c r="C4965" s="1038" t="s">
        <v>10429</v>
      </c>
      <c r="D4965" s="1038" t="s">
        <v>1410</v>
      </c>
      <c r="E4965" s="1038" t="s">
        <v>3418</v>
      </c>
      <c r="F4965" s="1562" t="s">
        <v>527</v>
      </c>
      <c r="G4965" s="1563">
        <v>100</v>
      </c>
      <c r="H4965" s="1038" t="s">
        <v>10598</v>
      </c>
    </row>
    <row r="4966" spans="2:8">
      <c r="B4966" s="1560">
        <v>46288</v>
      </c>
      <c r="C4966" s="1038" t="s">
        <v>10429</v>
      </c>
      <c r="D4966" s="1038" t="s">
        <v>1410</v>
      </c>
      <c r="E4966" s="1038" t="s">
        <v>3418</v>
      </c>
      <c r="F4966" s="1562" t="s">
        <v>528</v>
      </c>
      <c r="G4966" s="1563">
        <v>97</v>
      </c>
      <c r="H4966" s="1038" t="s">
        <v>10599</v>
      </c>
    </row>
    <row r="4967" spans="2:8">
      <c r="B4967" s="1560">
        <v>46288</v>
      </c>
      <c r="C4967" s="1038" t="s">
        <v>10429</v>
      </c>
      <c r="D4967" s="1038" t="s">
        <v>1434</v>
      </c>
      <c r="E4967" s="1038" t="s">
        <v>1441</v>
      </c>
      <c r="F4967" s="1562" t="s">
        <v>526</v>
      </c>
      <c r="G4967" s="1563"/>
      <c r="H4967" s="1038" t="s">
        <v>10600</v>
      </c>
    </row>
    <row r="4968" spans="2:8">
      <c r="B4968" s="1560">
        <v>46288</v>
      </c>
      <c r="C4968" s="1038" t="s">
        <v>10429</v>
      </c>
      <c r="D4968" s="1038" t="s">
        <v>1434</v>
      </c>
      <c r="E4968" s="1038" t="s">
        <v>1441</v>
      </c>
      <c r="F4968" s="1562" t="s">
        <v>527</v>
      </c>
      <c r="G4968" s="1563"/>
      <c r="H4968" s="1038" t="s">
        <v>10601</v>
      </c>
    </row>
    <row r="4969" spans="2:8">
      <c r="B4969" s="1560">
        <v>46288</v>
      </c>
      <c r="C4969" s="1038" t="s">
        <v>10429</v>
      </c>
      <c r="D4969" s="1038" t="s">
        <v>1434</v>
      </c>
      <c r="E4969" s="1038" t="s">
        <v>1441</v>
      </c>
      <c r="F4969" s="1562" t="s">
        <v>528</v>
      </c>
      <c r="G4969" s="1563"/>
      <c r="H4969" s="1038" t="s">
        <v>10602</v>
      </c>
    </row>
    <row r="4970" spans="2:8">
      <c r="B4970" s="1560">
        <v>46288</v>
      </c>
      <c r="C4970" s="1038" t="s">
        <v>10429</v>
      </c>
      <c r="D4970" s="1038" t="s">
        <v>1410</v>
      </c>
      <c r="E4970" s="1038" t="s">
        <v>3425</v>
      </c>
      <c r="F4970" s="1562" t="s">
        <v>526</v>
      </c>
      <c r="G4970" s="1563" t="s">
        <v>1443</v>
      </c>
      <c r="H4970" s="1038" t="s">
        <v>10603</v>
      </c>
    </row>
    <row r="4971" spans="2:8">
      <c r="B4971" s="1560">
        <v>46288</v>
      </c>
      <c r="C4971" s="1038" t="s">
        <v>10429</v>
      </c>
      <c r="D4971" s="1038" t="s">
        <v>1410</v>
      </c>
      <c r="E4971" s="1038" t="s">
        <v>3425</v>
      </c>
      <c r="F4971" s="1562" t="s">
        <v>527</v>
      </c>
      <c r="G4971" s="1563" t="s">
        <v>1443</v>
      </c>
      <c r="H4971" s="1038" t="s">
        <v>10604</v>
      </c>
    </row>
    <row r="4972" spans="2:8">
      <c r="B4972" s="1560">
        <v>46288</v>
      </c>
      <c r="C4972" s="1038" t="s">
        <v>10429</v>
      </c>
      <c r="D4972" s="1038" t="s">
        <v>1410</v>
      </c>
      <c r="E4972" s="1038" t="s">
        <v>3425</v>
      </c>
      <c r="F4972" s="1562" t="s">
        <v>528</v>
      </c>
      <c r="G4972" s="1563" t="s">
        <v>1443</v>
      </c>
      <c r="H4972" s="1038" t="s">
        <v>10605</v>
      </c>
    </row>
    <row r="4973" spans="2:8">
      <c r="B4973" s="1560">
        <v>46288</v>
      </c>
      <c r="C4973" s="1038" t="s">
        <v>10429</v>
      </c>
      <c r="D4973" s="1038" t="s">
        <v>1434</v>
      </c>
      <c r="E4973" s="1038" t="s">
        <v>1444</v>
      </c>
      <c r="F4973" s="1562" t="s">
        <v>526</v>
      </c>
      <c r="G4973" s="1563"/>
      <c r="H4973" s="1038" t="s">
        <v>10606</v>
      </c>
    </row>
    <row r="4974" spans="2:8">
      <c r="B4974" s="1560">
        <v>46288</v>
      </c>
      <c r="C4974" s="1038" t="s">
        <v>10429</v>
      </c>
      <c r="D4974" s="1038" t="s">
        <v>1434</v>
      </c>
      <c r="E4974" s="1038" t="s">
        <v>1444</v>
      </c>
      <c r="F4974" s="1562" t="s">
        <v>527</v>
      </c>
      <c r="G4974" s="1563"/>
      <c r="H4974" s="1038" t="s">
        <v>10607</v>
      </c>
    </row>
    <row r="4975" spans="2:8">
      <c r="B4975" s="1560">
        <v>46288</v>
      </c>
      <c r="C4975" s="1038" t="s">
        <v>10429</v>
      </c>
      <c r="D4975" s="1038" t="s">
        <v>1434</v>
      </c>
      <c r="E4975" s="1038" t="s">
        <v>1444</v>
      </c>
      <c r="F4975" s="1562" t="s">
        <v>528</v>
      </c>
      <c r="G4975" s="1563"/>
      <c r="H4975" s="1038" t="s">
        <v>10608</v>
      </c>
    </row>
    <row r="4976" spans="2:8">
      <c r="B4976" s="1560">
        <v>46288</v>
      </c>
      <c r="C4976" s="1038" t="s">
        <v>10429</v>
      </c>
      <c r="D4976" s="1038" t="s">
        <v>1434</v>
      </c>
      <c r="E4976" s="1038" t="s">
        <v>1446</v>
      </c>
      <c r="F4976" s="1562" t="s">
        <v>526</v>
      </c>
      <c r="G4976" s="1563" t="s">
        <v>10609</v>
      </c>
      <c r="H4976" s="1038" t="s">
        <v>10610</v>
      </c>
    </row>
    <row r="4977" spans="2:8">
      <c r="B4977" s="1560">
        <v>46288</v>
      </c>
      <c r="C4977" s="1038" t="s">
        <v>10429</v>
      </c>
      <c r="D4977" s="1038" t="s">
        <v>1434</v>
      </c>
      <c r="E4977" s="1038" t="s">
        <v>1446</v>
      </c>
      <c r="F4977" s="1562" t="s">
        <v>527</v>
      </c>
      <c r="G4977" s="1563" t="s">
        <v>10611</v>
      </c>
      <c r="H4977" s="1038" t="s">
        <v>10612</v>
      </c>
    </row>
    <row r="4978" spans="2:8">
      <c r="B4978" s="1560">
        <v>46288</v>
      </c>
      <c r="C4978" s="1038" t="s">
        <v>10429</v>
      </c>
      <c r="D4978" s="1038" t="s">
        <v>1434</v>
      </c>
      <c r="E4978" s="1038" t="s">
        <v>1446</v>
      </c>
      <c r="F4978" s="1562" t="s">
        <v>528</v>
      </c>
      <c r="G4978" s="1563" t="s">
        <v>10613</v>
      </c>
      <c r="H4978" s="1038" t="s">
        <v>10614</v>
      </c>
    </row>
    <row r="4979" spans="2:8">
      <c r="B4979" s="1560">
        <v>46288</v>
      </c>
      <c r="C4979" s="1038" t="s">
        <v>10429</v>
      </c>
      <c r="D4979" s="1038" t="s">
        <v>1410</v>
      </c>
      <c r="E4979" s="1038" t="s">
        <v>3435</v>
      </c>
      <c r="F4979" s="1562" t="s">
        <v>526</v>
      </c>
      <c r="G4979" s="1563" t="s">
        <v>1586</v>
      </c>
      <c r="H4979" s="1038" t="s">
        <v>10615</v>
      </c>
    </row>
    <row r="4980" spans="2:8">
      <c r="B4980" s="1560">
        <v>46288</v>
      </c>
      <c r="C4980" s="1038" t="s">
        <v>10429</v>
      </c>
      <c r="D4980" s="1038" t="s">
        <v>1410</v>
      </c>
      <c r="E4980" s="1038" t="s">
        <v>3435</v>
      </c>
      <c r="F4980" s="1562" t="s">
        <v>527</v>
      </c>
      <c r="G4980" s="1563" t="s">
        <v>1586</v>
      </c>
      <c r="H4980" s="1038" t="s">
        <v>10616</v>
      </c>
    </row>
    <row r="4981" spans="2:8">
      <c r="B4981" s="1560">
        <v>46288</v>
      </c>
      <c r="C4981" s="1038" t="s">
        <v>10429</v>
      </c>
      <c r="D4981" s="1038" t="s">
        <v>1410</v>
      </c>
      <c r="E4981" s="1038" t="s">
        <v>3435</v>
      </c>
      <c r="F4981" s="1562" t="s">
        <v>528</v>
      </c>
      <c r="G4981" s="1563" t="s">
        <v>1586</v>
      </c>
      <c r="H4981" s="1038" t="s">
        <v>10617</v>
      </c>
    </row>
    <row r="4982" spans="2:8">
      <c r="B4982" s="1560">
        <v>46288</v>
      </c>
      <c r="C4982" s="1038" t="s">
        <v>10429</v>
      </c>
      <c r="D4982" s="1038" t="s">
        <v>1434</v>
      </c>
      <c r="E4982" s="1038" t="s">
        <v>3439</v>
      </c>
      <c r="F4982" s="1562" t="s">
        <v>526</v>
      </c>
      <c r="G4982" s="1563"/>
      <c r="H4982" s="1038" t="s">
        <v>10618</v>
      </c>
    </row>
    <row r="4983" spans="2:8">
      <c r="B4983" s="1560">
        <v>46288</v>
      </c>
      <c r="C4983" s="1038" t="s">
        <v>10429</v>
      </c>
      <c r="D4983" s="1038" t="s">
        <v>1434</v>
      </c>
      <c r="E4983" s="1038" t="s">
        <v>3439</v>
      </c>
      <c r="F4983" s="1562" t="s">
        <v>527</v>
      </c>
      <c r="G4983" s="1563"/>
      <c r="H4983" s="1038" t="s">
        <v>10619</v>
      </c>
    </row>
    <row r="4984" spans="2:8">
      <c r="B4984" s="1560">
        <v>46288</v>
      </c>
      <c r="C4984" s="1038" t="s">
        <v>10429</v>
      </c>
      <c r="D4984" s="1038" t="s">
        <v>1434</v>
      </c>
      <c r="E4984" s="1038" t="s">
        <v>3439</v>
      </c>
      <c r="F4984" s="1562" t="s">
        <v>528</v>
      </c>
      <c r="G4984" s="1563"/>
      <c r="H4984" s="1038" t="s">
        <v>10620</v>
      </c>
    </row>
    <row r="4985" spans="2:8">
      <c r="B4985" s="1560">
        <v>46288</v>
      </c>
      <c r="C4985" s="1038" t="s">
        <v>10429</v>
      </c>
      <c r="D4985" s="1038" t="s">
        <v>1410</v>
      </c>
      <c r="E4985" s="1038" t="s">
        <v>3443</v>
      </c>
      <c r="F4985" s="1562" t="s">
        <v>526</v>
      </c>
      <c r="G4985" s="1563"/>
      <c r="H4985" s="1038" t="s">
        <v>10621</v>
      </c>
    </row>
    <row r="4986" spans="2:8">
      <c r="B4986" s="1560">
        <v>46288</v>
      </c>
      <c r="C4986" s="1038" t="s">
        <v>10429</v>
      </c>
      <c r="D4986" s="1038" t="s">
        <v>1410</v>
      </c>
      <c r="E4986" s="1038" t="s">
        <v>3443</v>
      </c>
      <c r="F4986" s="1562" t="s">
        <v>527</v>
      </c>
      <c r="G4986" s="1563"/>
      <c r="H4986" s="1038" t="s">
        <v>10622</v>
      </c>
    </row>
    <row r="4987" spans="2:8">
      <c r="B4987" s="1560">
        <v>46288</v>
      </c>
      <c r="C4987" s="1038" t="s">
        <v>10429</v>
      </c>
      <c r="D4987" s="1038" t="s">
        <v>1410</v>
      </c>
      <c r="E4987" s="1038" t="s">
        <v>3443</v>
      </c>
      <c r="F4987" s="1562" t="s">
        <v>528</v>
      </c>
      <c r="G4987" s="1563"/>
      <c r="H4987" s="1038" t="s">
        <v>10623</v>
      </c>
    </row>
    <row r="4988" spans="2:8">
      <c r="B4988" s="1560">
        <v>46288</v>
      </c>
      <c r="C4988" s="1038" t="s">
        <v>10429</v>
      </c>
      <c r="D4988" s="1038" t="s">
        <v>1434</v>
      </c>
      <c r="E4988" s="1038" t="s">
        <v>3447</v>
      </c>
      <c r="F4988" s="1562" t="s">
        <v>526</v>
      </c>
      <c r="G4988" s="1563"/>
      <c r="H4988" s="1038" t="s">
        <v>10624</v>
      </c>
    </row>
    <row r="4989" spans="2:8">
      <c r="B4989" s="1560">
        <v>46288</v>
      </c>
      <c r="C4989" s="1038" t="s">
        <v>10429</v>
      </c>
      <c r="D4989" s="1038" t="s">
        <v>1434</v>
      </c>
      <c r="E4989" s="1038" t="s">
        <v>3447</v>
      </c>
      <c r="F4989" s="1562" t="s">
        <v>527</v>
      </c>
      <c r="G4989" s="1563"/>
      <c r="H4989" s="1038" t="s">
        <v>10625</v>
      </c>
    </row>
    <row r="4990" spans="2:8">
      <c r="B4990" s="1560">
        <v>46288</v>
      </c>
      <c r="C4990" s="1038" t="s">
        <v>10429</v>
      </c>
      <c r="D4990" s="1038" t="s">
        <v>1434</v>
      </c>
      <c r="E4990" s="1038" t="s">
        <v>3447</v>
      </c>
      <c r="F4990" s="1562" t="s">
        <v>528</v>
      </c>
      <c r="G4990" s="1563"/>
      <c r="H4990" s="1038" t="s">
        <v>10626</v>
      </c>
    </row>
    <row r="4991" spans="2:8">
      <c r="B4991" s="1560">
        <v>46288</v>
      </c>
      <c r="C4991" s="1038" t="s">
        <v>10429</v>
      </c>
      <c r="D4991" s="1038" t="s">
        <v>1410</v>
      </c>
      <c r="E4991" s="1038" t="s">
        <v>3451</v>
      </c>
      <c r="F4991" s="1562" t="s">
        <v>526</v>
      </c>
      <c r="G4991" s="1563"/>
      <c r="H4991" s="1038" t="s">
        <v>10627</v>
      </c>
    </row>
    <row r="4992" spans="2:8">
      <c r="B4992" s="1560">
        <v>46288</v>
      </c>
      <c r="C4992" s="1038" t="s">
        <v>10429</v>
      </c>
      <c r="D4992" s="1038" t="s">
        <v>1410</v>
      </c>
      <c r="E4992" s="1038" t="s">
        <v>3451</v>
      </c>
      <c r="F4992" s="1562" t="s">
        <v>527</v>
      </c>
      <c r="G4992" s="1563"/>
      <c r="H4992" s="1038" t="s">
        <v>10628</v>
      </c>
    </row>
    <row r="4993" spans="2:8">
      <c r="B4993" s="1560">
        <v>46288</v>
      </c>
      <c r="C4993" s="1038" t="s">
        <v>10429</v>
      </c>
      <c r="D4993" s="1038" t="s">
        <v>1410</v>
      </c>
      <c r="E4993" s="1038" t="s">
        <v>3451</v>
      </c>
      <c r="F4993" s="1562" t="s">
        <v>528</v>
      </c>
      <c r="G4993" s="1563"/>
      <c r="H4993" s="1038" t="s">
        <v>10629</v>
      </c>
    </row>
    <row r="4994" spans="2:8">
      <c r="B4994" s="1560">
        <v>46288</v>
      </c>
      <c r="C4994" s="1038" t="s">
        <v>10429</v>
      </c>
      <c r="D4994" s="1038" t="s">
        <v>1434</v>
      </c>
      <c r="E4994" s="1038" t="s">
        <v>3455</v>
      </c>
      <c r="F4994" s="1562" t="s">
        <v>526</v>
      </c>
      <c r="G4994" s="1563"/>
      <c r="H4994" s="1038" t="s">
        <v>10630</v>
      </c>
    </row>
    <row r="4995" spans="2:8">
      <c r="B4995" s="1560">
        <v>46288</v>
      </c>
      <c r="C4995" s="1038" t="s">
        <v>10429</v>
      </c>
      <c r="D4995" s="1038" t="s">
        <v>1434</v>
      </c>
      <c r="E4995" s="1038" t="s">
        <v>3455</v>
      </c>
      <c r="F4995" s="1562" t="s">
        <v>527</v>
      </c>
      <c r="G4995" s="1563"/>
      <c r="H4995" s="1038" t="s">
        <v>10631</v>
      </c>
    </row>
    <row r="4996" spans="2:8">
      <c r="B4996" s="1560">
        <v>46288</v>
      </c>
      <c r="C4996" s="1038" t="s">
        <v>10429</v>
      </c>
      <c r="D4996" s="1038" t="s">
        <v>1434</v>
      </c>
      <c r="E4996" s="1038" t="s">
        <v>3455</v>
      </c>
      <c r="F4996" s="1562" t="s">
        <v>528</v>
      </c>
      <c r="G4996" s="1563"/>
      <c r="H4996" s="1038" t="s">
        <v>10632</v>
      </c>
    </row>
    <row r="4997" spans="2:8">
      <c r="B4997" s="1560">
        <v>46288</v>
      </c>
      <c r="C4997" s="1038" t="s">
        <v>10429</v>
      </c>
      <c r="D4997" s="1038" t="s">
        <v>1410</v>
      </c>
      <c r="E4997" s="1038" t="s">
        <v>3459</v>
      </c>
      <c r="F4997" s="1562" t="s">
        <v>526</v>
      </c>
      <c r="G4997" s="1563">
        <v>29</v>
      </c>
      <c r="H4997" s="1038" t="s">
        <v>10633</v>
      </c>
    </row>
    <row r="4998" spans="2:8">
      <c r="B4998" s="1560">
        <v>46288</v>
      </c>
      <c r="C4998" s="1038" t="s">
        <v>10429</v>
      </c>
      <c r="D4998" s="1038" t="s">
        <v>1410</v>
      </c>
      <c r="E4998" s="1038" t="s">
        <v>3459</v>
      </c>
      <c r="F4998" s="1562" t="s">
        <v>527</v>
      </c>
      <c r="G4998" s="1563">
        <v>26</v>
      </c>
      <c r="H4998" s="1038" t="s">
        <v>10634</v>
      </c>
    </row>
    <row r="4999" spans="2:8">
      <c r="B4999" s="1560">
        <v>46288</v>
      </c>
      <c r="C4999" s="1038" t="s">
        <v>10429</v>
      </c>
      <c r="D4999" s="1038" t="s">
        <v>1410</v>
      </c>
      <c r="E4999" s="1038" t="s">
        <v>3459</v>
      </c>
      <c r="F4999" s="1562" t="s">
        <v>528</v>
      </c>
      <c r="G4999" s="1563">
        <v>29</v>
      </c>
      <c r="H4999" s="1038" t="s">
        <v>10635</v>
      </c>
    </row>
    <row r="5000" spans="2:8">
      <c r="B5000" s="1560">
        <v>46288</v>
      </c>
      <c r="C5000" s="1038" t="s">
        <v>10429</v>
      </c>
      <c r="D5000" s="1038" t="s">
        <v>1434</v>
      </c>
      <c r="E5000" s="1038" t="s">
        <v>3463</v>
      </c>
      <c r="F5000" s="1562" t="s">
        <v>526</v>
      </c>
      <c r="G5000" s="1563"/>
      <c r="H5000" s="1038" t="s">
        <v>10636</v>
      </c>
    </row>
    <row r="5001" spans="2:8">
      <c r="B5001" s="1560">
        <v>46288</v>
      </c>
      <c r="C5001" s="1038" t="s">
        <v>10429</v>
      </c>
      <c r="D5001" s="1038" t="s">
        <v>1434</v>
      </c>
      <c r="E5001" s="1038" t="s">
        <v>3463</v>
      </c>
      <c r="F5001" s="1562" t="s">
        <v>527</v>
      </c>
      <c r="G5001" s="1563"/>
      <c r="H5001" s="1038" t="s">
        <v>10637</v>
      </c>
    </row>
    <row r="5002" spans="2:8">
      <c r="B5002" s="1560">
        <v>46288</v>
      </c>
      <c r="C5002" s="1038" t="s">
        <v>10429</v>
      </c>
      <c r="D5002" s="1038" t="s">
        <v>1434</v>
      </c>
      <c r="E5002" s="1038" t="s">
        <v>3463</v>
      </c>
      <c r="F5002" s="1562" t="s">
        <v>528</v>
      </c>
      <c r="G5002" s="1563"/>
      <c r="H5002" s="1038" t="s">
        <v>10638</v>
      </c>
    </row>
    <row r="5003" spans="2:8">
      <c r="B5003" s="1560">
        <v>46288</v>
      </c>
      <c r="C5003" s="1038" t="s">
        <v>10429</v>
      </c>
      <c r="D5003" s="1038" t="s">
        <v>1410</v>
      </c>
      <c r="E5003" s="1038" t="s">
        <v>3467</v>
      </c>
      <c r="F5003" s="1562" t="s">
        <v>526</v>
      </c>
      <c r="G5003" s="1563">
        <v>29</v>
      </c>
      <c r="H5003" s="1038" t="s">
        <v>10639</v>
      </c>
    </row>
    <row r="5004" spans="2:8">
      <c r="B5004" s="1560">
        <v>46288</v>
      </c>
      <c r="C5004" s="1038" t="s">
        <v>10429</v>
      </c>
      <c r="D5004" s="1038" t="s">
        <v>1410</v>
      </c>
      <c r="E5004" s="1038" t="s">
        <v>3467</v>
      </c>
      <c r="F5004" s="1562" t="s">
        <v>527</v>
      </c>
      <c r="G5004" s="1563">
        <v>26</v>
      </c>
      <c r="H5004" s="1038" t="s">
        <v>10640</v>
      </c>
    </row>
    <row r="5005" spans="2:8">
      <c r="B5005" s="1560">
        <v>46288</v>
      </c>
      <c r="C5005" s="1038" t="s">
        <v>10429</v>
      </c>
      <c r="D5005" s="1038" t="s">
        <v>1410</v>
      </c>
      <c r="E5005" s="1038" t="s">
        <v>3467</v>
      </c>
      <c r="F5005" s="1562" t="s">
        <v>528</v>
      </c>
      <c r="G5005" s="1563"/>
      <c r="H5005" s="1038" t="s">
        <v>10641</v>
      </c>
    </row>
    <row r="5006" spans="2:8">
      <c r="B5006" s="1560">
        <v>46288</v>
      </c>
      <c r="C5006" s="1038" t="s">
        <v>10429</v>
      </c>
      <c r="D5006" s="1038" t="s">
        <v>1434</v>
      </c>
      <c r="E5006" s="1038" t="s">
        <v>3471</v>
      </c>
      <c r="F5006" s="1562" t="s">
        <v>526</v>
      </c>
      <c r="G5006" s="1563"/>
      <c r="H5006" s="1038" t="s">
        <v>10642</v>
      </c>
    </row>
    <row r="5007" spans="2:8">
      <c r="B5007" s="1560">
        <v>46288</v>
      </c>
      <c r="C5007" s="1038" t="s">
        <v>10429</v>
      </c>
      <c r="D5007" s="1038" t="s">
        <v>1434</v>
      </c>
      <c r="E5007" s="1038" t="s">
        <v>3471</v>
      </c>
      <c r="F5007" s="1562" t="s">
        <v>527</v>
      </c>
      <c r="G5007" s="1563"/>
      <c r="H5007" s="1038" t="s">
        <v>10643</v>
      </c>
    </row>
    <row r="5008" spans="2:8">
      <c r="B5008" s="1560">
        <v>46288</v>
      </c>
      <c r="C5008" s="1038" t="s">
        <v>10429</v>
      </c>
      <c r="D5008" s="1038" t="s">
        <v>1434</v>
      </c>
      <c r="E5008" s="1038" t="s">
        <v>3471</v>
      </c>
      <c r="F5008" s="1562" t="s">
        <v>528</v>
      </c>
      <c r="G5008" s="1563"/>
      <c r="H5008" s="1038" t="s">
        <v>10644</v>
      </c>
    </row>
    <row r="5009" spans="2:8">
      <c r="B5009" s="1560">
        <v>46288</v>
      </c>
      <c r="C5009" s="1038" t="s">
        <v>10429</v>
      </c>
      <c r="D5009" s="1038" t="s">
        <v>1410</v>
      </c>
      <c r="E5009" s="1038" t="s">
        <v>3475</v>
      </c>
      <c r="F5009" s="1562" t="s">
        <v>526</v>
      </c>
      <c r="G5009" s="1563">
        <v>17</v>
      </c>
      <c r="H5009" s="1038" t="s">
        <v>10645</v>
      </c>
    </row>
    <row r="5010" spans="2:8">
      <c r="B5010" s="1560">
        <v>46288</v>
      </c>
      <c r="C5010" s="1038" t="s">
        <v>10429</v>
      </c>
      <c r="D5010" s="1038" t="s">
        <v>1410</v>
      </c>
      <c r="E5010" s="1038" t="s">
        <v>3475</v>
      </c>
      <c r="F5010" s="1562" t="s">
        <v>527</v>
      </c>
      <c r="G5010" s="1563">
        <v>16</v>
      </c>
      <c r="H5010" s="1038" t="s">
        <v>10646</v>
      </c>
    </row>
    <row r="5011" spans="2:8">
      <c r="B5011" s="1560">
        <v>46288</v>
      </c>
      <c r="C5011" s="1038" t="s">
        <v>10429</v>
      </c>
      <c r="D5011" s="1038" t="s">
        <v>1410</v>
      </c>
      <c r="E5011" s="1038" t="s">
        <v>3475</v>
      </c>
      <c r="F5011" s="1562" t="s">
        <v>528</v>
      </c>
      <c r="G5011" s="1563">
        <v>18</v>
      </c>
      <c r="H5011" s="1038" t="s">
        <v>10647</v>
      </c>
    </row>
    <row r="5012" spans="2:8">
      <c r="B5012" s="1560">
        <v>46288</v>
      </c>
      <c r="C5012" s="1038" t="s">
        <v>10429</v>
      </c>
      <c r="D5012" s="1038" t="s">
        <v>1434</v>
      </c>
      <c r="E5012" s="1038" t="s">
        <v>3479</v>
      </c>
      <c r="F5012" s="1562" t="s">
        <v>526</v>
      </c>
      <c r="G5012" s="1563"/>
      <c r="H5012" s="1038" t="s">
        <v>10648</v>
      </c>
    </row>
    <row r="5013" spans="2:8">
      <c r="B5013" s="1560">
        <v>46288</v>
      </c>
      <c r="C5013" s="1038" t="s">
        <v>10429</v>
      </c>
      <c r="D5013" s="1038" t="s">
        <v>1434</v>
      </c>
      <c r="E5013" s="1038" t="s">
        <v>3479</v>
      </c>
      <c r="F5013" s="1562" t="s">
        <v>527</v>
      </c>
      <c r="G5013" s="1563"/>
      <c r="H5013" s="1038" t="s">
        <v>10649</v>
      </c>
    </row>
    <row r="5014" spans="2:8">
      <c r="B5014" s="1560">
        <v>46288</v>
      </c>
      <c r="C5014" s="1038" t="s">
        <v>10429</v>
      </c>
      <c r="D5014" s="1038" t="s">
        <v>1434</v>
      </c>
      <c r="E5014" s="1038" t="s">
        <v>3479</v>
      </c>
      <c r="F5014" s="1562" t="s">
        <v>528</v>
      </c>
      <c r="G5014" s="1563"/>
      <c r="H5014" s="1038" t="s">
        <v>10650</v>
      </c>
    </row>
    <row r="5015" spans="2:8">
      <c r="B5015" s="1560">
        <v>46288</v>
      </c>
      <c r="C5015" s="1038" t="s">
        <v>10429</v>
      </c>
      <c r="D5015" s="1038" t="s">
        <v>1410</v>
      </c>
      <c r="E5015" s="1038" t="s">
        <v>3483</v>
      </c>
      <c r="F5015" s="1562" t="s">
        <v>526</v>
      </c>
      <c r="G5015" s="1563">
        <v>5</v>
      </c>
      <c r="H5015" s="1038" t="s">
        <v>10651</v>
      </c>
    </row>
    <row r="5016" spans="2:8">
      <c r="B5016" s="1560">
        <v>46288</v>
      </c>
      <c r="C5016" s="1038" t="s">
        <v>10429</v>
      </c>
      <c r="D5016" s="1038" t="s">
        <v>1410</v>
      </c>
      <c r="E5016" s="1038" t="s">
        <v>3483</v>
      </c>
      <c r="F5016" s="1562" t="s">
        <v>527</v>
      </c>
      <c r="G5016" s="1563">
        <v>5</v>
      </c>
      <c r="H5016" s="1038" t="s">
        <v>10652</v>
      </c>
    </row>
    <row r="5017" spans="2:8">
      <c r="B5017" s="1560">
        <v>46288</v>
      </c>
      <c r="C5017" s="1038" t="s">
        <v>10429</v>
      </c>
      <c r="D5017" s="1038" t="s">
        <v>1410</v>
      </c>
      <c r="E5017" s="1038" t="s">
        <v>3483</v>
      </c>
      <c r="F5017" s="1562" t="s">
        <v>528</v>
      </c>
      <c r="G5017" s="1563">
        <v>5</v>
      </c>
      <c r="H5017" s="1038" t="s">
        <v>10653</v>
      </c>
    </row>
    <row r="5018" spans="2:8">
      <c r="B5018" s="1560">
        <v>46289</v>
      </c>
      <c r="C5018" s="1038" t="s">
        <v>10654</v>
      </c>
      <c r="D5018" s="1038" t="s">
        <v>1375</v>
      </c>
      <c r="E5018" s="1038" t="s">
        <v>1377</v>
      </c>
      <c r="F5018" s="1562" t="s">
        <v>526</v>
      </c>
      <c r="G5018" s="1563" t="s">
        <v>1378</v>
      </c>
      <c r="H5018" s="1038" t="s">
        <v>10655</v>
      </c>
    </row>
    <row r="5019" spans="2:8">
      <c r="B5019" s="1560">
        <v>46289</v>
      </c>
      <c r="C5019" s="1038" t="s">
        <v>10654</v>
      </c>
      <c r="D5019" s="1038" t="s">
        <v>1375</v>
      </c>
      <c r="E5019" s="1038" t="s">
        <v>1377</v>
      </c>
      <c r="F5019" s="1562" t="s">
        <v>527</v>
      </c>
      <c r="G5019" s="1563" t="s">
        <v>1378</v>
      </c>
      <c r="H5019" s="1038" t="s">
        <v>10656</v>
      </c>
    </row>
    <row r="5020" spans="2:8">
      <c r="B5020" s="1560">
        <v>46289</v>
      </c>
      <c r="C5020" s="1038" t="s">
        <v>10654</v>
      </c>
      <c r="D5020" s="1038" t="s">
        <v>1375</v>
      </c>
      <c r="E5020" s="1038" t="s">
        <v>1377</v>
      </c>
      <c r="F5020" s="1562" t="s">
        <v>528</v>
      </c>
      <c r="G5020" s="1563" t="s">
        <v>1378</v>
      </c>
      <c r="H5020" s="1038" t="s">
        <v>10657</v>
      </c>
    </row>
    <row r="5021" spans="2:8">
      <c r="B5021" s="1560">
        <v>46289</v>
      </c>
      <c r="C5021" s="1038" t="s">
        <v>10654</v>
      </c>
      <c r="D5021" s="1038" t="s">
        <v>1376</v>
      </c>
      <c r="E5021" s="1038" t="s">
        <v>1379</v>
      </c>
      <c r="F5021" s="1562" t="s">
        <v>526</v>
      </c>
      <c r="G5021" s="1563"/>
      <c r="H5021" s="1038" t="s">
        <v>10658</v>
      </c>
    </row>
    <row r="5022" spans="2:8">
      <c r="B5022" s="1560">
        <v>46289</v>
      </c>
      <c r="C5022" s="1038" t="s">
        <v>10654</v>
      </c>
      <c r="D5022" s="1038" t="s">
        <v>1376</v>
      </c>
      <c r="E5022" s="1038" t="s">
        <v>1379</v>
      </c>
      <c r="F5022" s="1562" t="s">
        <v>527</v>
      </c>
      <c r="G5022" s="1563"/>
      <c r="H5022" s="1038" t="s">
        <v>10659</v>
      </c>
    </row>
    <row r="5023" spans="2:8">
      <c r="B5023" s="1560">
        <v>46289</v>
      </c>
      <c r="C5023" s="1038" t="s">
        <v>10654</v>
      </c>
      <c r="D5023" s="1038" t="s">
        <v>1376</v>
      </c>
      <c r="E5023" s="1038" t="s">
        <v>1379</v>
      </c>
      <c r="F5023" s="1562" t="s">
        <v>528</v>
      </c>
      <c r="G5023" s="1563"/>
      <c r="H5023" s="1038" t="s">
        <v>10660</v>
      </c>
    </row>
    <row r="5024" spans="2:8">
      <c r="B5024" s="1560">
        <v>46289</v>
      </c>
      <c r="C5024" s="1038" t="s">
        <v>10654</v>
      </c>
      <c r="D5024" s="1038" t="s">
        <v>1375</v>
      </c>
      <c r="E5024" s="1038" t="s">
        <v>1380</v>
      </c>
      <c r="F5024" s="1562" t="s">
        <v>526</v>
      </c>
      <c r="G5024" s="1563" t="s">
        <v>2121</v>
      </c>
      <c r="H5024" s="1038" t="s">
        <v>10661</v>
      </c>
    </row>
    <row r="5025" spans="2:8">
      <c r="B5025" s="1560">
        <v>46289</v>
      </c>
      <c r="C5025" s="1038" t="s">
        <v>10654</v>
      </c>
      <c r="D5025" s="1038" t="s">
        <v>1375</v>
      </c>
      <c r="E5025" s="1038" t="s">
        <v>1380</v>
      </c>
      <c r="F5025" s="1562" t="s">
        <v>527</v>
      </c>
      <c r="G5025" s="1563" t="s">
        <v>1532</v>
      </c>
      <c r="H5025" s="1038" t="s">
        <v>10662</v>
      </c>
    </row>
    <row r="5026" spans="2:8">
      <c r="B5026" s="1560">
        <v>46289</v>
      </c>
      <c r="C5026" s="1038" t="s">
        <v>10654</v>
      </c>
      <c r="D5026" s="1038" t="s">
        <v>1375</v>
      </c>
      <c r="E5026" s="1038" t="s">
        <v>1380</v>
      </c>
      <c r="F5026" s="1562" t="s">
        <v>528</v>
      </c>
      <c r="G5026" s="1563" t="s">
        <v>1532</v>
      </c>
      <c r="H5026" s="1038" t="s">
        <v>10663</v>
      </c>
    </row>
    <row r="5027" spans="2:8">
      <c r="B5027" s="1560">
        <v>46289</v>
      </c>
      <c r="C5027" s="1038" t="s">
        <v>10654</v>
      </c>
      <c r="D5027" s="1038" t="s">
        <v>1376</v>
      </c>
      <c r="E5027" s="1038" t="s">
        <v>1383</v>
      </c>
      <c r="F5027" s="1562" t="s">
        <v>526</v>
      </c>
      <c r="G5027" s="1563">
        <v>0.38</v>
      </c>
      <c r="H5027" s="1038" t="s">
        <v>10664</v>
      </c>
    </row>
    <row r="5028" spans="2:8">
      <c r="B5028" s="1560">
        <v>46289</v>
      </c>
      <c r="C5028" s="1038" t="s">
        <v>10654</v>
      </c>
      <c r="D5028" s="1038" t="s">
        <v>1376</v>
      </c>
      <c r="E5028" s="1038" t="s">
        <v>1383</v>
      </c>
      <c r="F5028" s="1562" t="s">
        <v>527</v>
      </c>
      <c r="G5028" s="1563">
        <v>0</v>
      </c>
      <c r="H5028" s="1038" t="s">
        <v>10665</v>
      </c>
    </row>
    <row r="5029" spans="2:8">
      <c r="B5029" s="1560">
        <v>46289</v>
      </c>
      <c r="C5029" s="1038" t="s">
        <v>10654</v>
      </c>
      <c r="D5029" s="1038" t="s">
        <v>1376</v>
      </c>
      <c r="E5029" s="1038" t="s">
        <v>1383</v>
      </c>
      <c r="F5029" s="1562" t="s">
        <v>528</v>
      </c>
      <c r="G5029" s="1563">
        <v>0</v>
      </c>
      <c r="H5029" s="1038" t="s">
        <v>10666</v>
      </c>
    </row>
    <row r="5030" spans="2:8">
      <c r="B5030" s="1560">
        <v>46289</v>
      </c>
      <c r="C5030" s="1038" t="s">
        <v>10654</v>
      </c>
      <c r="D5030" s="1038" t="s">
        <v>1375</v>
      </c>
      <c r="E5030" s="1038" t="s">
        <v>54</v>
      </c>
      <c r="F5030" s="1562" t="s">
        <v>526</v>
      </c>
      <c r="G5030" s="1563"/>
      <c r="H5030" s="1038" t="s">
        <v>10667</v>
      </c>
    </row>
    <row r="5031" spans="2:8">
      <c r="B5031" s="1560">
        <v>46289</v>
      </c>
      <c r="C5031" s="1038" t="s">
        <v>10654</v>
      </c>
      <c r="D5031" s="1038" t="s">
        <v>1375</v>
      </c>
      <c r="E5031" s="1038" t="s">
        <v>54</v>
      </c>
      <c r="F5031" s="1562" t="s">
        <v>527</v>
      </c>
      <c r="G5031" s="1563"/>
      <c r="H5031" s="1038" t="s">
        <v>10668</v>
      </c>
    </row>
    <row r="5032" spans="2:8">
      <c r="B5032" s="1560">
        <v>46289</v>
      </c>
      <c r="C5032" s="1038" t="s">
        <v>10654</v>
      </c>
      <c r="D5032" s="1038" t="s">
        <v>1375</v>
      </c>
      <c r="E5032" s="1038" t="s">
        <v>54</v>
      </c>
      <c r="F5032" s="1562" t="s">
        <v>528</v>
      </c>
      <c r="G5032" s="1563"/>
      <c r="H5032" s="1038" t="s">
        <v>10669</v>
      </c>
    </row>
    <row r="5033" spans="2:8">
      <c r="B5033" s="1560">
        <v>46289</v>
      </c>
      <c r="C5033" s="1038" t="s">
        <v>10654</v>
      </c>
      <c r="D5033" s="1038" t="s">
        <v>1376</v>
      </c>
      <c r="E5033" s="1038" t="s">
        <v>1384</v>
      </c>
      <c r="F5033" s="1562" t="s">
        <v>526</v>
      </c>
      <c r="G5033" s="1563">
        <v>0.46</v>
      </c>
      <c r="H5033" s="1038" t="s">
        <v>10670</v>
      </c>
    </row>
    <row r="5034" spans="2:8">
      <c r="B5034" s="1560">
        <v>46289</v>
      </c>
      <c r="C5034" s="1038" t="s">
        <v>10654</v>
      </c>
      <c r="D5034" s="1038" t="s">
        <v>1376</v>
      </c>
      <c r="E5034" s="1038" t="s">
        <v>1384</v>
      </c>
      <c r="F5034" s="1562" t="s">
        <v>527</v>
      </c>
      <c r="G5034" s="1563">
        <v>0.4</v>
      </c>
      <c r="H5034" s="1038" t="s">
        <v>10671</v>
      </c>
    </row>
    <row r="5035" spans="2:8">
      <c r="B5035" s="1560">
        <v>46289</v>
      </c>
      <c r="C5035" s="1038" t="s">
        <v>10654</v>
      </c>
      <c r="D5035" s="1038" t="s">
        <v>1376</v>
      </c>
      <c r="E5035" s="1038" t="s">
        <v>1384</v>
      </c>
      <c r="F5035" s="1562" t="s">
        <v>528</v>
      </c>
      <c r="G5035" s="1563">
        <v>0.4</v>
      </c>
      <c r="H5035" s="1038" t="s">
        <v>10672</v>
      </c>
    </row>
    <row r="5036" spans="2:8">
      <c r="B5036" s="1560">
        <v>46289</v>
      </c>
      <c r="C5036" s="1038" t="s">
        <v>10654</v>
      </c>
      <c r="D5036" s="1038" t="s">
        <v>1375</v>
      </c>
      <c r="E5036" s="1038" t="s">
        <v>1385</v>
      </c>
      <c r="F5036" s="1562" t="s">
        <v>526</v>
      </c>
      <c r="G5036" s="1563">
        <v>1207</v>
      </c>
      <c r="H5036" s="1038" t="s">
        <v>10673</v>
      </c>
    </row>
    <row r="5037" spans="2:8">
      <c r="B5037" s="1560">
        <v>46289</v>
      </c>
      <c r="C5037" s="1038" t="s">
        <v>10654</v>
      </c>
      <c r="D5037" s="1038" t="s">
        <v>1375</v>
      </c>
      <c r="E5037" s="1038" t="s">
        <v>1385</v>
      </c>
      <c r="F5037" s="1562" t="s">
        <v>527</v>
      </c>
      <c r="G5037" s="1563">
        <v>1309</v>
      </c>
      <c r="H5037" s="1038" t="s">
        <v>10674</v>
      </c>
    </row>
    <row r="5038" spans="2:8">
      <c r="B5038" s="1560">
        <v>46289</v>
      </c>
      <c r="C5038" s="1038" t="s">
        <v>10654</v>
      </c>
      <c r="D5038" s="1038" t="s">
        <v>1375</v>
      </c>
      <c r="E5038" s="1038" t="s">
        <v>1385</v>
      </c>
      <c r="F5038" s="1562" t="s">
        <v>528</v>
      </c>
      <c r="G5038" s="1563">
        <v>2694</v>
      </c>
      <c r="H5038" s="1038" t="s">
        <v>10675</v>
      </c>
    </row>
    <row r="5039" spans="2:8">
      <c r="B5039" s="1560">
        <v>46289</v>
      </c>
      <c r="C5039" s="1038" t="s">
        <v>10654</v>
      </c>
      <c r="D5039" s="1038" t="s">
        <v>1376</v>
      </c>
      <c r="E5039" s="1038" t="s">
        <v>1386</v>
      </c>
      <c r="F5039" s="1562" t="s">
        <v>526</v>
      </c>
      <c r="G5039" s="1563">
        <v>0.4</v>
      </c>
      <c r="H5039" s="1038" t="s">
        <v>10676</v>
      </c>
    </row>
    <row r="5040" spans="2:8">
      <c r="B5040" s="1560">
        <v>46289</v>
      </c>
      <c r="C5040" s="1038" t="s">
        <v>10654</v>
      </c>
      <c r="D5040" s="1038" t="s">
        <v>1376</v>
      </c>
      <c r="E5040" s="1038" t="s">
        <v>1386</v>
      </c>
      <c r="F5040" s="1562" t="s">
        <v>527</v>
      </c>
      <c r="G5040" s="1563">
        <v>0.38</v>
      </c>
      <c r="H5040" s="1038" t="s">
        <v>10677</v>
      </c>
    </row>
    <row r="5041" spans="2:8">
      <c r="B5041" s="1560">
        <v>46289</v>
      </c>
      <c r="C5041" s="1038" t="s">
        <v>10654</v>
      </c>
      <c r="D5041" s="1038" t="s">
        <v>1376</v>
      </c>
      <c r="E5041" s="1038" t="s">
        <v>1386</v>
      </c>
      <c r="F5041" s="1562" t="s">
        <v>528</v>
      </c>
      <c r="G5041" s="1563">
        <v>0.32</v>
      </c>
      <c r="H5041" s="1038" t="s">
        <v>10678</v>
      </c>
    </row>
    <row r="5042" spans="2:8">
      <c r="B5042" s="1560">
        <v>46289</v>
      </c>
      <c r="C5042" s="1038" t="s">
        <v>10654</v>
      </c>
      <c r="D5042" s="1038" t="s">
        <v>1376</v>
      </c>
      <c r="E5042" s="1038" t="s">
        <v>1387</v>
      </c>
      <c r="F5042" s="1562" t="s">
        <v>526</v>
      </c>
      <c r="G5042" s="1563">
        <v>8.3000000000000007</v>
      </c>
      <c r="H5042" s="1038" t="s">
        <v>10679</v>
      </c>
    </row>
    <row r="5043" spans="2:8">
      <c r="B5043" s="1560">
        <v>46289</v>
      </c>
      <c r="C5043" s="1038" t="s">
        <v>10654</v>
      </c>
      <c r="D5043" s="1038" t="s">
        <v>1376</v>
      </c>
      <c r="E5043" s="1038" t="s">
        <v>1387</v>
      </c>
      <c r="F5043" s="1562" t="s">
        <v>527</v>
      </c>
      <c r="G5043" s="1563">
        <v>8.5</v>
      </c>
      <c r="H5043" s="1038" t="s">
        <v>10680</v>
      </c>
    </row>
    <row r="5044" spans="2:8">
      <c r="B5044" s="1560">
        <v>46289</v>
      </c>
      <c r="C5044" s="1038" t="s">
        <v>10654</v>
      </c>
      <c r="D5044" s="1038" t="s">
        <v>1376</v>
      </c>
      <c r="E5044" s="1038" t="s">
        <v>1387</v>
      </c>
      <c r="F5044" s="1562" t="s">
        <v>528</v>
      </c>
      <c r="G5044" s="1563">
        <v>8.3000000000000007</v>
      </c>
      <c r="H5044" s="1038" t="s">
        <v>10681</v>
      </c>
    </row>
    <row r="5045" spans="2:8">
      <c r="B5045" s="1560">
        <v>46289</v>
      </c>
      <c r="C5045" s="1038" t="s">
        <v>10654</v>
      </c>
      <c r="D5045" s="1038" t="s">
        <v>1375</v>
      </c>
      <c r="E5045" s="1038" t="s">
        <v>1388</v>
      </c>
      <c r="F5045" s="1562" t="s">
        <v>526</v>
      </c>
      <c r="G5045" s="1563"/>
      <c r="H5045" s="1038" t="s">
        <v>10682</v>
      </c>
    </row>
    <row r="5046" spans="2:8">
      <c r="B5046" s="1560">
        <v>46289</v>
      </c>
      <c r="C5046" s="1038" t="s">
        <v>10654</v>
      </c>
      <c r="D5046" s="1038" t="s">
        <v>1375</v>
      </c>
      <c r="E5046" s="1038" t="s">
        <v>1388</v>
      </c>
      <c r="F5046" s="1562" t="s">
        <v>527</v>
      </c>
      <c r="G5046" s="1563"/>
      <c r="H5046" s="1038" t="s">
        <v>10683</v>
      </c>
    </row>
    <row r="5047" spans="2:8">
      <c r="B5047" s="1560">
        <v>46289</v>
      </c>
      <c r="C5047" s="1038" t="s">
        <v>10654</v>
      </c>
      <c r="D5047" s="1038" t="s">
        <v>1375</v>
      </c>
      <c r="E5047" s="1038" t="s">
        <v>1388</v>
      </c>
      <c r="F5047" s="1562" t="s">
        <v>528</v>
      </c>
      <c r="G5047" s="1563"/>
      <c r="H5047" s="1038" t="s">
        <v>10684</v>
      </c>
    </row>
    <row r="5048" spans="2:8">
      <c r="B5048" s="1560">
        <v>46289</v>
      </c>
      <c r="C5048" s="1038" t="s">
        <v>10654</v>
      </c>
      <c r="D5048" s="1038" t="s">
        <v>1376</v>
      </c>
      <c r="E5048" s="1038" t="s">
        <v>1389</v>
      </c>
      <c r="F5048" s="1562" t="s">
        <v>526</v>
      </c>
      <c r="G5048" s="1563">
        <v>63.5</v>
      </c>
      <c r="H5048" s="1038" t="s">
        <v>10685</v>
      </c>
    </row>
    <row r="5049" spans="2:8">
      <c r="B5049" s="1560">
        <v>46289</v>
      </c>
      <c r="C5049" s="1038" t="s">
        <v>10654</v>
      </c>
      <c r="D5049" s="1038" t="s">
        <v>1376</v>
      </c>
      <c r="E5049" s="1038" t="s">
        <v>1389</v>
      </c>
      <c r="F5049" s="1562" t="s">
        <v>527</v>
      </c>
      <c r="G5049" s="1563">
        <v>61.3</v>
      </c>
      <c r="H5049" s="1038" t="s">
        <v>10686</v>
      </c>
    </row>
    <row r="5050" spans="2:8">
      <c r="B5050" s="1560">
        <v>46289</v>
      </c>
      <c r="C5050" s="1038" t="s">
        <v>10654</v>
      </c>
      <c r="D5050" s="1038" t="s">
        <v>1376</v>
      </c>
      <c r="E5050" s="1038" t="s">
        <v>1389</v>
      </c>
      <c r="F5050" s="1562" t="s">
        <v>528</v>
      </c>
      <c r="G5050" s="1563">
        <v>63.5</v>
      </c>
      <c r="H5050" s="1038" t="s">
        <v>10687</v>
      </c>
    </row>
    <row r="5051" spans="2:8">
      <c r="B5051" s="1560">
        <v>46289</v>
      </c>
      <c r="C5051" s="1038" t="s">
        <v>10654</v>
      </c>
      <c r="D5051" s="1038" t="s">
        <v>1375</v>
      </c>
      <c r="E5051" s="1038" t="s">
        <v>3266</v>
      </c>
      <c r="F5051" s="1562" t="s">
        <v>526</v>
      </c>
      <c r="G5051" s="1563">
        <v>3</v>
      </c>
      <c r="H5051" s="1038" t="s">
        <v>10688</v>
      </c>
    </row>
    <row r="5052" spans="2:8">
      <c r="B5052" s="1560">
        <v>46289</v>
      </c>
      <c r="C5052" s="1038" t="s">
        <v>10654</v>
      </c>
      <c r="D5052" s="1038" t="s">
        <v>1375</v>
      </c>
      <c r="E5052" s="1038" t="s">
        <v>3266</v>
      </c>
      <c r="F5052" s="1562" t="s">
        <v>527</v>
      </c>
      <c r="G5052" s="1563">
        <v>3</v>
      </c>
      <c r="H5052" s="1038" t="s">
        <v>10689</v>
      </c>
    </row>
    <row r="5053" spans="2:8">
      <c r="B5053" s="1560">
        <v>46289</v>
      </c>
      <c r="C5053" s="1038" t="s">
        <v>10654</v>
      </c>
      <c r="D5053" s="1038" t="s">
        <v>1375</v>
      </c>
      <c r="E5053" s="1038" t="s">
        <v>3266</v>
      </c>
      <c r="F5053" s="1562" t="s">
        <v>528</v>
      </c>
      <c r="G5053" s="1563">
        <v>3</v>
      </c>
      <c r="H5053" s="1038" t="s">
        <v>10690</v>
      </c>
    </row>
    <row r="5054" spans="2:8">
      <c r="B5054" s="1560">
        <v>46289</v>
      </c>
      <c r="C5054" s="1038" t="s">
        <v>10654</v>
      </c>
      <c r="D5054" s="1038" t="s">
        <v>1376</v>
      </c>
      <c r="E5054" s="1038" t="s">
        <v>1390</v>
      </c>
      <c r="F5054" s="1562" t="s">
        <v>526</v>
      </c>
      <c r="G5054" s="1563">
        <v>2.1199999999999999E-3</v>
      </c>
      <c r="H5054" s="1038" t="s">
        <v>10691</v>
      </c>
    </row>
    <row r="5055" spans="2:8">
      <c r="B5055" s="1560">
        <v>46289</v>
      </c>
      <c r="C5055" s="1038" t="s">
        <v>10654</v>
      </c>
      <c r="D5055" s="1038" t="s">
        <v>1376</v>
      </c>
      <c r="E5055" s="1038" t="s">
        <v>1390</v>
      </c>
      <c r="F5055" s="1562" t="s">
        <v>527</v>
      </c>
      <c r="G5055" s="1563">
        <v>2.2599999999999999E-3</v>
      </c>
      <c r="H5055" s="1038" t="s">
        <v>10692</v>
      </c>
    </row>
    <row r="5056" spans="2:8">
      <c r="B5056" s="1560">
        <v>46289</v>
      </c>
      <c r="C5056" s="1038" t="s">
        <v>10654</v>
      </c>
      <c r="D5056" s="1038" t="s">
        <v>1376</v>
      </c>
      <c r="E5056" s="1038" t="s">
        <v>1390</v>
      </c>
      <c r="F5056" s="1562" t="s">
        <v>528</v>
      </c>
      <c r="G5056" s="1563">
        <v>2.3600000000000001E-3</v>
      </c>
      <c r="H5056" s="1038" t="s">
        <v>10693</v>
      </c>
    </row>
    <row r="5057" spans="2:8">
      <c r="B5057" s="1560">
        <v>46289</v>
      </c>
      <c r="C5057" s="1038" t="s">
        <v>10654</v>
      </c>
      <c r="D5057" s="1038" t="s">
        <v>1375</v>
      </c>
      <c r="E5057" s="1038" t="s">
        <v>3273</v>
      </c>
      <c r="F5057" s="1562" t="s">
        <v>526</v>
      </c>
      <c r="G5057" s="1563">
        <v>3</v>
      </c>
      <c r="H5057" s="1038" t="s">
        <v>10694</v>
      </c>
    </row>
    <row r="5058" spans="2:8">
      <c r="B5058" s="1560">
        <v>46289</v>
      </c>
      <c r="C5058" s="1038" t="s">
        <v>10654</v>
      </c>
      <c r="D5058" s="1038" t="s">
        <v>1375</v>
      </c>
      <c r="E5058" s="1038" t="s">
        <v>3273</v>
      </c>
      <c r="F5058" s="1562" t="s">
        <v>527</v>
      </c>
      <c r="G5058" s="1563">
        <v>2</v>
      </c>
      <c r="H5058" s="1038" t="s">
        <v>10695</v>
      </c>
    </row>
    <row r="5059" spans="2:8">
      <c r="B5059" s="1560">
        <v>46289</v>
      </c>
      <c r="C5059" s="1038" t="s">
        <v>10654</v>
      </c>
      <c r="D5059" s="1038" t="s">
        <v>1375</v>
      </c>
      <c r="E5059" s="1038" t="s">
        <v>3273</v>
      </c>
      <c r="F5059" s="1562" t="s">
        <v>528</v>
      </c>
      <c r="G5059" s="1563">
        <v>3</v>
      </c>
      <c r="H5059" s="1038" t="s">
        <v>10696</v>
      </c>
    </row>
    <row r="5060" spans="2:8">
      <c r="B5060" s="1560">
        <v>46289</v>
      </c>
      <c r="C5060" s="1038" t="s">
        <v>10654</v>
      </c>
      <c r="D5060" s="1038" t="s">
        <v>1376</v>
      </c>
      <c r="E5060" s="1038" t="s">
        <v>1391</v>
      </c>
      <c r="F5060" s="1562" t="s">
        <v>526</v>
      </c>
      <c r="G5060" s="1563"/>
      <c r="H5060" s="1038" t="s">
        <v>10697</v>
      </c>
    </row>
    <row r="5061" spans="2:8">
      <c r="B5061" s="1560">
        <v>46289</v>
      </c>
      <c r="C5061" s="1038" t="s">
        <v>10654</v>
      </c>
      <c r="D5061" s="1038" t="s">
        <v>1376</v>
      </c>
      <c r="E5061" s="1038" t="s">
        <v>1391</v>
      </c>
      <c r="F5061" s="1562" t="s">
        <v>527</v>
      </c>
      <c r="G5061" s="1563"/>
      <c r="H5061" s="1038" t="s">
        <v>10698</v>
      </c>
    </row>
    <row r="5062" spans="2:8">
      <c r="B5062" s="1560">
        <v>46289</v>
      </c>
      <c r="C5062" s="1038" t="s">
        <v>10654</v>
      </c>
      <c r="D5062" s="1038" t="s">
        <v>1376</v>
      </c>
      <c r="E5062" s="1038" t="s">
        <v>1391</v>
      </c>
      <c r="F5062" s="1562" t="s">
        <v>528</v>
      </c>
      <c r="G5062" s="1563">
        <v>7002</v>
      </c>
      <c r="H5062" s="1038" t="s">
        <v>10699</v>
      </c>
    </row>
    <row r="5063" spans="2:8">
      <c r="B5063" s="1560">
        <v>46289</v>
      </c>
      <c r="C5063" s="1038" t="s">
        <v>10654</v>
      </c>
      <c r="D5063" s="1038" t="s">
        <v>1375</v>
      </c>
      <c r="E5063" s="1038" t="s">
        <v>3280</v>
      </c>
      <c r="F5063" s="1562" t="s">
        <v>526</v>
      </c>
      <c r="G5063" s="1563">
        <v>3</v>
      </c>
      <c r="H5063" s="1038" t="s">
        <v>10700</v>
      </c>
    </row>
    <row r="5064" spans="2:8">
      <c r="B5064" s="1560">
        <v>46289</v>
      </c>
      <c r="C5064" s="1038" t="s">
        <v>10654</v>
      </c>
      <c r="D5064" s="1038" t="s">
        <v>1375</v>
      </c>
      <c r="E5064" s="1038" t="s">
        <v>3280</v>
      </c>
      <c r="F5064" s="1562" t="s">
        <v>527</v>
      </c>
      <c r="G5064" s="1563">
        <v>3</v>
      </c>
      <c r="H5064" s="1038" t="s">
        <v>10701</v>
      </c>
    </row>
    <row r="5065" spans="2:8">
      <c r="B5065" s="1560">
        <v>46289</v>
      </c>
      <c r="C5065" s="1038" t="s">
        <v>10654</v>
      </c>
      <c r="D5065" s="1038" t="s">
        <v>1375</v>
      </c>
      <c r="E5065" s="1038" t="s">
        <v>3280</v>
      </c>
      <c r="F5065" s="1562" t="s">
        <v>528</v>
      </c>
      <c r="G5065" s="1563">
        <v>4</v>
      </c>
      <c r="H5065" s="1038" t="s">
        <v>10702</v>
      </c>
    </row>
    <row r="5066" spans="2:8">
      <c r="B5066" s="1560">
        <v>46289</v>
      </c>
      <c r="C5066" s="1038" t="s">
        <v>10654</v>
      </c>
      <c r="D5066" s="1038" t="s">
        <v>1376</v>
      </c>
      <c r="E5066" s="1038" t="s">
        <v>1392</v>
      </c>
      <c r="F5066" s="1562" t="s">
        <v>526</v>
      </c>
      <c r="G5066" s="1563">
        <v>7002</v>
      </c>
      <c r="H5066" s="1038" t="s">
        <v>10703</v>
      </c>
    </row>
    <row r="5067" spans="2:8">
      <c r="B5067" s="1560">
        <v>46289</v>
      </c>
      <c r="C5067" s="1038" t="s">
        <v>10654</v>
      </c>
      <c r="D5067" s="1038" t="s">
        <v>1376</v>
      </c>
      <c r="E5067" s="1038" t="s">
        <v>1392</v>
      </c>
      <c r="F5067" s="1562" t="s">
        <v>527</v>
      </c>
      <c r="G5067" s="1563"/>
      <c r="H5067" s="1038" t="s">
        <v>10704</v>
      </c>
    </row>
    <row r="5068" spans="2:8">
      <c r="B5068" s="1560">
        <v>46289</v>
      </c>
      <c r="C5068" s="1038" t="s">
        <v>10654</v>
      </c>
      <c r="D5068" s="1038" t="s">
        <v>1376</v>
      </c>
      <c r="E5068" s="1038" t="s">
        <v>1392</v>
      </c>
      <c r="F5068" s="1562" t="s">
        <v>528</v>
      </c>
      <c r="G5068" s="1563"/>
      <c r="H5068" s="1038" t="s">
        <v>10705</v>
      </c>
    </row>
    <row r="5069" spans="2:8">
      <c r="B5069" s="1560">
        <v>46289</v>
      </c>
      <c r="C5069" s="1038" t="s">
        <v>10654</v>
      </c>
      <c r="D5069" s="1038" t="s">
        <v>1375</v>
      </c>
      <c r="E5069" s="1038" t="s">
        <v>3287</v>
      </c>
      <c r="F5069" s="1562" t="s">
        <v>526</v>
      </c>
      <c r="G5069" s="1563">
        <v>1</v>
      </c>
      <c r="H5069" s="1038" t="s">
        <v>10706</v>
      </c>
    </row>
    <row r="5070" spans="2:8">
      <c r="B5070" s="1560">
        <v>46289</v>
      </c>
      <c r="C5070" s="1038" t="s">
        <v>10654</v>
      </c>
      <c r="D5070" s="1038" t="s">
        <v>1375</v>
      </c>
      <c r="E5070" s="1038" t="s">
        <v>3287</v>
      </c>
      <c r="F5070" s="1562" t="s">
        <v>527</v>
      </c>
      <c r="G5070" s="1563">
        <v>1</v>
      </c>
      <c r="H5070" s="1038" t="s">
        <v>10707</v>
      </c>
    </row>
    <row r="5071" spans="2:8">
      <c r="B5071" s="1560">
        <v>46289</v>
      </c>
      <c r="C5071" s="1038" t="s">
        <v>10654</v>
      </c>
      <c r="D5071" s="1038" t="s">
        <v>1375</v>
      </c>
      <c r="E5071" s="1038" t="s">
        <v>3287</v>
      </c>
      <c r="F5071" s="1562" t="s">
        <v>528</v>
      </c>
      <c r="G5071" s="1563">
        <v>4</v>
      </c>
      <c r="H5071" s="1038" t="s">
        <v>10708</v>
      </c>
    </row>
    <row r="5072" spans="2:8">
      <c r="B5072" s="1560">
        <v>46289</v>
      </c>
      <c r="C5072" s="1038" t="s">
        <v>10654</v>
      </c>
      <c r="D5072" s="1038" t="s">
        <v>1376</v>
      </c>
      <c r="E5072" s="1038" t="s">
        <v>453</v>
      </c>
      <c r="F5072" s="1562" t="s">
        <v>526</v>
      </c>
      <c r="G5072" s="1563"/>
      <c r="H5072" s="1038" t="s">
        <v>10709</v>
      </c>
    </row>
    <row r="5073" spans="2:8">
      <c r="B5073" s="1560">
        <v>46289</v>
      </c>
      <c r="C5073" s="1038" t="s">
        <v>10654</v>
      </c>
      <c r="D5073" s="1038" t="s">
        <v>1376</v>
      </c>
      <c r="E5073" s="1038" t="s">
        <v>453</v>
      </c>
      <c r="F5073" s="1562" t="s">
        <v>527</v>
      </c>
      <c r="G5073" s="1563"/>
      <c r="H5073" s="1038" t="s">
        <v>10710</v>
      </c>
    </row>
    <row r="5074" spans="2:8">
      <c r="B5074" s="1560">
        <v>46289</v>
      </c>
      <c r="C5074" s="1038" t="s">
        <v>10654</v>
      </c>
      <c r="D5074" s="1038" t="s">
        <v>1376</v>
      </c>
      <c r="E5074" s="1038" t="s">
        <v>453</v>
      </c>
      <c r="F5074" s="1562" t="s">
        <v>528</v>
      </c>
      <c r="G5074" s="1563"/>
      <c r="H5074" s="1038" t="s">
        <v>10711</v>
      </c>
    </row>
    <row r="5075" spans="2:8">
      <c r="B5075" s="1560">
        <v>46289</v>
      </c>
      <c r="C5075" s="1038" t="s">
        <v>10654</v>
      </c>
      <c r="D5075" s="1038" t="s">
        <v>1375</v>
      </c>
      <c r="E5075" s="1038" t="s">
        <v>3291</v>
      </c>
      <c r="F5075" s="1562" t="s">
        <v>526</v>
      </c>
      <c r="G5075" s="1563">
        <v>5</v>
      </c>
      <c r="H5075" s="1038" t="s">
        <v>10712</v>
      </c>
    </row>
    <row r="5076" spans="2:8">
      <c r="B5076" s="1560">
        <v>46289</v>
      </c>
      <c r="C5076" s="1038" t="s">
        <v>10654</v>
      </c>
      <c r="D5076" s="1038" t="s">
        <v>1375</v>
      </c>
      <c r="E5076" s="1038" t="s">
        <v>3291</v>
      </c>
      <c r="F5076" s="1562" t="s">
        <v>527</v>
      </c>
      <c r="G5076" s="1563">
        <v>5</v>
      </c>
      <c r="H5076" s="1038" t="s">
        <v>10713</v>
      </c>
    </row>
    <row r="5077" spans="2:8">
      <c r="B5077" s="1560">
        <v>46289</v>
      </c>
      <c r="C5077" s="1038" t="s">
        <v>10654</v>
      </c>
      <c r="D5077" s="1038" t="s">
        <v>1375</v>
      </c>
      <c r="E5077" s="1038" t="s">
        <v>3291</v>
      </c>
      <c r="F5077" s="1562" t="s">
        <v>528</v>
      </c>
      <c r="G5077" s="1563">
        <v>4</v>
      </c>
      <c r="H5077" s="1038" t="s">
        <v>10714</v>
      </c>
    </row>
    <row r="5078" spans="2:8">
      <c r="B5078" s="1560">
        <v>46289</v>
      </c>
      <c r="C5078" s="1038" t="s">
        <v>10654</v>
      </c>
      <c r="D5078" s="1038" t="s">
        <v>1376</v>
      </c>
      <c r="E5078" s="1038" t="s">
        <v>1394</v>
      </c>
      <c r="F5078" s="1562" t="s">
        <v>526</v>
      </c>
      <c r="G5078" s="1564" t="s">
        <v>1781</v>
      </c>
      <c r="H5078" s="1038" t="s">
        <v>10715</v>
      </c>
    </row>
    <row r="5079" spans="2:8">
      <c r="B5079" s="1560">
        <v>46289</v>
      </c>
      <c r="C5079" s="1038" t="s">
        <v>10654</v>
      </c>
      <c r="D5079" s="1038" t="s">
        <v>1376</v>
      </c>
      <c r="E5079" s="1038" t="s">
        <v>1394</v>
      </c>
      <c r="F5079" s="1562" t="s">
        <v>527</v>
      </c>
      <c r="G5079" s="1564" t="s">
        <v>2144</v>
      </c>
      <c r="H5079" s="1038" t="s">
        <v>10716</v>
      </c>
    </row>
    <row r="5080" spans="2:8">
      <c r="B5080" s="1560">
        <v>46289</v>
      </c>
      <c r="C5080" s="1038" t="s">
        <v>10654</v>
      </c>
      <c r="D5080" s="1038" t="s">
        <v>1376</v>
      </c>
      <c r="E5080" s="1038" t="s">
        <v>1394</v>
      </c>
      <c r="F5080" s="1562" t="s">
        <v>528</v>
      </c>
      <c r="G5080" s="1564" t="s">
        <v>1625</v>
      </c>
      <c r="H5080" s="1038" t="s">
        <v>10717</v>
      </c>
    </row>
    <row r="5081" spans="2:8">
      <c r="B5081" s="1560">
        <v>46289</v>
      </c>
      <c r="C5081" s="1038" t="s">
        <v>10654</v>
      </c>
      <c r="D5081" s="1038" t="s">
        <v>1375</v>
      </c>
      <c r="E5081" s="1038" t="s">
        <v>3298</v>
      </c>
      <c r="F5081" s="1562" t="s">
        <v>526</v>
      </c>
      <c r="G5081" s="1563">
        <v>5</v>
      </c>
      <c r="H5081" s="1038" t="s">
        <v>10718</v>
      </c>
    </row>
    <row r="5082" spans="2:8">
      <c r="B5082" s="1560">
        <v>46289</v>
      </c>
      <c r="C5082" s="1038" t="s">
        <v>10654</v>
      </c>
      <c r="D5082" s="1038" t="s">
        <v>1375</v>
      </c>
      <c r="E5082" s="1038" t="s">
        <v>3298</v>
      </c>
      <c r="F5082" s="1562" t="s">
        <v>527</v>
      </c>
      <c r="G5082" s="1563">
        <v>5</v>
      </c>
      <c r="H5082" s="1038" t="s">
        <v>10719</v>
      </c>
    </row>
    <row r="5083" spans="2:8">
      <c r="B5083" s="1560">
        <v>46289</v>
      </c>
      <c r="C5083" s="1038" t="s">
        <v>10654</v>
      </c>
      <c r="D5083" s="1038" t="s">
        <v>1375</v>
      </c>
      <c r="E5083" s="1038" t="s">
        <v>3298</v>
      </c>
      <c r="F5083" s="1562" t="s">
        <v>528</v>
      </c>
      <c r="G5083" s="1563">
        <v>5</v>
      </c>
      <c r="H5083" s="1038" t="s">
        <v>10720</v>
      </c>
    </row>
    <row r="5084" spans="2:8">
      <c r="B5084" s="1560">
        <v>46289</v>
      </c>
      <c r="C5084" s="1038" t="s">
        <v>10654</v>
      </c>
      <c r="D5084" s="1038" t="s">
        <v>1376</v>
      </c>
      <c r="E5084" s="1038" t="s">
        <v>1398</v>
      </c>
      <c r="F5084" s="1562" t="s">
        <v>526</v>
      </c>
      <c r="G5084" s="1563">
        <v>11</v>
      </c>
      <c r="H5084" s="1038" t="s">
        <v>10721</v>
      </c>
    </row>
    <row r="5085" spans="2:8">
      <c r="B5085" s="1560">
        <v>46289</v>
      </c>
      <c r="C5085" s="1038" t="s">
        <v>10654</v>
      </c>
      <c r="D5085" s="1038" t="s">
        <v>1376</v>
      </c>
      <c r="E5085" s="1038" t="s">
        <v>1398</v>
      </c>
      <c r="F5085" s="1562" t="s">
        <v>527</v>
      </c>
      <c r="G5085" s="1563">
        <v>11</v>
      </c>
      <c r="H5085" s="1038" t="s">
        <v>10722</v>
      </c>
    </row>
    <row r="5086" spans="2:8">
      <c r="B5086" s="1560">
        <v>46289</v>
      </c>
      <c r="C5086" s="1038" t="s">
        <v>10654</v>
      </c>
      <c r="D5086" s="1038" t="s">
        <v>1376</v>
      </c>
      <c r="E5086" s="1038" t="s">
        <v>1398</v>
      </c>
      <c r="F5086" s="1562" t="s">
        <v>528</v>
      </c>
      <c r="G5086" s="1563">
        <v>10</v>
      </c>
      <c r="H5086" s="1038" t="s">
        <v>10723</v>
      </c>
    </row>
    <row r="5087" spans="2:8">
      <c r="B5087" s="1560">
        <v>46289</v>
      </c>
      <c r="C5087" s="1038" t="s">
        <v>10654</v>
      </c>
      <c r="D5087" s="1038" t="s">
        <v>1375</v>
      </c>
      <c r="E5087" s="1038" t="s">
        <v>3305</v>
      </c>
      <c r="F5087" s="1562" t="s">
        <v>526</v>
      </c>
      <c r="G5087" s="1563">
        <v>4</v>
      </c>
      <c r="H5087" s="1038" t="s">
        <v>10724</v>
      </c>
    </row>
    <row r="5088" spans="2:8">
      <c r="B5088" s="1560">
        <v>46289</v>
      </c>
      <c r="C5088" s="1038" t="s">
        <v>10654</v>
      </c>
      <c r="D5088" s="1038" t="s">
        <v>1375</v>
      </c>
      <c r="E5088" s="1038" t="s">
        <v>3305</v>
      </c>
      <c r="F5088" s="1562" t="s">
        <v>527</v>
      </c>
      <c r="G5088" s="1563">
        <v>4</v>
      </c>
      <c r="H5088" s="1038" t="s">
        <v>10725</v>
      </c>
    </row>
    <row r="5089" spans="2:8">
      <c r="B5089" s="1560">
        <v>46289</v>
      </c>
      <c r="C5089" s="1038" t="s">
        <v>10654</v>
      </c>
      <c r="D5089" s="1038" t="s">
        <v>1375</v>
      </c>
      <c r="E5089" s="1038" t="s">
        <v>3305</v>
      </c>
      <c r="F5089" s="1562" t="s">
        <v>528</v>
      </c>
      <c r="G5089" s="1563">
        <v>4</v>
      </c>
      <c r="H5089" s="1038" t="s">
        <v>10726</v>
      </c>
    </row>
    <row r="5090" spans="2:8">
      <c r="B5090" s="1560">
        <v>46289</v>
      </c>
      <c r="C5090" s="1038" t="s">
        <v>10654</v>
      </c>
      <c r="D5090" s="1038" t="s">
        <v>1376</v>
      </c>
      <c r="E5090" s="1038" t="s">
        <v>1399</v>
      </c>
      <c r="F5090" s="1562" t="s">
        <v>526</v>
      </c>
      <c r="G5090" s="1563">
        <v>12</v>
      </c>
      <c r="H5090" s="1038" t="s">
        <v>10727</v>
      </c>
    </row>
    <row r="5091" spans="2:8">
      <c r="B5091" s="1560">
        <v>46289</v>
      </c>
      <c r="C5091" s="1038" t="s">
        <v>10654</v>
      </c>
      <c r="D5091" s="1038" t="s">
        <v>1376</v>
      </c>
      <c r="E5091" s="1038" t="s">
        <v>1399</v>
      </c>
      <c r="F5091" s="1562" t="s">
        <v>527</v>
      </c>
      <c r="G5091" s="1563">
        <v>12</v>
      </c>
      <c r="H5091" s="1038" t="s">
        <v>10728</v>
      </c>
    </row>
    <row r="5092" spans="2:8">
      <c r="B5092" s="1560">
        <v>46289</v>
      </c>
      <c r="C5092" s="1038" t="s">
        <v>10654</v>
      </c>
      <c r="D5092" s="1038" t="s">
        <v>1376</v>
      </c>
      <c r="E5092" s="1038" t="s">
        <v>1399</v>
      </c>
      <c r="F5092" s="1562" t="s">
        <v>528</v>
      </c>
      <c r="G5092" s="1563">
        <v>11</v>
      </c>
      <c r="H5092" s="1038" t="s">
        <v>10729</v>
      </c>
    </row>
    <row r="5093" spans="2:8">
      <c r="B5093" s="1560">
        <v>46289</v>
      </c>
      <c r="C5093" s="1038" t="s">
        <v>10654</v>
      </c>
      <c r="D5093" s="1038" t="s">
        <v>1375</v>
      </c>
      <c r="E5093" s="1038" t="s">
        <v>3312</v>
      </c>
      <c r="F5093" s="1562" t="s">
        <v>526</v>
      </c>
      <c r="G5093" s="1563">
        <v>4</v>
      </c>
      <c r="H5093" s="1038" t="s">
        <v>10730</v>
      </c>
    </row>
    <row r="5094" spans="2:8">
      <c r="B5094" s="1560">
        <v>46289</v>
      </c>
      <c r="C5094" s="1038" t="s">
        <v>10654</v>
      </c>
      <c r="D5094" s="1038" t="s">
        <v>1375</v>
      </c>
      <c r="E5094" s="1038" t="s">
        <v>3312</v>
      </c>
      <c r="F5094" s="1562" t="s">
        <v>527</v>
      </c>
      <c r="G5094" s="1563">
        <v>4</v>
      </c>
      <c r="H5094" s="1038" t="s">
        <v>10731</v>
      </c>
    </row>
    <row r="5095" spans="2:8">
      <c r="B5095" s="1560">
        <v>46289</v>
      </c>
      <c r="C5095" s="1038" t="s">
        <v>10654</v>
      </c>
      <c r="D5095" s="1038" t="s">
        <v>1375</v>
      </c>
      <c r="E5095" s="1038" t="s">
        <v>3312</v>
      </c>
      <c r="F5095" s="1562" t="s">
        <v>528</v>
      </c>
      <c r="G5095" s="1563">
        <v>4</v>
      </c>
      <c r="H5095" s="1038" t="s">
        <v>10732</v>
      </c>
    </row>
    <row r="5096" spans="2:8">
      <c r="B5096" s="1560">
        <v>46289</v>
      </c>
      <c r="C5096" s="1038" t="s">
        <v>10654</v>
      </c>
      <c r="D5096" s="1038" t="s">
        <v>1376</v>
      </c>
      <c r="E5096" s="1038" t="s">
        <v>1400</v>
      </c>
      <c r="F5096" s="1562" t="s">
        <v>526</v>
      </c>
      <c r="G5096" s="1563">
        <v>16</v>
      </c>
      <c r="H5096" s="1038" t="s">
        <v>10733</v>
      </c>
    </row>
    <row r="5097" spans="2:8">
      <c r="B5097" s="1560">
        <v>46289</v>
      </c>
      <c r="C5097" s="1038" t="s">
        <v>10654</v>
      </c>
      <c r="D5097" s="1038" t="s">
        <v>1376</v>
      </c>
      <c r="E5097" s="1038" t="s">
        <v>1400</v>
      </c>
      <c r="F5097" s="1562" t="s">
        <v>527</v>
      </c>
      <c r="G5097" s="1563">
        <v>16</v>
      </c>
      <c r="H5097" s="1038" t="s">
        <v>10734</v>
      </c>
    </row>
    <row r="5098" spans="2:8">
      <c r="B5098" s="1560">
        <v>46289</v>
      </c>
      <c r="C5098" s="1038" t="s">
        <v>10654</v>
      </c>
      <c r="D5098" s="1038" t="s">
        <v>1376</v>
      </c>
      <c r="E5098" s="1038" t="s">
        <v>1400</v>
      </c>
      <c r="F5098" s="1562" t="s">
        <v>528</v>
      </c>
      <c r="G5098" s="1563">
        <v>14</v>
      </c>
      <c r="H5098" s="1038" t="s">
        <v>10735</v>
      </c>
    </row>
    <row r="5099" spans="2:8">
      <c r="B5099" s="1560">
        <v>46289</v>
      </c>
      <c r="C5099" s="1038" t="s">
        <v>10654</v>
      </c>
      <c r="D5099" s="1038" t="s">
        <v>1375</v>
      </c>
      <c r="E5099" s="1038" t="s">
        <v>3319</v>
      </c>
      <c r="F5099" s="1562" t="s">
        <v>526</v>
      </c>
      <c r="G5099" s="1563">
        <v>3</v>
      </c>
      <c r="H5099" s="1038" t="s">
        <v>10736</v>
      </c>
    </row>
    <row r="5100" spans="2:8">
      <c r="B5100" s="1560">
        <v>46289</v>
      </c>
      <c r="C5100" s="1038" t="s">
        <v>10654</v>
      </c>
      <c r="D5100" s="1038" t="s">
        <v>1375</v>
      </c>
      <c r="E5100" s="1038" t="s">
        <v>3319</v>
      </c>
      <c r="F5100" s="1562" t="s">
        <v>527</v>
      </c>
      <c r="G5100" s="1563">
        <v>5</v>
      </c>
      <c r="H5100" s="1038" t="s">
        <v>10737</v>
      </c>
    </row>
    <row r="5101" spans="2:8">
      <c r="B5101" s="1560">
        <v>46289</v>
      </c>
      <c r="C5101" s="1038" t="s">
        <v>10654</v>
      </c>
      <c r="D5101" s="1038" t="s">
        <v>1375</v>
      </c>
      <c r="E5101" s="1038" t="s">
        <v>3319</v>
      </c>
      <c r="F5101" s="1562" t="s">
        <v>528</v>
      </c>
      <c r="G5101" s="1563">
        <v>4</v>
      </c>
      <c r="H5101" s="1038" t="s">
        <v>10738</v>
      </c>
    </row>
    <row r="5102" spans="2:8">
      <c r="B5102" s="1560">
        <v>46289</v>
      </c>
      <c r="C5102" s="1038" t="s">
        <v>10654</v>
      </c>
      <c r="D5102" s="1038" t="s">
        <v>1376</v>
      </c>
      <c r="E5102" s="1038" t="s">
        <v>1401</v>
      </c>
      <c r="F5102" s="1562" t="s">
        <v>526</v>
      </c>
      <c r="G5102" s="1563">
        <v>7.35</v>
      </c>
      <c r="H5102" s="1038" t="s">
        <v>10739</v>
      </c>
    </row>
    <row r="5103" spans="2:8">
      <c r="B5103" s="1560">
        <v>46289</v>
      </c>
      <c r="C5103" s="1038" t="s">
        <v>10654</v>
      </c>
      <c r="D5103" s="1038" t="s">
        <v>1376</v>
      </c>
      <c r="E5103" s="1038" t="s">
        <v>1401</v>
      </c>
      <c r="F5103" s="1562" t="s">
        <v>527</v>
      </c>
      <c r="G5103" s="1563">
        <v>6.5</v>
      </c>
      <c r="H5103" s="1038" t="s">
        <v>10740</v>
      </c>
    </row>
    <row r="5104" spans="2:8">
      <c r="B5104" s="1560">
        <v>46289</v>
      </c>
      <c r="C5104" s="1038" t="s">
        <v>10654</v>
      </c>
      <c r="D5104" s="1038" t="s">
        <v>1376</v>
      </c>
      <c r="E5104" s="1038" t="s">
        <v>1401</v>
      </c>
      <c r="F5104" s="1562" t="s">
        <v>528</v>
      </c>
      <c r="G5104" s="1563">
        <v>7.26</v>
      </c>
      <c r="H5104" s="1038" t="s">
        <v>10741</v>
      </c>
    </row>
    <row r="5105" spans="2:8">
      <c r="B5105" s="1560">
        <v>46289</v>
      </c>
      <c r="C5105" s="1038" t="s">
        <v>10654</v>
      </c>
      <c r="D5105" s="1038" t="s">
        <v>1375</v>
      </c>
      <c r="E5105" s="1038" t="s">
        <v>3326</v>
      </c>
      <c r="F5105" s="1562" t="s">
        <v>526</v>
      </c>
      <c r="G5105" s="1563" t="s">
        <v>10742</v>
      </c>
      <c r="H5105" s="1038" t="s">
        <v>10743</v>
      </c>
    </row>
    <row r="5106" spans="2:8" ht="45">
      <c r="B5106" s="1560">
        <v>46289</v>
      </c>
      <c r="C5106" s="1038" t="s">
        <v>10654</v>
      </c>
      <c r="D5106" s="1038" t="s">
        <v>1375</v>
      </c>
      <c r="E5106" s="1038" t="s">
        <v>3326</v>
      </c>
      <c r="F5106" s="1562" t="s">
        <v>527</v>
      </c>
      <c r="G5106" s="1565" t="s">
        <v>10744</v>
      </c>
      <c r="H5106" s="1038" t="s">
        <v>10745</v>
      </c>
    </row>
    <row r="5107" spans="2:8" ht="45">
      <c r="B5107" s="1560">
        <v>46289</v>
      </c>
      <c r="C5107" s="1038" t="s">
        <v>10654</v>
      </c>
      <c r="D5107" s="1038" t="s">
        <v>1375</v>
      </c>
      <c r="E5107" s="1038" t="s">
        <v>3326</v>
      </c>
      <c r="F5107" s="1562" t="s">
        <v>528</v>
      </c>
      <c r="G5107" s="1565" t="s">
        <v>10744</v>
      </c>
      <c r="H5107" s="1038" t="s">
        <v>10746</v>
      </c>
    </row>
    <row r="5108" spans="2:8">
      <c r="B5108" s="1560">
        <v>46289</v>
      </c>
      <c r="C5108" s="1038" t="s">
        <v>10654</v>
      </c>
      <c r="D5108" s="1038" t="s">
        <v>1376</v>
      </c>
      <c r="E5108" s="1038" t="s">
        <v>1403</v>
      </c>
      <c r="F5108" s="1562" t="s">
        <v>526</v>
      </c>
      <c r="G5108" s="1563">
        <v>500</v>
      </c>
      <c r="H5108" s="1038" t="s">
        <v>10747</v>
      </c>
    </row>
    <row r="5109" spans="2:8">
      <c r="B5109" s="1560">
        <v>46289</v>
      </c>
      <c r="C5109" s="1038" t="s">
        <v>10654</v>
      </c>
      <c r="D5109" s="1038" t="s">
        <v>1376</v>
      </c>
      <c r="E5109" s="1038" t="s">
        <v>1403</v>
      </c>
      <c r="F5109" s="1562" t="s">
        <v>527</v>
      </c>
      <c r="G5109" s="1563">
        <v>650</v>
      </c>
      <c r="H5109" s="1038" t="s">
        <v>10748</v>
      </c>
    </row>
    <row r="5110" spans="2:8">
      <c r="B5110" s="1560">
        <v>46289</v>
      </c>
      <c r="C5110" s="1038" t="s">
        <v>10654</v>
      </c>
      <c r="D5110" s="1038" t="s">
        <v>1376</v>
      </c>
      <c r="E5110" s="1038" t="s">
        <v>1403</v>
      </c>
      <c r="F5110" s="1562" t="s">
        <v>528</v>
      </c>
      <c r="G5110" s="1563">
        <v>560</v>
      </c>
      <c r="H5110" s="1038" t="s">
        <v>10749</v>
      </c>
    </row>
    <row r="5111" spans="2:8">
      <c r="B5111" s="1560">
        <v>46289</v>
      </c>
      <c r="C5111" s="1038" t="s">
        <v>10654</v>
      </c>
      <c r="D5111" s="1038" t="s">
        <v>1376</v>
      </c>
      <c r="E5111" s="1038" t="s">
        <v>1404</v>
      </c>
      <c r="F5111" s="1562" t="s">
        <v>526</v>
      </c>
      <c r="G5111" s="1563">
        <v>3.84</v>
      </c>
      <c r="H5111" s="1038" t="s">
        <v>10750</v>
      </c>
    </row>
    <row r="5112" spans="2:8">
      <c r="B5112" s="1560">
        <v>46289</v>
      </c>
      <c r="C5112" s="1038" t="s">
        <v>10654</v>
      </c>
      <c r="D5112" s="1038" t="s">
        <v>1376</v>
      </c>
      <c r="E5112" s="1038" t="s">
        <v>1404</v>
      </c>
      <c r="F5112" s="1562" t="s">
        <v>527</v>
      </c>
      <c r="G5112" s="1563">
        <v>3.62</v>
      </c>
      <c r="H5112" s="1038" t="s">
        <v>10751</v>
      </c>
    </row>
    <row r="5113" spans="2:8">
      <c r="B5113" s="1560">
        <v>46289</v>
      </c>
      <c r="C5113" s="1038" t="s">
        <v>10654</v>
      </c>
      <c r="D5113" s="1038" t="s">
        <v>1376</v>
      </c>
      <c r="E5113" s="1038" t="s">
        <v>1404</v>
      </c>
      <c r="F5113" s="1562" t="s">
        <v>528</v>
      </c>
      <c r="G5113" s="1563">
        <v>3.25</v>
      </c>
      <c r="H5113" s="1038" t="s">
        <v>10752</v>
      </c>
    </row>
    <row r="5114" spans="2:8">
      <c r="B5114" s="1560">
        <v>46289</v>
      </c>
      <c r="C5114" s="1038" t="s">
        <v>10654</v>
      </c>
      <c r="D5114" s="1038" t="s">
        <v>1375</v>
      </c>
      <c r="E5114" s="1038" t="s">
        <v>3336</v>
      </c>
      <c r="F5114" s="1562" t="s">
        <v>526</v>
      </c>
      <c r="G5114" s="1563" t="s">
        <v>1406</v>
      </c>
      <c r="H5114" s="1038" t="s">
        <v>10753</v>
      </c>
    </row>
    <row r="5115" spans="2:8">
      <c r="B5115" s="1560">
        <v>46289</v>
      </c>
      <c r="C5115" s="1038" t="s">
        <v>10654</v>
      </c>
      <c r="D5115" s="1038" t="s">
        <v>1375</v>
      </c>
      <c r="E5115" s="1038" t="s">
        <v>3336</v>
      </c>
      <c r="F5115" s="1562" t="s">
        <v>527</v>
      </c>
      <c r="G5115" s="1563" t="s">
        <v>1406</v>
      </c>
      <c r="H5115" s="1038" t="s">
        <v>10754</v>
      </c>
    </row>
    <row r="5116" spans="2:8">
      <c r="B5116" s="1560">
        <v>46289</v>
      </c>
      <c r="C5116" s="1038" t="s">
        <v>10654</v>
      </c>
      <c r="D5116" s="1038" t="s">
        <v>1375</v>
      </c>
      <c r="E5116" s="1038" t="s">
        <v>3336</v>
      </c>
      <c r="F5116" s="1562" t="s">
        <v>528</v>
      </c>
      <c r="G5116" s="1563" t="s">
        <v>1406</v>
      </c>
      <c r="H5116" s="1038" t="s">
        <v>10755</v>
      </c>
    </row>
    <row r="5117" spans="2:8">
      <c r="B5117" s="1560">
        <v>46289</v>
      </c>
      <c r="C5117" s="1038" t="s">
        <v>10654</v>
      </c>
      <c r="D5117" s="1038" t="s">
        <v>1376</v>
      </c>
      <c r="E5117" s="1038" t="s">
        <v>1407</v>
      </c>
      <c r="F5117" s="1562" t="s">
        <v>526</v>
      </c>
      <c r="G5117" s="1563">
        <v>381</v>
      </c>
      <c r="H5117" s="1038" t="s">
        <v>10756</v>
      </c>
    </row>
    <row r="5118" spans="2:8">
      <c r="B5118" s="1560">
        <v>46289</v>
      </c>
      <c r="C5118" s="1038" t="s">
        <v>10654</v>
      </c>
      <c r="D5118" s="1038" t="s">
        <v>1376</v>
      </c>
      <c r="E5118" s="1038" t="s">
        <v>1407</v>
      </c>
      <c r="F5118" s="1562" t="s">
        <v>527</v>
      </c>
      <c r="G5118" s="1563">
        <v>360</v>
      </c>
      <c r="H5118" s="1038" t="s">
        <v>10757</v>
      </c>
    </row>
    <row r="5119" spans="2:8">
      <c r="B5119" s="1560">
        <v>46289</v>
      </c>
      <c r="C5119" s="1038" t="s">
        <v>10654</v>
      </c>
      <c r="D5119" s="1038" t="s">
        <v>1376</v>
      </c>
      <c r="E5119" s="1038" t="s">
        <v>1407</v>
      </c>
      <c r="F5119" s="1562" t="s">
        <v>528</v>
      </c>
      <c r="G5119" s="1563">
        <v>366</v>
      </c>
      <c r="H5119" s="1038" t="s">
        <v>10758</v>
      </c>
    </row>
    <row r="5120" spans="2:8">
      <c r="B5120" s="1560">
        <v>46289</v>
      </c>
      <c r="C5120" s="1038" t="s">
        <v>10654</v>
      </c>
      <c r="D5120" s="1038" t="s">
        <v>1376</v>
      </c>
      <c r="E5120" s="1038" t="s">
        <v>1408</v>
      </c>
      <c r="F5120" s="1562" t="s">
        <v>526</v>
      </c>
      <c r="G5120" s="1563">
        <v>981</v>
      </c>
      <c r="H5120" s="1038" t="s">
        <v>10759</v>
      </c>
    </row>
    <row r="5121" spans="2:8">
      <c r="B5121" s="1560">
        <v>46289</v>
      </c>
      <c r="C5121" s="1038" t="s">
        <v>10654</v>
      </c>
      <c r="D5121" s="1038" t="s">
        <v>1376</v>
      </c>
      <c r="E5121" s="1038" t="s">
        <v>1408</v>
      </c>
      <c r="F5121" s="1562" t="s">
        <v>527</v>
      </c>
      <c r="G5121" s="1563">
        <v>1040</v>
      </c>
      <c r="H5121" s="1038" t="s">
        <v>10760</v>
      </c>
    </row>
    <row r="5122" spans="2:8">
      <c r="B5122" s="1560">
        <v>46289</v>
      </c>
      <c r="C5122" s="1038" t="s">
        <v>10654</v>
      </c>
      <c r="D5122" s="1038" t="s">
        <v>1376</v>
      </c>
      <c r="E5122" s="1038" t="s">
        <v>1408</v>
      </c>
      <c r="F5122" s="1562" t="s">
        <v>528</v>
      </c>
      <c r="G5122" s="1563">
        <v>1058</v>
      </c>
      <c r="H5122" s="1038" t="s">
        <v>10761</v>
      </c>
    </row>
    <row r="5123" spans="2:8">
      <c r="B5123" s="1560">
        <v>46289</v>
      </c>
      <c r="C5123" s="1038" t="s">
        <v>10654</v>
      </c>
      <c r="D5123" s="1038" t="s">
        <v>1409</v>
      </c>
      <c r="E5123" s="1038" t="s">
        <v>1411</v>
      </c>
      <c r="F5123" s="1562" t="s">
        <v>526</v>
      </c>
      <c r="G5123" s="1563"/>
      <c r="H5123" s="1038" t="s">
        <v>10762</v>
      </c>
    </row>
    <row r="5124" spans="2:8">
      <c r="B5124" s="1560">
        <v>46289</v>
      </c>
      <c r="C5124" s="1038" t="s">
        <v>10654</v>
      </c>
      <c r="D5124" s="1038" t="s">
        <v>1409</v>
      </c>
      <c r="E5124" s="1038" t="s">
        <v>1411</v>
      </c>
      <c r="F5124" s="1562" t="s">
        <v>527</v>
      </c>
      <c r="G5124" s="1563"/>
      <c r="H5124" s="1038" t="s">
        <v>10763</v>
      </c>
    </row>
    <row r="5125" spans="2:8">
      <c r="B5125" s="1560">
        <v>46289</v>
      </c>
      <c r="C5125" s="1038" t="s">
        <v>10654</v>
      </c>
      <c r="D5125" s="1038" t="s">
        <v>1409</v>
      </c>
      <c r="E5125" s="1038" t="s">
        <v>1411</v>
      </c>
      <c r="F5125" s="1562" t="s">
        <v>528</v>
      </c>
      <c r="G5125" s="1563"/>
      <c r="H5125" s="1038" t="s">
        <v>10764</v>
      </c>
    </row>
    <row r="5126" spans="2:8">
      <c r="B5126" s="1560">
        <v>46289</v>
      </c>
      <c r="C5126" s="1038" t="s">
        <v>10654</v>
      </c>
      <c r="D5126" s="1038" t="s">
        <v>1409</v>
      </c>
      <c r="E5126" s="1038" t="s">
        <v>1413</v>
      </c>
      <c r="F5126" s="1562" t="s">
        <v>526</v>
      </c>
      <c r="G5126" s="1564" t="s">
        <v>2111</v>
      </c>
      <c r="H5126" s="1038" t="s">
        <v>10765</v>
      </c>
    </row>
    <row r="5127" spans="2:8">
      <c r="B5127" s="1560">
        <v>46289</v>
      </c>
      <c r="C5127" s="1038" t="s">
        <v>10654</v>
      </c>
      <c r="D5127" s="1038" t="s">
        <v>1409</v>
      </c>
      <c r="E5127" s="1038" t="s">
        <v>1413</v>
      </c>
      <c r="F5127" s="1562" t="s">
        <v>527</v>
      </c>
      <c r="G5127" s="1564" t="s">
        <v>2035</v>
      </c>
      <c r="H5127" s="1038" t="s">
        <v>10766</v>
      </c>
    </row>
    <row r="5128" spans="2:8">
      <c r="B5128" s="1560">
        <v>46289</v>
      </c>
      <c r="C5128" s="1038" t="s">
        <v>10654</v>
      </c>
      <c r="D5128" s="1038" t="s">
        <v>1409</v>
      </c>
      <c r="E5128" s="1038" t="s">
        <v>1413</v>
      </c>
      <c r="F5128" s="1562" t="s">
        <v>528</v>
      </c>
      <c r="G5128" s="1564" t="s">
        <v>1743</v>
      </c>
      <c r="H5128" s="1038" t="s">
        <v>10767</v>
      </c>
    </row>
    <row r="5129" spans="2:8">
      <c r="B5129" s="1560">
        <v>46289</v>
      </c>
      <c r="C5129" s="1038" t="s">
        <v>10654</v>
      </c>
      <c r="D5129" s="1038" t="s">
        <v>1410</v>
      </c>
      <c r="E5129" s="1038" t="s">
        <v>3352</v>
      </c>
      <c r="F5129" s="1562" t="s">
        <v>526</v>
      </c>
      <c r="G5129" s="1563" t="s">
        <v>1418</v>
      </c>
      <c r="H5129" s="1038" t="s">
        <v>10768</v>
      </c>
    </row>
    <row r="5130" spans="2:8">
      <c r="B5130" s="1560">
        <v>46289</v>
      </c>
      <c r="C5130" s="1038" t="s">
        <v>10654</v>
      </c>
      <c r="D5130" s="1038" t="s">
        <v>1410</v>
      </c>
      <c r="E5130" s="1038" t="s">
        <v>3352</v>
      </c>
      <c r="F5130" s="1562" t="s">
        <v>527</v>
      </c>
      <c r="G5130" s="1563" t="s">
        <v>1418</v>
      </c>
      <c r="H5130" s="1038" t="s">
        <v>10769</v>
      </c>
    </row>
    <row r="5131" spans="2:8">
      <c r="B5131" s="1560">
        <v>46289</v>
      </c>
      <c r="C5131" s="1038" t="s">
        <v>10654</v>
      </c>
      <c r="D5131" s="1038" t="s">
        <v>1410</v>
      </c>
      <c r="E5131" s="1038" t="s">
        <v>3352</v>
      </c>
      <c r="F5131" s="1562" t="s">
        <v>528</v>
      </c>
      <c r="G5131" s="1563" t="s">
        <v>1418</v>
      </c>
      <c r="H5131" s="1038" t="s">
        <v>10770</v>
      </c>
    </row>
    <row r="5132" spans="2:8">
      <c r="B5132" s="1560">
        <v>46289</v>
      </c>
      <c r="C5132" s="1038" t="s">
        <v>10654</v>
      </c>
      <c r="D5132" s="1038" t="s">
        <v>1409</v>
      </c>
      <c r="E5132" s="1038" t="s">
        <v>1420</v>
      </c>
      <c r="F5132" s="1562" t="s">
        <v>526</v>
      </c>
      <c r="G5132" s="1564" t="s">
        <v>2112</v>
      </c>
      <c r="H5132" s="1038" t="s">
        <v>10771</v>
      </c>
    </row>
    <row r="5133" spans="2:8">
      <c r="B5133" s="1560">
        <v>46289</v>
      </c>
      <c r="C5133" s="1038" t="s">
        <v>10654</v>
      </c>
      <c r="D5133" s="1038" t="s">
        <v>1409</v>
      </c>
      <c r="E5133" s="1038" t="s">
        <v>1420</v>
      </c>
      <c r="F5133" s="1562" t="s">
        <v>527</v>
      </c>
      <c r="G5133" s="1564" t="s">
        <v>2036</v>
      </c>
      <c r="H5133" s="1038" t="s">
        <v>10772</v>
      </c>
    </row>
    <row r="5134" spans="2:8">
      <c r="B5134" s="1560">
        <v>46289</v>
      </c>
      <c r="C5134" s="1038" t="s">
        <v>10654</v>
      </c>
      <c r="D5134" s="1038" t="s">
        <v>1409</v>
      </c>
      <c r="E5134" s="1038" t="s">
        <v>1420</v>
      </c>
      <c r="F5134" s="1562" t="s">
        <v>528</v>
      </c>
      <c r="G5134" s="1564" t="s">
        <v>10773</v>
      </c>
      <c r="H5134" s="1038" t="s">
        <v>10774</v>
      </c>
    </row>
    <row r="5135" spans="2:8">
      <c r="B5135" s="1560">
        <v>46289</v>
      </c>
      <c r="C5135" s="1038" t="s">
        <v>10654</v>
      </c>
      <c r="D5135" s="1038" t="s">
        <v>1410</v>
      </c>
      <c r="E5135" s="1038" t="s">
        <v>3359</v>
      </c>
      <c r="F5135" s="1562" t="s">
        <v>526</v>
      </c>
      <c r="G5135" s="1563">
        <v>107</v>
      </c>
      <c r="H5135" s="1038" t="s">
        <v>10775</v>
      </c>
    </row>
    <row r="5136" spans="2:8">
      <c r="B5136" s="1560">
        <v>46289</v>
      </c>
      <c r="C5136" s="1038" t="s">
        <v>10654</v>
      </c>
      <c r="D5136" s="1038" t="s">
        <v>1410</v>
      </c>
      <c r="E5136" s="1038" t="s">
        <v>3359</v>
      </c>
      <c r="F5136" s="1562" t="s">
        <v>527</v>
      </c>
      <c r="G5136" s="1563">
        <v>105</v>
      </c>
      <c r="H5136" s="1038" t="s">
        <v>10776</v>
      </c>
    </row>
    <row r="5137" spans="2:8">
      <c r="B5137" s="1560">
        <v>46289</v>
      </c>
      <c r="C5137" s="1038" t="s">
        <v>10654</v>
      </c>
      <c r="D5137" s="1038" t="s">
        <v>1410</v>
      </c>
      <c r="E5137" s="1038" t="s">
        <v>3359</v>
      </c>
      <c r="F5137" s="1562" t="s">
        <v>528</v>
      </c>
      <c r="G5137" s="1563">
        <v>110</v>
      </c>
      <c r="H5137" s="1038" t="s">
        <v>10777</v>
      </c>
    </row>
    <row r="5138" spans="2:8">
      <c r="B5138" s="1560">
        <v>46289</v>
      </c>
      <c r="C5138" s="1038" t="s">
        <v>10654</v>
      </c>
      <c r="D5138" s="1038" t="s">
        <v>1409</v>
      </c>
      <c r="E5138" s="1038" t="s">
        <v>1424</v>
      </c>
      <c r="F5138" s="1562" t="s">
        <v>526</v>
      </c>
      <c r="G5138" s="1563"/>
      <c r="H5138" s="1038" t="s">
        <v>10778</v>
      </c>
    </row>
    <row r="5139" spans="2:8">
      <c r="B5139" s="1560">
        <v>46289</v>
      </c>
      <c r="C5139" s="1038" t="s">
        <v>10654</v>
      </c>
      <c r="D5139" s="1038" t="s">
        <v>1409</v>
      </c>
      <c r="E5139" s="1038" t="s">
        <v>1424</v>
      </c>
      <c r="F5139" s="1562" t="s">
        <v>527</v>
      </c>
      <c r="G5139" s="1563"/>
      <c r="H5139" s="1038" t="s">
        <v>10779</v>
      </c>
    </row>
    <row r="5140" spans="2:8">
      <c r="B5140" s="1560">
        <v>46289</v>
      </c>
      <c r="C5140" s="1038" t="s">
        <v>10654</v>
      </c>
      <c r="D5140" s="1038" t="s">
        <v>1409</v>
      </c>
      <c r="E5140" s="1038" t="s">
        <v>1424</v>
      </c>
      <c r="F5140" s="1562" t="s">
        <v>528</v>
      </c>
      <c r="G5140" s="1563"/>
      <c r="H5140" s="1038" t="s">
        <v>10780</v>
      </c>
    </row>
    <row r="5141" spans="2:8">
      <c r="B5141" s="1560">
        <v>46289</v>
      </c>
      <c r="C5141" s="1038" t="s">
        <v>10654</v>
      </c>
      <c r="D5141" s="1038" t="s">
        <v>1410</v>
      </c>
      <c r="E5141" s="1038" t="s">
        <v>3366</v>
      </c>
      <c r="F5141" s="1562" t="s">
        <v>526</v>
      </c>
      <c r="G5141" s="1563">
        <v>2782</v>
      </c>
      <c r="H5141" s="1038" t="s">
        <v>10781</v>
      </c>
    </row>
    <row r="5142" spans="2:8">
      <c r="B5142" s="1560">
        <v>46289</v>
      </c>
      <c r="C5142" s="1038" t="s">
        <v>10654</v>
      </c>
      <c r="D5142" s="1038" t="s">
        <v>1410</v>
      </c>
      <c r="E5142" s="1038" t="s">
        <v>3366</v>
      </c>
      <c r="F5142" s="1562" t="s">
        <v>527</v>
      </c>
      <c r="G5142" s="1563">
        <v>2800</v>
      </c>
      <c r="H5142" s="1038" t="s">
        <v>10782</v>
      </c>
    </row>
    <row r="5143" spans="2:8">
      <c r="B5143" s="1560">
        <v>46289</v>
      </c>
      <c r="C5143" s="1038" t="s">
        <v>10654</v>
      </c>
      <c r="D5143" s="1038" t="s">
        <v>1410</v>
      </c>
      <c r="E5143" s="1038" t="s">
        <v>3366</v>
      </c>
      <c r="F5143" s="1562" t="s">
        <v>528</v>
      </c>
      <c r="G5143" s="1563">
        <v>2700</v>
      </c>
      <c r="H5143" s="1038" t="s">
        <v>10783</v>
      </c>
    </row>
    <row r="5144" spans="2:8">
      <c r="B5144" s="1560">
        <v>46289</v>
      </c>
      <c r="C5144" s="1038" t="s">
        <v>10654</v>
      </c>
      <c r="D5144" s="1038" t="s">
        <v>1410</v>
      </c>
      <c r="E5144" s="1038" t="s">
        <v>3370</v>
      </c>
      <c r="F5144" s="1562" t="s">
        <v>526</v>
      </c>
      <c r="G5144" s="1563" t="s">
        <v>1427</v>
      </c>
      <c r="H5144" s="1038" t="s">
        <v>10784</v>
      </c>
    </row>
    <row r="5145" spans="2:8">
      <c r="B5145" s="1560">
        <v>46289</v>
      </c>
      <c r="C5145" s="1038" t="s">
        <v>10654</v>
      </c>
      <c r="D5145" s="1038" t="s">
        <v>1410</v>
      </c>
      <c r="E5145" s="1038" t="s">
        <v>3370</v>
      </c>
      <c r="F5145" s="1562" t="s">
        <v>527</v>
      </c>
      <c r="G5145" s="1563" t="s">
        <v>1427</v>
      </c>
      <c r="H5145" s="1038" t="s">
        <v>10785</v>
      </c>
    </row>
    <row r="5146" spans="2:8">
      <c r="B5146" s="1560">
        <v>46289</v>
      </c>
      <c r="C5146" s="1038" t="s">
        <v>10654</v>
      </c>
      <c r="D5146" s="1038" t="s">
        <v>1410</v>
      </c>
      <c r="E5146" s="1038" t="s">
        <v>3370</v>
      </c>
      <c r="F5146" s="1562" t="s">
        <v>528</v>
      </c>
      <c r="G5146" s="1563" t="s">
        <v>1427</v>
      </c>
      <c r="H5146" s="1038" t="s">
        <v>10786</v>
      </c>
    </row>
    <row r="5147" spans="2:8">
      <c r="B5147" s="1560">
        <v>46289</v>
      </c>
      <c r="C5147" s="1038" t="s">
        <v>10654</v>
      </c>
      <c r="D5147" s="1038" t="s">
        <v>1410</v>
      </c>
      <c r="E5147" s="1038" t="s">
        <v>3374</v>
      </c>
      <c r="F5147" s="1562" t="s">
        <v>526</v>
      </c>
      <c r="G5147" s="1563">
        <v>1.9</v>
      </c>
      <c r="H5147" s="1038" t="s">
        <v>10787</v>
      </c>
    </row>
    <row r="5148" spans="2:8">
      <c r="B5148" s="1560">
        <v>46289</v>
      </c>
      <c r="C5148" s="1038" t="s">
        <v>10654</v>
      </c>
      <c r="D5148" s="1038" t="s">
        <v>1410</v>
      </c>
      <c r="E5148" s="1038" t="s">
        <v>3374</v>
      </c>
      <c r="F5148" s="1562" t="s">
        <v>527</v>
      </c>
      <c r="G5148" s="1563">
        <v>3</v>
      </c>
      <c r="H5148" s="1038" t="s">
        <v>10788</v>
      </c>
    </row>
    <row r="5149" spans="2:8">
      <c r="B5149" s="1560">
        <v>46289</v>
      </c>
      <c r="C5149" s="1038" t="s">
        <v>10654</v>
      </c>
      <c r="D5149" s="1038" t="s">
        <v>1410</v>
      </c>
      <c r="E5149" s="1038" t="s">
        <v>3374</v>
      </c>
      <c r="F5149" s="1562" t="s">
        <v>528</v>
      </c>
      <c r="G5149" s="1563">
        <v>2.4</v>
      </c>
      <c r="H5149" s="1038" t="s">
        <v>10789</v>
      </c>
    </row>
    <row r="5150" spans="2:8">
      <c r="B5150" s="1560">
        <v>46289</v>
      </c>
      <c r="C5150" s="1038" t="s">
        <v>10654</v>
      </c>
      <c r="D5150" s="1038" t="s">
        <v>1410</v>
      </c>
      <c r="E5150" s="1038" t="s">
        <v>3378</v>
      </c>
      <c r="F5150" s="1562" t="s">
        <v>526</v>
      </c>
      <c r="G5150" s="1563" t="s">
        <v>1430</v>
      </c>
      <c r="H5150" s="1038" t="s">
        <v>10790</v>
      </c>
    </row>
    <row r="5151" spans="2:8">
      <c r="B5151" s="1560">
        <v>46289</v>
      </c>
      <c r="C5151" s="1038" t="s">
        <v>10654</v>
      </c>
      <c r="D5151" s="1038" t="s">
        <v>1410</v>
      </c>
      <c r="E5151" s="1038" t="s">
        <v>3378</v>
      </c>
      <c r="F5151" s="1562" t="s">
        <v>527</v>
      </c>
      <c r="G5151" s="1563" t="s">
        <v>1430</v>
      </c>
      <c r="H5151" s="1038" t="s">
        <v>10791</v>
      </c>
    </row>
    <row r="5152" spans="2:8">
      <c r="B5152" s="1560">
        <v>46289</v>
      </c>
      <c r="C5152" s="1038" t="s">
        <v>10654</v>
      </c>
      <c r="D5152" s="1038" t="s">
        <v>1410</v>
      </c>
      <c r="E5152" s="1038" t="s">
        <v>3378</v>
      </c>
      <c r="F5152" s="1562" t="s">
        <v>528</v>
      </c>
      <c r="G5152" s="1563" t="s">
        <v>1430</v>
      </c>
      <c r="H5152" s="1038" t="s">
        <v>10792</v>
      </c>
    </row>
    <row r="5153" spans="2:8">
      <c r="B5153" s="1560">
        <v>46289</v>
      </c>
      <c r="C5153" s="1038" t="s">
        <v>10654</v>
      </c>
      <c r="D5153" s="1038" t="s">
        <v>1410</v>
      </c>
      <c r="E5153" s="1038" t="s">
        <v>3382</v>
      </c>
      <c r="F5153" s="1562" t="s">
        <v>526</v>
      </c>
      <c r="G5153" s="1563">
        <v>98</v>
      </c>
      <c r="H5153" s="1038" t="s">
        <v>10793</v>
      </c>
    </row>
    <row r="5154" spans="2:8">
      <c r="B5154" s="1560">
        <v>46289</v>
      </c>
      <c r="C5154" s="1038" t="s">
        <v>10654</v>
      </c>
      <c r="D5154" s="1038" t="s">
        <v>1410</v>
      </c>
      <c r="E5154" s="1038" t="s">
        <v>3382</v>
      </c>
      <c r="F5154" s="1562" t="s">
        <v>527</v>
      </c>
      <c r="G5154" s="1563">
        <v>100</v>
      </c>
      <c r="H5154" s="1038" t="s">
        <v>10794</v>
      </c>
    </row>
    <row r="5155" spans="2:8">
      <c r="B5155" s="1560">
        <v>46289</v>
      </c>
      <c r="C5155" s="1038" t="s">
        <v>10654</v>
      </c>
      <c r="D5155" s="1038" t="s">
        <v>1410</v>
      </c>
      <c r="E5155" s="1038" t="s">
        <v>3382</v>
      </c>
      <c r="F5155" s="1562" t="s">
        <v>528</v>
      </c>
      <c r="G5155" s="1563">
        <v>90</v>
      </c>
      <c r="H5155" s="1038" t="s">
        <v>10795</v>
      </c>
    </row>
    <row r="5156" spans="2:8">
      <c r="B5156" s="1560">
        <v>46289</v>
      </c>
      <c r="C5156" s="1038" t="s">
        <v>10654</v>
      </c>
      <c r="D5156" s="1038" t="s">
        <v>1409</v>
      </c>
      <c r="E5156" s="1038" t="s">
        <v>1431</v>
      </c>
      <c r="F5156" s="1562" t="s">
        <v>526</v>
      </c>
      <c r="G5156" s="1563"/>
      <c r="H5156" s="1038" t="s">
        <v>10796</v>
      </c>
    </row>
    <row r="5157" spans="2:8">
      <c r="B5157" s="1560">
        <v>46289</v>
      </c>
      <c r="C5157" s="1038" t="s">
        <v>10654</v>
      </c>
      <c r="D5157" s="1038" t="s">
        <v>1409</v>
      </c>
      <c r="E5157" s="1038" t="s">
        <v>1431</v>
      </c>
      <c r="F5157" s="1562" t="s">
        <v>527</v>
      </c>
      <c r="G5157" s="1563"/>
      <c r="H5157" s="1038" t="s">
        <v>10797</v>
      </c>
    </row>
    <row r="5158" spans="2:8">
      <c r="B5158" s="1560">
        <v>46289</v>
      </c>
      <c r="C5158" s="1038" t="s">
        <v>10654</v>
      </c>
      <c r="D5158" s="1038" t="s">
        <v>1409</v>
      </c>
      <c r="E5158" s="1038" t="s">
        <v>1431</v>
      </c>
      <c r="F5158" s="1562" t="s">
        <v>528</v>
      </c>
      <c r="G5158" s="1563"/>
      <c r="H5158" s="1038" t="s">
        <v>10798</v>
      </c>
    </row>
    <row r="5159" spans="2:8">
      <c r="B5159" s="1560">
        <v>46289</v>
      </c>
      <c r="C5159" s="1038" t="s">
        <v>10654</v>
      </c>
      <c r="D5159" s="1038" t="s">
        <v>1410</v>
      </c>
      <c r="E5159" s="1038" t="s">
        <v>3389</v>
      </c>
      <c r="F5159" s="1562" t="s">
        <v>526</v>
      </c>
      <c r="G5159" s="1563">
        <v>2755</v>
      </c>
      <c r="H5159" s="1038" t="s">
        <v>10799</v>
      </c>
    </row>
    <row r="5160" spans="2:8">
      <c r="B5160" s="1560">
        <v>46289</v>
      </c>
      <c r="C5160" s="1038" t="s">
        <v>10654</v>
      </c>
      <c r="D5160" s="1038" t="s">
        <v>1410</v>
      </c>
      <c r="E5160" s="1038" t="s">
        <v>3389</v>
      </c>
      <c r="F5160" s="1562" t="s">
        <v>527</v>
      </c>
      <c r="G5160" s="1563">
        <v>2800</v>
      </c>
      <c r="H5160" s="1038" t="s">
        <v>10800</v>
      </c>
    </row>
    <row r="5161" spans="2:8">
      <c r="B5161" s="1560">
        <v>46289</v>
      </c>
      <c r="C5161" s="1038" t="s">
        <v>10654</v>
      </c>
      <c r="D5161" s="1038" t="s">
        <v>1410</v>
      </c>
      <c r="E5161" s="1038" t="s">
        <v>3389</v>
      </c>
      <c r="F5161" s="1562" t="s">
        <v>528</v>
      </c>
      <c r="G5161" s="1563">
        <v>2800</v>
      </c>
      <c r="H5161" s="1038" t="s">
        <v>10801</v>
      </c>
    </row>
    <row r="5162" spans="2:8">
      <c r="B5162" s="1560">
        <v>46289</v>
      </c>
      <c r="C5162" s="1038" t="s">
        <v>10654</v>
      </c>
      <c r="D5162" s="1038" t="s">
        <v>1410</v>
      </c>
      <c r="E5162" s="1038" t="s">
        <v>3393</v>
      </c>
      <c r="F5162" s="1562" t="s">
        <v>526</v>
      </c>
      <c r="G5162" s="1563" t="s">
        <v>1663</v>
      </c>
      <c r="H5162" s="1038" t="s">
        <v>10802</v>
      </c>
    </row>
    <row r="5163" spans="2:8">
      <c r="B5163" s="1560">
        <v>46289</v>
      </c>
      <c r="C5163" s="1038" t="s">
        <v>10654</v>
      </c>
      <c r="D5163" s="1038" t="s">
        <v>1410</v>
      </c>
      <c r="E5163" s="1038" t="s">
        <v>3393</v>
      </c>
      <c r="F5163" s="1562" t="s">
        <v>527</v>
      </c>
      <c r="G5163" s="1563" t="s">
        <v>1663</v>
      </c>
      <c r="H5163" s="1038" t="s">
        <v>10803</v>
      </c>
    </row>
    <row r="5164" spans="2:8">
      <c r="B5164" s="1560">
        <v>46289</v>
      </c>
      <c r="C5164" s="1038" t="s">
        <v>10654</v>
      </c>
      <c r="D5164" s="1038" t="s">
        <v>1410</v>
      </c>
      <c r="E5164" s="1038" t="s">
        <v>3393</v>
      </c>
      <c r="F5164" s="1562" t="s">
        <v>528</v>
      </c>
      <c r="G5164" s="1563" t="s">
        <v>1663</v>
      </c>
      <c r="H5164" s="1038" t="s">
        <v>10804</v>
      </c>
    </row>
    <row r="5165" spans="2:8">
      <c r="B5165" s="1560">
        <v>46289</v>
      </c>
      <c r="C5165" s="1038" t="s">
        <v>10654</v>
      </c>
      <c r="D5165" s="1038" t="s">
        <v>1410</v>
      </c>
      <c r="E5165" s="1038" t="s">
        <v>3397</v>
      </c>
      <c r="F5165" s="1562" t="s">
        <v>526</v>
      </c>
      <c r="G5165" s="1563" t="s">
        <v>1435</v>
      </c>
      <c r="H5165" s="1038" t="s">
        <v>10805</v>
      </c>
    </row>
    <row r="5166" spans="2:8">
      <c r="B5166" s="1560">
        <v>46289</v>
      </c>
      <c r="C5166" s="1038" t="s">
        <v>10654</v>
      </c>
      <c r="D5166" s="1038" t="s">
        <v>1410</v>
      </c>
      <c r="E5166" s="1038" t="s">
        <v>3397</v>
      </c>
      <c r="F5166" s="1562" t="s">
        <v>527</v>
      </c>
      <c r="G5166" s="1563" t="s">
        <v>1435</v>
      </c>
      <c r="H5166" s="1038" t="s">
        <v>10806</v>
      </c>
    </row>
    <row r="5167" spans="2:8">
      <c r="B5167" s="1560">
        <v>46289</v>
      </c>
      <c r="C5167" s="1038" t="s">
        <v>10654</v>
      </c>
      <c r="D5167" s="1038" t="s">
        <v>1410</v>
      </c>
      <c r="E5167" s="1038" t="s">
        <v>3397</v>
      </c>
      <c r="F5167" s="1562" t="s">
        <v>528</v>
      </c>
      <c r="G5167" s="1563" t="s">
        <v>1435</v>
      </c>
      <c r="H5167" s="1038" t="s">
        <v>10807</v>
      </c>
    </row>
    <row r="5168" spans="2:8">
      <c r="B5168" s="1560">
        <v>46289</v>
      </c>
      <c r="C5168" s="1038" t="s">
        <v>10654</v>
      </c>
      <c r="D5168" s="1038" t="s">
        <v>1434</v>
      </c>
      <c r="E5168" s="1038" t="s">
        <v>42</v>
      </c>
      <c r="F5168" s="1562" t="s">
        <v>526</v>
      </c>
      <c r="G5168" s="1563" t="s">
        <v>10580</v>
      </c>
      <c r="H5168" s="1038" t="s">
        <v>10808</v>
      </c>
    </row>
    <row r="5169" spans="2:8">
      <c r="B5169" s="1560">
        <v>46289</v>
      </c>
      <c r="C5169" s="1038" t="s">
        <v>10654</v>
      </c>
      <c r="D5169" s="1038" t="s">
        <v>1434</v>
      </c>
      <c r="E5169" s="1038" t="s">
        <v>42</v>
      </c>
      <c r="F5169" s="1562" t="s">
        <v>527</v>
      </c>
      <c r="G5169" s="1563" t="s">
        <v>10580</v>
      </c>
      <c r="H5169" s="1038" t="s">
        <v>10809</v>
      </c>
    </row>
    <row r="5170" spans="2:8">
      <c r="B5170" s="1560">
        <v>46289</v>
      </c>
      <c r="C5170" s="1038" t="s">
        <v>10654</v>
      </c>
      <c r="D5170" s="1038" t="s">
        <v>1434</v>
      </c>
      <c r="E5170" s="1038" t="s">
        <v>42</v>
      </c>
      <c r="F5170" s="1562" t="s">
        <v>528</v>
      </c>
      <c r="G5170" s="1563" t="s">
        <v>10580</v>
      </c>
      <c r="H5170" s="1038" t="s">
        <v>10810</v>
      </c>
    </row>
    <row r="5171" spans="2:8">
      <c r="B5171" s="1560">
        <v>46289</v>
      </c>
      <c r="C5171" s="1038" t="s">
        <v>10654</v>
      </c>
      <c r="D5171" s="1038" t="s">
        <v>1410</v>
      </c>
      <c r="E5171" s="1038" t="s">
        <v>3404</v>
      </c>
      <c r="F5171" s="1562" t="s">
        <v>526</v>
      </c>
      <c r="G5171" s="1563" t="s">
        <v>1438</v>
      </c>
      <c r="H5171" s="1038" t="s">
        <v>10811</v>
      </c>
    </row>
    <row r="5172" spans="2:8">
      <c r="B5172" s="1560">
        <v>46289</v>
      </c>
      <c r="C5172" s="1038" t="s">
        <v>10654</v>
      </c>
      <c r="D5172" s="1038" t="s">
        <v>1410</v>
      </c>
      <c r="E5172" s="1038" t="s">
        <v>3404</v>
      </c>
      <c r="F5172" s="1562" t="s">
        <v>527</v>
      </c>
      <c r="G5172" s="1563" t="s">
        <v>1438</v>
      </c>
      <c r="H5172" s="1038" t="s">
        <v>10812</v>
      </c>
    </row>
    <row r="5173" spans="2:8">
      <c r="B5173" s="1560">
        <v>46289</v>
      </c>
      <c r="C5173" s="1038" t="s">
        <v>10654</v>
      </c>
      <c r="D5173" s="1038" t="s">
        <v>1410</v>
      </c>
      <c r="E5173" s="1038" t="s">
        <v>3404</v>
      </c>
      <c r="F5173" s="1562" t="s">
        <v>528</v>
      </c>
      <c r="G5173" s="1563" t="s">
        <v>1419</v>
      </c>
      <c r="H5173" s="1038" t="s">
        <v>10813</v>
      </c>
    </row>
    <row r="5174" spans="2:8">
      <c r="B5174" s="1560">
        <v>46289</v>
      </c>
      <c r="C5174" s="1038" t="s">
        <v>10654</v>
      </c>
      <c r="D5174" s="1038" t="s">
        <v>1434</v>
      </c>
      <c r="E5174" s="1038" t="s">
        <v>1439</v>
      </c>
      <c r="F5174" s="1562" t="s">
        <v>526</v>
      </c>
      <c r="G5174" s="1563" t="s">
        <v>9412</v>
      </c>
      <c r="H5174" s="1038" t="s">
        <v>10814</v>
      </c>
    </row>
    <row r="5175" spans="2:8">
      <c r="B5175" s="1560">
        <v>46289</v>
      </c>
      <c r="C5175" s="1038" t="s">
        <v>10654</v>
      </c>
      <c r="D5175" s="1038" t="s">
        <v>1434</v>
      </c>
      <c r="E5175" s="1038" t="s">
        <v>1439</v>
      </c>
      <c r="F5175" s="1562" t="s">
        <v>527</v>
      </c>
      <c r="G5175" s="1563" t="s">
        <v>9412</v>
      </c>
      <c r="H5175" s="1038" t="s">
        <v>10815</v>
      </c>
    </row>
    <row r="5176" spans="2:8">
      <c r="B5176" s="1560">
        <v>46289</v>
      </c>
      <c r="C5176" s="1038" t="s">
        <v>10654</v>
      </c>
      <c r="D5176" s="1038" t="s">
        <v>1434</v>
      </c>
      <c r="E5176" s="1038" t="s">
        <v>1439</v>
      </c>
      <c r="F5176" s="1562" t="s">
        <v>528</v>
      </c>
      <c r="G5176" s="1563" t="s">
        <v>9412</v>
      </c>
      <c r="H5176" s="1038" t="s">
        <v>10816</v>
      </c>
    </row>
    <row r="5177" spans="2:8">
      <c r="B5177" s="1560">
        <v>46289</v>
      </c>
      <c r="C5177" s="1038" t="s">
        <v>10654</v>
      </c>
      <c r="D5177" s="1038" t="s">
        <v>1410</v>
      </c>
      <c r="E5177" s="1038" t="s">
        <v>3411</v>
      </c>
      <c r="F5177" s="1562" t="s">
        <v>526</v>
      </c>
      <c r="G5177" s="1563">
        <v>34</v>
      </c>
      <c r="H5177" s="1038" t="s">
        <v>10817</v>
      </c>
    </row>
    <row r="5178" spans="2:8">
      <c r="B5178" s="1560">
        <v>46289</v>
      </c>
      <c r="C5178" s="1038" t="s">
        <v>10654</v>
      </c>
      <c r="D5178" s="1038" t="s">
        <v>1410</v>
      </c>
      <c r="E5178" s="1038" t="s">
        <v>3411</v>
      </c>
      <c r="F5178" s="1562" t="s">
        <v>527</v>
      </c>
      <c r="G5178" s="1563">
        <v>35</v>
      </c>
      <c r="H5178" s="1038" t="s">
        <v>10818</v>
      </c>
    </row>
    <row r="5179" spans="2:8">
      <c r="B5179" s="1560">
        <v>46289</v>
      </c>
      <c r="C5179" s="1038" t="s">
        <v>10654</v>
      </c>
      <c r="D5179" s="1038" t="s">
        <v>1410</v>
      </c>
      <c r="E5179" s="1038" t="s">
        <v>3411</v>
      </c>
      <c r="F5179" s="1562" t="s">
        <v>528</v>
      </c>
      <c r="G5179" s="1563">
        <v>36</v>
      </c>
      <c r="H5179" s="1038" t="s">
        <v>10819</v>
      </c>
    </row>
    <row r="5180" spans="2:8">
      <c r="B5180" s="1560">
        <v>46289</v>
      </c>
      <c r="C5180" s="1038" t="s">
        <v>10654</v>
      </c>
      <c r="D5180" s="1038" t="s">
        <v>1434</v>
      </c>
      <c r="E5180" s="1038" t="s">
        <v>43</v>
      </c>
      <c r="F5180" s="1562" t="s">
        <v>526</v>
      </c>
      <c r="G5180" s="1563" t="s">
        <v>10593</v>
      </c>
      <c r="H5180" s="1038" t="s">
        <v>10820</v>
      </c>
    </row>
    <row r="5181" spans="2:8">
      <c r="B5181" s="1560">
        <v>46289</v>
      </c>
      <c r="C5181" s="1038" t="s">
        <v>10654</v>
      </c>
      <c r="D5181" s="1038" t="s">
        <v>1434</v>
      </c>
      <c r="E5181" s="1038" t="s">
        <v>43</v>
      </c>
      <c r="F5181" s="1562" t="s">
        <v>527</v>
      </c>
      <c r="G5181" s="1563" t="s">
        <v>10593</v>
      </c>
      <c r="H5181" s="1038" t="s">
        <v>10821</v>
      </c>
    </row>
    <row r="5182" spans="2:8">
      <c r="B5182" s="1560">
        <v>46289</v>
      </c>
      <c r="C5182" s="1038" t="s">
        <v>10654</v>
      </c>
      <c r="D5182" s="1038" t="s">
        <v>1434</v>
      </c>
      <c r="E5182" s="1038" t="s">
        <v>43</v>
      </c>
      <c r="F5182" s="1562" t="s">
        <v>528</v>
      </c>
      <c r="G5182" s="1563" t="s">
        <v>10593</v>
      </c>
      <c r="H5182" s="1038" t="s">
        <v>10822</v>
      </c>
    </row>
    <row r="5183" spans="2:8">
      <c r="B5183" s="1560">
        <v>46289</v>
      </c>
      <c r="C5183" s="1038" t="s">
        <v>10654</v>
      </c>
      <c r="D5183" s="1038" t="s">
        <v>1410</v>
      </c>
      <c r="E5183" s="1038" t="s">
        <v>3418</v>
      </c>
      <c r="F5183" s="1562" t="s">
        <v>526</v>
      </c>
      <c r="G5183" s="1563">
        <v>100</v>
      </c>
      <c r="H5183" s="1038" t="s">
        <v>10823</v>
      </c>
    </row>
    <row r="5184" spans="2:8">
      <c r="B5184" s="1560">
        <v>46289</v>
      </c>
      <c r="C5184" s="1038" t="s">
        <v>10654</v>
      </c>
      <c r="D5184" s="1038" t="s">
        <v>1410</v>
      </c>
      <c r="E5184" s="1038" t="s">
        <v>3418</v>
      </c>
      <c r="F5184" s="1562" t="s">
        <v>527</v>
      </c>
      <c r="G5184" s="1563">
        <v>100</v>
      </c>
      <c r="H5184" s="1038" t="s">
        <v>10824</v>
      </c>
    </row>
    <row r="5185" spans="2:8">
      <c r="B5185" s="1560">
        <v>46289</v>
      </c>
      <c r="C5185" s="1038" t="s">
        <v>10654</v>
      </c>
      <c r="D5185" s="1038" t="s">
        <v>1410</v>
      </c>
      <c r="E5185" s="1038" t="s">
        <v>3418</v>
      </c>
      <c r="F5185" s="1562" t="s">
        <v>528</v>
      </c>
      <c r="G5185" s="1563">
        <v>108</v>
      </c>
      <c r="H5185" s="1038" t="s">
        <v>10825</v>
      </c>
    </row>
    <row r="5186" spans="2:8">
      <c r="B5186" s="1560">
        <v>46289</v>
      </c>
      <c r="C5186" s="1038" t="s">
        <v>10654</v>
      </c>
      <c r="D5186" s="1038" t="s">
        <v>1434</v>
      </c>
      <c r="E5186" s="1038" t="s">
        <v>1441</v>
      </c>
      <c r="F5186" s="1562" t="s">
        <v>526</v>
      </c>
      <c r="G5186" s="1563"/>
      <c r="H5186" s="1038" t="s">
        <v>10826</v>
      </c>
    </row>
    <row r="5187" spans="2:8">
      <c r="B5187" s="1560">
        <v>46289</v>
      </c>
      <c r="C5187" s="1038" t="s">
        <v>10654</v>
      </c>
      <c r="D5187" s="1038" t="s">
        <v>1434</v>
      </c>
      <c r="E5187" s="1038" t="s">
        <v>1441</v>
      </c>
      <c r="F5187" s="1562" t="s">
        <v>527</v>
      </c>
      <c r="G5187" s="1563"/>
      <c r="H5187" s="1038" t="s">
        <v>10827</v>
      </c>
    </row>
    <row r="5188" spans="2:8">
      <c r="B5188" s="1560">
        <v>46289</v>
      </c>
      <c r="C5188" s="1038" t="s">
        <v>10654</v>
      </c>
      <c r="D5188" s="1038" t="s">
        <v>1434</v>
      </c>
      <c r="E5188" s="1038" t="s">
        <v>1441</v>
      </c>
      <c r="F5188" s="1562" t="s">
        <v>528</v>
      </c>
      <c r="G5188" s="1563"/>
      <c r="H5188" s="1038" t="s">
        <v>10828</v>
      </c>
    </row>
    <row r="5189" spans="2:8">
      <c r="B5189" s="1560">
        <v>46289</v>
      </c>
      <c r="C5189" s="1038" t="s">
        <v>10654</v>
      </c>
      <c r="D5189" s="1038" t="s">
        <v>1410</v>
      </c>
      <c r="E5189" s="1038" t="s">
        <v>3425</v>
      </c>
      <c r="F5189" s="1562" t="s">
        <v>526</v>
      </c>
      <c r="G5189" s="1563" t="s">
        <v>1443</v>
      </c>
      <c r="H5189" s="1038" t="s">
        <v>10829</v>
      </c>
    </row>
    <row r="5190" spans="2:8">
      <c r="B5190" s="1560">
        <v>46289</v>
      </c>
      <c r="C5190" s="1038" t="s">
        <v>10654</v>
      </c>
      <c r="D5190" s="1038" t="s">
        <v>1410</v>
      </c>
      <c r="E5190" s="1038" t="s">
        <v>3425</v>
      </c>
      <c r="F5190" s="1562" t="s">
        <v>527</v>
      </c>
      <c r="G5190" s="1563" t="s">
        <v>1443</v>
      </c>
      <c r="H5190" s="1038" t="s">
        <v>10830</v>
      </c>
    </row>
    <row r="5191" spans="2:8">
      <c r="B5191" s="1560">
        <v>46289</v>
      </c>
      <c r="C5191" s="1038" t="s">
        <v>10654</v>
      </c>
      <c r="D5191" s="1038" t="s">
        <v>1410</v>
      </c>
      <c r="E5191" s="1038" t="s">
        <v>3425</v>
      </c>
      <c r="F5191" s="1562" t="s">
        <v>528</v>
      </c>
      <c r="G5191" s="1563" t="s">
        <v>1443</v>
      </c>
      <c r="H5191" s="1038" t="s">
        <v>10831</v>
      </c>
    </row>
    <row r="5192" spans="2:8">
      <c r="B5192" s="1560">
        <v>46289</v>
      </c>
      <c r="C5192" s="1038" t="s">
        <v>10654</v>
      </c>
      <c r="D5192" s="1038" t="s">
        <v>1434</v>
      </c>
      <c r="E5192" s="1038" t="s">
        <v>1444</v>
      </c>
      <c r="F5192" s="1562" t="s">
        <v>526</v>
      </c>
      <c r="G5192" s="1563"/>
      <c r="H5192" s="1038" t="s">
        <v>10832</v>
      </c>
    </row>
    <row r="5193" spans="2:8">
      <c r="B5193" s="1560">
        <v>46289</v>
      </c>
      <c r="C5193" s="1038" t="s">
        <v>10654</v>
      </c>
      <c r="D5193" s="1038" t="s">
        <v>1434</v>
      </c>
      <c r="E5193" s="1038" t="s">
        <v>1444</v>
      </c>
      <c r="F5193" s="1562" t="s">
        <v>527</v>
      </c>
      <c r="G5193" s="1563"/>
      <c r="H5193" s="1038" t="s">
        <v>10833</v>
      </c>
    </row>
    <row r="5194" spans="2:8">
      <c r="B5194" s="1560">
        <v>46289</v>
      </c>
      <c r="C5194" s="1038" t="s">
        <v>10654</v>
      </c>
      <c r="D5194" s="1038" t="s">
        <v>1434</v>
      </c>
      <c r="E5194" s="1038" t="s">
        <v>1444</v>
      </c>
      <c r="F5194" s="1562" t="s">
        <v>528</v>
      </c>
      <c r="G5194" s="1563"/>
      <c r="H5194" s="1038" t="s">
        <v>10834</v>
      </c>
    </row>
    <row r="5195" spans="2:8">
      <c r="B5195" s="1560">
        <v>46289</v>
      </c>
      <c r="C5195" s="1038" t="s">
        <v>10654</v>
      </c>
      <c r="D5195" s="1038" t="s">
        <v>1434</v>
      </c>
      <c r="E5195" s="1038" t="s">
        <v>1446</v>
      </c>
      <c r="F5195" s="1562" t="s">
        <v>526</v>
      </c>
      <c r="G5195" s="1563" t="s">
        <v>10835</v>
      </c>
      <c r="H5195" s="1038" t="s">
        <v>10836</v>
      </c>
    </row>
    <row r="5196" spans="2:8">
      <c r="B5196" s="1560">
        <v>46289</v>
      </c>
      <c r="C5196" s="1038" t="s">
        <v>10654</v>
      </c>
      <c r="D5196" s="1038" t="s">
        <v>1434</v>
      </c>
      <c r="E5196" s="1038" t="s">
        <v>1446</v>
      </c>
      <c r="F5196" s="1562" t="s">
        <v>527</v>
      </c>
      <c r="G5196" s="1563" t="s">
        <v>10837</v>
      </c>
      <c r="H5196" s="1038" t="s">
        <v>10838</v>
      </c>
    </row>
    <row r="5197" spans="2:8">
      <c r="B5197" s="1560">
        <v>46289</v>
      </c>
      <c r="C5197" s="1038" t="s">
        <v>10654</v>
      </c>
      <c r="D5197" s="1038" t="s">
        <v>1434</v>
      </c>
      <c r="E5197" s="1038" t="s">
        <v>1446</v>
      </c>
      <c r="F5197" s="1562" t="s">
        <v>528</v>
      </c>
      <c r="G5197" s="1563" t="s">
        <v>10839</v>
      </c>
      <c r="H5197" s="1038" t="s">
        <v>10840</v>
      </c>
    </row>
    <row r="5198" spans="2:8">
      <c r="B5198" s="1560">
        <v>46289</v>
      </c>
      <c r="C5198" s="1038" t="s">
        <v>10654</v>
      </c>
      <c r="D5198" s="1038" t="s">
        <v>1410</v>
      </c>
      <c r="E5198" s="1038" t="s">
        <v>3435</v>
      </c>
      <c r="F5198" s="1562" t="s">
        <v>526</v>
      </c>
      <c r="G5198" s="1563" t="s">
        <v>1586</v>
      </c>
      <c r="H5198" s="1038" t="s">
        <v>10841</v>
      </c>
    </row>
    <row r="5199" spans="2:8">
      <c r="B5199" s="1560">
        <v>46289</v>
      </c>
      <c r="C5199" s="1038" t="s">
        <v>10654</v>
      </c>
      <c r="D5199" s="1038" t="s">
        <v>1410</v>
      </c>
      <c r="E5199" s="1038" t="s">
        <v>3435</v>
      </c>
      <c r="F5199" s="1562" t="s">
        <v>527</v>
      </c>
      <c r="G5199" s="1563" t="s">
        <v>1586</v>
      </c>
      <c r="H5199" s="1038" t="s">
        <v>10842</v>
      </c>
    </row>
    <row r="5200" spans="2:8">
      <c r="B5200" s="1560">
        <v>46289</v>
      </c>
      <c r="C5200" s="1038" t="s">
        <v>10654</v>
      </c>
      <c r="D5200" s="1038" t="s">
        <v>1410</v>
      </c>
      <c r="E5200" s="1038" t="s">
        <v>3435</v>
      </c>
      <c r="F5200" s="1562" t="s">
        <v>528</v>
      </c>
      <c r="G5200" s="1563" t="s">
        <v>1586</v>
      </c>
      <c r="H5200" s="1038" t="s">
        <v>10843</v>
      </c>
    </row>
    <row r="5201" spans="2:8">
      <c r="B5201" s="1560">
        <v>46289</v>
      </c>
      <c r="C5201" s="1038" t="s">
        <v>10654</v>
      </c>
      <c r="D5201" s="1038" t="s">
        <v>1434</v>
      </c>
      <c r="E5201" s="1038" t="s">
        <v>3439</v>
      </c>
      <c r="F5201" s="1562" t="s">
        <v>526</v>
      </c>
      <c r="G5201" s="1563"/>
      <c r="H5201" s="1038" t="s">
        <v>10844</v>
      </c>
    </row>
    <row r="5202" spans="2:8">
      <c r="B5202" s="1560">
        <v>46289</v>
      </c>
      <c r="C5202" s="1038" t="s">
        <v>10654</v>
      </c>
      <c r="D5202" s="1038" t="s">
        <v>1434</v>
      </c>
      <c r="E5202" s="1038" t="s">
        <v>3439</v>
      </c>
      <c r="F5202" s="1562" t="s">
        <v>527</v>
      </c>
      <c r="G5202" s="1563"/>
      <c r="H5202" s="1038" t="s">
        <v>10845</v>
      </c>
    </row>
    <row r="5203" spans="2:8">
      <c r="B5203" s="1560">
        <v>46289</v>
      </c>
      <c r="C5203" s="1038" t="s">
        <v>10654</v>
      </c>
      <c r="D5203" s="1038" t="s">
        <v>1434</v>
      </c>
      <c r="E5203" s="1038" t="s">
        <v>3439</v>
      </c>
      <c r="F5203" s="1562" t="s">
        <v>528</v>
      </c>
      <c r="G5203" s="1563"/>
      <c r="H5203" s="1038" t="s">
        <v>10846</v>
      </c>
    </row>
    <row r="5204" spans="2:8">
      <c r="B5204" s="1560">
        <v>46289</v>
      </c>
      <c r="C5204" s="1038" t="s">
        <v>10654</v>
      </c>
      <c r="D5204" s="1038" t="s">
        <v>1410</v>
      </c>
      <c r="E5204" s="1038" t="s">
        <v>3443</v>
      </c>
      <c r="F5204" s="1562" t="s">
        <v>526</v>
      </c>
      <c r="G5204" s="1563"/>
      <c r="H5204" s="1038" t="s">
        <v>10847</v>
      </c>
    </row>
    <row r="5205" spans="2:8">
      <c r="B5205" s="1560">
        <v>46289</v>
      </c>
      <c r="C5205" s="1038" t="s">
        <v>10654</v>
      </c>
      <c r="D5205" s="1038" t="s">
        <v>1410</v>
      </c>
      <c r="E5205" s="1038" t="s">
        <v>3443</v>
      </c>
      <c r="F5205" s="1562" t="s">
        <v>527</v>
      </c>
      <c r="G5205" s="1563"/>
      <c r="H5205" s="1038" t="s">
        <v>10848</v>
      </c>
    </row>
    <row r="5206" spans="2:8">
      <c r="B5206" s="1560">
        <v>46289</v>
      </c>
      <c r="C5206" s="1038" t="s">
        <v>10654</v>
      </c>
      <c r="D5206" s="1038" t="s">
        <v>1410</v>
      </c>
      <c r="E5206" s="1038" t="s">
        <v>3443</v>
      </c>
      <c r="F5206" s="1562" t="s">
        <v>528</v>
      </c>
      <c r="G5206" s="1563"/>
      <c r="H5206" s="1038" t="s">
        <v>10849</v>
      </c>
    </row>
    <row r="5207" spans="2:8">
      <c r="B5207" s="1560">
        <v>46289</v>
      </c>
      <c r="C5207" s="1038" t="s">
        <v>10654</v>
      </c>
      <c r="D5207" s="1038" t="s">
        <v>1434</v>
      </c>
      <c r="E5207" s="1038" t="s">
        <v>3447</v>
      </c>
      <c r="F5207" s="1562" t="s">
        <v>526</v>
      </c>
      <c r="G5207" s="1563"/>
      <c r="H5207" s="1038" t="s">
        <v>10850</v>
      </c>
    </row>
    <row r="5208" spans="2:8">
      <c r="B5208" s="1560">
        <v>46289</v>
      </c>
      <c r="C5208" s="1038" t="s">
        <v>10654</v>
      </c>
      <c r="D5208" s="1038" t="s">
        <v>1434</v>
      </c>
      <c r="E5208" s="1038" t="s">
        <v>3447</v>
      </c>
      <c r="F5208" s="1562" t="s">
        <v>527</v>
      </c>
      <c r="G5208" s="1563"/>
      <c r="H5208" s="1038" t="s">
        <v>10851</v>
      </c>
    </row>
    <row r="5209" spans="2:8">
      <c r="B5209" s="1560">
        <v>46289</v>
      </c>
      <c r="C5209" s="1038" t="s">
        <v>10654</v>
      </c>
      <c r="D5209" s="1038" t="s">
        <v>1434</v>
      </c>
      <c r="E5209" s="1038" t="s">
        <v>3447</v>
      </c>
      <c r="F5209" s="1562" t="s">
        <v>528</v>
      </c>
      <c r="G5209" s="1563"/>
      <c r="H5209" s="1038" t="s">
        <v>10852</v>
      </c>
    </row>
    <row r="5210" spans="2:8">
      <c r="B5210" s="1560">
        <v>46289</v>
      </c>
      <c r="C5210" s="1038" t="s">
        <v>10654</v>
      </c>
      <c r="D5210" s="1038" t="s">
        <v>1410</v>
      </c>
      <c r="E5210" s="1038" t="s">
        <v>3451</v>
      </c>
      <c r="F5210" s="1562" t="s">
        <v>526</v>
      </c>
      <c r="G5210" s="1563"/>
      <c r="H5210" s="1038" t="s">
        <v>10853</v>
      </c>
    </row>
    <row r="5211" spans="2:8">
      <c r="B5211" s="1560">
        <v>46289</v>
      </c>
      <c r="C5211" s="1038" t="s">
        <v>10654</v>
      </c>
      <c r="D5211" s="1038" t="s">
        <v>1410</v>
      </c>
      <c r="E5211" s="1038" t="s">
        <v>3451</v>
      </c>
      <c r="F5211" s="1562" t="s">
        <v>527</v>
      </c>
      <c r="G5211" s="1563"/>
      <c r="H5211" s="1038" t="s">
        <v>10854</v>
      </c>
    </row>
    <row r="5212" spans="2:8">
      <c r="B5212" s="1560">
        <v>46289</v>
      </c>
      <c r="C5212" s="1038" t="s">
        <v>10654</v>
      </c>
      <c r="D5212" s="1038" t="s">
        <v>1410</v>
      </c>
      <c r="E5212" s="1038" t="s">
        <v>3451</v>
      </c>
      <c r="F5212" s="1562" t="s">
        <v>528</v>
      </c>
      <c r="G5212" s="1563"/>
      <c r="H5212" s="1038" t="s">
        <v>10855</v>
      </c>
    </row>
    <row r="5213" spans="2:8">
      <c r="B5213" s="1560">
        <v>46289</v>
      </c>
      <c r="C5213" s="1038" t="s">
        <v>10654</v>
      </c>
      <c r="D5213" s="1038" t="s">
        <v>1434</v>
      </c>
      <c r="E5213" s="1038" t="s">
        <v>3455</v>
      </c>
      <c r="F5213" s="1562" t="s">
        <v>526</v>
      </c>
      <c r="G5213" s="1563"/>
      <c r="H5213" s="1038" t="s">
        <v>10856</v>
      </c>
    </row>
    <row r="5214" spans="2:8">
      <c r="B5214" s="1560">
        <v>46289</v>
      </c>
      <c r="C5214" s="1038" t="s">
        <v>10654</v>
      </c>
      <c r="D5214" s="1038" t="s">
        <v>1434</v>
      </c>
      <c r="E5214" s="1038" t="s">
        <v>3455</v>
      </c>
      <c r="F5214" s="1562" t="s">
        <v>527</v>
      </c>
      <c r="G5214" s="1563"/>
      <c r="H5214" s="1038" t="s">
        <v>10857</v>
      </c>
    </row>
    <row r="5215" spans="2:8">
      <c r="B5215" s="1560">
        <v>46289</v>
      </c>
      <c r="C5215" s="1038" t="s">
        <v>10654</v>
      </c>
      <c r="D5215" s="1038" t="s">
        <v>1434</v>
      </c>
      <c r="E5215" s="1038" t="s">
        <v>3455</v>
      </c>
      <c r="F5215" s="1562" t="s">
        <v>528</v>
      </c>
      <c r="G5215" s="1563"/>
      <c r="H5215" s="1038" t="s">
        <v>10858</v>
      </c>
    </row>
    <row r="5216" spans="2:8">
      <c r="B5216" s="1560">
        <v>46289</v>
      </c>
      <c r="C5216" s="1038" t="s">
        <v>10654</v>
      </c>
      <c r="D5216" s="1038" t="s">
        <v>1410</v>
      </c>
      <c r="E5216" s="1038" t="s">
        <v>3459</v>
      </c>
      <c r="F5216" s="1562" t="s">
        <v>526</v>
      </c>
      <c r="G5216" s="1563">
        <v>29</v>
      </c>
      <c r="H5216" s="1038" t="s">
        <v>10859</v>
      </c>
    </row>
    <row r="5217" spans="2:8">
      <c r="B5217" s="1560">
        <v>46289</v>
      </c>
      <c r="C5217" s="1038" t="s">
        <v>10654</v>
      </c>
      <c r="D5217" s="1038" t="s">
        <v>1410</v>
      </c>
      <c r="E5217" s="1038" t="s">
        <v>3459</v>
      </c>
      <c r="F5217" s="1562" t="s">
        <v>527</v>
      </c>
      <c r="G5217" s="1563">
        <v>26</v>
      </c>
      <c r="H5217" s="1038" t="s">
        <v>10860</v>
      </c>
    </row>
    <row r="5218" spans="2:8">
      <c r="B5218" s="1560">
        <v>46289</v>
      </c>
      <c r="C5218" s="1038" t="s">
        <v>10654</v>
      </c>
      <c r="D5218" s="1038" t="s">
        <v>1410</v>
      </c>
      <c r="E5218" s="1038" t="s">
        <v>3459</v>
      </c>
      <c r="F5218" s="1562" t="s">
        <v>528</v>
      </c>
      <c r="G5218" s="1563">
        <v>28</v>
      </c>
      <c r="H5218" s="1038" t="s">
        <v>10861</v>
      </c>
    </row>
    <row r="5219" spans="2:8">
      <c r="B5219" s="1560">
        <v>46289</v>
      </c>
      <c r="C5219" s="1038" t="s">
        <v>10654</v>
      </c>
      <c r="D5219" s="1038" t="s">
        <v>1434</v>
      </c>
      <c r="E5219" s="1038" t="s">
        <v>3463</v>
      </c>
      <c r="F5219" s="1562" t="s">
        <v>526</v>
      </c>
      <c r="G5219" s="1563"/>
      <c r="H5219" s="1038" t="s">
        <v>10862</v>
      </c>
    </row>
    <row r="5220" spans="2:8">
      <c r="B5220" s="1560">
        <v>46289</v>
      </c>
      <c r="C5220" s="1038" t="s">
        <v>10654</v>
      </c>
      <c r="D5220" s="1038" t="s">
        <v>1434</v>
      </c>
      <c r="E5220" s="1038" t="s">
        <v>3463</v>
      </c>
      <c r="F5220" s="1562" t="s">
        <v>527</v>
      </c>
      <c r="G5220" s="1563"/>
      <c r="H5220" s="1038" t="s">
        <v>10863</v>
      </c>
    </row>
    <row r="5221" spans="2:8">
      <c r="B5221" s="1560">
        <v>46289</v>
      </c>
      <c r="C5221" s="1038" t="s">
        <v>10654</v>
      </c>
      <c r="D5221" s="1038" t="s">
        <v>1434</v>
      </c>
      <c r="E5221" s="1038" t="s">
        <v>3463</v>
      </c>
      <c r="F5221" s="1562" t="s">
        <v>528</v>
      </c>
      <c r="G5221" s="1563"/>
      <c r="H5221" s="1038" t="s">
        <v>10864</v>
      </c>
    </row>
    <row r="5222" spans="2:8">
      <c r="B5222" s="1560">
        <v>46289</v>
      </c>
      <c r="C5222" s="1038" t="s">
        <v>10654</v>
      </c>
      <c r="D5222" s="1038" t="s">
        <v>1410</v>
      </c>
      <c r="E5222" s="1038" t="s">
        <v>3467</v>
      </c>
      <c r="F5222" s="1562" t="s">
        <v>526</v>
      </c>
      <c r="G5222" s="1563">
        <v>29</v>
      </c>
      <c r="H5222" s="1038" t="s">
        <v>10865</v>
      </c>
    </row>
    <row r="5223" spans="2:8">
      <c r="B5223" s="1560">
        <v>46289</v>
      </c>
      <c r="C5223" s="1038" t="s">
        <v>10654</v>
      </c>
      <c r="D5223" s="1038" t="s">
        <v>1410</v>
      </c>
      <c r="E5223" s="1038" t="s">
        <v>3467</v>
      </c>
      <c r="F5223" s="1562" t="s">
        <v>527</v>
      </c>
      <c r="G5223" s="1563">
        <v>26</v>
      </c>
      <c r="H5223" s="1038" t="s">
        <v>10866</v>
      </c>
    </row>
    <row r="5224" spans="2:8">
      <c r="B5224" s="1560">
        <v>46289</v>
      </c>
      <c r="C5224" s="1038" t="s">
        <v>10654</v>
      </c>
      <c r="D5224" s="1038" t="s">
        <v>1410</v>
      </c>
      <c r="E5224" s="1038" t="s">
        <v>3467</v>
      </c>
      <c r="F5224" s="1562" t="s">
        <v>528</v>
      </c>
      <c r="G5224" s="1563">
        <v>28</v>
      </c>
      <c r="H5224" s="1038" t="s">
        <v>10867</v>
      </c>
    </row>
    <row r="5225" spans="2:8">
      <c r="B5225" s="1560">
        <v>46289</v>
      </c>
      <c r="C5225" s="1038" t="s">
        <v>10654</v>
      </c>
      <c r="D5225" s="1038" t="s">
        <v>1434</v>
      </c>
      <c r="E5225" s="1038" t="s">
        <v>3471</v>
      </c>
      <c r="F5225" s="1562" t="s">
        <v>526</v>
      </c>
      <c r="G5225" s="1563"/>
      <c r="H5225" s="1038" t="s">
        <v>10868</v>
      </c>
    </row>
    <row r="5226" spans="2:8">
      <c r="B5226" s="1560">
        <v>46289</v>
      </c>
      <c r="C5226" s="1038" t="s">
        <v>10654</v>
      </c>
      <c r="D5226" s="1038" t="s">
        <v>1434</v>
      </c>
      <c r="E5226" s="1038" t="s">
        <v>3471</v>
      </c>
      <c r="F5226" s="1562" t="s">
        <v>527</v>
      </c>
      <c r="G5226" s="1563"/>
      <c r="H5226" s="1038" t="s">
        <v>10869</v>
      </c>
    </row>
    <row r="5227" spans="2:8">
      <c r="B5227" s="1560">
        <v>46289</v>
      </c>
      <c r="C5227" s="1038" t="s">
        <v>10654</v>
      </c>
      <c r="D5227" s="1038" t="s">
        <v>1434</v>
      </c>
      <c r="E5227" s="1038" t="s">
        <v>3471</v>
      </c>
      <c r="F5227" s="1562" t="s">
        <v>528</v>
      </c>
      <c r="G5227" s="1563"/>
      <c r="H5227" s="1038" t="s">
        <v>10870</v>
      </c>
    </row>
    <row r="5228" spans="2:8">
      <c r="B5228" s="1560">
        <v>46289</v>
      </c>
      <c r="C5228" s="1038" t="s">
        <v>10654</v>
      </c>
      <c r="D5228" s="1038" t="s">
        <v>1410</v>
      </c>
      <c r="E5228" s="1038" t="s">
        <v>3475</v>
      </c>
      <c r="F5228" s="1562" t="s">
        <v>526</v>
      </c>
      <c r="G5228" s="1563">
        <v>17</v>
      </c>
      <c r="H5228" s="1038" t="s">
        <v>10871</v>
      </c>
    </row>
    <row r="5229" spans="2:8">
      <c r="B5229" s="1560">
        <v>46289</v>
      </c>
      <c r="C5229" s="1038" t="s">
        <v>10654</v>
      </c>
      <c r="D5229" s="1038" t="s">
        <v>1410</v>
      </c>
      <c r="E5229" s="1038" t="s">
        <v>3475</v>
      </c>
      <c r="F5229" s="1562" t="s">
        <v>527</v>
      </c>
      <c r="G5229" s="1563">
        <v>16</v>
      </c>
      <c r="H5229" s="1038" t="s">
        <v>10872</v>
      </c>
    </row>
    <row r="5230" spans="2:8">
      <c r="B5230" s="1560">
        <v>46289</v>
      </c>
      <c r="C5230" s="1038" t="s">
        <v>10654</v>
      </c>
      <c r="D5230" s="1038" t="s">
        <v>1410</v>
      </c>
      <c r="E5230" s="1038" t="s">
        <v>3475</v>
      </c>
      <c r="F5230" s="1562" t="s">
        <v>528</v>
      </c>
      <c r="G5230" s="1563">
        <v>18</v>
      </c>
      <c r="H5230" s="1038" t="s">
        <v>10873</v>
      </c>
    </row>
    <row r="5231" spans="2:8">
      <c r="B5231" s="1560">
        <v>46289</v>
      </c>
      <c r="C5231" s="1038" t="s">
        <v>10654</v>
      </c>
      <c r="D5231" s="1038" t="s">
        <v>1434</v>
      </c>
      <c r="E5231" s="1038" t="s">
        <v>3479</v>
      </c>
      <c r="F5231" s="1562" t="s">
        <v>526</v>
      </c>
      <c r="G5231" s="1563"/>
      <c r="H5231" s="1038" t="s">
        <v>10874</v>
      </c>
    </row>
    <row r="5232" spans="2:8">
      <c r="B5232" s="1560">
        <v>46289</v>
      </c>
      <c r="C5232" s="1038" t="s">
        <v>10654</v>
      </c>
      <c r="D5232" s="1038" t="s">
        <v>1434</v>
      </c>
      <c r="E5232" s="1038" t="s">
        <v>3479</v>
      </c>
      <c r="F5232" s="1562" t="s">
        <v>527</v>
      </c>
      <c r="G5232" s="1563"/>
      <c r="H5232" s="1038" t="s">
        <v>10875</v>
      </c>
    </row>
    <row r="5233" spans="2:8">
      <c r="B5233" s="1560">
        <v>46289</v>
      </c>
      <c r="C5233" s="1038" t="s">
        <v>10654</v>
      </c>
      <c r="D5233" s="1038" t="s">
        <v>1434</v>
      </c>
      <c r="E5233" s="1038" t="s">
        <v>3479</v>
      </c>
      <c r="F5233" s="1562" t="s">
        <v>528</v>
      </c>
      <c r="G5233" s="1563"/>
      <c r="H5233" s="1038" t="s">
        <v>10876</v>
      </c>
    </row>
    <row r="5234" spans="2:8">
      <c r="B5234" s="1560">
        <v>46289</v>
      </c>
      <c r="C5234" s="1038" t="s">
        <v>10654</v>
      </c>
      <c r="D5234" s="1038" t="s">
        <v>1410</v>
      </c>
      <c r="E5234" s="1038" t="s">
        <v>3483</v>
      </c>
      <c r="F5234" s="1562" t="s">
        <v>526</v>
      </c>
      <c r="G5234" s="1563">
        <v>5</v>
      </c>
      <c r="H5234" s="1038" t="s">
        <v>10877</v>
      </c>
    </row>
    <row r="5235" spans="2:8">
      <c r="B5235" s="1560">
        <v>46289</v>
      </c>
      <c r="C5235" s="1038" t="s">
        <v>10654</v>
      </c>
      <c r="D5235" s="1038" t="s">
        <v>1410</v>
      </c>
      <c r="E5235" s="1038" t="s">
        <v>3483</v>
      </c>
      <c r="F5235" s="1562" t="s">
        <v>527</v>
      </c>
      <c r="G5235" s="1563">
        <v>5</v>
      </c>
      <c r="H5235" s="1038" t="s">
        <v>10878</v>
      </c>
    </row>
    <row r="5236" spans="2:8">
      <c r="B5236" s="1560">
        <v>46289</v>
      </c>
      <c r="C5236" s="1038" t="s">
        <v>10654</v>
      </c>
      <c r="D5236" s="1038" t="s">
        <v>1410</v>
      </c>
      <c r="E5236" s="1038" t="s">
        <v>3483</v>
      </c>
      <c r="F5236" s="1562" t="s">
        <v>528</v>
      </c>
      <c r="G5236" s="1563">
        <v>5</v>
      </c>
      <c r="H5236" s="1038" t="s">
        <v>10879</v>
      </c>
    </row>
    <row r="5237" spans="2:8">
      <c r="B5237" s="1560">
        <v>46290</v>
      </c>
      <c r="C5237" s="1038" t="s">
        <v>10880</v>
      </c>
      <c r="D5237" s="1038" t="s">
        <v>1375</v>
      </c>
      <c r="E5237" s="1038" t="s">
        <v>1377</v>
      </c>
      <c r="F5237" s="1562" t="s">
        <v>526</v>
      </c>
      <c r="G5237" s="1563" t="s">
        <v>1378</v>
      </c>
      <c r="H5237" s="1038" t="s">
        <v>10881</v>
      </c>
    </row>
    <row r="5238" spans="2:8">
      <c r="B5238" s="1560">
        <v>46290</v>
      </c>
      <c r="C5238" s="1038" t="s">
        <v>10880</v>
      </c>
      <c r="D5238" s="1038" t="s">
        <v>1375</v>
      </c>
      <c r="E5238" s="1038" t="s">
        <v>1377</v>
      </c>
      <c r="F5238" s="1562" t="s">
        <v>527</v>
      </c>
      <c r="G5238" s="1563" t="s">
        <v>1378</v>
      </c>
      <c r="H5238" s="1038" t="s">
        <v>10882</v>
      </c>
    </row>
    <row r="5239" spans="2:8">
      <c r="B5239" s="1560">
        <v>46290</v>
      </c>
      <c r="C5239" s="1038" t="s">
        <v>10880</v>
      </c>
      <c r="D5239" s="1038" t="s">
        <v>1375</v>
      </c>
      <c r="E5239" s="1038" t="s">
        <v>1377</v>
      </c>
      <c r="F5239" s="1562" t="s">
        <v>528</v>
      </c>
      <c r="G5239" s="1563" t="s">
        <v>1378</v>
      </c>
      <c r="H5239" s="1038" t="s">
        <v>10883</v>
      </c>
    </row>
    <row r="5240" spans="2:8">
      <c r="B5240" s="1560">
        <v>46290</v>
      </c>
      <c r="C5240" s="1038" t="s">
        <v>10880</v>
      </c>
      <c r="D5240" s="1038" t="s">
        <v>1376</v>
      </c>
      <c r="E5240" s="1038" t="s">
        <v>1379</v>
      </c>
      <c r="F5240" s="1562" t="s">
        <v>526</v>
      </c>
      <c r="G5240" s="1563"/>
      <c r="H5240" s="1038" t="s">
        <v>10884</v>
      </c>
    </row>
    <row r="5241" spans="2:8">
      <c r="B5241" s="1560">
        <v>46290</v>
      </c>
      <c r="C5241" s="1038" t="s">
        <v>10880</v>
      </c>
      <c r="D5241" s="1038" t="s">
        <v>1376</v>
      </c>
      <c r="E5241" s="1038" t="s">
        <v>1379</v>
      </c>
      <c r="F5241" s="1562" t="s">
        <v>527</v>
      </c>
      <c r="G5241" s="1563"/>
      <c r="H5241" s="1038" t="s">
        <v>10885</v>
      </c>
    </row>
    <row r="5242" spans="2:8">
      <c r="B5242" s="1560">
        <v>46290</v>
      </c>
      <c r="C5242" s="1038" t="s">
        <v>10880</v>
      </c>
      <c r="D5242" s="1038" t="s">
        <v>1376</v>
      </c>
      <c r="E5242" s="1038" t="s">
        <v>1379</v>
      </c>
      <c r="F5242" s="1562" t="s">
        <v>528</v>
      </c>
      <c r="G5242" s="1563"/>
      <c r="H5242" s="1038" t="s">
        <v>10886</v>
      </c>
    </row>
    <row r="5243" spans="2:8">
      <c r="B5243" s="1560">
        <v>46290</v>
      </c>
      <c r="C5243" s="1038" t="s">
        <v>10880</v>
      </c>
      <c r="D5243" s="1038" t="s">
        <v>1375</v>
      </c>
      <c r="E5243" s="1038" t="s">
        <v>1380</v>
      </c>
      <c r="F5243" s="1562" t="s">
        <v>526</v>
      </c>
      <c r="G5243" s="1563" t="s">
        <v>2121</v>
      </c>
      <c r="H5243" s="1038" t="s">
        <v>10887</v>
      </c>
    </row>
    <row r="5244" spans="2:8">
      <c r="B5244" s="1560">
        <v>46290</v>
      </c>
      <c r="C5244" s="1038" t="s">
        <v>10880</v>
      </c>
      <c r="D5244" s="1038" t="s">
        <v>1375</v>
      </c>
      <c r="E5244" s="1038" t="s">
        <v>1380</v>
      </c>
      <c r="F5244" s="1562" t="s">
        <v>527</v>
      </c>
      <c r="G5244" s="1564" t="s">
        <v>10888</v>
      </c>
      <c r="H5244" s="1038" t="s">
        <v>10889</v>
      </c>
    </row>
    <row r="5245" spans="2:8">
      <c r="B5245" s="1560">
        <v>46290</v>
      </c>
      <c r="C5245" s="1038" t="s">
        <v>10880</v>
      </c>
      <c r="D5245" s="1038" t="s">
        <v>1375</v>
      </c>
      <c r="E5245" s="1038" t="s">
        <v>1380</v>
      </c>
      <c r="F5245" s="1562" t="s">
        <v>528</v>
      </c>
      <c r="G5245" s="1564" t="s">
        <v>10888</v>
      </c>
      <c r="H5245" s="1038" t="s">
        <v>10890</v>
      </c>
    </row>
    <row r="5246" spans="2:8">
      <c r="B5246" s="1560">
        <v>46290</v>
      </c>
      <c r="C5246" s="1038" t="s">
        <v>10880</v>
      </c>
      <c r="D5246" s="1038" t="s">
        <v>1376</v>
      </c>
      <c r="E5246" s="1038" t="s">
        <v>1383</v>
      </c>
      <c r="F5246" s="1562" t="s">
        <v>526</v>
      </c>
      <c r="G5246" s="1563">
        <v>0</v>
      </c>
      <c r="H5246" s="1038" t="s">
        <v>10891</v>
      </c>
    </row>
    <row r="5247" spans="2:8">
      <c r="B5247" s="1560">
        <v>46290</v>
      </c>
      <c r="C5247" s="1038" t="s">
        <v>10880</v>
      </c>
      <c r="D5247" s="1038" t="s">
        <v>1376</v>
      </c>
      <c r="E5247" s="1038" t="s">
        <v>1383</v>
      </c>
      <c r="F5247" s="1562" t="s">
        <v>527</v>
      </c>
      <c r="G5247" s="1563">
        <v>0</v>
      </c>
      <c r="H5247" s="1038" t="s">
        <v>10892</v>
      </c>
    </row>
    <row r="5248" spans="2:8">
      <c r="B5248" s="1560">
        <v>46290</v>
      </c>
      <c r="C5248" s="1038" t="s">
        <v>10880</v>
      </c>
      <c r="D5248" s="1038" t="s">
        <v>1376</v>
      </c>
      <c r="E5248" s="1038" t="s">
        <v>1383</v>
      </c>
      <c r="F5248" s="1562" t="s">
        <v>528</v>
      </c>
      <c r="G5248" s="1563">
        <v>0</v>
      </c>
      <c r="H5248" s="1038" t="s">
        <v>10893</v>
      </c>
    </row>
    <row r="5249" spans="2:8">
      <c r="B5249" s="1560">
        <v>46290</v>
      </c>
      <c r="C5249" s="1038" t="s">
        <v>10880</v>
      </c>
      <c r="D5249" s="1038" t="s">
        <v>1375</v>
      </c>
      <c r="E5249" s="1038" t="s">
        <v>54</v>
      </c>
      <c r="F5249" s="1562" t="s">
        <v>526</v>
      </c>
      <c r="G5249" s="1563"/>
      <c r="H5249" s="1038" t="s">
        <v>10894</v>
      </c>
    </row>
    <row r="5250" spans="2:8">
      <c r="B5250" s="1560">
        <v>46290</v>
      </c>
      <c r="C5250" s="1038" t="s">
        <v>10880</v>
      </c>
      <c r="D5250" s="1038" t="s">
        <v>1375</v>
      </c>
      <c r="E5250" s="1038" t="s">
        <v>54</v>
      </c>
      <c r="F5250" s="1562" t="s">
        <v>527</v>
      </c>
      <c r="G5250" s="1563"/>
      <c r="H5250" s="1038" t="s">
        <v>10895</v>
      </c>
    </row>
    <row r="5251" spans="2:8">
      <c r="B5251" s="1560">
        <v>46290</v>
      </c>
      <c r="C5251" s="1038" t="s">
        <v>10880</v>
      </c>
      <c r="D5251" s="1038" t="s">
        <v>1375</v>
      </c>
      <c r="E5251" s="1038" t="s">
        <v>54</v>
      </c>
      <c r="F5251" s="1562" t="s">
        <v>528</v>
      </c>
      <c r="G5251" s="1563"/>
      <c r="H5251" s="1038" t="s">
        <v>10896</v>
      </c>
    </row>
    <row r="5252" spans="2:8">
      <c r="B5252" s="1560">
        <v>46290</v>
      </c>
      <c r="C5252" s="1038" t="s">
        <v>10880</v>
      </c>
      <c r="D5252" s="1038" t="s">
        <v>1376</v>
      </c>
      <c r="E5252" s="1038" t="s">
        <v>1384</v>
      </c>
      <c r="F5252" s="1562" t="s">
        <v>526</v>
      </c>
      <c r="G5252" s="1563">
        <v>0.4</v>
      </c>
      <c r="H5252" s="1038" t="s">
        <v>10897</v>
      </c>
    </row>
    <row r="5253" spans="2:8">
      <c r="B5253" s="1560">
        <v>46290</v>
      </c>
      <c r="C5253" s="1038" t="s">
        <v>10880</v>
      </c>
      <c r="D5253" s="1038" t="s">
        <v>1376</v>
      </c>
      <c r="E5253" s="1038" t="s">
        <v>1384</v>
      </c>
      <c r="F5253" s="1562" t="s">
        <v>527</v>
      </c>
      <c r="G5253" s="1563">
        <v>0.45</v>
      </c>
      <c r="H5253" s="1038" t="s">
        <v>10898</v>
      </c>
    </row>
    <row r="5254" spans="2:8">
      <c r="B5254" s="1560">
        <v>46290</v>
      </c>
      <c r="C5254" s="1038" t="s">
        <v>10880</v>
      </c>
      <c r="D5254" s="1038" t="s">
        <v>1376</v>
      </c>
      <c r="E5254" s="1038" t="s">
        <v>1384</v>
      </c>
      <c r="F5254" s="1562" t="s">
        <v>528</v>
      </c>
      <c r="G5254" s="1563">
        <v>0.42</v>
      </c>
      <c r="H5254" s="1038" t="s">
        <v>10899</v>
      </c>
    </row>
    <row r="5255" spans="2:8">
      <c r="B5255" s="1560">
        <v>46290</v>
      </c>
      <c r="C5255" s="1038" t="s">
        <v>10880</v>
      </c>
      <c r="D5255" s="1038" t="s">
        <v>1375</v>
      </c>
      <c r="E5255" s="1038" t="s">
        <v>1385</v>
      </c>
      <c r="F5255" s="1562" t="s">
        <v>526</v>
      </c>
      <c r="G5255" s="1563">
        <v>897</v>
      </c>
      <c r="H5255" s="1038" t="s">
        <v>10900</v>
      </c>
    </row>
    <row r="5256" spans="2:8">
      <c r="B5256" s="1560">
        <v>46290</v>
      </c>
      <c r="C5256" s="1038" t="s">
        <v>10880</v>
      </c>
      <c r="D5256" s="1038" t="s">
        <v>1375</v>
      </c>
      <c r="E5256" s="1038" t="s">
        <v>1385</v>
      </c>
      <c r="F5256" s="1562" t="s">
        <v>527</v>
      </c>
      <c r="G5256" s="1563">
        <v>1960</v>
      </c>
      <c r="H5256" s="1038" t="s">
        <v>10901</v>
      </c>
    </row>
    <row r="5257" spans="2:8">
      <c r="B5257" s="1560">
        <v>46290</v>
      </c>
      <c r="C5257" s="1038" t="s">
        <v>10880</v>
      </c>
      <c r="D5257" s="1038" t="s">
        <v>1375</v>
      </c>
      <c r="E5257" s="1038" t="s">
        <v>1385</v>
      </c>
      <c r="F5257" s="1562" t="s">
        <v>528</v>
      </c>
      <c r="G5257" s="1563">
        <v>3566</v>
      </c>
      <c r="H5257" s="1038" t="s">
        <v>10902</v>
      </c>
    </row>
    <row r="5258" spans="2:8">
      <c r="B5258" s="1560">
        <v>46290</v>
      </c>
      <c r="C5258" s="1038" t="s">
        <v>10880</v>
      </c>
      <c r="D5258" s="1038" t="s">
        <v>1376</v>
      </c>
      <c r="E5258" s="1038" t="s">
        <v>1386</v>
      </c>
      <c r="F5258" s="1562" t="s">
        <v>526</v>
      </c>
      <c r="G5258" s="1563">
        <v>0.4</v>
      </c>
      <c r="H5258" s="1038" t="s">
        <v>10903</v>
      </c>
    </row>
    <row r="5259" spans="2:8">
      <c r="B5259" s="1560">
        <v>46290</v>
      </c>
      <c r="C5259" s="1038" t="s">
        <v>10880</v>
      </c>
      <c r="D5259" s="1038" t="s">
        <v>1376</v>
      </c>
      <c r="E5259" s="1038" t="s">
        <v>1386</v>
      </c>
      <c r="F5259" s="1562" t="s">
        <v>527</v>
      </c>
      <c r="G5259" s="1563">
        <v>0.38</v>
      </c>
      <c r="H5259" s="1038" t="s">
        <v>10904</v>
      </c>
    </row>
    <row r="5260" spans="2:8">
      <c r="B5260" s="1560">
        <v>46290</v>
      </c>
      <c r="C5260" s="1038" t="s">
        <v>10880</v>
      </c>
      <c r="D5260" s="1038" t="s">
        <v>1376</v>
      </c>
      <c r="E5260" s="1038" t="s">
        <v>1386</v>
      </c>
      <c r="F5260" s="1562" t="s">
        <v>528</v>
      </c>
      <c r="G5260" s="1563">
        <v>0.5</v>
      </c>
      <c r="H5260" s="1038" t="s">
        <v>10905</v>
      </c>
    </row>
    <row r="5261" spans="2:8">
      <c r="B5261" s="1560">
        <v>46290</v>
      </c>
      <c r="C5261" s="1038" t="s">
        <v>10880</v>
      </c>
      <c r="D5261" s="1038" t="s">
        <v>1376</v>
      </c>
      <c r="E5261" s="1038" t="s">
        <v>1387</v>
      </c>
      <c r="F5261" s="1562" t="s">
        <v>526</v>
      </c>
      <c r="G5261" s="1563">
        <v>8.3000000000000007</v>
      </c>
      <c r="H5261" s="1038" t="s">
        <v>10906</v>
      </c>
    </row>
    <row r="5262" spans="2:8">
      <c r="B5262" s="1560">
        <v>46290</v>
      </c>
      <c r="C5262" s="1038" t="s">
        <v>10880</v>
      </c>
      <c r="D5262" s="1038" t="s">
        <v>1376</v>
      </c>
      <c r="E5262" s="1038" t="s">
        <v>1387</v>
      </c>
      <c r="F5262" s="1562" t="s">
        <v>527</v>
      </c>
      <c r="G5262" s="1563">
        <v>8.5</v>
      </c>
      <c r="H5262" s="1038" t="s">
        <v>10907</v>
      </c>
    </row>
    <row r="5263" spans="2:8">
      <c r="B5263" s="1560">
        <v>46290</v>
      </c>
      <c r="C5263" s="1038" t="s">
        <v>10880</v>
      </c>
      <c r="D5263" s="1038" t="s">
        <v>1376</v>
      </c>
      <c r="E5263" s="1038" t="s">
        <v>1387</v>
      </c>
      <c r="F5263" s="1562" t="s">
        <v>528</v>
      </c>
      <c r="G5263" s="1563">
        <v>8.5</v>
      </c>
      <c r="H5263" s="1038" t="s">
        <v>10908</v>
      </c>
    </row>
    <row r="5264" spans="2:8">
      <c r="B5264" s="1560">
        <v>46290</v>
      </c>
      <c r="C5264" s="1038" t="s">
        <v>10880</v>
      </c>
      <c r="D5264" s="1038" t="s">
        <v>1375</v>
      </c>
      <c r="E5264" s="1038" t="s">
        <v>1388</v>
      </c>
      <c r="F5264" s="1562" t="s">
        <v>526</v>
      </c>
      <c r="G5264" s="1563"/>
      <c r="H5264" s="1038" t="s">
        <v>10909</v>
      </c>
    </row>
    <row r="5265" spans="2:8">
      <c r="B5265" s="1560">
        <v>46290</v>
      </c>
      <c r="C5265" s="1038" t="s">
        <v>10880</v>
      </c>
      <c r="D5265" s="1038" t="s">
        <v>1375</v>
      </c>
      <c r="E5265" s="1038" t="s">
        <v>1388</v>
      </c>
      <c r="F5265" s="1562" t="s">
        <v>527</v>
      </c>
      <c r="G5265" s="1563"/>
      <c r="H5265" s="1038" t="s">
        <v>10910</v>
      </c>
    </row>
    <row r="5266" spans="2:8">
      <c r="B5266" s="1560">
        <v>46290</v>
      </c>
      <c r="C5266" s="1038" t="s">
        <v>10880</v>
      </c>
      <c r="D5266" s="1038" t="s">
        <v>1375</v>
      </c>
      <c r="E5266" s="1038" t="s">
        <v>1388</v>
      </c>
      <c r="F5266" s="1562" t="s">
        <v>528</v>
      </c>
      <c r="G5266" s="1563"/>
      <c r="H5266" s="1038" t="s">
        <v>10911</v>
      </c>
    </row>
    <row r="5267" spans="2:8">
      <c r="B5267" s="1560">
        <v>46290</v>
      </c>
      <c r="C5267" s="1038" t="s">
        <v>10880</v>
      </c>
      <c r="D5267" s="1038" t="s">
        <v>1376</v>
      </c>
      <c r="E5267" s="1038" t="s">
        <v>1389</v>
      </c>
      <c r="F5267" s="1562" t="s">
        <v>526</v>
      </c>
      <c r="G5267" s="1563">
        <v>61.4</v>
      </c>
      <c r="H5267" s="1038" t="s">
        <v>10912</v>
      </c>
    </row>
    <row r="5268" spans="2:8">
      <c r="B5268" s="1560">
        <v>46290</v>
      </c>
      <c r="C5268" s="1038" t="s">
        <v>10880</v>
      </c>
      <c r="D5268" s="1038" t="s">
        <v>1376</v>
      </c>
      <c r="E5268" s="1038" t="s">
        <v>1389</v>
      </c>
      <c r="F5268" s="1562" t="s">
        <v>527</v>
      </c>
      <c r="G5268" s="1563"/>
      <c r="H5268" s="1038" t="s">
        <v>10913</v>
      </c>
    </row>
    <row r="5269" spans="2:8">
      <c r="B5269" s="1560">
        <v>46290</v>
      </c>
      <c r="C5269" s="1038" t="s">
        <v>10880</v>
      </c>
      <c r="D5269" s="1038" t="s">
        <v>1376</v>
      </c>
      <c r="E5269" s="1038" t="s">
        <v>1389</v>
      </c>
      <c r="F5269" s="1562" t="s">
        <v>528</v>
      </c>
      <c r="G5269" s="1563">
        <v>64.599999999999994</v>
      </c>
      <c r="H5269" s="1038" t="s">
        <v>10914</v>
      </c>
    </row>
    <row r="5270" spans="2:8">
      <c r="B5270" s="1560">
        <v>46290</v>
      </c>
      <c r="C5270" s="1038" t="s">
        <v>10880</v>
      </c>
      <c r="D5270" s="1038" t="s">
        <v>1375</v>
      </c>
      <c r="E5270" s="1038" t="s">
        <v>3266</v>
      </c>
      <c r="F5270" s="1562" t="s">
        <v>526</v>
      </c>
      <c r="G5270" s="1563">
        <v>5</v>
      </c>
      <c r="H5270" s="1038" t="s">
        <v>10915</v>
      </c>
    </row>
    <row r="5271" spans="2:8">
      <c r="B5271" s="1560">
        <v>46290</v>
      </c>
      <c r="C5271" s="1038" t="s">
        <v>10880</v>
      </c>
      <c r="D5271" s="1038" t="s">
        <v>1375</v>
      </c>
      <c r="E5271" s="1038" t="s">
        <v>3266</v>
      </c>
      <c r="F5271" s="1562" t="s">
        <v>527</v>
      </c>
      <c r="G5271" s="1563">
        <v>4</v>
      </c>
      <c r="H5271" s="1038" t="s">
        <v>10916</v>
      </c>
    </row>
    <row r="5272" spans="2:8">
      <c r="B5272" s="1560">
        <v>46290</v>
      </c>
      <c r="C5272" s="1038" t="s">
        <v>10880</v>
      </c>
      <c r="D5272" s="1038" t="s">
        <v>1375</v>
      </c>
      <c r="E5272" s="1038" t="s">
        <v>3266</v>
      </c>
      <c r="F5272" s="1562" t="s">
        <v>528</v>
      </c>
      <c r="G5272" s="1563">
        <v>3</v>
      </c>
      <c r="H5272" s="1038" t="s">
        <v>10917</v>
      </c>
    </row>
    <row r="5273" spans="2:8">
      <c r="B5273" s="1560">
        <v>46290</v>
      </c>
      <c r="C5273" s="1038" t="s">
        <v>10880</v>
      </c>
      <c r="D5273" s="1038" t="s">
        <v>1376</v>
      </c>
      <c r="E5273" s="1038" t="s">
        <v>1390</v>
      </c>
      <c r="F5273" s="1562" t="s">
        <v>526</v>
      </c>
      <c r="G5273" s="1563">
        <v>1.91E-3</v>
      </c>
      <c r="H5273" s="1038" t="s">
        <v>10918</v>
      </c>
    </row>
    <row r="5274" spans="2:8">
      <c r="B5274" s="1560">
        <v>46290</v>
      </c>
      <c r="C5274" s="1038" t="s">
        <v>10880</v>
      </c>
      <c r="D5274" s="1038" t="s">
        <v>1376</v>
      </c>
      <c r="E5274" s="1038" t="s">
        <v>1390</v>
      </c>
      <c r="F5274" s="1562" t="s">
        <v>527</v>
      </c>
      <c r="G5274" s="1563">
        <v>2.32E-3</v>
      </c>
      <c r="H5274" s="1038" t="s">
        <v>10919</v>
      </c>
    </row>
    <row r="5275" spans="2:8">
      <c r="B5275" s="1560">
        <v>46290</v>
      </c>
      <c r="C5275" s="1038" t="s">
        <v>10880</v>
      </c>
      <c r="D5275" s="1038" t="s">
        <v>1376</v>
      </c>
      <c r="E5275" s="1038" t="s">
        <v>1390</v>
      </c>
      <c r="F5275" s="1562" t="s">
        <v>528</v>
      </c>
      <c r="G5275" s="1563">
        <v>2.5400000000000002E-3</v>
      </c>
      <c r="H5275" s="1038" t="s">
        <v>10920</v>
      </c>
    </row>
    <row r="5276" spans="2:8">
      <c r="B5276" s="1560">
        <v>46290</v>
      </c>
      <c r="C5276" s="1038" t="s">
        <v>10880</v>
      </c>
      <c r="D5276" s="1038" t="s">
        <v>1375</v>
      </c>
      <c r="E5276" s="1038" t="s">
        <v>3273</v>
      </c>
      <c r="F5276" s="1562" t="s">
        <v>526</v>
      </c>
      <c r="G5276" s="1563">
        <v>3</v>
      </c>
      <c r="H5276" s="1038" t="s">
        <v>10921</v>
      </c>
    </row>
    <row r="5277" spans="2:8">
      <c r="B5277" s="1560">
        <v>46290</v>
      </c>
      <c r="C5277" s="1038" t="s">
        <v>10880</v>
      </c>
      <c r="D5277" s="1038" t="s">
        <v>1375</v>
      </c>
      <c r="E5277" s="1038" t="s">
        <v>3273</v>
      </c>
      <c r="F5277" s="1562" t="s">
        <v>527</v>
      </c>
      <c r="G5277" s="1563">
        <v>4</v>
      </c>
      <c r="H5277" s="1038" t="s">
        <v>10922</v>
      </c>
    </row>
    <row r="5278" spans="2:8">
      <c r="B5278" s="1560">
        <v>46290</v>
      </c>
      <c r="C5278" s="1038" t="s">
        <v>10880</v>
      </c>
      <c r="D5278" s="1038" t="s">
        <v>1375</v>
      </c>
      <c r="E5278" s="1038" t="s">
        <v>3273</v>
      </c>
      <c r="F5278" s="1562" t="s">
        <v>528</v>
      </c>
      <c r="G5278" s="1563">
        <v>3</v>
      </c>
      <c r="H5278" s="1038" t="s">
        <v>10923</v>
      </c>
    </row>
    <row r="5279" spans="2:8">
      <c r="B5279" s="1560">
        <v>46290</v>
      </c>
      <c r="C5279" s="1038" t="s">
        <v>10880</v>
      </c>
      <c r="D5279" s="1038" t="s">
        <v>1376</v>
      </c>
      <c r="E5279" s="1038" t="s">
        <v>1391</v>
      </c>
      <c r="F5279" s="1562" t="s">
        <v>526</v>
      </c>
      <c r="G5279" s="1563"/>
      <c r="H5279" s="1038" t="s">
        <v>10924</v>
      </c>
    </row>
    <row r="5280" spans="2:8">
      <c r="B5280" s="1560">
        <v>46290</v>
      </c>
      <c r="C5280" s="1038" t="s">
        <v>10880</v>
      </c>
      <c r="D5280" s="1038" t="s">
        <v>1376</v>
      </c>
      <c r="E5280" s="1038" t="s">
        <v>1391</v>
      </c>
      <c r="F5280" s="1562" t="s">
        <v>527</v>
      </c>
      <c r="G5280" s="1563"/>
      <c r="H5280" s="1038" t="s">
        <v>10925</v>
      </c>
    </row>
    <row r="5281" spans="2:8">
      <c r="B5281" s="1560">
        <v>46290</v>
      </c>
      <c r="C5281" s="1038" t="s">
        <v>10880</v>
      </c>
      <c r="D5281" s="1038" t="s">
        <v>1376</v>
      </c>
      <c r="E5281" s="1038" t="s">
        <v>1391</v>
      </c>
      <c r="F5281" s="1562" t="s">
        <v>528</v>
      </c>
      <c r="G5281" s="1563">
        <v>7163</v>
      </c>
      <c r="H5281" s="1038" t="s">
        <v>10926</v>
      </c>
    </row>
    <row r="5282" spans="2:8">
      <c r="B5282" s="1560">
        <v>46290</v>
      </c>
      <c r="C5282" s="1038" t="s">
        <v>10880</v>
      </c>
      <c r="D5282" s="1038" t="s">
        <v>1375</v>
      </c>
      <c r="E5282" s="1038" t="s">
        <v>3280</v>
      </c>
      <c r="F5282" s="1562" t="s">
        <v>526</v>
      </c>
      <c r="G5282" s="1563">
        <v>3</v>
      </c>
      <c r="H5282" s="1038" t="s">
        <v>10927</v>
      </c>
    </row>
    <row r="5283" spans="2:8">
      <c r="B5283" s="1560">
        <v>46290</v>
      </c>
      <c r="C5283" s="1038" t="s">
        <v>10880</v>
      </c>
      <c r="D5283" s="1038" t="s">
        <v>1375</v>
      </c>
      <c r="E5283" s="1038" t="s">
        <v>3280</v>
      </c>
      <c r="F5283" s="1562" t="s">
        <v>527</v>
      </c>
      <c r="G5283" s="1563">
        <v>3</v>
      </c>
      <c r="H5283" s="1038" t="s">
        <v>10928</v>
      </c>
    </row>
    <row r="5284" spans="2:8">
      <c r="B5284" s="1560">
        <v>46290</v>
      </c>
      <c r="C5284" s="1038" t="s">
        <v>10880</v>
      </c>
      <c r="D5284" s="1038" t="s">
        <v>1375</v>
      </c>
      <c r="E5284" s="1038" t="s">
        <v>3280</v>
      </c>
      <c r="F5284" s="1562" t="s">
        <v>528</v>
      </c>
      <c r="G5284" s="1563">
        <v>3</v>
      </c>
      <c r="H5284" s="1038" t="s">
        <v>10929</v>
      </c>
    </row>
    <row r="5285" spans="2:8">
      <c r="B5285" s="1560">
        <v>46290</v>
      </c>
      <c r="C5285" s="1038" t="s">
        <v>10880</v>
      </c>
      <c r="D5285" s="1038" t="s">
        <v>1376</v>
      </c>
      <c r="E5285" s="1038" t="s">
        <v>1392</v>
      </c>
      <c r="F5285" s="1562" t="s">
        <v>526</v>
      </c>
      <c r="G5285" s="1563">
        <v>7163</v>
      </c>
      <c r="H5285" s="1038" t="s">
        <v>10930</v>
      </c>
    </row>
    <row r="5286" spans="2:8">
      <c r="B5286" s="1560">
        <v>46290</v>
      </c>
      <c r="C5286" s="1038" t="s">
        <v>10880</v>
      </c>
      <c r="D5286" s="1038" t="s">
        <v>1376</v>
      </c>
      <c r="E5286" s="1038" t="s">
        <v>1392</v>
      </c>
      <c r="F5286" s="1562" t="s">
        <v>527</v>
      </c>
      <c r="G5286" s="1563"/>
      <c r="H5286" s="1038" t="s">
        <v>10931</v>
      </c>
    </row>
    <row r="5287" spans="2:8">
      <c r="B5287" s="1560">
        <v>46290</v>
      </c>
      <c r="C5287" s="1038" t="s">
        <v>10880</v>
      </c>
      <c r="D5287" s="1038" t="s">
        <v>1376</v>
      </c>
      <c r="E5287" s="1038" t="s">
        <v>1392</v>
      </c>
      <c r="F5287" s="1562" t="s">
        <v>528</v>
      </c>
      <c r="G5287" s="1563"/>
      <c r="H5287" s="1038" t="s">
        <v>10932</v>
      </c>
    </row>
    <row r="5288" spans="2:8">
      <c r="B5288" s="1560">
        <v>46290</v>
      </c>
      <c r="C5288" s="1038" t="s">
        <v>10880</v>
      </c>
      <c r="D5288" s="1038" t="s">
        <v>1375</v>
      </c>
      <c r="E5288" s="1038" t="s">
        <v>3287</v>
      </c>
      <c r="F5288" s="1562" t="s">
        <v>526</v>
      </c>
      <c r="G5288" s="1563">
        <v>2</v>
      </c>
      <c r="H5288" s="1038" t="s">
        <v>10933</v>
      </c>
    </row>
    <row r="5289" spans="2:8">
      <c r="B5289" s="1560">
        <v>46290</v>
      </c>
      <c r="C5289" s="1038" t="s">
        <v>10880</v>
      </c>
      <c r="D5289" s="1038" t="s">
        <v>1375</v>
      </c>
      <c r="E5289" s="1038" t="s">
        <v>3287</v>
      </c>
      <c r="F5289" s="1562" t="s">
        <v>527</v>
      </c>
      <c r="G5289" s="1563">
        <v>4</v>
      </c>
      <c r="H5289" s="1038" t="s">
        <v>10934</v>
      </c>
    </row>
    <row r="5290" spans="2:8">
      <c r="B5290" s="1560">
        <v>46290</v>
      </c>
      <c r="C5290" s="1038" t="s">
        <v>10880</v>
      </c>
      <c r="D5290" s="1038" t="s">
        <v>1375</v>
      </c>
      <c r="E5290" s="1038" t="s">
        <v>3287</v>
      </c>
      <c r="F5290" s="1562" t="s">
        <v>528</v>
      </c>
      <c r="G5290" s="1563">
        <v>2</v>
      </c>
      <c r="H5290" s="1038" t="s">
        <v>10935</v>
      </c>
    </row>
    <row r="5291" spans="2:8">
      <c r="B5291" s="1560">
        <v>46290</v>
      </c>
      <c r="C5291" s="1038" t="s">
        <v>10880</v>
      </c>
      <c r="D5291" s="1038" t="s">
        <v>1376</v>
      </c>
      <c r="E5291" s="1038" t="s">
        <v>453</v>
      </c>
      <c r="F5291" s="1562" t="s">
        <v>526</v>
      </c>
      <c r="G5291" s="1563"/>
      <c r="H5291" s="1038" t="s">
        <v>10936</v>
      </c>
    </row>
    <row r="5292" spans="2:8">
      <c r="B5292" s="1560">
        <v>46290</v>
      </c>
      <c r="C5292" s="1038" t="s">
        <v>10880</v>
      </c>
      <c r="D5292" s="1038" t="s">
        <v>1376</v>
      </c>
      <c r="E5292" s="1038" t="s">
        <v>453</v>
      </c>
      <c r="F5292" s="1562" t="s">
        <v>527</v>
      </c>
      <c r="G5292" s="1563"/>
      <c r="H5292" s="1038" t="s">
        <v>10937</v>
      </c>
    </row>
    <row r="5293" spans="2:8">
      <c r="B5293" s="1560">
        <v>46290</v>
      </c>
      <c r="C5293" s="1038" t="s">
        <v>10880</v>
      </c>
      <c r="D5293" s="1038" t="s">
        <v>1376</v>
      </c>
      <c r="E5293" s="1038" t="s">
        <v>453</v>
      </c>
      <c r="F5293" s="1562" t="s">
        <v>528</v>
      </c>
      <c r="G5293" s="1563"/>
      <c r="H5293" s="1038" t="s">
        <v>10938</v>
      </c>
    </row>
    <row r="5294" spans="2:8">
      <c r="B5294" s="1560">
        <v>46290</v>
      </c>
      <c r="C5294" s="1038" t="s">
        <v>10880</v>
      </c>
      <c r="D5294" s="1038" t="s">
        <v>1375</v>
      </c>
      <c r="E5294" s="1038" t="s">
        <v>3291</v>
      </c>
      <c r="F5294" s="1562" t="s">
        <v>526</v>
      </c>
      <c r="G5294" s="1563">
        <v>3</v>
      </c>
      <c r="H5294" s="1038" t="s">
        <v>10939</v>
      </c>
    </row>
    <row r="5295" spans="2:8">
      <c r="B5295" s="1560">
        <v>46290</v>
      </c>
      <c r="C5295" s="1038" t="s">
        <v>10880</v>
      </c>
      <c r="D5295" s="1038" t="s">
        <v>1375</v>
      </c>
      <c r="E5295" s="1038" t="s">
        <v>3291</v>
      </c>
      <c r="F5295" s="1562" t="s">
        <v>527</v>
      </c>
      <c r="G5295" s="1563">
        <v>4</v>
      </c>
      <c r="H5295" s="1038" t="s">
        <v>10940</v>
      </c>
    </row>
    <row r="5296" spans="2:8">
      <c r="B5296" s="1560">
        <v>46290</v>
      </c>
      <c r="C5296" s="1038" t="s">
        <v>10880</v>
      </c>
      <c r="D5296" s="1038" t="s">
        <v>1375</v>
      </c>
      <c r="E5296" s="1038" t="s">
        <v>3291</v>
      </c>
      <c r="F5296" s="1562" t="s">
        <v>528</v>
      </c>
      <c r="G5296" s="1563">
        <v>4</v>
      </c>
      <c r="H5296" s="1038" t="s">
        <v>10941</v>
      </c>
    </row>
    <row r="5297" spans="2:8">
      <c r="B5297" s="1560">
        <v>46290</v>
      </c>
      <c r="C5297" s="1038" t="s">
        <v>10880</v>
      </c>
      <c r="D5297" s="1038" t="s">
        <v>1376</v>
      </c>
      <c r="E5297" s="1038" t="s">
        <v>1394</v>
      </c>
      <c r="F5297" s="1562" t="s">
        <v>526</v>
      </c>
      <c r="G5297" s="1563">
        <v>0</v>
      </c>
      <c r="H5297" s="1038" t="s">
        <v>10942</v>
      </c>
    </row>
    <row r="5298" spans="2:8">
      <c r="B5298" s="1560">
        <v>46290</v>
      </c>
      <c r="C5298" s="1038" t="s">
        <v>10880</v>
      </c>
      <c r="D5298" s="1038" t="s">
        <v>1376</v>
      </c>
      <c r="E5298" s="1038" t="s">
        <v>1394</v>
      </c>
      <c r="F5298" s="1562" t="s">
        <v>527</v>
      </c>
      <c r="G5298" s="1563">
        <v>0</v>
      </c>
      <c r="H5298" s="1038" t="s">
        <v>10943</v>
      </c>
    </row>
    <row r="5299" spans="2:8">
      <c r="B5299" s="1560">
        <v>46290</v>
      </c>
      <c r="C5299" s="1038" t="s">
        <v>10880</v>
      </c>
      <c r="D5299" s="1038" t="s">
        <v>1376</v>
      </c>
      <c r="E5299" s="1038" t="s">
        <v>1394</v>
      </c>
      <c r="F5299" s="1562" t="s">
        <v>528</v>
      </c>
      <c r="G5299" s="1564" t="s">
        <v>10944</v>
      </c>
      <c r="H5299" s="1038" t="s">
        <v>10945</v>
      </c>
    </row>
    <row r="5300" spans="2:8">
      <c r="B5300" s="1560">
        <v>46290</v>
      </c>
      <c r="C5300" s="1038" t="s">
        <v>10880</v>
      </c>
      <c r="D5300" s="1038" t="s">
        <v>1375</v>
      </c>
      <c r="E5300" s="1038" t="s">
        <v>3298</v>
      </c>
      <c r="F5300" s="1562" t="s">
        <v>526</v>
      </c>
      <c r="G5300" s="1563">
        <v>2</v>
      </c>
      <c r="H5300" s="1038" t="s">
        <v>10946</v>
      </c>
    </row>
    <row r="5301" spans="2:8">
      <c r="B5301" s="1560">
        <v>46290</v>
      </c>
      <c r="C5301" s="1038" t="s">
        <v>10880</v>
      </c>
      <c r="D5301" s="1038" t="s">
        <v>1375</v>
      </c>
      <c r="E5301" s="1038" t="s">
        <v>3298</v>
      </c>
      <c r="F5301" s="1562" t="s">
        <v>527</v>
      </c>
      <c r="G5301" s="1563">
        <v>3</v>
      </c>
      <c r="H5301" s="1038" t="s">
        <v>10947</v>
      </c>
    </row>
    <row r="5302" spans="2:8">
      <c r="B5302" s="1560">
        <v>46290</v>
      </c>
      <c r="C5302" s="1038" t="s">
        <v>10880</v>
      </c>
      <c r="D5302" s="1038" t="s">
        <v>1375</v>
      </c>
      <c r="E5302" s="1038" t="s">
        <v>3298</v>
      </c>
      <c r="F5302" s="1562" t="s">
        <v>528</v>
      </c>
      <c r="G5302" s="1563">
        <v>4</v>
      </c>
      <c r="H5302" s="1038" t="s">
        <v>10948</v>
      </c>
    </row>
    <row r="5303" spans="2:8">
      <c r="B5303" s="1560">
        <v>46290</v>
      </c>
      <c r="C5303" s="1038" t="s">
        <v>10880</v>
      </c>
      <c r="D5303" s="1038" t="s">
        <v>1376</v>
      </c>
      <c r="E5303" s="1038" t="s">
        <v>1398</v>
      </c>
      <c r="F5303" s="1562" t="s">
        <v>526</v>
      </c>
      <c r="G5303" s="1563">
        <v>0</v>
      </c>
      <c r="H5303" s="1038" t="s">
        <v>10949</v>
      </c>
    </row>
    <row r="5304" spans="2:8">
      <c r="B5304" s="1560">
        <v>46290</v>
      </c>
      <c r="C5304" s="1038" t="s">
        <v>10880</v>
      </c>
      <c r="D5304" s="1038" t="s">
        <v>1376</v>
      </c>
      <c r="E5304" s="1038" t="s">
        <v>1398</v>
      </c>
      <c r="F5304" s="1562" t="s">
        <v>527</v>
      </c>
      <c r="G5304" s="1563">
        <v>0</v>
      </c>
      <c r="H5304" s="1038" t="s">
        <v>10950</v>
      </c>
    </row>
    <row r="5305" spans="2:8">
      <c r="B5305" s="1560">
        <v>46290</v>
      </c>
      <c r="C5305" s="1038" t="s">
        <v>10880</v>
      </c>
      <c r="D5305" s="1038" t="s">
        <v>1376</v>
      </c>
      <c r="E5305" s="1038" t="s">
        <v>1398</v>
      </c>
      <c r="F5305" s="1562" t="s">
        <v>528</v>
      </c>
      <c r="G5305" s="1563">
        <v>11</v>
      </c>
      <c r="H5305" s="1038" t="s">
        <v>10951</v>
      </c>
    </row>
    <row r="5306" spans="2:8">
      <c r="B5306" s="1560">
        <v>46290</v>
      </c>
      <c r="C5306" s="1038" t="s">
        <v>10880</v>
      </c>
      <c r="D5306" s="1038" t="s">
        <v>1375</v>
      </c>
      <c r="E5306" s="1038" t="s">
        <v>3305</v>
      </c>
      <c r="F5306" s="1562" t="s">
        <v>526</v>
      </c>
      <c r="G5306" s="1563">
        <v>3</v>
      </c>
      <c r="H5306" s="1038" t="s">
        <v>10952</v>
      </c>
    </row>
    <row r="5307" spans="2:8">
      <c r="B5307" s="1560">
        <v>46290</v>
      </c>
      <c r="C5307" s="1038" t="s">
        <v>10880</v>
      </c>
      <c r="D5307" s="1038" t="s">
        <v>1375</v>
      </c>
      <c r="E5307" s="1038" t="s">
        <v>3305</v>
      </c>
      <c r="F5307" s="1562" t="s">
        <v>527</v>
      </c>
      <c r="G5307" s="1563">
        <v>2</v>
      </c>
      <c r="H5307" s="1038" t="s">
        <v>10953</v>
      </c>
    </row>
    <row r="5308" spans="2:8">
      <c r="B5308" s="1560">
        <v>46290</v>
      </c>
      <c r="C5308" s="1038" t="s">
        <v>10880</v>
      </c>
      <c r="D5308" s="1038" t="s">
        <v>1375</v>
      </c>
      <c r="E5308" s="1038" t="s">
        <v>3305</v>
      </c>
      <c r="F5308" s="1562" t="s">
        <v>528</v>
      </c>
      <c r="G5308" s="1563">
        <v>4</v>
      </c>
      <c r="H5308" s="1038" t="s">
        <v>10954</v>
      </c>
    </row>
    <row r="5309" spans="2:8">
      <c r="B5309" s="1560">
        <v>46290</v>
      </c>
      <c r="C5309" s="1038" t="s">
        <v>10880</v>
      </c>
      <c r="D5309" s="1038" t="s">
        <v>1376</v>
      </c>
      <c r="E5309" s="1038" t="s">
        <v>1399</v>
      </c>
      <c r="F5309" s="1562" t="s">
        <v>526</v>
      </c>
      <c r="G5309" s="1563">
        <v>0</v>
      </c>
      <c r="H5309" s="1038" t="s">
        <v>10955</v>
      </c>
    </row>
    <row r="5310" spans="2:8">
      <c r="B5310" s="1560">
        <v>46290</v>
      </c>
      <c r="C5310" s="1038" t="s">
        <v>10880</v>
      </c>
      <c r="D5310" s="1038" t="s">
        <v>1376</v>
      </c>
      <c r="E5310" s="1038" t="s">
        <v>1399</v>
      </c>
      <c r="F5310" s="1562" t="s">
        <v>527</v>
      </c>
      <c r="G5310" s="1563">
        <v>0</v>
      </c>
      <c r="H5310" s="1038" t="s">
        <v>10956</v>
      </c>
    </row>
    <row r="5311" spans="2:8">
      <c r="B5311" s="1560">
        <v>46290</v>
      </c>
      <c r="C5311" s="1038" t="s">
        <v>10880</v>
      </c>
      <c r="D5311" s="1038" t="s">
        <v>1376</v>
      </c>
      <c r="E5311" s="1038" t="s">
        <v>1399</v>
      </c>
      <c r="F5311" s="1562" t="s">
        <v>528</v>
      </c>
      <c r="G5311" s="1563">
        <v>12</v>
      </c>
      <c r="H5311" s="1038" t="s">
        <v>10957</v>
      </c>
    </row>
    <row r="5312" spans="2:8">
      <c r="B5312" s="1560">
        <v>46290</v>
      </c>
      <c r="C5312" s="1038" t="s">
        <v>10880</v>
      </c>
      <c r="D5312" s="1038" t="s">
        <v>1375</v>
      </c>
      <c r="E5312" s="1038" t="s">
        <v>3312</v>
      </c>
      <c r="F5312" s="1562" t="s">
        <v>526</v>
      </c>
      <c r="G5312" s="1563">
        <v>2</v>
      </c>
      <c r="H5312" s="1038" t="s">
        <v>10958</v>
      </c>
    </row>
    <row r="5313" spans="2:8">
      <c r="B5313" s="1560">
        <v>46290</v>
      </c>
      <c r="C5313" s="1038" t="s">
        <v>10880</v>
      </c>
      <c r="D5313" s="1038" t="s">
        <v>1375</v>
      </c>
      <c r="E5313" s="1038" t="s">
        <v>3312</v>
      </c>
      <c r="F5313" s="1562" t="s">
        <v>527</v>
      </c>
      <c r="G5313" s="1563">
        <v>3</v>
      </c>
      <c r="H5313" s="1038" t="s">
        <v>10959</v>
      </c>
    </row>
    <row r="5314" spans="2:8">
      <c r="B5314" s="1560">
        <v>46290</v>
      </c>
      <c r="C5314" s="1038" t="s">
        <v>10880</v>
      </c>
      <c r="D5314" s="1038" t="s">
        <v>1375</v>
      </c>
      <c r="E5314" s="1038" t="s">
        <v>3312</v>
      </c>
      <c r="F5314" s="1562" t="s">
        <v>528</v>
      </c>
      <c r="G5314" s="1563">
        <v>4</v>
      </c>
      <c r="H5314" s="1038" t="s">
        <v>10960</v>
      </c>
    </row>
    <row r="5315" spans="2:8">
      <c r="B5315" s="1560">
        <v>46290</v>
      </c>
      <c r="C5315" s="1038" t="s">
        <v>10880</v>
      </c>
      <c r="D5315" s="1038" t="s">
        <v>1376</v>
      </c>
      <c r="E5315" s="1038" t="s">
        <v>1400</v>
      </c>
      <c r="F5315" s="1562" t="s">
        <v>526</v>
      </c>
      <c r="G5315" s="1563">
        <v>0</v>
      </c>
      <c r="H5315" s="1038" t="s">
        <v>10961</v>
      </c>
    </row>
    <row r="5316" spans="2:8">
      <c r="B5316" s="1560">
        <v>46290</v>
      </c>
      <c r="C5316" s="1038" t="s">
        <v>10880</v>
      </c>
      <c r="D5316" s="1038" t="s">
        <v>1376</v>
      </c>
      <c r="E5316" s="1038" t="s">
        <v>1400</v>
      </c>
      <c r="F5316" s="1562" t="s">
        <v>527</v>
      </c>
      <c r="G5316" s="1563">
        <v>0</v>
      </c>
      <c r="H5316" s="1038" t="s">
        <v>10962</v>
      </c>
    </row>
    <row r="5317" spans="2:8">
      <c r="B5317" s="1560">
        <v>46290</v>
      </c>
      <c r="C5317" s="1038" t="s">
        <v>10880</v>
      </c>
      <c r="D5317" s="1038" t="s">
        <v>1376</v>
      </c>
      <c r="E5317" s="1038" t="s">
        <v>1400</v>
      </c>
      <c r="F5317" s="1562" t="s">
        <v>528</v>
      </c>
      <c r="G5317" s="1563">
        <v>16</v>
      </c>
      <c r="H5317" s="1038" t="s">
        <v>10963</v>
      </c>
    </row>
    <row r="5318" spans="2:8">
      <c r="B5318" s="1560">
        <v>46290</v>
      </c>
      <c r="C5318" s="1038" t="s">
        <v>10880</v>
      </c>
      <c r="D5318" s="1038" t="s">
        <v>1375</v>
      </c>
      <c r="E5318" s="1038" t="s">
        <v>3319</v>
      </c>
      <c r="F5318" s="1562" t="s">
        <v>526</v>
      </c>
      <c r="G5318" s="1563">
        <v>3</v>
      </c>
      <c r="H5318" s="1038" t="s">
        <v>10964</v>
      </c>
    </row>
    <row r="5319" spans="2:8">
      <c r="B5319" s="1560">
        <v>46290</v>
      </c>
      <c r="C5319" s="1038" t="s">
        <v>10880</v>
      </c>
      <c r="D5319" s="1038" t="s">
        <v>1375</v>
      </c>
      <c r="E5319" s="1038" t="s">
        <v>3319</v>
      </c>
      <c r="F5319" s="1562" t="s">
        <v>527</v>
      </c>
      <c r="G5319" s="1563">
        <v>5</v>
      </c>
      <c r="H5319" s="1038" t="s">
        <v>10965</v>
      </c>
    </row>
    <row r="5320" spans="2:8">
      <c r="B5320" s="1560">
        <v>46290</v>
      </c>
      <c r="C5320" s="1038" t="s">
        <v>10880</v>
      </c>
      <c r="D5320" s="1038" t="s">
        <v>1375</v>
      </c>
      <c r="E5320" s="1038" t="s">
        <v>3319</v>
      </c>
      <c r="F5320" s="1562" t="s">
        <v>528</v>
      </c>
      <c r="G5320" s="1563">
        <v>4</v>
      </c>
      <c r="H5320" s="1038" t="s">
        <v>10966</v>
      </c>
    </row>
    <row r="5321" spans="2:8">
      <c r="B5321" s="1560">
        <v>46290</v>
      </c>
      <c r="C5321" s="1038" t="s">
        <v>10880</v>
      </c>
      <c r="D5321" s="1038" t="s">
        <v>1376</v>
      </c>
      <c r="E5321" s="1038" t="s">
        <v>1401</v>
      </c>
      <c r="F5321" s="1562" t="s">
        <v>526</v>
      </c>
      <c r="G5321" s="1563">
        <v>7.38</v>
      </c>
      <c r="H5321" s="1038" t="s">
        <v>10967</v>
      </c>
    </row>
    <row r="5322" spans="2:8">
      <c r="B5322" s="1560">
        <v>46290</v>
      </c>
      <c r="C5322" s="1038" t="s">
        <v>10880</v>
      </c>
      <c r="D5322" s="1038" t="s">
        <v>1376</v>
      </c>
      <c r="E5322" s="1038" t="s">
        <v>1401</v>
      </c>
      <c r="F5322" s="1562" t="s">
        <v>527</v>
      </c>
      <c r="G5322" s="1563">
        <v>5.49</v>
      </c>
      <c r="H5322" s="1038" t="s">
        <v>10968</v>
      </c>
    </row>
    <row r="5323" spans="2:8">
      <c r="B5323" s="1560">
        <v>46290</v>
      </c>
      <c r="C5323" s="1038" t="s">
        <v>10880</v>
      </c>
      <c r="D5323" s="1038" t="s">
        <v>1376</v>
      </c>
      <c r="E5323" s="1038" t="s">
        <v>1401</v>
      </c>
      <c r="F5323" s="1562" t="s">
        <v>528</v>
      </c>
      <c r="G5323" s="1563">
        <v>2.6</v>
      </c>
      <c r="H5323" s="1038" t="s">
        <v>10969</v>
      </c>
    </row>
    <row r="5324" spans="2:8">
      <c r="B5324" s="1560">
        <v>46290</v>
      </c>
      <c r="C5324" s="1038" t="s">
        <v>10880</v>
      </c>
      <c r="D5324" s="1038" t="s">
        <v>1375</v>
      </c>
      <c r="E5324" s="1038" t="s">
        <v>3326</v>
      </c>
      <c r="F5324" s="1562" t="s">
        <v>526</v>
      </c>
      <c r="G5324" s="1563" t="s">
        <v>1583</v>
      </c>
      <c r="H5324" s="1038" t="s">
        <v>10970</v>
      </c>
    </row>
    <row r="5325" spans="2:8">
      <c r="B5325" s="1560">
        <v>46290</v>
      </c>
      <c r="C5325" s="1038" t="s">
        <v>10880</v>
      </c>
      <c r="D5325" s="1038" t="s">
        <v>1375</v>
      </c>
      <c r="E5325" s="1038" t="s">
        <v>3326</v>
      </c>
      <c r="F5325" s="1562" t="s">
        <v>527</v>
      </c>
      <c r="G5325" s="1563" t="s">
        <v>1583</v>
      </c>
      <c r="H5325" s="1038" t="s">
        <v>10971</v>
      </c>
    </row>
    <row r="5326" spans="2:8">
      <c r="B5326" s="1560">
        <v>46290</v>
      </c>
      <c r="C5326" s="1038" t="s">
        <v>10880</v>
      </c>
      <c r="D5326" s="1038" t="s">
        <v>1375</v>
      </c>
      <c r="E5326" s="1038" t="s">
        <v>3326</v>
      </c>
      <c r="F5326" s="1562" t="s">
        <v>528</v>
      </c>
      <c r="G5326" s="1563" t="s">
        <v>1583</v>
      </c>
      <c r="H5326" s="1038" t="s">
        <v>10972</v>
      </c>
    </row>
    <row r="5327" spans="2:8">
      <c r="B5327" s="1560">
        <v>46290</v>
      </c>
      <c r="C5327" s="1038" t="s">
        <v>10880</v>
      </c>
      <c r="D5327" s="1038" t="s">
        <v>1376</v>
      </c>
      <c r="E5327" s="1038" t="s">
        <v>1403</v>
      </c>
      <c r="F5327" s="1562" t="s">
        <v>526</v>
      </c>
      <c r="G5327" s="1563">
        <v>0</v>
      </c>
      <c r="H5327" s="1038" t="s">
        <v>10973</v>
      </c>
    </row>
    <row r="5328" spans="2:8">
      <c r="B5328" s="1560">
        <v>46290</v>
      </c>
      <c r="C5328" s="1038" t="s">
        <v>10880</v>
      </c>
      <c r="D5328" s="1038" t="s">
        <v>1376</v>
      </c>
      <c r="E5328" s="1038" t="s">
        <v>1403</v>
      </c>
      <c r="F5328" s="1562" t="s">
        <v>527</v>
      </c>
      <c r="G5328" s="1563"/>
      <c r="H5328" s="1038" t="s">
        <v>10974</v>
      </c>
    </row>
    <row r="5329" spans="2:8">
      <c r="B5329" s="1560">
        <v>46290</v>
      </c>
      <c r="C5329" s="1038" t="s">
        <v>10880</v>
      </c>
      <c r="D5329" s="1038" t="s">
        <v>1376</v>
      </c>
      <c r="E5329" s="1038" t="s">
        <v>1403</v>
      </c>
      <c r="F5329" s="1562" t="s">
        <v>528</v>
      </c>
      <c r="G5329" s="1563">
        <v>880</v>
      </c>
      <c r="H5329" s="1038" t="s">
        <v>10975</v>
      </c>
    </row>
    <row r="5330" spans="2:8">
      <c r="B5330" s="1560">
        <v>46290</v>
      </c>
      <c r="C5330" s="1038" t="s">
        <v>10880</v>
      </c>
      <c r="D5330" s="1038" t="s">
        <v>1376</v>
      </c>
      <c r="E5330" s="1038" t="s">
        <v>1404</v>
      </c>
      <c r="F5330" s="1562" t="s">
        <v>526</v>
      </c>
      <c r="G5330" s="1563">
        <v>3.5</v>
      </c>
      <c r="H5330" s="1038" t="s">
        <v>10976</v>
      </c>
    </row>
    <row r="5331" spans="2:8">
      <c r="B5331" s="1560">
        <v>46290</v>
      </c>
      <c r="C5331" s="1038" t="s">
        <v>10880</v>
      </c>
      <c r="D5331" s="1038" t="s">
        <v>1376</v>
      </c>
      <c r="E5331" s="1038" t="s">
        <v>1404</v>
      </c>
      <c r="F5331" s="1562" t="s">
        <v>527</v>
      </c>
      <c r="G5331" s="1563">
        <v>0.5</v>
      </c>
      <c r="H5331" s="1038" t="s">
        <v>10977</v>
      </c>
    </row>
    <row r="5332" spans="2:8">
      <c r="B5332" s="1560">
        <v>46290</v>
      </c>
      <c r="C5332" s="1038" t="s">
        <v>10880</v>
      </c>
      <c r="D5332" s="1038" t="s">
        <v>1376</v>
      </c>
      <c r="E5332" s="1038" t="s">
        <v>1404</v>
      </c>
      <c r="F5332" s="1562" t="s">
        <v>528</v>
      </c>
      <c r="G5332" s="1563">
        <v>3.84</v>
      </c>
      <c r="H5332" s="1038" t="s">
        <v>10978</v>
      </c>
    </row>
    <row r="5333" spans="2:8">
      <c r="B5333" s="1560">
        <v>46290</v>
      </c>
      <c r="C5333" s="1038" t="s">
        <v>10880</v>
      </c>
      <c r="D5333" s="1038" t="s">
        <v>1375</v>
      </c>
      <c r="E5333" s="1038" t="s">
        <v>3336</v>
      </c>
      <c r="F5333" s="1562" t="s">
        <v>526</v>
      </c>
      <c r="G5333" s="1563" t="s">
        <v>1406</v>
      </c>
      <c r="H5333" s="1038" t="s">
        <v>10979</v>
      </c>
    </row>
    <row r="5334" spans="2:8">
      <c r="B5334" s="1560">
        <v>46290</v>
      </c>
      <c r="C5334" s="1038" t="s">
        <v>10880</v>
      </c>
      <c r="D5334" s="1038" t="s">
        <v>1375</v>
      </c>
      <c r="E5334" s="1038" t="s">
        <v>3336</v>
      </c>
      <c r="F5334" s="1562" t="s">
        <v>527</v>
      </c>
      <c r="G5334" s="1563" t="s">
        <v>1406</v>
      </c>
      <c r="H5334" s="1038" t="s">
        <v>10980</v>
      </c>
    </row>
    <row r="5335" spans="2:8">
      <c r="B5335" s="1560">
        <v>46290</v>
      </c>
      <c r="C5335" s="1038" t="s">
        <v>10880</v>
      </c>
      <c r="D5335" s="1038" t="s">
        <v>1375</v>
      </c>
      <c r="E5335" s="1038" t="s">
        <v>3336</v>
      </c>
      <c r="F5335" s="1562" t="s">
        <v>528</v>
      </c>
      <c r="G5335" s="1563" t="s">
        <v>1406</v>
      </c>
      <c r="H5335" s="1038" t="s">
        <v>10981</v>
      </c>
    </row>
    <row r="5336" spans="2:8">
      <c r="B5336" s="1560">
        <v>46290</v>
      </c>
      <c r="C5336" s="1038" t="s">
        <v>10880</v>
      </c>
      <c r="D5336" s="1038" t="s">
        <v>1376</v>
      </c>
      <c r="E5336" s="1038" t="s">
        <v>1407</v>
      </c>
      <c r="F5336" s="1562" t="s">
        <v>526</v>
      </c>
      <c r="G5336" s="1563">
        <v>0</v>
      </c>
      <c r="H5336" s="1038" t="s">
        <v>10982</v>
      </c>
    </row>
    <row r="5337" spans="2:8">
      <c r="B5337" s="1560">
        <v>46290</v>
      </c>
      <c r="C5337" s="1038" t="s">
        <v>10880</v>
      </c>
      <c r="D5337" s="1038" t="s">
        <v>1376</v>
      </c>
      <c r="E5337" s="1038" t="s">
        <v>1407</v>
      </c>
      <c r="F5337" s="1562" t="s">
        <v>527</v>
      </c>
      <c r="G5337" s="1563"/>
      <c r="H5337" s="1038" t="s">
        <v>10983</v>
      </c>
    </row>
    <row r="5338" spans="2:8">
      <c r="B5338" s="1560">
        <v>46290</v>
      </c>
      <c r="C5338" s="1038" t="s">
        <v>10880</v>
      </c>
      <c r="D5338" s="1038" t="s">
        <v>1376</v>
      </c>
      <c r="E5338" s="1038" t="s">
        <v>1407</v>
      </c>
      <c r="F5338" s="1562" t="s">
        <v>528</v>
      </c>
      <c r="G5338" s="1563">
        <v>0</v>
      </c>
      <c r="H5338" s="1038" t="s">
        <v>10984</v>
      </c>
    </row>
    <row r="5339" spans="2:8">
      <c r="B5339" s="1560">
        <v>46290</v>
      </c>
      <c r="C5339" s="1038" t="s">
        <v>10880</v>
      </c>
      <c r="D5339" s="1038" t="s">
        <v>1376</v>
      </c>
      <c r="E5339" s="1038" t="s">
        <v>1408</v>
      </c>
      <c r="F5339" s="1562" t="s">
        <v>526</v>
      </c>
      <c r="G5339" s="1563">
        <v>965</v>
      </c>
      <c r="H5339" s="1038" t="s">
        <v>10985</v>
      </c>
    </row>
    <row r="5340" spans="2:8">
      <c r="B5340" s="1560">
        <v>46290</v>
      </c>
      <c r="C5340" s="1038" t="s">
        <v>10880</v>
      </c>
      <c r="D5340" s="1038" t="s">
        <v>1376</v>
      </c>
      <c r="E5340" s="1038" t="s">
        <v>1408</v>
      </c>
      <c r="F5340" s="1562" t="s">
        <v>527</v>
      </c>
      <c r="G5340" s="1563"/>
      <c r="H5340" s="1038" t="s">
        <v>10986</v>
      </c>
    </row>
    <row r="5341" spans="2:8">
      <c r="B5341" s="1560">
        <v>46290</v>
      </c>
      <c r="C5341" s="1038" t="s">
        <v>10880</v>
      </c>
      <c r="D5341" s="1038" t="s">
        <v>1376</v>
      </c>
      <c r="E5341" s="1038" t="s">
        <v>1408</v>
      </c>
      <c r="F5341" s="1562" t="s">
        <v>528</v>
      </c>
      <c r="G5341" s="1563">
        <v>977</v>
      </c>
      <c r="H5341" s="1038" t="s">
        <v>10987</v>
      </c>
    </row>
    <row r="5342" spans="2:8">
      <c r="B5342" s="1560">
        <v>46290</v>
      </c>
      <c r="C5342" s="1038" t="s">
        <v>10880</v>
      </c>
      <c r="D5342" s="1038" t="s">
        <v>1409</v>
      </c>
      <c r="E5342" s="1038" t="s">
        <v>1411</v>
      </c>
      <c r="F5342" s="1562" t="s">
        <v>526</v>
      </c>
      <c r="G5342" s="1563"/>
      <c r="H5342" s="1038" t="s">
        <v>10988</v>
      </c>
    </row>
    <row r="5343" spans="2:8">
      <c r="B5343" s="1560">
        <v>46290</v>
      </c>
      <c r="C5343" s="1038" t="s">
        <v>10880</v>
      </c>
      <c r="D5343" s="1038" t="s">
        <v>1409</v>
      </c>
      <c r="E5343" s="1038" t="s">
        <v>1411</v>
      </c>
      <c r="F5343" s="1562" t="s">
        <v>527</v>
      </c>
      <c r="G5343" s="1563"/>
      <c r="H5343" s="1038" t="s">
        <v>10989</v>
      </c>
    </row>
    <row r="5344" spans="2:8">
      <c r="B5344" s="1560">
        <v>46290</v>
      </c>
      <c r="C5344" s="1038" t="s">
        <v>10880</v>
      </c>
      <c r="D5344" s="1038" t="s">
        <v>1409</v>
      </c>
      <c r="E5344" s="1038" t="s">
        <v>1411</v>
      </c>
      <c r="F5344" s="1562" t="s">
        <v>528</v>
      </c>
      <c r="G5344" s="1563"/>
      <c r="H5344" s="1038" t="s">
        <v>10990</v>
      </c>
    </row>
    <row r="5345" spans="2:8">
      <c r="B5345" s="1560">
        <v>46290</v>
      </c>
      <c r="C5345" s="1038" t="s">
        <v>10880</v>
      </c>
      <c r="D5345" s="1038" t="s">
        <v>1409</v>
      </c>
      <c r="E5345" s="1038" t="s">
        <v>1413</v>
      </c>
      <c r="F5345" s="1562" t="s">
        <v>526</v>
      </c>
      <c r="G5345" s="1564" t="s">
        <v>2111</v>
      </c>
      <c r="H5345" s="1038" t="s">
        <v>10991</v>
      </c>
    </row>
    <row r="5346" spans="2:8">
      <c r="B5346" s="1560">
        <v>46290</v>
      </c>
      <c r="C5346" s="1038" t="s">
        <v>10880</v>
      </c>
      <c r="D5346" s="1038" t="s">
        <v>1409</v>
      </c>
      <c r="E5346" s="1038" t="s">
        <v>1413</v>
      </c>
      <c r="F5346" s="1562" t="s">
        <v>527</v>
      </c>
      <c r="G5346" s="1564" t="s">
        <v>2035</v>
      </c>
      <c r="H5346" s="1038" t="s">
        <v>10992</v>
      </c>
    </row>
    <row r="5347" spans="2:8">
      <c r="B5347" s="1560">
        <v>46290</v>
      </c>
      <c r="C5347" s="1038" t="s">
        <v>10880</v>
      </c>
      <c r="D5347" s="1038" t="s">
        <v>1409</v>
      </c>
      <c r="E5347" s="1038" t="s">
        <v>1413</v>
      </c>
      <c r="F5347" s="1562" t="s">
        <v>528</v>
      </c>
      <c r="G5347" s="1564" t="s">
        <v>1743</v>
      </c>
      <c r="H5347" s="1038" t="s">
        <v>10993</v>
      </c>
    </row>
    <row r="5348" spans="2:8">
      <c r="B5348" s="1560">
        <v>46290</v>
      </c>
      <c r="C5348" s="1038" t="s">
        <v>10880</v>
      </c>
      <c r="D5348" s="1038" t="s">
        <v>1410</v>
      </c>
      <c r="E5348" s="1038" t="s">
        <v>3352</v>
      </c>
      <c r="F5348" s="1562" t="s">
        <v>526</v>
      </c>
      <c r="G5348" s="1563" t="s">
        <v>1418</v>
      </c>
      <c r="H5348" s="1038" t="s">
        <v>10994</v>
      </c>
    </row>
    <row r="5349" spans="2:8">
      <c r="B5349" s="1560">
        <v>46290</v>
      </c>
      <c r="C5349" s="1038" t="s">
        <v>10880</v>
      </c>
      <c r="D5349" s="1038" t="s">
        <v>1410</v>
      </c>
      <c r="E5349" s="1038" t="s">
        <v>3352</v>
      </c>
      <c r="F5349" s="1562" t="s">
        <v>527</v>
      </c>
      <c r="G5349" s="1563" t="s">
        <v>1418</v>
      </c>
      <c r="H5349" s="1038" t="s">
        <v>10995</v>
      </c>
    </row>
    <row r="5350" spans="2:8">
      <c r="B5350" s="1560">
        <v>46290</v>
      </c>
      <c r="C5350" s="1038" t="s">
        <v>10880</v>
      </c>
      <c r="D5350" s="1038" t="s">
        <v>1410</v>
      </c>
      <c r="E5350" s="1038" t="s">
        <v>3352</v>
      </c>
      <c r="F5350" s="1562" t="s">
        <v>528</v>
      </c>
      <c r="G5350" s="1563" t="s">
        <v>1418</v>
      </c>
      <c r="H5350" s="1038" t="s">
        <v>10996</v>
      </c>
    </row>
    <row r="5351" spans="2:8">
      <c r="B5351" s="1560">
        <v>46290</v>
      </c>
      <c r="C5351" s="1038" t="s">
        <v>10880</v>
      </c>
      <c r="D5351" s="1038" t="s">
        <v>1409</v>
      </c>
      <c r="E5351" s="1038" t="s">
        <v>1420</v>
      </c>
      <c r="F5351" s="1562" t="s">
        <v>526</v>
      </c>
      <c r="G5351" s="1564" t="s">
        <v>2112</v>
      </c>
      <c r="H5351" s="1038" t="s">
        <v>10997</v>
      </c>
    </row>
    <row r="5352" spans="2:8">
      <c r="B5352" s="1560">
        <v>46290</v>
      </c>
      <c r="C5352" s="1038" t="s">
        <v>10880</v>
      </c>
      <c r="D5352" s="1038" t="s">
        <v>1409</v>
      </c>
      <c r="E5352" s="1038" t="s">
        <v>1420</v>
      </c>
      <c r="F5352" s="1562" t="s">
        <v>527</v>
      </c>
      <c r="G5352" s="1564" t="s">
        <v>2036</v>
      </c>
      <c r="H5352" s="1038" t="s">
        <v>10998</v>
      </c>
    </row>
    <row r="5353" spans="2:8">
      <c r="B5353" s="1560">
        <v>46290</v>
      </c>
      <c r="C5353" s="1038" t="s">
        <v>10880</v>
      </c>
      <c r="D5353" s="1038" t="s">
        <v>1409</v>
      </c>
      <c r="E5353" s="1038" t="s">
        <v>1420</v>
      </c>
      <c r="F5353" s="1562" t="s">
        <v>528</v>
      </c>
      <c r="G5353" s="1564" t="s">
        <v>10773</v>
      </c>
      <c r="H5353" s="1038" t="s">
        <v>10999</v>
      </c>
    </row>
    <row r="5354" spans="2:8">
      <c r="B5354" s="1560">
        <v>46290</v>
      </c>
      <c r="C5354" s="1038" t="s">
        <v>10880</v>
      </c>
      <c r="D5354" s="1038" t="s">
        <v>1410</v>
      </c>
      <c r="E5354" s="1038" t="s">
        <v>3359</v>
      </c>
      <c r="F5354" s="1562" t="s">
        <v>526</v>
      </c>
      <c r="G5354" s="1563">
        <v>107</v>
      </c>
      <c r="H5354" s="1038" t="s">
        <v>11000</v>
      </c>
    </row>
    <row r="5355" spans="2:8">
      <c r="B5355" s="1560">
        <v>46290</v>
      </c>
      <c r="C5355" s="1038" t="s">
        <v>10880</v>
      </c>
      <c r="D5355" s="1038" t="s">
        <v>1410</v>
      </c>
      <c r="E5355" s="1038" t="s">
        <v>3359</v>
      </c>
      <c r="F5355" s="1562" t="s">
        <v>527</v>
      </c>
      <c r="G5355" s="1563">
        <v>118</v>
      </c>
      <c r="H5355" s="1038" t="s">
        <v>11001</v>
      </c>
    </row>
    <row r="5356" spans="2:8">
      <c r="B5356" s="1560">
        <v>46290</v>
      </c>
      <c r="C5356" s="1038" t="s">
        <v>10880</v>
      </c>
      <c r="D5356" s="1038" t="s">
        <v>1410</v>
      </c>
      <c r="E5356" s="1038" t="s">
        <v>3359</v>
      </c>
      <c r="F5356" s="1562" t="s">
        <v>528</v>
      </c>
      <c r="G5356" s="1563">
        <v>116</v>
      </c>
      <c r="H5356" s="1038" t="s">
        <v>11002</v>
      </c>
    </row>
    <row r="5357" spans="2:8">
      <c r="B5357" s="1560">
        <v>46290</v>
      </c>
      <c r="C5357" s="1038" t="s">
        <v>10880</v>
      </c>
      <c r="D5357" s="1038" t="s">
        <v>1409</v>
      </c>
      <c r="E5357" s="1038" t="s">
        <v>1424</v>
      </c>
      <c r="F5357" s="1562" t="s">
        <v>526</v>
      </c>
      <c r="G5357" s="1563"/>
      <c r="H5357" s="1038" t="s">
        <v>11003</v>
      </c>
    </row>
    <row r="5358" spans="2:8">
      <c r="B5358" s="1560">
        <v>46290</v>
      </c>
      <c r="C5358" s="1038" t="s">
        <v>10880</v>
      </c>
      <c r="D5358" s="1038" t="s">
        <v>1409</v>
      </c>
      <c r="E5358" s="1038" t="s">
        <v>1424</v>
      </c>
      <c r="F5358" s="1562" t="s">
        <v>527</v>
      </c>
      <c r="G5358" s="1563"/>
      <c r="H5358" s="1038" t="s">
        <v>11004</v>
      </c>
    </row>
    <row r="5359" spans="2:8">
      <c r="B5359" s="1560">
        <v>46290</v>
      </c>
      <c r="C5359" s="1038" t="s">
        <v>10880</v>
      </c>
      <c r="D5359" s="1038" t="s">
        <v>1409</v>
      </c>
      <c r="E5359" s="1038" t="s">
        <v>1424</v>
      </c>
      <c r="F5359" s="1562" t="s">
        <v>528</v>
      </c>
      <c r="G5359" s="1563"/>
      <c r="H5359" s="1038" t="s">
        <v>11005</v>
      </c>
    </row>
    <row r="5360" spans="2:8">
      <c r="B5360" s="1560">
        <v>46290</v>
      </c>
      <c r="C5360" s="1038" t="s">
        <v>10880</v>
      </c>
      <c r="D5360" s="1038" t="s">
        <v>1410</v>
      </c>
      <c r="E5360" s="1038" t="s">
        <v>3366</v>
      </c>
      <c r="F5360" s="1562" t="s">
        <v>526</v>
      </c>
      <c r="G5360" s="1563">
        <v>2782</v>
      </c>
      <c r="H5360" s="1038" t="s">
        <v>11006</v>
      </c>
    </row>
    <row r="5361" spans="2:8">
      <c r="B5361" s="1560">
        <v>46290</v>
      </c>
      <c r="C5361" s="1038" t="s">
        <v>10880</v>
      </c>
      <c r="D5361" s="1038" t="s">
        <v>1410</v>
      </c>
      <c r="E5361" s="1038" t="s">
        <v>3366</v>
      </c>
      <c r="F5361" s="1562" t="s">
        <v>527</v>
      </c>
      <c r="G5361" s="1563">
        <v>2721</v>
      </c>
      <c r="H5361" s="1038" t="s">
        <v>11007</v>
      </c>
    </row>
    <row r="5362" spans="2:8">
      <c r="B5362" s="1560">
        <v>46290</v>
      </c>
      <c r="C5362" s="1038" t="s">
        <v>10880</v>
      </c>
      <c r="D5362" s="1038" t="s">
        <v>1410</v>
      </c>
      <c r="E5362" s="1038" t="s">
        <v>3366</v>
      </c>
      <c r="F5362" s="1562" t="s">
        <v>528</v>
      </c>
      <c r="G5362" s="1563">
        <v>2700</v>
      </c>
      <c r="H5362" s="1038" t="s">
        <v>11008</v>
      </c>
    </row>
    <row r="5363" spans="2:8">
      <c r="B5363" s="1560">
        <v>46290</v>
      </c>
      <c r="C5363" s="1038" t="s">
        <v>10880</v>
      </c>
      <c r="D5363" s="1038" t="s">
        <v>1410</v>
      </c>
      <c r="E5363" s="1038" t="s">
        <v>3370</v>
      </c>
      <c r="F5363" s="1562" t="s">
        <v>526</v>
      </c>
      <c r="G5363" s="1563" t="s">
        <v>1427</v>
      </c>
      <c r="H5363" s="1038" t="s">
        <v>11009</v>
      </c>
    </row>
    <row r="5364" spans="2:8">
      <c r="B5364" s="1560">
        <v>46290</v>
      </c>
      <c r="C5364" s="1038" t="s">
        <v>10880</v>
      </c>
      <c r="D5364" s="1038" t="s">
        <v>1410</v>
      </c>
      <c r="E5364" s="1038" t="s">
        <v>3370</v>
      </c>
      <c r="F5364" s="1562" t="s">
        <v>527</v>
      </c>
      <c r="G5364" s="1563" t="s">
        <v>1427</v>
      </c>
      <c r="H5364" s="1038" t="s">
        <v>11010</v>
      </c>
    </row>
    <row r="5365" spans="2:8">
      <c r="B5365" s="1560">
        <v>46290</v>
      </c>
      <c r="C5365" s="1038" t="s">
        <v>10880</v>
      </c>
      <c r="D5365" s="1038" t="s">
        <v>1410</v>
      </c>
      <c r="E5365" s="1038" t="s">
        <v>3370</v>
      </c>
      <c r="F5365" s="1562" t="s">
        <v>528</v>
      </c>
      <c r="G5365" s="1563" t="s">
        <v>1427</v>
      </c>
      <c r="H5365" s="1038" t="s">
        <v>11011</v>
      </c>
    </row>
    <row r="5366" spans="2:8">
      <c r="B5366" s="1560">
        <v>46290</v>
      </c>
      <c r="C5366" s="1038" t="s">
        <v>10880</v>
      </c>
      <c r="D5366" s="1038" t="s">
        <v>1410</v>
      </c>
      <c r="E5366" s="1038" t="s">
        <v>3374</v>
      </c>
      <c r="F5366" s="1562" t="s">
        <v>526</v>
      </c>
      <c r="G5366" s="1563">
        <v>1.9</v>
      </c>
      <c r="H5366" s="1038" t="s">
        <v>11012</v>
      </c>
    </row>
    <row r="5367" spans="2:8">
      <c r="B5367" s="1560">
        <v>46290</v>
      </c>
      <c r="C5367" s="1038" t="s">
        <v>10880</v>
      </c>
      <c r="D5367" s="1038" t="s">
        <v>1410</v>
      </c>
      <c r="E5367" s="1038" t="s">
        <v>3374</v>
      </c>
      <c r="F5367" s="1562" t="s">
        <v>527</v>
      </c>
      <c r="G5367" s="1563">
        <v>3.22</v>
      </c>
      <c r="H5367" s="1038" t="s">
        <v>11013</v>
      </c>
    </row>
    <row r="5368" spans="2:8">
      <c r="B5368" s="1560">
        <v>46290</v>
      </c>
      <c r="C5368" s="1038" t="s">
        <v>10880</v>
      </c>
      <c r="D5368" s="1038" t="s">
        <v>1410</v>
      </c>
      <c r="E5368" s="1038" t="s">
        <v>3374</v>
      </c>
      <c r="F5368" s="1562" t="s">
        <v>528</v>
      </c>
      <c r="G5368" s="1563">
        <v>2.85</v>
      </c>
      <c r="H5368" s="1038" t="s">
        <v>11014</v>
      </c>
    </row>
    <row r="5369" spans="2:8">
      <c r="B5369" s="1560">
        <v>46290</v>
      </c>
      <c r="C5369" s="1038" t="s">
        <v>10880</v>
      </c>
      <c r="D5369" s="1038" t="s">
        <v>1410</v>
      </c>
      <c r="E5369" s="1038" t="s">
        <v>3378</v>
      </c>
      <c r="F5369" s="1562" t="s">
        <v>526</v>
      </c>
      <c r="G5369" s="1563" t="s">
        <v>1430</v>
      </c>
      <c r="H5369" s="1038" t="s">
        <v>11015</v>
      </c>
    </row>
    <row r="5370" spans="2:8">
      <c r="B5370" s="1560">
        <v>46290</v>
      </c>
      <c r="C5370" s="1038" t="s">
        <v>10880</v>
      </c>
      <c r="D5370" s="1038" t="s">
        <v>1410</v>
      </c>
      <c r="E5370" s="1038" t="s">
        <v>3378</v>
      </c>
      <c r="F5370" s="1562" t="s">
        <v>527</v>
      </c>
      <c r="G5370" s="1563" t="s">
        <v>1430</v>
      </c>
      <c r="H5370" s="1038" t="s">
        <v>11016</v>
      </c>
    </row>
    <row r="5371" spans="2:8">
      <c r="B5371" s="1560">
        <v>46290</v>
      </c>
      <c r="C5371" s="1038" t="s">
        <v>10880</v>
      </c>
      <c r="D5371" s="1038" t="s">
        <v>1410</v>
      </c>
      <c r="E5371" s="1038" t="s">
        <v>3378</v>
      </c>
      <c r="F5371" s="1562" t="s">
        <v>528</v>
      </c>
      <c r="G5371" s="1563" t="s">
        <v>1430</v>
      </c>
      <c r="H5371" s="1038" t="s">
        <v>11017</v>
      </c>
    </row>
    <row r="5372" spans="2:8">
      <c r="B5372" s="1560">
        <v>46290</v>
      </c>
      <c r="C5372" s="1038" t="s">
        <v>10880</v>
      </c>
      <c r="D5372" s="1038" t="s">
        <v>1410</v>
      </c>
      <c r="E5372" s="1038" t="s">
        <v>3382</v>
      </c>
      <c r="F5372" s="1562" t="s">
        <v>526</v>
      </c>
      <c r="G5372" s="1563">
        <v>98</v>
      </c>
      <c r="H5372" s="1038" t="s">
        <v>11018</v>
      </c>
    </row>
    <row r="5373" spans="2:8">
      <c r="B5373" s="1560">
        <v>46290</v>
      </c>
      <c r="C5373" s="1038" t="s">
        <v>10880</v>
      </c>
      <c r="D5373" s="1038" t="s">
        <v>1410</v>
      </c>
      <c r="E5373" s="1038" t="s">
        <v>3382</v>
      </c>
      <c r="F5373" s="1562" t="s">
        <v>527</v>
      </c>
      <c r="G5373" s="1563">
        <v>102</v>
      </c>
      <c r="H5373" s="1038" t="s">
        <v>11019</v>
      </c>
    </row>
    <row r="5374" spans="2:8">
      <c r="B5374" s="1560">
        <v>46290</v>
      </c>
      <c r="C5374" s="1038" t="s">
        <v>10880</v>
      </c>
      <c r="D5374" s="1038" t="s">
        <v>1410</v>
      </c>
      <c r="E5374" s="1038" t="s">
        <v>3382</v>
      </c>
      <c r="F5374" s="1562" t="s">
        <v>528</v>
      </c>
      <c r="G5374" s="1563">
        <v>102</v>
      </c>
      <c r="H5374" s="1038" t="s">
        <v>11020</v>
      </c>
    </row>
    <row r="5375" spans="2:8">
      <c r="B5375" s="1560">
        <v>46290</v>
      </c>
      <c r="C5375" s="1038" t="s">
        <v>10880</v>
      </c>
      <c r="D5375" s="1038" t="s">
        <v>1409</v>
      </c>
      <c r="E5375" s="1038" t="s">
        <v>1431</v>
      </c>
      <c r="F5375" s="1562" t="s">
        <v>526</v>
      </c>
      <c r="G5375" s="1563"/>
      <c r="H5375" s="1038" t="s">
        <v>11021</v>
      </c>
    </row>
    <row r="5376" spans="2:8">
      <c r="B5376" s="1560">
        <v>46290</v>
      </c>
      <c r="C5376" s="1038" t="s">
        <v>10880</v>
      </c>
      <c r="D5376" s="1038" t="s">
        <v>1409</v>
      </c>
      <c r="E5376" s="1038" t="s">
        <v>1431</v>
      </c>
      <c r="F5376" s="1562" t="s">
        <v>527</v>
      </c>
      <c r="G5376" s="1563"/>
      <c r="H5376" s="1038" t="s">
        <v>11022</v>
      </c>
    </row>
    <row r="5377" spans="2:8">
      <c r="B5377" s="1560">
        <v>46290</v>
      </c>
      <c r="C5377" s="1038" t="s">
        <v>10880</v>
      </c>
      <c r="D5377" s="1038" t="s">
        <v>1409</v>
      </c>
      <c r="E5377" s="1038" t="s">
        <v>1431</v>
      </c>
      <c r="F5377" s="1562" t="s">
        <v>528</v>
      </c>
      <c r="G5377" s="1563"/>
      <c r="H5377" s="1038" t="s">
        <v>11023</v>
      </c>
    </row>
    <row r="5378" spans="2:8">
      <c r="B5378" s="1560">
        <v>46290</v>
      </c>
      <c r="C5378" s="1038" t="s">
        <v>10880</v>
      </c>
      <c r="D5378" s="1038" t="s">
        <v>1410</v>
      </c>
      <c r="E5378" s="1038" t="s">
        <v>3389</v>
      </c>
      <c r="F5378" s="1562" t="s">
        <v>526</v>
      </c>
      <c r="G5378" s="1563">
        <v>2755</v>
      </c>
      <c r="H5378" s="1038" t="s">
        <v>11024</v>
      </c>
    </row>
    <row r="5379" spans="2:8">
      <c r="B5379" s="1560">
        <v>46290</v>
      </c>
      <c r="C5379" s="1038" t="s">
        <v>10880</v>
      </c>
      <c r="D5379" s="1038" t="s">
        <v>1410</v>
      </c>
      <c r="E5379" s="1038" t="s">
        <v>3389</v>
      </c>
      <c r="F5379" s="1562" t="s">
        <v>527</v>
      </c>
      <c r="G5379" s="1563">
        <v>2670</v>
      </c>
      <c r="H5379" s="1038" t="s">
        <v>11025</v>
      </c>
    </row>
    <row r="5380" spans="2:8">
      <c r="B5380" s="1560">
        <v>46290</v>
      </c>
      <c r="C5380" s="1038" t="s">
        <v>10880</v>
      </c>
      <c r="D5380" s="1038" t="s">
        <v>1410</v>
      </c>
      <c r="E5380" s="1038" t="s">
        <v>3389</v>
      </c>
      <c r="F5380" s="1562" t="s">
        <v>528</v>
      </c>
      <c r="G5380" s="1563">
        <v>2530</v>
      </c>
      <c r="H5380" s="1038" t="s">
        <v>11026</v>
      </c>
    </row>
    <row r="5381" spans="2:8">
      <c r="B5381" s="1560">
        <v>46290</v>
      </c>
      <c r="C5381" s="1038" t="s">
        <v>10880</v>
      </c>
      <c r="D5381" s="1038" t="s">
        <v>1410</v>
      </c>
      <c r="E5381" s="1038" t="s">
        <v>3393</v>
      </c>
      <c r="F5381" s="1562" t="s">
        <v>526</v>
      </c>
      <c r="G5381" s="1563" t="s">
        <v>1663</v>
      </c>
      <c r="H5381" s="1038" t="s">
        <v>11027</v>
      </c>
    </row>
    <row r="5382" spans="2:8">
      <c r="B5382" s="1560">
        <v>46290</v>
      </c>
      <c r="C5382" s="1038" t="s">
        <v>10880</v>
      </c>
      <c r="D5382" s="1038" t="s">
        <v>1410</v>
      </c>
      <c r="E5382" s="1038" t="s">
        <v>3393</v>
      </c>
      <c r="F5382" s="1562" t="s">
        <v>527</v>
      </c>
      <c r="G5382" s="1563" t="s">
        <v>1663</v>
      </c>
      <c r="H5382" s="1038" t="s">
        <v>11028</v>
      </c>
    </row>
    <row r="5383" spans="2:8">
      <c r="B5383" s="1560">
        <v>46290</v>
      </c>
      <c r="C5383" s="1038" t="s">
        <v>10880</v>
      </c>
      <c r="D5383" s="1038" t="s">
        <v>1410</v>
      </c>
      <c r="E5383" s="1038" t="s">
        <v>3393</v>
      </c>
      <c r="F5383" s="1562" t="s">
        <v>528</v>
      </c>
      <c r="G5383" s="1563" t="s">
        <v>1663</v>
      </c>
      <c r="H5383" s="1038" t="s">
        <v>11029</v>
      </c>
    </row>
    <row r="5384" spans="2:8">
      <c r="B5384" s="1560">
        <v>46290</v>
      </c>
      <c r="C5384" s="1038" t="s">
        <v>10880</v>
      </c>
      <c r="D5384" s="1038" t="s">
        <v>1410</v>
      </c>
      <c r="E5384" s="1038" t="s">
        <v>3397</v>
      </c>
      <c r="F5384" s="1562" t="s">
        <v>526</v>
      </c>
      <c r="G5384" s="1563" t="s">
        <v>1435</v>
      </c>
      <c r="H5384" s="1038" t="s">
        <v>11030</v>
      </c>
    </row>
    <row r="5385" spans="2:8">
      <c r="B5385" s="1560">
        <v>46290</v>
      </c>
      <c r="C5385" s="1038" t="s">
        <v>10880</v>
      </c>
      <c r="D5385" s="1038" t="s">
        <v>1410</v>
      </c>
      <c r="E5385" s="1038" t="s">
        <v>3397</v>
      </c>
      <c r="F5385" s="1562" t="s">
        <v>527</v>
      </c>
      <c r="G5385" s="1563" t="s">
        <v>1435</v>
      </c>
      <c r="H5385" s="1038" t="s">
        <v>11031</v>
      </c>
    </row>
    <row r="5386" spans="2:8">
      <c r="B5386" s="1560">
        <v>46290</v>
      </c>
      <c r="C5386" s="1038" t="s">
        <v>10880</v>
      </c>
      <c r="D5386" s="1038" t="s">
        <v>1410</v>
      </c>
      <c r="E5386" s="1038" t="s">
        <v>3397</v>
      </c>
      <c r="F5386" s="1562" t="s">
        <v>528</v>
      </c>
      <c r="G5386" s="1563" t="s">
        <v>1435</v>
      </c>
      <c r="H5386" s="1038" t="s">
        <v>11032</v>
      </c>
    </row>
    <row r="5387" spans="2:8">
      <c r="B5387" s="1560">
        <v>46290</v>
      </c>
      <c r="C5387" s="1038" t="s">
        <v>10880</v>
      </c>
      <c r="D5387" s="1038" t="s">
        <v>1434</v>
      </c>
      <c r="E5387" s="1038" t="s">
        <v>42</v>
      </c>
      <c r="F5387" s="1562" t="s">
        <v>526</v>
      </c>
      <c r="G5387" s="1563" t="s">
        <v>10580</v>
      </c>
      <c r="H5387" s="1038" t="s">
        <v>11033</v>
      </c>
    </row>
    <row r="5388" spans="2:8">
      <c r="B5388" s="1560">
        <v>46290</v>
      </c>
      <c r="C5388" s="1038" t="s">
        <v>10880</v>
      </c>
      <c r="D5388" s="1038" t="s">
        <v>1434</v>
      </c>
      <c r="E5388" s="1038" t="s">
        <v>42</v>
      </c>
      <c r="F5388" s="1562" t="s">
        <v>527</v>
      </c>
      <c r="G5388" s="1563" t="s">
        <v>10580</v>
      </c>
      <c r="H5388" s="1038" t="s">
        <v>11034</v>
      </c>
    </row>
    <row r="5389" spans="2:8">
      <c r="B5389" s="1560">
        <v>46290</v>
      </c>
      <c r="C5389" s="1038" t="s">
        <v>10880</v>
      </c>
      <c r="D5389" s="1038" t="s">
        <v>1434</v>
      </c>
      <c r="E5389" s="1038" t="s">
        <v>42</v>
      </c>
      <c r="F5389" s="1562" t="s">
        <v>528</v>
      </c>
      <c r="G5389" s="1563" t="s">
        <v>11035</v>
      </c>
      <c r="H5389" s="1038" t="s">
        <v>11036</v>
      </c>
    </row>
    <row r="5390" spans="2:8">
      <c r="B5390" s="1560">
        <v>46290</v>
      </c>
      <c r="C5390" s="1038" t="s">
        <v>10880</v>
      </c>
      <c r="D5390" s="1038" t="s">
        <v>1410</v>
      </c>
      <c r="E5390" s="1038" t="s">
        <v>3404</v>
      </c>
      <c r="F5390" s="1562" t="s">
        <v>526</v>
      </c>
      <c r="G5390" s="1563" t="s">
        <v>1438</v>
      </c>
      <c r="H5390" s="1038" t="s">
        <v>11037</v>
      </c>
    </row>
    <row r="5391" spans="2:8">
      <c r="B5391" s="1560">
        <v>46290</v>
      </c>
      <c r="C5391" s="1038" t="s">
        <v>10880</v>
      </c>
      <c r="D5391" s="1038" t="s">
        <v>1410</v>
      </c>
      <c r="E5391" s="1038" t="s">
        <v>3404</v>
      </c>
      <c r="F5391" s="1562" t="s">
        <v>527</v>
      </c>
      <c r="G5391" s="1563" t="s">
        <v>1419</v>
      </c>
      <c r="H5391" s="1038" t="s">
        <v>11038</v>
      </c>
    </row>
    <row r="5392" spans="2:8">
      <c r="B5392" s="1560">
        <v>46290</v>
      </c>
      <c r="C5392" s="1038" t="s">
        <v>10880</v>
      </c>
      <c r="D5392" s="1038" t="s">
        <v>1410</v>
      </c>
      <c r="E5392" s="1038" t="s">
        <v>3404</v>
      </c>
      <c r="F5392" s="1562" t="s">
        <v>528</v>
      </c>
      <c r="G5392" s="1563" t="s">
        <v>1419</v>
      </c>
      <c r="H5392" s="1038" t="s">
        <v>11039</v>
      </c>
    </row>
    <row r="5393" spans="2:8">
      <c r="B5393" s="1560">
        <v>46290</v>
      </c>
      <c r="C5393" s="1038" t="s">
        <v>10880</v>
      </c>
      <c r="D5393" s="1038" t="s">
        <v>1434</v>
      </c>
      <c r="E5393" s="1038" t="s">
        <v>1439</v>
      </c>
      <c r="F5393" s="1562" t="s">
        <v>526</v>
      </c>
      <c r="G5393" s="1563" t="s">
        <v>9412</v>
      </c>
      <c r="H5393" s="1038" t="s">
        <v>11040</v>
      </c>
    </row>
    <row r="5394" spans="2:8">
      <c r="B5394" s="1560">
        <v>46290</v>
      </c>
      <c r="C5394" s="1038" t="s">
        <v>10880</v>
      </c>
      <c r="D5394" s="1038" t="s">
        <v>1434</v>
      </c>
      <c r="E5394" s="1038" t="s">
        <v>1439</v>
      </c>
      <c r="F5394" s="1562" t="s">
        <v>527</v>
      </c>
      <c r="G5394" s="1563" t="s">
        <v>9412</v>
      </c>
      <c r="H5394" s="1038" t="s">
        <v>11041</v>
      </c>
    </row>
    <row r="5395" spans="2:8">
      <c r="B5395" s="1560">
        <v>46290</v>
      </c>
      <c r="C5395" s="1038" t="s">
        <v>10880</v>
      </c>
      <c r="D5395" s="1038" t="s">
        <v>1434</v>
      </c>
      <c r="E5395" s="1038" t="s">
        <v>1439</v>
      </c>
      <c r="F5395" s="1562" t="s">
        <v>528</v>
      </c>
      <c r="G5395" s="1563" t="s">
        <v>11042</v>
      </c>
      <c r="H5395" s="1038" t="s">
        <v>11043</v>
      </c>
    </row>
    <row r="5396" spans="2:8">
      <c r="B5396" s="1560">
        <v>46290</v>
      </c>
      <c r="C5396" s="1038" t="s">
        <v>10880</v>
      </c>
      <c r="D5396" s="1038" t="s">
        <v>1410</v>
      </c>
      <c r="E5396" s="1038" t="s">
        <v>3411</v>
      </c>
      <c r="F5396" s="1562" t="s">
        <v>526</v>
      </c>
      <c r="G5396" s="1563">
        <v>34</v>
      </c>
      <c r="H5396" s="1038" t="s">
        <v>11044</v>
      </c>
    </row>
    <row r="5397" spans="2:8">
      <c r="B5397" s="1560">
        <v>46290</v>
      </c>
      <c r="C5397" s="1038" t="s">
        <v>10880</v>
      </c>
      <c r="D5397" s="1038" t="s">
        <v>1410</v>
      </c>
      <c r="E5397" s="1038" t="s">
        <v>3411</v>
      </c>
      <c r="F5397" s="1562" t="s">
        <v>527</v>
      </c>
      <c r="G5397" s="1563">
        <v>40</v>
      </c>
      <c r="H5397" s="1038" t="s">
        <v>11045</v>
      </c>
    </row>
    <row r="5398" spans="2:8">
      <c r="B5398" s="1560">
        <v>46290</v>
      </c>
      <c r="C5398" s="1038" t="s">
        <v>10880</v>
      </c>
      <c r="D5398" s="1038" t="s">
        <v>1410</v>
      </c>
      <c r="E5398" s="1038" t="s">
        <v>3411</v>
      </c>
      <c r="F5398" s="1562" t="s">
        <v>528</v>
      </c>
      <c r="G5398" s="1563">
        <v>42</v>
      </c>
      <c r="H5398" s="1038" t="s">
        <v>11046</v>
      </c>
    </row>
    <row r="5399" spans="2:8">
      <c r="B5399" s="1560">
        <v>46290</v>
      </c>
      <c r="C5399" s="1038" t="s">
        <v>10880</v>
      </c>
      <c r="D5399" s="1038" t="s">
        <v>1434</v>
      </c>
      <c r="E5399" s="1038" t="s">
        <v>43</v>
      </c>
      <c r="F5399" s="1562" t="s">
        <v>526</v>
      </c>
      <c r="G5399" s="1563" t="s">
        <v>10593</v>
      </c>
      <c r="H5399" s="1038" t="s">
        <v>11047</v>
      </c>
    </row>
    <row r="5400" spans="2:8">
      <c r="B5400" s="1560">
        <v>46290</v>
      </c>
      <c r="C5400" s="1038" t="s">
        <v>10880</v>
      </c>
      <c r="D5400" s="1038" t="s">
        <v>1434</v>
      </c>
      <c r="E5400" s="1038" t="s">
        <v>43</v>
      </c>
      <c r="F5400" s="1562" t="s">
        <v>527</v>
      </c>
      <c r="G5400" s="1563" t="s">
        <v>10593</v>
      </c>
      <c r="H5400" s="1038" t="s">
        <v>11048</v>
      </c>
    </row>
    <row r="5401" spans="2:8">
      <c r="B5401" s="1560">
        <v>46290</v>
      </c>
      <c r="C5401" s="1038" t="s">
        <v>10880</v>
      </c>
      <c r="D5401" s="1038" t="s">
        <v>1434</v>
      </c>
      <c r="E5401" s="1038" t="s">
        <v>43</v>
      </c>
      <c r="F5401" s="1562" t="s">
        <v>528</v>
      </c>
      <c r="G5401" s="1563" t="s">
        <v>11049</v>
      </c>
      <c r="H5401" s="1038" t="s">
        <v>11050</v>
      </c>
    </row>
    <row r="5402" spans="2:8">
      <c r="B5402" s="1560">
        <v>46290</v>
      </c>
      <c r="C5402" s="1038" t="s">
        <v>10880</v>
      </c>
      <c r="D5402" s="1038" t="s">
        <v>1410</v>
      </c>
      <c r="E5402" s="1038" t="s">
        <v>3418</v>
      </c>
      <c r="F5402" s="1562" t="s">
        <v>526</v>
      </c>
      <c r="G5402" s="1563">
        <v>100</v>
      </c>
      <c r="H5402" s="1038" t="s">
        <v>11051</v>
      </c>
    </row>
    <row r="5403" spans="2:8">
      <c r="B5403" s="1560">
        <v>46290</v>
      </c>
      <c r="C5403" s="1038" t="s">
        <v>10880</v>
      </c>
      <c r="D5403" s="1038" t="s">
        <v>1410</v>
      </c>
      <c r="E5403" s="1038" t="s">
        <v>3418</v>
      </c>
      <c r="F5403" s="1562" t="s">
        <v>527</v>
      </c>
      <c r="G5403" s="1563">
        <v>88</v>
      </c>
      <c r="H5403" s="1038" t="s">
        <v>11052</v>
      </c>
    </row>
    <row r="5404" spans="2:8">
      <c r="B5404" s="1560">
        <v>46290</v>
      </c>
      <c r="C5404" s="1038" t="s">
        <v>10880</v>
      </c>
      <c r="D5404" s="1038" t="s">
        <v>1410</v>
      </c>
      <c r="E5404" s="1038" t="s">
        <v>3418</v>
      </c>
      <c r="F5404" s="1562" t="s">
        <v>528</v>
      </c>
      <c r="G5404" s="1563">
        <v>89</v>
      </c>
      <c r="H5404" s="1038" t="s">
        <v>11053</v>
      </c>
    </row>
    <row r="5405" spans="2:8">
      <c r="B5405" s="1560">
        <v>46290</v>
      </c>
      <c r="C5405" s="1038" t="s">
        <v>10880</v>
      </c>
      <c r="D5405" s="1038" t="s">
        <v>1434</v>
      </c>
      <c r="E5405" s="1038" t="s">
        <v>1441</v>
      </c>
      <c r="F5405" s="1562" t="s">
        <v>526</v>
      </c>
      <c r="G5405" s="1563"/>
      <c r="H5405" s="1038" t="s">
        <v>11054</v>
      </c>
    </row>
    <row r="5406" spans="2:8">
      <c r="B5406" s="1560">
        <v>46290</v>
      </c>
      <c r="C5406" s="1038" t="s">
        <v>10880</v>
      </c>
      <c r="D5406" s="1038" t="s">
        <v>1434</v>
      </c>
      <c r="E5406" s="1038" t="s">
        <v>1441</v>
      </c>
      <c r="F5406" s="1562" t="s">
        <v>527</v>
      </c>
      <c r="G5406" s="1563"/>
      <c r="H5406" s="1038" t="s">
        <v>11055</v>
      </c>
    </row>
    <row r="5407" spans="2:8">
      <c r="B5407" s="1560">
        <v>46290</v>
      </c>
      <c r="C5407" s="1038" t="s">
        <v>10880</v>
      </c>
      <c r="D5407" s="1038" t="s">
        <v>1434</v>
      </c>
      <c r="E5407" s="1038" t="s">
        <v>1441</v>
      </c>
      <c r="F5407" s="1562" t="s">
        <v>528</v>
      </c>
      <c r="G5407" s="1563"/>
      <c r="H5407" s="1038" t="s">
        <v>11056</v>
      </c>
    </row>
    <row r="5408" spans="2:8">
      <c r="B5408" s="1560">
        <v>46290</v>
      </c>
      <c r="C5408" s="1038" t="s">
        <v>10880</v>
      </c>
      <c r="D5408" s="1038" t="s">
        <v>1410</v>
      </c>
      <c r="E5408" s="1038" t="s">
        <v>3425</v>
      </c>
      <c r="F5408" s="1562" t="s">
        <v>526</v>
      </c>
      <c r="G5408" s="1563" t="s">
        <v>1443</v>
      </c>
      <c r="H5408" s="1038" t="s">
        <v>11057</v>
      </c>
    </row>
    <row r="5409" spans="2:8">
      <c r="B5409" s="1560">
        <v>46290</v>
      </c>
      <c r="C5409" s="1038" t="s">
        <v>10880</v>
      </c>
      <c r="D5409" s="1038" t="s">
        <v>1410</v>
      </c>
      <c r="E5409" s="1038" t="s">
        <v>3425</v>
      </c>
      <c r="F5409" s="1562" t="s">
        <v>527</v>
      </c>
      <c r="G5409" s="1563" t="s">
        <v>1443</v>
      </c>
      <c r="H5409" s="1038" t="s">
        <v>11058</v>
      </c>
    </row>
    <row r="5410" spans="2:8">
      <c r="B5410" s="1560">
        <v>46290</v>
      </c>
      <c r="C5410" s="1038" t="s">
        <v>10880</v>
      </c>
      <c r="D5410" s="1038" t="s">
        <v>1410</v>
      </c>
      <c r="E5410" s="1038" t="s">
        <v>3425</v>
      </c>
      <c r="F5410" s="1562" t="s">
        <v>528</v>
      </c>
      <c r="G5410" s="1563" t="s">
        <v>1443</v>
      </c>
      <c r="H5410" s="1038" t="s">
        <v>11059</v>
      </c>
    </row>
    <row r="5411" spans="2:8">
      <c r="B5411" s="1560">
        <v>46290</v>
      </c>
      <c r="C5411" s="1038" t="s">
        <v>10880</v>
      </c>
      <c r="D5411" s="1038" t="s">
        <v>1434</v>
      </c>
      <c r="E5411" s="1038" t="s">
        <v>1444</v>
      </c>
      <c r="F5411" s="1562" t="s">
        <v>526</v>
      </c>
      <c r="G5411" s="1563"/>
      <c r="H5411" s="1038" t="s">
        <v>11060</v>
      </c>
    </row>
    <row r="5412" spans="2:8">
      <c r="B5412" s="1560">
        <v>46290</v>
      </c>
      <c r="C5412" s="1038" t="s">
        <v>10880</v>
      </c>
      <c r="D5412" s="1038" t="s">
        <v>1434</v>
      </c>
      <c r="E5412" s="1038" t="s">
        <v>1444</v>
      </c>
      <c r="F5412" s="1562" t="s">
        <v>527</v>
      </c>
      <c r="G5412" s="1563" t="s">
        <v>11061</v>
      </c>
      <c r="H5412" s="1038" t="s">
        <v>11062</v>
      </c>
    </row>
    <row r="5413" spans="2:8">
      <c r="B5413" s="1560">
        <v>46290</v>
      </c>
      <c r="C5413" s="1038" t="s">
        <v>10880</v>
      </c>
      <c r="D5413" s="1038" t="s">
        <v>1434</v>
      </c>
      <c r="E5413" s="1038" t="s">
        <v>1444</v>
      </c>
      <c r="F5413" s="1562" t="s">
        <v>528</v>
      </c>
      <c r="G5413" s="1563"/>
      <c r="H5413" s="1038" t="s">
        <v>11063</v>
      </c>
    </row>
    <row r="5414" spans="2:8">
      <c r="B5414" s="1560">
        <v>46290</v>
      </c>
      <c r="C5414" s="1038" t="s">
        <v>10880</v>
      </c>
      <c r="D5414" s="1038" t="s">
        <v>1434</v>
      </c>
      <c r="E5414" s="1038" t="s">
        <v>1446</v>
      </c>
      <c r="F5414" s="1562" t="s">
        <v>526</v>
      </c>
      <c r="G5414" s="1563" t="s">
        <v>11064</v>
      </c>
      <c r="H5414" s="1038" t="s">
        <v>11065</v>
      </c>
    </row>
    <row r="5415" spans="2:8">
      <c r="B5415" s="1560">
        <v>46290</v>
      </c>
      <c r="C5415" s="1038" t="s">
        <v>10880</v>
      </c>
      <c r="D5415" s="1038" t="s">
        <v>1434</v>
      </c>
      <c r="E5415" s="1038" t="s">
        <v>1446</v>
      </c>
      <c r="F5415" s="1562" t="s">
        <v>527</v>
      </c>
      <c r="G5415" s="1563" t="s">
        <v>11066</v>
      </c>
      <c r="H5415" s="1038" t="s">
        <v>11067</v>
      </c>
    </row>
    <row r="5416" spans="2:8">
      <c r="B5416" s="1560">
        <v>46290</v>
      </c>
      <c r="C5416" s="1038" t="s">
        <v>10880</v>
      </c>
      <c r="D5416" s="1038" t="s">
        <v>1434</v>
      </c>
      <c r="E5416" s="1038" t="s">
        <v>1446</v>
      </c>
      <c r="F5416" s="1562" t="s">
        <v>528</v>
      </c>
      <c r="G5416" s="1563" t="s">
        <v>11068</v>
      </c>
      <c r="H5416" s="1038" t="s">
        <v>11069</v>
      </c>
    </row>
    <row r="5417" spans="2:8">
      <c r="B5417" s="1560">
        <v>46290</v>
      </c>
      <c r="C5417" s="1038" t="s">
        <v>10880</v>
      </c>
      <c r="D5417" s="1038" t="s">
        <v>1410</v>
      </c>
      <c r="E5417" s="1038" t="s">
        <v>3435</v>
      </c>
      <c r="F5417" s="1562" t="s">
        <v>526</v>
      </c>
      <c r="G5417" s="1563" t="s">
        <v>1586</v>
      </c>
      <c r="H5417" s="1038" t="s">
        <v>11070</v>
      </c>
    </row>
    <row r="5418" spans="2:8">
      <c r="B5418" s="1560">
        <v>46290</v>
      </c>
      <c r="C5418" s="1038" t="s">
        <v>10880</v>
      </c>
      <c r="D5418" s="1038" t="s">
        <v>1410</v>
      </c>
      <c r="E5418" s="1038" t="s">
        <v>3435</v>
      </c>
      <c r="F5418" s="1562" t="s">
        <v>527</v>
      </c>
      <c r="G5418" s="1563" t="s">
        <v>1586</v>
      </c>
      <c r="H5418" s="1038" t="s">
        <v>11071</v>
      </c>
    </row>
    <row r="5419" spans="2:8">
      <c r="B5419" s="1560">
        <v>46290</v>
      </c>
      <c r="C5419" s="1038" t="s">
        <v>10880</v>
      </c>
      <c r="D5419" s="1038" t="s">
        <v>1410</v>
      </c>
      <c r="E5419" s="1038" t="s">
        <v>3435</v>
      </c>
      <c r="F5419" s="1562" t="s">
        <v>528</v>
      </c>
      <c r="G5419" s="1563" t="s">
        <v>1586</v>
      </c>
      <c r="H5419" s="1038" t="s">
        <v>11072</v>
      </c>
    </row>
    <row r="5420" spans="2:8">
      <c r="B5420" s="1560">
        <v>46290</v>
      </c>
      <c r="C5420" s="1038" t="s">
        <v>10880</v>
      </c>
      <c r="D5420" s="1038" t="s">
        <v>1434</v>
      </c>
      <c r="E5420" s="1038" t="s">
        <v>3439</v>
      </c>
      <c r="F5420" s="1562" t="s">
        <v>526</v>
      </c>
      <c r="G5420" s="1563"/>
      <c r="H5420" s="1038" t="s">
        <v>11073</v>
      </c>
    </row>
    <row r="5421" spans="2:8">
      <c r="B5421" s="1560">
        <v>46290</v>
      </c>
      <c r="C5421" s="1038" t="s">
        <v>10880</v>
      </c>
      <c r="D5421" s="1038" t="s">
        <v>1434</v>
      </c>
      <c r="E5421" s="1038" t="s">
        <v>3439</v>
      </c>
      <c r="F5421" s="1562" t="s">
        <v>527</v>
      </c>
      <c r="G5421" s="1563"/>
      <c r="H5421" s="1038" t="s">
        <v>11074</v>
      </c>
    </row>
    <row r="5422" spans="2:8">
      <c r="B5422" s="1560">
        <v>46290</v>
      </c>
      <c r="C5422" s="1038" t="s">
        <v>10880</v>
      </c>
      <c r="D5422" s="1038" t="s">
        <v>1434</v>
      </c>
      <c r="E5422" s="1038" t="s">
        <v>3439</v>
      </c>
      <c r="F5422" s="1562" t="s">
        <v>528</v>
      </c>
      <c r="G5422" s="1563"/>
      <c r="H5422" s="1038" t="s">
        <v>11075</v>
      </c>
    </row>
    <row r="5423" spans="2:8">
      <c r="B5423" s="1560">
        <v>46290</v>
      </c>
      <c r="C5423" s="1038" t="s">
        <v>10880</v>
      </c>
      <c r="D5423" s="1038" t="s">
        <v>1410</v>
      </c>
      <c r="E5423" s="1038" t="s">
        <v>3443</v>
      </c>
      <c r="F5423" s="1562" t="s">
        <v>526</v>
      </c>
      <c r="G5423" s="1563"/>
      <c r="H5423" s="1038" t="s">
        <v>11076</v>
      </c>
    </row>
    <row r="5424" spans="2:8">
      <c r="B5424" s="1560">
        <v>46290</v>
      </c>
      <c r="C5424" s="1038" t="s">
        <v>10880</v>
      </c>
      <c r="D5424" s="1038" t="s">
        <v>1410</v>
      </c>
      <c r="E5424" s="1038" t="s">
        <v>3443</v>
      </c>
      <c r="F5424" s="1562" t="s">
        <v>527</v>
      </c>
      <c r="G5424" s="1563"/>
      <c r="H5424" s="1038" t="s">
        <v>11077</v>
      </c>
    </row>
    <row r="5425" spans="2:8">
      <c r="B5425" s="1560">
        <v>46290</v>
      </c>
      <c r="C5425" s="1038" t="s">
        <v>10880</v>
      </c>
      <c r="D5425" s="1038" t="s">
        <v>1410</v>
      </c>
      <c r="E5425" s="1038" t="s">
        <v>3443</v>
      </c>
      <c r="F5425" s="1562" t="s">
        <v>528</v>
      </c>
      <c r="G5425" s="1563"/>
      <c r="H5425" s="1038" t="s">
        <v>11078</v>
      </c>
    </row>
    <row r="5426" spans="2:8">
      <c r="B5426" s="1560">
        <v>46290</v>
      </c>
      <c r="C5426" s="1038" t="s">
        <v>10880</v>
      </c>
      <c r="D5426" s="1038" t="s">
        <v>1434</v>
      </c>
      <c r="E5426" s="1038" t="s">
        <v>3447</v>
      </c>
      <c r="F5426" s="1562" t="s">
        <v>526</v>
      </c>
      <c r="G5426" s="1563"/>
      <c r="H5426" s="1038" t="s">
        <v>11079</v>
      </c>
    </row>
    <row r="5427" spans="2:8">
      <c r="B5427" s="1560">
        <v>46290</v>
      </c>
      <c r="C5427" s="1038" t="s">
        <v>10880</v>
      </c>
      <c r="D5427" s="1038" t="s">
        <v>1434</v>
      </c>
      <c r="E5427" s="1038" t="s">
        <v>3447</v>
      </c>
      <c r="F5427" s="1562" t="s">
        <v>527</v>
      </c>
      <c r="G5427" s="1563"/>
      <c r="H5427" s="1038" t="s">
        <v>11080</v>
      </c>
    </row>
    <row r="5428" spans="2:8">
      <c r="B5428" s="1560">
        <v>46290</v>
      </c>
      <c r="C5428" s="1038" t="s">
        <v>10880</v>
      </c>
      <c r="D5428" s="1038" t="s">
        <v>1434</v>
      </c>
      <c r="E5428" s="1038" t="s">
        <v>3447</v>
      </c>
      <c r="F5428" s="1562" t="s">
        <v>528</v>
      </c>
      <c r="G5428" s="1563"/>
      <c r="H5428" s="1038" t="s">
        <v>11081</v>
      </c>
    </row>
    <row r="5429" spans="2:8">
      <c r="B5429" s="1560">
        <v>46290</v>
      </c>
      <c r="C5429" s="1038" t="s">
        <v>10880</v>
      </c>
      <c r="D5429" s="1038" t="s">
        <v>1410</v>
      </c>
      <c r="E5429" s="1038" t="s">
        <v>3451</v>
      </c>
      <c r="F5429" s="1562" t="s">
        <v>526</v>
      </c>
      <c r="G5429" s="1563"/>
      <c r="H5429" s="1038" t="s">
        <v>11082</v>
      </c>
    </row>
    <row r="5430" spans="2:8">
      <c r="B5430" s="1560">
        <v>46290</v>
      </c>
      <c r="C5430" s="1038" t="s">
        <v>10880</v>
      </c>
      <c r="D5430" s="1038" t="s">
        <v>1410</v>
      </c>
      <c r="E5430" s="1038" t="s">
        <v>3451</v>
      </c>
      <c r="F5430" s="1562" t="s">
        <v>527</v>
      </c>
      <c r="G5430" s="1563"/>
      <c r="H5430" s="1038" t="s">
        <v>11083</v>
      </c>
    </row>
    <row r="5431" spans="2:8">
      <c r="B5431" s="1560">
        <v>46290</v>
      </c>
      <c r="C5431" s="1038" t="s">
        <v>10880</v>
      </c>
      <c r="D5431" s="1038" t="s">
        <v>1410</v>
      </c>
      <c r="E5431" s="1038" t="s">
        <v>3451</v>
      </c>
      <c r="F5431" s="1562" t="s">
        <v>528</v>
      </c>
      <c r="G5431" s="1563"/>
      <c r="H5431" s="1038" t="s">
        <v>11084</v>
      </c>
    </row>
    <row r="5432" spans="2:8">
      <c r="B5432" s="1560">
        <v>46290</v>
      </c>
      <c r="C5432" s="1038" t="s">
        <v>10880</v>
      </c>
      <c r="D5432" s="1038" t="s">
        <v>1434</v>
      </c>
      <c r="E5432" s="1038" t="s">
        <v>3455</v>
      </c>
      <c r="F5432" s="1562" t="s">
        <v>526</v>
      </c>
      <c r="G5432" s="1563"/>
      <c r="H5432" s="1038" t="s">
        <v>11085</v>
      </c>
    </row>
    <row r="5433" spans="2:8">
      <c r="B5433" s="1560">
        <v>46290</v>
      </c>
      <c r="C5433" s="1038" t="s">
        <v>10880</v>
      </c>
      <c r="D5433" s="1038" t="s">
        <v>1434</v>
      </c>
      <c r="E5433" s="1038" t="s">
        <v>3455</v>
      </c>
      <c r="F5433" s="1562" t="s">
        <v>527</v>
      </c>
      <c r="G5433" s="1563"/>
      <c r="H5433" s="1038" t="s">
        <v>11086</v>
      </c>
    </row>
    <row r="5434" spans="2:8">
      <c r="B5434" s="1560">
        <v>46290</v>
      </c>
      <c r="C5434" s="1038" t="s">
        <v>10880</v>
      </c>
      <c r="D5434" s="1038" t="s">
        <v>1434</v>
      </c>
      <c r="E5434" s="1038" t="s">
        <v>3455</v>
      </c>
      <c r="F5434" s="1562" t="s">
        <v>528</v>
      </c>
      <c r="G5434" s="1563"/>
      <c r="H5434" s="1038" t="s">
        <v>11087</v>
      </c>
    </row>
    <row r="5435" spans="2:8">
      <c r="B5435" s="1560">
        <v>46290</v>
      </c>
      <c r="C5435" s="1038" t="s">
        <v>10880</v>
      </c>
      <c r="D5435" s="1038" t="s">
        <v>1410</v>
      </c>
      <c r="E5435" s="1038" t="s">
        <v>3459</v>
      </c>
      <c r="F5435" s="1562" t="s">
        <v>526</v>
      </c>
      <c r="G5435" s="1563">
        <v>29</v>
      </c>
      <c r="H5435" s="1038" t="s">
        <v>11088</v>
      </c>
    </row>
    <row r="5436" spans="2:8">
      <c r="B5436" s="1560">
        <v>46290</v>
      </c>
      <c r="C5436" s="1038" t="s">
        <v>10880</v>
      </c>
      <c r="D5436" s="1038" t="s">
        <v>1410</v>
      </c>
      <c r="E5436" s="1038" t="s">
        <v>3459</v>
      </c>
      <c r="F5436" s="1562" t="s">
        <v>527</v>
      </c>
      <c r="G5436" s="1563">
        <v>26</v>
      </c>
      <c r="H5436" s="1038" t="s">
        <v>11089</v>
      </c>
    </row>
    <row r="5437" spans="2:8">
      <c r="B5437" s="1560">
        <v>46290</v>
      </c>
      <c r="C5437" s="1038" t="s">
        <v>10880</v>
      </c>
      <c r="D5437" s="1038" t="s">
        <v>1410</v>
      </c>
      <c r="E5437" s="1038" t="s">
        <v>3459</v>
      </c>
      <c r="F5437" s="1562" t="s">
        <v>528</v>
      </c>
      <c r="G5437" s="1563">
        <v>25</v>
      </c>
      <c r="H5437" s="1038" t="s">
        <v>11090</v>
      </c>
    </row>
    <row r="5438" spans="2:8">
      <c r="B5438" s="1560">
        <v>46290</v>
      </c>
      <c r="C5438" s="1038" t="s">
        <v>10880</v>
      </c>
      <c r="D5438" s="1038" t="s">
        <v>1434</v>
      </c>
      <c r="E5438" s="1038" t="s">
        <v>3463</v>
      </c>
      <c r="F5438" s="1562" t="s">
        <v>526</v>
      </c>
      <c r="G5438" s="1563"/>
      <c r="H5438" s="1038" t="s">
        <v>11091</v>
      </c>
    </row>
    <row r="5439" spans="2:8">
      <c r="B5439" s="1560">
        <v>46290</v>
      </c>
      <c r="C5439" s="1038" t="s">
        <v>10880</v>
      </c>
      <c r="D5439" s="1038" t="s">
        <v>1434</v>
      </c>
      <c r="E5439" s="1038" t="s">
        <v>3463</v>
      </c>
      <c r="F5439" s="1562" t="s">
        <v>527</v>
      </c>
      <c r="G5439" s="1563"/>
      <c r="H5439" s="1038" t="s">
        <v>11092</v>
      </c>
    </row>
    <row r="5440" spans="2:8">
      <c r="B5440" s="1560">
        <v>46290</v>
      </c>
      <c r="C5440" s="1038" t="s">
        <v>10880</v>
      </c>
      <c r="D5440" s="1038" t="s">
        <v>1434</v>
      </c>
      <c r="E5440" s="1038" t="s">
        <v>3463</v>
      </c>
      <c r="F5440" s="1562" t="s">
        <v>528</v>
      </c>
      <c r="G5440" s="1563"/>
      <c r="H5440" s="1038" t="s">
        <v>11093</v>
      </c>
    </row>
    <row r="5441" spans="2:8">
      <c r="B5441" s="1560">
        <v>46290</v>
      </c>
      <c r="C5441" s="1038" t="s">
        <v>10880</v>
      </c>
      <c r="D5441" s="1038" t="s">
        <v>1410</v>
      </c>
      <c r="E5441" s="1038" t="s">
        <v>3467</v>
      </c>
      <c r="F5441" s="1562" t="s">
        <v>526</v>
      </c>
      <c r="G5441" s="1563">
        <v>29</v>
      </c>
      <c r="H5441" s="1038" t="s">
        <v>11094</v>
      </c>
    </row>
    <row r="5442" spans="2:8">
      <c r="B5442" s="1560">
        <v>46290</v>
      </c>
      <c r="C5442" s="1038" t="s">
        <v>10880</v>
      </c>
      <c r="D5442" s="1038" t="s">
        <v>1410</v>
      </c>
      <c r="E5442" s="1038" t="s">
        <v>3467</v>
      </c>
      <c r="F5442" s="1562" t="s">
        <v>527</v>
      </c>
      <c r="G5442" s="1563"/>
      <c r="H5442" s="1038" t="s">
        <v>11095</v>
      </c>
    </row>
    <row r="5443" spans="2:8">
      <c r="B5443" s="1560">
        <v>46290</v>
      </c>
      <c r="C5443" s="1038" t="s">
        <v>10880</v>
      </c>
      <c r="D5443" s="1038" t="s">
        <v>1410</v>
      </c>
      <c r="E5443" s="1038" t="s">
        <v>3467</v>
      </c>
      <c r="F5443" s="1562" t="s">
        <v>528</v>
      </c>
      <c r="G5443" s="1563">
        <v>25</v>
      </c>
      <c r="H5443" s="1038" t="s">
        <v>11096</v>
      </c>
    </row>
    <row r="5444" spans="2:8">
      <c r="B5444" s="1560">
        <v>46290</v>
      </c>
      <c r="C5444" s="1038" t="s">
        <v>10880</v>
      </c>
      <c r="D5444" s="1038" t="s">
        <v>1434</v>
      </c>
      <c r="E5444" s="1038" t="s">
        <v>3471</v>
      </c>
      <c r="F5444" s="1562" t="s">
        <v>526</v>
      </c>
      <c r="G5444" s="1563"/>
      <c r="H5444" s="1038" t="s">
        <v>11097</v>
      </c>
    </row>
    <row r="5445" spans="2:8">
      <c r="B5445" s="1560">
        <v>46290</v>
      </c>
      <c r="C5445" s="1038" t="s">
        <v>10880</v>
      </c>
      <c r="D5445" s="1038" t="s">
        <v>1434</v>
      </c>
      <c r="E5445" s="1038" t="s">
        <v>3471</v>
      </c>
      <c r="F5445" s="1562" t="s">
        <v>527</v>
      </c>
      <c r="G5445" s="1563"/>
      <c r="H5445" s="1038" t="s">
        <v>11098</v>
      </c>
    </row>
    <row r="5446" spans="2:8">
      <c r="B5446" s="1560">
        <v>46290</v>
      </c>
      <c r="C5446" s="1038" t="s">
        <v>10880</v>
      </c>
      <c r="D5446" s="1038" t="s">
        <v>1434</v>
      </c>
      <c r="E5446" s="1038" t="s">
        <v>3471</v>
      </c>
      <c r="F5446" s="1562" t="s">
        <v>528</v>
      </c>
      <c r="G5446" s="1563"/>
      <c r="H5446" s="1038" t="s">
        <v>11099</v>
      </c>
    </row>
    <row r="5447" spans="2:8">
      <c r="B5447" s="1560">
        <v>46290</v>
      </c>
      <c r="C5447" s="1038" t="s">
        <v>10880</v>
      </c>
      <c r="D5447" s="1038" t="s">
        <v>1410</v>
      </c>
      <c r="E5447" s="1038" t="s">
        <v>3475</v>
      </c>
      <c r="F5447" s="1562" t="s">
        <v>526</v>
      </c>
      <c r="G5447" s="1563">
        <v>17</v>
      </c>
      <c r="H5447" s="1038" t="s">
        <v>11100</v>
      </c>
    </row>
    <row r="5448" spans="2:8">
      <c r="B5448" s="1560">
        <v>46290</v>
      </c>
      <c r="C5448" s="1038" t="s">
        <v>10880</v>
      </c>
      <c r="D5448" s="1038" t="s">
        <v>1410</v>
      </c>
      <c r="E5448" s="1038" t="s">
        <v>3475</v>
      </c>
      <c r="F5448" s="1562" t="s">
        <v>527</v>
      </c>
      <c r="G5448" s="1563">
        <v>17</v>
      </c>
      <c r="H5448" s="1038" t="s">
        <v>11101</v>
      </c>
    </row>
    <row r="5449" spans="2:8">
      <c r="B5449" s="1560">
        <v>46290</v>
      </c>
      <c r="C5449" s="1038" t="s">
        <v>10880</v>
      </c>
      <c r="D5449" s="1038" t="s">
        <v>1410</v>
      </c>
      <c r="E5449" s="1038" t="s">
        <v>3475</v>
      </c>
      <c r="F5449" s="1562" t="s">
        <v>528</v>
      </c>
      <c r="G5449" s="1563">
        <v>17</v>
      </c>
      <c r="H5449" s="1038" t="s">
        <v>11102</v>
      </c>
    </row>
    <row r="5450" spans="2:8">
      <c r="B5450" s="1560">
        <v>46290</v>
      </c>
      <c r="C5450" s="1038" t="s">
        <v>10880</v>
      </c>
      <c r="D5450" s="1038" t="s">
        <v>1434</v>
      </c>
      <c r="E5450" s="1038" t="s">
        <v>3479</v>
      </c>
      <c r="F5450" s="1562" t="s">
        <v>526</v>
      </c>
      <c r="G5450" s="1563"/>
      <c r="H5450" s="1038" t="s">
        <v>11103</v>
      </c>
    </row>
    <row r="5451" spans="2:8">
      <c r="B5451" s="1560">
        <v>46290</v>
      </c>
      <c r="C5451" s="1038" t="s">
        <v>10880</v>
      </c>
      <c r="D5451" s="1038" t="s">
        <v>1434</v>
      </c>
      <c r="E5451" s="1038" t="s">
        <v>3479</v>
      </c>
      <c r="F5451" s="1562" t="s">
        <v>527</v>
      </c>
      <c r="G5451" s="1563"/>
      <c r="H5451" s="1038" t="s">
        <v>11104</v>
      </c>
    </row>
    <row r="5452" spans="2:8">
      <c r="B5452" s="1560">
        <v>46290</v>
      </c>
      <c r="C5452" s="1038" t="s">
        <v>10880</v>
      </c>
      <c r="D5452" s="1038" t="s">
        <v>1434</v>
      </c>
      <c r="E5452" s="1038" t="s">
        <v>3479</v>
      </c>
      <c r="F5452" s="1562" t="s">
        <v>528</v>
      </c>
      <c r="G5452" s="1563"/>
      <c r="H5452" s="1038" t="s">
        <v>11105</v>
      </c>
    </row>
    <row r="5453" spans="2:8">
      <c r="B5453" s="1560">
        <v>46290</v>
      </c>
      <c r="C5453" s="1038" t="s">
        <v>10880</v>
      </c>
      <c r="D5453" s="1038" t="s">
        <v>1410</v>
      </c>
      <c r="E5453" s="1038" t="s">
        <v>3483</v>
      </c>
      <c r="F5453" s="1562" t="s">
        <v>526</v>
      </c>
      <c r="G5453" s="1563">
        <v>5</v>
      </c>
      <c r="H5453" s="1038" t="s">
        <v>11106</v>
      </c>
    </row>
    <row r="5454" spans="2:8">
      <c r="B5454" s="1560">
        <v>46290</v>
      </c>
      <c r="C5454" s="1038" t="s">
        <v>10880</v>
      </c>
      <c r="D5454" s="1038" t="s">
        <v>1410</v>
      </c>
      <c r="E5454" s="1038" t="s">
        <v>3483</v>
      </c>
      <c r="F5454" s="1562" t="s">
        <v>527</v>
      </c>
      <c r="G5454" s="1563">
        <v>5</v>
      </c>
      <c r="H5454" s="1038" t="s">
        <v>11107</v>
      </c>
    </row>
    <row r="5455" spans="2:8">
      <c r="B5455" s="1560">
        <v>46290</v>
      </c>
      <c r="C5455" s="1038" t="s">
        <v>10880</v>
      </c>
      <c r="D5455" s="1038" t="s">
        <v>1410</v>
      </c>
      <c r="E5455" s="1038" t="s">
        <v>3483</v>
      </c>
      <c r="F5455" s="1562" t="s">
        <v>528</v>
      </c>
      <c r="G5455" s="1563" t="s">
        <v>11108</v>
      </c>
      <c r="H5455" s="1038" t="s">
        <v>11109</v>
      </c>
    </row>
    <row r="5456" spans="2:8">
      <c r="B5456" s="1560">
        <v>46291</v>
      </c>
      <c r="C5456" s="1038" t="s">
        <v>11110</v>
      </c>
      <c r="D5456" s="1038" t="s">
        <v>1375</v>
      </c>
      <c r="E5456" s="1038" t="s">
        <v>1377</v>
      </c>
      <c r="F5456" s="1562" t="s">
        <v>526</v>
      </c>
      <c r="G5456" s="1563" t="s">
        <v>1578</v>
      </c>
      <c r="H5456" s="1038" t="s">
        <v>11111</v>
      </c>
    </row>
    <row r="5457" spans="2:8">
      <c r="B5457" s="1560">
        <v>46291</v>
      </c>
      <c r="C5457" s="1038" t="s">
        <v>11110</v>
      </c>
      <c r="D5457" s="1038" t="s">
        <v>1375</v>
      </c>
      <c r="E5457" s="1038" t="s">
        <v>1377</v>
      </c>
      <c r="F5457" s="1562" t="s">
        <v>527</v>
      </c>
      <c r="G5457" s="1563" t="s">
        <v>1378</v>
      </c>
      <c r="H5457" s="1038" t="s">
        <v>11112</v>
      </c>
    </row>
    <row r="5458" spans="2:8">
      <c r="B5458" s="1560">
        <v>46291</v>
      </c>
      <c r="C5458" s="1038" t="s">
        <v>11110</v>
      </c>
      <c r="D5458" s="1038" t="s">
        <v>1375</v>
      </c>
      <c r="E5458" s="1038" t="s">
        <v>1377</v>
      </c>
      <c r="F5458" s="1562" t="s">
        <v>528</v>
      </c>
      <c r="G5458" s="1563" t="s">
        <v>1378</v>
      </c>
      <c r="H5458" s="1038" t="s">
        <v>11113</v>
      </c>
    </row>
    <row r="5459" spans="2:8">
      <c r="B5459" s="1560">
        <v>46291</v>
      </c>
      <c r="C5459" s="1038" t="s">
        <v>11110</v>
      </c>
      <c r="D5459" s="1038" t="s">
        <v>1376</v>
      </c>
      <c r="E5459" s="1038" t="s">
        <v>1379</v>
      </c>
      <c r="F5459" s="1562" t="s">
        <v>526</v>
      </c>
      <c r="G5459" s="1563"/>
      <c r="H5459" s="1038" t="s">
        <v>11114</v>
      </c>
    </row>
    <row r="5460" spans="2:8">
      <c r="B5460" s="1560">
        <v>46291</v>
      </c>
      <c r="C5460" s="1038" t="s">
        <v>11110</v>
      </c>
      <c r="D5460" s="1038" t="s">
        <v>1376</v>
      </c>
      <c r="E5460" s="1038" t="s">
        <v>1379</v>
      </c>
      <c r="F5460" s="1562" t="s">
        <v>527</v>
      </c>
      <c r="G5460" s="1563"/>
      <c r="H5460" s="1038" t="s">
        <v>11115</v>
      </c>
    </row>
    <row r="5461" spans="2:8">
      <c r="B5461" s="1560">
        <v>46291</v>
      </c>
      <c r="C5461" s="1038" t="s">
        <v>11110</v>
      </c>
      <c r="D5461" s="1038" t="s">
        <v>1376</v>
      </c>
      <c r="E5461" s="1038" t="s">
        <v>1379</v>
      </c>
      <c r="F5461" s="1562" t="s">
        <v>528</v>
      </c>
      <c r="G5461" s="1563"/>
      <c r="H5461" s="1038" t="s">
        <v>11116</v>
      </c>
    </row>
    <row r="5462" spans="2:8">
      <c r="B5462" s="1560">
        <v>46291</v>
      </c>
      <c r="C5462" s="1038" t="s">
        <v>11110</v>
      </c>
      <c r="D5462" s="1038" t="s">
        <v>1375</v>
      </c>
      <c r="E5462" s="1038" t="s">
        <v>1380</v>
      </c>
      <c r="F5462" s="1562" t="s">
        <v>526</v>
      </c>
      <c r="G5462" s="1563" t="s">
        <v>11117</v>
      </c>
      <c r="H5462" s="1038" t="s">
        <v>11118</v>
      </c>
    </row>
    <row r="5463" spans="2:8">
      <c r="B5463" s="1560">
        <v>46291</v>
      </c>
      <c r="C5463" s="1038" t="s">
        <v>11110</v>
      </c>
      <c r="D5463" s="1038" t="s">
        <v>1375</v>
      </c>
      <c r="E5463" s="1038" t="s">
        <v>1380</v>
      </c>
      <c r="F5463" s="1562" t="s">
        <v>527</v>
      </c>
      <c r="G5463" s="1563" t="s">
        <v>11119</v>
      </c>
      <c r="H5463" s="1038" t="s">
        <v>11120</v>
      </c>
    </row>
    <row r="5464" spans="2:8">
      <c r="B5464" s="1560">
        <v>46291</v>
      </c>
      <c r="C5464" s="1038" t="s">
        <v>11110</v>
      </c>
      <c r="D5464" s="1038" t="s">
        <v>1375</v>
      </c>
      <c r="E5464" s="1038" t="s">
        <v>1380</v>
      </c>
      <c r="F5464" s="1562" t="s">
        <v>528</v>
      </c>
      <c r="G5464" s="1563" t="s">
        <v>11121</v>
      </c>
      <c r="H5464" s="1038" t="s">
        <v>11122</v>
      </c>
    </row>
    <row r="5465" spans="2:8">
      <c r="B5465" s="1560">
        <v>46291</v>
      </c>
      <c r="C5465" s="1038" t="s">
        <v>11110</v>
      </c>
      <c r="D5465" s="1038" t="s">
        <v>1376</v>
      </c>
      <c r="E5465" s="1038" t="s">
        <v>1383</v>
      </c>
      <c r="F5465" s="1562" t="s">
        <v>526</v>
      </c>
      <c r="G5465" s="1563">
        <v>0</v>
      </c>
      <c r="H5465" s="1038" t="s">
        <v>11123</v>
      </c>
    </row>
    <row r="5466" spans="2:8">
      <c r="B5466" s="1560">
        <v>46291</v>
      </c>
      <c r="C5466" s="1038" t="s">
        <v>11110</v>
      </c>
      <c r="D5466" s="1038" t="s">
        <v>1376</v>
      </c>
      <c r="E5466" s="1038" t="s">
        <v>1383</v>
      </c>
      <c r="F5466" s="1562" t="s">
        <v>527</v>
      </c>
      <c r="G5466" s="1563">
        <v>0</v>
      </c>
      <c r="H5466" s="1038" t="s">
        <v>11124</v>
      </c>
    </row>
    <row r="5467" spans="2:8">
      <c r="B5467" s="1560">
        <v>46291</v>
      </c>
      <c r="C5467" s="1038" t="s">
        <v>11110</v>
      </c>
      <c r="D5467" s="1038" t="s">
        <v>1376</v>
      </c>
      <c r="E5467" s="1038" t="s">
        <v>1383</v>
      </c>
      <c r="F5467" s="1562" t="s">
        <v>528</v>
      </c>
      <c r="G5467" s="1563">
        <v>0</v>
      </c>
      <c r="H5467" s="1038" t="s">
        <v>11125</v>
      </c>
    </row>
    <row r="5468" spans="2:8">
      <c r="B5468" s="1560">
        <v>46291</v>
      </c>
      <c r="C5468" s="1038" t="s">
        <v>11110</v>
      </c>
      <c r="D5468" s="1038" t="s">
        <v>1375</v>
      </c>
      <c r="E5468" s="1038" t="s">
        <v>54</v>
      </c>
      <c r="F5468" s="1562" t="s">
        <v>526</v>
      </c>
      <c r="G5468" s="1563"/>
      <c r="H5468" s="1038" t="s">
        <v>11126</v>
      </c>
    </row>
    <row r="5469" spans="2:8">
      <c r="B5469" s="1560">
        <v>46291</v>
      </c>
      <c r="C5469" s="1038" t="s">
        <v>11110</v>
      </c>
      <c r="D5469" s="1038" t="s">
        <v>1375</v>
      </c>
      <c r="E5469" s="1038" t="s">
        <v>54</v>
      </c>
      <c r="F5469" s="1562" t="s">
        <v>527</v>
      </c>
      <c r="G5469" s="1563"/>
      <c r="H5469" s="1038" t="s">
        <v>11127</v>
      </c>
    </row>
    <row r="5470" spans="2:8">
      <c r="B5470" s="1560">
        <v>46291</v>
      </c>
      <c r="C5470" s="1038" t="s">
        <v>11110</v>
      </c>
      <c r="D5470" s="1038" t="s">
        <v>1375</v>
      </c>
      <c r="E5470" s="1038" t="s">
        <v>54</v>
      </c>
      <c r="F5470" s="1562" t="s">
        <v>528</v>
      </c>
      <c r="G5470" s="1563"/>
      <c r="H5470" s="1038" t="s">
        <v>11128</v>
      </c>
    </row>
    <row r="5471" spans="2:8">
      <c r="B5471" s="1560">
        <v>46291</v>
      </c>
      <c r="C5471" s="1038" t="s">
        <v>11110</v>
      </c>
      <c r="D5471" s="1038" t="s">
        <v>1376</v>
      </c>
      <c r="E5471" s="1038" t="s">
        <v>1384</v>
      </c>
      <c r="F5471" s="1562" t="s">
        <v>526</v>
      </c>
      <c r="G5471" s="1563">
        <v>0.4</v>
      </c>
      <c r="H5471" s="1038" t="s">
        <v>11129</v>
      </c>
    </row>
    <row r="5472" spans="2:8">
      <c r="B5472" s="1560">
        <v>46291</v>
      </c>
      <c r="C5472" s="1038" t="s">
        <v>11110</v>
      </c>
      <c r="D5472" s="1038" t="s">
        <v>1376</v>
      </c>
      <c r="E5472" s="1038" t="s">
        <v>1384</v>
      </c>
      <c r="F5472" s="1562" t="s">
        <v>527</v>
      </c>
      <c r="G5472" s="1563">
        <v>0.4</v>
      </c>
      <c r="H5472" s="1038" t="s">
        <v>11130</v>
      </c>
    </row>
    <row r="5473" spans="2:8">
      <c r="B5473" s="1560">
        <v>46291</v>
      </c>
      <c r="C5473" s="1038" t="s">
        <v>11110</v>
      </c>
      <c r="D5473" s="1038" t="s">
        <v>1376</v>
      </c>
      <c r="E5473" s="1038" t="s">
        <v>1384</v>
      </c>
      <c r="F5473" s="1562" t="s">
        <v>528</v>
      </c>
      <c r="G5473" s="1563">
        <v>0.38</v>
      </c>
      <c r="H5473" s="1038" t="s">
        <v>11131</v>
      </c>
    </row>
    <row r="5474" spans="2:8">
      <c r="B5474" s="1560">
        <v>46291</v>
      </c>
      <c r="C5474" s="1038" t="s">
        <v>11110</v>
      </c>
      <c r="D5474" s="1038" t="s">
        <v>1375</v>
      </c>
      <c r="E5474" s="1038" t="s">
        <v>1385</v>
      </c>
      <c r="F5474" s="1562" t="s">
        <v>526</v>
      </c>
      <c r="G5474" s="1563">
        <v>995</v>
      </c>
      <c r="H5474" s="1038" t="s">
        <v>11132</v>
      </c>
    </row>
    <row r="5475" spans="2:8">
      <c r="B5475" s="1560">
        <v>46291</v>
      </c>
      <c r="C5475" s="1038" t="s">
        <v>11110</v>
      </c>
      <c r="D5475" s="1038" t="s">
        <v>1375</v>
      </c>
      <c r="E5475" s="1038" t="s">
        <v>1385</v>
      </c>
      <c r="F5475" s="1562" t="s">
        <v>527</v>
      </c>
      <c r="G5475" s="1563">
        <v>1960</v>
      </c>
      <c r="H5475" s="1038" t="s">
        <v>11133</v>
      </c>
    </row>
    <row r="5476" spans="2:8">
      <c r="B5476" s="1560">
        <v>46291</v>
      </c>
      <c r="C5476" s="1038" t="s">
        <v>11110</v>
      </c>
      <c r="D5476" s="1038" t="s">
        <v>1375</v>
      </c>
      <c r="E5476" s="1038" t="s">
        <v>1385</v>
      </c>
      <c r="F5476" s="1562" t="s">
        <v>528</v>
      </c>
      <c r="G5476" s="1563">
        <v>3994</v>
      </c>
      <c r="H5476" s="1038" t="s">
        <v>11134</v>
      </c>
    </row>
    <row r="5477" spans="2:8">
      <c r="B5477" s="1560">
        <v>46291</v>
      </c>
      <c r="C5477" s="1038" t="s">
        <v>11110</v>
      </c>
      <c r="D5477" s="1038" t="s">
        <v>1376</v>
      </c>
      <c r="E5477" s="1038" t="s">
        <v>1386</v>
      </c>
      <c r="F5477" s="1562" t="s">
        <v>526</v>
      </c>
      <c r="G5477" s="1563">
        <v>0.4</v>
      </c>
      <c r="H5477" s="1038" t="s">
        <v>11135</v>
      </c>
    </row>
    <row r="5478" spans="2:8">
      <c r="B5478" s="1560">
        <v>46291</v>
      </c>
      <c r="C5478" s="1038" t="s">
        <v>11110</v>
      </c>
      <c r="D5478" s="1038" t="s">
        <v>1376</v>
      </c>
      <c r="E5478" s="1038" t="s">
        <v>1386</v>
      </c>
      <c r="F5478" s="1562" t="s">
        <v>527</v>
      </c>
      <c r="G5478" s="1563">
        <v>0.38</v>
      </c>
      <c r="H5478" s="1038" t="s">
        <v>11136</v>
      </c>
    </row>
    <row r="5479" spans="2:8">
      <c r="B5479" s="1560">
        <v>46291</v>
      </c>
      <c r="C5479" s="1038" t="s">
        <v>11110</v>
      </c>
      <c r="D5479" s="1038" t="s">
        <v>1376</v>
      </c>
      <c r="E5479" s="1038" t="s">
        <v>1386</v>
      </c>
      <c r="F5479" s="1562" t="s">
        <v>528</v>
      </c>
      <c r="G5479" s="1563">
        <v>0.4</v>
      </c>
      <c r="H5479" s="1038" t="s">
        <v>11137</v>
      </c>
    </row>
    <row r="5480" spans="2:8">
      <c r="B5480" s="1560">
        <v>46291</v>
      </c>
      <c r="C5480" s="1038" t="s">
        <v>11110</v>
      </c>
      <c r="D5480" s="1038" t="s">
        <v>1376</v>
      </c>
      <c r="E5480" s="1038" t="s">
        <v>1387</v>
      </c>
      <c r="F5480" s="1562" t="s">
        <v>526</v>
      </c>
      <c r="G5480" s="1563">
        <v>8.3000000000000007</v>
      </c>
      <c r="H5480" s="1038" t="s">
        <v>11138</v>
      </c>
    </row>
    <row r="5481" spans="2:8">
      <c r="B5481" s="1560">
        <v>46291</v>
      </c>
      <c r="C5481" s="1038" t="s">
        <v>11110</v>
      </c>
      <c r="D5481" s="1038" t="s">
        <v>1376</v>
      </c>
      <c r="E5481" s="1038" t="s">
        <v>1387</v>
      </c>
      <c r="F5481" s="1562" t="s">
        <v>527</v>
      </c>
      <c r="G5481" s="1563"/>
      <c r="H5481" s="1038" t="s">
        <v>11139</v>
      </c>
    </row>
    <row r="5482" spans="2:8">
      <c r="B5482" s="1560">
        <v>46291</v>
      </c>
      <c r="C5482" s="1038" t="s">
        <v>11110</v>
      </c>
      <c r="D5482" s="1038" t="s">
        <v>1376</v>
      </c>
      <c r="E5482" s="1038" t="s">
        <v>1387</v>
      </c>
      <c r="F5482" s="1562" t="s">
        <v>528</v>
      </c>
      <c r="G5482" s="1563">
        <v>8.3000000000000007</v>
      </c>
      <c r="H5482" s="1038" t="s">
        <v>11140</v>
      </c>
    </row>
    <row r="5483" spans="2:8">
      <c r="B5483" s="1560">
        <v>46291</v>
      </c>
      <c r="C5483" s="1038" t="s">
        <v>11110</v>
      </c>
      <c r="D5483" s="1038" t="s">
        <v>1375</v>
      </c>
      <c r="E5483" s="1038" t="s">
        <v>1388</v>
      </c>
      <c r="F5483" s="1562" t="s">
        <v>526</v>
      </c>
      <c r="G5483" s="1563"/>
      <c r="H5483" s="1038" t="s">
        <v>11141</v>
      </c>
    </row>
    <row r="5484" spans="2:8">
      <c r="B5484" s="1560">
        <v>46291</v>
      </c>
      <c r="C5484" s="1038" t="s">
        <v>11110</v>
      </c>
      <c r="D5484" s="1038" t="s">
        <v>1375</v>
      </c>
      <c r="E5484" s="1038" t="s">
        <v>1388</v>
      </c>
      <c r="F5484" s="1562" t="s">
        <v>527</v>
      </c>
      <c r="G5484" s="1563"/>
      <c r="H5484" s="1038" t="s">
        <v>11142</v>
      </c>
    </row>
    <row r="5485" spans="2:8">
      <c r="B5485" s="1560">
        <v>46291</v>
      </c>
      <c r="C5485" s="1038" t="s">
        <v>11110</v>
      </c>
      <c r="D5485" s="1038" t="s">
        <v>1375</v>
      </c>
      <c r="E5485" s="1038" t="s">
        <v>1388</v>
      </c>
      <c r="F5485" s="1562" t="s">
        <v>528</v>
      </c>
      <c r="G5485" s="1563"/>
      <c r="H5485" s="1038" t="s">
        <v>11143</v>
      </c>
    </row>
    <row r="5486" spans="2:8">
      <c r="B5486" s="1560">
        <v>46291</v>
      </c>
      <c r="C5486" s="1038" t="s">
        <v>11110</v>
      </c>
      <c r="D5486" s="1038" t="s">
        <v>1376</v>
      </c>
      <c r="E5486" s="1038" t="s">
        <v>1389</v>
      </c>
      <c r="F5486" s="1562" t="s">
        <v>526</v>
      </c>
      <c r="G5486" s="1563">
        <v>61.4</v>
      </c>
      <c r="H5486" s="1038" t="s">
        <v>11144</v>
      </c>
    </row>
    <row r="5487" spans="2:8">
      <c r="B5487" s="1560">
        <v>46291</v>
      </c>
      <c r="C5487" s="1038" t="s">
        <v>11110</v>
      </c>
      <c r="D5487" s="1038" t="s">
        <v>1376</v>
      </c>
      <c r="E5487" s="1038" t="s">
        <v>1389</v>
      </c>
      <c r="F5487" s="1562" t="s">
        <v>527</v>
      </c>
      <c r="G5487" s="1563"/>
      <c r="H5487" s="1038" t="s">
        <v>11145</v>
      </c>
    </row>
    <row r="5488" spans="2:8">
      <c r="B5488" s="1560">
        <v>46291</v>
      </c>
      <c r="C5488" s="1038" t="s">
        <v>11110</v>
      </c>
      <c r="D5488" s="1038" t="s">
        <v>1376</v>
      </c>
      <c r="E5488" s="1038" t="s">
        <v>1389</v>
      </c>
      <c r="F5488" s="1562" t="s">
        <v>528</v>
      </c>
      <c r="G5488" s="1563">
        <v>64.2</v>
      </c>
      <c r="H5488" s="1038" t="s">
        <v>11146</v>
      </c>
    </row>
    <row r="5489" spans="2:8">
      <c r="B5489" s="1560">
        <v>46291</v>
      </c>
      <c r="C5489" s="1038" t="s">
        <v>11110</v>
      </c>
      <c r="D5489" s="1038" t="s">
        <v>1375</v>
      </c>
      <c r="E5489" s="1038" t="s">
        <v>3266</v>
      </c>
      <c r="F5489" s="1562" t="s">
        <v>526</v>
      </c>
      <c r="G5489" s="1563">
        <v>2</v>
      </c>
      <c r="H5489" s="1038" t="s">
        <v>11147</v>
      </c>
    </row>
    <row r="5490" spans="2:8">
      <c r="B5490" s="1560">
        <v>46291</v>
      </c>
      <c r="C5490" s="1038" t="s">
        <v>11110</v>
      </c>
      <c r="D5490" s="1038" t="s">
        <v>1375</v>
      </c>
      <c r="E5490" s="1038" t="s">
        <v>3266</v>
      </c>
      <c r="F5490" s="1562" t="s">
        <v>527</v>
      </c>
      <c r="G5490" s="1563">
        <v>3</v>
      </c>
      <c r="H5490" s="1038" t="s">
        <v>11148</v>
      </c>
    </row>
    <row r="5491" spans="2:8">
      <c r="B5491" s="1560">
        <v>46291</v>
      </c>
      <c r="C5491" s="1038" t="s">
        <v>11110</v>
      </c>
      <c r="D5491" s="1038" t="s">
        <v>1375</v>
      </c>
      <c r="E5491" s="1038" t="s">
        <v>3266</v>
      </c>
      <c r="F5491" s="1562" t="s">
        <v>528</v>
      </c>
      <c r="G5491" s="1563">
        <v>4</v>
      </c>
      <c r="H5491" s="1038" t="s">
        <v>11149</v>
      </c>
    </row>
    <row r="5492" spans="2:8">
      <c r="B5492" s="1560">
        <v>46291</v>
      </c>
      <c r="C5492" s="1038" t="s">
        <v>11110</v>
      </c>
      <c r="D5492" s="1038" t="s">
        <v>1376</v>
      </c>
      <c r="E5492" s="1038" t="s">
        <v>1390</v>
      </c>
      <c r="F5492" s="1562" t="s">
        <v>526</v>
      </c>
      <c r="G5492" s="1563">
        <v>1.91E-3</v>
      </c>
      <c r="H5492" s="1038" t="s">
        <v>11150</v>
      </c>
    </row>
    <row r="5493" spans="2:8">
      <c r="B5493" s="1560">
        <v>46291</v>
      </c>
      <c r="C5493" s="1038" t="s">
        <v>11110</v>
      </c>
      <c r="D5493" s="1038" t="s">
        <v>1376</v>
      </c>
      <c r="E5493" s="1038" t="s">
        <v>1390</v>
      </c>
      <c r="F5493" s="1562" t="s">
        <v>527</v>
      </c>
      <c r="G5493" s="1563"/>
      <c r="H5493" s="1038" t="s">
        <v>11151</v>
      </c>
    </row>
    <row r="5494" spans="2:8">
      <c r="B5494" s="1560">
        <v>46291</v>
      </c>
      <c r="C5494" s="1038" t="s">
        <v>11110</v>
      </c>
      <c r="D5494" s="1038" t="s">
        <v>1376</v>
      </c>
      <c r="E5494" s="1038" t="s">
        <v>1390</v>
      </c>
      <c r="F5494" s="1562" t="s">
        <v>528</v>
      </c>
      <c r="G5494" s="1563">
        <v>1.8699999999999999E-3</v>
      </c>
      <c r="H5494" s="1038" t="s">
        <v>11152</v>
      </c>
    </row>
    <row r="5495" spans="2:8">
      <c r="B5495" s="1560">
        <v>46291</v>
      </c>
      <c r="C5495" s="1038" t="s">
        <v>11110</v>
      </c>
      <c r="D5495" s="1038" t="s">
        <v>1375</v>
      </c>
      <c r="E5495" s="1038" t="s">
        <v>3273</v>
      </c>
      <c r="F5495" s="1562" t="s">
        <v>526</v>
      </c>
      <c r="G5495" s="1563">
        <v>2</v>
      </c>
      <c r="H5495" s="1038" t="s">
        <v>11153</v>
      </c>
    </row>
    <row r="5496" spans="2:8">
      <c r="B5496" s="1560">
        <v>46291</v>
      </c>
      <c r="C5496" s="1038" t="s">
        <v>11110</v>
      </c>
      <c r="D5496" s="1038" t="s">
        <v>1375</v>
      </c>
      <c r="E5496" s="1038" t="s">
        <v>3273</v>
      </c>
      <c r="F5496" s="1562" t="s">
        <v>527</v>
      </c>
      <c r="G5496" s="1563">
        <v>3</v>
      </c>
      <c r="H5496" s="1038" t="s">
        <v>11154</v>
      </c>
    </row>
    <row r="5497" spans="2:8">
      <c r="B5497" s="1560">
        <v>46291</v>
      </c>
      <c r="C5497" s="1038" t="s">
        <v>11110</v>
      </c>
      <c r="D5497" s="1038" t="s">
        <v>1375</v>
      </c>
      <c r="E5497" s="1038" t="s">
        <v>3273</v>
      </c>
      <c r="F5497" s="1562" t="s">
        <v>528</v>
      </c>
      <c r="G5497" s="1563">
        <v>4</v>
      </c>
      <c r="H5497" s="1038" t="s">
        <v>11155</v>
      </c>
    </row>
    <row r="5498" spans="2:8">
      <c r="B5498" s="1560">
        <v>46291</v>
      </c>
      <c r="C5498" s="1038" t="s">
        <v>11110</v>
      </c>
      <c r="D5498" s="1038" t="s">
        <v>1376</v>
      </c>
      <c r="E5498" s="1038" t="s">
        <v>1391</v>
      </c>
      <c r="F5498" s="1562" t="s">
        <v>526</v>
      </c>
      <c r="G5498" s="1563"/>
      <c r="H5498" s="1038" t="s">
        <v>11156</v>
      </c>
    </row>
    <row r="5499" spans="2:8">
      <c r="B5499" s="1560">
        <v>46291</v>
      </c>
      <c r="C5499" s="1038" t="s">
        <v>11110</v>
      </c>
      <c r="D5499" s="1038" t="s">
        <v>1376</v>
      </c>
      <c r="E5499" s="1038" t="s">
        <v>1391</v>
      </c>
      <c r="F5499" s="1562" t="s">
        <v>527</v>
      </c>
      <c r="G5499" s="1563"/>
      <c r="H5499" s="1038" t="s">
        <v>11157</v>
      </c>
    </row>
    <row r="5500" spans="2:8">
      <c r="B5500" s="1560">
        <v>46291</v>
      </c>
      <c r="C5500" s="1038" t="s">
        <v>11110</v>
      </c>
      <c r="D5500" s="1038" t="s">
        <v>1376</v>
      </c>
      <c r="E5500" s="1038" t="s">
        <v>1391</v>
      </c>
      <c r="F5500" s="1562" t="s">
        <v>528</v>
      </c>
      <c r="G5500" s="1563">
        <v>7163</v>
      </c>
      <c r="H5500" s="1038" t="s">
        <v>11158</v>
      </c>
    </row>
    <row r="5501" spans="2:8">
      <c r="B5501" s="1560">
        <v>46291</v>
      </c>
      <c r="C5501" s="1038" t="s">
        <v>11110</v>
      </c>
      <c r="D5501" s="1038" t="s">
        <v>1375</v>
      </c>
      <c r="E5501" s="1038" t="s">
        <v>3280</v>
      </c>
      <c r="F5501" s="1562" t="s">
        <v>526</v>
      </c>
      <c r="G5501" s="1563">
        <v>1</v>
      </c>
      <c r="H5501" s="1038" t="s">
        <v>11159</v>
      </c>
    </row>
    <row r="5502" spans="2:8">
      <c r="B5502" s="1560">
        <v>46291</v>
      </c>
      <c r="C5502" s="1038" t="s">
        <v>11110</v>
      </c>
      <c r="D5502" s="1038" t="s">
        <v>1375</v>
      </c>
      <c r="E5502" s="1038" t="s">
        <v>3280</v>
      </c>
      <c r="F5502" s="1562" t="s">
        <v>527</v>
      </c>
      <c r="G5502" s="1563">
        <v>3</v>
      </c>
      <c r="H5502" s="1038" t="s">
        <v>11160</v>
      </c>
    </row>
    <row r="5503" spans="2:8">
      <c r="B5503" s="1560">
        <v>46291</v>
      </c>
      <c r="C5503" s="1038" t="s">
        <v>11110</v>
      </c>
      <c r="D5503" s="1038" t="s">
        <v>1375</v>
      </c>
      <c r="E5503" s="1038" t="s">
        <v>3280</v>
      </c>
      <c r="F5503" s="1562" t="s">
        <v>528</v>
      </c>
      <c r="G5503" s="1563">
        <v>4</v>
      </c>
      <c r="H5503" s="1038" t="s">
        <v>11161</v>
      </c>
    </row>
    <row r="5504" spans="2:8">
      <c r="B5504" s="1560">
        <v>46291</v>
      </c>
      <c r="C5504" s="1038" t="s">
        <v>11110</v>
      </c>
      <c r="D5504" s="1038" t="s">
        <v>1376</v>
      </c>
      <c r="E5504" s="1038" t="s">
        <v>1392</v>
      </c>
      <c r="F5504" s="1562" t="s">
        <v>526</v>
      </c>
      <c r="G5504" s="1563">
        <v>7163</v>
      </c>
      <c r="H5504" s="1038" t="s">
        <v>11162</v>
      </c>
    </row>
    <row r="5505" spans="2:8">
      <c r="B5505" s="1560">
        <v>46291</v>
      </c>
      <c r="C5505" s="1038" t="s">
        <v>11110</v>
      </c>
      <c r="D5505" s="1038" t="s">
        <v>1376</v>
      </c>
      <c r="E5505" s="1038" t="s">
        <v>1392</v>
      </c>
      <c r="F5505" s="1562" t="s">
        <v>527</v>
      </c>
      <c r="G5505" s="1563"/>
      <c r="H5505" s="1038" t="s">
        <v>11163</v>
      </c>
    </row>
    <row r="5506" spans="2:8">
      <c r="B5506" s="1560">
        <v>46291</v>
      </c>
      <c r="C5506" s="1038" t="s">
        <v>11110</v>
      </c>
      <c r="D5506" s="1038" t="s">
        <v>1376</v>
      </c>
      <c r="E5506" s="1038" t="s">
        <v>1392</v>
      </c>
      <c r="F5506" s="1562" t="s">
        <v>528</v>
      </c>
      <c r="G5506" s="1563"/>
      <c r="H5506" s="1038" t="s">
        <v>11164</v>
      </c>
    </row>
    <row r="5507" spans="2:8">
      <c r="B5507" s="1560">
        <v>46291</v>
      </c>
      <c r="C5507" s="1038" t="s">
        <v>11110</v>
      </c>
      <c r="D5507" s="1038" t="s">
        <v>1375</v>
      </c>
      <c r="E5507" s="1038" t="s">
        <v>3287</v>
      </c>
      <c r="F5507" s="1562" t="s">
        <v>526</v>
      </c>
      <c r="G5507" s="1563">
        <v>2</v>
      </c>
      <c r="H5507" s="1038" t="s">
        <v>11165</v>
      </c>
    </row>
    <row r="5508" spans="2:8">
      <c r="B5508" s="1560">
        <v>46291</v>
      </c>
      <c r="C5508" s="1038" t="s">
        <v>11110</v>
      </c>
      <c r="D5508" s="1038" t="s">
        <v>1375</v>
      </c>
      <c r="E5508" s="1038" t="s">
        <v>3287</v>
      </c>
      <c r="F5508" s="1562" t="s">
        <v>527</v>
      </c>
      <c r="G5508" s="1563">
        <v>3</v>
      </c>
      <c r="H5508" s="1038" t="s">
        <v>11166</v>
      </c>
    </row>
    <row r="5509" spans="2:8">
      <c r="B5509" s="1560">
        <v>46291</v>
      </c>
      <c r="C5509" s="1038" t="s">
        <v>11110</v>
      </c>
      <c r="D5509" s="1038" t="s">
        <v>1375</v>
      </c>
      <c r="E5509" s="1038" t="s">
        <v>3287</v>
      </c>
      <c r="F5509" s="1562" t="s">
        <v>528</v>
      </c>
      <c r="G5509" s="1563">
        <v>5</v>
      </c>
      <c r="H5509" s="1038" t="s">
        <v>11167</v>
      </c>
    </row>
    <row r="5510" spans="2:8">
      <c r="B5510" s="1560">
        <v>46291</v>
      </c>
      <c r="C5510" s="1038" t="s">
        <v>11110</v>
      </c>
      <c r="D5510" s="1038" t="s">
        <v>1376</v>
      </c>
      <c r="E5510" s="1038" t="s">
        <v>453</v>
      </c>
      <c r="F5510" s="1562" t="s">
        <v>526</v>
      </c>
      <c r="G5510" s="1563"/>
      <c r="H5510" s="1038" t="s">
        <v>11168</v>
      </c>
    </row>
    <row r="5511" spans="2:8">
      <c r="B5511" s="1560">
        <v>46291</v>
      </c>
      <c r="C5511" s="1038" t="s">
        <v>11110</v>
      </c>
      <c r="D5511" s="1038" t="s">
        <v>1376</v>
      </c>
      <c r="E5511" s="1038" t="s">
        <v>453</v>
      </c>
      <c r="F5511" s="1562" t="s">
        <v>527</v>
      </c>
      <c r="G5511" s="1563"/>
      <c r="H5511" s="1038" t="s">
        <v>11169</v>
      </c>
    </row>
    <row r="5512" spans="2:8">
      <c r="B5512" s="1560">
        <v>46291</v>
      </c>
      <c r="C5512" s="1038" t="s">
        <v>11110</v>
      </c>
      <c r="D5512" s="1038" t="s">
        <v>1376</v>
      </c>
      <c r="E5512" s="1038" t="s">
        <v>453</v>
      </c>
      <c r="F5512" s="1562" t="s">
        <v>528</v>
      </c>
      <c r="G5512" s="1563"/>
      <c r="H5512" s="1038" t="s">
        <v>11170</v>
      </c>
    </row>
    <row r="5513" spans="2:8">
      <c r="B5513" s="1560">
        <v>46291</v>
      </c>
      <c r="C5513" s="1038" t="s">
        <v>11110</v>
      </c>
      <c r="D5513" s="1038" t="s">
        <v>1375</v>
      </c>
      <c r="E5513" s="1038" t="s">
        <v>3291</v>
      </c>
      <c r="F5513" s="1562" t="s">
        <v>526</v>
      </c>
      <c r="G5513" s="1563">
        <v>2</v>
      </c>
      <c r="H5513" s="1038" t="s">
        <v>11171</v>
      </c>
    </row>
    <row r="5514" spans="2:8">
      <c r="B5514" s="1560">
        <v>46291</v>
      </c>
      <c r="C5514" s="1038" t="s">
        <v>11110</v>
      </c>
      <c r="D5514" s="1038" t="s">
        <v>1375</v>
      </c>
      <c r="E5514" s="1038" t="s">
        <v>3291</v>
      </c>
      <c r="F5514" s="1562" t="s">
        <v>527</v>
      </c>
      <c r="G5514" s="1563">
        <v>2</v>
      </c>
      <c r="H5514" s="1038" t="s">
        <v>11172</v>
      </c>
    </row>
    <row r="5515" spans="2:8">
      <c r="B5515" s="1560">
        <v>46291</v>
      </c>
      <c r="C5515" s="1038" t="s">
        <v>11110</v>
      </c>
      <c r="D5515" s="1038" t="s">
        <v>1375</v>
      </c>
      <c r="E5515" s="1038" t="s">
        <v>3291</v>
      </c>
      <c r="F5515" s="1562" t="s">
        <v>528</v>
      </c>
      <c r="G5515" s="1563">
        <v>4</v>
      </c>
      <c r="H5515" s="1038" t="s">
        <v>11173</v>
      </c>
    </row>
    <row r="5516" spans="2:8">
      <c r="B5516" s="1560">
        <v>46291</v>
      </c>
      <c r="C5516" s="1038" t="s">
        <v>11110</v>
      </c>
      <c r="D5516" s="1038" t="s">
        <v>1376</v>
      </c>
      <c r="E5516" s="1038" t="s">
        <v>1394</v>
      </c>
      <c r="F5516" s="1562" t="s">
        <v>526</v>
      </c>
      <c r="G5516" s="1563">
        <v>0</v>
      </c>
      <c r="H5516" s="1038" t="s">
        <v>11174</v>
      </c>
    </row>
    <row r="5517" spans="2:8">
      <c r="B5517" s="1560">
        <v>46291</v>
      </c>
      <c r="C5517" s="1038" t="s">
        <v>11110</v>
      </c>
      <c r="D5517" s="1038" t="s">
        <v>1376</v>
      </c>
      <c r="E5517" s="1038" t="s">
        <v>1394</v>
      </c>
      <c r="F5517" s="1562" t="s">
        <v>527</v>
      </c>
      <c r="G5517" s="1564" t="s">
        <v>1742</v>
      </c>
      <c r="H5517" s="1038" t="s">
        <v>11175</v>
      </c>
    </row>
    <row r="5518" spans="2:8">
      <c r="B5518" s="1560">
        <v>46291</v>
      </c>
      <c r="C5518" s="1038" t="s">
        <v>11110</v>
      </c>
      <c r="D5518" s="1038" t="s">
        <v>1376</v>
      </c>
      <c r="E5518" s="1038" t="s">
        <v>1394</v>
      </c>
      <c r="F5518" s="1562" t="s">
        <v>528</v>
      </c>
      <c r="G5518" s="1564" t="s">
        <v>11176</v>
      </c>
      <c r="H5518" s="1038" t="s">
        <v>11177</v>
      </c>
    </row>
    <row r="5519" spans="2:8">
      <c r="B5519" s="1560">
        <v>46291</v>
      </c>
      <c r="C5519" s="1038" t="s">
        <v>11110</v>
      </c>
      <c r="D5519" s="1038" t="s">
        <v>1375</v>
      </c>
      <c r="E5519" s="1038" t="s">
        <v>3298</v>
      </c>
      <c r="F5519" s="1562" t="s">
        <v>526</v>
      </c>
      <c r="G5519" s="1563">
        <v>3</v>
      </c>
      <c r="H5519" s="1038" t="s">
        <v>11178</v>
      </c>
    </row>
    <row r="5520" spans="2:8">
      <c r="B5520" s="1560">
        <v>46291</v>
      </c>
      <c r="C5520" s="1038" t="s">
        <v>11110</v>
      </c>
      <c r="D5520" s="1038" t="s">
        <v>1375</v>
      </c>
      <c r="E5520" s="1038" t="s">
        <v>3298</v>
      </c>
      <c r="F5520" s="1562" t="s">
        <v>527</v>
      </c>
      <c r="G5520" s="1563">
        <v>2</v>
      </c>
      <c r="H5520" s="1038" t="s">
        <v>11179</v>
      </c>
    </row>
    <row r="5521" spans="2:8">
      <c r="B5521" s="1560">
        <v>46291</v>
      </c>
      <c r="C5521" s="1038" t="s">
        <v>11110</v>
      </c>
      <c r="D5521" s="1038" t="s">
        <v>1375</v>
      </c>
      <c r="E5521" s="1038" t="s">
        <v>3298</v>
      </c>
      <c r="F5521" s="1562" t="s">
        <v>528</v>
      </c>
      <c r="G5521" s="1563">
        <v>4</v>
      </c>
      <c r="H5521" s="1038" t="s">
        <v>11180</v>
      </c>
    </row>
    <row r="5522" spans="2:8">
      <c r="B5522" s="1560">
        <v>46291</v>
      </c>
      <c r="C5522" s="1038" t="s">
        <v>11110</v>
      </c>
      <c r="D5522" s="1038" t="s">
        <v>1376</v>
      </c>
      <c r="E5522" s="1038" t="s">
        <v>1398</v>
      </c>
      <c r="F5522" s="1562" t="s">
        <v>526</v>
      </c>
      <c r="G5522" s="1563">
        <v>0</v>
      </c>
      <c r="H5522" s="1038" t="s">
        <v>11181</v>
      </c>
    </row>
    <row r="5523" spans="2:8">
      <c r="B5523" s="1560">
        <v>46291</v>
      </c>
      <c r="C5523" s="1038" t="s">
        <v>11110</v>
      </c>
      <c r="D5523" s="1038" t="s">
        <v>1376</v>
      </c>
      <c r="E5523" s="1038" t="s">
        <v>1398</v>
      </c>
      <c r="F5523" s="1562" t="s">
        <v>527</v>
      </c>
      <c r="G5523" s="1563">
        <v>12</v>
      </c>
      <c r="H5523" s="1038" t="s">
        <v>11182</v>
      </c>
    </row>
    <row r="5524" spans="2:8">
      <c r="B5524" s="1560">
        <v>46291</v>
      </c>
      <c r="C5524" s="1038" t="s">
        <v>11110</v>
      </c>
      <c r="D5524" s="1038" t="s">
        <v>1376</v>
      </c>
      <c r="E5524" s="1038" t="s">
        <v>1398</v>
      </c>
      <c r="F5524" s="1562" t="s">
        <v>528</v>
      </c>
      <c r="G5524" s="1563">
        <v>12</v>
      </c>
      <c r="H5524" s="1038" t="s">
        <v>11183</v>
      </c>
    </row>
    <row r="5525" spans="2:8">
      <c r="B5525" s="1560">
        <v>46291</v>
      </c>
      <c r="C5525" s="1038" t="s">
        <v>11110</v>
      </c>
      <c r="D5525" s="1038" t="s">
        <v>1375</v>
      </c>
      <c r="E5525" s="1038" t="s">
        <v>3305</v>
      </c>
      <c r="F5525" s="1562" t="s">
        <v>526</v>
      </c>
      <c r="G5525" s="1563">
        <v>3</v>
      </c>
      <c r="H5525" s="1038" t="s">
        <v>11184</v>
      </c>
    </row>
    <row r="5526" spans="2:8">
      <c r="B5526" s="1560">
        <v>46291</v>
      </c>
      <c r="C5526" s="1038" t="s">
        <v>11110</v>
      </c>
      <c r="D5526" s="1038" t="s">
        <v>1375</v>
      </c>
      <c r="E5526" s="1038" t="s">
        <v>3305</v>
      </c>
      <c r="F5526" s="1562" t="s">
        <v>527</v>
      </c>
      <c r="G5526" s="1563">
        <v>2</v>
      </c>
      <c r="H5526" s="1038" t="s">
        <v>11185</v>
      </c>
    </row>
    <row r="5527" spans="2:8">
      <c r="B5527" s="1560">
        <v>46291</v>
      </c>
      <c r="C5527" s="1038" t="s">
        <v>11110</v>
      </c>
      <c r="D5527" s="1038" t="s">
        <v>1375</v>
      </c>
      <c r="E5527" s="1038" t="s">
        <v>3305</v>
      </c>
      <c r="F5527" s="1562" t="s">
        <v>528</v>
      </c>
      <c r="G5527" s="1563">
        <v>4</v>
      </c>
      <c r="H5527" s="1038" t="s">
        <v>11186</v>
      </c>
    </row>
    <row r="5528" spans="2:8">
      <c r="B5528" s="1560">
        <v>46291</v>
      </c>
      <c r="C5528" s="1038" t="s">
        <v>11110</v>
      </c>
      <c r="D5528" s="1038" t="s">
        <v>1376</v>
      </c>
      <c r="E5528" s="1038" t="s">
        <v>1399</v>
      </c>
      <c r="F5528" s="1562" t="s">
        <v>526</v>
      </c>
      <c r="G5528" s="1563">
        <v>0</v>
      </c>
      <c r="H5528" s="1038" t="s">
        <v>11187</v>
      </c>
    </row>
    <row r="5529" spans="2:8">
      <c r="B5529" s="1560">
        <v>46291</v>
      </c>
      <c r="C5529" s="1038" t="s">
        <v>11110</v>
      </c>
      <c r="D5529" s="1038" t="s">
        <v>1376</v>
      </c>
      <c r="E5529" s="1038" t="s">
        <v>1399</v>
      </c>
      <c r="F5529" s="1562" t="s">
        <v>527</v>
      </c>
      <c r="G5529" s="1563">
        <v>13</v>
      </c>
      <c r="H5529" s="1038" t="s">
        <v>11188</v>
      </c>
    </row>
    <row r="5530" spans="2:8">
      <c r="B5530" s="1560">
        <v>46291</v>
      </c>
      <c r="C5530" s="1038" t="s">
        <v>11110</v>
      </c>
      <c r="D5530" s="1038" t="s">
        <v>1376</v>
      </c>
      <c r="E5530" s="1038" t="s">
        <v>1399</v>
      </c>
      <c r="F5530" s="1562" t="s">
        <v>528</v>
      </c>
      <c r="G5530" s="1563">
        <v>13</v>
      </c>
      <c r="H5530" s="1038" t="s">
        <v>11189</v>
      </c>
    </row>
    <row r="5531" spans="2:8">
      <c r="B5531" s="1560">
        <v>46291</v>
      </c>
      <c r="C5531" s="1038" t="s">
        <v>11110</v>
      </c>
      <c r="D5531" s="1038" t="s">
        <v>1375</v>
      </c>
      <c r="E5531" s="1038" t="s">
        <v>3312</v>
      </c>
      <c r="F5531" s="1562" t="s">
        <v>526</v>
      </c>
      <c r="G5531" s="1563">
        <v>4</v>
      </c>
      <c r="H5531" s="1038" t="s">
        <v>11190</v>
      </c>
    </row>
    <row r="5532" spans="2:8">
      <c r="B5532" s="1560">
        <v>46291</v>
      </c>
      <c r="C5532" s="1038" t="s">
        <v>11110</v>
      </c>
      <c r="D5532" s="1038" t="s">
        <v>1375</v>
      </c>
      <c r="E5532" s="1038" t="s">
        <v>3312</v>
      </c>
      <c r="F5532" s="1562" t="s">
        <v>527</v>
      </c>
      <c r="G5532" s="1563">
        <v>5</v>
      </c>
      <c r="H5532" s="1038" t="s">
        <v>11191</v>
      </c>
    </row>
    <row r="5533" spans="2:8">
      <c r="B5533" s="1560">
        <v>46291</v>
      </c>
      <c r="C5533" s="1038" t="s">
        <v>11110</v>
      </c>
      <c r="D5533" s="1038" t="s">
        <v>1375</v>
      </c>
      <c r="E5533" s="1038" t="s">
        <v>3312</v>
      </c>
      <c r="F5533" s="1562" t="s">
        <v>528</v>
      </c>
      <c r="G5533" s="1563">
        <v>4</v>
      </c>
      <c r="H5533" s="1038" t="s">
        <v>11192</v>
      </c>
    </row>
    <row r="5534" spans="2:8">
      <c r="B5534" s="1560">
        <v>46291</v>
      </c>
      <c r="C5534" s="1038" t="s">
        <v>11110</v>
      </c>
      <c r="D5534" s="1038" t="s">
        <v>1376</v>
      </c>
      <c r="E5534" s="1038" t="s">
        <v>1400</v>
      </c>
      <c r="F5534" s="1562" t="s">
        <v>526</v>
      </c>
      <c r="G5534" s="1563">
        <v>0</v>
      </c>
      <c r="H5534" s="1038" t="s">
        <v>11193</v>
      </c>
    </row>
    <row r="5535" spans="2:8">
      <c r="B5535" s="1560">
        <v>46291</v>
      </c>
      <c r="C5535" s="1038" t="s">
        <v>11110</v>
      </c>
      <c r="D5535" s="1038" t="s">
        <v>1376</v>
      </c>
      <c r="E5535" s="1038" t="s">
        <v>1400</v>
      </c>
      <c r="F5535" s="1562" t="s">
        <v>527</v>
      </c>
      <c r="G5535" s="1563">
        <v>17</v>
      </c>
      <c r="H5535" s="1038" t="s">
        <v>11194</v>
      </c>
    </row>
    <row r="5536" spans="2:8">
      <c r="B5536" s="1560">
        <v>46291</v>
      </c>
      <c r="C5536" s="1038" t="s">
        <v>11110</v>
      </c>
      <c r="D5536" s="1038" t="s">
        <v>1376</v>
      </c>
      <c r="E5536" s="1038" t="s">
        <v>1400</v>
      </c>
      <c r="F5536" s="1562" t="s">
        <v>528</v>
      </c>
      <c r="G5536" s="1563">
        <v>17</v>
      </c>
      <c r="H5536" s="1038" t="s">
        <v>11195</v>
      </c>
    </row>
    <row r="5537" spans="2:8">
      <c r="B5537" s="1560">
        <v>46291</v>
      </c>
      <c r="C5537" s="1038" t="s">
        <v>11110</v>
      </c>
      <c r="D5537" s="1038" t="s">
        <v>1375</v>
      </c>
      <c r="E5537" s="1038" t="s">
        <v>3319</v>
      </c>
      <c r="F5537" s="1562" t="s">
        <v>526</v>
      </c>
      <c r="G5537" s="1563">
        <v>4</v>
      </c>
      <c r="H5537" s="1038" t="s">
        <v>11196</v>
      </c>
    </row>
    <row r="5538" spans="2:8">
      <c r="B5538" s="1560">
        <v>46291</v>
      </c>
      <c r="C5538" s="1038" t="s">
        <v>11110</v>
      </c>
      <c r="D5538" s="1038" t="s">
        <v>1375</v>
      </c>
      <c r="E5538" s="1038" t="s">
        <v>3319</v>
      </c>
      <c r="F5538" s="1562" t="s">
        <v>527</v>
      </c>
      <c r="G5538" s="1563">
        <v>1</v>
      </c>
      <c r="H5538" s="1038" t="s">
        <v>11197</v>
      </c>
    </row>
    <row r="5539" spans="2:8">
      <c r="B5539" s="1560">
        <v>46291</v>
      </c>
      <c r="C5539" s="1038" t="s">
        <v>11110</v>
      </c>
      <c r="D5539" s="1038" t="s">
        <v>1375</v>
      </c>
      <c r="E5539" s="1038" t="s">
        <v>3319</v>
      </c>
      <c r="F5539" s="1562" t="s">
        <v>528</v>
      </c>
      <c r="G5539" s="1563">
        <v>3</v>
      </c>
      <c r="H5539" s="1038" t="s">
        <v>11198</v>
      </c>
    </row>
    <row r="5540" spans="2:8">
      <c r="B5540" s="1560">
        <v>46291</v>
      </c>
      <c r="C5540" s="1038" t="s">
        <v>11110</v>
      </c>
      <c r="D5540" s="1038" t="s">
        <v>1376</v>
      </c>
      <c r="E5540" s="1038" t="s">
        <v>1401</v>
      </c>
      <c r="F5540" s="1562" t="s">
        <v>526</v>
      </c>
      <c r="G5540" s="1563">
        <v>7.38</v>
      </c>
      <c r="H5540" s="1038" t="s">
        <v>11199</v>
      </c>
    </row>
    <row r="5541" spans="2:8">
      <c r="B5541" s="1560">
        <v>46291</v>
      </c>
      <c r="C5541" s="1038" t="s">
        <v>11110</v>
      </c>
      <c r="D5541" s="1038" t="s">
        <v>1376</v>
      </c>
      <c r="E5541" s="1038" t="s">
        <v>1401</v>
      </c>
      <c r="F5541" s="1562" t="s">
        <v>527</v>
      </c>
      <c r="G5541" s="1563">
        <v>5.83</v>
      </c>
      <c r="H5541" s="1038" t="s">
        <v>11200</v>
      </c>
    </row>
    <row r="5542" spans="2:8">
      <c r="B5542" s="1560">
        <v>46291</v>
      </c>
      <c r="C5542" s="1038" t="s">
        <v>11110</v>
      </c>
      <c r="D5542" s="1038" t="s">
        <v>1376</v>
      </c>
      <c r="E5542" s="1038" t="s">
        <v>1401</v>
      </c>
      <c r="F5542" s="1562" t="s">
        <v>528</v>
      </c>
      <c r="G5542" s="1563">
        <v>6.29</v>
      </c>
      <c r="H5542" s="1038" t="s">
        <v>11201</v>
      </c>
    </row>
    <row r="5543" spans="2:8">
      <c r="B5543" s="1560">
        <v>46291</v>
      </c>
      <c r="C5543" s="1038" t="s">
        <v>11110</v>
      </c>
      <c r="D5543" s="1038" t="s">
        <v>1375</v>
      </c>
      <c r="E5543" s="1038" t="s">
        <v>3326</v>
      </c>
      <c r="F5543" s="1562" t="s">
        <v>526</v>
      </c>
      <c r="G5543" s="1563" t="s">
        <v>1583</v>
      </c>
      <c r="H5543" s="1038" t="s">
        <v>11202</v>
      </c>
    </row>
    <row r="5544" spans="2:8">
      <c r="B5544" s="1560">
        <v>46291</v>
      </c>
      <c r="C5544" s="1038" t="s">
        <v>11110</v>
      </c>
      <c r="D5544" s="1038" t="s">
        <v>1375</v>
      </c>
      <c r="E5544" s="1038" t="s">
        <v>3326</v>
      </c>
      <c r="F5544" s="1562" t="s">
        <v>527</v>
      </c>
      <c r="G5544" s="1563" t="s">
        <v>1583</v>
      </c>
      <c r="H5544" s="1038" t="s">
        <v>11203</v>
      </c>
    </row>
    <row r="5545" spans="2:8">
      <c r="B5545" s="1560">
        <v>46291</v>
      </c>
      <c r="C5545" s="1038" t="s">
        <v>11110</v>
      </c>
      <c r="D5545" s="1038" t="s">
        <v>1375</v>
      </c>
      <c r="E5545" s="1038" t="s">
        <v>3326</v>
      </c>
      <c r="F5545" s="1562" t="s">
        <v>528</v>
      </c>
      <c r="G5545" s="1563" t="s">
        <v>1583</v>
      </c>
      <c r="H5545" s="1038" t="s">
        <v>11204</v>
      </c>
    </row>
    <row r="5546" spans="2:8">
      <c r="B5546" s="1560">
        <v>46291</v>
      </c>
      <c r="C5546" s="1038" t="s">
        <v>11110</v>
      </c>
      <c r="D5546" s="1038" t="s">
        <v>1376</v>
      </c>
      <c r="E5546" s="1038" t="s">
        <v>1403</v>
      </c>
      <c r="F5546" s="1562" t="s">
        <v>526</v>
      </c>
      <c r="G5546" s="1563">
        <v>0</v>
      </c>
      <c r="H5546" s="1038" t="s">
        <v>11205</v>
      </c>
    </row>
    <row r="5547" spans="2:8">
      <c r="B5547" s="1560">
        <v>46291</v>
      </c>
      <c r="C5547" s="1038" t="s">
        <v>11110</v>
      </c>
      <c r="D5547" s="1038" t="s">
        <v>1376</v>
      </c>
      <c r="E5547" s="1038" t="s">
        <v>1403</v>
      </c>
      <c r="F5547" s="1562" t="s">
        <v>527</v>
      </c>
      <c r="G5547" s="1563">
        <v>680</v>
      </c>
      <c r="H5547" s="1038" t="s">
        <v>11206</v>
      </c>
    </row>
    <row r="5548" spans="2:8">
      <c r="B5548" s="1560">
        <v>46291</v>
      </c>
      <c r="C5548" s="1038" t="s">
        <v>11110</v>
      </c>
      <c r="D5548" s="1038" t="s">
        <v>1376</v>
      </c>
      <c r="E5548" s="1038" t="s">
        <v>1403</v>
      </c>
      <c r="F5548" s="1562" t="s">
        <v>528</v>
      </c>
      <c r="G5548" s="1563">
        <v>750</v>
      </c>
      <c r="H5548" s="1038" t="s">
        <v>11207</v>
      </c>
    </row>
    <row r="5549" spans="2:8">
      <c r="B5549" s="1560">
        <v>46291</v>
      </c>
      <c r="C5549" s="1038" t="s">
        <v>11110</v>
      </c>
      <c r="D5549" s="1038" t="s">
        <v>1376</v>
      </c>
      <c r="E5549" s="1038" t="s">
        <v>1404</v>
      </c>
      <c r="F5549" s="1562" t="s">
        <v>526</v>
      </c>
      <c r="G5549" s="1563">
        <v>3.5</v>
      </c>
      <c r="H5549" s="1038" t="s">
        <v>11208</v>
      </c>
    </row>
    <row r="5550" spans="2:8">
      <c r="B5550" s="1560">
        <v>46291</v>
      </c>
      <c r="C5550" s="1038" t="s">
        <v>11110</v>
      </c>
      <c r="D5550" s="1038" t="s">
        <v>1376</v>
      </c>
      <c r="E5550" s="1038" t="s">
        <v>1404</v>
      </c>
      <c r="F5550" s="1562" t="s">
        <v>527</v>
      </c>
      <c r="G5550" s="1563">
        <v>3.94</v>
      </c>
      <c r="H5550" s="1038" t="s">
        <v>11209</v>
      </c>
    </row>
    <row r="5551" spans="2:8">
      <c r="B5551" s="1560">
        <v>46291</v>
      </c>
      <c r="C5551" s="1038" t="s">
        <v>11110</v>
      </c>
      <c r="D5551" s="1038" t="s">
        <v>1376</v>
      </c>
      <c r="E5551" s="1038" t="s">
        <v>1404</v>
      </c>
      <c r="F5551" s="1562" t="s">
        <v>528</v>
      </c>
      <c r="G5551" s="1563">
        <v>3.88</v>
      </c>
      <c r="H5551" s="1038" t="s">
        <v>11210</v>
      </c>
    </row>
    <row r="5552" spans="2:8">
      <c r="B5552" s="1560">
        <v>46291</v>
      </c>
      <c r="C5552" s="1038" t="s">
        <v>11110</v>
      </c>
      <c r="D5552" s="1038" t="s">
        <v>1375</v>
      </c>
      <c r="E5552" s="1038" t="s">
        <v>3336</v>
      </c>
      <c r="F5552" s="1562" t="s">
        <v>526</v>
      </c>
      <c r="G5552" s="1563" t="s">
        <v>1406</v>
      </c>
      <c r="H5552" s="1038" t="s">
        <v>11211</v>
      </c>
    </row>
    <row r="5553" spans="2:8">
      <c r="B5553" s="1560">
        <v>46291</v>
      </c>
      <c r="C5553" s="1038" t="s">
        <v>11110</v>
      </c>
      <c r="D5553" s="1038" t="s">
        <v>1375</v>
      </c>
      <c r="E5553" s="1038" t="s">
        <v>3336</v>
      </c>
      <c r="F5553" s="1562" t="s">
        <v>527</v>
      </c>
      <c r="G5553" s="1563" t="s">
        <v>1406</v>
      </c>
      <c r="H5553" s="1038" t="s">
        <v>11212</v>
      </c>
    </row>
    <row r="5554" spans="2:8">
      <c r="B5554" s="1560">
        <v>46291</v>
      </c>
      <c r="C5554" s="1038" t="s">
        <v>11110</v>
      </c>
      <c r="D5554" s="1038" t="s">
        <v>1375</v>
      </c>
      <c r="E5554" s="1038" t="s">
        <v>3336</v>
      </c>
      <c r="F5554" s="1562" t="s">
        <v>528</v>
      </c>
      <c r="G5554" s="1563" t="s">
        <v>1406</v>
      </c>
      <c r="H5554" s="1038" t="s">
        <v>11213</v>
      </c>
    </row>
    <row r="5555" spans="2:8">
      <c r="B5555" s="1560">
        <v>46291</v>
      </c>
      <c r="C5555" s="1038" t="s">
        <v>11110</v>
      </c>
      <c r="D5555" s="1038" t="s">
        <v>1376</v>
      </c>
      <c r="E5555" s="1038" t="s">
        <v>1407</v>
      </c>
      <c r="F5555" s="1562" t="s">
        <v>526</v>
      </c>
      <c r="G5555" s="1563">
        <v>0</v>
      </c>
      <c r="H5555" s="1038" t="s">
        <v>11214</v>
      </c>
    </row>
    <row r="5556" spans="2:8">
      <c r="B5556" s="1560">
        <v>46291</v>
      </c>
      <c r="C5556" s="1038" t="s">
        <v>11110</v>
      </c>
      <c r="D5556" s="1038" t="s">
        <v>1376</v>
      </c>
      <c r="E5556" s="1038" t="s">
        <v>1407</v>
      </c>
      <c r="F5556" s="1562" t="s">
        <v>527</v>
      </c>
      <c r="G5556" s="1563">
        <v>320</v>
      </c>
      <c r="H5556" s="1038" t="s">
        <v>11215</v>
      </c>
    </row>
    <row r="5557" spans="2:8">
      <c r="B5557" s="1560">
        <v>46291</v>
      </c>
      <c r="C5557" s="1038" t="s">
        <v>11110</v>
      </c>
      <c r="D5557" s="1038" t="s">
        <v>1376</v>
      </c>
      <c r="E5557" s="1038" t="s">
        <v>1407</v>
      </c>
      <c r="F5557" s="1562" t="s">
        <v>528</v>
      </c>
      <c r="G5557" s="1563">
        <v>320</v>
      </c>
      <c r="H5557" s="1038" t="s">
        <v>11216</v>
      </c>
    </row>
    <row r="5558" spans="2:8">
      <c r="B5558" s="1560">
        <v>46291</v>
      </c>
      <c r="C5558" s="1038" t="s">
        <v>11110</v>
      </c>
      <c r="D5558" s="1038" t="s">
        <v>1376</v>
      </c>
      <c r="E5558" s="1038" t="s">
        <v>1408</v>
      </c>
      <c r="F5558" s="1562" t="s">
        <v>526</v>
      </c>
      <c r="G5558" s="1563">
        <v>965</v>
      </c>
      <c r="H5558" s="1038" t="s">
        <v>11217</v>
      </c>
    </row>
    <row r="5559" spans="2:8">
      <c r="B5559" s="1560">
        <v>46291</v>
      </c>
      <c r="C5559" s="1038" t="s">
        <v>11110</v>
      </c>
      <c r="D5559" s="1038" t="s">
        <v>1376</v>
      </c>
      <c r="E5559" s="1038" t="s">
        <v>1408</v>
      </c>
      <c r="F5559" s="1562" t="s">
        <v>527</v>
      </c>
      <c r="G5559" s="1563">
        <v>1090</v>
      </c>
      <c r="H5559" s="1038" t="s">
        <v>11218</v>
      </c>
    </row>
    <row r="5560" spans="2:8">
      <c r="B5560" s="1560">
        <v>46291</v>
      </c>
      <c r="C5560" s="1038" t="s">
        <v>11110</v>
      </c>
      <c r="D5560" s="1038" t="s">
        <v>1376</v>
      </c>
      <c r="E5560" s="1038" t="s">
        <v>1408</v>
      </c>
      <c r="F5560" s="1562" t="s">
        <v>528</v>
      </c>
      <c r="G5560" s="1563">
        <v>1066</v>
      </c>
      <c r="H5560" s="1038" t="s">
        <v>11219</v>
      </c>
    </row>
    <row r="5561" spans="2:8">
      <c r="B5561" s="1560">
        <v>46291</v>
      </c>
      <c r="C5561" s="1038" t="s">
        <v>11110</v>
      </c>
      <c r="D5561" s="1038" t="s">
        <v>1409</v>
      </c>
      <c r="E5561" s="1038" t="s">
        <v>1411</v>
      </c>
      <c r="F5561" s="1562" t="s">
        <v>526</v>
      </c>
      <c r="G5561" s="1563"/>
      <c r="H5561" s="1038" t="s">
        <v>11220</v>
      </c>
    </row>
    <row r="5562" spans="2:8">
      <c r="B5562" s="1560">
        <v>46291</v>
      </c>
      <c r="C5562" s="1038" t="s">
        <v>11110</v>
      </c>
      <c r="D5562" s="1038" t="s">
        <v>1409</v>
      </c>
      <c r="E5562" s="1038" t="s">
        <v>1411</v>
      </c>
      <c r="F5562" s="1562" t="s">
        <v>527</v>
      </c>
      <c r="G5562" s="1563"/>
      <c r="H5562" s="1038" t="s">
        <v>11221</v>
      </c>
    </row>
    <row r="5563" spans="2:8">
      <c r="B5563" s="1560">
        <v>46291</v>
      </c>
      <c r="C5563" s="1038" t="s">
        <v>11110</v>
      </c>
      <c r="D5563" s="1038" t="s">
        <v>1409</v>
      </c>
      <c r="E5563" s="1038" t="s">
        <v>1411</v>
      </c>
      <c r="F5563" s="1562" t="s">
        <v>528</v>
      </c>
      <c r="G5563" s="1563"/>
      <c r="H5563" s="1038" t="s">
        <v>11222</v>
      </c>
    </row>
    <row r="5564" spans="2:8">
      <c r="B5564" s="1560">
        <v>46291</v>
      </c>
      <c r="C5564" s="1038" t="s">
        <v>11110</v>
      </c>
      <c r="D5564" s="1038" t="s">
        <v>1409</v>
      </c>
      <c r="E5564" s="1038" t="s">
        <v>1413</v>
      </c>
      <c r="F5564" s="1562" t="s">
        <v>526</v>
      </c>
      <c r="G5564" s="1564" t="s">
        <v>2111</v>
      </c>
      <c r="H5564" s="1038" t="s">
        <v>11223</v>
      </c>
    </row>
    <row r="5565" spans="2:8">
      <c r="B5565" s="1560">
        <v>46291</v>
      </c>
      <c r="C5565" s="1038" t="s">
        <v>11110</v>
      </c>
      <c r="D5565" s="1038" t="s">
        <v>1409</v>
      </c>
      <c r="E5565" s="1038" t="s">
        <v>1413</v>
      </c>
      <c r="F5565" s="1562" t="s">
        <v>527</v>
      </c>
      <c r="G5565" s="1564" t="s">
        <v>11224</v>
      </c>
      <c r="H5565" s="1038" t="s">
        <v>11225</v>
      </c>
    </row>
    <row r="5566" spans="2:8">
      <c r="B5566" s="1560">
        <v>46291</v>
      </c>
      <c r="C5566" s="1038" t="s">
        <v>11110</v>
      </c>
      <c r="D5566" s="1038" t="s">
        <v>1409</v>
      </c>
      <c r="E5566" s="1038" t="s">
        <v>1413</v>
      </c>
      <c r="F5566" s="1562" t="s">
        <v>528</v>
      </c>
      <c r="G5566" s="1564" t="s">
        <v>1415</v>
      </c>
      <c r="H5566" s="1038" t="s">
        <v>11226</v>
      </c>
    </row>
    <row r="5567" spans="2:8">
      <c r="B5567" s="1560">
        <v>46291</v>
      </c>
      <c r="C5567" s="1038" t="s">
        <v>11110</v>
      </c>
      <c r="D5567" s="1038" t="s">
        <v>1410</v>
      </c>
      <c r="E5567" s="1038" t="s">
        <v>3352</v>
      </c>
      <c r="F5567" s="1562" t="s">
        <v>526</v>
      </c>
      <c r="G5567" s="1563" t="s">
        <v>1418</v>
      </c>
      <c r="H5567" s="1038" t="s">
        <v>11227</v>
      </c>
    </row>
    <row r="5568" spans="2:8">
      <c r="B5568" s="1560">
        <v>46291</v>
      </c>
      <c r="C5568" s="1038" t="s">
        <v>11110</v>
      </c>
      <c r="D5568" s="1038" t="s">
        <v>1410</v>
      </c>
      <c r="E5568" s="1038" t="s">
        <v>3352</v>
      </c>
      <c r="F5568" s="1562" t="s">
        <v>527</v>
      </c>
      <c r="G5568" s="1563" t="s">
        <v>1418</v>
      </c>
      <c r="H5568" s="1038" t="s">
        <v>11228</v>
      </c>
    </row>
    <row r="5569" spans="2:8">
      <c r="B5569" s="1560">
        <v>46291</v>
      </c>
      <c r="C5569" s="1038" t="s">
        <v>11110</v>
      </c>
      <c r="D5569" s="1038" t="s">
        <v>1410</v>
      </c>
      <c r="E5569" s="1038" t="s">
        <v>3352</v>
      </c>
      <c r="F5569" s="1562" t="s">
        <v>528</v>
      </c>
      <c r="G5569" s="1563" t="s">
        <v>1418</v>
      </c>
      <c r="H5569" s="1038" t="s">
        <v>11229</v>
      </c>
    </row>
    <row r="5570" spans="2:8">
      <c r="B5570" s="1560">
        <v>46291</v>
      </c>
      <c r="C5570" s="1038" t="s">
        <v>11110</v>
      </c>
      <c r="D5570" s="1038" t="s">
        <v>1409</v>
      </c>
      <c r="E5570" s="1038" t="s">
        <v>1420</v>
      </c>
      <c r="F5570" s="1562" t="s">
        <v>526</v>
      </c>
      <c r="G5570" s="1564" t="s">
        <v>2112</v>
      </c>
      <c r="H5570" s="1038" t="s">
        <v>11230</v>
      </c>
    </row>
    <row r="5571" spans="2:8">
      <c r="B5571" s="1560">
        <v>46291</v>
      </c>
      <c r="C5571" s="1038" t="s">
        <v>11110</v>
      </c>
      <c r="D5571" s="1038" t="s">
        <v>1409</v>
      </c>
      <c r="E5571" s="1038" t="s">
        <v>1420</v>
      </c>
      <c r="F5571" s="1562" t="s">
        <v>527</v>
      </c>
      <c r="G5571" s="1564" t="s">
        <v>11231</v>
      </c>
      <c r="H5571" s="1038" t="s">
        <v>11232</v>
      </c>
    </row>
    <row r="5572" spans="2:8">
      <c r="B5572" s="1560">
        <v>46291</v>
      </c>
      <c r="C5572" s="1038" t="s">
        <v>11110</v>
      </c>
      <c r="D5572" s="1038" t="s">
        <v>1409</v>
      </c>
      <c r="E5572" s="1038" t="s">
        <v>1420</v>
      </c>
      <c r="F5572" s="1562" t="s">
        <v>528</v>
      </c>
      <c r="G5572" s="1564" t="s">
        <v>10773</v>
      </c>
      <c r="H5572" s="1038" t="s">
        <v>11233</v>
      </c>
    </row>
    <row r="5573" spans="2:8">
      <c r="B5573" s="1560">
        <v>46291</v>
      </c>
      <c r="C5573" s="1038" t="s">
        <v>11110</v>
      </c>
      <c r="D5573" s="1038" t="s">
        <v>1410</v>
      </c>
      <c r="E5573" s="1038" t="s">
        <v>3359</v>
      </c>
      <c r="F5573" s="1562" t="s">
        <v>526</v>
      </c>
      <c r="G5573" s="1563">
        <v>107</v>
      </c>
      <c r="H5573" s="1038" t="s">
        <v>11234</v>
      </c>
    </row>
    <row r="5574" spans="2:8">
      <c r="B5574" s="1560">
        <v>46291</v>
      </c>
      <c r="C5574" s="1038" t="s">
        <v>11110</v>
      </c>
      <c r="D5574" s="1038" t="s">
        <v>1410</v>
      </c>
      <c r="E5574" s="1038" t="s">
        <v>3359</v>
      </c>
      <c r="F5574" s="1562" t="s">
        <v>527</v>
      </c>
      <c r="G5574" s="1563">
        <v>109</v>
      </c>
      <c r="H5574" s="1038" t="s">
        <v>11235</v>
      </c>
    </row>
    <row r="5575" spans="2:8">
      <c r="B5575" s="1560">
        <v>46291</v>
      </c>
      <c r="C5575" s="1038" t="s">
        <v>11110</v>
      </c>
      <c r="D5575" s="1038" t="s">
        <v>1410</v>
      </c>
      <c r="E5575" s="1038" t="s">
        <v>3359</v>
      </c>
      <c r="F5575" s="1562" t="s">
        <v>528</v>
      </c>
      <c r="G5575" s="1563">
        <v>112</v>
      </c>
      <c r="H5575" s="1038" t="s">
        <v>11236</v>
      </c>
    </row>
    <row r="5576" spans="2:8">
      <c r="B5576" s="1560">
        <v>46291</v>
      </c>
      <c r="C5576" s="1038" t="s">
        <v>11110</v>
      </c>
      <c r="D5576" s="1038" t="s">
        <v>1409</v>
      </c>
      <c r="E5576" s="1038" t="s">
        <v>1424</v>
      </c>
      <c r="F5576" s="1562" t="s">
        <v>526</v>
      </c>
      <c r="G5576" s="1563"/>
      <c r="H5576" s="1038" t="s">
        <v>11237</v>
      </c>
    </row>
    <row r="5577" spans="2:8">
      <c r="B5577" s="1560">
        <v>46291</v>
      </c>
      <c r="C5577" s="1038" t="s">
        <v>11110</v>
      </c>
      <c r="D5577" s="1038" t="s">
        <v>1409</v>
      </c>
      <c r="E5577" s="1038" t="s">
        <v>1424</v>
      </c>
      <c r="F5577" s="1562" t="s">
        <v>527</v>
      </c>
      <c r="G5577" s="1563"/>
      <c r="H5577" s="1038" t="s">
        <v>11238</v>
      </c>
    </row>
    <row r="5578" spans="2:8">
      <c r="B5578" s="1560">
        <v>46291</v>
      </c>
      <c r="C5578" s="1038" t="s">
        <v>11110</v>
      </c>
      <c r="D5578" s="1038" t="s">
        <v>1409</v>
      </c>
      <c r="E5578" s="1038" t="s">
        <v>1424</v>
      </c>
      <c r="F5578" s="1562" t="s">
        <v>528</v>
      </c>
      <c r="G5578" s="1563"/>
      <c r="H5578" s="1038" t="s">
        <v>11239</v>
      </c>
    </row>
    <row r="5579" spans="2:8">
      <c r="B5579" s="1560">
        <v>46291</v>
      </c>
      <c r="C5579" s="1038" t="s">
        <v>11110</v>
      </c>
      <c r="D5579" s="1038" t="s">
        <v>1410</v>
      </c>
      <c r="E5579" s="1038" t="s">
        <v>3366</v>
      </c>
      <c r="F5579" s="1562" t="s">
        <v>526</v>
      </c>
      <c r="G5579" s="1563">
        <v>2782</v>
      </c>
      <c r="H5579" s="1038" t="s">
        <v>11240</v>
      </c>
    </row>
    <row r="5580" spans="2:8">
      <c r="B5580" s="1560">
        <v>46291</v>
      </c>
      <c r="C5580" s="1038" t="s">
        <v>11110</v>
      </c>
      <c r="D5580" s="1038" t="s">
        <v>1410</v>
      </c>
      <c r="E5580" s="1038" t="s">
        <v>3366</v>
      </c>
      <c r="F5580" s="1562" t="s">
        <v>527</v>
      </c>
      <c r="G5580" s="1563">
        <v>2623</v>
      </c>
      <c r="H5580" s="1038" t="s">
        <v>11241</v>
      </c>
    </row>
    <row r="5581" spans="2:8">
      <c r="B5581" s="1560">
        <v>46291</v>
      </c>
      <c r="C5581" s="1038" t="s">
        <v>11110</v>
      </c>
      <c r="D5581" s="1038" t="s">
        <v>1410</v>
      </c>
      <c r="E5581" s="1038" t="s">
        <v>3366</v>
      </c>
      <c r="F5581" s="1562" t="s">
        <v>528</v>
      </c>
      <c r="G5581" s="1563">
        <v>2600</v>
      </c>
      <c r="H5581" s="1038" t="s">
        <v>11242</v>
      </c>
    </row>
    <row r="5582" spans="2:8">
      <c r="B5582" s="1560">
        <v>46291</v>
      </c>
      <c r="C5582" s="1038" t="s">
        <v>11110</v>
      </c>
      <c r="D5582" s="1038" t="s">
        <v>1410</v>
      </c>
      <c r="E5582" s="1038" t="s">
        <v>3370</v>
      </c>
      <c r="F5582" s="1562" t="s">
        <v>526</v>
      </c>
      <c r="G5582" s="1563" t="s">
        <v>1427</v>
      </c>
      <c r="H5582" s="1038" t="s">
        <v>11243</v>
      </c>
    </row>
    <row r="5583" spans="2:8">
      <c r="B5583" s="1560">
        <v>46291</v>
      </c>
      <c r="C5583" s="1038" t="s">
        <v>11110</v>
      </c>
      <c r="D5583" s="1038" t="s">
        <v>1410</v>
      </c>
      <c r="E5583" s="1038" t="s">
        <v>3370</v>
      </c>
      <c r="F5583" s="1562" t="s">
        <v>527</v>
      </c>
      <c r="G5583" s="1563" t="s">
        <v>1427</v>
      </c>
      <c r="H5583" s="1038" t="s">
        <v>11244</v>
      </c>
    </row>
    <row r="5584" spans="2:8">
      <c r="B5584" s="1560">
        <v>46291</v>
      </c>
      <c r="C5584" s="1038" t="s">
        <v>11110</v>
      </c>
      <c r="D5584" s="1038" t="s">
        <v>1410</v>
      </c>
      <c r="E5584" s="1038" t="s">
        <v>3370</v>
      </c>
      <c r="F5584" s="1562" t="s">
        <v>528</v>
      </c>
      <c r="G5584" s="1563" t="s">
        <v>1427</v>
      </c>
      <c r="H5584" s="1038" t="s">
        <v>11245</v>
      </c>
    </row>
    <row r="5585" spans="2:8">
      <c r="B5585" s="1560">
        <v>46291</v>
      </c>
      <c r="C5585" s="1038" t="s">
        <v>11110</v>
      </c>
      <c r="D5585" s="1038" t="s">
        <v>1410</v>
      </c>
      <c r="E5585" s="1038" t="s">
        <v>3374</v>
      </c>
      <c r="F5585" s="1562" t="s">
        <v>526</v>
      </c>
      <c r="G5585" s="1563">
        <v>1.9</v>
      </c>
      <c r="H5585" s="1038" t="s">
        <v>11246</v>
      </c>
    </row>
    <row r="5586" spans="2:8">
      <c r="B5586" s="1560">
        <v>46291</v>
      </c>
      <c r="C5586" s="1038" t="s">
        <v>11110</v>
      </c>
      <c r="D5586" s="1038" t="s">
        <v>1410</v>
      </c>
      <c r="E5586" s="1038" t="s">
        <v>3374</v>
      </c>
      <c r="F5586" s="1562" t="s">
        <v>527</v>
      </c>
      <c r="G5586" s="1563">
        <v>3.14</v>
      </c>
      <c r="H5586" s="1038" t="s">
        <v>11247</v>
      </c>
    </row>
    <row r="5587" spans="2:8">
      <c r="B5587" s="1560">
        <v>46291</v>
      </c>
      <c r="C5587" s="1038" t="s">
        <v>11110</v>
      </c>
      <c r="D5587" s="1038" t="s">
        <v>1410</v>
      </c>
      <c r="E5587" s="1038" t="s">
        <v>3374</v>
      </c>
      <c r="F5587" s="1562" t="s">
        <v>528</v>
      </c>
      <c r="G5587" s="1563">
        <v>3</v>
      </c>
      <c r="H5587" s="1038" t="s">
        <v>11248</v>
      </c>
    </row>
    <row r="5588" spans="2:8">
      <c r="B5588" s="1560">
        <v>46291</v>
      </c>
      <c r="C5588" s="1038" t="s">
        <v>11110</v>
      </c>
      <c r="D5588" s="1038" t="s">
        <v>1410</v>
      </c>
      <c r="E5588" s="1038" t="s">
        <v>3378</v>
      </c>
      <c r="F5588" s="1562" t="s">
        <v>526</v>
      </c>
      <c r="G5588" s="1563" t="s">
        <v>1430</v>
      </c>
      <c r="H5588" s="1038" t="s">
        <v>11249</v>
      </c>
    </row>
    <row r="5589" spans="2:8">
      <c r="B5589" s="1560">
        <v>46291</v>
      </c>
      <c r="C5589" s="1038" t="s">
        <v>11110</v>
      </c>
      <c r="D5589" s="1038" t="s">
        <v>1410</v>
      </c>
      <c r="E5589" s="1038" t="s">
        <v>3378</v>
      </c>
      <c r="F5589" s="1562" t="s">
        <v>527</v>
      </c>
      <c r="G5589" s="1563" t="s">
        <v>1430</v>
      </c>
      <c r="H5589" s="1038" t="s">
        <v>11250</v>
      </c>
    </row>
    <row r="5590" spans="2:8">
      <c r="B5590" s="1560">
        <v>46291</v>
      </c>
      <c r="C5590" s="1038" t="s">
        <v>11110</v>
      </c>
      <c r="D5590" s="1038" t="s">
        <v>1410</v>
      </c>
      <c r="E5590" s="1038" t="s">
        <v>3378</v>
      </c>
      <c r="F5590" s="1562" t="s">
        <v>528</v>
      </c>
      <c r="G5590" s="1563" t="s">
        <v>1430</v>
      </c>
      <c r="H5590" s="1038" t="s">
        <v>11251</v>
      </c>
    </row>
    <row r="5591" spans="2:8">
      <c r="B5591" s="1560">
        <v>46291</v>
      </c>
      <c r="C5591" s="1038" t="s">
        <v>11110</v>
      </c>
      <c r="D5591" s="1038" t="s">
        <v>1410</v>
      </c>
      <c r="E5591" s="1038" t="s">
        <v>3382</v>
      </c>
      <c r="F5591" s="1562" t="s">
        <v>526</v>
      </c>
      <c r="G5591" s="1563">
        <v>98</v>
      </c>
      <c r="H5591" s="1038" t="s">
        <v>11252</v>
      </c>
    </row>
    <row r="5592" spans="2:8">
      <c r="B5592" s="1560">
        <v>46291</v>
      </c>
      <c r="C5592" s="1038" t="s">
        <v>11110</v>
      </c>
      <c r="D5592" s="1038" t="s">
        <v>1410</v>
      </c>
      <c r="E5592" s="1038" t="s">
        <v>3382</v>
      </c>
      <c r="F5592" s="1562" t="s">
        <v>527</v>
      </c>
      <c r="G5592" s="1563">
        <v>102</v>
      </c>
      <c r="H5592" s="1038" t="s">
        <v>11253</v>
      </c>
    </row>
    <row r="5593" spans="2:8">
      <c r="B5593" s="1560">
        <v>46291</v>
      </c>
      <c r="C5593" s="1038" t="s">
        <v>11110</v>
      </c>
      <c r="D5593" s="1038" t="s">
        <v>1410</v>
      </c>
      <c r="E5593" s="1038" t="s">
        <v>3382</v>
      </c>
      <c r="F5593" s="1562" t="s">
        <v>528</v>
      </c>
      <c r="G5593" s="1563">
        <v>104</v>
      </c>
      <c r="H5593" s="1038" t="s">
        <v>11254</v>
      </c>
    </row>
    <row r="5594" spans="2:8">
      <c r="B5594" s="1560">
        <v>46291</v>
      </c>
      <c r="C5594" s="1038" t="s">
        <v>11110</v>
      </c>
      <c r="D5594" s="1038" t="s">
        <v>1409</v>
      </c>
      <c r="E5594" s="1038" t="s">
        <v>1431</v>
      </c>
      <c r="F5594" s="1562" t="s">
        <v>526</v>
      </c>
      <c r="G5594" s="1563"/>
      <c r="H5594" s="1038" t="s">
        <v>11255</v>
      </c>
    </row>
    <row r="5595" spans="2:8">
      <c r="B5595" s="1560">
        <v>46291</v>
      </c>
      <c r="C5595" s="1038" t="s">
        <v>11110</v>
      </c>
      <c r="D5595" s="1038" t="s">
        <v>1409</v>
      </c>
      <c r="E5595" s="1038" t="s">
        <v>1431</v>
      </c>
      <c r="F5595" s="1562" t="s">
        <v>527</v>
      </c>
      <c r="G5595" s="1563"/>
      <c r="H5595" s="1038" t="s">
        <v>11256</v>
      </c>
    </row>
    <row r="5596" spans="2:8">
      <c r="B5596" s="1560">
        <v>46291</v>
      </c>
      <c r="C5596" s="1038" t="s">
        <v>11110</v>
      </c>
      <c r="D5596" s="1038" t="s">
        <v>1409</v>
      </c>
      <c r="E5596" s="1038" t="s">
        <v>1431</v>
      </c>
      <c r="F5596" s="1562" t="s">
        <v>528</v>
      </c>
      <c r="G5596" s="1563"/>
      <c r="H5596" s="1038" t="s">
        <v>11257</v>
      </c>
    </row>
    <row r="5597" spans="2:8">
      <c r="B5597" s="1560">
        <v>46291</v>
      </c>
      <c r="C5597" s="1038" t="s">
        <v>11110</v>
      </c>
      <c r="D5597" s="1038" t="s">
        <v>1410</v>
      </c>
      <c r="E5597" s="1038" t="s">
        <v>3389</v>
      </c>
      <c r="F5597" s="1562" t="s">
        <v>526</v>
      </c>
      <c r="G5597" s="1563">
        <v>2755</v>
      </c>
      <c r="H5597" s="1038" t="s">
        <v>11258</v>
      </c>
    </row>
    <row r="5598" spans="2:8">
      <c r="B5598" s="1560">
        <v>46291</v>
      </c>
      <c r="C5598" s="1038" t="s">
        <v>11110</v>
      </c>
      <c r="D5598" s="1038" t="s">
        <v>1410</v>
      </c>
      <c r="E5598" s="1038" t="s">
        <v>3389</v>
      </c>
      <c r="F5598" s="1562" t="s">
        <v>527</v>
      </c>
      <c r="G5598" s="1563">
        <v>2530</v>
      </c>
      <c r="H5598" s="1038" t="s">
        <v>11259</v>
      </c>
    </row>
    <row r="5599" spans="2:8">
      <c r="B5599" s="1560">
        <v>46291</v>
      </c>
      <c r="C5599" s="1038" t="s">
        <v>11110</v>
      </c>
      <c r="D5599" s="1038" t="s">
        <v>1410</v>
      </c>
      <c r="E5599" s="1038" t="s">
        <v>3389</v>
      </c>
      <c r="F5599" s="1562" t="s">
        <v>528</v>
      </c>
      <c r="G5599" s="1563">
        <v>2500</v>
      </c>
      <c r="H5599" s="1038" t="s">
        <v>11260</v>
      </c>
    </row>
    <row r="5600" spans="2:8">
      <c r="B5600" s="1560">
        <v>46291</v>
      </c>
      <c r="C5600" s="1038" t="s">
        <v>11110</v>
      </c>
      <c r="D5600" s="1038" t="s">
        <v>1410</v>
      </c>
      <c r="E5600" s="1038" t="s">
        <v>3393</v>
      </c>
      <c r="F5600" s="1562" t="s">
        <v>526</v>
      </c>
      <c r="G5600" s="1563" t="s">
        <v>1663</v>
      </c>
      <c r="H5600" s="1038" t="s">
        <v>11261</v>
      </c>
    </row>
    <row r="5601" spans="2:8">
      <c r="B5601" s="1560">
        <v>46291</v>
      </c>
      <c r="C5601" s="1038" t="s">
        <v>11110</v>
      </c>
      <c r="D5601" s="1038" t="s">
        <v>1410</v>
      </c>
      <c r="E5601" s="1038" t="s">
        <v>3393</v>
      </c>
      <c r="F5601" s="1562" t="s">
        <v>527</v>
      </c>
      <c r="G5601" s="1563" t="s">
        <v>1663</v>
      </c>
      <c r="H5601" s="1038" t="s">
        <v>11262</v>
      </c>
    </row>
    <row r="5602" spans="2:8">
      <c r="B5602" s="1560">
        <v>46291</v>
      </c>
      <c r="C5602" s="1038" t="s">
        <v>11110</v>
      </c>
      <c r="D5602" s="1038" t="s">
        <v>1410</v>
      </c>
      <c r="E5602" s="1038" t="s">
        <v>3393</v>
      </c>
      <c r="F5602" s="1562" t="s">
        <v>528</v>
      </c>
      <c r="G5602" s="1563" t="s">
        <v>1663</v>
      </c>
      <c r="H5602" s="1038" t="s">
        <v>11263</v>
      </c>
    </row>
    <row r="5603" spans="2:8">
      <c r="B5603" s="1560">
        <v>46291</v>
      </c>
      <c r="C5603" s="1038" t="s">
        <v>11110</v>
      </c>
      <c r="D5603" s="1038" t="s">
        <v>1410</v>
      </c>
      <c r="E5603" s="1038" t="s">
        <v>3397</v>
      </c>
      <c r="F5603" s="1562" t="s">
        <v>526</v>
      </c>
      <c r="G5603" s="1563" t="s">
        <v>1435</v>
      </c>
      <c r="H5603" s="1038" t="s">
        <v>11264</v>
      </c>
    </row>
    <row r="5604" spans="2:8">
      <c r="B5604" s="1560">
        <v>46291</v>
      </c>
      <c r="C5604" s="1038" t="s">
        <v>11110</v>
      </c>
      <c r="D5604" s="1038" t="s">
        <v>1410</v>
      </c>
      <c r="E5604" s="1038" t="s">
        <v>3397</v>
      </c>
      <c r="F5604" s="1562" t="s">
        <v>527</v>
      </c>
      <c r="G5604" s="1563" t="s">
        <v>1435</v>
      </c>
      <c r="H5604" s="1038" t="s">
        <v>11265</v>
      </c>
    </row>
    <row r="5605" spans="2:8">
      <c r="B5605" s="1560">
        <v>46291</v>
      </c>
      <c r="C5605" s="1038" t="s">
        <v>11110</v>
      </c>
      <c r="D5605" s="1038" t="s">
        <v>1410</v>
      </c>
      <c r="E5605" s="1038" t="s">
        <v>3397</v>
      </c>
      <c r="F5605" s="1562" t="s">
        <v>528</v>
      </c>
      <c r="G5605" s="1563" t="s">
        <v>1435</v>
      </c>
      <c r="H5605" s="1038" t="s">
        <v>11266</v>
      </c>
    </row>
    <row r="5606" spans="2:8">
      <c r="B5606" s="1560">
        <v>46291</v>
      </c>
      <c r="C5606" s="1038" t="s">
        <v>11110</v>
      </c>
      <c r="D5606" s="1038" t="s">
        <v>1434</v>
      </c>
      <c r="E5606" s="1038" t="s">
        <v>42</v>
      </c>
      <c r="F5606" s="1562" t="s">
        <v>526</v>
      </c>
      <c r="G5606" s="1563" t="s">
        <v>11035</v>
      </c>
      <c r="H5606" s="1038" t="s">
        <v>11267</v>
      </c>
    </row>
    <row r="5607" spans="2:8">
      <c r="B5607" s="1560">
        <v>46291</v>
      </c>
      <c r="C5607" s="1038" t="s">
        <v>11110</v>
      </c>
      <c r="D5607" s="1038" t="s">
        <v>1434</v>
      </c>
      <c r="E5607" s="1038" t="s">
        <v>42</v>
      </c>
      <c r="F5607" s="1562" t="s">
        <v>527</v>
      </c>
      <c r="G5607" s="1563" t="s">
        <v>11035</v>
      </c>
      <c r="H5607" s="1038" t="s">
        <v>11268</v>
      </c>
    </row>
    <row r="5608" spans="2:8">
      <c r="B5608" s="1560">
        <v>46291</v>
      </c>
      <c r="C5608" s="1038" t="s">
        <v>11110</v>
      </c>
      <c r="D5608" s="1038" t="s">
        <v>1434</v>
      </c>
      <c r="E5608" s="1038" t="s">
        <v>42</v>
      </c>
      <c r="F5608" s="1562" t="s">
        <v>528</v>
      </c>
      <c r="G5608" s="1563" t="s">
        <v>11035</v>
      </c>
      <c r="H5608" s="1038" t="s">
        <v>11269</v>
      </c>
    </row>
    <row r="5609" spans="2:8">
      <c r="B5609" s="1560">
        <v>46291</v>
      </c>
      <c r="C5609" s="1038" t="s">
        <v>11110</v>
      </c>
      <c r="D5609" s="1038" t="s">
        <v>1410</v>
      </c>
      <c r="E5609" s="1038" t="s">
        <v>3404</v>
      </c>
      <c r="F5609" s="1562" t="s">
        <v>526</v>
      </c>
      <c r="G5609" s="1563" t="s">
        <v>1438</v>
      </c>
      <c r="H5609" s="1038" t="s">
        <v>11270</v>
      </c>
    </row>
    <row r="5610" spans="2:8">
      <c r="B5610" s="1560">
        <v>46291</v>
      </c>
      <c r="C5610" s="1038" t="s">
        <v>11110</v>
      </c>
      <c r="D5610" s="1038" t="s">
        <v>1410</v>
      </c>
      <c r="E5610" s="1038" t="s">
        <v>3404</v>
      </c>
      <c r="F5610" s="1562" t="s">
        <v>527</v>
      </c>
      <c r="G5610" s="1563" t="s">
        <v>1419</v>
      </c>
      <c r="H5610" s="1038" t="s">
        <v>11271</v>
      </c>
    </row>
    <row r="5611" spans="2:8">
      <c r="B5611" s="1560">
        <v>46291</v>
      </c>
      <c r="C5611" s="1038" t="s">
        <v>11110</v>
      </c>
      <c r="D5611" s="1038" t="s">
        <v>1410</v>
      </c>
      <c r="E5611" s="1038" t="s">
        <v>3404</v>
      </c>
      <c r="F5611" s="1562" t="s">
        <v>528</v>
      </c>
      <c r="G5611" s="1563" t="s">
        <v>1419</v>
      </c>
      <c r="H5611" s="1038" t="s">
        <v>11272</v>
      </c>
    </row>
    <row r="5612" spans="2:8">
      <c r="B5612" s="1560">
        <v>46291</v>
      </c>
      <c r="C5612" s="1038" t="s">
        <v>11110</v>
      </c>
      <c r="D5612" s="1038" t="s">
        <v>1434</v>
      </c>
      <c r="E5612" s="1038" t="s">
        <v>1439</v>
      </c>
      <c r="F5612" s="1562" t="s">
        <v>526</v>
      </c>
      <c r="G5612" s="1563" t="s">
        <v>11042</v>
      </c>
      <c r="H5612" s="1038" t="s">
        <v>11273</v>
      </c>
    </row>
    <row r="5613" spans="2:8">
      <c r="B5613" s="1560">
        <v>46291</v>
      </c>
      <c r="C5613" s="1038" t="s">
        <v>11110</v>
      </c>
      <c r="D5613" s="1038" t="s">
        <v>1434</v>
      </c>
      <c r="E5613" s="1038" t="s">
        <v>1439</v>
      </c>
      <c r="F5613" s="1562" t="s">
        <v>527</v>
      </c>
      <c r="G5613" s="1563" t="s">
        <v>11042</v>
      </c>
      <c r="H5613" s="1038" t="s">
        <v>11274</v>
      </c>
    </row>
    <row r="5614" spans="2:8">
      <c r="B5614" s="1560">
        <v>46291</v>
      </c>
      <c r="C5614" s="1038" t="s">
        <v>11110</v>
      </c>
      <c r="D5614" s="1038" t="s">
        <v>1434</v>
      </c>
      <c r="E5614" s="1038" t="s">
        <v>1439</v>
      </c>
      <c r="F5614" s="1562" t="s">
        <v>528</v>
      </c>
      <c r="G5614" s="1563" t="s">
        <v>11042</v>
      </c>
      <c r="H5614" s="1038" t="s">
        <v>11275</v>
      </c>
    </row>
    <row r="5615" spans="2:8">
      <c r="B5615" s="1560">
        <v>46291</v>
      </c>
      <c r="C5615" s="1038" t="s">
        <v>11110</v>
      </c>
      <c r="D5615" s="1038" t="s">
        <v>1410</v>
      </c>
      <c r="E5615" s="1038" t="s">
        <v>3411</v>
      </c>
      <c r="F5615" s="1562" t="s">
        <v>526</v>
      </c>
      <c r="G5615" s="1563">
        <v>34</v>
      </c>
      <c r="H5615" s="1038" t="s">
        <v>11276</v>
      </c>
    </row>
    <row r="5616" spans="2:8">
      <c r="B5616" s="1560">
        <v>46291</v>
      </c>
      <c r="C5616" s="1038" t="s">
        <v>11110</v>
      </c>
      <c r="D5616" s="1038" t="s">
        <v>1410</v>
      </c>
      <c r="E5616" s="1038" t="s">
        <v>3411</v>
      </c>
      <c r="F5616" s="1562" t="s">
        <v>527</v>
      </c>
      <c r="G5616" s="1563">
        <v>42</v>
      </c>
      <c r="H5616" s="1038" t="s">
        <v>11277</v>
      </c>
    </row>
    <row r="5617" spans="2:8">
      <c r="B5617" s="1560">
        <v>46291</v>
      </c>
      <c r="C5617" s="1038" t="s">
        <v>11110</v>
      </c>
      <c r="D5617" s="1038" t="s">
        <v>1410</v>
      </c>
      <c r="E5617" s="1038" t="s">
        <v>3411</v>
      </c>
      <c r="F5617" s="1562" t="s">
        <v>528</v>
      </c>
      <c r="G5617" s="1563">
        <v>47</v>
      </c>
      <c r="H5617" s="1038" t="s">
        <v>11278</v>
      </c>
    </row>
    <row r="5618" spans="2:8">
      <c r="B5618" s="1560">
        <v>46291</v>
      </c>
      <c r="C5618" s="1038" t="s">
        <v>11110</v>
      </c>
      <c r="D5618" s="1038" t="s">
        <v>1434</v>
      </c>
      <c r="E5618" s="1038" t="s">
        <v>43</v>
      </c>
      <c r="F5618" s="1562" t="s">
        <v>526</v>
      </c>
      <c r="G5618" s="1563" t="s">
        <v>11049</v>
      </c>
      <c r="H5618" s="1038" t="s">
        <v>11279</v>
      </c>
    </row>
    <row r="5619" spans="2:8">
      <c r="B5619" s="1560">
        <v>46291</v>
      </c>
      <c r="C5619" s="1038" t="s">
        <v>11110</v>
      </c>
      <c r="D5619" s="1038" t="s">
        <v>1434</v>
      </c>
      <c r="E5619" s="1038" t="s">
        <v>43</v>
      </c>
      <c r="F5619" s="1562" t="s">
        <v>527</v>
      </c>
      <c r="G5619" s="1563" t="s">
        <v>11049</v>
      </c>
      <c r="H5619" s="1038" t="s">
        <v>11280</v>
      </c>
    </row>
    <row r="5620" spans="2:8">
      <c r="B5620" s="1560">
        <v>46291</v>
      </c>
      <c r="C5620" s="1038" t="s">
        <v>11110</v>
      </c>
      <c r="D5620" s="1038" t="s">
        <v>1434</v>
      </c>
      <c r="E5620" s="1038" t="s">
        <v>43</v>
      </c>
      <c r="F5620" s="1562" t="s">
        <v>528</v>
      </c>
      <c r="G5620" s="1563" t="s">
        <v>11049</v>
      </c>
      <c r="H5620" s="1038" t="s">
        <v>11281</v>
      </c>
    </row>
    <row r="5621" spans="2:8">
      <c r="B5621" s="1560">
        <v>46291</v>
      </c>
      <c r="C5621" s="1038" t="s">
        <v>11110</v>
      </c>
      <c r="D5621" s="1038" t="s">
        <v>1410</v>
      </c>
      <c r="E5621" s="1038" t="s">
        <v>3418</v>
      </c>
      <c r="F5621" s="1562" t="s">
        <v>526</v>
      </c>
      <c r="G5621" s="1563">
        <v>100</v>
      </c>
      <c r="H5621" s="1038" t="s">
        <v>11282</v>
      </c>
    </row>
    <row r="5622" spans="2:8">
      <c r="B5622" s="1560">
        <v>46291</v>
      </c>
      <c r="C5622" s="1038" t="s">
        <v>11110</v>
      </c>
      <c r="D5622" s="1038" t="s">
        <v>1410</v>
      </c>
      <c r="E5622" s="1038" t="s">
        <v>3418</v>
      </c>
      <c r="F5622" s="1562" t="s">
        <v>527</v>
      </c>
      <c r="G5622" s="1563">
        <v>89</v>
      </c>
      <c r="H5622" s="1038" t="s">
        <v>11283</v>
      </c>
    </row>
    <row r="5623" spans="2:8">
      <c r="B5623" s="1560">
        <v>46291</v>
      </c>
      <c r="C5623" s="1038" t="s">
        <v>11110</v>
      </c>
      <c r="D5623" s="1038" t="s">
        <v>1410</v>
      </c>
      <c r="E5623" s="1038" t="s">
        <v>3418</v>
      </c>
      <c r="F5623" s="1562" t="s">
        <v>528</v>
      </c>
      <c r="G5623" s="1563">
        <v>90</v>
      </c>
      <c r="H5623" s="1038" t="s">
        <v>11284</v>
      </c>
    </row>
    <row r="5624" spans="2:8">
      <c r="B5624" s="1560">
        <v>46291</v>
      </c>
      <c r="C5624" s="1038" t="s">
        <v>11110</v>
      </c>
      <c r="D5624" s="1038" t="s">
        <v>1434</v>
      </c>
      <c r="E5624" s="1038" t="s">
        <v>1441</v>
      </c>
      <c r="F5624" s="1562" t="s">
        <v>526</v>
      </c>
      <c r="G5624" s="1563"/>
      <c r="H5624" s="1038" t="s">
        <v>11285</v>
      </c>
    </row>
    <row r="5625" spans="2:8">
      <c r="B5625" s="1560">
        <v>46291</v>
      </c>
      <c r="C5625" s="1038" t="s">
        <v>11110</v>
      </c>
      <c r="D5625" s="1038" t="s">
        <v>1434</v>
      </c>
      <c r="E5625" s="1038" t="s">
        <v>1441</v>
      </c>
      <c r="F5625" s="1562" t="s">
        <v>527</v>
      </c>
      <c r="G5625" s="1563"/>
      <c r="H5625" s="1038" t="s">
        <v>11286</v>
      </c>
    </row>
    <row r="5626" spans="2:8">
      <c r="B5626" s="1560">
        <v>46291</v>
      </c>
      <c r="C5626" s="1038" t="s">
        <v>11110</v>
      </c>
      <c r="D5626" s="1038" t="s">
        <v>1434</v>
      </c>
      <c r="E5626" s="1038" t="s">
        <v>1441</v>
      </c>
      <c r="F5626" s="1562" t="s">
        <v>528</v>
      </c>
      <c r="G5626" s="1563"/>
      <c r="H5626" s="1038" t="s">
        <v>11287</v>
      </c>
    </row>
    <row r="5627" spans="2:8">
      <c r="B5627" s="1560">
        <v>46291</v>
      </c>
      <c r="C5627" s="1038" t="s">
        <v>11110</v>
      </c>
      <c r="D5627" s="1038" t="s">
        <v>1410</v>
      </c>
      <c r="E5627" s="1038" t="s">
        <v>3425</v>
      </c>
      <c r="F5627" s="1562" t="s">
        <v>526</v>
      </c>
      <c r="G5627" s="1563" t="s">
        <v>1443</v>
      </c>
      <c r="H5627" s="1038" t="s">
        <v>11288</v>
      </c>
    </row>
    <row r="5628" spans="2:8">
      <c r="B5628" s="1560">
        <v>46291</v>
      </c>
      <c r="C5628" s="1038" t="s">
        <v>11110</v>
      </c>
      <c r="D5628" s="1038" t="s">
        <v>1410</v>
      </c>
      <c r="E5628" s="1038" t="s">
        <v>3425</v>
      </c>
      <c r="F5628" s="1562" t="s">
        <v>527</v>
      </c>
      <c r="G5628" s="1563" t="s">
        <v>1443</v>
      </c>
      <c r="H5628" s="1038" t="s">
        <v>11289</v>
      </c>
    </row>
    <row r="5629" spans="2:8">
      <c r="B5629" s="1560">
        <v>46291</v>
      </c>
      <c r="C5629" s="1038" t="s">
        <v>11110</v>
      </c>
      <c r="D5629" s="1038" t="s">
        <v>1410</v>
      </c>
      <c r="E5629" s="1038" t="s">
        <v>3425</v>
      </c>
      <c r="F5629" s="1562" t="s">
        <v>528</v>
      </c>
      <c r="G5629" s="1563" t="s">
        <v>1443</v>
      </c>
      <c r="H5629" s="1038" t="s">
        <v>11290</v>
      </c>
    </row>
    <row r="5630" spans="2:8">
      <c r="B5630" s="1560">
        <v>46291</v>
      </c>
      <c r="C5630" s="1038" t="s">
        <v>11110</v>
      </c>
      <c r="D5630" s="1038" t="s">
        <v>1434</v>
      </c>
      <c r="E5630" s="1038" t="s">
        <v>1444</v>
      </c>
      <c r="F5630" s="1562" t="s">
        <v>526</v>
      </c>
      <c r="G5630" s="1563"/>
      <c r="H5630" s="1038" t="s">
        <v>11291</v>
      </c>
    </row>
    <row r="5631" spans="2:8">
      <c r="B5631" s="1560">
        <v>46291</v>
      </c>
      <c r="C5631" s="1038" t="s">
        <v>11110</v>
      </c>
      <c r="D5631" s="1038" t="s">
        <v>1434</v>
      </c>
      <c r="E5631" s="1038" t="s">
        <v>1444</v>
      </c>
      <c r="F5631" s="1562" t="s">
        <v>527</v>
      </c>
      <c r="G5631" s="1563"/>
      <c r="H5631" s="1038" t="s">
        <v>11292</v>
      </c>
    </row>
    <row r="5632" spans="2:8">
      <c r="B5632" s="1560">
        <v>46291</v>
      </c>
      <c r="C5632" s="1038" t="s">
        <v>11110</v>
      </c>
      <c r="D5632" s="1038" t="s">
        <v>1434</v>
      </c>
      <c r="E5632" s="1038" t="s">
        <v>1444</v>
      </c>
      <c r="F5632" s="1562" t="s">
        <v>528</v>
      </c>
      <c r="G5632" s="1563"/>
      <c r="H5632" s="1038" t="s">
        <v>11293</v>
      </c>
    </row>
    <row r="5633" spans="2:8">
      <c r="B5633" s="1560">
        <v>46291</v>
      </c>
      <c r="C5633" s="1038" t="s">
        <v>11110</v>
      </c>
      <c r="D5633" s="1038" t="s">
        <v>1434</v>
      </c>
      <c r="E5633" s="1038" t="s">
        <v>1446</v>
      </c>
      <c r="F5633" s="1562" t="s">
        <v>526</v>
      </c>
      <c r="G5633" s="1563" t="s">
        <v>11068</v>
      </c>
      <c r="H5633" s="1038" t="s">
        <v>11294</v>
      </c>
    </row>
    <row r="5634" spans="2:8">
      <c r="B5634" s="1560">
        <v>46291</v>
      </c>
      <c r="C5634" s="1038" t="s">
        <v>11110</v>
      </c>
      <c r="D5634" s="1038" t="s">
        <v>1434</v>
      </c>
      <c r="E5634" s="1038" t="s">
        <v>1446</v>
      </c>
      <c r="F5634" s="1562" t="s">
        <v>527</v>
      </c>
      <c r="G5634" s="1563" t="s">
        <v>11295</v>
      </c>
      <c r="H5634" s="1038" t="s">
        <v>11296</v>
      </c>
    </row>
    <row r="5635" spans="2:8">
      <c r="B5635" s="1560">
        <v>46291</v>
      </c>
      <c r="C5635" s="1038" t="s">
        <v>11110</v>
      </c>
      <c r="D5635" s="1038" t="s">
        <v>1434</v>
      </c>
      <c r="E5635" s="1038" t="s">
        <v>1446</v>
      </c>
      <c r="F5635" s="1562" t="s">
        <v>528</v>
      </c>
      <c r="G5635" s="1563" t="s">
        <v>11297</v>
      </c>
      <c r="H5635" s="1038" t="s">
        <v>11298</v>
      </c>
    </row>
    <row r="5636" spans="2:8">
      <c r="B5636" s="1560">
        <v>46291</v>
      </c>
      <c r="C5636" s="1038" t="s">
        <v>11110</v>
      </c>
      <c r="D5636" s="1038" t="s">
        <v>1410</v>
      </c>
      <c r="E5636" s="1038" t="s">
        <v>3435</v>
      </c>
      <c r="F5636" s="1562" t="s">
        <v>526</v>
      </c>
      <c r="G5636" s="1563" t="s">
        <v>1586</v>
      </c>
      <c r="H5636" s="1038" t="s">
        <v>11299</v>
      </c>
    </row>
    <row r="5637" spans="2:8">
      <c r="B5637" s="1560">
        <v>46291</v>
      </c>
      <c r="C5637" s="1038" t="s">
        <v>11110</v>
      </c>
      <c r="D5637" s="1038" t="s">
        <v>1410</v>
      </c>
      <c r="E5637" s="1038" t="s">
        <v>3435</v>
      </c>
      <c r="F5637" s="1562" t="s">
        <v>527</v>
      </c>
      <c r="G5637" s="1563" t="s">
        <v>1586</v>
      </c>
      <c r="H5637" s="1038" t="s">
        <v>11300</v>
      </c>
    </row>
    <row r="5638" spans="2:8">
      <c r="B5638" s="1560">
        <v>46291</v>
      </c>
      <c r="C5638" s="1038" t="s">
        <v>11110</v>
      </c>
      <c r="D5638" s="1038" t="s">
        <v>1410</v>
      </c>
      <c r="E5638" s="1038" t="s">
        <v>3435</v>
      </c>
      <c r="F5638" s="1562" t="s">
        <v>528</v>
      </c>
      <c r="G5638" s="1563" t="s">
        <v>1586</v>
      </c>
      <c r="H5638" s="1038" t="s">
        <v>11301</v>
      </c>
    </row>
    <row r="5639" spans="2:8">
      <c r="B5639" s="1560">
        <v>46291</v>
      </c>
      <c r="C5639" s="1038" t="s">
        <v>11110</v>
      </c>
      <c r="D5639" s="1038" t="s">
        <v>1434</v>
      </c>
      <c r="E5639" s="1038" t="s">
        <v>3439</v>
      </c>
      <c r="F5639" s="1562" t="s">
        <v>526</v>
      </c>
      <c r="G5639" s="1563"/>
      <c r="H5639" s="1038" t="s">
        <v>11302</v>
      </c>
    </row>
    <row r="5640" spans="2:8">
      <c r="B5640" s="1560">
        <v>46291</v>
      </c>
      <c r="C5640" s="1038" t="s">
        <v>11110</v>
      </c>
      <c r="D5640" s="1038" t="s">
        <v>1434</v>
      </c>
      <c r="E5640" s="1038" t="s">
        <v>3439</v>
      </c>
      <c r="F5640" s="1562" t="s">
        <v>527</v>
      </c>
      <c r="G5640" s="1563"/>
      <c r="H5640" s="1038" t="s">
        <v>11303</v>
      </c>
    </row>
    <row r="5641" spans="2:8">
      <c r="B5641" s="1560">
        <v>46291</v>
      </c>
      <c r="C5641" s="1038" t="s">
        <v>11110</v>
      </c>
      <c r="D5641" s="1038" t="s">
        <v>1434</v>
      </c>
      <c r="E5641" s="1038" t="s">
        <v>3439</v>
      </c>
      <c r="F5641" s="1562" t="s">
        <v>528</v>
      </c>
      <c r="G5641" s="1563"/>
      <c r="H5641" s="1038" t="s">
        <v>11304</v>
      </c>
    </row>
    <row r="5642" spans="2:8">
      <c r="B5642" s="1560">
        <v>46291</v>
      </c>
      <c r="C5642" s="1038" t="s">
        <v>11110</v>
      </c>
      <c r="D5642" s="1038" t="s">
        <v>1410</v>
      </c>
      <c r="E5642" s="1038" t="s">
        <v>3443</v>
      </c>
      <c r="F5642" s="1562" t="s">
        <v>526</v>
      </c>
      <c r="G5642" s="1563"/>
      <c r="H5642" s="1038" t="s">
        <v>11305</v>
      </c>
    </row>
    <row r="5643" spans="2:8">
      <c r="B5643" s="1560">
        <v>46291</v>
      </c>
      <c r="C5643" s="1038" t="s">
        <v>11110</v>
      </c>
      <c r="D5643" s="1038" t="s">
        <v>1410</v>
      </c>
      <c r="E5643" s="1038" t="s">
        <v>3443</v>
      </c>
      <c r="F5643" s="1562" t="s">
        <v>527</v>
      </c>
      <c r="G5643" s="1563"/>
      <c r="H5643" s="1038" t="s">
        <v>11306</v>
      </c>
    </row>
    <row r="5644" spans="2:8">
      <c r="B5644" s="1560">
        <v>46291</v>
      </c>
      <c r="C5644" s="1038" t="s">
        <v>11110</v>
      </c>
      <c r="D5644" s="1038" t="s">
        <v>1410</v>
      </c>
      <c r="E5644" s="1038" t="s">
        <v>3443</v>
      </c>
      <c r="F5644" s="1562" t="s">
        <v>528</v>
      </c>
      <c r="G5644" s="1563"/>
      <c r="H5644" s="1038" t="s">
        <v>11307</v>
      </c>
    </row>
    <row r="5645" spans="2:8">
      <c r="B5645" s="1560">
        <v>46291</v>
      </c>
      <c r="C5645" s="1038" t="s">
        <v>11110</v>
      </c>
      <c r="D5645" s="1038" t="s">
        <v>1434</v>
      </c>
      <c r="E5645" s="1038" t="s">
        <v>3447</v>
      </c>
      <c r="F5645" s="1562" t="s">
        <v>526</v>
      </c>
      <c r="G5645" s="1563"/>
      <c r="H5645" s="1038" t="s">
        <v>11308</v>
      </c>
    </row>
    <row r="5646" spans="2:8">
      <c r="B5646" s="1560">
        <v>46291</v>
      </c>
      <c r="C5646" s="1038" t="s">
        <v>11110</v>
      </c>
      <c r="D5646" s="1038" t="s">
        <v>1434</v>
      </c>
      <c r="E5646" s="1038" t="s">
        <v>3447</v>
      </c>
      <c r="F5646" s="1562" t="s">
        <v>527</v>
      </c>
      <c r="G5646" s="1563"/>
      <c r="H5646" s="1038" t="s">
        <v>11309</v>
      </c>
    </row>
    <row r="5647" spans="2:8">
      <c r="B5647" s="1560">
        <v>46291</v>
      </c>
      <c r="C5647" s="1038" t="s">
        <v>11110</v>
      </c>
      <c r="D5647" s="1038" t="s">
        <v>1434</v>
      </c>
      <c r="E5647" s="1038" t="s">
        <v>3447</v>
      </c>
      <c r="F5647" s="1562" t="s">
        <v>528</v>
      </c>
      <c r="G5647" s="1563"/>
      <c r="H5647" s="1038" t="s">
        <v>11310</v>
      </c>
    </row>
    <row r="5648" spans="2:8">
      <c r="B5648" s="1560">
        <v>46291</v>
      </c>
      <c r="C5648" s="1038" t="s">
        <v>11110</v>
      </c>
      <c r="D5648" s="1038" t="s">
        <v>1410</v>
      </c>
      <c r="E5648" s="1038" t="s">
        <v>3451</v>
      </c>
      <c r="F5648" s="1562" t="s">
        <v>526</v>
      </c>
      <c r="G5648" s="1563"/>
      <c r="H5648" s="1038" t="s">
        <v>11311</v>
      </c>
    </row>
    <row r="5649" spans="2:8">
      <c r="B5649" s="1560">
        <v>46291</v>
      </c>
      <c r="C5649" s="1038" t="s">
        <v>11110</v>
      </c>
      <c r="D5649" s="1038" t="s">
        <v>1410</v>
      </c>
      <c r="E5649" s="1038" t="s">
        <v>3451</v>
      </c>
      <c r="F5649" s="1562" t="s">
        <v>527</v>
      </c>
      <c r="G5649" s="1563"/>
      <c r="H5649" s="1038" t="s">
        <v>11312</v>
      </c>
    </row>
    <row r="5650" spans="2:8">
      <c r="B5650" s="1560">
        <v>46291</v>
      </c>
      <c r="C5650" s="1038" t="s">
        <v>11110</v>
      </c>
      <c r="D5650" s="1038" t="s">
        <v>1410</v>
      </c>
      <c r="E5650" s="1038" t="s">
        <v>3451</v>
      </c>
      <c r="F5650" s="1562" t="s">
        <v>528</v>
      </c>
      <c r="G5650" s="1563"/>
      <c r="H5650" s="1038" t="s">
        <v>11313</v>
      </c>
    </row>
    <row r="5651" spans="2:8">
      <c r="B5651" s="1560">
        <v>46291</v>
      </c>
      <c r="C5651" s="1038" t="s">
        <v>11110</v>
      </c>
      <c r="D5651" s="1038" t="s">
        <v>1434</v>
      </c>
      <c r="E5651" s="1038" t="s">
        <v>3455</v>
      </c>
      <c r="F5651" s="1562" t="s">
        <v>526</v>
      </c>
      <c r="G5651" s="1563"/>
      <c r="H5651" s="1038" t="s">
        <v>11314</v>
      </c>
    </row>
    <row r="5652" spans="2:8">
      <c r="B5652" s="1560">
        <v>46291</v>
      </c>
      <c r="C5652" s="1038" t="s">
        <v>11110</v>
      </c>
      <c r="D5652" s="1038" t="s">
        <v>1434</v>
      </c>
      <c r="E5652" s="1038" t="s">
        <v>3455</v>
      </c>
      <c r="F5652" s="1562" t="s">
        <v>527</v>
      </c>
      <c r="G5652" s="1563"/>
      <c r="H5652" s="1038" t="s">
        <v>11315</v>
      </c>
    </row>
    <row r="5653" spans="2:8">
      <c r="B5653" s="1560">
        <v>46291</v>
      </c>
      <c r="C5653" s="1038" t="s">
        <v>11110</v>
      </c>
      <c r="D5653" s="1038" t="s">
        <v>1434</v>
      </c>
      <c r="E5653" s="1038" t="s">
        <v>3455</v>
      </c>
      <c r="F5653" s="1562" t="s">
        <v>528</v>
      </c>
      <c r="G5653" s="1563"/>
      <c r="H5653" s="1038" t="s">
        <v>11316</v>
      </c>
    </row>
    <row r="5654" spans="2:8">
      <c r="B5654" s="1560">
        <v>46291</v>
      </c>
      <c r="C5654" s="1038" t="s">
        <v>11110</v>
      </c>
      <c r="D5654" s="1038" t="s">
        <v>1410</v>
      </c>
      <c r="E5654" s="1038" t="s">
        <v>3459</v>
      </c>
      <c r="F5654" s="1562" t="s">
        <v>526</v>
      </c>
      <c r="G5654" s="1563">
        <v>29</v>
      </c>
      <c r="H5654" s="1038" t="s">
        <v>11317</v>
      </c>
    </row>
    <row r="5655" spans="2:8">
      <c r="B5655" s="1560">
        <v>46291</v>
      </c>
      <c r="C5655" s="1038" t="s">
        <v>11110</v>
      </c>
      <c r="D5655" s="1038" t="s">
        <v>1410</v>
      </c>
      <c r="E5655" s="1038" t="s">
        <v>3459</v>
      </c>
      <c r="F5655" s="1562" t="s">
        <v>527</v>
      </c>
      <c r="G5655" s="1563">
        <v>26</v>
      </c>
      <c r="H5655" s="1038" t="s">
        <v>11318</v>
      </c>
    </row>
    <row r="5656" spans="2:8">
      <c r="B5656" s="1560">
        <v>46291</v>
      </c>
      <c r="C5656" s="1038" t="s">
        <v>11110</v>
      </c>
      <c r="D5656" s="1038" t="s">
        <v>1410</v>
      </c>
      <c r="E5656" s="1038" t="s">
        <v>3459</v>
      </c>
      <c r="F5656" s="1562" t="s">
        <v>528</v>
      </c>
      <c r="G5656" s="1563">
        <v>27</v>
      </c>
      <c r="H5656" s="1038" t="s">
        <v>11319</v>
      </c>
    </row>
    <row r="5657" spans="2:8">
      <c r="B5657" s="1560">
        <v>46291</v>
      </c>
      <c r="C5657" s="1038" t="s">
        <v>11110</v>
      </c>
      <c r="D5657" s="1038" t="s">
        <v>1434</v>
      </c>
      <c r="E5657" s="1038" t="s">
        <v>3463</v>
      </c>
      <c r="F5657" s="1562" t="s">
        <v>526</v>
      </c>
      <c r="G5657" s="1563"/>
      <c r="H5657" s="1038" t="s">
        <v>11320</v>
      </c>
    </row>
    <row r="5658" spans="2:8">
      <c r="B5658" s="1560">
        <v>46291</v>
      </c>
      <c r="C5658" s="1038" t="s">
        <v>11110</v>
      </c>
      <c r="D5658" s="1038" t="s">
        <v>1434</v>
      </c>
      <c r="E5658" s="1038" t="s">
        <v>3463</v>
      </c>
      <c r="F5658" s="1562" t="s">
        <v>527</v>
      </c>
      <c r="G5658" s="1563"/>
      <c r="H5658" s="1038" t="s">
        <v>11321</v>
      </c>
    </row>
    <row r="5659" spans="2:8">
      <c r="B5659" s="1560">
        <v>46291</v>
      </c>
      <c r="C5659" s="1038" t="s">
        <v>11110</v>
      </c>
      <c r="D5659" s="1038" t="s">
        <v>1434</v>
      </c>
      <c r="E5659" s="1038" t="s">
        <v>3463</v>
      </c>
      <c r="F5659" s="1562" t="s">
        <v>528</v>
      </c>
      <c r="G5659" s="1563"/>
      <c r="H5659" s="1038" t="s">
        <v>11322</v>
      </c>
    </row>
    <row r="5660" spans="2:8">
      <c r="B5660" s="1560">
        <v>46291</v>
      </c>
      <c r="C5660" s="1038" t="s">
        <v>11110</v>
      </c>
      <c r="D5660" s="1038" t="s">
        <v>1410</v>
      </c>
      <c r="E5660" s="1038" t="s">
        <v>3467</v>
      </c>
      <c r="F5660" s="1562" t="s">
        <v>526</v>
      </c>
      <c r="G5660" s="1563">
        <v>29</v>
      </c>
      <c r="H5660" s="1038" t="s">
        <v>11323</v>
      </c>
    </row>
    <row r="5661" spans="2:8">
      <c r="B5661" s="1560">
        <v>46291</v>
      </c>
      <c r="C5661" s="1038" t="s">
        <v>11110</v>
      </c>
      <c r="D5661" s="1038" t="s">
        <v>1410</v>
      </c>
      <c r="E5661" s="1038" t="s">
        <v>3467</v>
      </c>
      <c r="F5661" s="1562" t="s">
        <v>527</v>
      </c>
      <c r="G5661" s="1563"/>
      <c r="H5661" s="1038" t="s">
        <v>11324</v>
      </c>
    </row>
    <row r="5662" spans="2:8">
      <c r="B5662" s="1560">
        <v>46291</v>
      </c>
      <c r="C5662" s="1038" t="s">
        <v>11110</v>
      </c>
      <c r="D5662" s="1038" t="s">
        <v>1410</v>
      </c>
      <c r="E5662" s="1038" t="s">
        <v>3467</v>
      </c>
      <c r="F5662" s="1562" t="s">
        <v>528</v>
      </c>
      <c r="G5662" s="1563">
        <v>27</v>
      </c>
      <c r="H5662" s="1038" t="s">
        <v>11325</v>
      </c>
    </row>
    <row r="5663" spans="2:8">
      <c r="B5663" s="1560">
        <v>46291</v>
      </c>
      <c r="C5663" s="1038" t="s">
        <v>11110</v>
      </c>
      <c r="D5663" s="1038" t="s">
        <v>1434</v>
      </c>
      <c r="E5663" s="1038" t="s">
        <v>3471</v>
      </c>
      <c r="F5663" s="1562" t="s">
        <v>526</v>
      </c>
      <c r="G5663" s="1563"/>
      <c r="H5663" s="1038" t="s">
        <v>11326</v>
      </c>
    </row>
    <row r="5664" spans="2:8">
      <c r="B5664" s="1560">
        <v>46291</v>
      </c>
      <c r="C5664" s="1038" t="s">
        <v>11110</v>
      </c>
      <c r="D5664" s="1038" t="s">
        <v>1434</v>
      </c>
      <c r="E5664" s="1038" t="s">
        <v>3471</v>
      </c>
      <c r="F5664" s="1562" t="s">
        <v>527</v>
      </c>
      <c r="G5664" s="1563"/>
      <c r="H5664" s="1038" t="s">
        <v>11327</v>
      </c>
    </row>
    <row r="5665" spans="2:8">
      <c r="B5665" s="1560">
        <v>46291</v>
      </c>
      <c r="C5665" s="1038" t="s">
        <v>11110</v>
      </c>
      <c r="D5665" s="1038" t="s">
        <v>1434</v>
      </c>
      <c r="E5665" s="1038" t="s">
        <v>3471</v>
      </c>
      <c r="F5665" s="1562" t="s">
        <v>528</v>
      </c>
      <c r="G5665" s="1563"/>
      <c r="H5665" s="1038" t="s">
        <v>11328</v>
      </c>
    </row>
    <row r="5666" spans="2:8">
      <c r="B5666" s="1560">
        <v>46291</v>
      </c>
      <c r="C5666" s="1038" t="s">
        <v>11110</v>
      </c>
      <c r="D5666" s="1038" t="s">
        <v>1410</v>
      </c>
      <c r="E5666" s="1038" t="s">
        <v>3475</v>
      </c>
      <c r="F5666" s="1562" t="s">
        <v>526</v>
      </c>
      <c r="G5666" s="1563">
        <v>17</v>
      </c>
      <c r="H5666" s="1038" t="s">
        <v>11329</v>
      </c>
    </row>
    <row r="5667" spans="2:8">
      <c r="B5667" s="1560">
        <v>46291</v>
      </c>
      <c r="C5667" s="1038" t="s">
        <v>11110</v>
      </c>
      <c r="D5667" s="1038" t="s">
        <v>1410</v>
      </c>
      <c r="E5667" s="1038" t="s">
        <v>3475</v>
      </c>
      <c r="F5667" s="1562" t="s">
        <v>527</v>
      </c>
      <c r="G5667" s="1563">
        <v>17</v>
      </c>
      <c r="H5667" s="1038" t="s">
        <v>11330</v>
      </c>
    </row>
    <row r="5668" spans="2:8">
      <c r="B5668" s="1560">
        <v>46291</v>
      </c>
      <c r="C5668" s="1038" t="s">
        <v>11110</v>
      </c>
      <c r="D5668" s="1038" t="s">
        <v>1410</v>
      </c>
      <c r="E5668" s="1038" t="s">
        <v>3475</v>
      </c>
      <c r="F5668" s="1562" t="s">
        <v>528</v>
      </c>
      <c r="G5668" s="1563">
        <v>18</v>
      </c>
      <c r="H5668" s="1038" t="s">
        <v>11331</v>
      </c>
    </row>
    <row r="5669" spans="2:8">
      <c r="B5669" s="1560">
        <v>46291</v>
      </c>
      <c r="C5669" s="1038" t="s">
        <v>11110</v>
      </c>
      <c r="D5669" s="1038" t="s">
        <v>1434</v>
      </c>
      <c r="E5669" s="1038" t="s">
        <v>3479</v>
      </c>
      <c r="F5669" s="1562" t="s">
        <v>526</v>
      </c>
      <c r="G5669" s="1563"/>
      <c r="H5669" s="1038" t="s">
        <v>11332</v>
      </c>
    </row>
    <row r="5670" spans="2:8">
      <c r="B5670" s="1560">
        <v>46291</v>
      </c>
      <c r="C5670" s="1038" t="s">
        <v>11110</v>
      </c>
      <c r="D5670" s="1038" t="s">
        <v>1434</v>
      </c>
      <c r="E5670" s="1038" t="s">
        <v>3479</v>
      </c>
      <c r="F5670" s="1562" t="s">
        <v>527</v>
      </c>
      <c r="G5670" s="1563"/>
      <c r="H5670" s="1038" t="s">
        <v>11333</v>
      </c>
    </row>
    <row r="5671" spans="2:8">
      <c r="B5671" s="1560">
        <v>46291</v>
      </c>
      <c r="C5671" s="1038" t="s">
        <v>11110</v>
      </c>
      <c r="D5671" s="1038" t="s">
        <v>1434</v>
      </c>
      <c r="E5671" s="1038" t="s">
        <v>3479</v>
      </c>
      <c r="F5671" s="1562" t="s">
        <v>528</v>
      </c>
      <c r="G5671" s="1563"/>
      <c r="H5671" s="1038" t="s">
        <v>11334</v>
      </c>
    </row>
    <row r="5672" spans="2:8">
      <c r="B5672" s="1560">
        <v>46291</v>
      </c>
      <c r="C5672" s="1038" t="s">
        <v>11110</v>
      </c>
      <c r="D5672" s="1038" t="s">
        <v>1410</v>
      </c>
      <c r="E5672" s="1038" t="s">
        <v>3483</v>
      </c>
      <c r="F5672" s="1562" t="s">
        <v>526</v>
      </c>
      <c r="G5672" s="1563">
        <v>5</v>
      </c>
      <c r="H5672" s="1038" t="s">
        <v>11335</v>
      </c>
    </row>
    <row r="5673" spans="2:8">
      <c r="B5673" s="1560">
        <v>46291</v>
      </c>
      <c r="C5673" s="1038" t="s">
        <v>11110</v>
      </c>
      <c r="D5673" s="1038" t="s">
        <v>1410</v>
      </c>
      <c r="E5673" s="1038" t="s">
        <v>3483</v>
      </c>
      <c r="F5673" s="1562" t="s">
        <v>527</v>
      </c>
      <c r="G5673" s="1564" t="s">
        <v>11336</v>
      </c>
      <c r="H5673" s="1038" t="s">
        <v>11337</v>
      </c>
    </row>
    <row r="5674" spans="2:8">
      <c r="B5674" s="1560">
        <v>46291</v>
      </c>
      <c r="C5674" s="1038" t="s">
        <v>11110</v>
      </c>
      <c r="D5674" s="1038" t="s">
        <v>1410</v>
      </c>
      <c r="E5674" s="1038" t="s">
        <v>3483</v>
      </c>
      <c r="F5674" s="1562" t="s">
        <v>528</v>
      </c>
      <c r="G5674" s="1564" t="s">
        <v>1701</v>
      </c>
      <c r="H5674" s="1038" t="s">
        <v>11338</v>
      </c>
    </row>
    <row r="5675" spans="2:8">
      <c r="B5675" s="1560">
        <v>46292</v>
      </c>
      <c r="C5675" s="1038" t="s">
        <v>11339</v>
      </c>
      <c r="D5675" s="1038" t="s">
        <v>1375</v>
      </c>
      <c r="E5675" s="1038" t="s">
        <v>1377</v>
      </c>
      <c r="F5675" s="1562" t="s">
        <v>526</v>
      </c>
      <c r="G5675" s="1563" t="s">
        <v>11340</v>
      </c>
      <c r="H5675" s="1038" t="s">
        <v>11341</v>
      </c>
    </row>
    <row r="5676" spans="2:8">
      <c r="B5676" s="1560">
        <v>46292</v>
      </c>
      <c r="C5676" s="1038" t="s">
        <v>11339</v>
      </c>
      <c r="D5676" s="1038" t="s">
        <v>1375</v>
      </c>
      <c r="E5676" s="1038" t="s">
        <v>1377</v>
      </c>
      <c r="F5676" s="1562" t="s">
        <v>527</v>
      </c>
      <c r="G5676" s="1563" t="s">
        <v>1378</v>
      </c>
      <c r="H5676" s="1038" t="s">
        <v>11342</v>
      </c>
    </row>
    <row r="5677" spans="2:8">
      <c r="B5677" s="1560">
        <v>46292</v>
      </c>
      <c r="C5677" s="1038" t="s">
        <v>11339</v>
      </c>
      <c r="D5677" s="1038" t="s">
        <v>1375</v>
      </c>
      <c r="E5677" s="1038" t="s">
        <v>1377</v>
      </c>
      <c r="F5677" s="1562" t="s">
        <v>528</v>
      </c>
      <c r="G5677" s="1563" t="s">
        <v>1378</v>
      </c>
      <c r="H5677" s="1038" t="s">
        <v>11343</v>
      </c>
    </row>
    <row r="5678" spans="2:8">
      <c r="B5678" s="1560">
        <v>46292</v>
      </c>
      <c r="C5678" s="1038" t="s">
        <v>11339</v>
      </c>
      <c r="D5678" s="1038" t="s">
        <v>1376</v>
      </c>
      <c r="E5678" s="1038" t="s">
        <v>1379</v>
      </c>
      <c r="F5678" s="1562" t="s">
        <v>526</v>
      </c>
      <c r="G5678" s="1563"/>
      <c r="H5678" s="1038" t="s">
        <v>11344</v>
      </c>
    </row>
    <row r="5679" spans="2:8">
      <c r="B5679" s="1560">
        <v>46292</v>
      </c>
      <c r="C5679" s="1038" t="s">
        <v>11339</v>
      </c>
      <c r="D5679" s="1038" t="s">
        <v>1376</v>
      </c>
      <c r="E5679" s="1038" t="s">
        <v>1379</v>
      </c>
      <c r="F5679" s="1562" t="s">
        <v>527</v>
      </c>
      <c r="G5679" s="1563"/>
      <c r="H5679" s="1038" t="s">
        <v>11345</v>
      </c>
    </row>
    <row r="5680" spans="2:8">
      <c r="B5680" s="1560">
        <v>46292</v>
      </c>
      <c r="C5680" s="1038" t="s">
        <v>11339</v>
      </c>
      <c r="D5680" s="1038" t="s">
        <v>1376</v>
      </c>
      <c r="E5680" s="1038" t="s">
        <v>1379</v>
      </c>
      <c r="F5680" s="1562" t="s">
        <v>528</v>
      </c>
      <c r="G5680" s="1563"/>
      <c r="H5680" s="1038" t="s">
        <v>11346</v>
      </c>
    </row>
    <row r="5681" spans="2:8">
      <c r="B5681" s="1560">
        <v>46292</v>
      </c>
      <c r="C5681" s="1038" t="s">
        <v>11339</v>
      </c>
      <c r="D5681" s="1038" t="s">
        <v>1375</v>
      </c>
      <c r="E5681" s="1038" t="s">
        <v>1380</v>
      </c>
      <c r="F5681" s="1562" t="s">
        <v>526</v>
      </c>
      <c r="G5681" s="1563"/>
      <c r="H5681" s="1038" t="s">
        <v>11347</v>
      </c>
    </row>
    <row r="5682" spans="2:8">
      <c r="B5682" s="1560">
        <v>46292</v>
      </c>
      <c r="C5682" s="1038" t="s">
        <v>11339</v>
      </c>
      <c r="D5682" s="1038" t="s">
        <v>1375</v>
      </c>
      <c r="E5682" s="1038" t="s">
        <v>1380</v>
      </c>
      <c r="F5682" s="1562" t="s">
        <v>527</v>
      </c>
      <c r="G5682" s="1563" t="s">
        <v>11121</v>
      </c>
      <c r="H5682" s="1038" t="s">
        <v>11348</v>
      </c>
    </row>
    <row r="5683" spans="2:8">
      <c r="B5683" s="1560">
        <v>46292</v>
      </c>
      <c r="C5683" s="1038" t="s">
        <v>11339</v>
      </c>
      <c r="D5683" s="1038" t="s">
        <v>1375</v>
      </c>
      <c r="E5683" s="1038" t="s">
        <v>1380</v>
      </c>
      <c r="F5683" s="1562" t="s">
        <v>528</v>
      </c>
      <c r="G5683" s="1563" t="s">
        <v>11121</v>
      </c>
      <c r="H5683" s="1038" t="s">
        <v>11349</v>
      </c>
    </row>
    <row r="5684" spans="2:8">
      <c r="B5684" s="1560">
        <v>46292</v>
      </c>
      <c r="C5684" s="1038" t="s">
        <v>11339</v>
      </c>
      <c r="D5684" s="1038" t="s">
        <v>1376</v>
      </c>
      <c r="E5684" s="1038" t="s">
        <v>1383</v>
      </c>
      <c r="F5684" s="1562" t="s">
        <v>526</v>
      </c>
      <c r="G5684" s="1563">
        <v>0</v>
      </c>
      <c r="H5684" s="1038" t="s">
        <v>11350</v>
      </c>
    </row>
    <row r="5685" spans="2:8">
      <c r="B5685" s="1560">
        <v>46292</v>
      </c>
      <c r="C5685" s="1038" t="s">
        <v>11339</v>
      </c>
      <c r="D5685" s="1038" t="s">
        <v>1376</v>
      </c>
      <c r="E5685" s="1038" t="s">
        <v>1383</v>
      </c>
      <c r="F5685" s="1562" t="s">
        <v>527</v>
      </c>
      <c r="G5685" s="1563">
        <v>0</v>
      </c>
      <c r="H5685" s="1038" t="s">
        <v>11351</v>
      </c>
    </row>
    <row r="5686" spans="2:8">
      <c r="B5686" s="1560">
        <v>46292</v>
      </c>
      <c r="C5686" s="1038" t="s">
        <v>11339</v>
      </c>
      <c r="D5686" s="1038" t="s">
        <v>1376</v>
      </c>
      <c r="E5686" s="1038" t="s">
        <v>1383</v>
      </c>
      <c r="F5686" s="1562" t="s">
        <v>528</v>
      </c>
      <c r="G5686" s="1563">
        <v>0</v>
      </c>
      <c r="H5686" s="1038" t="s">
        <v>11352</v>
      </c>
    </row>
    <row r="5687" spans="2:8">
      <c r="B5687" s="1560">
        <v>46292</v>
      </c>
      <c r="C5687" s="1038" t="s">
        <v>11339</v>
      </c>
      <c r="D5687" s="1038" t="s">
        <v>1375</v>
      </c>
      <c r="E5687" s="1038" t="s">
        <v>54</v>
      </c>
      <c r="F5687" s="1562" t="s">
        <v>526</v>
      </c>
      <c r="G5687" s="1563"/>
      <c r="H5687" s="1038" t="s">
        <v>11353</v>
      </c>
    </row>
    <row r="5688" spans="2:8">
      <c r="B5688" s="1560">
        <v>46292</v>
      </c>
      <c r="C5688" s="1038" t="s">
        <v>11339</v>
      </c>
      <c r="D5688" s="1038" t="s">
        <v>1375</v>
      </c>
      <c r="E5688" s="1038" t="s">
        <v>54</v>
      </c>
      <c r="F5688" s="1562" t="s">
        <v>527</v>
      </c>
      <c r="G5688" s="1563"/>
      <c r="H5688" s="1038" t="s">
        <v>11354</v>
      </c>
    </row>
    <row r="5689" spans="2:8">
      <c r="B5689" s="1560">
        <v>46292</v>
      </c>
      <c r="C5689" s="1038" t="s">
        <v>11339</v>
      </c>
      <c r="D5689" s="1038" t="s">
        <v>1375</v>
      </c>
      <c r="E5689" s="1038" t="s">
        <v>54</v>
      </c>
      <c r="F5689" s="1562" t="s">
        <v>528</v>
      </c>
      <c r="G5689" s="1563"/>
      <c r="H5689" s="1038" t="s">
        <v>11355</v>
      </c>
    </row>
    <row r="5690" spans="2:8">
      <c r="B5690" s="1560">
        <v>46292</v>
      </c>
      <c r="C5690" s="1038" t="s">
        <v>11339</v>
      </c>
      <c r="D5690" s="1038" t="s">
        <v>1376</v>
      </c>
      <c r="E5690" s="1038" t="s">
        <v>1384</v>
      </c>
      <c r="F5690" s="1562" t="s">
        <v>526</v>
      </c>
      <c r="G5690" s="1563">
        <v>0.4</v>
      </c>
      <c r="H5690" s="1038" t="s">
        <v>11356</v>
      </c>
    </row>
    <row r="5691" spans="2:8">
      <c r="B5691" s="1560">
        <v>46292</v>
      </c>
      <c r="C5691" s="1038" t="s">
        <v>11339</v>
      </c>
      <c r="D5691" s="1038" t="s">
        <v>1376</v>
      </c>
      <c r="E5691" s="1038" t="s">
        <v>1384</v>
      </c>
      <c r="F5691" s="1562" t="s">
        <v>527</v>
      </c>
      <c r="G5691" s="1563">
        <v>0.5</v>
      </c>
      <c r="H5691" s="1038" t="s">
        <v>11357</v>
      </c>
    </row>
    <row r="5692" spans="2:8">
      <c r="B5692" s="1560">
        <v>46292</v>
      </c>
      <c r="C5692" s="1038" t="s">
        <v>11339</v>
      </c>
      <c r="D5692" s="1038" t="s">
        <v>1376</v>
      </c>
      <c r="E5692" s="1038" t="s">
        <v>1384</v>
      </c>
      <c r="F5692" s="1562" t="s">
        <v>528</v>
      </c>
      <c r="G5692" s="1563">
        <v>0.36</v>
      </c>
      <c r="H5692" s="1038" t="s">
        <v>11358</v>
      </c>
    </row>
    <row r="5693" spans="2:8">
      <c r="B5693" s="1560">
        <v>46292</v>
      </c>
      <c r="C5693" s="1038" t="s">
        <v>11339</v>
      </c>
      <c r="D5693" s="1038" t="s">
        <v>1375</v>
      </c>
      <c r="E5693" s="1038" t="s">
        <v>1385</v>
      </c>
      <c r="F5693" s="1562" t="s">
        <v>526</v>
      </c>
      <c r="G5693" s="1563">
        <v>2085</v>
      </c>
      <c r="H5693" s="1038" t="s">
        <v>11359</v>
      </c>
    </row>
    <row r="5694" spans="2:8">
      <c r="B5694" s="1560">
        <v>46292</v>
      </c>
      <c r="C5694" s="1038" t="s">
        <v>11339</v>
      </c>
      <c r="D5694" s="1038" t="s">
        <v>1375</v>
      </c>
      <c r="E5694" s="1038" t="s">
        <v>1385</v>
      </c>
      <c r="F5694" s="1562" t="s">
        <v>527</v>
      </c>
      <c r="G5694" s="1563">
        <v>3200</v>
      </c>
      <c r="H5694" s="1038" t="s">
        <v>11360</v>
      </c>
    </row>
    <row r="5695" spans="2:8">
      <c r="B5695" s="1560">
        <v>46292</v>
      </c>
      <c r="C5695" s="1038" t="s">
        <v>11339</v>
      </c>
      <c r="D5695" s="1038" t="s">
        <v>1375</v>
      </c>
      <c r="E5695" s="1038" t="s">
        <v>1385</v>
      </c>
      <c r="F5695" s="1562" t="s">
        <v>528</v>
      </c>
      <c r="G5695" s="1563">
        <v>4623</v>
      </c>
      <c r="H5695" s="1038" t="s">
        <v>11361</v>
      </c>
    </row>
    <row r="5696" spans="2:8">
      <c r="B5696" s="1560">
        <v>46292</v>
      </c>
      <c r="C5696" s="1038" t="s">
        <v>11339</v>
      </c>
      <c r="D5696" s="1038" t="s">
        <v>1376</v>
      </c>
      <c r="E5696" s="1038" t="s">
        <v>1386</v>
      </c>
      <c r="F5696" s="1562" t="s">
        <v>526</v>
      </c>
      <c r="G5696" s="1563">
        <v>0.5</v>
      </c>
      <c r="H5696" s="1038" t="s">
        <v>11362</v>
      </c>
    </row>
    <row r="5697" spans="2:8">
      <c r="B5697" s="1560">
        <v>46292</v>
      </c>
      <c r="C5697" s="1038" t="s">
        <v>11339</v>
      </c>
      <c r="D5697" s="1038" t="s">
        <v>1376</v>
      </c>
      <c r="E5697" s="1038" t="s">
        <v>1386</v>
      </c>
      <c r="F5697" s="1562" t="s">
        <v>527</v>
      </c>
      <c r="G5697" s="1563">
        <v>0.4</v>
      </c>
      <c r="H5697" s="1038" t="s">
        <v>11363</v>
      </c>
    </row>
    <row r="5698" spans="2:8">
      <c r="B5698" s="1560">
        <v>46292</v>
      </c>
      <c r="C5698" s="1038" t="s">
        <v>11339</v>
      </c>
      <c r="D5698" s="1038" t="s">
        <v>1376</v>
      </c>
      <c r="E5698" s="1038" t="s">
        <v>1386</v>
      </c>
      <c r="F5698" s="1562" t="s">
        <v>528</v>
      </c>
      <c r="G5698" s="1563">
        <v>0.4</v>
      </c>
      <c r="H5698" s="1038" t="s">
        <v>11364</v>
      </c>
    </row>
    <row r="5699" spans="2:8">
      <c r="B5699" s="1560">
        <v>46292</v>
      </c>
      <c r="C5699" s="1038" t="s">
        <v>11339</v>
      </c>
      <c r="D5699" s="1038" t="s">
        <v>1376</v>
      </c>
      <c r="E5699" s="1038" t="s">
        <v>1387</v>
      </c>
      <c r="F5699" s="1562" t="s">
        <v>526</v>
      </c>
      <c r="G5699" s="1563">
        <v>8.4</v>
      </c>
      <c r="H5699" s="1038" t="s">
        <v>11365</v>
      </c>
    </row>
    <row r="5700" spans="2:8">
      <c r="B5700" s="1560">
        <v>46292</v>
      </c>
      <c r="C5700" s="1038" t="s">
        <v>11339</v>
      </c>
      <c r="D5700" s="1038" t="s">
        <v>1376</v>
      </c>
      <c r="E5700" s="1038" t="s">
        <v>1387</v>
      </c>
      <c r="F5700" s="1562" t="s">
        <v>527</v>
      </c>
      <c r="G5700" s="1563">
        <v>8.4</v>
      </c>
      <c r="H5700" s="1038" t="s">
        <v>11366</v>
      </c>
    </row>
    <row r="5701" spans="2:8">
      <c r="B5701" s="1560">
        <v>46292</v>
      </c>
      <c r="C5701" s="1038" t="s">
        <v>11339</v>
      </c>
      <c r="D5701" s="1038" t="s">
        <v>1376</v>
      </c>
      <c r="E5701" s="1038" t="s">
        <v>1387</v>
      </c>
      <c r="F5701" s="1562" t="s">
        <v>528</v>
      </c>
      <c r="G5701" s="1563">
        <v>8.1999999999999993</v>
      </c>
      <c r="H5701" s="1038" t="s">
        <v>11367</v>
      </c>
    </row>
    <row r="5702" spans="2:8">
      <c r="B5702" s="1560">
        <v>46292</v>
      </c>
      <c r="C5702" s="1038" t="s">
        <v>11339</v>
      </c>
      <c r="D5702" s="1038" t="s">
        <v>1375</v>
      </c>
      <c r="E5702" s="1038" t="s">
        <v>1388</v>
      </c>
      <c r="F5702" s="1562" t="s">
        <v>526</v>
      </c>
      <c r="G5702" s="1563"/>
      <c r="H5702" s="1038" t="s">
        <v>11368</v>
      </c>
    </row>
    <row r="5703" spans="2:8">
      <c r="B5703" s="1560">
        <v>46292</v>
      </c>
      <c r="C5703" s="1038" t="s">
        <v>11339</v>
      </c>
      <c r="D5703" s="1038" t="s">
        <v>1375</v>
      </c>
      <c r="E5703" s="1038" t="s">
        <v>1388</v>
      </c>
      <c r="F5703" s="1562" t="s">
        <v>527</v>
      </c>
      <c r="G5703" s="1563"/>
      <c r="H5703" s="1038" t="s">
        <v>11369</v>
      </c>
    </row>
    <row r="5704" spans="2:8">
      <c r="B5704" s="1560">
        <v>46292</v>
      </c>
      <c r="C5704" s="1038" t="s">
        <v>11339</v>
      </c>
      <c r="D5704" s="1038" t="s">
        <v>1375</v>
      </c>
      <c r="E5704" s="1038" t="s">
        <v>1388</v>
      </c>
      <c r="F5704" s="1562" t="s">
        <v>528</v>
      </c>
      <c r="G5704" s="1563"/>
      <c r="H5704" s="1038" t="s">
        <v>11370</v>
      </c>
    </row>
    <row r="5705" spans="2:8">
      <c r="B5705" s="1560">
        <v>46292</v>
      </c>
      <c r="C5705" s="1038" t="s">
        <v>11339</v>
      </c>
      <c r="D5705" s="1038" t="s">
        <v>1376</v>
      </c>
      <c r="E5705" s="1038" t="s">
        <v>1389</v>
      </c>
      <c r="F5705" s="1562" t="s">
        <v>526</v>
      </c>
      <c r="G5705" s="1563">
        <v>61.4</v>
      </c>
      <c r="H5705" s="1038" t="s">
        <v>11371</v>
      </c>
    </row>
    <row r="5706" spans="2:8">
      <c r="B5706" s="1560">
        <v>46292</v>
      </c>
      <c r="C5706" s="1038" t="s">
        <v>11339</v>
      </c>
      <c r="D5706" s="1038" t="s">
        <v>1376</v>
      </c>
      <c r="E5706" s="1038" t="s">
        <v>1389</v>
      </c>
      <c r="F5706" s="1562" t="s">
        <v>527</v>
      </c>
      <c r="G5706" s="1563">
        <v>63.9</v>
      </c>
      <c r="H5706" s="1038" t="s">
        <v>11372</v>
      </c>
    </row>
    <row r="5707" spans="2:8">
      <c r="B5707" s="1560">
        <v>46292</v>
      </c>
      <c r="C5707" s="1038" t="s">
        <v>11339</v>
      </c>
      <c r="D5707" s="1038" t="s">
        <v>1376</v>
      </c>
      <c r="E5707" s="1038" t="s">
        <v>1389</v>
      </c>
      <c r="F5707" s="1562" t="s">
        <v>528</v>
      </c>
      <c r="G5707" s="1563">
        <v>66.7</v>
      </c>
      <c r="H5707" s="1038" t="s">
        <v>11373</v>
      </c>
    </row>
    <row r="5708" spans="2:8">
      <c r="B5708" s="1560">
        <v>46292</v>
      </c>
      <c r="C5708" s="1038" t="s">
        <v>11339</v>
      </c>
      <c r="D5708" s="1038" t="s">
        <v>1375</v>
      </c>
      <c r="E5708" s="1038" t="s">
        <v>3266</v>
      </c>
      <c r="F5708" s="1562" t="s">
        <v>526</v>
      </c>
      <c r="G5708" s="1563">
        <v>4</v>
      </c>
      <c r="H5708" s="1038" t="s">
        <v>11374</v>
      </c>
    </row>
    <row r="5709" spans="2:8">
      <c r="B5709" s="1560">
        <v>46292</v>
      </c>
      <c r="C5709" s="1038" t="s">
        <v>11339</v>
      </c>
      <c r="D5709" s="1038" t="s">
        <v>1375</v>
      </c>
      <c r="E5709" s="1038" t="s">
        <v>3266</v>
      </c>
      <c r="F5709" s="1562" t="s">
        <v>527</v>
      </c>
      <c r="G5709" s="1563">
        <v>2</v>
      </c>
      <c r="H5709" s="1038" t="s">
        <v>11375</v>
      </c>
    </row>
    <row r="5710" spans="2:8">
      <c r="B5710" s="1560">
        <v>46292</v>
      </c>
      <c r="C5710" s="1038" t="s">
        <v>11339</v>
      </c>
      <c r="D5710" s="1038" t="s">
        <v>1375</v>
      </c>
      <c r="E5710" s="1038" t="s">
        <v>3266</v>
      </c>
      <c r="F5710" s="1562" t="s">
        <v>528</v>
      </c>
      <c r="G5710" s="1563">
        <v>4</v>
      </c>
      <c r="H5710" s="1038" t="s">
        <v>11376</v>
      </c>
    </row>
    <row r="5711" spans="2:8">
      <c r="B5711" s="1560">
        <v>46292</v>
      </c>
      <c r="C5711" s="1038" t="s">
        <v>11339</v>
      </c>
      <c r="D5711" s="1038" t="s">
        <v>1376</v>
      </c>
      <c r="E5711" s="1038" t="s">
        <v>1390</v>
      </c>
      <c r="F5711" s="1562" t="s">
        <v>526</v>
      </c>
      <c r="G5711" s="1563">
        <v>1.8500000000000001E-3</v>
      </c>
      <c r="H5711" s="1038" t="s">
        <v>11377</v>
      </c>
    </row>
    <row r="5712" spans="2:8">
      <c r="B5712" s="1560">
        <v>46292</v>
      </c>
      <c r="C5712" s="1038" t="s">
        <v>11339</v>
      </c>
      <c r="D5712" s="1038" t="s">
        <v>1376</v>
      </c>
      <c r="E5712" s="1038" t="s">
        <v>1390</v>
      </c>
      <c r="F5712" s="1562" t="s">
        <v>527</v>
      </c>
      <c r="G5712" s="1563">
        <v>2.0300000000000001E-3</v>
      </c>
      <c r="H5712" s="1038" t="s">
        <v>11378</v>
      </c>
    </row>
    <row r="5713" spans="2:8">
      <c r="B5713" s="1560">
        <v>46292</v>
      </c>
      <c r="C5713" s="1038" t="s">
        <v>11339</v>
      </c>
      <c r="D5713" s="1038" t="s">
        <v>1376</v>
      </c>
      <c r="E5713" s="1038" t="s">
        <v>1390</v>
      </c>
      <c r="F5713" s="1562" t="s">
        <v>528</v>
      </c>
      <c r="G5713" s="1563">
        <v>2.1900000000000001E-3</v>
      </c>
      <c r="H5713" s="1038" t="s">
        <v>11379</v>
      </c>
    </row>
    <row r="5714" spans="2:8">
      <c r="B5714" s="1560">
        <v>46292</v>
      </c>
      <c r="C5714" s="1038" t="s">
        <v>11339</v>
      </c>
      <c r="D5714" s="1038" t="s">
        <v>1375</v>
      </c>
      <c r="E5714" s="1038" t="s">
        <v>3273</v>
      </c>
      <c r="F5714" s="1562" t="s">
        <v>526</v>
      </c>
      <c r="G5714" s="1563">
        <v>1</v>
      </c>
      <c r="H5714" s="1038" t="s">
        <v>11380</v>
      </c>
    </row>
    <row r="5715" spans="2:8">
      <c r="B5715" s="1560">
        <v>46292</v>
      </c>
      <c r="C5715" s="1038" t="s">
        <v>11339</v>
      </c>
      <c r="D5715" s="1038" t="s">
        <v>1375</v>
      </c>
      <c r="E5715" s="1038" t="s">
        <v>3273</v>
      </c>
      <c r="F5715" s="1562" t="s">
        <v>527</v>
      </c>
      <c r="G5715" s="1563">
        <v>2</v>
      </c>
      <c r="H5715" s="1038" t="s">
        <v>11381</v>
      </c>
    </row>
    <row r="5716" spans="2:8">
      <c r="B5716" s="1560">
        <v>46292</v>
      </c>
      <c r="C5716" s="1038" t="s">
        <v>11339</v>
      </c>
      <c r="D5716" s="1038" t="s">
        <v>1375</v>
      </c>
      <c r="E5716" s="1038" t="s">
        <v>3273</v>
      </c>
      <c r="F5716" s="1562" t="s">
        <v>528</v>
      </c>
      <c r="G5716" s="1563">
        <v>2</v>
      </c>
      <c r="H5716" s="1038" t="s">
        <v>11382</v>
      </c>
    </row>
    <row r="5717" spans="2:8">
      <c r="B5717" s="1560">
        <v>46292</v>
      </c>
      <c r="C5717" s="1038" t="s">
        <v>11339</v>
      </c>
      <c r="D5717" s="1038" t="s">
        <v>1376</v>
      </c>
      <c r="E5717" s="1038" t="s">
        <v>1391</v>
      </c>
      <c r="F5717" s="1562" t="s">
        <v>526</v>
      </c>
      <c r="G5717" s="1563"/>
      <c r="H5717" s="1038" t="s">
        <v>11383</v>
      </c>
    </row>
    <row r="5718" spans="2:8">
      <c r="B5718" s="1560">
        <v>46292</v>
      </c>
      <c r="C5718" s="1038" t="s">
        <v>11339</v>
      </c>
      <c r="D5718" s="1038" t="s">
        <v>1376</v>
      </c>
      <c r="E5718" s="1038" t="s">
        <v>1391</v>
      </c>
      <c r="F5718" s="1562" t="s">
        <v>527</v>
      </c>
      <c r="G5718" s="1563"/>
      <c r="H5718" s="1038" t="s">
        <v>11384</v>
      </c>
    </row>
    <row r="5719" spans="2:8">
      <c r="B5719" s="1560">
        <v>46292</v>
      </c>
      <c r="C5719" s="1038" t="s">
        <v>11339</v>
      </c>
      <c r="D5719" s="1038" t="s">
        <v>1376</v>
      </c>
      <c r="E5719" s="1038" t="s">
        <v>1391</v>
      </c>
      <c r="F5719" s="1562" t="s">
        <v>528</v>
      </c>
      <c r="G5719" s="1563">
        <v>7163</v>
      </c>
      <c r="H5719" s="1038" t="s">
        <v>11385</v>
      </c>
    </row>
    <row r="5720" spans="2:8">
      <c r="B5720" s="1560">
        <v>46292</v>
      </c>
      <c r="C5720" s="1038" t="s">
        <v>11339</v>
      </c>
      <c r="D5720" s="1038" t="s">
        <v>1375</v>
      </c>
      <c r="E5720" s="1038" t="s">
        <v>3280</v>
      </c>
      <c r="F5720" s="1562" t="s">
        <v>526</v>
      </c>
      <c r="G5720" s="1563">
        <v>3</v>
      </c>
      <c r="H5720" s="1038" t="s">
        <v>11386</v>
      </c>
    </row>
    <row r="5721" spans="2:8">
      <c r="B5721" s="1560">
        <v>46292</v>
      </c>
      <c r="C5721" s="1038" t="s">
        <v>11339</v>
      </c>
      <c r="D5721" s="1038" t="s">
        <v>1375</v>
      </c>
      <c r="E5721" s="1038" t="s">
        <v>3280</v>
      </c>
      <c r="F5721" s="1562" t="s">
        <v>527</v>
      </c>
      <c r="G5721" s="1563">
        <v>3</v>
      </c>
      <c r="H5721" s="1038" t="s">
        <v>11387</v>
      </c>
    </row>
    <row r="5722" spans="2:8">
      <c r="B5722" s="1560">
        <v>46292</v>
      </c>
      <c r="C5722" s="1038" t="s">
        <v>11339</v>
      </c>
      <c r="D5722" s="1038" t="s">
        <v>1375</v>
      </c>
      <c r="E5722" s="1038" t="s">
        <v>3280</v>
      </c>
      <c r="F5722" s="1562" t="s">
        <v>528</v>
      </c>
      <c r="G5722" s="1563">
        <v>2</v>
      </c>
      <c r="H5722" s="1038" t="s">
        <v>11388</v>
      </c>
    </row>
    <row r="5723" spans="2:8">
      <c r="B5723" s="1560">
        <v>46292</v>
      </c>
      <c r="C5723" s="1038" t="s">
        <v>11339</v>
      </c>
      <c r="D5723" s="1038" t="s">
        <v>1376</v>
      </c>
      <c r="E5723" s="1038" t="s">
        <v>1392</v>
      </c>
      <c r="F5723" s="1562" t="s">
        <v>526</v>
      </c>
      <c r="G5723" s="1563">
        <v>7163</v>
      </c>
      <c r="H5723" s="1038" t="s">
        <v>11389</v>
      </c>
    </row>
    <row r="5724" spans="2:8">
      <c r="B5724" s="1560">
        <v>46292</v>
      </c>
      <c r="C5724" s="1038" t="s">
        <v>11339</v>
      </c>
      <c r="D5724" s="1038" t="s">
        <v>1376</v>
      </c>
      <c r="E5724" s="1038" t="s">
        <v>1392</v>
      </c>
      <c r="F5724" s="1562" t="s">
        <v>527</v>
      </c>
      <c r="G5724" s="1563"/>
      <c r="H5724" s="1038" t="s">
        <v>11390</v>
      </c>
    </row>
    <row r="5725" spans="2:8">
      <c r="B5725" s="1560">
        <v>46292</v>
      </c>
      <c r="C5725" s="1038" t="s">
        <v>11339</v>
      </c>
      <c r="D5725" s="1038" t="s">
        <v>1376</v>
      </c>
      <c r="E5725" s="1038" t="s">
        <v>1392</v>
      </c>
      <c r="F5725" s="1562" t="s">
        <v>528</v>
      </c>
      <c r="G5725" s="1563"/>
      <c r="H5725" s="1038" t="s">
        <v>11391</v>
      </c>
    </row>
    <row r="5726" spans="2:8">
      <c r="B5726" s="1560">
        <v>46292</v>
      </c>
      <c r="C5726" s="1038" t="s">
        <v>11339</v>
      </c>
      <c r="D5726" s="1038" t="s">
        <v>1375</v>
      </c>
      <c r="E5726" s="1038" t="s">
        <v>3287</v>
      </c>
      <c r="F5726" s="1562" t="s">
        <v>526</v>
      </c>
      <c r="G5726" s="1563">
        <v>4</v>
      </c>
      <c r="H5726" s="1038" t="s">
        <v>11392</v>
      </c>
    </row>
    <row r="5727" spans="2:8">
      <c r="B5727" s="1560">
        <v>46292</v>
      </c>
      <c r="C5727" s="1038" t="s">
        <v>11339</v>
      </c>
      <c r="D5727" s="1038" t="s">
        <v>1375</v>
      </c>
      <c r="E5727" s="1038" t="s">
        <v>3287</v>
      </c>
      <c r="F5727" s="1562" t="s">
        <v>527</v>
      </c>
      <c r="G5727" s="1563">
        <v>4</v>
      </c>
      <c r="H5727" s="1038" t="s">
        <v>11393</v>
      </c>
    </row>
    <row r="5728" spans="2:8">
      <c r="B5728" s="1560">
        <v>46292</v>
      </c>
      <c r="C5728" s="1038" t="s">
        <v>11339</v>
      </c>
      <c r="D5728" s="1038" t="s">
        <v>1375</v>
      </c>
      <c r="E5728" s="1038" t="s">
        <v>3287</v>
      </c>
      <c r="F5728" s="1562" t="s">
        <v>528</v>
      </c>
      <c r="G5728" s="1563">
        <v>2</v>
      </c>
      <c r="H5728" s="1038" t="s">
        <v>11394</v>
      </c>
    </row>
    <row r="5729" spans="2:8">
      <c r="B5729" s="1560">
        <v>46292</v>
      </c>
      <c r="C5729" s="1038" t="s">
        <v>11339</v>
      </c>
      <c r="D5729" s="1038" t="s">
        <v>1376</v>
      </c>
      <c r="E5729" s="1038" t="s">
        <v>453</v>
      </c>
      <c r="F5729" s="1562" t="s">
        <v>526</v>
      </c>
      <c r="G5729" s="1563"/>
      <c r="H5729" s="1038" t="s">
        <v>11395</v>
      </c>
    </row>
    <row r="5730" spans="2:8">
      <c r="B5730" s="1560">
        <v>46292</v>
      </c>
      <c r="C5730" s="1038" t="s">
        <v>11339</v>
      </c>
      <c r="D5730" s="1038" t="s">
        <v>1376</v>
      </c>
      <c r="E5730" s="1038" t="s">
        <v>453</v>
      </c>
      <c r="F5730" s="1562" t="s">
        <v>527</v>
      </c>
      <c r="G5730" s="1563"/>
      <c r="H5730" s="1038" t="s">
        <v>11396</v>
      </c>
    </row>
    <row r="5731" spans="2:8">
      <c r="B5731" s="1560">
        <v>46292</v>
      </c>
      <c r="C5731" s="1038" t="s">
        <v>11339</v>
      </c>
      <c r="D5731" s="1038" t="s">
        <v>1376</v>
      </c>
      <c r="E5731" s="1038" t="s">
        <v>453</v>
      </c>
      <c r="F5731" s="1562" t="s">
        <v>528</v>
      </c>
      <c r="G5731" s="1563"/>
      <c r="H5731" s="1038" t="s">
        <v>11397</v>
      </c>
    </row>
    <row r="5732" spans="2:8">
      <c r="B5732" s="1560">
        <v>46292</v>
      </c>
      <c r="C5732" s="1038" t="s">
        <v>11339</v>
      </c>
      <c r="D5732" s="1038" t="s">
        <v>1375</v>
      </c>
      <c r="E5732" s="1038" t="s">
        <v>3291</v>
      </c>
      <c r="F5732" s="1562" t="s">
        <v>526</v>
      </c>
      <c r="G5732" s="1563">
        <v>4</v>
      </c>
      <c r="H5732" s="1038" t="s">
        <v>11398</v>
      </c>
    </row>
    <row r="5733" spans="2:8">
      <c r="B5733" s="1560">
        <v>46292</v>
      </c>
      <c r="C5733" s="1038" t="s">
        <v>11339</v>
      </c>
      <c r="D5733" s="1038" t="s">
        <v>1375</v>
      </c>
      <c r="E5733" s="1038" t="s">
        <v>3291</v>
      </c>
      <c r="F5733" s="1562" t="s">
        <v>527</v>
      </c>
      <c r="G5733" s="1563">
        <v>4</v>
      </c>
      <c r="H5733" s="1038" t="s">
        <v>11399</v>
      </c>
    </row>
    <row r="5734" spans="2:8">
      <c r="B5734" s="1560">
        <v>46292</v>
      </c>
      <c r="C5734" s="1038" t="s">
        <v>11339</v>
      </c>
      <c r="D5734" s="1038" t="s">
        <v>1375</v>
      </c>
      <c r="E5734" s="1038" t="s">
        <v>3291</v>
      </c>
      <c r="F5734" s="1562" t="s">
        <v>528</v>
      </c>
      <c r="G5734" s="1563">
        <v>3</v>
      </c>
      <c r="H5734" s="1038" t="s">
        <v>11400</v>
      </c>
    </row>
    <row r="5735" spans="2:8">
      <c r="B5735" s="1560">
        <v>46292</v>
      </c>
      <c r="C5735" s="1038" t="s">
        <v>11339</v>
      </c>
      <c r="D5735" s="1038" t="s">
        <v>1376</v>
      </c>
      <c r="E5735" s="1038" t="s">
        <v>1394</v>
      </c>
      <c r="F5735" s="1562" t="s">
        <v>526</v>
      </c>
      <c r="G5735" s="1564" t="s">
        <v>11401</v>
      </c>
      <c r="H5735" s="1038" t="s">
        <v>11402</v>
      </c>
    </row>
    <row r="5736" spans="2:8">
      <c r="B5736" s="1560">
        <v>46292</v>
      </c>
      <c r="C5736" s="1038" t="s">
        <v>11339</v>
      </c>
      <c r="D5736" s="1038" t="s">
        <v>1376</v>
      </c>
      <c r="E5736" s="1038" t="s">
        <v>1394</v>
      </c>
      <c r="F5736" s="1562" t="s">
        <v>527</v>
      </c>
      <c r="G5736" s="1564" t="s">
        <v>11401</v>
      </c>
      <c r="H5736" s="1038" t="s">
        <v>11403</v>
      </c>
    </row>
    <row r="5737" spans="2:8">
      <c r="B5737" s="1560">
        <v>46292</v>
      </c>
      <c r="C5737" s="1038" t="s">
        <v>11339</v>
      </c>
      <c r="D5737" s="1038" t="s">
        <v>1376</v>
      </c>
      <c r="E5737" s="1038" t="s">
        <v>1394</v>
      </c>
      <c r="F5737" s="1562" t="s">
        <v>528</v>
      </c>
      <c r="G5737" s="1564" t="s">
        <v>11404</v>
      </c>
      <c r="H5737" s="1038" t="s">
        <v>11405</v>
      </c>
    </row>
    <row r="5738" spans="2:8">
      <c r="B5738" s="1560">
        <v>46292</v>
      </c>
      <c r="C5738" s="1038" t="s">
        <v>11339</v>
      </c>
      <c r="D5738" s="1038" t="s">
        <v>1375</v>
      </c>
      <c r="E5738" s="1038" t="s">
        <v>3298</v>
      </c>
      <c r="F5738" s="1562" t="s">
        <v>526</v>
      </c>
      <c r="G5738" s="1563">
        <v>4</v>
      </c>
      <c r="H5738" s="1038" t="s">
        <v>11406</v>
      </c>
    </row>
    <row r="5739" spans="2:8">
      <c r="B5739" s="1560">
        <v>46292</v>
      </c>
      <c r="C5739" s="1038" t="s">
        <v>11339</v>
      </c>
      <c r="D5739" s="1038" t="s">
        <v>1375</v>
      </c>
      <c r="E5739" s="1038" t="s">
        <v>3298</v>
      </c>
      <c r="F5739" s="1562" t="s">
        <v>527</v>
      </c>
      <c r="G5739" s="1563">
        <v>3</v>
      </c>
      <c r="H5739" s="1038" t="s">
        <v>11407</v>
      </c>
    </row>
    <row r="5740" spans="2:8">
      <c r="B5740" s="1560">
        <v>46292</v>
      </c>
      <c r="C5740" s="1038" t="s">
        <v>11339</v>
      </c>
      <c r="D5740" s="1038" t="s">
        <v>1375</v>
      </c>
      <c r="E5740" s="1038" t="s">
        <v>3298</v>
      </c>
      <c r="F5740" s="1562" t="s">
        <v>528</v>
      </c>
      <c r="G5740" s="1563">
        <v>2</v>
      </c>
      <c r="H5740" s="1038" t="s">
        <v>11408</v>
      </c>
    </row>
    <row r="5741" spans="2:8">
      <c r="B5741" s="1560">
        <v>46292</v>
      </c>
      <c r="C5741" s="1038" t="s">
        <v>11339</v>
      </c>
      <c r="D5741" s="1038" t="s">
        <v>1376</v>
      </c>
      <c r="E5741" s="1038" t="s">
        <v>1398</v>
      </c>
      <c r="F5741" s="1562" t="s">
        <v>526</v>
      </c>
      <c r="G5741" s="1563">
        <v>12</v>
      </c>
      <c r="H5741" s="1038" t="s">
        <v>11409</v>
      </c>
    </row>
    <row r="5742" spans="2:8">
      <c r="B5742" s="1560">
        <v>46292</v>
      </c>
      <c r="C5742" s="1038" t="s">
        <v>11339</v>
      </c>
      <c r="D5742" s="1038" t="s">
        <v>1376</v>
      </c>
      <c r="E5742" s="1038" t="s">
        <v>1398</v>
      </c>
      <c r="F5742" s="1562" t="s">
        <v>527</v>
      </c>
      <c r="G5742" s="1563">
        <v>12</v>
      </c>
      <c r="H5742" s="1038" t="s">
        <v>11410</v>
      </c>
    </row>
    <row r="5743" spans="2:8">
      <c r="B5743" s="1560">
        <v>46292</v>
      </c>
      <c r="C5743" s="1038" t="s">
        <v>11339</v>
      </c>
      <c r="D5743" s="1038" t="s">
        <v>1376</v>
      </c>
      <c r="E5743" s="1038" t="s">
        <v>1398</v>
      </c>
      <c r="F5743" s="1562" t="s">
        <v>528</v>
      </c>
      <c r="G5743" s="1563">
        <v>12</v>
      </c>
      <c r="H5743" s="1038" t="s">
        <v>11411</v>
      </c>
    </row>
    <row r="5744" spans="2:8">
      <c r="B5744" s="1560">
        <v>46292</v>
      </c>
      <c r="C5744" s="1038" t="s">
        <v>11339</v>
      </c>
      <c r="D5744" s="1038" t="s">
        <v>1375</v>
      </c>
      <c r="E5744" s="1038" t="s">
        <v>3305</v>
      </c>
      <c r="F5744" s="1562" t="s">
        <v>526</v>
      </c>
      <c r="G5744" s="1563">
        <v>3</v>
      </c>
      <c r="H5744" s="1038" t="s">
        <v>11412</v>
      </c>
    </row>
    <row r="5745" spans="2:8">
      <c r="B5745" s="1560">
        <v>46292</v>
      </c>
      <c r="C5745" s="1038" t="s">
        <v>11339</v>
      </c>
      <c r="D5745" s="1038" t="s">
        <v>1375</v>
      </c>
      <c r="E5745" s="1038" t="s">
        <v>3305</v>
      </c>
      <c r="F5745" s="1562" t="s">
        <v>527</v>
      </c>
      <c r="G5745" s="1563">
        <v>3</v>
      </c>
      <c r="H5745" s="1038" t="s">
        <v>11413</v>
      </c>
    </row>
    <row r="5746" spans="2:8">
      <c r="B5746" s="1560">
        <v>46292</v>
      </c>
      <c r="C5746" s="1038" t="s">
        <v>11339</v>
      </c>
      <c r="D5746" s="1038" t="s">
        <v>1375</v>
      </c>
      <c r="E5746" s="1038" t="s">
        <v>3305</v>
      </c>
      <c r="F5746" s="1562" t="s">
        <v>528</v>
      </c>
      <c r="G5746" s="1563">
        <v>3</v>
      </c>
      <c r="H5746" s="1038" t="s">
        <v>11414</v>
      </c>
    </row>
    <row r="5747" spans="2:8">
      <c r="B5747" s="1560">
        <v>46292</v>
      </c>
      <c r="C5747" s="1038" t="s">
        <v>11339</v>
      </c>
      <c r="D5747" s="1038" t="s">
        <v>1376</v>
      </c>
      <c r="E5747" s="1038" t="s">
        <v>1399</v>
      </c>
      <c r="F5747" s="1562" t="s">
        <v>526</v>
      </c>
      <c r="G5747" s="1563">
        <v>13</v>
      </c>
      <c r="H5747" s="1038" t="s">
        <v>11415</v>
      </c>
    </row>
    <row r="5748" spans="2:8">
      <c r="B5748" s="1560">
        <v>46292</v>
      </c>
      <c r="C5748" s="1038" t="s">
        <v>11339</v>
      </c>
      <c r="D5748" s="1038" t="s">
        <v>1376</v>
      </c>
      <c r="E5748" s="1038" t="s">
        <v>1399</v>
      </c>
      <c r="F5748" s="1562" t="s">
        <v>527</v>
      </c>
      <c r="G5748" s="1563">
        <v>13</v>
      </c>
      <c r="H5748" s="1038" t="s">
        <v>11416</v>
      </c>
    </row>
    <row r="5749" spans="2:8">
      <c r="B5749" s="1560">
        <v>46292</v>
      </c>
      <c r="C5749" s="1038" t="s">
        <v>11339</v>
      </c>
      <c r="D5749" s="1038" t="s">
        <v>1376</v>
      </c>
      <c r="E5749" s="1038" t="s">
        <v>1399</v>
      </c>
      <c r="F5749" s="1562" t="s">
        <v>528</v>
      </c>
      <c r="G5749" s="1563">
        <v>13</v>
      </c>
      <c r="H5749" s="1038" t="s">
        <v>11417</v>
      </c>
    </row>
    <row r="5750" spans="2:8">
      <c r="B5750" s="1560">
        <v>46292</v>
      </c>
      <c r="C5750" s="1038" t="s">
        <v>11339</v>
      </c>
      <c r="D5750" s="1038" t="s">
        <v>1375</v>
      </c>
      <c r="E5750" s="1038" t="s">
        <v>3312</v>
      </c>
      <c r="F5750" s="1562" t="s">
        <v>526</v>
      </c>
      <c r="G5750" s="1563">
        <v>2</v>
      </c>
      <c r="H5750" s="1038" t="s">
        <v>11418</v>
      </c>
    </row>
    <row r="5751" spans="2:8">
      <c r="B5751" s="1560">
        <v>46292</v>
      </c>
      <c r="C5751" s="1038" t="s">
        <v>11339</v>
      </c>
      <c r="D5751" s="1038" t="s">
        <v>1375</v>
      </c>
      <c r="E5751" s="1038" t="s">
        <v>3312</v>
      </c>
      <c r="F5751" s="1562" t="s">
        <v>527</v>
      </c>
      <c r="G5751" s="1563">
        <v>3</v>
      </c>
      <c r="H5751" s="1038" t="s">
        <v>11419</v>
      </c>
    </row>
    <row r="5752" spans="2:8">
      <c r="B5752" s="1560">
        <v>46292</v>
      </c>
      <c r="C5752" s="1038" t="s">
        <v>11339</v>
      </c>
      <c r="D5752" s="1038" t="s">
        <v>1375</v>
      </c>
      <c r="E5752" s="1038" t="s">
        <v>3312</v>
      </c>
      <c r="F5752" s="1562" t="s">
        <v>528</v>
      </c>
      <c r="G5752" s="1563">
        <v>3</v>
      </c>
      <c r="H5752" s="1038" t="s">
        <v>11420</v>
      </c>
    </row>
    <row r="5753" spans="2:8">
      <c r="B5753" s="1560">
        <v>46292</v>
      </c>
      <c r="C5753" s="1038" t="s">
        <v>11339</v>
      </c>
      <c r="D5753" s="1038" t="s">
        <v>1376</v>
      </c>
      <c r="E5753" s="1038" t="s">
        <v>1400</v>
      </c>
      <c r="F5753" s="1562" t="s">
        <v>526</v>
      </c>
      <c r="G5753" s="1563">
        <v>17</v>
      </c>
      <c r="H5753" s="1038" t="s">
        <v>11421</v>
      </c>
    </row>
    <row r="5754" spans="2:8">
      <c r="B5754" s="1560">
        <v>46292</v>
      </c>
      <c r="C5754" s="1038" t="s">
        <v>11339</v>
      </c>
      <c r="D5754" s="1038" t="s">
        <v>1376</v>
      </c>
      <c r="E5754" s="1038" t="s">
        <v>1400</v>
      </c>
      <c r="F5754" s="1562" t="s">
        <v>527</v>
      </c>
      <c r="G5754" s="1563">
        <v>17</v>
      </c>
      <c r="H5754" s="1038" t="s">
        <v>11422</v>
      </c>
    </row>
    <row r="5755" spans="2:8">
      <c r="B5755" s="1560">
        <v>46292</v>
      </c>
      <c r="C5755" s="1038" t="s">
        <v>11339</v>
      </c>
      <c r="D5755" s="1038" t="s">
        <v>1376</v>
      </c>
      <c r="E5755" s="1038" t="s">
        <v>1400</v>
      </c>
      <c r="F5755" s="1562" t="s">
        <v>528</v>
      </c>
      <c r="G5755" s="1563">
        <v>17</v>
      </c>
      <c r="H5755" s="1038" t="s">
        <v>11423</v>
      </c>
    </row>
    <row r="5756" spans="2:8">
      <c r="B5756" s="1560">
        <v>46292</v>
      </c>
      <c r="C5756" s="1038" t="s">
        <v>11339</v>
      </c>
      <c r="D5756" s="1038" t="s">
        <v>1375</v>
      </c>
      <c r="E5756" s="1038" t="s">
        <v>3319</v>
      </c>
      <c r="F5756" s="1562" t="s">
        <v>526</v>
      </c>
      <c r="G5756" s="1563">
        <v>2</v>
      </c>
      <c r="H5756" s="1038" t="s">
        <v>11424</v>
      </c>
    </row>
    <row r="5757" spans="2:8">
      <c r="B5757" s="1560">
        <v>46292</v>
      </c>
      <c r="C5757" s="1038" t="s">
        <v>11339</v>
      </c>
      <c r="D5757" s="1038" t="s">
        <v>1375</v>
      </c>
      <c r="E5757" s="1038" t="s">
        <v>3319</v>
      </c>
      <c r="F5757" s="1562" t="s">
        <v>527</v>
      </c>
      <c r="G5757" s="1563">
        <v>2</v>
      </c>
      <c r="H5757" s="1038" t="s">
        <v>11425</v>
      </c>
    </row>
    <row r="5758" spans="2:8">
      <c r="B5758" s="1560">
        <v>46292</v>
      </c>
      <c r="C5758" s="1038" t="s">
        <v>11339</v>
      </c>
      <c r="D5758" s="1038" t="s">
        <v>1375</v>
      </c>
      <c r="E5758" s="1038" t="s">
        <v>3319</v>
      </c>
      <c r="F5758" s="1562" t="s">
        <v>528</v>
      </c>
      <c r="G5758" s="1563">
        <v>3</v>
      </c>
      <c r="H5758" s="1038" t="s">
        <v>11426</v>
      </c>
    </row>
    <row r="5759" spans="2:8">
      <c r="B5759" s="1560">
        <v>46292</v>
      </c>
      <c r="C5759" s="1038" t="s">
        <v>11339</v>
      </c>
      <c r="D5759" s="1038" t="s">
        <v>1376</v>
      </c>
      <c r="E5759" s="1038" t="s">
        <v>1401</v>
      </c>
      <c r="F5759" s="1562" t="s">
        <v>526</v>
      </c>
      <c r="G5759" s="1563">
        <v>6.34</v>
      </c>
      <c r="H5759" s="1038" t="s">
        <v>11427</v>
      </c>
    </row>
    <row r="5760" spans="2:8">
      <c r="B5760" s="1560">
        <v>46292</v>
      </c>
      <c r="C5760" s="1038" t="s">
        <v>11339</v>
      </c>
      <c r="D5760" s="1038" t="s">
        <v>1376</v>
      </c>
      <c r="E5760" s="1038" t="s">
        <v>1401</v>
      </c>
      <c r="F5760" s="1562" t="s">
        <v>527</v>
      </c>
      <c r="G5760" s="1563">
        <v>6.4</v>
      </c>
      <c r="H5760" s="1038" t="s">
        <v>11428</v>
      </c>
    </row>
    <row r="5761" spans="2:8">
      <c r="B5761" s="1560">
        <v>46292</v>
      </c>
      <c r="C5761" s="1038" t="s">
        <v>11339</v>
      </c>
      <c r="D5761" s="1038" t="s">
        <v>1376</v>
      </c>
      <c r="E5761" s="1038" t="s">
        <v>1401</v>
      </c>
      <c r="F5761" s="1562" t="s">
        <v>528</v>
      </c>
      <c r="G5761" s="1563">
        <v>6.36</v>
      </c>
      <c r="H5761" s="1038" t="s">
        <v>11429</v>
      </c>
    </row>
    <row r="5762" spans="2:8">
      <c r="B5762" s="1560">
        <v>46292</v>
      </c>
      <c r="C5762" s="1038" t="s">
        <v>11339</v>
      </c>
      <c r="D5762" s="1038" t="s">
        <v>1375</v>
      </c>
      <c r="E5762" s="1038" t="s">
        <v>3326</v>
      </c>
      <c r="F5762" s="1562" t="s">
        <v>526</v>
      </c>
      <c r="G5762" s="1563" t="s">
        <v>1583</v>
      </c>
      <c r="H5762" s="1038" t="s">
        <v>11430</v>
      </c>
    </row>
    <row r="5763" spans="2:8">
      <c r="B5763" s="1560">
        <v>46292</v>
      </c>
      <c r="C5763" s="1038" t="s">
        <v>11339</v>
      </c>
      <c r="D5763" s="1038" t="s">
        <v>1375</v>
      </c>
      <c r="E5763" s="1038" t="s">
        <v>3326</v>
      </c>
      <c r="F5763" s="1562" t="s">
        <v>527</v>
      </c>
      <c r="G5763" s="1563" t="s">
        <v>1583</v>
      </c>
      <c r="H5763" s="1038" t="s">
        <v>11431</v>
      </c>
    </row>
    <row r="5764" spans="2:8">
      <c r="B5764" s="1560">
        <v>46292</v>
      </c>
      <c r="C5764" s="1038" t="s">
        <v>11339</v>
      </c>
      <c r="D5764" s="1038" t="s">
        <v>1375</v>
      </c>
      <c r="E5764" s="1038" t="s">
        <v>3326</v>
      </c>
      <c r="F5764" s="1562" t="s">
        <v>528</v>
      </c>
      <c r="G5764" s="1563" t="s">
        <v>1583</v>
      </c>
      <c r="H5764" s="1038" t="s">
        <v>11432</v>
      </c>
    </row>
    <row r="5765" spans="2:8">
      <c r="B5765" s="1560">
        <v>46292</v>
      </c>
      <c r="C5765" s="1038" t="s">
        <v>11339</v>
      </c>
      <c r="D5765" s="1038" t="s">
        <v>1376</v>
      </c>
      <c r="E5765" s="1038" t="s">
        <v>1403</v>
      </c>
      <c r="F5765" s="1562" t="s">
        <v>526</v>
      </c>
      <c r="G5765" s="1563">
        <v>680</v>
      </c>
      <c r="H5765" s="1038" t="s">
        <v>11433</v>
      </c>
    </row>
    <row r="5766" spans="2:8">
      <c r="B5766" s="1560">
        <v>46292</v>
      </c>
      <c r="C5766" s="1038" t="s">
        <v>11339</v>
      </c>
      <c r="D5766" s="1038" t="s">
        <v>1376</v>
      </c>
      <c r="E5766" s="1038" t="s">
        <v>1403</v>
      </c>
      <c r="F5766" s="1562" t="s">
        <v>527</v>
      </c>
      <c r="G5766" s="1563">
        <v>690</v>
      </c>
      <c r="H5766" s="1038" t="s">
        <v>11434</v>
      </c>
    </row>
    <row r="5767" spans="2:8">
      <c r="B5767" s="1560">
        <v>46292</v>
      </c>
      <c r="C5767" s="1038" t="s">
        <v>11339</v>
      </c>
      <c r="D5767" s="1038" t="s">
        <v>1376</v>
      </c>
      <c r="E5767" s="1038" t="s">
        <v>1403</v>
      </c>
      <c r="F5767" s="1562" t="s">
        <v>528</v>
      </c>
      <c r="G5767" s="1563">
        <v>740</v>
      </c>
      <c r="H5767" s="1038" t="s">
        <v>11435</v>
      </c>
    </row>
    <row r="5768" spans="2:8">
      <c r="B5768" s="1560">
        <v>46292</v>
      </c>
      <c r="C5768" s="1038" t="s">
        <v>11339</v>
      </c>
      <c r="D5768" s="1038" t="s">
        <v>1376</v>
      </c>
      <c r="E5768" s="1038" t="s">
        <v>1404</v>
      </c>
      <c r="F5768" s="1562" t="s">
        <v>526</v>
      </c>
      <c r="G5768" s="1563">
        <v>3.59</v>
      </c>
      <c r="H5768" s="1038" t="s">
        <v>11436</v>
      </c>
    </row>
    <row r="5769" spans="2:8">
      <c r="B5769" s="1560">
        <v>46292</v>
      </c>
      <c r="C5769" s="1038" t="s">
        <v>11339</v>
      </c>
      <c r="D5769" s="1038" t="s">
        <v>1376</v>
      </c>
      <c r="E5769" s="1038" t="s">
        <v>1404</v>
      </c>
      <c r="F5769" s="1562" t="s">
        <v>527</v>
      </c>
      <c r="G5769" s="1563">
        <v>3.5</v>
      </c>
      <c r="H5769" s="1038" t="s">
        <v>11437</v>
      </c>
    </row>
    <row r="5770" spans="2:8">
      <c r="B5770" s="1560">
        <v>46292</v>
      </c>
      <c r="C5770" s="1038" t="s">
        <v>11339</v>
      </c>
      <c r="D5770" s="1038" t="s">
        <v>1376</v>
      </c>
      <c r="E5770" s="1038" t="s">
        <v>1404</v>
      </c>
      <c r="F5770" s="1562" t="s">
        <v>528</v>
      </c>
      <c r="G5770" s="1563">
        <v>3.71</v>
      </c>
      <c r="H5770" s="1038" t="s">
        <v>11438</v>
      </c>
    </row>
    <row r="5771" spans="2:8">
      <c r="B5771" s="1560">
        <v>46292</v>
      </c>
      <c r="C5771" s="1038" t="s">
        <v>11339</v>
      </c>
      <c r="D5771" s="1038" t="s">
        <v>1375</v>
      </c>
      <c r="E5771" s="1038" t="s">
        <v>3336</v>
      </c>
      <c r="F5771" s="1562" t="s">
        <v>526</v>
      </c>
      <c r="G5771" s="1563" t="s">
        <v>1406</v>
      </c>
      <c r="H5771" s="1038" t="s">
        <v>11439</v>
      </c>
    </row>
    <row r="5772" spans="2:8">
      <c r="B5772" s="1560">
        <v>46292</v>
      </c>
      <c r="C5772" s="1038" t="s">
        <v>11339</v>
      </c>
      <c r="D5772" s="1038" t="s">
        <v>1375</v>
      </c>
      <c r="E5772" s="1038" t="s">
        <v>3336</v>
      </c>
      <c r="F5772" s="1562" t="s">
        <v>527</v>
      </c>
      <c r="G5772" s="1563" t="s">
        <v>1406</v>
      </c>
      <c r="H5772" s="1038" t="s">
        <v>11440</v>
      </c>
    </row>
    <row r="5773" spans="2:8">
      <c r="B5773" s="1560">
        <v>46292</v>
      </c>
      <c r="C5773" s="1038" t="s">
        <v>11339</v>
      </c>
      <c r="D5773" s="1038" t="s">
        <v>1375</v>
      </c>
      <c r="E5773" s="1038" t="s">
        <v>3336</v>
      </c>
      <c r="F5773" s="1562" t="s">
        <v>528</v>
      </c>
      <c r="G5773" s="1563" t="s">
        <v>1406</v>
      </c>
      <c r="H5773" s="1038" t="s">
        <v>11441</v>
      </c>
    </row>
    <row r="5774" spans="2:8">
      <c r="B5774" s="1560">
        <v>46292</v>
      </c>
      <c r="C5774" s="1038" t="s">
        <v>11339</v>
      </c>
      <c r="D5774" s="1038" t="s">
        <v>1376</v>
      </c>
      <c r="E5774" s="1038" t="s">
        <v>1407</v>
      </c>
      <c r="F5774" s="1562" t="s">
        <v>526</v>
      </c>
      <c r="G5774" s="1563">
        <v>384</v>
      </c>
      <c r="H5774" s="1038" t="s">
        <v>11442</v>
      </c>
    </row>
    <row r="5775" spans="2:8">
      <c r="B5775" s="1560">
        <v>46292</v>
      </c>
      <c r="C5775" s="1038" t="s">
        <v>11339</v>
      </c>
      <c r="D5775" s="1038" t="s">
        <v>1376</v>
      </c>
      <c r="E5775" s="1038" t="s">
        <v>1407</v>
      </c>
      <c r="F5775" s="1562" t="s">
        <v>527</v>
      </c>
      <c r="G5775" s="1563">
        <v>390</v>
      </c>
      <c r="H5775" s="1038" t="s">
        <v>11443</v>
      </c>
    </row>
    <row r="5776" spans="2:8">
      <c r="B5776" s="1560">
        <v>46292</v>
      </c>
      <c r="C5776" s="1038" t="s">
        <v>11339</v>
      </c>
      <c r="D5776" s="1038" t="s">
        <v>1376</v>
      </c>
      <c r="E5776" s="1038" t="s">
        <v>1407</v>
      </c>
      <c r="F5776" s="1562" t="s">
        <v>528</v>
      </c>
      <c r="G5776" s="1563">
        <v>365</v>
      </c>
      <c r="H5776" s="1038" t="s">
        <v>11444</v>
      </c>
    </row>
    <row r="5777" spans="2:8">
      <c r="B5777" s="1560">
        <v>46292</v>
      </c>
      <c r="C5777" s="1038" t="s">
        <v>11339</v>
      </c>
      <c r="D5777" s="1038" t="s">
        <v>1376</v>
      </c>
      <c r="E5777" s="1038" t="s">
        <v>1408</v>
      </c>
      <c r="F5777" s="1562" t="s">
        <v>526</v>
      </c>
      <c r="G5777" s="1563">
        <v>1052</v>
      </c>
      <c r="H5777" s="1038" t="s">
        <v>11445</v>
      </c>
    </row>
    <row r="5778" spans="2:8">
      <c r="B5778" s="1560">
        <v>46292</v>
      </c>
      <c r="C5778" s="1038" t="s">
        <v>11339</v>
      </c>
      <c r="D5778" s="1038" t="s">
        <v>1376</v>
      </c>
      <c r="E5778" s="1038" t="s">
        <v>1408</v>
      </c>
      <c r="F5778" s="1562" t="s">
        <v>527</v>
      </c>
      <c r="G5778" s="1563">
        <v>1050</v>
      </c>
      <c r="H5778" s="1038" t="s">
        <v>11446</v>
      </c>
    </row>
    <row r="5779" spans="2:8">
      <c r="B5779" s="1560">
        <v>46292</v>
      </c>
      <c r="C5779" s="1038" t="s">
        <v>11339</v>
      </c>
      <c r="D5779" s="1038" t="s">
        <v>1376</v>
      </c>
      <c r="E5779" s="1038" t="s">
        <v>1408</v>
      </c>
      <c r="F5779" s="1562" t="s">
        <v>528</v>
      </c>
      <c r="G5779" s="1563">
        <v>1043</v>
      </c>
      <c r="H5779" s="1038" t="s">
        <v>11447</v>
      </c>
    </row>
    <row r="5780" spans="2:8">
      <c r="B5780" s="1560">
        <v>46292</v>
      </c>
      <c r="C5780" s="1038" t="s">
        <v>11339</v>
      </c>
      <c r="D5780" s="1038" t="s">
        <v>1409</v>
      </c>
      <c r="E5780" s="1038" t="s">
        <v>1411</v>
      </c>
      <c r="F5780" s="1562" t="s">
        <v>526</v>
      </c>
      <c r="G5780" s="1563"/>
      <c r="H5780" s="1038" t="s">
        <v>11448</v>
      </c>
    </row>
    <row r="5781" spans="2:8">
      <c r="B5781" s="1560">
        <v>46292</v>
      </c>
      <c r="C5781" s="1038" t="s">
        <v>11339</v>
      </c>
      <c r="D5781" s="1038" t="s">
        <v>1409</v>
      </c>
      <c r="E5781" s="1038" t="s">
        <v>1411</v>
      </c>
      <c r="F5781" s="1562" t="s">
        <v>527</v>
      </c>
      <c r="G5781" s="1563"/>
      <c r="H5781" s="1038" t="s">
        <v>11449</v>
      </c>
    </row>
    <row r="5782" spans="2:8">
      <c r="B5782" s="1560">
        <v>46292</v>
      </c>
      <c r="C5782" s="1038" t="s">
        <v>11339</v>
      </c>
      <c r="D5782" s="1038" t="s">
        <v>1409</v>
      </c>
      <c r="E5782" s="1038" t="s">
        <v>1411</v>
      </c>
      <c r="F5782" s="1562" t="s">
        <v>528</v>
      </c>
      <c r="G5782" s="1563"/>
      <c r="H5782" s="1038" t="s">
        <v>11450</v>
      </c>
    </row>
    <row r="5783" spans="2:8">
      <c r="B5783" s="1560">
        <v>46292</v>
      </c>
      <c r="C5783" s="1038" t="s">
        <v>11339</v>
      </c>
      <c r="D5783" s="1038" t="s">
        <v>1409</v>
      </c>
      <c r="E5783" s="1038" t="s">
        <v>1413</v>
      </c>
      <c r="F5783" s="1562" t="s">
        <v>526</v>
      </c>
      <c r="G5783" s="1564" t="s">
        <v>1415</v>
      </c>
      <c r="H5783" s="1038" t="s">
        <v>11451</v>
      </c>
    </row>
    <row r="5784" spans="2:8">
      <c r="B5784" s="1560">
        <v>46292</v>
      </c>
      <c r="C5784" s="1038" t="s">
        <v>11339</v>
      </c>
      <c r="D5784" s="1038" t="s">
        <v>1409</v>
      </c>
      <c r="E5784" s="1038" t="s">
        <v>1413</v>
      </c>
      <c r="F5784" s="1562" t="s">
        <v>527</v>
      </c>
      <c r="G5784" s="1564" t="s">
        <v>11224</v>
      </c>
      <c r="H5784" s="1038" t="s">
        <v>11452</v>
      </c>
    </row>
    <row r="5785" spans="2:8">
      <c r="B5785" s="1560">
        <v>46292</v>
      </c>
      <c r="C5785" s="1038" t="s">
        <v>11339</v>
      </c>
      <c r="D5785" s="1038" t="s">
        <v>1409</v>
      </c>
      <c r="E5785" s="1038" t="s">
        <v>1413</v>
      </c>
      <c r="F5785" s="1562" t="s">
        <v>528</v>
      </c>
      <c r="G5785" s="1564" t="s">
        <v>1415</v>
      </c>
      <c r="H5785" s="1038" t="s">
        <v>11453</v>
      </c>
    </row>
    <row r="5786" spans="2:8">
      <c r="B5786" s="1560">
        <v>46292</v>
      </c>
      <c r="C5786" s="1038" t="s">
        <v>11339</v>
      </c>
      <c r="D5786" s="1038" t="s">
        <v>1410</v>
      </c>
      <c r="E5786" s="1038" t="s">
        <v>3352</v>
      </c>
      <c r="F5786" s="1562" t="s">
        <v>526</v>
      </c>
      <c r="G5786" s="1563" t="s">
        <v>1418</v>
      </c>
      <c r="H5786" s="1038" t="s">
        <v>11454</v>
      </c>
    </row>
    <row r="5787" spans="2:8">
      <c r="B5787" s="1560">
        <v>46292</v>
      </c>
      <c r="C5787" s="1038" t="s">
        <v>11339</v>
      </c>
      <c r="D5787" s="1038" t="s">
        <v>1410</v>
      </c>
      <c r="E5787" s="1038" t="s">
        <v>3352</v>
      </c>
      <c r="F5787" s="1562" t="s">
        <v>527</v>
      </c>
      <c r="G5787" s="1563" t="s">
        <v>1418</v>
      </c>
      <c r="H5787" s="1038" t="s">
        <v>11455</v>
      </c>
    </row>
    <row r="5788" spans="2:8">
      <c r="B5788" s="1560">
        <v>46292</v>
      </c>
      <c r="C5788" s="1038" t="s">
        <v>11339</v>
      </c>
      <c r="D5788" s="1038" t="s">
        <v>1410</v>
      </c>
      <c r="E5788" s="1038" t="s">
        <v>3352</v>
      </c>
      <c r="F5788" s="1562" t="s">
        <v>528</v>
      </c>
      <c r="G5788" s="1563" t="s">
        <v>1418</v>
      </c>
      <c r="H5788" s="1038" t="s">
        <v>11456</v>
      </c>
    </row>
    <row r="5789" spans="2:8">
      <c r="B5789" s="1560">
        <v>46292</v>
      </c>
      <c r="C5789" s="1038" t="s">
        <v>11339</v>
      </c>
      <c r="D5789" s="1038" t="s">
        <v>1409</v>
      </c>
      <c r="E5789" s="1038" t="s">
        <v>1420</v>
      </c>
      <c r="F5789" s="1562" t="s">
        <v>526</v>
      </c>
      <c r="G5789" s="1564" t="s">
        <v>1876</v>
      </c>
      <c r="H5789" s="1038" t="s">
        <v>11457</v>
      </c>
    </row>
    <row r="5790" spans="2:8">
      <c r="B5790" s="1560">
        <v>46292</v>
      </c>
      <c r="C5790" s="1038" t="s">
        <v>11339</v>
      </c>
      <c r="D5790" s="1038" t="s">
        <v>1409</v>
      </c>
      <c r="E5790" s="1038" t="s">
        <v>1420</v>
      </c>
      <c r="F5790" s="1562" t="s">
        <v>527</v>
      </c>
      <c r="G5790" s="1564" t="s">
        <v>11231</v>
      </c>
      <c r="H5790" s="1038" t="s">
        <v>11458</v>
      </c>
    </row>
    <row r="5791" spans="2:8">
      <c r="B5791" s="1560">
        <v>46292</v>
      </c>
      <c r="C5791" s="1038" t="s">
        <v>11339</v>
      </c>
      <c r="D5791" s="1038" t="s">
        <v>1409</v>
      </c>
      <c r="E5791" s="1038" t="s">
        <v>1420</v>
      </c>
      <c r="F5791" s="1562" t="s">
        <v>528</v>
      </c>
      <c r="G5791" s="1564" t="s">
        <v>10773</v>
      </c>
      <c r="H5791" s="1038" t="s">
        <v>11459</v>
      </c>
    </row>
    <row r="5792" spans="2:8">
      <c r="B5792" s="1560">
        <v>46292</v>
      </c>
      <c r="C5792" s="1038" t="s">
        <v>11339</v>
      </c>
      <c r="D5792" s="1038" t="s">
        <v>1410</v>
      </c>
      <c r="E5792" s="1038" t="s">
        <v>3359</v>
      </c>
      <c r="F5792" s="1562" t="s">
        <v>526</v>
      </c>
      <c r="G5792" s="1563">
        <v>111</v>
      </c>
      <c r="H5792" s="1038" t="s">
        <v>11460</v>
      </c>
    </row>
    <row r="5793" spans="2:8">
      <c r="B5793" s="1560">
        <v>46292</v>
      </c>
      <c r="C5793" s="1038" t="s">
        <v>11339</v>
      </c>
      <c r="D5793" s="1038" t="s">
        <v>1410</v>
      </c>
      <c r="E5793" s="1038" t="s">
        <v>3359</v>
      </c>
      <c r="F5793" s="1562" t="s">
        <v>527</v>
      </c>
      <c r="G5793" s="1563">
        <v>111</v>
      </c>
      <c r="H5793" s="1038" t="s">
        <v>11461</v>
      </c>
    </row>
    <row r="5794" spans="2:8">
      <c r="B5794" s="1560">
        <v>46292</v>
      </c>
      <c r="C5794" s="1038" t="s">
        <v>11339</v>
      </c>
      <c r="D5794" s="1038" t="s">
        <v>1410</v>
      </c>
      <c r="E5794" s="1038" t="s">
        <v>3359</v>
      </c>
      <c r="F5794" s="1562" t="s">
        <v>528</v>
      </c>
      <c r="G5794" s="1563">
        <v>110</v>
      </c>
      <c r="H5794" s="1038" t="s">
        <v>11462</v>
      </c>
    </row>
    <row r="5795" spans="2:8">
      <c r="B5795" s="1560">
        <v>46292</v>
      </c>
      <c r="C5795" s="1038" t="s">
        <v>11339</v>
      </c>
      <c r="D5795" s="1038" t="s">
        <v>1409</v>
      </c>
      <c r="E5795" s="1038" t="s">
        <v>1424</v>
      </c>
      <c r="F5795" s="1562" t="s">
        <v>526</v>
      </c>
      <c r="G5795" s="1563"/>
      <c r="H5795" s="1038" t="s">
        <v>11463</v>
      </c>
    </row>
    <row r="5796" spans="2:8">
      <c r="B5796" s="1560">
        <v>46292</v>
      </c>
      <c r="C5796" s="1038" t="s">
        <v>11339</v>
      </c>
      <c r="D5796" s="1038" t="s">
        <v>1409</v>
      </c>
      <c r="E5796" s="1038" t="s">
        <v>1424</v>
      </c>
      <c r="F5796" s="1562" t="s">
        <v>527</v>
      </c>
      <c r="G5796" s="1563"/>
      <c r="H5796" s="1038" t="s">
        <v>11464</v>
      </c>
    </row>
    <row r="5797" spans="2:8">
      <c r="B5797" s="1560">
        <v>46292</v>
      </c>
      <c r="C5797" s="1038" t="s">
        <v>11339</v>
      </c>
      <c r="D5797" s="1038" t="s">
        <v>1409</v>
      </c>
      <c r="E5797" s="1038" t="s">
        <v>1424</v>
      </c>
      <c r="F5797" s="1562" t="s">
        <v>528</v>
      </c>
      <c r="G5797" s="1563"/>
      <c r="H5797" s="1038" t="s">
        <v>11465</v>
      </c>
    </row>
    <row r="5798" spans="2:8">
      <c r="B5798" s="1560">
        <v>46292</v>
      </c>
      <c r="C5798" s="1038" t="s">
        <v>11339</v>
      </c>
      <c r="D5798" s="1038" t="s">
        <v>1410</v>
      </c>
      <c r="E5798" s="1038" t="s">
        <v>3366</v>
      </c>
      <c r="F5798" s="1562" t="s">
        <v>526</v>
      </c>
      <c r="G5798" s="1563">
        <v>2632</v>
      </c>
      <c r="H5798" s="1038" t="s">
        <v>11466</v>
      </c>
    </row>
    <row r="5799" spans="2:8">
      <c r="B5799" s="1560">
        <v>46292</v>
      </c>
      <c r="C5799" s="1038" t="s">
        <v>11339</v>
      </c>
      <c r="D5799" s="1038" t="s">
        <v>1410</v>
      </c>
      <c r="E5799" s="1038" t="s">
        <v>3366</v>
      </c>
      <c r="F5799" s="1562" t="s">
        <v>527</v>
      </c>
      <c r="G5799" s="1563">
        <v>2600</v>
      </c>
      <c r="H5799" s="1038" t="s">
        <v>11467</v>
      </c>
    </row>
    <row r="5800" spans="2:8">
      <c r="B5800" s="1560">
        <v>46292</v>
      </c>
      <c r="C5800" s="1038" t="s">
        <v>11339</v>
      </c>
      <c r="D5800" s="1038" t="s">
        <v>1410</v>
      </c>
      <c r="E5800" s="1038" t="s">
        <v>3366</v>
      </c>
      <c r="F5800" s="1562" t="s">
        <v>528</v>
      </c>
      <c r="G5800" s="1563">
        <v>2600</v>
      </c>
      <c r="H5800" s="1038" t="s">
        <v>11468</v>
      </c>
    </row>
    <row r="5801" spans="2:8">
      <c r="B5801" s="1560">
        <v>46292</v>
      </c>
      <c r="C5801" s="1038" t="s">
        <v>11339</v>
      </c>
      <c r="D5801" s="1038" t="s">
        <v>1410</v>
      </c>
      <c r="E5801" s="1038" t="s">
        <v>3370</v>
      </c>
      <c r="F5801" s="1562" t="s">
        <v>526</v>
      </c>
      <c r="G5801" s="1563" t="s">
        <v>1427</v>
      </c>
      <c r="H5801" s="1038" t="s">
        <v>11469</v>
      </c>
    </row>
    <row r="5802" spans="2:8">
      <c r="B5802" s="1560">
        <v>46292</v>
      </c>
      <c r="C5802" s="1038" t="s">
        <v>11339</v>
      </c>
      <c r="D5802" s="1038" t="s">
        <v>1410</v>
      </c>
      <c r="E5802" s="1038" t="s">
        <v>3370</v>
      </c>
      <c r="F5802" s="1562" t="s">
        <v>527</v>
      </c>
      <c r="G5802" s="1563" t="s">
        <v>1427</v>
      </c>
      <c r="H5802" s="1038" t="s">
        <v>11470</v>
      </c>
    </row>
    <row r="5803" spans="2:8">
      <c r="B5803" s="1560">
        <v>46292</v>
      </c>
      <c r="C5803" s="1038" t="s">
        <v>11339</v>
      </c>
      <c r="D5803" s="1038" t="s">
        <v>1410</v>
      </c>
      <c r="E5803" s="1038" t="s">
        <v>3370</v>
      </c>
      <c r="F5803" s="1562" t="s">
        <v>528</v>
      </c>
      <c r="G5803" s="1563" t="s">
        <v>1427</v>
      </c>
      <c r="H5803" s="1038" t="s">
        <v>11471</v>
      </c>
    </row>
    <row r="5804" spans="2:8">
      <c r="B5804" s="1560">
        <v>46292</v>
      </c>
      <c r="C5804" s="1038" t="s">
        <v>11339</v>
      </c>
      <c r="D5804" s="1038" t="s">
        <v>1410</v>
      </c>
      <c r="E5804" s="1038" t="s">
        <v>3374</v>
      </c>
      <c r="F5804" s="1562" t="s">
        <v>526</v>
      </c>
      <c r="G5804" s="1563">
        <v>2.93</v>
      </c>
      <c r="H5804" s="1038" t="s">
        <v>11472</v>
      </c>
    </row>
    <row r="5805" spans="2:8">
      <c r="B5805" s="1560">
        <v>46292</v>
      </c>
      <c r="C5805" s="1038" t="s">
        <v>11339</v>
      </c>
      <c r="D5805" s="1038" t="s">
        <v>1410</v>
      </c>
      <c r="E5805" s="1038" t="s">
        <v>3374</v>
      </c>
      <c r="F5805" s="1562" t="s">
        <v>527</v>
      </c>
      <c r="G5805" s="1563">
        <v>2.9</v>
      </c>
      <c r="H5805" s="1038" t="s">
        <v>11473</v>
      </c>
    </row>
    <row r="5806" spans="2:8">
      <c r="B5806" s="1560">
        <v>46292</v>
      </c>
      <c r="C5806" s="1038" t="s">
        <v>11339</v>
      </c>
      <c r="D5806" s="1038" t="s">
        <v>1410</v>
      </c>
      <c r="E5806" s="1038" t="s">
        <v>3374</v>
      </c>
      <c r="F5806" s="1562" t="s">
        <v>528</v>
      </c>
      <c r="G5806" s="1563">
        <v>2</v>
      </c>
      <c r="H5806" s="1038" t="s">
        <v>11474</v>
      </c>
    </row>
    <row r="5807" spans="2:8">
      <c r="B5807" s="1560">
        <v>46292</v>
      </c>
      <c r="C5807" s="1038" t="s">
        <v>11339</v>
      </c>
      <c r="D5807" s="1038" t="s">
        <v>1410</v>
      </c>
      <c r="E5807" s="1038" t="s">
        <v>3378</v>
      </c>
      <c r="F5807" s="1562" t="s">
        <v>526</v>
      </c>
      <c r="G5807" s="1563" t="s">
        <v>1430</v>
      </c>
      <c r="H5807" s="1038" t="s">
        <v>11475</v>
      </c>
    </row>
    <row r="5808" spans="2:8">
      <c r="B5808" s="1560">
        <v>46292</v>
      </c>
      <c r="C5808" s="1038" t="s">
        <v>11339</v>
      </c>
      <c r="D5808" s="1038" t="s">
        <v>1410</v>
      </c>
      <c r="E5808" s="1038" t="s">
        <v>3378</v>
      </c>
      <c r="F5808" s="1562" t="s">
        <v>527</v>
      </c>
      <c r="G5808" s="1563" t="s">
        <v>1430</v>
      </c>
      <c r="H5808" s="1038" t="s">
        <v>11476</v>
      </c>
    </row>
    <row r="5809" spans="2:8">
      <c r="B5809" s="1560">
        <v>46292</v>
      </c>
      <c r="C5809" s="1038" t="s">
        <v>11339</v>
      </c>
      <c r="D5809" s="1038" t="s">
        <v>1410</v>
      </c>
      <c r="E5809" s="1038" t="s">
        <v>3378</v>
      </c>
      <c r="F5809" s="1562" t="s">
        <v>528</v>
      </c>
      <c r="G5809" s="1563" t="s">
        <v>1430</v>
      </c>
      <c r="H5809" s="1038" t="s">
        <v>11477</v>
      </c>
    </row>
    <row r="5810" spans="2:8">
      <c r="B5810" s="1560">
        <v>46292</v>
      </c>
      <c r="C5810" s="1038" t="s">
        <v>11339</v>
      </c>
      <c r="D5810" s="1038" t="s">
        <v>1410</v>
      </c>
      <c r="E5810" s="1038" t="s">
        <v>3382</v>
      </c>
      <c r="F5810" s="1562" t="s">
        <v>526</v>
      </c>
      <c r="G5810" s="1563">
        <v>104</v>
      </c>
      <c r="H5810" s="1038" t="s">
        <v>11478</v>
      </c>
    </row>
    <row r="5811" spans="2:8">
      <c r="B5811" s="1560">
        <v>46292</v>
      </c>
      <c r="C5811" s="1038" t="s">
        <v>11339</v>
      </c>
      <c r="D5811" s="1038" t="s">
        <v>1410</v>
      </c>
      <c r="E5811" s="1038" t="s">
        <v>3382</v>
      </c>
      <c r="F5811" s="1562" t="s">
        <v>527</v>
      </c>
      <c r="G5811" s="1563">
        <v>105</v>
      </c>
      <c r="H5811" s="1038" t="s">
        <v>11479</v>
      </c>
    </row>
    <row r="5812" spans="2:8">
      <c r="B5812" s="1560">
        <v>46292</v>
      </c>
      <c r="C5812" s="1038" t="s">
        <v>11339</v>
      </c>
      <c r="D5812" s="1038" t="s">
        <v>1410</v>
      </c>
      <c r="E5812" s="1038" t="s">
        <v>3382</v>
      </c>
      <c r="F5812" s="1562" t="s">
        <v>528</v>
      </c>
      <c r="G5812" s="1563">
        <v>102</v>
      </c>
      <c r="H5812" s="1038" t="s">
        <v>11480</v>
      </c>
    </row>
    <row r="5813" spans="2:8">
      <c r="B5813" s="1560">
        <v>46292</v>
      </c>
      <c r="C5813" s="1038" t="s">
        <v>11339</v>
      </c>
      <c r="D5813" s="1038" t="s">
        <v>1409</v>
      </c>
      <c r="E5813" s="1038" t="s">
        <v>1431</v>
      </c>
      <c r="F5813" s="1562" t="s">
        <v>526</v>
      </c>
      <c r="G5813" s="1563"/>
      <c r="H5813" s="1038" t="s">
        <v>11481</v>
      </c>
    </row>
    <row r="5814" spans="2:8">
      <c r="B5814" s="1560">
        <v>46292</v>
      </c>
      <c r="C5814" s="1038" t="s">
        <v>11339</v>
      </c>
      <c r="D5814" s="1038" t="s">
        <v>1409</v>
      </c>
      <c r="E5814" s="1038" t="s">
        <v>1431</v>
      </c>
      <c r="F5814" s="1562" t="s">
        <v>527</v>
      </c>
      <c r="G5814" s="1563"/>
      <c r="H5814" s="1038" t="s">
        <v>11482</v>
      </c>
    </row>
    <row r="5815" spans="2:8">
      <c r="B5815" s="1560">
        <v>46292</v>
      </c>
      <c r="C5815" s="1038" t="s">
        <v>11339</v>
      </c>
      <c r="D5815" s="1038" t="s">
        <v>1409</v>
      </c>
      <c r="E5815" s="1038" t="s">
        <v>1431</v>
      </c>
      <c r="F5815" s="1562" t="s">
        <v>528</v>
      </c>
      <c r="G5815" s="1563"/>
      <c r="H5815" s="1038" t="s">
        <v>11483</v>
      </c>
    </row>
    <row r="5816" spans="2:8">
      <c r="B5816" s="1560">
        <v>46292</v>
      </c>
      <c r="C5816" s="1038" t="s">
        <v>11339</v>
      </c>
      <c r="D5816" s="1038" t="s">
        <v>1410</v>
      </c>
      <c r="E5816" s="1038" t="s">
        <v>3389</v>
      </c>
      <c r="F5816" s="1562" t="s">
        <v>526</v>
      </c>
      <c r="G5816" s="1563">
        <v>2619</v>
      </c>
      <c r="H5816" s="1038" t="s">
        <v>11484</v>
      </c>
    </row>
    <row r="5817" spans="2:8">
      <c r="B5817" s="1560">
        <v>46292</v>
      </c>
      <c r="C5817" s="1038" t="s">
        <v>11339</v>
      </c>
      <c r="D5817" s="1038" t="s">
        <v>1410</v>
      </c>
      <c r="E5817" s="1038" t="s">
        <v>3389</v>
      </c>
      <c r="F5817" s="1562" t="s">
        <v>527</v>
      </c>
      <c r="G5817" s="1563">
        <v>2615</v>
      </c>
      <c r="H5817" s="1038" t="s">
        <v>11485</v>
      </c>
    </row>
    <row r="5818" spans="2:8">
      <c r="B5818" s="1560">
        <v>46292</v>
      </c>
      <c r="C5818" s="1038" t="s">
        <v>11339</v>
      </c>
      <c r="D5818" s="1038" t="s">
        <v>1410</v>
      </c>
      <c r="E5818" s="1038" t="s">
        <v>3389</v>
      </c>
      <c r="F5818" s="1562" t="s">
        <v>528</v>
      </c>
      <c r="G5818" s="1563">
        <v>2600</v>
      </c>
      <c r="H5818" s="1038" t="s">
        <v>11486</v>
      </c>
    </row>
    <row r="5819" spans="2:8">
      <c r="B5819" s="1560">
        <v>46292</v>
      </c>
      <c r="C5819" s="1038" t="s">
        <v>11339</v>
      </c>
      <c r="D5819" s="1038" t="s">
        <v>1410</v>
      </c>
      <c r="E5819" s="1038" t="s">
        <v>3393</v>
      </c>
      <c r="F5819" s="1562" t="s">
        <v>526</v>
      </c>
      <c r="G5819" s="1563" t="s">
        <v>1663</v>
      </c>
      <c r="H5819" s="1038" t="s">
        <v>11487</v>
      </c>
    </row>
    <row r="5820" spans="2:8">
      <c r="B5820" s="1560">
        <v>46292</v>
      </c>
      <c r="C5820" s="1038" t="s">
        <v>11339</v>
      </c>
      <c r="D5820" s="1038" t="s">
        <v>1410</v>
      </c>
      <c r="E5820" s="1038" t="s">
        <v>3393</v>
      </c>
      <c r="F5820" s="1562" t="s">
        <v>527</v>
      </c>
      <c r="G5820" s="1563" t="s">
        <v>1663</v>
      </c>
      <c r="H5820" s="1038" t="s">
        <v>11488</v>
      </c>
    </row>
    <row r="5821" spans="2:8">
      <c r="B5821" s="1560">
        <v>46292</v>
      </c>
      <c r="C5821" s="1038" t="s">
        <v>11339</v>
      </c>
      <c r="D5821" s="1038" t="s">
        <v>1410</v>
      </c>
      <c r="E5821" s="1038" t="s">
        <v>3393</v>
      </c>
      <c r="F5821" s="1562" t="s">
        <v>528</v>
      </c>
      <c r="G5821" s="1563" t="s">
        <v>1663</v>
      </c>
      <c r="H5821" s="1038" t="s">
        <v>11489</v>
      </c>
    </row>
    <row r="5822" spans="2:8">
      <c r="B5822" s="1560">
        <v>46292</v>
      </c>
      <c r="C5822" s="1038" t="s">
        <v>11339</v>
      </c>
      <c r="D5822" s="1038" t="s">
        <v>1410</v>
      </c>
      <c r="E5822" s="1038" t="s">
        <v>3397</v>
      </c>
      <c r="F5822" s="1562" t="s">
        <v>526</v>
      </c>
      <c r="G5822" s="1563" t="s">
        <v>1435</v>
      </c>
      <c r="H5822" s="1038" t="s">
        <v>11490</v>
      </c>
    </row>
    <row r="5823" spans="2:8">
      <c r="B5823" s="1560">
        <v>46292</v>
      </c>
      <c r="C5823" s="1038" t="s">
        <v>11339</v>
      </c>
      <c r="D5823" s="1038" t="s">
        <v>1410</v>
      </c>
      <c r="E5823" s="1038" t="s">
        <v>3397</v>
      </c>
      <c r="F5823" s="1562" t="s">
        <v>527</v>
      </c>
      <c r="G5823" s="1563" t="s">
        <v>1435</v>
      </c>
      <c r="H5823" s="1038" t="s">
        <v>11491</v>
      </c>
    </row>
    <row r="5824" spans="2:8">
      <c r="B5824" s="1560">
        <v>46292</v>
      </c>
      <c r="C5824" s="1038" t="s">
        <v>11339</v>
      </c>
      <c r="D5824" s="1038" t="s">
        <v>1410</v>
      </c>
      <c r="E5824" s="1038" t="s">
        <v>3397</v>
      </c>
      <c r="F5824" s="1562" t="s">
        <v>528</v>
      </c>
      <c r="G5824" s="1563" t="s">
        <v>1435</v>
      </c>
      <c r="H5824" s="1038" t="s">
        <v>11492</v>
      </c>
    </row>
    <row r="5825" spans="2:8">
      <c r="B5825" s="1560">
        <v>46292</v>
      </c>
      <c r="C5825" s="1038" t="s">
        <v>11339</v>
      </c>
      <c r="D5825" s="1038" t="s">
        <v>1434</v>
      </c>
      <c r="E5825" s="1038" t="s">
        <v>42</v>
      </c>
      <c r="F5825" s="1562" t="s">
        <v>526</v>
      </c>
      <c r="G5825" s="1563" t="s">
        <v>11035</v>
      </c>
      <c r="H5825" s="1038" t="s">
        <v>11493</v>
      </c>
    </row>
    <row r="5826" spans="2:8">
      <c r="B5826" s="1560">
        <v>46292</v>
      </c>
      <c r="C5826" s="1038" t="s">
        <v>11339</v>
      </c>
      <c r="D5826" s="1038" t="s">
        <v>1434</v>
      </c>
      <c r="E5826" s="1038" t="s">
        <v>42</v>
      </c>
      <c r="F5826" s="1562" t="s">
        <v>527</v>
      </c>
      <c r="G5826" s="1563" t="s">
        <v>11035</v>
      </c>
      <c r="H5826" s="1038" t="s">
        <v>11494</v>
      </c>
    </row>
    <row r="5827" spans="2:8">
      <c r="B5827" s="1560">
        <v>46292</v>
      </c>
      <c r="C5827" s="1038" t="s">
        <v>11339</v>
      </c>
      <c r="D5827" s="1038" t="s">
        <v>1434</v>
      </c>
      <c r="E5827" s="1038" t="s">
        <v>42</v>
      </c>
      <c r="F5827" s="1562" t="s">
        <v>528</v>
      </c>
      <c r="G5827" s="1563" t="s">
        <v>11035</v>
      </c>
      <c r="H5827" s="1038" t="s">
        <v>11495</v>
      </c>
    </row>
    <row r="5828" spans="2:8">
      <c r="B5828" s="1560">
        <v>46292</v>
      </c>
      <c r="C5828" s="1038" t="s">
        <v>11339</v>
      </c>
      <c r="D5828" s="1038" t="s">
        <v>1410</v>
      </c>
      <c r="E5828" s="1038" t="s">
        <v>3404</v>
      </c>
      <c r="F5828" s="1562" t="s">
        <v>526</v>
      </c>
      <c r="G5828" s="1563" t="s">
        <v>1419</v>
      </c>
      <c r="H5828" s="1038" t="s">
        <v>11496</v>
      </c>
    </row>
    <row r="5829" spans="2:8">
      <c r="B5829" s="1560">
        <v>46292</v>
      </c>
      <c r="C5829" s="1038" t="s">
        <v>11339</v>
      </c>
      <c r="D5829" s="1038" t="s">
        <v>1410</v>
      </c>
      <c r="E5829" s="1038" t="s">
        <v>3404</v>
      </c>
      <c r="F5829" s="1562" t="s">
        <v>527</v>
      </c>
      <c r="G5829" s="1563" t="s">
        <v>1419</v>
      </c>
      <c r="H5829" s="1038" t="s">
        <v>11497</v>
      </c>
    </row>
    <row r="5830" spans="2:8">
      <c r="B5830" s="1560">
        <v>46292</v>
      </c>
      <c r="C5830" s="1038" t="s">
        <v>11339</v>
      </c>
      <c r="D5830" s="1038" t="s">
        <v>1410</v>
      </c>
      <c r="E5830" s="1038" t="s">
        <v>3404</v>
      </c>
      <c r="F5830" s="1562" t="s">
        <v>528</v>
      </c>
      <c r="G5830" s="1563" t="s">
        <v>1419</v>
      </c>
      <c r="H5830" s="1038" t="s">
        <v>11498</v>
      </c>
    </row>
    <row r="5831" spans="2:8">
      <c r="B5831" s="1560">
        <v>46292</v>
      </c>
      <c r="C5831" s="1038" t="s">
        <v>11339</v>
      </c>
      <c r="D5831" s="1038" t="s">
        <v>1434</v>
      </c>
      <c r="E5831" s="1038" t="s">
        <v>1439</v>
      </c>
      <c r="F5831" s="1562" t="s">
        <v>526</v>
      </c>
      <c r="G5831" s="1563" t="s">
        <v>11042</v>
      </c>
      <c r="H5831" s="1038" t="s">
        <v>11499</v>
      </c>
    </row>
    <row r="5832" spans="2:8">
      <c r="B5832" s="1560">
        <v>46292</v>
      </c>
      <c r="C5832" s="1038" t="s">
        <v>11339</v>
      </c>
      <c r="D5832" s="1038" t="s">
        <v>1434</v>
      </c>
      <c r="E5832" s="1038" t="s">
        <v>1439</v>
      </c>
      <c r="F5832" s="1562" t="s">
        <v>527</v>
      </c>
      <c r="G5832" s="1563" t="s">
        <v>11042</v>
      </c>
      <c r="H5832" s="1038" t="s">
        <v>11500</v>
      </c>
    </row>
    <row r="5833" spans="2:8">
      <c r="B5833" s="1560">
        <v>46292</v>
      </c>
      <c r="C5833" s="1038" t="s">
        <v>11339</v>
      </c>
      <c r="D5833" s="1038" t="s">
        <v>1434</v>
      </c>
      <c r="E5833" s="1038" t="s">
        <v>1439</v>
      </c>
      <c r="F5833" s="1562" t="s">
        <v>528</v>
      </c>
      <c r="G5833" s="1563" t="s">
        <v>11042</v>
      </c>
      <c r="H5833" s="1038" t="s">
        <v>11501</v>
      </c>
    </row>
    <row r="5834" spans="2:8">
      <c r="B5834" s="1560">
        <v>46292</v>
      </c>
      <c r="C5834" s="1038" t="s">
        <v>11339</v>
      </c>
      <c r="D5834" s="1038" t="s">
        <v>1410</v>
      </c>
      <c r="E5834" s="1038" t="s">
        <v>3411</v>
      </c>
      <c r="F5834" s="1562" t="s">
        <v>526</v>
      </c>
      <c r="G5834" s="1563">
        <v>47</v>
      </c>
      <c r="H5834" s="1038" t="s">
        <v>11502</v>
      </c>
    </row>
    <row r="5835" spans="2:8">
      <c r="B5835" s="1560">
        <v>46292</v>
      </c>
      <c r="C5835" s="1038" t="s">
        <v>11339</v>
      </c>
      <c r="D5835" s="1038" t="s">
        <v>1410</v>
      </c>
      <c r="E5835" s="1038" t="s">
        <v>3411</v>
      </c>
      <c r="F5835" s="1562" t="s">
        <v>527</v>
      </c>
      <c r="G5835" s="1563">
        <v>49</v>
      </c>
      <c r="H5835" s="1038" t="s">
        <v>11503</v>
      </c>
    </row>
    <row r="5836" spans="2:8">
      <c r="B5836" s="1560">
        <v>46292</v>
      </c>
      <c r="C5836" s="1038" t="s">
        <v>11339</v>
      </c>
      <c r="D5836" s="1038" t="s">
        <v>1410</v>
      </c>
      <c r="E5836" s="1038" t="s">
        <v>3411</v>
      </c>
      <c r="F5836" s="1562" t="s">
        <v>528</v>
      </c>
      <c r="G5836" s="1563">
        <v>46</v>
      </c>
      <c r="H5836" s="1038" t="s">
        <v>11504</v>
      </c>
    </row>
    <row r="5837" spans="2:8">
      <c r="B5837" s="1560">
        <v>46292</v>
      </c>
      <c r="C5837" s="1038" t="s">
        <v>11339</v>
      </c>
      <c r="D5837" s="1038" t="s">
        <v>1434</v>
      </c>
      <c r="E5837" s="1038" t="s">
        <v>43</v>
      </c>
      <c r="F5837" s="1562" t="s">
        <v>526</v>
      </c>
      <c r="G5837" s="1563" t="s">
        <v>11049</v>
      </c>
      <c r="H5837" s="1038" t="s">
        <v>11505</v>
      </c>
    </row>
    <row r="5838" spans="2:8">
      <c r="B5838" s="1560">
        <v>46292</v>
      </c>
      <c r="C5838" s="1038" t="s">
        <v>11339</v>
      </c>
      <c r="D5838" s="1038" t="s">
        <v>1434</v>
      </c>
      <c r="E5838" s="1038" t="s">
        <v>43</v>
      </c>
      <c r="F5838" s="1562" t="s">
        <v>527</v>
      </c>
      <c r="G5838" s="1563" t="s">
        <v>11049</v>
      </c>
      <c r="H5838" s="1038" t="s">
        <v>11506</v>
      </c>
    </row>
    <row r="5839" spans="2:8">
      <c r="B5839" s="1560">
        <v>46292</v>
      </c>
      <c r="C5839" s="1038" t="s">
        <v>11339</v>
      </c>
      <c r="D5839" s="1038" t="s">
        <v>1434</v>
      </c>
      <c r="E5839" s="1038" t="s">
        <v>43</v>
      </c>
      <c r="F5839" s="1562" t="s">
        <v>528</v>
      </c>
      <c r="G5839" s="1563" t="s">
        <v>11049</v>
      </c>
      <c r="H5839" s="1038" t="s">
        <v>11507</v>
      </c>
    </row>
    <row r="5840" spans="2:8">
      <c r="B5840" s="1560">
        <v>46292</v>
      </c>
      <c r="C5840" s="1038" t="s">
        <v>11339</v>
      </c>
      <c r="D5840" s="1038" t="s">
        <v>1410</v>
      </c>
      <c r="E5840" s="1038" t="s">
        <v>3418</v>
      </c>
      <c r="F5840" s="1562" t="s">
        <v>526</v>
      </c>
      <c r="G5840" s="1563">
        <v>87</v>
      </c>
      <c r="H5840" s="1038" t="s">
        <v>11508</v>
      </c>
    </row>
    <row r="5841" spans="2:8">
      <c r="B5841" s="1560">
        <v>46292</v>
      </c>
      <c r="C5841" s="1038" t="s">
        <v>11339</v>
      </c>
      <c r="D5841" s="1038" t="s">
        <v>1410</v>
      </c>
      <c r="E5841" s="1038" t="s">
        <v>3418</v>
      </c>
      <c r="F5841" s="1562" t="s">
        <v>527</v>
      </c>
      <c r="G5841" s="1563">
        <v>88</v>
      </c>
      <c r="H5841" s="1038" t="s">
        <v>11509</v>
      </c>
    </row>
    <row r="5842" spans="2:8">
      <c r="B5842" s="1560">
        <v>46292</v>
      </c>
      <c r="C5842" s="1038" t="s">
        <v>11339</v>
      </c>
      <c r="D5842" s="1038" t="s">
        <v>1410</v>
      </c>
      <c r="E5842" s="1038" t="s">
        <v>3418</v>
      </c>
      <c r="F5842" s="1562" t="s">
        <v>528</v>
      </c>
      <c r="G5842" s="1563">
        <v>90</v>
      </c>
      <c r="H5842" s="1038" t="s">
        <v>11510</v>
      </c>
    </row>
    <row r="5843" spans="2:8">
      <c r="B5843" s="1560">
        <v>46292</v>
      </c>
      <c r="C5843" s="1038" t="s">
        <v>11339</v>
      </c>
      <c r="D5843" s="1038" t="s">
        <v>1434</v>
      </c>
      <c r="E5843" s="1038" t="s">
        <v>1441</v>
      </c>
      <c r="F5843" s="1562" t="s">
        <v>526</v>
      </c>
      <c r="G5843" s="1563"/>
      <c r="H5843" s="1038" t="s">
        <v>11511</v>
      </c>
    </row>
    <row r="5844" spans="2:8">
      <c r="B5844" s="1560">
        <v>46292</v>
      </c>
      <c r="C5844" s="1038" t="s">
        <v>11339</v>
      </c>
      <c r="D5844" s="1038" t="s">
        <v>1434</v>
      </c>
      <c r="E5844" s="1038" t="s">
        <v>1441</v>
      </c>
      <c r="F5844" s="1562" t="s">
        <v>527</v>
      </c>
      <c r="G5844" s="1563"/>
      <c r="H5844" s="1038" t="s">
        <v>11512</v>
      </c>
    </row>
    <row r="5845" spans="2:8">
      <c r="B5845" s="1560">
        <v>46292</v>
      </c>
      <c r="C5845" s="1038" t="s">
        <v>11339</v>
      </c>
      <c r="D5845" s="1038" t="s">
        <v>1434</v>
      </c>
      <c r="E5845" s="1038" t="s">
        <v>1441</v>
      </c>
      <c r="F5845" s="1562" t="s">
        <v>528</v>
      </c>
      <c r="G5845" s="1563"/>
      <c r="H5845" s="1038" t="s">
        <v>11513</v>
      </c>
    </row>
    <row r="5846" spans="2:8">
      <c r="B5846" s="1560">
        <v>46292</v>
      </c>
      <c r="C5846" s="1038" t="s">
        <v>11339</v>
      </c>
      <c r="D5846" s="1038" t="s">
        <v>1410</v>
      </c>
      <c r="E5846" s="1038" t="s">
        <v>3425</v>
      </c>
      <c r="F5846" s="1562" t="s">
        <v>526</v>
      </c>
      <c r="G5846" s="1563" t="s">
        <v>1443</v>
      </c>
      <c r="H5846" s="1038" t="s">
        <v>11514</v>
      </c>
    </row>
    <row r="5847" spans="2:8">
      <c r="B5847" s="1560">
        <v>46292</v>
      </c>
      <c r="C5847" s="1038" t="s">
        <v>11339</v>
      </c>
      <c r="D5847" s="1038" t="s">
        <v>1410</v>
      </c>
      <c r="E5847" s="1038" t="s">
        <v>3425</v>
      </c>
      <c r="F5847" s="1562" t="s">
        <v>527</v>
      </c>
      <c r="G5847" s="1563" t="s">
        <v>1443</v>
      </c>
      <c r="H5847" s="1038" t="s">
        <v>11515</v>
      </c>
    </row>
    <row r="5848" spans="2:8">
      <c r="B5848" s="1560">
        <v>46292</v>
      </c>
      <c r="C5848" s="1038" t="s">
        <v>11339</v>
      </c>
      <c r="D5848" s="1038" t="s">
        <v>1410</v>
      </c>
      <c r="E5848" s="1038" t="s">
        <v>3425</v>
      </c>
      <c r="F5848" s="1562" t="s">
        <v>528</v>
      </c>
      <c r="G5848" s="1563" t="s">
        <v>1443</v>
      </c>
      <c r="H5848" s="1038" t="s">
        <v>11516</v>
      </c>
    </row>
    <row r="5849" spans="2:8">
      <c r="B5849" s="1560">
        <v>46292</v>
      </c>
      <c r="C5849" s="1038" t="s">
        <v>11339</v>
      </c>
      <c r="D5849" s="1038" t="s">
        <v>1434</v>
      </c>
      <c r="E5849" s="1038" t="s">
        <v>1444</v>
      </c>
      <c r="F5849" s="1562" t="s">
        <v>526</v>
      </c>
      <c r="G5849" s="1563"/>
      <c r="H5849" s="1038" t="s">
        <v>11517</v>
      </c>
    </row>
    <row r="5850" spans="2:8">
      <c r="B5850" s="1560">
        <v>46292</v>
      </c>
      <c r="C5850" s="1038" t="s">
        <v>11339</v>
      </c>
      <c r="D5850" s="1038" t="s">
        <v>1434</v>
      </c>
      <c r="E5850" s="1038" t="s">
        <v>1444</v>
      </c>
      <c r="F5850" s="1562" t="s">
        <v>527</v>
      </c>
      <c r="G5850" s="1563"/>
      <c r="H5850" s="1038" t="s">
        <v>11518</v>
      </c>
    </row>
    <row r="5851" spans="2:8">
      <c r="B5851" s="1560">
        <v>46292</v>
      </c>
      <c r="C5851" s="1038" t="s">
        <v>11339</v>
      </c>
      <c r="D5851" s="1038" t="s">
        <v>1434</v>
      </c>
      <c r="E5851" s="1038" t="s">
        <v>1444</v>
      </c>
      <c r="F5851" s="1562" t="s">
        <v>528</v>
      </c>
      <c r="G5851" s="1563"/>
      <c r="H5851" s="1038" t="s">
        <v>11519</v>
      </c>
    </row>
    <row r="5852" spans="2:8">
      <c r="B5852" s="1560">
        <v>46292</v>
      </c>
      <c r="C5852" s="1038" t="s">
        <v>11339</v>
      </c>
      <c r="D5852" s="1038" t="s">
        <v>1434</v>
      </c>
      <c r="E5852" s="1038" t="s">
        <v>1446</v>
      </c>
      <c r="F5852" s="1562" t="s">
        <v>526</v>
      </c>
      <c r="G5852" s="1563" t="s">
        <v>11520</v>
      </c>
      <c r="H5852" s="1038" t="s">
        <v>11521</v>
      </c>
    </row>
    <row r="5853" spans="2:8">
      <c r="B5853" s="1560">
        <v>46292</v>
      </c>
      <c r="C5853" s="1038" t="s">
        <v>11339</v>
      </c>
      <c r="D5853" s="1038" t="s">
        <v>1434</v>
      </c>
      <c r="E5853" s="1038" t="s">
        <v>1446</v>
      </c>
      <c r="F5853" s="1562" t="s">
        <v>527</v>
      </c>
      <c r="G5853" s="1563" t="s">
        <v>11522</v>
      </c>
      <c r="H5853" s="1038" t="s">
        <v>11523</v>
      </c>
    </row>
    <row r="5854" spans="2:8">
      <c r="B5854" s="1560">
        <v>46292</v>
      </c>
      <c r="C5854" s="1038" t="s">
        <v>11339</v>
      </c>
      <c r="D5854" s="1038" t="s">
        <v>1434</v>
      </c>
      <c r="E5854" s="1038" t="s">
        <v>1446</v>
      </c>
      <c r="F5854" s="1562" t="s">
        <v>528</v>
      </c>
      <c r="G5854" s="1563" t="s">
        <v>11524</v>
      </c>
      <c r="H5854" s="1038" t="s">
        <v>11525</v>
      </c>
    </row>
    <row r="5855" spans="2:8">
      <c r="B5855" s="1560">
        <v>46292</v>
      </c>
      <c r="C5855" s="1038" t="s">
        <v>11339</v>
      </c>
      <c r="D5855" s="1038" t="s">
        <v>1410</v>
      </c>
      <c r="E5855" s="1038" t="s">
        <v>3435</v>
      </c>
      <c r="F5855" s="1562" t="s">
        <v>526</v>
      </c>
      <c r="G5855" s="1563" t="s">
        <v>1586</v>
      </c>
      <c r="H5855" s="1038" t="s">
        <v>11526</v>
      </c>
    </row>
    <row r="5856" spans="2:8">
      <c r="B5856" s="1560">
        <v>46292</v>
      </c>
      <c r="C5856" s="1038" t="s">
        <v>11339</v>
      </c>
      <c r="D5856" s="1038" t="s">
        <v>1410</v>
      </c>
      <c r="E5856" s="1038" t="s">
        <v>3435</v>
      </c>
      <c r="F5856" s="1562" t="s">
        <v>527</v>
      </c>
      <c r="G5856" s="1563" t="s">
        <v>1586</v>
      </c>
      <c r="H5856" s="1038" t="s">
        <v>11527</v>
      </c>
    </row>
    <row r="5857" spans="2:8">
      <c r="B5857" s="1560">
        <v>46292</v>
      </c>
      <c r="C5857" s="1038" t="s">
        <v>11339</v>
      </c>
      <c r="D5857" s="1038" t="s">
        <v>1410</v>
      </c>
      <c r="E5857" s="1038" t="s">
        <v>3435</v>
      </c>
      <c r="F5857" s="1562" t="s">
        <v>528</v>
      </c>
      <c r="G5857" s="1563" t="s">
        <v>1586</v>
      </c>
      <c r="H5857" s="1038" t="s">
        <v>11528</v>
      </c>
    </row>
    <row r="5858" spans="2:8">
      <c r="B5858" s="1560">
        <v>46292</v>
      </c>
      <c r="C5858" s="1038" t="s">
        <v>11339</v>
      </c>
      <c r="D5858" s="1038" t="s">
        <v>1434</v>
      </c>
      <c r="E5858" s="1038" t="s">
        <v>3439</v>
      </c>
      <c r="F5858" s="1562" t="s">
        <v>526</v>
      </c>
      <c r="G5858" s="1563"/>
      <c r="H5858" s="1038" t="s">
        <v>11529</v>
      </c>
    </row>
    <row r="5859" spans="2:8">
      <c r="B5859" s="1560">
        <v>46292</v>
      </c>
      <c r="C5859" s="1038" t="s">
        <v>11339</v>
      </c>
      <c r="D5859" s="1038" t="s">
        <v>1434</v>
      </c>
      <c r="E5859" s="1038" t="s">
        <v>3439</v>
      </c>
      <c r="F5859" s="1562" t="s">
        <v>527</v>
      </c>
      <c r="G5859" s="1563"/>
      <c r="H5859" s="1038" t="s">
        <v>11530</v>
      </c>
    </row>
    <row r="5860" spans="2:8">
      <c r="B5860" s="1560">
        <v>46292</v>
      </c>
      <c r="C5860" s="1038" t="s">
        <v>11339</v>
      </c>
      <c r="D5860" s="1038" t="s">
        <v>1434</v>
      </c>
      <c r="E5860" s="1038" t="s">
        <v>3439</v>
      </c>
      <c r="F5860" s="1562" t="s">
        <v>528</v>
      </c>
      <c r="G5860" s="1563"/>
      <c r="H5860" s="1038" t="s">
        <v>11531</v>
      </c>
    </row>
    <row r="5861" spans="2:8">
      <c r="B5861" s="1560">
        <v>46292</v>
      </c>
      <c r="C5861" s="1038" t="s">
        <v>11339</v>
      </c>
      <c r="D5861" s="1038" t="s">
        <v>1410</v>
      </c>
      <c r="E5861" s="1038" t="s">
        <v>3443</v>
      </c>
      <c r="F5861" s="1562" t="s">
        <v>526</v>
      </c>
      <c r="G5861" s="1563"/>
      <c r="H5861" s="1038" t="s">
        <v>11532</v>
      </c>
    </row>
    <row r="5862" spans="2:8">
      <c r="B5862" s="1560">
        <v>46292</v>
      </c>
      <c r="C5862" s="1038" t="s">
        <v>11339</v>
      </c>
      <c r="D5862" s="1038" t="s">
        <v>1410</v>
      </c>
      <c r="E5862" s="1038" t="s">
        <v>3443</v>
      </c>
      <c r="F5862" s="1562" t="s">
        <v>527</v>
      </c>
      <c r="G5862" s="1563"/>
      <c r="H5862" s="1038" t="s">
        <v>11533</v>
      </c>
    </row>
    <row r="5863" spans="2:8">
      <c r="B5863" s="1560">
        <v>46292</v>
      </c>
      <c r="C5863" s="1038" t="s">
        <v>11339</v>
      </c>
      <c r="D5863" s="1038" t="s">
        <v>1410</v>
      </c>
      <c r="E5863" s="1038" t="s">
        <v>3443</v>
      </c>
      <c r="F5863" s="1562" t="s">
        <v>528</v>
      </c>
      <c r="G5863" s="1563"/>
      <c r="H5863" s="1038" t="s">
        <v>11534</v>
      </c>
    </row>
    <row r="5864" spans="2:8">
      <c r="B5864" s="1560">
        <v>46292</v>
      </c>
      <c r="C5864" s="1038" t="s">
        <v>11339</v>
      </c>
      <c r="D5864" s="1038" t="s">
        <v>1434</v>
      </c>
      <c r="E5864" s="1038" t="s">
        <v>3447</v>
      </c>
      <c r="F5864" s="1562" t="s">
        <v>526</v>
      </c>
      <c r="G5864" s="1563"/>
      <c r="H5864" s="1038" t="s">
        <v>11535</v>
      </c>
    </row>
    <row r="5865" spans="2:8">
      <c r="B5865" s="1560">
        <v>46292</v>
      </c>
      <c r="C5865" s="1038" t="s">
        <v>11339</v>
      </c>
      <c r="D5865" s="1038" t="s">
        <v>1434</v>
      </c>
      <c r="E5865" s="1038" t="s">
        <v>3447</v>
      </c>
      <c r="F5865" s="1562" t="s">
        <v>527</v>
      </c>
      <c r="G5865" s="1563"/>
      <c r="H5865" s="1038" t="s">
        <v>11536</v>
      </c>
    </row>
    <row r="5866" spans="2:8">
      <c r="B5866" s="1560">
        <v>46292</v>
      </c>
      <c r="C5866" s="1038" t="s">
        <v>11339</v>
      </c>
      <c r="D5866" s="1038" t="s">
        <v>1434</v>
      </c>
      <c r="E5866" s="1038" t="s">
        <v>3447</v>
      </c>
      <c r="F5866" s="1562" t="s">
        <v>528</v>
      </c>
      <c r="G5866" s="1563"/>
      <c r="H5866" s="1038" t="s">
        <v>11537</v>
      </c>
    </row>
    <row r="5867" spans="2:8">
      <c r="B5867" s="1560">
        <v>46292</v>
      </c>
      <c r="C5867" s="1038" t="s">
        <v>11339</v>
      </c>
      <c r="D5867" s="1038" t="s">
        <v>1410</v>
      </c>
      <c r="E5867" s="1038" t="s">
        <v>3451</v>
      </c>
      <c r="F5867" s="1562" t="s">
        <v>526</v>
      </c>
      <c r="G5867" s="1563"/>
      <c r="H5867" s="1038" t="s">
        <v>11538</v>
      </c>
    </row>
    <row r="5868" spans="2:8">
      <c r="B5868" s="1560">
        <v>46292</v>
      </c>
      <c r="C5868" s="1038" t="s">
        <v>11339</v>
      </c>
      <c r="D5868" s="1038" t="s">
        <v>1410</v>
      </c>
      <c r="E5868" s="1038" t="s">
        <v>3451</v>
      </c>
      <c r="F5868" s="1562" t="s">
        <v>527</v>
      </c>
      <c r="G5868" s="1563"/>
      <c r="H5868" s="1038" t="s">
        <v>11539</v>
      </c>
    </row>
    <row r="5869" spans="2:8">
      <c r="B5869" s="1560">
        <v>46292</v>
      </c>
      <c r="C5869" s="1038" t="s">
        <v>11339</v>
      </c>
      <c r="D5869" s="1038" t="s">
        <v>1410</v>
      </c>
      <c r="E5869" s="1038" t="s">
        <v>3451</v>
      </c>
      <c r="F5869" s="1562" t="s">
        <v>528</v>
      </c>
      <c r="G5869" s="1563"/>
      <c r="H5869" s="1038" t="s">
        <v>11540</v>
      </c>
    </row>
    <row r="5870" spans="2:8">
      <c r="B5870" s="1560">
        <v>46292</v>
      </c>
      <c r="C5870" s="1038" t="s">
        <v>11339</v>
      </c>
      <c r="D5870" s="1038" t="s">
        <v>1434</v>
      </c>
      <c r="E5870" s="1038" t="s">
        <v>3455</v>
      </c>
      <c r="F5870" s="1562" t="s">
        <v>526</v>
      </c>
      <c r="G5870" s="1563"/>
      <c r="H5870" s="1038" t="s">
        <v>11541</v>
      </c>
    </row>
    <row r="5871" spans="2:8">
      <c r="B5871" s="1560">
        <v>46292</v>
      </c>
      <c r="C5871" s="1038" t="s">
        <v>11339</v>
      </c>
      <c r="D5871" s="1038" t="s">
        <v>1434</v>
      </c>
      <c r="E5871" s="1038" t="s">
        <v>3455</v>
      </c>
      <c r="F5871" s="1562" t="s">
        <v>527</v>
      </c>
      <c r="G5871" s="1563"/>
      <c r="H5871" s="1038" t="s">
        <v>11542</v>
      </c>
    </row>
    <row r="5872" spans="2:8">
      <c r="B5872" s="1560">
        <v>46292</v>
      </c>
      <c r="C5872" s="1038" t="s">
        <v>11339</v>
      </c>
      <c r="D5872" s="1038" t="s">
        <v>1434</v>
      </c>
      <c r="E5872" s="1038" t="s">
        <v>3455</v>
      </c>
      <c r="F5872" s="1562" t="s">
        <v>528</v>
      </c>
      <c r="G5872" s="1563"/>
      <c r="H5872" s="1038" t="s">
        <v>11543</v>
      </c>
    </row>
    <row r="5873" spans="2:8">
      <c r="B5873" s="1560">
        <v>46292</v>
      </c>
      <c r="C5873" s="1038" t="s">
        <v>11339</v>
      </c>
      <c r="D5873" s="1038" t="s">
        <v>1410</v>
      </c>
      <c r="E5873" s="1038" t="s">
        <v>3459</v>
      </c>
      <c r="F5873" s="1562" t="s">
        <v>526</v>
      </c>
      <c r="G5873" s="1563">
        <v>30</v>
      </c>
      <c r="H5873" s="1038" t="s">
        <v>11544</v>
      </c>
    </row>
    <row r="5874" spans="2:8">
      <c r="B5874" s="1560">
        <v>46292</v>
      </c>
      <c r="C5874" s="1038" t="s">
        <v>11339</v>
      </c>
      <c r="D5874" s="1038" t="s">
        <v>1410</v>
      </c>
      <c r="E5874" s="1038" t="s">
        <v>3459</v>
      </c>
      <c r="F5874" s="1562" t="s">
        <v>527</v>
      </c>
      <c r="G5874" s="1563">
        <v>30</v>
      </c>
      <c r="H5874" s="1038" t="s">
        <v>11545</v>
      </c>
    </row>
    <row r="5875" spans="2:8">
      <c r="B5875" s="1560">
        <v>46292</v>
      </c>
      <c r="C5875" s="1038" t="s">
        <v>11339</v>
      </c>
      <c r="D5875" s="1038" t="s">
        <v>1410</v>
      </c>
      <c r="E5875" s="1038" t="s">
        <v>3459</v>
      </c>
      <c r="F5875" s="1562" t="s">
        <v>528</v>
      </c>
      <c r="G5875" s="1563">
        <v>26</v>
      </c>
      <c r="H5875" s="1038" t="s">
        <v>11546</v>
      </c>
    </row>
    <row r="5876" spans="2:8">
      <c r="B5876" s="1560">
        <v>46292</v>
      </c>
      <c r="C5876" s="1038" t="s">
        <v>11339</v>
      </c>
      <c r="D5876" s="1038" t="s">
        <v>1434</v>
      </c>
      <c r="E5876" s="1038" t="s">
        <v>3463</v>
      </c>
      <c r="F5876" s="1562" t="s">
        <v>526</v>
      </c>
      <c r="G5876" s="1563"/>
      <c r="H5876" s="1038" t="s">
        <v>11547</v>
      </c>
    </row>
    <row r="5877" spans="2:8">
      <c r="B5877" s="1560">
        <v>46292</v>
      </c>
      <c r="C5877" s="1038" t="s">
        <v>11339</v>
      </c>
      <c r="D5877" s="1038" t="s">
        <v>1434</v>
      </c>
      <c r="E5877" s="1038" t="s">
        <v>3463</v>
      </c>
      <c r="F5877" s="1562" t="s">
        <v>527</v>
      </c>
      <c r="G5877" s="1563"/>
      <c r="H5877" s="1038" t="s">
        <v>11548</v>
      </c>
    </row>
    <row r="5878" spans="2:8">
      <c r="B5878" s="1560">
        <v>46292</v>
      </c>
      <c r="C5878" s="1038" t="s">
        <v>11339</v>
      </c>
      <c r="D5878" s="1038" t="s">
        <v>1434</v>
      </c>
      <c r="E5878" s="1038" t="s">
        <v>3463</v>
      </c>
      <c r="F5878" s="1562" t="s">
        <v>528</v>
      </c>
      <c r="G5878" s="1563"/>
      <c r="H5878" s="1038" t="s">
        <v>11549</v>
      </c>
    </row>
    <row r="5879" spans="2:8">
      <c r="B5879" s="1560">
        <v>46292</v>
      </c>
      <c r="C5879" s="1038" t="s">
        <v>11339</v>
      </c>
      <c r="D5879" s="1038" t="s">
        <v>1410</v>
      </c>
      <c r="E5879" s="1038" t="s">
        <v>3467</v>
      </c>
      <c r="F5879" s="1562" t="s">
        <v>526</v>
      </c>
      <c r="G5879" s="1563"/>
      <c r="H5879" s="1038" t="s">
        <v>11550</v>
      </c>
    </row>
    <row r="5880" spans="2:8">
      <c r="B5880" s="1560">
        <v>46292</v>
      </c>
      <c r="C5880" s="1038" t="s">
        <v>11339</v>
      </c>
      <c r="D5880" s="1038" t="s">
        <v>1410</v>
      </c>
      <c r="E5880" s="1038" t="s">
        <v>3467</v>
      </c>
      <c r="F5880" s="1562" t="s">
        <v>527</v>
      </c>
      <c r="G5880" s="1563">
        <v>30</v>
      </c>
      <c r="H5880" s="1038" t="s">
        <v>11551</v>
      </c>
    </row>
    <row r="5881" spans="2:8">
      <c r="B5881" s="1560">
        <v>46292</v>
      </c>
      <c r="C5881" s="1038" t="s">
        <v>11339</v>
      </c>
      <c r="D5881" s="1038" t="s">
        <v>1410</v>
      </c>
      <c r="E5881" s="1038" t="s">
        <v>3467</v>
      </c>
      <c r="F5881" s="1562" t="s">
        <v>528</v>
      </c>
      <c r="G5881" s="1563">
        <v>26</v>
      </c>
      <c r="H5881" s="1038" t="s">
        <v>11552</v>
      </c>
    </row>
    <row r="5882" spans="2:8">
      <c r="B5882" s="1560">
        <v>46292</v>
      </c>
      <c r="C5882" s="1038" t="s">
        <v>11339</v>
      </c>
      <c r="D5882" s="1038" t="s">
        <v>1434</v>
      </c>
      <c r="E5882" s="1038" t="s">
        <v>3471</v>
      </c>
      <c r="F5882" s="1562" t="s">
        <v>526</v>
      </c>
      <c r="G5882" s="1563"/>
      <c r="H5882" s="1038" t="s">
        <v>11553</v>
      </c>
    </row>
    <row r="5883" spans="2:8">
      <c r="B5883" s="1560">
        <v>46292</v>
      </c>
      <c r="C5883" s="1038" t="s">
        <v>11339</v>
      </c>
      <c r="D5883" s="1038" t="s">
        <v>1434</v>
      </c>
      <c r="E5883" s="1038" t="s">
        <v>3471</v>
      </c>
      <c r="F5883" s="1562" t="s">
        <v>527</v>
      </c>
      <c r="G5883" s="1563"/>
      <c r="H5883" s="1038" t="s">
        <v>11554</v>
      </c>
    </row>
    <row r="5884" spans="2:8">
      <c r="B5884" s="1560">
        <v>46292</v>
      </c>
      <c r="C5884" s="1038" t="s">
        <v>11339</v>
      </c>
      <c r="D5884" s="1038" t="s">
        <v>1434</v>
      </c>
      <c r="E5884" s="1038" t="s">
        <v>3471</v>
      </c>
      <c r="F5884" s="1562" t="s">
        <v>528</v>
      </c>
      <c r="G5884" s="1563"/>
      <c r="H5884" s="1038" t="s">
        <v>11555</v>
      </c>
    </row>
    <row r="5885" spans="2:8">
      <c r="B5885" s="1560">
        <v>46292</v>
      </c>
      <c r="C5885" s="1038" t="s">
        <v>11339</v>
      </c>
      <c r="D5885" s="1038" t="s">
        <v>1410</v>
      </c>
      <c r="E5885" s="1038" t="s">
        <v>3475</v>
      </c>
      <c r="F5885" s="1562" t="s">
        <v>526</v>
      </c>
      <c r="G5885" s="1563">
        <v>17</v>
      </c>
      <c r="H5885" s="1038" t="s">
        <v>11556</v>
      </c>
    </row>
    <row r="5886" spans="2:8">
      <c r="B5886" s="1560">
        <v>46292</v>
      </c>
      <c r="C5886" s="1038" t="s">
        <v>11339</v>
      </c>
      <c r="D5886" s="1038" t="s">
        <v>1410</v>
      </c>
      <c r="E5886" s="1038" t="s">
        <v>3475</v>
      </c>
      <c r="F5886" s="1562" t="s">
        <v>527</v>
      </c>
      <c r="G5886" s="1563">
        <v>17</v>
      </c>
      <c r="H5886" s="1038" t="s">
        <v>11557</v>
      </c>
    </row>
    <row r="5887" spans="2:8">
      <c r="B5887" s="1560">
        <v>46292</v>
      </c>
      <c r="C5887" s="1038" t="s">
        <v>11339</v>
      </c>
      <c r="D5887" s="1038" t="s">
        <v>1410</v>
      </c>
      <c r="E5887" s="1038" t="s">
        <v>3475</v>
      </c>
      <c r="F5887" s="1562" t="s">
        <v>528</v>
      </c>
      <c r="G5887" s="1563">
        <v>17</v>
      </c>
      <c r="H5887" s="1038" t="s">
        <v>11558</v>
      </c>
    </row>
    <row r="5888" spans="2:8">
      <c r="B5888" s="1560">
        <v>46292</v>
      </c>
      <c r="C5888" s="1038" t="s">
        <v>11339</v>
      </c>
      <c r="D5888" s="1038" t="s">
        <v>1434</v>
      </c>
      <c r="E5888" s="1038" t="s">
        <v>3479</v>
      </c>
      <c r="F5888" s="1562" t="s">
        <v>526</v>
      </c>
      <c r="G5888" s="1563"/>
      <c r="H5888" s="1038" t="s">
        <v>11559</v>
      </c>
    </row>
    <row r="5889" spans="2:8">
      <c r="B5889" s="1560">
        <v>46292</v>
      </c>
      <c r="C5889" s="1038" t="s">
        <v>11339</v>
      </c>
      <c r="D5889" s="1038" t="s">
        <v>1434</v>
      </c>
      <c r="E5889" s="1038" t="s">
        <v>3479</v>
      </c>
      <c r="F5889" s="1562" t="s">
        <v>527</v>
      </c>
      <c r="G5889" s="1563"/>
      <c r="H5889" s="1038" t="s">
        <v>11560</v>
      </c>
    </row>
    <row r="5890" spans="2:8">
      <c r="B5890" s="1560">
        <v>46292</v>
      </c>
      <c r="C5890" s="1038" t="s">
        <v>11339</v>
      </c>
      <c r="D5890" s="1038" t="s">
        <v>1434</v>
      </c>
      <c r="E5890" s="1038" t="s">
        <v>3479</v>
      </c>
      <c r="F5890" s="1562" t="s">
        <v>528</v>
      </c>
      <c r="G5890" s="1563"/>
      <c r="H5890" s="1038" t="s">
        <v>11561</v>
      </c>
    </row>
    <row r="5891" spans="2:8">
      <c r="B5891" s="1560">
        <v>46292</v>
      </c>
      <c r="C5891" s="1038" t="s">
        <v>11339</v>
      </c>
      <c r="D5891" s="1038" t="s">
        <v>1410</v>
      </c>
      <c r="E5891" s="1038" t="s">
        <v>3483</v>
      </c>
      <c r="F5891" s="1562" t="s">
        <v>526</v>
      </c>
      <c r="G5891" s="1563">
        <v>5</v>
      </c>
      <c r="H5891" s="1038" t="s">
        <v>11562</v>
      </c>
    </row>
    <row r="5892" spans="2:8">
      <c r="B5892" s="1560">
        <v>46292</v>
      </c>
      <c r="C5892" s="1038" t="s">
        <v>11339</v>
      </c>
      <c r="D5892" s="1038" t="s">
        <v>1410</v>
      </c>
      <c r="E5892" s="1038" t="s">
        <v>3483</v>
      </c>
      <c r="F5892" s="1562" t="s">
        <v>527</v>
      </c>
      <c r="G5892" s="1563">
        <v>5</v>
      </c>
      <c r="H5892" s="1038" t="s">
        <v>11563</v>
      </c>
    </row>
    <row r="5893" spans="2:8">
      <c r="B5893" s="1560">
        <v>46292</v>
      </c>
      <c r="C5893" s="1038" t="s">
        <v>11339</v>
      </c>
      <c r="D5893" s="1038" t="s">
        <v>1410</v>
      </c>
      <c r="E5893" s="1038" t="s">
        <v>3483</v>
      </c>
      <c r="F5893" s="1562" t="s">
        <v>528</v>
      </c>
      <c r="G5893" s="1564" t="s">
        <v>11564</v>
      </c>
      <c r="H5893" s="1038" t="s">
        <v>11565</v>
      </c>
    </row>
    <row r="5894" spans="2:8">
      <c r="B5894" s="1560">
        <v>46293</v>
      </c>
      <c r="C5894" s="1038" t="s">
        <v>11566</v>
      </c>
      <c r="D5894" s="1038" t="s">
        <v>1375</v>
      </c>
      <c r="E5894" s="1038" t="s">
        <v>1377</v>
      </c>
      <c r="F5894" s="1562" t="s">
        <v>526</v>
      </c>
      <c r="G5894" s="1563" t="s">
        <v>1378</v>
      </c>
      <c r="H5894" s="1038" t="s">
        <v>11567</v>
      </c>
    </row>
    <row r="5895" spans="2:8">
      <c r="B5895" s="1560">
        <v>46293</v>
      </c>
      <c r="C5895" s="1038" t="s">
        <v>11566</v>
      </c>
      <c r="D5895" s="1038" t="s">
        <v>1375</v>
      </c>
      <c r="E5895" s="1038" t="s">
        <v>1377</v>
      </c>
      <c r="F5895" s="1562" t="s">
        <v>527</v>
      </c>
      <c r="G5895" s="1563" t="s">
        <v>1378</v>
      </c>
      <c r="H5895" s="1038" t="s">
        <v>11568</v>
      </c>
    </row>
    <row r="5896" spans="2:8">
      <c r="B5896" s="1560">
        <v>46293</v>
      </c>
      <c r="C5896" s="1038" t="s">
        <v>11566</v>
      </c>
      <c r="D5896" s="1038" t="s">
        <v>1375</v>
      </c>
      <c r="E5896" s="1038" t="s">
        <v>1377</v>
      </c>
      <c r="F5896" s="1562" t="s">
        <v>528</v>
      </c>
      <c r="G5896" s="1563" t="s">
        <v>1378</v>
      </c>
      <c r="H5896" s="1038" t="s">
        <v>11569</v>
      </c>
    </row>
    <row r="5897" spans="2:8">
      <c r="B5897" s="1560">
        <v>46293</v>
      </c>
      <c r="C5897" s="1038" t="s">
        <v>11566</v>
      </c>
      <c r="D5897" s="1038" t="s">
        <v>1376</v>
      </c>
      <c r="E5897" s="1038" t="s">
        <v>1379</v>
      </c>
      <c r="F5897" s="1562" t="s">
        <v>526</v>
      </c>
      <c r="G5897" s="1563"/>
      <c r="H5897" s="1038" t="s">
        <v>11570</v>
      </c>
    </row>
    <row r="5898" spans="2:8">
      <c r="B5898" s="1560">
        <v>46293</v>
      </c>
      <c r="C5898" s="1038" t="s">
        <v>11566</v>
      </c>
      <c r="D5898" s="1038" t="s">
        <v>1376</v>
      </c>
      <c r="E5898" s="1038" t="s">
        <v>1379</v>
      </c>
      <c r="F5898" s="1562" t="s">
        <v>527</v>
      </c>
      <c r="G5898" s="1563"/>
      <c r="H5898" s="1038" t="s">
        <v>11571</v>
      </c>
    </row>
    <row r="5899" spans="2:8">
      <c r="B5899" s="1560">
        <v>46293</v>
      </c>
      <c r="C5899" s="1038" t="s">
        <v>11566</v>
      </c>
      <c r="D5899" s="1038" t="s">
        <v>1376</v>
      </c>
      <c r="E5899" s="1038" t="s">
        <v>1379</v>
      </c>
      <c r="F5899" s="1562" t="s">
        <v>528</v>
      </c>
      <c r="G5899" s="1563"/>
      <c r="H5899" s="1038" t="s">
        <v>11572</v>
      </c>
    </row>
    <row r="5900" spans="2:8">
      <c r="B5900" s="1560">
        <v>46293</v>
      </c>
      <c r="C5900" s="1038" t="s">
        <v>11566</v>
      </c>
      <c r="D5900" s="1038" t="s">
        <v>1375</v>
      </c>
      <c r="E5900" s="1038" t="s">
        <v>1380</v>
      </c>
      <c r="F5900" s="1562" t="s">
        <v>526</v>
      </c>
      <c r="G5900" s="1563" t="s">
        <v>11121</v>
      </c>
      <c r="H5900" s="1038" t="s">
        <v>11573</v>
      </c>
    </row>
    <row r="5901" spans="2:8">
      <c r="B5901" s="1560">
        <v>46293</v>
      </c>
      <c r="C5901" s="1038" t="s">
        <v>11566</v>
      </c>
      <c r="D5901" s="1038" t="s">
        <v>1375</v>
      </c>
      <c r="E5901" s="1038" t="s">
        <v>1380</v>
      </c>
      <c r="F5901" s="1562" t="s">
        <v>527</v>
      </c>
      <c r="G5901" s="1563" t="s">
        <v>11121</v>
      </c>
      <c r="H5901" s="1038" t="s">
        <v>11574</v>
      </c>
    </row>
    <row r="5902" spans="2:8">
      <c r="B5902" s="1560">
        <v>46293</v>
      </c>
      <c r="C5902" s="1038" t="s">
        <v>11566</v>
      </c>
      <c r="D5902" s="1038" t="s">
        <v>1375</v>
      </c>
      <c r="E5902" s="1038" t="s">
        <v>1380</v>
      </c>
      <c r="F5902" s="1562" t="s">
        <v>528</v>
      </c>
      <c r="G5902" s="1563" t="s">
        <v>11121</v>
      </c>
      <c r="H5902" s="1038" t="s">
        <v>11575</v>
      </c>
    </row>
    <row r="5903" spans="2:8">
      <c r="B5903" s="1560">
        <v>46293</v>
      </c>
      <c r="C5903" s="1038" t="s">
        <v>11566</v>
      </c>
      <c r="D5903" s="1038" t="s">
        <v>1376</v>
      </c>
      <c r="E5903" s="1038" t="s">
        <v>1383</v>
      </c>
      <c r="F5903" s="1562" t="s">
        <v>526</v>
      </c>
      <c r="G5903" s="1563">
        <v>0</v>
      </c>
      <c r="H5903" s="1038" t="s">
        <v>11576</v>
      </c>
    </row>
    <row r="5904" spans="2:8">
      <c r="B5904" s="1560">
        <v>46293</v>
      </c>
      <c r="C5904" s="1038" t="s">
        <v>11566</v>
      </c>
      <c r="D5904" s="1038" t="s">
        <v>1376</v>
      </c>
      <c r="E5904" s="1038" t="s">
        <v>1383</v>
      </c>
      <c r="F5904" s="1562" t="s">
        <v>527</v>
      </c>
      <c r="G5904" s="1563">
        <v>0</v>
      </c>
      <c r="H5904" s="1038" t="s">
        <v>11577</v>
      </c>
    </row>
    <row r="5905" spans="2:8">
      <c r="B5905" s="1560">
        <v>46293</v>
      </c>
      <c r="C5905" s="1038" t="s">
        <v>11566</v>
      </c>
      <c r="D5905" s="1038" t="s">
        <v>1376</v>
      </c>
      <c r="E5905" s="1038" t="s">
        <v>1383</v>
      </c>
      <c r="F5905" s="1562" t="s">
        <v>528</v>
      </c>
      <c r="G5905" s="1563">
        <v>0</v>
      </c>
      <c r="H5905" s="1038" t="s">
        <v>11578</v>
      </c>
    </row>
    <row r="5906" spans="2:8">
      <c r="B5906" s="1560">
        <v>46293</v>
      </c>
      <c r="C5906" s="1038" t="s">
        <v>11566</v>
      </c>
      <c r="D5906" s="1038" t="s">
        <v>1375</v>
      </c>
      <c r="E5906" s="1038" t="s">
        <v>54</v>
      </c>
      <c r="F5906" s="1562" t="s">
        <v>526</v>
      </c>
      <c r="G5906" s="1563"/>
      <c r="H5906" s="1038" t="s">
        <v>11579</v>
      </c>
    </row>
    <row r="5907" spans="2:8">
      <c r="B5907" s="1560">
        <v>46293</v>
      </c>
      <c r="C5907" s="1038" t="s">
        <v>11566</v>
      </c>
      <c r="D5907" s="1038" t="s">
        <v>1375</v>
      </c>
      <c r="E5907" s="1038" t="s">
        <v>54</v>
      </c>
      <c r="F5907" s="1562" t="s">
        <v>527</v>
      </c>
      <c r="G5907" s="1563"/>
      <c r="H5907" s="1038" t="s">
        <v>11580</v>
      </c>
    </row>
    <row r="5908" spans="2:8">
      <c r="B5908" s="1560">
        <v>46293</v>
      </c>
      <c r="C5908" s="1038" t="s">
        <v>11566</v>
      </c>
      <c r="D5908" s="1038" t="s">
        <v>1375</v>
      </c>
      <c r="E5908" s="1038" t="s">
        <v>54</v>
      </c>
      <c r="F5908" s="1562" t="s">
        <v>528</v>
      </c>
      <c r="G5908" s="1563"/>
      <c r="H5908" s="1038" t="s">
        <v>11581</v>
      </c>
    </row>
    <row r="5909" spans="2:8">
      <c r="B5909" s="1560">
        <v>46293</v>
      </c>
      <c r="C5909" s="1038" t="s">
        <v>11566</v>
      </c>
      <c r="D5909" s="1038" t="s">
        <v>1376</v>
      </c>
      <c r="E5909" s="1038" t="s">
        <v>1384</v>
      </c>
      <c r="F5909" s="1562" t="s">
        <v>526</v>
      </c>
      <c r="G5909" s="1563">
        <v>0.4</v>
      </c>
      <c r="H5909" s="1038" t="s">
        <v>11582</v>
      </c>
    </row>
    <row r="5910" spans="2:8">
      <c r="B5910" s="1560">
        <v>46293</v>
      </c>
      <c r="C5910" s="1038" t="s">
        <v>11566</v>
      </c>
      <c r="D5910" s="1038" t="s">
        <v>1376</v>
      </c>
      <c r="E5910" s="1038" t="s">
        <v>1384</v>
      </c>
      <c r="F5910" s="1562" t="s">
        <v>527</v>
      </c>
      <c r="G5910" s="1563">
        <v>0.4</v>
      </c>
      <c r="H5910" s="1038" t="s">
        <v>11583</v>
      </c>
    </row>
    <row r="5911" spans="2:8">
      <c r="B5911" s="1560">
        <v>46293</v>
      </c>
      <c r="C5911" s="1038" t="s">
        <v>11566</v>
      </c>
      <c r="D5911" s="1038" t="s">
        <v>1376</v>
      </c>
      <c r="E5911" s="1038" t="s">
        <v>1384</v>
      </c>
      <c r="F5911" s="1562" t="s">
        <v>528</v>
      </c>
      <c r="G5911" s="1563">
        <v>0.46</v>
      </c>
      <c r="H5911" s="1038" t="s">
        <v>11584</v>
      </c>
    </row>
    <row r="5912" spans="2:8">
      <c r="B5912" s="1560">
        <v>46293</v>
      </c>
      <c r="C5912" s="1038" t="s">
        <v>11566</v>
      </c>
      <c r="D5912" s="1038" t="s">
        <v>1375</v>
      </c>
      <c r="E5912" s="1038" t="s">
        <v>1385</v>
      </c>
      <c r="F5912" s="1562" t="s">
        <v>526</v>
      </c>
      <c r="G5912" s="1563">
        <v>500</v>
      </c>
      <c r="H5912" s="1038" t="s">
        <v>11585</v>
      </c>
    </row>
    <row r="5913" spans="2:8">
      <c r="B5913" s="1560">
        <v>46293</v>
      </c>
      <c r="C5913" s="1038" t="s">
        <v>11566</v>
      </c>
      <c r="D5913" s="1038" t="s">
        <v>1375</v>
      </c>
      <c r="E5913" s="1038" t="s">
        <v>1385</v>
      </c>
      <c r="F5913" s="1562" t="s">
        <v>527</v>
      </c>
      <c r="G5913" s="1563">
        <v>2010</v>
      </c>
      <c r="H5913" s="1038" t="s">
        <v>11586</v>
      </c>
    </row>
    <row r="5914" spans="2:8">
      <c r="B5914" s="1560">
        <v>46293</v>
      </c>
      <c r="C5914" s="1038" t="s">
        <v>11566</v>
      </c>
      <c r="D5914" s="1038" t="s">
        <v>1375</v>
      </c>
      <c r="E5914" s="1038" t="s">
        <v>1385</v>
      </c>
      <c r="F5914" s="1562" t="s">
        <v>528</v>
      </c>
      <c r="G5914" s="1563">
        <v>3822</v>
      </c>
      <c r="H5914" s="1038" t="s">
        <v>11587</v>
      </c>
    </row>
    <row r="5915" spans="2:8">
      <c r="B5915" s="1560">
        <v>46293</v>
      </c>
      <c r="C5915" s="1038" t="s">
        <v>11566</v>
      </c>
      <c r="D5915" s="1038" t="s">
        <v>1376</v>
      </c>
      <c r="E5915" s="1038" t="s">
        <v>1386</v>
      </c>
      <c r="F5915" s="1562" t="s">
        <v>526</v>
      </c>
      <c r="G5915" s="1563">
        <v>0.44</v>
      </c>
      <c r="H5915" s="1038" t="s">
        <v>11588</v>
      </c>
    </row>
    <row r="5916" spans="2:8">
      <c r="B5916" s="1560">
        <v>46293</v>
      </c>
      <c r="C5916" s="1038" t="s">
        <v>11566</v>
      </c>
      <c r="D5916" s="1038" t="s">
        <v>1376</v>
      </c>
      <c r="E5916" s="1038" t="s">
        <v>1386</v>
      </c>
      <c r="F5916" s="1562" t="s">
        <v>527</v>
      </c>
      <c r="G5916" s="1563">
        <v>0.3</v>
      </c>
      <c r="H5916" s="1038" t="s">
        <v>11589</v>
      </c>
    </row>
    <row r="5917" spans="2:8">
      <c r="B5917" s="1560">
        <v>46293</v>
      </c>
      <c r="C5917" s="1038" t="s">
        <v>11566</v>
      </c>
      <c r="D5917" s="1038" t="s">
        <v>1376</v>
      </c>
      <c r="E5917" s="1038" t="s">
        <v>1386</v>
      </c>
      <c r="F5917" s="1562" t="s">
        <v>528</v>
      </c>
      <c r="G5917" s="1563">
        <v>0.4</v>
      </c>
      <c r="H5917" s="1038" t="s">
        <v>11590</v>
      </c>
    </row>
    <row r="5918" spans="2:8">
      <c r="B5918" s="1560">
        <v>46293</v>
      </c>
      <c r="C5918" s="1038" t="s">
        <v>11566</v>
      </c>
      <c r="D5918" s="1038" t="s">
        <v>1376</v>
      </c>
      <c r="E5918" s="1038" t="s">
        <v>1387</v>
      </c>
      <c r="F5918" s="1562" t="s">
        <v>526</v>
      </c>
      <c r="G5918" s="1563">
        <v>8.3000000000000007</v>
      </c>
      <c r="H5918" s="1038" t="s">
        <v>11591</v>
      </c>
    </row>
    <row r="5919" spans="2:8">
      <c r="B5919" s="1560">
        <v>46293</v>
      </c>
      <c r="C5919" s="1038" t="s">
        <v>11566</v>
      </c>
      <c r="D5919" s="1038" t="s">
        <v>1376</v>
      </c>
      <c r="E5919" s="1038" t="s">
        <v>1387</v>
      </c>
      <c r="F5919" s="1562" t="s">
        <v>527</v>
      </c>
      <c r="G5919" s="1563">
        <v>8.1999999999999993</v>
      </c>
      <c r="H5919" s="1038" t="s">
        <v>11592</v>
      </c>
    </row>
    <row r="5920" spans="2:8">
      <c r="B5920" s="1560">
        <v>46293</v>
      </c>
      <c r="C5920" s="1038" t="s">
        <v>11566</v>
      </c>
      <c r="D5920" s="1038" t="s">
        <v>1376</v>
      </c>
      <c r="E5920" s="1038" t="s">
        <v>1387</v>
      </c>
      <c r="F5920" s="1562" t="s">
        <v>528</v>
      </c>
      <c r="G5920" s="1563">
        <v>8.3000000000000007</v>
      </c>
      <c r="H5920" s="1038" t="s">
        <v>11593</v>
      </c>
    </row>
    <row r="5921" spans="2:8">
      <c r="B5921" s="1560">
        <v>46293</v>
      </c>
      <c r="C5921" s="1038" t="s">
        <v>11566</v>
      </c>
      <c r="D5921" s="1038" t="s">
        <v>1375</v>
      </c>
      <c r="E5921" s="1038" t="s">
        <v>1388</v>
      </c>
      <c r="F5921" s="1562" t="s">
        <v>526</v>
      </c>
      <c r="G5921" s="1563"/>
      <c r="H5921" s="1038" t="s">
        <v>11594</v>
      </c>
    </row>
    <row r="5922" spans="2:8">
      <c r="B5922" s="1560">
        <v>46293</v>
      </c>
      <c r="C5922" s="1038" t="s">
        <v>11566</v>
      </c>
      <c r="D5922" s="1038" t="s">
        <v>1375</v>
      </c>
      <c r="E5922" s="1038" t="s">
        <v>1388</v>
      </c>
      <c r="F5922" s="1562" t="s">
        <v>527</v>
      </c>
      <c r="G5922" s="1563"/>
      <c r="H5922" s="1038" t="s">
        <v>11595</v>
      </c>
    </row>
    <row r="5923" spans="2:8">
      <c r="B5923" s="1560">
        <v>46293</v>
      </c>
      <c r="C5923" s="1038" t="s">
        <v>11566</v>
      </c>
      <c r="D5923" s="1038" t="s">
        <v>1375</v>
      </c>
      <c r="E5923" s="1038" t="s">
        <v>1388</v>
      </c>
      <c r="F5923" s="1562" t="s">
        <v>528</v>
      </c>
      <c r="G5923" s="1563"/>
      <c r="H5923" s="1038" t="s">
        <v>11596</v>
      </c>
    </row>
    <row r="5924" spans="2:8">
      <c r="B5924" s="1560">
        <v>46293</v>
      </c>
      <c r="C5924" s="1038" t="s">
        <v>11566</v>
      </c>
      <c r="D5924" s="1038" t="s">
        <v>1376</v>
      </c>
      <c r="E5924" s="1038" t="s">
        <v>1389</v>
      </c>
      <c r="F5924" s="1562" t="s">
        <v>526</v>
      </c>
      <c r="G5924" s="1563">
        <v>62.2</v>
      </c>
      <c r="H5924" s="1038" t="s">
        <v>11597</v>
      </c>
    </row>
    <row r="5925" spans="2:8">
      <c r="B5925" s="1560">
        <v>46293</v>
      </c>
      <c r="C5925" s="1038" t="s">
        <v>11566</v>
      </c>
      <c r="D5925" s="1038" t="s">
        <v>1376</v>
      </c>
      <c r="E5925" s="1038" t="s">
        <v>1389</v>
      </c>
      <c r="F5925" s="1562" t="s">
        <v>527</v>
      </c>
      <c r="G5925" s="1563">
        <v>64.400000000000006</v>
      </c>
      <c r="H5925" s="1038" t="s">
        <v>11598</v>
      </c>
    </row>
    <row r="5926" spans="2:8">
      <c r="B5926" s="1560">
        <v>46293</v>
      </c>
      <c r="C5926" s="1038" t="s">
        <v>11566</v>
      </c>
      <c r="D5926" s="1038" t="s">
        <v>1376</v>
      </c>
      <c r="E5926" s="1038" t="s">
        <v>1389</v>
      </c>
      <c r="F5926" s="1562" t="s">
        <v>528</v>
      </c>
      <c r="G5926" s="1563">
        <v>64.3</v>
      </c>
      <c r="H5926" s="1038" t="s">
        <v>11599</v>
      </c>
    </row>
    <row r="5927" spans="2:8">
      <c r="B5927" s="1560">
        <v>46293</v>
      </c>
      <c r="C5927" s="1038" t="s">
        <v>11566</v>
      </c>
      <c r="D5927" s="1038" t="s">
        <v>1375</v>
      </c>
      <c r="E5927" s="1038" t="s">
        <v>3266</v>
      </c>
      <c r="F5927" s="1562" t="s">
        <v>526</v>
      </c>
      <c r="G5927" s="1563">
        <v>3</v>
      </c>
      <c r="H5927" s="1038" t="s">
        <v>11600</v>
      </c>
    </row>
    <row r="5928" spans="2:8">
      <c r="B5928" s="1560">
        <v>46293</v>
      </c>
      <c r="C5928" s="1038" t="s">
        <v>11566</v>
      </c>
      <c r="D5928" s="1038" t="s">
        <v>1375</v>
      </c>
      <c r="E5928" s="1038" t="s">
        <v>3266</v>
      </c>
      <c r="F5928" s="1562" t="s">
        <v>527</v>
      </c>
      <c r="G5928" s="1563">
        <v>4</v>
      </c>
      <c r="H5928" s="1038" t="s">
        <v>11601</v>
      </c>
    </row>
    <row r="5929" spans="2:8">
      <c r="B5929" s="1560">
        <v>46293</v>
      </c>
      <c r="C5929" s="1038" t="s">
        <v>11566</v>
      </c>
      <c r="D5929" s="1038" t="s">
        <v>1375</v>
      </c>
      <c r="E5929" s="1038" t="s">
        <v>3266</v>
      </c>
      <c r="F5929" s="1562" t="s">
        <v>528</v>
      </c>
      <c r="G5929" s="1563">
        <v>4</v>
      </c>
      <c r="H5929" s="1038" t="s">
        <v>11602</v>
      </c>
    </row>
    <row r="5930" spans="2:8">
      <c r="B5930" s="1560">
        <v>46293</v>
      </c>
      <c r="C5930" s="1038" t="s">
        <v>11566</v>
      </c>
      <c r="D5930" s="1038" t="s">
        <v>1376</v>
      </c>
      <c r="E5930" s="1038" t="s">
        <v>1390</v>
      </c>
      <c r="F5930" s="1562" t="s">
        <v>526</v>
      </c>
      <c r="G5930" s="1563">
        <v>1.8500000000000001E-3</v>
      </c>
      <c r="H5930" s="1038" t="s">
        <v>11603</v>
      </c>
    </row>
    <row r="5931" spans="2:8">
      <c r="B5931" s="1560">
        <v>46293</v>
      </c>
      <c r="C5931" s="1038" t="s">
        <v>11566</v>
      </c>
      <c r="D5931" s="1038" t="s">
        <v>1376</v>
      </c>
      <c r="E5931" s="1038" t="s">
        <v>1390</v>
      </c>
      <c r="F5931" s="1562" t="s">
        <v>527</v>
      </c>
      <c r="G5931" s="1563">
        <v>2.0799999999999998E-3</v>
      </c>
      <c r="H5931" s="1038" t="s">
        <v>11604</v>
      </c>
    </row>
    <row r="5932" spans="2:8">
      <c r="B5932" s="1560">
        <v>46293</v>
      </c>
      <c r="C5932" s="1038" t="s">
        <v>11566</v>
      </c>
      <c r="D5932" s="1038" t="s">
        <v>1376</v>
      </c>
      <c r="E5932" s="1038" t="s">
        <v>1390</v>
      </c>
      <c r="F5932" s="1562" t="s">
        <v>528</v>
      </c>
      <c r="G5932" s="1563">
        <v>1.98E-3</v>
      </c>
      <c r="H5932" s="1038" t="s">
        <v>11605</v>
      </c>
    </row>
    <row r="5933" spans="2:8">
      <c r="B5933" s="1560">
        <v>46293</v>
      </c>
      <c r="C5933" s="1038" t="s">
        <v>11566</v>
      </c>
      <c r="D5933" s="1038" t="s">
        <v>1375</v>
      </c>
      <c r="E5933" s="1038" t="s">
        <v>3273</v>
      </c>
      <c r="F5933" s="1562" t="s">
        <v>526</v>
      </c>
      <c r="G5933" s="1563">
        <v>1</v>
      </c>
      <c r="H5933" s="1038" t="s">
        <v>11606</v>
      </c>
    </row>
    <row r="5934" spans="2:8">
      <c r="B5934" s="1560">
        <v>46293</v>
      </c>
      <c r="C5934" s="1038" t="s">
        <v>11566</v>
      </c>
      <c r="D5934" s="1038" t="s">
        <v>1375</v>
      </c>
      <c r="E5934" s="1038" t="s">
        <v>3273</v>
      </c>
      <c r="F5934" s="1562" t="s">
        <v>527</v>
      </c>
      <c r="G5934" s="1563">
        <v>2</v>
      </c>
      <c r="H5934" s="1038" t="s">
        <v>11607</v>
      </c>
    </row>
    <row r="5935" spans="2:8">
      <c r="B5935" s="1560">
        <v>46293</v>
      </c>
      <c r="C5935" s="1038" t="s">
        <v>11566</v>
      </c>
      <c r="D5935" s="1038" t="s">
        <v>1375</v>
      </c>
      <c r="E5935" s="1038" t="s">
        <v>3273</v>
      </c>
      <c r="F5935" s="1562" t="s">
        <v>528</v>
      </c>
      <c r="G5935" s="1563">
        <v>1</v>
      </c>
      <c r="H5935" s="1038" t="s">
        <v>11608</v>
      </c>
    </row>
    <row r="5936" spans="2:8">
      <c r="B5936" s="1560">
        <v>46293</v>
      </c>
      <c r="C5936" s="1038" t="s">
        <v>11566</v>
      </c>
      <c r="D5936" s="1038" t="s">
        <v>1376</v>
      </c>
      <c r="E5936" s="1038" t="s">
        <v>1391</v>
      </c>
      <c r="F5936" s="1562" t="s">
        <v>526</v>
      </c>
      <c r="G5936" s="1563"/>
      <c r="H5936" s="1038" t="s">
        <v>11609</v>
      </c>
    </row>
    <row r="5937" spans="2:8">
      <c r="B5937" s="1560">
        <v>46293</v>
      </c>
      <c r="C5937" s="1038" t="s">
        <v>11566</v>
      </c>
      <c r="D5937" s="1038" t="s">
        <v>1376</v>
      </c>
      <c r="E5937" s="1038" t="s">
        <v>1391</v>
      </c>
      <c r="F5937" s="1562" t="s">
        <v>527</v>
      </c>
      <c r="G5937" s="1563"/>
      <c r="H5937" s="1038" t="s">
        <v>11610</v>
      </c>
    </row>
    <row r="5938" spans="2:8">
      <c r="B5938" s="1560">
        <v>46293</v>
      </c>
      <c r="C5938" s="1038" t="s">
        <v>11566</v>
      </c>
      <c r="D5938" s="1038" t="s">
        <v>1376</v>
      </c>
      <c r="E5938" s="1038" t="s">
        <v>1391</v>
      </c>
      <c r="F5938" s="1562" t="s">
        <v>528</v>
      </c>
      <c r="G5938" s="1563">
        <v>7560</v>
      </c>
      <c r="H5938" s="1038" t="s">
        <v>11611</v>
      </c>
    </row>
    <row r="5939" spans="2:8">
      <c r="B5939" s="1560">
        <v>46293</v>
      </c>
      <c r="C5939" s="1038" t="s">
        <v>11566</v>
      </c>
      <c r="D5939" s="1038" t="s">
        <v>1375</v>
      </c>
      <c r="E5939" s="1038" t="s">
        <v>3280</v>
      </c>
      <c r="F5939" s="1562" t="s">
        <v>526</v>
      </c>
      <c r="G5939" s="1563">
        <v>2</v>
      </c>
      <c r="H5939" s="1038" t="s">
        <v>11612</v>
      </c>
    </row>
    <row r="5940" spans="2:8">
      <c r="B5940" s="1560">
        <v>46293</v>
      </c>
      <c r="C5940" s="1038" t="s">
        <v>11566</v>
      </c>
      <c r="D5940" s="1038" t="s">
        <v>1375</v>
      </c>
      <c r="E5940" s="1038" t="s">
        <v>3280</v>
      </c>
      <c r="F5940" s="1562" t="s">
        <v>527</v>
      </c>
      <c r="G5940" s="1563">
        <v>2</v>
      </c>
      <c r="H5940" s="1038" t="s">
        <v>11613</v>
      </c>
    </row>
    <row r="5941" spans="2:8">
      <c r="B5941" s="1560">
        <v>46293</v>
      </c>
      <c r="C5941" s="1038" t="s">
        <v>11566</v>
      </c>
      <c r="D5941" s="1038" t="s">
        <v>1375</v>
      </c>
      <c r="E5941" s="1038" t="s">
        <v>3280</v>
      </c>
      <c r="F5941" s="1562" t="s">
        <v>528</v>
      </c>
      <c r="G5941" s="1563">
        <v>4</v>
      </c>
      <c r="H5941" s="1038" t="s">
        <v>11614</v>
      </c>
    </row>
    <row r="5942" spans="2:8">
      <c r="B5942" s="1560">
        <v>46293</v>
      </c>
      <c r="C5942" s="1038" t="s">
        <v>11566</v>
      </c>
      <c r="D5942" s="1038" t="s">
        <v>1376</v>
      </c>
      <c r="E5942" s="1038" t="s">
        <v>1392</v>
      </c>
      <c r="F5942" s="1562" t="s">
        <v>526</v>
      </c>
      <c r="G5942" s="1563">
        <v>7560</v>
      </c>
      <c r="H5942" s="1038" t="s">
        <v>11615</v>
      </c>
    </row>
    <row r="5943" spans="2:8">
      <c r="B5943" s="1560">
        <v>46293</v>
      </c>
      <c r="C5943" s="1038" t="s">
        <v>11566</v>
      </c>
      <c r="D5943" s="1038" t="s">
        <v>1376</v>
      </c>
      <c r="E5943" s="1038" t="s">
        <v>1392</v>
      </c>
      <c r="F5943" s="1562" t="s">
        <v>527</v>
      </c>
      <c r="G5943" s="1563"/>
      <c r="H5943" s="1038" t="s">
        <v>11616</v>
      </c>
    </row>
    <row r="5944" spans="2:8">
      <c r="B5944" s="1560">
        <v>46293</v>
      </c>
      <c r="C5944" s="1038" t="s">
        <v>11566</v>
      </c>
      <c r="D5944" s="1038" t="s">
        <v>1376</v>
      </c>
      <c r="E5944" s="1038" t="s">
        <v>1392</v>
      </c>
      <c r="F5944" s="1562" t="s">
        <v>528</v>
      </c>
      <c r="G5944" s="1563"/>
      <c r="H5944" s="1038" t="s">
        <v>11617</v>
      </c>
    </row>
    <row r="5945" spans="2:8">
      <c r="B5945" s="1560">
        <v>46293</v>
      </c>
      <c r="C5945" s="1038" t="s">
        <v>11566</v>
      </c>
      <c r="D5945" s="1038" t="s">
        <v>1375</v>
      </c>
      <c r="E5945" s="1038" t="s">
        <v>3287</v>
      </c>
      <c r="F5945" s="1562" t="s">
        <v>526</v>
      </c>
      <c r="G5945" s="1563">
        <v>2</v>
      </c>
      <c r="H5945" s="1038" t="s">
        <v>11618</v>
      </c>
    </row>
    <row r="5946" spans="2:8">
      <c r="B5946" s="1560">
        <v>46293</v>
      </c>
      <c r="C5946" s="1038" t="s">
        <v>11566</v>
      </c>
      <c r="D5946" s="1038" t="s">
        <v>1375</v>
      </c>
      <c r="E5946" s="1038" t="s">
        <v>3287</v>
      </c>
      <c r="F5946" s="1562" t="s">
        <v>527</v>
      </c>
      <c r="G5946" s="1563">
        <v>3</v>
      </c>
      <c r="H5946" s="1038" t="s">
        <v>11619</v>
      </c>
    </row>
    <row r="5947" spans="2:8">
      <c r="B5947" s="1560">
        <v>46293</v>
      </c>
      <c r="C5947" s="1038" t="s">
        <v>11566</v>
      </c>
      <c r="D5947" s="1038" t="s">
        <v>1375</v>
      </c>
      <c r="E5947" s="1038" t="s">
        <v>3287</v>
      </c>
      <c r="F5947" s="1562" t="s">
        <v>528</v>
      </c>
      <c r="G5947" s="1563">
        <v>4</v>
      </c>
      <c r="H5947" s="1038" t="s">
        <v>11620</v>
      </c>
    </row>
    <row r="5948" spans="2:8">
      <c r="B5948" s="1560">
        <v>46293</v>
      </c>
      <c r="C5948" s="1038" t="s">
        <v>11566</v>
      </c>
      <c r="D5948" s="1038" t="s">
        <v>1376</v>
      </c>
      <c r="E5948" s="1038" t="s">
        <v>453</v>
      </c>
      <c r="F5948" s="1562" t="s">
        <v>526</v>
      </c>
      <c r="G5948" s="1563"/>
      <c r="H5948" s="1038" t="s">
        <v>11621</v>
      </c>
    </row>
    <row r="5949" spans="2:8">
      <c r="B5949" s="1560">
        <v>46293</v>
      </c>
      <c r="C5949" s="1038" t="s">
        <v>11566</v>
      </c>
      <c r="D5949" s="1038" t="s">
        <v>1376</v>
      </c>
      <c r="E5949" s="1038" t="s">
        <v>453</v>
      </c>
      <c r="F5949" s="1562" t="s">
        <v>527</v>
      </c>
      <c r="G5949" s="1563"/>
      <c r="H5949" s="1038" t="s">
        <v>11622</v>
      </c>
    </row>
    <row r="5950" spans="2:8">
      <c r="B5950" s="1560">
        <v>46293</v>
      </c>
      <c r="C5950" s="1038" t="s">
        <v>11566</v>
      </c>
      <c r="D5950" s="1038" t="s">
        <v>1376</v>
      </c>
      <c r="E5950" s="1038" t="s">
        <v>453</v>
      </c>
      <c r="F5950" s="1562" t="s">
        <v>528</v>
      </c>
      <c r="G5950" s="1563"/>
      <c r="H5950" s="1038" t="s">
        <v>11623</v>
      </c>
    </row>
    <row r="5951" spans="2:8">
      <c r="B5951" s="1560">
        <v>46293</v>
      </c>
      <c r="C5951" s="1038" t="s">
        <v>11566</v>
      </c>
      <c r="D5951" s="1038" t="s">
        <v>1375</v>
      </c>
      <c r="E5951" s="1038" t="s">
        <v>3291</v>
      </c>
      <c r="F5951" s="1562" t="s">
        <v>526</v>
      </c>
      <c r="G5951" s="1563">
        <v>2</v>
      </c>
      <c r="H5951" s="1038" t="s">
        <v>11624</v>
      </c>
    </row>
    <row r="5952" spans="2:8">
      <c r="B5952" s="1560">
        <v>46293</v>
      </c>
      <c r="C5952" s="1038" t="s">
        <v>11566</v>
      </c>
      <c r="D5952" s="1038" t="s">
        <v>1375</v>
      </c>
      <c r="E5952" s="1038" t="s">
        <v>3291</v>
      </c>
      <c r="F5952" s="1562" t="s">
        <v>527</v>
      </c>
      <c r="G5952" s="1563">
        <v>2</v>
      </c>
      <c r="H5952" s="1038" t="s">
        <v>11625</v>
      </c>
    </row>
    <row r="5953" spans="2:8">
      <c r="B5953" s="1560">
        <v>46293</v>
      </c>
      <c r="C5953" s="1038" t="s">
        <v>11566</v>
      </c>
      <c r="D5953" s="1038" t="s">
        <v>1375</v>
      </c>
      <c r="E5953" s="1038" t="s">
        <v>3291</v>
      </c>
      <c r="F5953" s="1562" t="s">
        <v>528</v>
      </c>
      <c r="G5953" s="1563">
        <v>4</v>
      </c>
      <c r="H5953" s="1038" t="s">
        <v>11626</v>
      </c>
    </row>
    <row r="5954" spans="2:8">
      <c r="B5954" s="1560">
        <v>46293</v>
      </c>
      <c r="C5954" s="1038" t="s">
        <v>11566</v>
      </c>
      <c r="D5954" s="1038" t="s">
        <v>1376</v>
      </c>
      <c r="E5954" s="1038" t="s">
        <v>1394</v>
      </c>
      <c r="F5954" s="1562" t="s">
        <v>526</v>
      </c>
      <c r="G5954" s="1564" t="s">
        <v>11627</v>
      </c>
      <c r="H5954" s="1038" t="s">
        <v>11628</v>
      </c>
    </row>
    <row r="5955" spans="2:8">
      <c r="B5955" s="1560">
        <v>46293</v>
      </c>
      <c r="C5955" s="1038" t="s">
        <v>11566</v>
      </c>
      <c r="D5955" s="1038" t="s">
        <v>1376</v>
      </c>
      <c r="E5955" s="1038" t="s">
        <v>1394</v>
      </c>
      <c r="F5955" s="1562" t="s">
        <v>527</v>
      </c>
      <c r="G5955" s="1564" t="s">
        <v>11629</v>
      </c>
      <c r="H5955" s="1038" t="s">
        <v>11630</v>
      </c>
    </row>
    <row r="5956" spans="2:8">
      <c r="B5956" s="1560">
        <v>46293</v>
      </c>
      <c r="C5956" s="1038" t="s">
        <v>11566</v>
      </c>
      <c r="D5956" s="1038" t="s">
        <v>1376</v>
      </c>
      <c r="E5956" s="1038" t="s">
        <v>1394</v>
      </c>
      <c r="F5956" s="1562" t="s">
        <v>528</v>
      </c>
      <c r="G5956" s="1564" t="s">
        <v>1396</v>
      </c>
      <c r="H5956" s="1038" t="s">
        <v>11631</v>
      </c>
    </row>
    <row r="5957" spans="2:8">
      <c r="B5957" s="1560">
        <v>46293</v>
      </c>
      <c r="C5957" s="1038" t="s">
        <v>11566</v>
      </c>
      <c r="D5957" s="1038" t="s">
        <v>1375</v>
      </c>
      <c r="E5957" s="1038" t="s">
        <v>3298</v>
      </c>
      <c r="F5957" s="1562" t="s">
        <v>526</v>
      </c>
      <c r="G5957" s="1563">
        <v>2</v>
      </c>
      <c r="H5957" s="1038" t="s">
        <v>11632</v>
      </c>
    </row>
    <row r="5958" spans="2:8">
      <c r="B5958" s="1560">
        <v>46293</v>
      </c>
      <c r="C5958" s="1038" t="s">
        <v>11566</v>
      </c>
      <c r="D5958" s="1038" t="s">
        <v>1375</v>
      </c>
      <c r="E5958" s="1038" t="s">
        <v>3298</v>
      </c>
      <c r="F5958" s="1562" t="s">
        <v>527</v>
      </c>
      <c r="G5958" s="1563">
        <v>3</v>
      </c>
      <c r="H5958" s="1038" t="s">
        <v>11633</v>
      </c>
    </row>
    <row r="5959" spans="2:8">
      <c r="B5959" s="1560">
        <v>46293</v>
      </c>
      <c r="C5959" s="1038" t="s">
        <v>11566</v>
      </c>
      <c r="D5959" s="1038" t="s">
        <v>1375</v>
      </c>
      <c r="E5959" s="1038" t="s">
        <v>3298</v>
      </c>
      <c r="F5959" s="1562" t="s">
        <v>528</v>
      </c>
      <c r="G5959" s="1563">
        <v>4</v>
      </c>
      <c r="H5959" s="1038" t="s">
        <v>11634</v>
      </c>
    </row>
    <row r="5960" spans="2:8">
      <c r="B5960" s="1560">
        <v>46293</v>
      </c>
      <c r="C5960" s="1038" t="s">
        <v>11566</v>
      </c>
      <c r="D5960" s="1038" t="s">
        <v>1376</v>
      </c>
      <c r="E5960" s="1038" t="s">
        <v>1398</v>
      </c>
      <c r="F5960" s="1562" t="s">
        <v>526</v>
      </c>
      <c r="G5960" s="1563">
        <v>11</v>
      </c>
      <c r="H5960" s="1038" t="s">
        <v>11635</v>
      </c>
    </row>
    <row r="5961" spans="2:8">
      <c r="B5961" s="1560">
        <v>46293</v>
      </c>
      <c r="C5961" s="1038" t="s">
        <v>11566</v>
      </c>
      <c r="D5961" s="1038" t="s">
        <v>1376</v>
      </c>
      <c r="E5961" s="1038" t="s">
        <v>1398</v>
      </c>
      <c r="F5961" s="1562" t="s">
        <v>527</v>
      </c>
      <c r="G5961" s="1563">
        <v>12</v>
      </c>
      <c r="H5961" s="1038" t="s">
        <v>11636</v>
      </c>
    </row>
    <row r="5962" spans="2:8">
      <c r="B5962" s="1560">
        <v>46293</v>
      </c>
      <c r="C5962" s="1038" t="s">
        <v>11566</v>
      </c>
      <c r="D5962" s="1038" t="s">
        <v>1376</v>
      </c>
      <c r="E5962" s="1038" t="s">
        <v>1398</v>
      </c>
      <c r="F5962" s="1562" t="s">
        <v>528</v>
      </c>
      <c r="G5962" s="1563">
        <v>12</v>
      </c>
      <c r="H5962" s="1038" t="s">
        <v>11637</v>
      </c>
    </row>
    <row r="5963" spans="2:8">
      <c r="B5963" s="1560">
        <v>46293</v>
      </c>
      <c r="C5963" s="1038" t="s">
        <v>11566</v>
      </c>
      <c r="D5963" s="1038" t="s">
        <v>1375</v>
      </c>
      <c r="E5963" s="1038" t="s">
        <v>3305</v>
      </c>
      <c r="F5963" s="1562" t="s">
        <v>526</v>
      </c>
      <c r="G5963" s="1563">
        <v>3</v>
      </c>
      <c r="H5963" s="1038" t="s">
        <v>11638</v>
      </c>
    </row>
    <row r="5964" spans="2:8">
      <c r="B5964" s="1560">
        <v>46293</v>
      </c>
      <c r="C5964" s="1038" t="s">
        <v>11566</v>
      </c>
      <c r="D5964" s="1038" t="s">
        <v>1375</v>
      </c>
      <c r="E5964" s="1038" t="s">
        <v>3305</v>
      </c>
      <c r="F5964" s="1562" t="s">
        <v>527</v>
      </c>
      <c r="G5964" s="1563">
        <v>2</v>
      </c>
      <c r="H5964" s="1038" t="s">
        <v>11639</v>
      </c>
    </row>
    <row r="5965" spans="2:8">
      <c r="B5965" s="1560">
        <v>46293</v>
      </c>
      <c r="C5965" s="1038" t="s">
        <v>11566</v>
      </c>
      <c r="D5965" s="1038" t="s">
        <v>1375</v>
      </c>
      <c r="E5965" s="1038" t="s">
        <v>3305</v>
      </c>
      <c r="F5965" s="1562" t="s">
        <v>528</v>
      </c>
      <c r="G5965" s="1563">
        <v>4</v>
      </c>
      <c r="H5965" s="1038" t="s">
        <v>11640</v>
      </c>
    </row>
    <row r="5966" spans="2:8">
      <c r="B5966" s="1560">
        <v>46293</v>
      </c>
      <c r="C5966" s="1038" t="s">
        <v>11566</v>
      </c>
      <c r="D5966" s="1038" t="s">
        <v>1376</v>
      </c>
      <c r="E5966" s="1038" t="s">
        <v>1399</v>
      </c>
      <c r="F5966" s="1562" t="s">
        <v>526</v>
      </c>
      <c r="G5966" s="1563">
        <v>12</v>
      </c>
      <c r="H5966" s="1038" t="s">
        <v>11641</v>
      </c>
    </row>
    <row r="5967" spans="2:8">
      <c r="B5967" s="1560">
        <v>46293</v>
      </c>
      <c r="C5967" s="1038" t="s">
        <v>11566</v>
      </c>
      <c r="D5967" s="1038" t="s">
        <v>1376</v>
      </c>
      <c r="E5967" s="1038" t="s">
        <v>1399</v>
      </c>
      <c r="F5967" s="1562" t="s">
        <v>527</v>
      </c>
      <c r="G5967" s="1563">
        <v>13</v>
      </c>
      <c r="H5967" s="1038" t="s">
        <v>11642</v>
      </c>
    </row>
    <row r="5968" spans="2:8">
      <c r="B5968" s="1560">
        <v>46293</v>
      </c>
      <c r="C5968" s="1038" t="s">
        <v>11566</v>
      </c>
      <c r="D5968" s="1038" t="s">
        <v>1376</v>
      </c>
      <c r="E5968" s="1038" t="s">
        <v>1399</v>
      </c>
      <c r="F5968" s="1562" t="s">
        <v>528</v>
      </c>
      <c r="G5968" s="1563">
        <v>13</v>
      </c>
      <c r="H5968" s="1038" t="s">
        <v>11643</v>
      </c>
    </row>
    <row r="5969" spans="2:8">
      <c r="B5969" s="1560">
        <v>46293</v>
      </c>
      <c r="C5969" s="1038" t="s">
        <v>11566</v>
      </c>
      <c r="D5969" s="1038" t="s">
        <v>1375</v>
      </c>
      <c r="E5969" s="1038" t="s">
        <v>3312</v>
      </c>
      <c r="F5969" s="1562" t="s">
        <v>526</v>
      </c>
      <c r="G5969" s="1563">
        <v>3</v>
      </c>
      <c r="H5969" s="1038" t="s">
        <v>11644</v>
      </c>
    </row>
    <row r="5970" spans="2:8">
      <c r="B5970" s="1560">
        <v>46293</v>
      </c>
      <c r="C5970" s="1038" t="s">
        <v>11566</v>
      </c>
      <c r="D5970" s="1038" t="s">
        <v>1375</v>
      </c>
      <c r="E5970" s="1038" t="s">
        <v>3312</v>
      </c>
      <c r="F5970" s="1562" t="s">
        <v>527</v>
      </c>
      <c r="G5970" s="1563">
        <v>3</v>
      </c>
      <c r="H5970" s="1038" t="s">
        <v>11645</v>
      </c>
    </row>
    <row r="5971" spans="2:8">
      <c r="B5971" s="1560">
        <v>46293</v>
      </c>
      <c r="C5971" s="1038" t="s">
        <v>11566</v>
      </c>
      <c r="D5971" s="1038" t="s">
        <v>1375</v>
      </c>
      <c r="E5971" s="1038" t="s">
        <v>3312</v>
      </c>
      <c r="F5971" s="1562" t="s">
        <v>528</v>
      </c>
      <c r="G5971" s="1563">
        <v>4</v>
      </c>
      <c r="H5971" s="1038" t="s">
        <v>11646</v>
      </c>
    </row>
    <row r="5972" spans="2:8">
      <c r="B5972" s="1560">
        <v>46293</v>
      </c>
      <c r="C5972" s="1038" t="s">
        <v>11566</v>
      </c>
      <c r="D5972" s="1038" t="s">
        <v>1376</v>
      </c>
      <c r="E5972" s="1038" t="s">
        <v>1400</v>
      </c>
      <c r="F5972" s="1562" t="s">
        <v>526</v>
      </c>
      <c r="G5972" s="1563">
        <v>15</v>
      </c>
      <c r="H5972" s="1038" t="s">
        <v>11647</v>
      </c>
    </row>
    <row r="5973" spans="2:8">
      <c r="B5973" s="1560">
        <v>46293</v>
      </c>
      <c r="C5973" s="1038" t="s">
        <v>11566</v>
      </c>
      <c r="D5973" s="1038" t="s">
        <v>1376</v>
      </c>
      <c r="E5973" s="1038" t="s">
        <v>1400</v>
      </c>
      <c r="F5973" s="1562" t="s">
        <v>527</v>
      </c>
      <c r="G5973" s="1563">
        <v>17</v>
      </c>
      <c r="H5973" s="1038" t="s">
        <v>11648</v>
      </c>
    </row>
    <row r="5974" spans="2:8">
      <c r="B5974" s="1560">
        <v>46293</v>
      </c>
      <c r="C5974" s="1038" t="s">
        <v>11566</v>
      </c>
      <c r="D5974" s="1038" t="s">
        <v>1376</v>
      </c>
      <c r="E5974" s="1038" t="s">
        <v>1400</v>
      </c>
      <c r="F5974" s="1562" t="s">
        <v>528</v>
      </c>
      <c r="G5974" s="1563">
        <v>17</v>
      </c>
      <c r="H5974" s="1038" t="s">
        <v>11649</v>
      </c>
    </row>
    <row r="5975" spans="2:8">
      <c r="B5975" s="1560">
        <v>46293</v>
      </c>
      <c r="C5975" s="1038" t="s">
        <v>11566</v>
      </c>
      <c r="D5975" s="1038" t="s">
        <v>1375</v>
      </c>
      <c r="E5975" s="1038" t="s">
        <v>3319</v>
      </c>
      <c r="F5975" s="1562" t="s">
        <v>526</v>
      </c>
      <c r="G5975" s="1563">
        <v>2</v>
      </c>
      <c r="H5975" s="1038" t="s">
        <v>11650</v>
      </c>
    </row>
    <row r="5976" spans="2:8">
      <c r="B5976" s="1560">
        <v>46293</v>
      </c>
      <c r="C5976" s="1038" t="s">
        <v>11566</v>
      </c>
      <c r="D5976" s="1038" t="s">
        <v>1375</v>
      </c>
      <c r="E5976" s="1038" t="s">
        <v>3319</v>
      </c>
      <c r="F5976" s="1562" t="s">
        <v>527</v>
      </c>
      <c r="G5976" s="1563">
        <v>4</v>
      </c>
      <c r="H5976" s="1038" t="s">
        <v>11651</v>
      </c>
    </row>
    <row r="5977" spans="2:8">
      <c r="B5977" s="1560">
        <v>46293</v>
      </c>
      <c r="C5977" s="1038" t="s">
        <v>11566</v>
      </c>
      <c r="D5977" s="1038" t="s">
        <v>1375</v>
      </c>
      <c r="E5977" s="1038" t="s">
        <v>3319</v>
      </c>
      <c r="F5977" s="1562" t="s">
        <v>528</v>
      </c>
      <c r="G5977" s="1563">
        <v>4</v>
      </c>
      <c r="H5977" s="1038" t="s">
        <v>11652</v>
      </c>
    </row>
    <row r="5978" spans="2:8">
      <c r="B5978" s="1560">
        <v>46293</v>
      </c>
      <c r="C5978" s="1038" t="s">
        <v>11566</v>
      </c>
      <c r="D5978" s="1038" t="s">
        <v>1376</v>
      </c>
      <c r="E5978" s="1038" t="s">
        <v>1401</v>
      </c>
      <c r="F5978" s="1562" t="s">
        <v>526</v>
      </c>
      <c r="G5978" s="1563">
        <v>6.22</v>
      </c>
      <c r="H5978" s="1038" t="s">
        <v>11653</v>
      </c>
    </row>
    <row r="5979" spans="2:8">
      <c r="B5979" s="1560">
        <v>46293</v>
      </c>
      <c r="C5979" s="1038" t="s">
        <v>11566</v>
      </c>
      <c r="D5979" s="1038" t="s">
        <v>1376</v>
      </c>
      <c r="E5979" s="1038" t="s">
        <v>1401</v>
      </c>
      <c r="F5979" s="1562" t="s">
        <v>527</v>
      </c>
      <c r="G5979" s="1563">
        <v>6.2</v>
      </c>
      <c r="H5979" s="1038" t="s">
        <v>11654</v>
      </c>
    </row>
    <row r="5980" spans="2:8">
      <c r="B5980" s="1560">
        <v>46293</v>
      </c>
      <c r="C5980" s="1038" t="s">
        <v>11566</v>
      </c>
      <c r="D5980" s="1038" t="s">
        <v>1376</v>
      </c>
      <c r="E5980" s="1038" t="s">
        <v>1401</v>
      </c>
      <c r="F5980" s="1562" t="s">
        <v>528</v>
      </c>
      <c r="G5980" s="1563">
        <v>5.85</v>
      </c>
      <c r="H5980" s="1038" t="s">
        <v>11655</v>
      </c>
    </row>
    <row r="5981" spans="2:8">
      <c r="B5981" s="1560">
        <v>46293</v>
      </c>
      <c r="C5981" s="1038" t="s">
        <v>11566</v>
      </c>
      <c r="D5981" s="1038" t="s">
        <v>1375</v>
      </c>
      <c r="E5981" s="1038" t="s">
        <v>3326</v>
      </c>
      <c r="F5981" s="1562" t="s">
        <v>526</v>
      </c>
      <c r="G5981" s="1563" t="s">
        <v>1583</v>
      </c>
      <c r="H5981" s="1038" t="s">
        <v>11656</v>
      </c>
    </row>
    <row r="5982" spans="2:8">
      <c r="B5982" s="1560">
        <v>46293</v>
      </c>
      <c r="C5982" s="1038" t="s">
        <v>11566</v>
      </c>
      <c r="D5982" s="1038" t="s">
        <v>1375</v>
      </c>
      <c r="E5982" s="1038" t="s">
        <v>3326</v>
      </c>
      <c r="F5982" s="1562" t="s">
        <v>527</v>
      </c>
      <c r="G5982" s="1563" t="s">
        <v>1583</v>
      </c>
      <c r="H5982" s="1038" t="s">
        <v>11657</v>
      </c>
    </row>
    <row r="5983" spans="2:8">
      <c r="B5983" s="1560">
        <v>46293</v>
      </c>
      <c r="C5983" s="1038" t="s">
        <v>11566</v>
      </c>
      <c r="D5983" s="1038" t="s">
        <v>1375</v>
      </c>
      <c r="E5983" s="1038" t="s">
        <v>3326</v>
      </c>
      <c r="F5983" s="1562" t="s">
        <v>528</v>
      </c>
      <c r="G5983" s="1563" t="s">
        <v>1583</v>
      </c>
      <c r="H5983" s="1038" t="s">
        <v>11658</v>
      </c>
    </row>
    <row r="5984" spans="2:8">
      <c r="B5984" s="1560">
        <v>46293</v>
      </c>
      <c r="C5984" s="1038" t="s">
        <v>11566</v>
      </c>
      <c r="D5984" s="1038" t="s">
        <v>1376</v>
      </c>
      <c r="E5984" s="1038" t="s">
        <v>1403</v>
      </c>
      <c r="F5984" s="1562" t="s">
        <v>526</v>
      </c>
      <c r="G5984" s="1563">
        <v>655</v>
      </c>
      <c r="H5984" s="1038" t="s">
        <v>11659</v>
      </c>
    </row>
    <row r="5985" spans="2:8">
      <c r="B5985" s="1560">
        <v>46293</v>
      </c>
      <c r="C5985" s="1038" t="s">
        <v>11566</v>
      </c>
      <c r="D5985" s="1038" t="s">
        <v>1376</v>
      </c>
      <c r="E5985" s="1038" t="s">
        <v>1403</v>
      </c>
      <c r="F5985" s="1562" t="s">
        <v>527</v>
      </c>
      <c r="G5985" s="1563">
        <v>690</v>
      </c>
      <c r="H5985" s="1038" t="s">
        <v>11660</v>
      </c>
    </row>
    <row r="5986" spans="2:8">
      <c r="B5986" s="1560">
        <v>46293</v>
      </c>
      <c r="C5986" s="1038" t="s">
        <v>11566</v>
      </c>
      <c r="D5986" s="1038" t="s">
        <v>1376</v>
      </c>
      <c r="E5986" s="1038" t="s">
        <v>1403</v>
      </c>
      <c r="F5986" s="1562" t="s">
        <v>528</v>
      </c>
      <c r="G5986" s="1563">
        <v>680</v>
      </c>
      <c r="H5986" s="1038" t="s">
        <v>11661</v>
      </c>
    </row>
    <row r="5987" spans="2:8">
      <c r="B5987" s="1560">
        <v>46293</v>
      </c>
      <c r="C5987" s="1038" t="s">
        <v>11566</v>
      </c>
      <c r="D5987" s="1038" t="s">
        <v>1376</v>
      </c>
      <c r="E5987" s="1038" t="s">
        <v>1404</v>
      </c>
      <c r="F5987" s="1562" t="s">
        <v>526</v>
      </c>
      <c r="G5987" s="1563">
        <v>3.24</v>
      </c>
      <c r="H5987" s="1038" t="s">
        <v>11662</v>
      </c>
    </row>
    <row r="5988" spans="2:8">
      <c r="B5988" s="1560">
        <v>46293</v>
      </c>
      <c r="C5988" s="1038" t="s">
        <v>11566</v>
      </c>
      <c r="D5988" s="1038" t="s">
        <v>1376</v>
      </c>
      <c r="E5988" s="1038" t="s">
        <v>1404</v>
      </c>
      <c r="F5988" s="1562" t="s">
        <v>527</v>
      </c>
      <c r="G5988" s="1563">
        <v>2.5499999999999998</v>
      </c>
      <c r="H5988" s="1038" t="s">
        <v>11663</v>
      </c>
    </row>
    <row r="5989" spans="2:8">
      <c r="B5989" s="1560">
        <v>46293</v>
      </c>
      <c r="C5989" s="1038" t="s">
        <v>11566</v>
      </c>
      <c r="D5989" s="1038" t="s">
        <v>1376</v>
      </c>
      <c r="E5989" s="1038" t="s">
        <v>1404</v>
      </c>
      <c r="F5989" s="1562" t="s">
        <v>528</v>
      </c>
      <c r="G5989" s="1563">
        <v>5.15</v>
      </c>
      <c r="H5989" s="1038" t="s">
        <v>11664</v>
      </c>
    </row>
    <row r="5990" spans="2:8">
      <c r="B5990" s="1560">
        <v>46293</v>
      </c>
      <c r="C5990" s="1038" t="s">
        <v>11566</v>
      </c>
      <c r="D5990" s="1038" t="s">
        <v>1375</v>
      </c>
      <c r="E5990" s="1038" t="s">
        <v>3336</v>
      </c>
      <c r="F5990" s="1562" t="s">
        <v>526</v>
      </c>
      <c r="G5990" s="1563" t="s">
        <v>1406</v>
      </c>
      <c r="H5990" s="1038" t="s">
        <v>11665</v>
      </c>
    </row>
    <row r="5991" spans="2:8">
      <c r="B5991" s="1560">
        <v>46293</v>
      </c>
      <c r="C5991" s="1038" t="s">
        <v>11566</v>
      </c>
      <c r="D5991" s="1038" t="s">
        <v>1375</v>
      </c>
      <c r="E5991" s="1038" t="s">
        <v>3336</v>
      </c>
      <c r="F5991" s="1562" t="s">
        <v>527</v>
      </c>
      <c r="G5991" s="1563" t="s">
        <v>1406</v>
      </c>
      <c r="H5991" s="1038" t="s">
        <v>11666</v>
      </c>
    </row>
    <row r="5992" spans="2:8">
      <c r="B5992" s="1560">
        <v>46293</v>
      </c>
      <c r="C5992" s="1038" t="s">
        <v>11566</v>
      </c>
      <c r="D5992" s="1038" t="s">
        <v>1375</v>
      </c>
      <c r="E5992" s="1038" t="s">
        <v>3336</v>
      </c>
      <c r="F5992" s="1562" t="s">
        <v>528</v>
      </c>
      <c r="G5992" s="1563" t="s">
        <v>1406</v>
      </c>
      <c r="H5992" s="1038" t="s">
        <v>11667</v>
      </c>
    </row>
    <row r="5993" spans="2:8">
      <c r="B5993" s="1560">
        <v>46293</v>
      </c>
      <c r="C5993" s="1038" t="s">
        <v>11566</v>
      </c>
      <c r="D5993" s="1038" t="s">
        <v>1376</v>
      </c>
      <c r="E5993" s="1038" t="s">
        <v>1407</v>
      </c>
      <c r="F5993" s="1562" t="s">
        <v>526</v>
      </c>
      <c r="G5993" s="1563">
        <v>330</v>
      </c>
      <c r="H5993" s="1038" t="s">
        <v>11668</v>
      </c>
    </row>
    <row r="5994" spans="2:8">
      <c r="B5994" s="1560">
        <v>46293</v>
      </c>
      <c r="C5994" s="1038" t="s">
        <v>11566</v>
      </c>
      <c r="D5994" s="1038" t="s">
        <v>1376</v>
      </c>
      <c r="E5994" s="1038" t="s">
        <v>1407</v>
      </c>
      <c r="F5994" s="1562" t="s">
        <v>527</v>
      </c>
      <c r="G5994" s="1563">
        <v>380</v>
      </c>
      <c r="H5994" s="1038" t="s">
        <v>11669</v>
      </c>
    </row>
    <row r="5995" spans="2:8">
      <c r="B5995" s="1560">
        <v>46293</v>
      </c>
      <c r="C5995" s="1038" t="s">
        <v>11566</v>
      </c>
      <c r="D5995" s="1038" t="s">
        <v>1376</v>
      </c>
      <c r="E5995" s="1038" t="s">
        <v>1407</v>
      </c>
      <c r="F5995" s="1562" t="s">
        <v>528</v>
      </c>
      <c r="G5995" s="1563">
        <v>350</v>
      </c>
      <c r="H5995" s="1038" t="s">
        <v>11670</v>
      </c>
    </row>
    <row r="5996" spans="2:8">
      <c r="B5996" s="1560">
        <v>46293</v>
      </c>
      <c r="C5996" s="1038" t="s">
        <v>11566</v>
      </c>
      <c r="D5996" s="1038" t="s">
        <v>1376</v>
      </c>
      <c r="E5996" s="1038" t="s">
        <v>1408</v>
      </c>
      <c r="F5996" s="1562" t="s">
        <v>526</v>
      </c>
      <c r="G5996" s="1563">
        <v>1042</v>
      </c>
      <c r="H5996" s="1038" t="s">
        <v>11671</v>
      </c>
    </row>
    <row r="5997" spans="2:8">
      <c r="B5997" s="1560">
        <v>46293</v>
      </c>
      <c r="C5997" s="1038" t="s">
        <v>11566</v>
      </c>
      <c r="D5997" s="1038" t="s">
        <v>1376</v>
      </c>
      <c r="E5997" s="1038" t="s">
        <v>1408</v>
      </c>
      <c r="F5997" s="1562" t="s">
        <v>527</v>
      </c>
      <c r="G5997" s="1563">
        <v>1043</v>
      </c>
      <c r="H5997" s="1038" t="s">
        <v>11672</v>
      </c>
    </row>
    <row r="5998" spans="2:8">
      <c r="B5998" s="1560">
        <v>46293</v>
      </c>
      <c r="C5998" s="1038" t="s">
        <v>11566</v>
      </c>
      <c r="D5998" s="1038" t="s">
        <v>1376</v>
      </c>
      <c r="E5998" s="1038" t="s">
        <v>1408</v>
      </c>
      <c r="F5998" s="1562" t="s">
        <v>528</v>
      </c>
      <c r="G5998" s="1563">
        <v>1040</v>
      </c>
      <c r="H5998" s="1038" t="s">
        <v>11673</v>
      </c>
    </row>
    <row r="5999" spans="2:8">
      <c r="B5999" s="1560">
        <v>46293</v>
      </c>
      <c r="C5999" s="1038" t="s">
        <v>11566</v>
      </c>
      <c r="D5999" s="1038" t="s">
        <v>1409</v>
      </c>
      <c r="E5999" s="1038" t="s">
        <v>1411</v>
      </c>
      <c r="F5999" s="1562" t="s">
        <v>526</v>
      </c>
      <c r="G5999" s="1563"/>
      <c r="H5999" s="1038" t="s">
        <v>11674</v>
      </c>
    </row>
    <row r="6000" spans="2:8">
      <c r="B6000" s="1560">
        <v>46293</v>
      </c>
      <c r="C6000" s="1038" t="s">
        <v>11566</v>
      </c>
      <c r="D6000" s="1038" t="s">
        <v>1409</v>
      </c>
      <c r="E6000" s="1038" t="s">
        <v>1411</v>
      </c>
      <c r="F6000" s="1562" t="s">
        <v>527</v>
      </c>
      <c r="G6000" s="1563"/>
      <c r="H6000" s="1038" t="s">
        <v>11675</v>
      </c>
    </row>
    <row r="6001" spans="2:8">
      <c r="B6001" s="1560">
        <v>46293</v>
      </c>
      <c r="C6001" s="1038" t="s">
        <v>11566</v>
      </c>
      <c r="D6001" s="1038" t="s">
        <v>1409</v>
      </c>
      <c r="E6001" s="1038" t="s">
        <v>1411</v>
      </c>
      <c r="F6001" s="1562" t="s">
        <v>528</v>
      </c>
      <c r="G6001" s="1563"/>
      <c r="H6001" s="1038" t="s">
        <v>11676</v>
      </c>
    </row>
    <row r="6002" spans="2:8">
      <c r="B6002" s="1560">
        <v>46293</v>
      </c>
      <c r="C6002" s="1038" t="s">
        <v>11566</v>
      </c>
      <c r="D6002" s="1038" t="s">
        <v>1409</v>
      </c>
      <c r="E6002" s="1038" t="s">
        <v>1413</v>
      </c>
      <c r="F6002" s="1562" t="s">
        <v>526</v>
      </c>
      <c r="G6002" s="1564" t="s">
        <v>1415</v>
      </c>
      <c r="H6002" s="1038" t="s">
        <v>11677</v>
      </c>
    </row>
    <row r="6003" spans="2:8">
      <c r="B6003" s="1560">
        <v>46293</v>
      </c>
      <c r="C6003" s="1038" t="s">
        <v>11566</v>
      </c>
      <c r="D6003" s="1038" t="s">
        <v>1409</v>
      </c>
      <c r="E6003" s="1038" t="s">
        <v>1413</v>
      </c>
      <c r="F6003" s="1562" t="s">
        <v>527</v>
      </c>
      <c r="G6003" s="1564" t="s">
        <v>1415</v>
      </c>
      <c r="H6003" s="1038" t="s">
        <v>11678</v>
      </c>
    </row>
    <row r="6004" spans="2:8">
      <c r="B6004" s="1560">
        <v>46293</v>
      </c>
      <c r="C6004" s="1038" t="s">
        <v>11566</v>
      </c>
      <c r="D6004" s="1038" t="s">
        <v>1409</v>
      </c>
      <c r="E6004" s="1038" t="s">
        <v>1413</v>
      </c>
      <c r="F6004" s="1562" t="s">
        <v>528</v>
      </c>
      <c r="G6004" s="1564" t="s">
        <v>1415</v>
      </c>
      <c r="H6004" s="1038" t="s">
        <v>11679</v>
      </c>
    </row>
    <row r="6005" spans="2:8">
      <c r="B6005" s="1560">
        <v>46293</v>
      </c>
      <c r="C6005" s="1038" t="s">
        <v>11566</v>
      </c>
      <c r="D6005" s="1038" t="s">
        <v>1410</v>
      </c>
      <c r="E6005" s="1038" t="s">
        <v>3352</v>
      </c>
      <c r="F6005" s="1562" t="s">
        <v>526</v>
      </c>
      <c r="G6005" s="1563" t="s">
        <v>1418</v>
      </c>
      <c r="H6005" s="1038" t="s">
        <v>11680</v>
      </c>
    </row>
    <row r="6006" spans="2:8">
      <c r="B6006" s="1560">
        <v>46293</v>
      </c>
      <c r="C6006" s="1038" t="s">
        <v>11566</v>
      </c>
      <c r="D6006" s="1038" t="s">
        <v>1410</v>
      </c>
      <c r="E6006" s="1038" t="s">
        <v>3352</v>
      </c>
      <c r="F6006" s="1562" t="s">
        <v>527</v>
      </c>
      <c r="G6006" s="1563" t="s">
        <v>1418</v>
      </c>
      <c r="H6006" s="1038" t="s">
        <v>11681</v>
      </c>
    </row>
    <row r="6007" spans="2:8">
      <c r="B6007" s="1560">
        <v>46293</v>
      </c>
      <c r="C6007" s="1038" t="s">
        <v>11566</v>
      </c>
      <c r="D6007" s="1038" t="s">
        <v>1410</v>
      </c>
      <c r="E6007" s="1038" t="s">
        <v>3352</v>
      </c>
      <c r="F6007" s="1562" t="s">
        <v>528</v>
      </c>
      <c r="G6007" s="1563" t="s">
        <v>1418</v>
      </c>
      <c r="H6007" s="1038" t="s">
        <v>11682</v>
      </c>
    </row>
    <row r="6008" spans="2:8">
      <c r="B6008" s="1560">
        <v>46293</v>
      </c>
      <c r="C6008" s="1038" t="s">
        <v>11566</v>
      </c>
      <c r="D6008" s="1038" t="s">
        <v>1409</v>
      </c>
      <c r="E6008" s="1038" t="s">
        <v>1420</v>
      </c>
      <c r="F6008" s="1562" t="s">
        <v>526</v>
      </c>
      <c r="G6008" s="1564" t="s">
        <v>1876</v>
      </c>
      <c r="H6008" s="1038" t="s">
        <v>11683</v>
      </c>
    </row>
    <row r="6009" spans="2:8">
      <c r="B6009" s="1560">
        <v>46293</v>
      </c>
      <c r="C6009" s="1038" t="s">
        <v>11566</v>
      </c>
      <c r="D6009" s="1038" t="s">
        <v>1409</v>
      </c>
      <c r="E6009" s="1038" t="s">
        <v>1420</v>
      </c>
      <c r="F6009" s="1562" t="s">
        <v>527</v>
      </c>
      <c r="G6009" s="1564" t="s">
        <v>11684</v>
      </c>
      <c r="H6009" s="1038" t="s">
        <v>11685</v>
      </c>
    </row>
    <row r="6010" spans="2:8">
      <c r="B6010" s="1560">
        <v>46293</v>
      </c>
      <c r="C6010" s="1038" t="s">
        <v>11566</v>
      </c>
      <c r="D6010" s="1038" t="s">
        <v>1409</v>
      </c>
      <c r="E6010" s="1038" t="s">
        <v>1420</v>
      </c>
      <c r="F6010" s="1562" t="s">
        <v>528</v>
      </c>
      <c r="G6010" s="1564" t="s">
        <v>10773</v>
      </c>
      <c r="H6010" s="1038" t="s">
        <v>11686</v>
      </c>
    </row>
    <row r="6011" spans="2:8">
      <c r="B6011" s="1560">
        <v>46293</v>
      </c>
      <c r="C6011" s="1038" t="s">
        <v>11566</v>
      </c>
      <c r="D6011" s="1038" t="s">
        <v>1410</v>
      </c>
      <c r="E6011" s="1038" t="s">
        <v>3359</v>
      </c>
      <c r="F6011" s="1562" t="s">
        <v>526</v>
      </c>
      <c r="G6011" s="1563">
        <v>111</v>
      </c>
      <c r="H6011" s="1038" t="s">
        <v>11687</v>
      </c>
    </row>
    <row r="6012" spans="2:8">
      <c r="B6012" s="1560">
        <v>46293</v>
      </c>
      <c r="C6012" s="1038" t="s">
        <v>11566</v>
      </c>
      <c r="D6012" s="1038" t="s">
        <v>1410</v>
      </c>
      <c r="E6012" s="1038" t="s">
        <v>3359</v>
      </c>
      <c r="F6012" s="1562" t="s">
        <v>527</v>
      </c>
      <c r="G6012" s="1563">
        <v>110</v>
      </c>
      <c r="H6012" s="1038" t="s">
        <v>11688</v>
      </c>
    </row>
    <row r="6013" spans="2:8">
      <c r="B6013" s="1560">
        <v>46293</v>
      </c>
      <c r="C6013" s="1038" t="s">
        <v>11566</v>
      </c>
      <c r="D6013" s="1038" t="s">
        <v>1410</v>
      </c>
      <c r="E6013" s="1038" t="s">
        <v>3359</v>
      </c>
      <c r="F6013" s="1562" t="s">
        <v>528</v>
      </c>
      <c r="G6013" s="1563">
        <v>110</v>
      </c>
      <c r="H6013" s="1038" t="s">
        <v>11689</v>
      </c>
    </row>
    <row r="6014" spans="2:8">
      <c r="B6014" s="1560">
        <v>46293</v>
      </c>
      <c r="C6014" s="1038" t="s">
        <v>11566</v>
      </c>
      <c r="D6014" s="1038" t="s">
        <v>1409</v>
      </c>
      <c r="E6014" s="1038" t="s">
        <v>1424</v>
      </c>
      <c r="F6014" s="1562" t="s">
        <v>526</v>
      </c>
      <c r="G6014" s="1563"/>
      <c r="H6014" s="1038" t="s">
        <v>11690</v>
      </c>
    </row>
    <row r="6015" spans="2:8">
      <c r="B6015" s="1560">
        <v>46293</v>
      </c>
      <c r="C6015" s="1038" t="s">
        <v>11566</v>
      </c>
      <c r="D6015" s="1038" t="s">
        <v>1409</v>
      </c>
      <c r="E6015" s="1038" t="s">
        <v>1424</v>
      </c>
      <c r="F6015" s="1562" t="s">
        <v>527</v>
      </c>
      <c r="G6015" s="1563"/>
      <c r="H6015" s="1038" t="s">
        <v>11691</v>
      </c>
    </row>
    <row r="6016" spans="2:8">
      <c r="B6016" s="1560">
        <v>46293</v>
      </c>
      <c r="C6016" s="1038" t="s">
        <v>11566</v>
      </c>
      <c r="D6016" s="1038" t="s">
        <v>1409</v>
      </c>
      <c r="E6016" s="1038" t="s">
        <v>1424</v>
      </c>
      <c r="F6016" s="1562" t="s">
        <v>528</v>
      </c>
      <c r="G6016" s="1563"/>
      <c r="H6016" s="1038" t="s">
        <v>11692</v>
      </c>
    </row>
    <row r="6017" spans="2:8">
      <c r="B6017" s="1560">
        <v>46293</v>
      </c>
      <c r="C6017" s="1038" t="s">
        <v>11566</v>
      </c>
      <c r="D6017" s="1038" t="s">
        <v>1410</v>
      </c>
      <c r="E6017" s="1038" t="s">
        <v>3366</v>
      </c>
      <c r="F6017" s="1562" t="s">
        <v>526</v>
      </c>
      <c r="G6017" s="1563">
        <v>2632</v>
      </c>
      <c r="H6017" s="1038" t="s">
        <v>11693</v>
      </c>
    </row>
    <row r="6018" spans="2:8">
      <c r="B6018" s="1560">
        <v>46293</v>
      </c>
      <c r="C6018" s="1038" t="s">
        <v>11566</v>
      </c>
      <c r="D6018" s="1038" t="s">
        <v>1410</v>
      </c>
      <c r="E6018" s="1038" t="s">
        <v>3366</v>
      </c>
      <c r="F6018" s="1562" t="s">
        <v>527</v>
      </c>
      <c r="G6018" s="1563">
        <v>2686</v>
      </c>
      <c r="H6018" s="1038" t="s">
        <v>11694</v>
      </c>
    </row>
    <row r="6019" spans="2:8">
      <c r="B6019" s="1560">
        <v>46293</v>
      </c>
      <c r="C6019" s="1038" t="s">
        <v>11566</v>
      </c>
      <c r="D6019" s="1038" t="s">
        <v>1410</v>
      </c>
      <c r="E6019" s="1038" t="s">
        <v>3366</v>
      </c>
      <c r="F6019" s="1562" t="s">
        <v>528</v>
      </c>
      <c r="G6019" s="1563">
        <v>2700</v>
      </c>
      <c r="H6019" s="1038" t="s">
        <v>11695</v>
      </c>
    </row>
    <row r="6020" spans="2:8">
      <c r="B6020" s="1560">
        <v>46293</v>
      </c>
      <c r="C6020" s="1038" t="s">
        <v>11566</v>
      </c>
      <c r="D6020" s="1038" t="s">
        <v>1410</v>
      </c>
      <c r="E6020" s="1038" t="s">
        <v>3370</v>
      </c>
      <c r="F6020" s="1562" t="s">
        <v>526</v>
      </c>
      <c r="G6020" s="1563" t="s">
        <v>1427</v>
      </c>
      <c r="H6020" s="1038" t="s">
        <v>11696</v>
      </c>
    </row>
    <row r="6021" spans="2:8">
      <c r="B6021" s="1560">
        <v>46293</v>
      </c>
      <c r="C6021" s="1038" t="s">
        <v>11566</v>
      </c>
      <c r="D6021" s="1038" t="s">
        <v>1410</v>
      </c>
      <c r="E6021" s="1038" t="s">
        <v>3370</v>
      </c>
      <c r="F6021" s="1562" t="s">
        <v>527</v>
      </c>
      <c r="G6021" s="1563" t="s">
        <v>1427</v>
      </c>
      <c r="H6021" s="1038" t="s">
        <v>11697</v>
      </c>
    </row>
    <row r="6022" spans="2:8">
      <c r="B6022" s="1560">
        <v>46293</v>
      </c>
      <c r="C6022" s="1038" t="s">
        <v>11566</v>
      </c>
      <c r="D6022" s="1038" t="s">
        <v>1410</v>
      </c>
      <c r="E6022" s="1038" t="s">
        <v>3370</v>
      </c>
      <c r="F6022" s="1562" t="s">
        <v>528</v>
      </c>
      <c r="G6022" s="1563" t="s">
        <v>1427</v>
      </c>
      <c r="H6022" s="1038" t="s">
        <v>11698</v>
      </c>
    </row>
    <row r="6023" spans="2:8">
      <c r="B6023" s="1560">
        <v>46293</v>
      </c>
      <c r="C6023" s="1038" t="s">
        <v>11566</v>
      </c>
      <c r="D6023" s="1038" t="s">
        <v>1410</v>
      </c>
      <c r="E6023" s="1038" t="s">
        <v>3374</v>
      </c>
      <c r="F6023" s="1562" t="s">
        <v>526</v>
      </c>
      <c r="G6023" s="1563">
        <v>2.93</v>
      </c>
      <c r="H6023" s="1038" t="s">
        <v>11699</v>
      </c>
    </row>
    <row r="6024" spans="2:8">
      <c r="B6024" s="1560">
        <v>46293</v>
      </c>
      <c r="C6024" s="1038" t="s">
        <v>11566</v>
      </c>
      <c r="D6024" s="1038" t="s">
        <v>1410</v>
      </c>
      <c r="E6024" s="1038" t="s">
        <v>3374</v>
      </c>
      <c r="F6024" s="1562" t="s">
        <v>527</v>
      </c>
      <c r="G6024" s="1563">
        <v>3.1</v>
      </c>
      <c r="H6024" s="1038" t="s">
        <v>11700</v>
      </c>
    </row>
    <row r="6025" spans="2:8">
      <c r="B6025" s="1560">
        <v>46293</v>
      </c>
      <c r="C6025" s="1038" t="s">
        <v>11566</v>
      </c>
      <c r="D6025" s="1038" t="s">
        <v>1410</v>
      </c>
      <c r="E6025" s="1038" t="s">
        <v>3374</v>
      </c>
      <c r="F6025" s="1562" t="s">
        <v>528</v>
      </c>
      <c r="G6025" s="1563">
        <v>2</v>
      </c>
      <c r="H6025" s="1038" t="s">
        <v>11701</v>
      </c>
    </row>
    <row r="6026" spans="2:8">
      <c r="B6026" s="1560">
        <v>46293</v>
      </c>
      <c r="C6026" s="1038" t="s">
        <v>11566</v>
      </c>
      <c r="D6026" s="1038" t="s">
        <v>1410</v>
      </c>
      <c r="E6026" s="1038" t="s">
        <v>3378</v>
      </c>
      <c r="F6026" s="1562" t="s">
        <v>526</v>
      </c>
      <c r="G6026" s="1563" t="s">
        <v>1430</v>
      </c>
      <c r="H6026" s="1038" t="s">
        <v>11702</v>
      </c>
    </row>
    <row r="6027" spans="2:8">
      <c r="B6027" s="1560">
        <v>46293</v>
      </c>
      <c r="C6027" s="1038" t="s">
        <v>11566</v>
      </c>
      <c r="D6027" s="1038" t="s">
        <v>1410</v>
      </c>
      <c r="E6027" s="1038" t="s">
        <v>3378</v>
      </c>
      <c r="F6027" s="1562" t="s">
        <v>527</v>
      </c>
      <c r="G6027" s="1563" t="s">
        <v>1430</v>
      </c>
      <c r="H6027" s="1038" t="s">
        <v>11703</v>
      </c>
    </row>
    <row r="6028" spans="2:8">
      <c r="B6028" s="1560">
        <v>46293</v>
      </c>
      <c r="C6028" s="1038" t="s">
        <v>11566</v>
      </c>
      <c r="D6028" s="1038" t="s">
        <v>1410</v>
      </c>
      <c r="E6028" s="1038" t="s">
        <v>3378</v>
      </c>
      <c r="F6028" s="1562" t="s">
        <v>528</v>
      </c>
      <c r="G6028" s="1563" t="s">
        <v>1430</v>
      </c>
      <c r="H6028" s="1038" t="s">
        <v>11704</v>
      </c>
    </row>
    <row r="6029" spans="2:8">
      <c r="B6029" s="1560">
        <v>46293</v>
      </c>
      <c r="C6029" s="1038" t="s">
        <v>11566</v>
      </c>
      <c r="D6029" s="1038" t="s">
        <v>1410</v>
      </c>
      <c r="E6029" s="1038" t="s">
        <v>3382</v>
      </c>
      <c r="F6029" s="1562" t="s">
        <v>526</v>
      </c>
      <c r="G6029" s="1563">
        <v>104</v>
      </c>
      <c r="H6029" s="1038" t="s">
        <v>11705</v>
      </c>
    </row>
    <row r="6030" spans="2:8">
      <c r="B6030" s="1560">
        <v>46293</v>
      </c>
      <c r="C6030" s="1038" t="s">
        <v>11566</v>
      </c>
      <c r="D6030" s="1038" t="s">
        <v>1410</v>
      </c>
      <c r="E6030" s="1038" t="s">
        <v>3382</v>
      </c>
      <c r="F6030" s="1562" t="s">
        <v>527</v>
      </c>
      <c r="G6030" s="1563">
        <v>103</v>
      </c>
      <c r="H6030" s="1038" t="s">
        <v>11706</v>
      </c>
    </row>
    <row r="6031" spans="2:8">
      <c r="B6031" s="1560">
        <v>46293</v>
      </c>
      <c r="C6031" s="1038" t="s">
        <v>11566</v>
      </c>
      <c r="D6031" s="1038" t="s">
        <v>1410</v>
      </c>
      <c r="E6031" s="1038" t="s">
        <v>3382</v>
      </c>
      <c r="F6031" s="1562" t="s">
        <v>528</v>
      </c>
      <c r="G6031" s="1563">
        <v>103</v>
      </c>
      <c r="H6031" s="1038" t="s">
        <v>11707</v>
      </c>
    </row>
    <row r="6032" spans="2:8">
      <c r="B6032" s="1560">
        <v>46293</v>
      </c>
      <c r="C6032" s="1038" t="s">
        <v>11566</v>
      </c>
      <c r="D6032" s="1038" t="s">
        <v>1409</v>
      </c>
      <c r="E6032" s="1038" t="s">
        <v>1431</v>
      </c>
      <c r="F6032" s="1562" t="s">
        <v>526</v>
      </c>
      <c r="G6032" s="1563"/>
      <c r="H6032" s="1038" t="s">
        <v>11708</v>
      </c>
    </row>
    <row r="6033" spans="2:8">
      <c r="B6033" s="1560">
        <v>46293</v>
      </c>
      <c r="C6033" s="1038" t="s">
        <v>11566</v>
      </c>
      <c r="D6033" s="1038" t="s">
        <v>1409</v>
      </c>
      <c r="E6033" s="1038" t="s">
        <v>1431</v>
      </c>
      <c r="F6033" s="1562" t="s">
        <v>527</v>
      </c>
      <c r="G6033" s="1563"/>
      <c r="H6033" s="1038" t="s">
        <v>11709</v>
      </c>
    </row>
    <row r="6034" spans="2:8">
      <c r="B6034" s="1560">
        <v>46293</v>
      </c>
      <c r="C6034" s="1038" t="s">
        <v>11566</v>
      </c>
      <c r="D6034" s="1038" t="s">
        <v>1409</v>
      </c>
      <c r="E6034" s="1038" t="s">
        <v>1431</v>
      </c>
      <c r="F6034" s="1562" t="s">
        <v>528</v>
      </c>
      <c r="G6034" s="1563"/>
      <c r="H6034" s="1038" t="s">
        <v>11710</v>
      </c>
    </row>
    <row r="6035" spans="2:8">
      <c r="B6035" s="1560">
        <v>46293</v>
      </c>
      <c r="C6035" s="1038" t="s">
        <v>11566</v>
      </c>
      <c r="D6035" s="1038" t="s">
        <v>1410</v>
      </c>
      <c r="E6035" s="1038" t="s">
        <v>3389</v>
      </c>
      <c r="F6035" s="1562" t="s">
        <v>526</v>
      </c>
      <c r="G6035" s="1563">
        <v>2619</v>
      </c>
      <c r="H6035" s="1038" t="s">
        <v>11711</v>
      </c>
    </row>
    <row r="6036" spans="2:8">
      <c r="B6036" s="1560">
        <v>46293</v>
      </c>
      <c r="C6036" s="1038" t="s">
        <v>11566</v>
      </c>
      <c r="D6036" s="1038" t="s">
        <v>1410</v>
      </c>
      <c r="E6036" s="1038" t="s">
        <v>3389</v>
      </c>
      <c r="F6036" s="1562" t="s">
        <v>527</v>
      </c>
      <c r="G6036" s="1563">
        <v>2685</v>
      </c>
      <c r="H6036" s="1038" t="s">
        <v>11712</v>
      </c>
    </row>
    <row r="6037" spans="2:8">
      <c r="B6037" s="1560">
        <v>46293</v>
      </c>
      <c r="C6037" s="1038" t="s">
        <v>11566</v>
      </c>
      <c r="D6037" s="1038" t="s">
        <v>1410</v>
      </c>
      <c r="E6037" s="1038" t="s">
        <v>3389</v>
      </c>
      <c r="F6037" s="1562" t="s">
        <v>528</v>
      </c>
      <c r="G6037" s="1563">
        <v>2500</v>
      </c>
      <c r="H6037" s="1038" t="s">
        <v>11713</v>
      </c>
    </row>
    <row r="6038" spans="2:8">
      <c r="B6038" s="1560">
        <v>46293</v>
      </c>
      <c r="C6038" s="1038" t="s">
        <v>11566</v>
      </c>
      <c r="D6038" s="1038" t="s">
        <v>1410</v>
      </c>
      <c r="E6038" s="1038" t="s">
        <v>3393</v>
      </c>
      <c r="F6038" s="1562" t="s">
        <v>526</v>
      </c>
      <c r="G6038" s="1563" t="s">
        <v>1663</v>
      </c>
      <c r="H6038" s="1038" t="s">
        <v>11714</v>
      </c>
    </row>
    <row r="6039" spans="2:8">
      <c r="B6039" s="1560">
        <v>46293</v>
      </c>
      <c r="C6039" s="1038" t="s">
        <v>11566</v>
      </c>
      <c r="D6039" s="1038" t="s">
        <v>1410</v>
      </c>
      <c r="E6039" s="1038" t="s">
        <v>3393</v>
      </c>
      <c r="F6039" s="1562" t="s">
        <v>527</v>
      </c>
      <c r="G6039" s="1563" t="s">
        <v>1663</v>
      </c>
      <c r="H6039" s="1038" t="s">
        <v>11715</v>
      </c>
    </row>
    <row r="6040" spans="2:8">
      <c r="B6040" s="1560">
        <v>46293</v>
      </c>
      <c r="C6040" s="1038" t="s">
        <v>11566</v>
      </c>
      <c r="D6040" s="1038" t="s">
        <v>1410</v>
      </c>
      <c r="E6040" s="1038" t="s">
        <v>3393</v>
      </c>
      <c r="F6040" s="1562" t="s">
        <v>528</v>
      </c>
      <c r="G6040" s="1563" t="s">
        <v>1663</v>
      </c>
      <c r="H6040" s="1038" t="s">
        <v>11716</v>
      </c>
    </row>
    <row r="6041" spans="2:8">
      <c r="B6041" s="1560">
        <v>46293</v>
      </c>
      <c r="C6041" s="1038" t="s">
        <v>11566</v>
      </c>
      <c r="D6041" s="1038" t="s">
        <v>1410</v>
      </c>
      <c r="E6041" s="1038" t="s">
        <v>3397</v>
      </c>
      <c r="F6041" s="1562" t="s">
        <v>526</v>
      </c>
      <c r="G6041" s="1563" t="s">
        <v>1435</v>
      </c>
      <c r="H6041" s="1038" t="s">
        <v>11717</v>
      </c>
    </row>
    <row r="6042" spans="2:8">
      <c r="B6042" s="1560">
        <v>46293</v>
      </c>
      <c r="C6042" s="1038" t="s">
        <v>11566</v>
      </c>
      <c r="D6042" s="1038" t="s">
        <v>1410</v>
      </c>
      <c r="E6042" s="1038" t="s">
        <v>3397</v>
      </c>
      <c r="F6042" s="1562" t="s">
        <v>527</v>
      </c>
      <c r="G6042" s="1563" t="s">
        <v>1435</v>
      </c>
      <c r="H6042" s="1038" t="s">
        <v>11718</v>
      </c>
    </row>
    <row r="6043" spans="2:8">
      <c r="B6043" s="1560">
        <v>46293</v>
      </c>
      <c r="C6043" s="1038" t="s">
        <v>11566</v>
      </c>
      <c r="D6043" s="1038" t="s">
        <v>1410</v>
      </c>
      <c r="E6043" s="1038" t="s">
        <v>3397</v>
      </c>
      <c r="F6043" s="1562" t="s">
        <v>528</v>
      </c>
      <c r="G6043" s="1563" t="s">
        <v>1435</v>
      </c>
      <c r="H6043" s="1038" t="s">
        <v>11719</v>
      </c>
    </row>
    <row r="6044" spans="2:8">
      <c r="B6044" s="1560">
        <v>46293</v>
      </c>
      <c r="C6044" s="1038" t="s">
        <v>11566</v>
      </c>
      <c r="D6044" s="1038" t="s">
        <v>1434</v>
      </c>
      <c r="E6044" s="1038" t="s">
        <v>42</v>
      </c>
      <c r="F6044" s="1562" t="s">
        <v>526</v>
      </c>
      <c r="G6044" s="1563" t="s">
        <v>11035</v>
      </c>
      <c r="H6044" s="1038" t="s">
        <v>11720</v>
      </c>
    </row>
    <row r="6045" spans="2:8">
      <c r="B6045" s="1560">
        <v>46293</v>
      </c>
      <c r="C6045" s="1038" t="s">
        <v>11566</v>
      </c>
      <c r="D6045" s="1038" t="s">
        <v>1434</v>
      </c>
      <c r="E6045" s="1038" t="s">
        <v>42</v>
      </c>
      <c r="F6045" s="1562" t="s">
        <v>527</v>
      </c>
      <c r="G6045" s="1563" t="s">
        <v>11035</v>
      </c>
      <c r="H6045" s="1038" t="s">
        <v>11721</v>
      </c>
    </row>
    <row r="6046" spans="2:8">
      <c r="B6046" s="1560">
        <v>46293</v>
      </c>
      <c r="C6046" s="1038" t="s">
        <v>11566</v>
      </c>
      <c r="D6046" s="1038" t="s">
        <v>1434</v>
      </c>
      <c r="E6046" s="1038" t="s">
        <v>42</v>
      </c>
      <c r="F6046" s="1562" t="s">
        <v>528</v>
      </c>
      <c r="G6046" s="1563" t="s">
        <v>11035</v>
      </c>
      <c r="H6046" s="1038" t="s">
        <v>11722</v>
      </c>
    </row>
    <row r="6047" spans="2:8">
      <c r="B6047" s="1560">
        <v>46293</v>
      </c>
      <c r="C6047" s="1038" t="s">
        <v>11566</v>
      </c>
      <c r="D6047" s="1038" t="s">
        <v>1410</v>
      </c>
      <c r="E6047" s="1038" t="s">
        <v>3404</v>
      </c>
      <c r="F6047" s="1562" t="s">
        <v>526</v>
      </c>
      <c r="G6047" s="1563" t="s">
        <v>1419</v>
      </c>
      <c r="H6047" s="1038" t="s">
        <v>11723</v>
      </c>
    </row>
    <row r="6048" spans="2:8">
      <c r="B6048" s="1560">
        <v>46293</v>
      </c>
      <c r="C6048" s="1038" t="s">
        <v>11566</v>
      </c>
      <c r="D6048" s="1038" t="s">
        <v>1410</v>
      </c>
      <c r="E6048" s="1038" t="s">
        <v>3404</v>
      </c>
      <c r="F6048" s="1562" t="s">
        <v>527</v>
      </c>
      <c r="G6048" s="1563" t="s">
        <v>1419</v>
      </c>
      <c r="H6048" s="1038" t="s">
        <v>11724</v>
      </c>
    </row>
    <row r="6049" spans="2:8">
      <c r="B6049" s="1560">
        <v>46293</v>
      </c>
      <c r="C6049" s="1038" t="s">
        <v>11566</v>
      </c>
      <c r="D6049" s="1038" t="s">
        <v>1410</v>
      </c>
      <c r="E6049" s="1038" t="s">
        <v>3404</v>
      </c>
      <c r="F6049" s="1562" t="s">
        <v>528</v>
      </c>
      <c r="G6049" s="1563" t="s">
        <v>1419</v>
      </c>
      <c r="H6049" s="1038" t="s">
        <v>11725</v>
      </c>
    </row>
    <row r="6050" spans="2:8">
      <c r="B6050" s="1560">
        <v>46293</v>
      </c>
      <c r="C6050" s="1038" t="s">
        <v>11566</v>
      </c>
      <c r="D6050" s="1038" t="s">
        <v>1434</v>
      </c>
      <c r="E6050" s="1038" t="s">
        <v>1439</v>
      </c>
      <c r="F6050" s="1562" t="s">
        <v>526</v>
      </c>
      <c r="G6050" s="1563" t="s">
        <v>11042</v>
      </c>
      <c r="H6050" s="1038" t="s">
        <v>11726</v>
      </c>
    </row>
    <row r="6051" spans="2:8">
      <c r="B6051" s="1560">
        <v>46293</v>
      </c>
      <c r="C6051" s="1038" t="s">
        <v>11566</v>
      </c>
      <c r="D6051" s="1038" t="s">
        <v>1434</v>
      </c>
      <c r="E6051" s="1038" t="s">
        <v>1439</v>
      </c>
      <c r="F6051" s="1562" t="s">
        <v>527</v>
      </c>
      <c r="G6051" s="1563" t="s">
        <v>11042</v>
      </c>
      <c r="H6051" s="1038" t="s">
        <v>11727</v>
      </c>
    </row>
    <row r="6052" spans="2:8">
      <c r="B6052" s="1560">
        <v>46293</v>
      </c>
      <c r="C6052" s="1038" t="s">
        <v>11566</v>
      </c>
      <c r="D6052" s="1038" t="s">
        <v>1434</v>
      </c>
      <c r="E6052" s="1038" t="s">
        <v>1439</v>
      </c>
      <c r="F6052" s="1562" t="s">
        <v>528</v>
      </c>
      <c r="G6052" s="1563" t="s">
        <v>11042</v>
      </c>
      <c r="H6052" s="1038" t="s">
        <v>11728</v>
      </c>
    </row>
    <row r="6053" spans="2:8">
      <c r="B6053" s="1560">
        <v>46293</v>
      </c>
      <c r="C6053" s="1038" t="s">
        <v>11566</v>
      </c>
      <c r="D6053" s="1038" t="s">
        <v>1410</v>
      </c>
      <c r="E6053" s="1038" t="s">
        <v>3411</v>
      </c>
      <c r="F6053" s="1562" t="s">
        <v>526</v>
      </c>
      <c r="G6053" s="1563">
        <v>47</v>
      </c>
      <c r="H6053" s="1038" t="s">
        <v>11729</v>
      </c>
    </row>
    <row r="6054" spans="2:8">
      <c r="B6054" s="1560">
        <v>46293</v>
      </c>
      <c r="C6054" s="1038" t="s">
        <v>11566</v>
      </c>
      <c r="D6054" s="1038" t="s">
        <v>1410</v>
      </c>
      <c r="E6054" s="1038" t="s">
        <v>3411</v>
      </c>
      <c r="F6054" s="1562" t="s">
        <v>527</v>
      </c>
      <c r="G6054" s="1563">
        <v>57</v>
      </c>
      <c r="H6054" s="1038" t="s">
        <v>11730</v>
      </c>
    </row>
    <row r="6055" spans="2:8">
      <c r="B6055" s="1560">
        <v>46293</v>
      </c>
      <c r="C6055" s="1038" t="s">
        <v>11566</v>
      </c>
      <c r="D6055" s="1038" t="s">
        <v>1410</v>
      </c>
      <c r="E6055" s="1038" t="s">
        <v>3411</v>
      </c>
      <c r="F6055" s="1562" t="s">
        <v>528</v>
      </c>
      <c r="G6055" s="1563">
        <v>56</v>
      </c>
      <c r="H6055" s="1038" t="s">
        <v>11731</v>
      </c>
    </row>
    <row r="6056" spans="2:8">
      <c r="B6056" s="1560">
        <v>46293</v>
      </c>
      <c r="C6056" s="1038" t="s">
        <v>11566</v>
      </c>
      <c r="D6056" s="1038" t="s">
        <v>1434</v>
      </c>
      <c r="E6056" s="1038" t="s">
        <v>43</v>
      </c>
      <c r="F6056" s="1562" t="s">
        <v>526</v>
      </c>
      <c r="G6056" s="1563" t="s">
        <v>11049</v>
      </c>
      <c r="H6056" s="1038" t="s">
        <v>11732</v>
      </c>
    </row>
    <row r="6057" spans="2:8">
      <c r="B6057" s="1560">
        <v>46293</v>
      </c>
      <c r="C6057" s="1038" t="s">
        <v>11566</v>
      </c>
      <c r="D6057" s="1038" t="s">
        <v>1434</v>
      </c>
      <c r="E6057" s="1038" t="s">
        <v>43</v>
      </c>
      <c r="F6057" s="1562" t="s">
        <v>527</v>
      </c>
      <c r="G6057" s="1563" t="s">
        <v>11049</v>
      </c>
      <c r="H6057" s="1038" t="s">
        <v>11733</v>
      </c>
    </row>
    <row r="6058" spans="2:8">
      <c r="B6058" s="1560">
        <v>46293</v>
      </c>
      <c r="C6058" s="1038" t="s">
        <v>11566</v>
      </c>
      <c r="D6058" s="1038" t="s">
        <v>1434</v>
      </c>
      <c r="E6058" s="1038" t="s">
        <v>43</v>
      </c>
      <c r="F6058" s="1562" t="s">
        <v>528</v>
      </c>
      <c r="G6058" s="1563" t="s">
        <v>11049</v>
      </c>
      <c r="H6058" s="1038" t="s">
        <v>11734</v>
      </c>
    </row>
    <row r="6059" spans="2:8">
      <c r="B6059" s="1560">
        <v>46293</v>
      </c>
      <c r="C6059" s="1038" t="s">
        <v>11566</v>
      </c>
      <c r="D6059" s="1038" t="s">
        <v>1410</v>
      </c>
      <c r="E6059" s="1038" t="s">
        <v>3418</v>
      </c>
      <c r="F6059" s="1562" t="s">
        <v>526</v>
      </c>
      <c r="G6059" s="1563">
        <v>87</v>
      </c>
      <c r="H6059" s="1038" t="s">
        <v>11735</v>
      </c>
    </row>
    <row r="6060" spans="2:8">
      <c r="B6060" s="1560">
        <v>46293</v>
      </c>
      <c r="C6060" s="1038" t="s">
        <v>11566</v>
      </c>
      <c r="D6060" s="1038" t="s">
        <v>1410</v>
      </c>
      <c r="E6060" s="1038" t="s">
        <v>3418</v>
      </c>
      <c r="F6060" s="1562" t="s">
        <v>527</v>
      </c>
      <c r="G6060" s="1563">
        <v>88</v>
      </c>
      <c r="H6060" s="1038" t="s">
        <v>11736</v>
      </c>
    </row>
    <row r="6061" spans="2:8">
      <c r="B6061" s="1560">
        <v>46293</v>
      </c>
      <c r="C6061" s="1038" t="s">
        <v>11566</v>
      </c>
      <c r="D6061" s="1038" t="s">
        <v>1410</v>
      </c>
      <c r="E6061" s="1038" t="s">
        <v>3418</v>
      </c>
      <c r="F6061" s="1562" t="s">
        <v>528</v>
      </c>
      <c r="G6061" s="1563">
        <v>87</v>
      </c>
      <c r="H6061" s="1038" t="s">
        <v>11737</v>
      </c>
    </row>
    <row r="6062" spans="2:8">
      <c r="B6062" s="1560">
        <v>46293</v>
      </c>
      <c r="C6062" s="1038" t="s">
        <v>11566</v>
      </c>
      <c r="D6062" s="1038" t="s">
        <v>1434</v>
      </c>
      <c r="E6062" s="1038" t="s">
        <v>1441</v>
      </c>
      <c r="F6062" s="1562" t="s">
        <v>526</v>
      </c>
      <c r="G6062" s="1563"/>
      <c r="H6062" s="1038" t="s">
        <v>11738</v>
      </c>
    </row>
    <row r="6063" spans="2:8">
      <c r="B6063" s="1560">
        <v>46293</v>
      </c>
      <c r="C6063" s="1038" t="s">
        <v>11566</v>
      </c>
      <c r="D6063" s="1038" t="s">
        <v>1434</v>
      </c>
      <c r="E6063" s="1038" t="s">
        <v>1441</v>
      </c>
      <c r="F6063" s="1562" t="s">
        <v>527</v>
      </c>
      <c r="G6063" s="1563"/>
      <c r="H6063" s="1038" t="s">
        <v>11739</v>
      </c>
    </row>
    <row r="6064" spans="2:8">
      <c r="B6064" s="1560">
        <v>46293</v>
      </c>
      <c r="C6064" s="1038" t="s">
        <v>11566</v>
      </c>
      <c r="D6064" s="1038" t="s">
        <v>1434</v>
      </c>
      <c r="E6064" s="1038" t="s">
        <v>1441</v>
      </c>
      <c r="F6064" s="1562" t="s">
        <v>528</v>
      </c>
      <c r="G6064" s="1563"/>
      <c r="H6064" s="1038" t="s">
        <v>11740</v>
      </c>
    </row>
    <row r="6065" spans="2:8">
      <c r="B6065" s="1560">
        <v>46293</v>
      </c>
      <c r="C6065" s="1038" t="s">
        <v>11566</v>
      </c>
      <c r="D6065" s="1038" t="s">
        <v>1410</v>
      </c>
      <c r="E6065" s="1038" t="s">
        <v>3425</v>
      </c>
      <c r="F6065" s="1562" t="s">
        <v>526</v>
      </c>
      <c r="G6065" s="1563" t="s">
        <v>1443</v>
      </c>
      <c r="H6065" s="1038" t="s">
        <v>11741</v>
      </c>
    </row>
    <row r="6066" spans="2:8">
      <c r="B6066" s="1560">
        <v>46293</v>
      </c>
      <c r="C6066" s="1038" t="s">
        <v>11566</v>
      </c>
      <c r="D6066" s="1038" t="s">
        <v>1410</v>
      </c>
      <c r="E6066" s="1038" t="s">
        <v>3425</v>
      </c>
      <c r="F6066" s="1562" t="s">
        <v>527</v>
      </c>
      <c r="G6066" s="1563" t="s">
        <v>1443</v>
      </c>
      <c r="H6066" s="1038" t="s">
        <v>11742</v>
      </c>
    </row>
    <row r="6067" spans="2:8">
      <c r="B6067" s="1560">
        <v>46293</v>
      </c>
      <c r="C6067" s="1038" t="s">
        <v>11566</v>
      </c>
      <c r="D6067" s="1038" t="s">
        <v>1410</v>
      </c>
      <c r="E6067" s="1038" t="s">
        <v>3425</v>
      </c>
      <c r="F6067" s="1562" t="s">
        <v>528</v>
      </c>
      <c r="G6067" s="1563" t="s">
        <v>1443</v>
      </c>
      <c r="H6067" s="1038" t="s">
        <v>11743</v>
      </c>
    </row>
    <row r="6068" spans="2:8">
      <c r="B6068" s="1560">
        <v>46293</v>
      </c>
      <c r="C6068" s="1038" t="s">
        <v>11566</v>
      </c>
      <c r="D6068" s="1038" t="s">
        <v>1434</v>
      </c>
      <c r="E6068" s="1038" t="s">
        <v>1444</v>
      </c>
      <c r="F6068" s="1562" t="s">
        <v>526</v>
      </c>
      <c r="G6068" s="1563"/>
      <c r="H6068" s="1038" t="s">
        <v>11744</v>
      </c>
    </row>
    <row r="6069" spans="2:8">
      <c r="B6069" s="1560">
        <v>46293</v>
      </c>
      <c r="C6069" s="1038" t="s">
        <v>11566</v>
      </c>
      <c r="D6069" s="1038" t="s">
        <v>1434</v>
      </c>
      <c r="E6069" s="1038" t="s">
        <v>1444</v>
      </c>
      <c r="F6069" s="1562" t="s">
        <v>527</v>
      </c>
      <c r="G6069" s="1563"/>
      <c r="H6069" s="1038" t="s">
        <v>11745</v>
      </c>
    </row>
    <row r="6070" spans="2:8">
      <c r="B6070" s="1560">
        <v>46293</v>
      </c>
      <c r="C6070" s="1038" t="s">
        <v>11566</v>
      </c>
      <c r="D6070" s="1038" t="s">
        <v>1434</v>
      </c>
      <c r="E6070" s="1038" t="s">
        <v>1444</v>
      </c>
      <c r="F6070" s="1562" t="s">
        <v>528</v>
      </c>
      <c r="G6070" s="1563"/>
      <c r="H6070" s="1038" t="s">
        <v>11746</v>
      </c>
    </row>
    <row r="6071" spans="2:8">
      <c r="B6071" s="1560">
        <v>46293</v>
      </c>
      <c r="C6071" s="1038" t="s">
        <v>11566</v>
      </c>
      <c r="D6071" s="1038" t="s">
        <v>1434</v>
      </c>
      <c r="E6071" s="1038" t="s">
        <v>1446</v>
      </c>
      <c r="F6071" s="1562" t="s">
        <v>526</v>
      </c>
      <c r="G6071" s="1563" t="s">
        <v>11520</v>
      </c>
      <c r="H6071" s="1038" t="s">
        <v>11747</v>
      </c>
    </row>
    <row r="6072" spans="2:8">
      <c r="B6072" s="1560">
        <v>46293</v>
      </c>
      <c r="C6072" s="1038" t="s">
        <v>11566</v>
      </c>
      <c r="D6072" s="1038" t="s">
        <v>1434</v>
      </c>
      <c r="E6072" s="1038" t="s">
        <v>1446</v>
      </c>
      <c r="F6072" s="1562" t="s">
        <v>527</v>
      </c>
      <c r="G6072" s="1563" t="s">
        <v>11748</v>
      </c>
      <c r="H6072" s="1038" t="s">
        <v>11749</v>
      </c>
    </row>
    <row r="6073" spans="2:8">
      <c r="B6073" s="1560">
        <v>46293</v>
      </c>
      <c r="C6073" s="1038" t="s">
        <v>11566</v>
      </c>
      <c r="D6073" s="1038" t="s">
        <v>1434</v>
      </c>
      <c r="E6073" s="1038" t="s">
        <v>1446</v>
      </c>
      <c r="F6073" s="1562" t="s">
        <v>528</v>
      </c>
      <c r="G6073" s="1563" t="s">
        <v>11750</v>
      </c>
      <c r="H6073" s="1038" t="s">
        <v>11751</v>
      </c>
    </row>
    <row r="6074" spans="2:8">
      <c r="B6074" s="1560">
        <v>46293</v>
      </c>
      <c r="C6074" s="1038" t="s">
        <v>11566</v>
      </c>
      <c r="D6074" s="1038" t="s">
        <v>1410</v>
      </c>
      <c r="E6074" s="1038" t="s">
        <v>3435</v>
      </c>
      <c r="F6074" s="1562" t="s">
        <v>526</v>
      </c>
      <c r="G6074" s="1563" t="s">
        <v>1586</v>
      </c>
      <c r="H6074" s="1038" t="s">
        <v>11752</v>
      </c>
    </row>
    <row r="6075" spans="2:8">
      <c r="B6075" s="1560">
        <v>46293</v>
      </c>
      <c r="C6075" s="1038" t="s">
        <v>11566</v>
      </c>
      <c r="D6075" s="1038" t="s">
        <v>1410</v>
      </c>
      <c r="E6075" s="1038" t="s">
        <v>3435</v>
      </c>
      <c r="F6075" s="1562" t="s">
        <v>527</v>
      </c>
      <c r="G6075" s="1563" t="s">
        <v>1586</v>
      </c>
      <c r="H6075" s="1038" t="s">
        <v>11753</v>
      </c>
    </row>
    <row r="6076" spans="2:8">
      <c r="B6076" s="1560">
        <v>46293</v>
      </c>
      <c r="C6076" s="1038" t="s">
        <v>11566</v>
      </c>
      <c r="D6076" s="1038" t="s">
        <v>1410</v>
      </c>
      <c r="E6076" s="1038" t="s">
        <v>3435</v>
      </c>
      <c r="F6076" s="1562" t="s">
        <v>528</v>
      </c>
      <c r="G6076" s="1563" t="s">
        <v>1586</v>
      </c>
      <c r="H6076" s="1038" t="s">
        <v>11754</v>
      </c>
    </row>
    <row r="6077" spans="2:8">
      <c r="B6077" s="1560">
        <v>46293</v>
      </c>
      <c r="C6077" s="1038" t="s">
        <v>11566</v>
      </c>
      <c r="D6077" s="1038" t="s">
        <v>1434</v>
      </c>
      <c r="E6077" s="1038" t="s">
        <v>3439</v>
      </c>
      <c r="F6077" s="1562" t="s">
        <v>526</v>
      </c>
      <c r="G6077" s="1563"/>
      <c r="H6077" s="1038" t="s">
        <v>11755</v>
      </c>
    </row>
    <row r="6078" spans="2:8">
      <c r="B6078" s="1560">
        <v>46293</v>
      </c>
      <c r="C6078" s="1038" t="s">
        <v>11566</v>
      </c>
      <c r="D6078" s="1038" t="s">
        <v>1434</v>
      </c>
      <c r="E6078" s="1038" t="s">
        <v>3439</v>
      </c>
      <c r="F6078" s="1562" t="s">
        <v>527</v>
      </c>
      <c r="G6078" s="1563"/>
      <c r="H6078" s="1038" t="s">
        <v>11756</v>
      </c>
    </row>
    <row r="6079" spans="2:8">
      <c r="B6079" s="1560">
        <v>46293</v>
      </c>
      <c r="C6079" s="1038" t="s">
        <v>11566</v>
      </c>
      <c r="D6079" s="1038" t="s">
        <v>1434</v>
      </c>
      <c r="E6079" s="1038" t="s">
        <v>3439</v>
      </c>
      <c r="F6079" s="1562" t="s">
        <v>528</v>
      </c>
      <c r="G6079" s="1563"/>
      <c r="H6079" s="1038" t="s">
        <v>11757</v>
      </c>
    </row>
    <row r="6080" spans="2:8">
      <c r="B6080" s="1560">
        <v>46293</v>
      </c>
      <c r="C6080" s="1038" t="s">
        <v>11566</v>
      </c>
      <c r="D6080" s="1038" t="s">
        <v>1410</v>
      </c>
      <c r="E6080" s="1038" t="s">
        <v>3443</v>
      </c>
      <c r="F6080" s="1562" t="s">
        <v>526</v>
      </c>
      <c r="G6080" s="1563"/>
      <c r="H6080" s="1038" t="s">
        <v>11758</v>
      </c>
    </row>
    <row r="6081" spans="2:8">
      <c r="B6081" s="1560">
        <v>46293</v>
      </c>
      <c r="C6081" s="1038" t="s">
        <v>11566</v>
      </c>
      <c r="D6081" s="1038" t="s">
        <v>1410</v>
      </c>
      <c r="E6081" s="1038" t="s">
        <v>3443</v>
      </c>
      <c r="F6081" s="1562" t="s">
        <v>527</v>
      </c>
      <c r="G6081" s="1563"/>
      <c r="H6081" s="1038" t="s">
        <v>11759</v>
      </c>
    </row>
    <row r="6082" spans="2:8">
      <c r="B6082" s="1560">
        <v>46293</v>
      </c>
      <c r="C6082" s="1038" t="s">
        <v>11566</v>
      </c>
      <c r="D6082" s="1038" t="s">
        <v>1410</v>
      </c>
      <c r="E6082" s="1038" t="s">
        <v>3443</v>
      </c>
      <c r="F6082" s="1562" t="s">
        <v>528</v>
      </c>
      <c r="G6082" s="1563"/>
      <c r="H6082" s="1038" t="s">
        <v>11760</v>
      </c>
    </row>
    <row r="6083" spans="2:8">
      <c r="B6083" s="1560">
        <v>46293</v>
      </c>
      <c r="C6083" s="1038" t="s">
        <v>11566</v>
      </c>
      <c r="D6083" s="1038" t="s">
        <v>1434</v>
      </c>
      <c r="E6083" s="1038" t="s">
        <v>3447</v>
      </c>
      <c r="F6083" s="1562" t="s">
        <v>526</v>
      </c>
      <c r="G6083" s="1563"/>
      <c r="H6083" s="1038" t="s">
        <v>11761</v>
      </c>
    </row>
    <row r="6084" spans="2:8">
      <c r="B6084" s="1560">
        <v>46293</v>
      </c>
      <c r="C6084" s="1038" t="s">
        <v>11566</v>
      </c>
      <c r="D6084" s="1038" t="s">
        <v>1434</v>
      </c>
      <c r="E6084" s="1038" t="s">
        <v>3447</v>
      </c>
      <c r="F6084" s="1562" t="s">
        <v>527</v>
      </c>
      <c r="G6084" s="1563"/>
      <c r="H6084" s="1038" t="s">
        <v>11762</v>
      </c>
    </row>
    <row r="6085" spans="2:8">
      <c r="B6085" s="1560">
        <v>46293</v>
      </c>
      <c r="C6085" s="1038" t="s">
        <v>11566</v>
      </c>
      <c r="D6085" s="1038" t="s">
        <v>1434</v>
      </c>
      <c r="E6085" s="1038" t="s">
        <v>3447</v>
      </c>
      <c r="F6085" s="1562" t="s">
        <v>528</v>
      </c>
      <c r="G6085" s="1563"/>
      <c r="H6085" s="1038" t="s">
        <v>11763</v>
      </c>
    </row>
    <row r="6086" spans="2:8">
      <c r="B6086" s="1560">
        <v>46293</v>
      </c>
      <c r="C6086" s="1038" t="s">
        <v>11566</v>
      </c>
      <c r="D6086" s="1038" t="s">
        <v>1410</v>
      </c>
      <c r="E6086" s="1038" t="s">
        <v>3451</v>
      </c>
      <c r="F6086" s="1562" t="s">
        <v>526</v>
      </c>
      <c r="G6086" s="1563"/>
      <c r="H6086" s="1038" t="s">
        <v>11764</v>
      </c>
    </row>
    <row r="6087" spans="2:8">
      <c r="B6087" s="1560">
        <v>46293</v>
      </c>
      <c r="C6087" s="1038" t="s">
        <v>11566</v>
      </c>
      <c r="D6087" s="1038" t="s">
        <v>1410</v>
      </c>
      <c r="E6087" s="1038" t="s">
        <v>3451</v>
      </c>
      <c r="F6087" s="1562" t="s">
        <v>527</v>
      </c>
      <c r="G6087" s="1563"/>
      <c r="H6087" s="1038" t="s">
        <v>11765</v>
      </c>
    </row>
    <row r="6088" spans="2:8">
      <c r="B6088" s="1560">
        <v>46293</v>
      </c>
      <c r="C6088" s="1038" t="s">
        <v>11566</v>
      </c>
      <c r="D6088" s="1038" t="s">
        <v>1410</v>
      </c>
      <c r="E6088" s="1038" t="s">
        <v>3451</v>
      </c>
      <c r="F6088" s="1562" t="s">
        <v>528</v>
      </c>
      <c r="G6088" s="1563"/>
      <c r="H6088" s="1038" t="s">
        <v>11766</v>
      </c>
    </row>
    <row r="6089" spans="2:8">
      <c r="B6089" s="1560">
        <v>46293</v>
      </c>
      <c r="C6089" s="1038" t="s">
        <v>11566</v>
      </c>
      <c r="D6089" s="1038" t="s">
        <v>1434</v>
      </c>
      <c r="E6089" s="1038" t="s">
        <v>3455</v>
      </c>
      <c r="F6089" s="1562" t="s">
        <v>526</v>
      </c>
      <c r="G6089" s="1563"/>
      <c r="H6089" s="1038" t="s">
        <v>11767</v>
      </c>
    </row>
    <row r="6090" spans="2:8">
      <c r="B6090" s="1560">
        <v>46293</v>
      </c>
      <c r="C6090" s="1038" t="s">
        <v>11566</v>
      </c>
      <c r="D6090" s="1038" t="s">
        <v>1434</v>
      </c>
      <c r="E6090" s="1038" t="s">
        <v>3455</v>
      </c>
      <c r="F6090" s="1562" t="s">
        <v>527</v>
      </c>
      <c r="G6090" s="1563"/>
      <c r="H6090" s="1038" t="s">
        <v>11768</v>
      </c>
    </row>
    <row r="6091" spans="2:8">
      <c r="B6091" s="1560">
        <v>46293</v>
      </c>
      <c r="C6091" s="1038" t="s">
        <v>11566</v>
      </c>
      <c r="D6091" s="1038" t="s">
        <v>1434</v>
      </c>
      <c r="E6091" s="1038" t="s">
        <v>3455</v>
      </c>
      <c r="F6091" s="1562" t="s">
        <v>528</v>
      </c>
      <c r="G6091" s="1563"/>
      <c r="H6091" s="1038" t="s">
        <v>11769</v>
      </c>
    </row>
    <row r="6092" spans="2:8">
      <c r="B6092" s="1560">
        <v>46293</v>
      </c>
      <c r="C6092" s="1038" t="s">
        <v>11566</v>
      </c>
      <c r="D6092" s="1038" t="s">
        <v>1410</v>
      </c>
      <c r="E6092" s="1038" t="s">
        <v>3459</v>
      </c>
      <c r="F6092" s="1562" t="s">
        <v>526</v>
      </c>
      <c r="G6092" s="1563">
        <v>30</v>
      </c>
      <c r="H6092" s="1038" t="s">
        <v>11770</v>
      </c>
    </row>
    <row r="6093" spans="2:8">
      <c r="B6093" s="1560">
        <v>46293</v>
      </c>
      <c r="C6093" s="1038" t="s">
        <v>11566</v>
      </c>
      <c r="D6093" s="1038" t="s">
        <v>1410</v>
      </c>
      <c r="E6093" s="1038" t="s">
        <v>3459</v>
      </c>
      <c r="F6093" s="1562" t="s">
        <v>527</v>
      </c>
      <c r="G6093" s="1563">
        <v>26</v>
      </c>
      <c r="H6093" s="1038" t="s">
        <v>11771</v>
      </c>
    </row>
    <row r="6094" spans="2:8">
      <c r="B6094" s="1560">
        <v>46293</v>
      </c>
      <c r="C6094" s="1038" t="s">
        <v>11566</v>
      </c>
      <c r="D6094" s="1038" t="s">
        <v>1410</v>
      </c>
      <c r="E6094" s="1038" t="s">
        <v>3459</v>
      </c>
      <c r="F6094" s="1562" t="s">
        <v>528</v>
      </c>
      <c r="G6094" s="1563">
        <v>29</v>
      </c>
      <c r="H6094" s="1038" t="s">
        <v>11772</v>
      </c>
    </row>
    <row r="6095" spans="2:8">
      <c r="B6095" s="1560">
        <v>46293</v>
      </c>
      <c r="C6095" s="1038" t="s">
        <v>11566</v>
      </c>
      <c r="D6095" s="1038" t="s">
        <v>1434</v>
      </c>
      <c r="E6095" s="1038" t="s">
        <v>3463</v>
      </c>
      <c r="F6095" s="1562" t="s">
        <v>526</v>
      </c>
      <c r="G6095" s="1563"/>
      <c r="H6095" s="1038" t="s">
        <v>11773</v>
      </c>
    </row>
    <row r="6096" spans="2:8">
      <c r="B6096" s="1560">
        <v>46293</v>
      </c>
      <c r="C6096" s="1038" t="s">
        <v>11566</v>
      </c>
      <c r="D6096" s="1038" t="s">
        <v>1434</v>
      </c>
      <c r="E6096" s="1038" t="s">
        <v>3463</v>
      </c>
      <c r="F6096" s="1562" t="s">
        <v>527</v>
      </c>
      <c r="G6096" s="1563"/>
      <c r="H6096" s="1038" t="s">
        <v>11774</v>
      </c>
    </row>
    <row r="6097" spans="2:8">
      <c r="B6097" s="1560">
        <v>46293</v>
      </c>
      <c r="C6097" s="1038" t="s">
        <v>11566</v>
      </c>
      <c r="D6097" s="1038" t="s">
        <v>1434</v>
      </c>
      <c r="E6097" s="1038" t="s">
        <v>3463</v>
      </c>
      <c r="F6097" s="1562" t="s">
        <v>528</v>
      </c>
      <c r="G6097" s="1563"/>
      <c r="H6097" s="1038" t="s">
        <v>11775</v>
      </c>
    </row>
    <row r="6098" spans="2:8">
      <c r="B6098" s="1560">
        <v>46293</v>
      </c>
      <c r="C6098" s="1038" t="s">
        <v>11566</v>
      </c>
      <c r="D6098" s="1038" t="s">
        <v>1410</v>
      </c>
      <c r="E6098" s="1038" t="s">
        <v>3467</v>
      </c>
      <c r="F6098" s="1562" t="s">
        <v>526</v>
      </c>
      <c r="G6098" s="1563"/>
      <c r="H6098" s="1038" t="s">
        <v>11776</v>
      </c>
    </row>
    <row r="6099" spans="2:8">
      <c r="B6099" s="1560">
        <v>46293</v>
      </c>
      <c r="C6099" s="1038" t="s">
        <v>11566</v>
      </c>
      <c r="D6099" s="1038" t="s">
        <v>1410</v>
      </c>
      <c r="E6099" s="1038" t="s">
        <v>3467</v>
      </c>
      <c r="F6099" s="1562" t="s">
        <v>527</v>
      </c>
      <c r="G6099" s="1563"/>
      <c r="H6099" s="1038" t="s">
        <v>11777</v>
      </c>
    </row>
    <row r="6100" spans="2:8">
      <c r="B6100" s="1560">
        <v>46293</v>
      </c>
      <c r="C6100" s="1038" t="s">
        <v>11566</v>
      </c>
      <c r="D6100" s="1038" t="s">
        <v>1410</v>
      </c>
      <c r="E6100" s="1038" t="s">
        <v>3467</v>
      </c>
      <c r="F6100" s="1562" t="s">
        <v>528</v>
      </c>
      <c r="G6100" s="1563">
        <v>29</v>
      </c>
      <c r="H6100" s="1038" t="s">
        <v>11778</v>
      </c>
    </row>
    <row r="6101" spans="2:8">
      <c r="B6101" s="1560">
        <v>46293</v>
      </c>
      <c r="C6101" s="1038" t="s">
        <v>11566</v>
      </c>
      <c r="D6101" s="1038" t="s">
        <v>1434</v>
      </c>
      <c r="E6101" s="1038" t="s">
        <v>3471</v>
      </c>
      <c r="F6101" s="1562" t="s">
        <v>526</v>
      </c>
      <c r="G6101" s="1563"/>
      <c r="H6101" s="1038" t="s">
        <v>11779</v>
      </c>
    </row>
    <row r="6102" spans="2:8">
      <c r="B6102" s="1560">
        <v>46293</v>
      </c>
      <c r="C6102" s="1038" t="s">
        <v>11566</v>
      </c>
      <c r="D6102" s="1038" t="s">
        <v>1434</v>
      </c>
      <c r="E6102" s="1038" t="s">
        <v>3471</v>
      </c>
      <c r="F6102" s="1562" t="s">
        <v>527</v>
      </c>
      <c r="G6102" s="1563"/>
      <c r="H6102" s="1038" t="s">
        <v>11780</v>
      </c>
    </row>
    <row r="6103" spans="2:8">
      <c r="B6103" s="1560">
        <v>46293</v>
      </c>
      <c r="C6103" s="1038" t="s">
        <v>11566</v>
      </c>
      <c r="D6103" s="1038" t="s">
        <v>1434</v>
      </c>
      <c r="E6103" s="1038" t="s">
        <v>3471</v>
      </c>
      <c r="F6103" s="1562" t="s">
        <v>528</v>
      </c>
      <c r="G6103" s="1563"/>
      <c r="H6103" s="1038" t="s">
        <v>11781</v>
      </c>
    </row>
    <row r="6104" spans="2:8">
      <c r="B6104" s="1560">
        <v>46293</v>
      </c>
      <c r="C6104" s="1038" t="s">
        <v>11566</v>
      </c>
      <c r="D6104" s="1038" t="s">
        <v>1410</v>
      </c>
      <c r="E6104" s="1038" t="s">
        <v>3475</v>
      </c>
      <c r="F6104" s="1562" t="s">
        <v>526</v>
      </c>
      <c r="G6104" s="1563">
        <v>17</v>
      </c>
      <c r="H6104" s="1038" t="s">
        <v>11782</v>
      </c>
    </row>
    <row r="6105" spans="2:8">
      <c r="B6105" s="1560">
        <v>46293</v>
      </c>
      <c r="C6105" s="1038" t="s">
        <v>11566</v>
      </c>
      <c r="D6105" s="1038" t="s">
        <v>1410</v>
      </c>
      <c r="E6105" s="1038" t="s">
        <v>3475</v>
      </c>
      <c r="F6105" s="1562" t="s">
        <v>527</v>
      </c>
      <c r="G6105" s="1563">
        <v>18</v>
      </c>
      <c r="H6105" s="1038" t="s">
        <v>11783</v>
      </c>
    </row>
    <row r="6106" spans="2:8">
      <c r="B6106" s="1560">
        <v>46293</v>
      </c>
      <c r="C6106" s="1038" t="s">
        <v>11566</v>
      </c>
      <c r="D6106" s="1038" t="s">
        <v>1410</v>
      </c>
      <c r="E6106" s="1038" t="s">
        <v>3475</v>
      </c>
      <c r="F6106" s="1562" t="s">
        <v>528</v>
      </c>
      <c r="G6106" s="1563">
        <v>18</v>
      </c>
      <c r="H6106" s="1038" t="s">
        <v>11784</v>
      </c>
    </row>
    <row r="6107" spans="2:8">
      <c r="B6107" s="1560">
        <v>46293</v>
      </c>
      <c r="C6107" s="1038" t="s">
        <v>11566</v>
      </c>
      <c r="D6107" s="1038" t="s">
        <v>1434</v>
      </c>
      <c r="E6107" s="1038" t="s">
        <v>3479</v>
      </c>
      <c r="F6107" s="1562" t="s">
        <v>526</v>
      </c>
      <c r="G6107" s="1563"/>
      <c r="H6107" s="1038" t="s">
        <v>11785</v>
      </c>
    </row>
    <row r="6108" spans="2:8">
      <c r="B6108" s="1560">
        <v>46293</v>
      </c>
      <c r="C6108" s="1038" t="s">
        <v>11566</v>
      </c>
      <c r="D6108" s="1038" t="s">
        <v>1434</v>
      </c>
      <c r="E6108" s="1038" t="s">
        <v>3479</v>
      </c>
      <c r="F6108" s="1562" t="s">
        <v>527</v>
      </c>
      <c r="G6108" s="1563"/>
      <c r="H6108" s="1038" t="s">
        <v>11786</v>
      </c>
    </row>
    <row r="6109" spans="2:8">
      <c r="B6109" s="1560">
        <v>46293</v>
      </c>
      <c r="C6109" s="1038" t="s">
        <v>11566</v>
      </c>
      <c r="D6109" s="1038" t="s">
        <v>1434</v>
      </c>
      <c r="E6109" s="1038" t="s">
        <v>3479</v>
      </c>
      <c r="F6109" s="1562" t="s">
        <v>528</v>
      </c>
      <c r="G6109" s="1563"/>
      <c r="H6109" s="1038" t="s">
        <v>11787</v>
      </c>
    </row>
    <row r="6110" spans="2:8">
      <c r="B6110" s="1560">
        <v>46293</v>
      </c>
      <c r="C6110" s="1038" t="s">
        <v>11566</v>
      </c>
      <c r="D6110" s="1038" t="s">
        <v>1410</v>
      </c>
      <c r="E6110" s="1038" t="s">
        <v>3483</v>
      </c>
      <c r="F6110" s="1562" t="s">
        <v>526</v>
      </c>
      <c r="G6110" s="1563">
        <v>5</v>
      </c>
      <c r="H6110" s="1038" t="s">
        <v>11788</v>
      </c>
    </row>
    <row r="6111" spans="2:8">
      <c r="B6111" s="1560">
        <v>46293</v>
      </c>
      <c r="C6111" s="1038" t="s">
        <v>11566</v>
      </c>
      <c r="D6111" s="1038" t="s">
        <v>1410</v>
      </c>
      <c r="E6111" s="1038" t="s">
        <v>3483</v>
      </c>
      <c r="F6111" s="1562" t="s">
        <v>527</v>
      </c>
      <c r="G6111" s="1563">
        <v>5</v>
      </c>
      <c r="H6111" s="1038" t="s">
        <v>11789</v>
      </c>
    </row>
    <row r="6112" spans="2:8">
      <c r="B6112" s="1560">
        <v>46293</v>
      </c>
      <c r="C6112" s="1038" t="s">
        <v>11566</v>
      </c>
      <c r="D6112" s="1038" t="s">
        <v>1410</v>
      </c>
      <c r="E6112" s="1038" t="s">
        <v>3483</v>
      </c>
      <c r="F6112" s="1562" t="s">
        <v>528</v>
      </c>
      <c r="G6112" s="1564" t="s">
        <v>11564</v>
      </c>
      <c r="H6112" s="1038" t="s">
        <v>11790</v>
      </c>
    </row>
    <row r="6113" spans="2:8">
      <c r="B6113" s="1560">
        <v>46294</v>
      </c>
      <c r="C6113" s="1038" t="s">
        <v>11791</v>
      </c>
      <c r="D6113" s="1038" t="s">
        <v>1375</v>
      </c>
      <c r="E6113" s="1038" t="s">
        <v>1377</v>
      </c>
      <c r="F6113" s="1562" t="s">
        <v>526</v>
      </c>
      <c r="G6113" s="1563" t="s">
        <v>1378</v>
      </c>
      <c r="H6113" s="1038" t="s">
        <v>11792</v>
      </c>
    </row>
    <row r="6114" spans="2:8">
      <c r="B6114" s="1560">
        <v>46294</v>
      </c>
      <c r="C6114" s="1038" t="s">
        <v>11791</v>
      </c>
      <c r="D6114" s="1038" t="s">
        <v>1375</v>
      </c>
      <c r="E6114" s="1038" t="s">
        <v>1377</v>
      </c>
      <c r="F6114" s="1562" t="s">
        <v>527</v>
      </c>
      <c r="G6114" s="1563" t="s">
        <v>1378</v>
      </c>
      <c r="H6114" s="1038" t="s">
        <v>11793</v>
      </c>
    </row>
    <row r="6115" spans="2:8">
      <c r="B6115" s="1560">
        <v>46294</v>
      </c>
      <c r="C6115" s="1038" t="s">
        <v>11791</v>
      </c>
      <c r="D6115" s="1038" t="s">
        <v>1375</v>
      </c>
      <c r="E6115" s="1038" t="s">
        <v>1377</v>
      </c>
      <c r="F6115" s="1562" t="s">
        <v>528</v>
      </c>
      <c r="G6115" s="1563" t="s">
        <v>1378</v>
      </c>
      <c r="H6115" s="1038" t="s">
        <v>11794</v>
      </c>
    </row>
    <row r="6116" spans="2:8">
      <c r="B6116" s="1560">
        <v>46294</v>
      </c>
      <c r="C6116" s="1038" t="s">
        <v>11791</v>
      </c>
      <c r="D6116" s="1038" t="s">
        <v>1376</v>
      </c>
      <c r="E6116" s="1038" t="s">
        <v>1379</v>
      </c>
      <c r="F6116" s="1562" t="s">
        <v>526</v>
      </c>
      <c r="G6116" s="1563"/>
      <c r="H6116" s="1038" t="s">
        <v>11795</v>
      </c>
    </row>
    <row r="6117" spans="2:8">
      <c r="B6117" s="1560">
        <v>46294</v>
      </c>
      <c r="C6117" s="1038" t="s">
        <v>11791</v>
      </c>
      <c r="D6117" s="1038" t="s">
        <v>1376</v>
      </c>
      <c r="E6117" s="1038" t="s">
        <v>1379</v>
      </c>
      <c r="F6117" s="1562" t="s">
        <v>527</v>
      </c>
      <c r="G6117" s="1563"/>
      <c r="H6117" s="1038" t="s">
        <v>11796</v>
      </c>
    </row>
    <row r="6118" spans="2:8">
      <c r="B6118" s="1560">
        <v>46294</v>
      </c>
      <c r="C6118" s="1038" t="s">
        <v>11791</v>
      </c>
      <c r="D6118" s="1038" t="s">
        <v>1376</v>
      </c>
      <c r="E6118" s="1038" t="s">
        <v>1379</v>
      </c>
      <c r="F6118" s="1562" t="s">
        <v>528</v>
      </c>
      <c r="G6118" s="1563"/>
      <c r="H6118" s="1038" t="s">
        <v>11797</v>
      </c>
    </row>
    <row r="6119" spans="2:8">
      <c r="B6119" s="1560">
        <v>46294</v>
      </c>
      <c r="C6119" s="1038" t="s">
        <v>11791</v>
      </c>
      <c r="D6119" s="1038" t="s">
        <v>1375</v>
      </c>
      <c r="E6119" s="1038" t="s">
        <v>1380</v>
      </c>
      <c r="F6119" s="1562" t="s">
        <v>526</v>
      </c>
      <c r="G6119" s="1563" t="s">
        <v>1381</v>
      </c>
      <c r="H6119" s="1038" t="s">
        <v>11798</v>
      </c>
    </row>
    <row r="6120" spans="2:8">
      <c r="B6120" s="1560">
        <v>46294</v>
      </c>
      <c r="C6120" s="1038" t="s">
        <v>11791</v>
      </c>
      <c r="D6120" s="1038" t="s">
        <v>1375</v>
      </c>
      <c r="E6120" s="1038" t="s">
        <v>1380</v>
      </c>
      <c r="F6120" s="1562" t="s">
        <v>527</v>
      </c>
      <c r="G6120" s="1563" t="s">
        <v>11121</v>
      </c>
      <c r="H6120" s="1038" t="s">
        <v>11799</v>
      </c>
    </row>
    <row r="6121" spans="2:8">
      <c r="B6121" s="1560">
        <v>46294</v>
      </c>
      <c r="C6121" s="1038" t="s">
        <v>11791</v>
      </c>
      <c r="D6121" s="1038" t="s">
        <v>1375</v>
      </c>
      <c r="E6121" s="1038" t="s">
        <v>1380</v>
      </c>
      <c r="F6121" s="1562" t="s">
        <v>528</v>
      </c>
      <c r="G6121" s="1563" t="s">
        <v>11800</v>
      </c>
      <c r="H6121" s="1038" t="s">
        <v>11801</v>
      </c>
    </row>
    <row r="6122" spans="2:8">
      <c r="B6122" s="1560">
        <v>46294</v>
      </c>
      <c r="C6122" s="1038" t="s">
        <v>11791</v>
      </c>
      <c r="D6122" s="1038" t="s">
        <v>1376</v>
      </c>
      <c r="E6122" s="1038" t="s">
        <v>1383</v>
      </c>
      <c r="F6122" s="1562" t="s">
        <v>526</v>
      </c>
      <c r="G6122" s="1563">
        <v>0.56000000000000005</v>
      </c>
      <c r="H6122" s="1038" t="s">
        <v>11802</v>
      </c>
    </row>
    <row r="6123" spans="2:8">
      <c r="B6123" s="1560">
        <v>46294</v>
      </c>
      <c r="C6123" s="1038" t="s">
        <v>11791</v>
      </c>
      <c r="D6123" s="1038" t="s">
        <v>1376</v>
      </c>
      <c r="E6123" s="1038" t="s">
        <v>1383</v>
      </c>
      <c r="F6123" s="1562" t="s">
        <v>527</v>
      </c>
      <c r="G6123" s="1563">
        <v>0</v>
      </c>
      <c r="H6123" s="1038" t="s">
        <v>11803</v>
      </c>
    </row>
    <row r="6124" spans="2:8">
      <c r="B6124" s="1560">
        <v>46294</v>
      </c>
      <c r="C6124" s="1038" t="s">
        <v>11791</v>
      </c>
      <c r="D6124" s="1038" t="s">
        <v>1376</v>
      </c>
      <c r="E6124" s="1038" t="s">
        <v>1383</v>
      </c>
      <c r="F6124" s="1562" t="s">
        <v>528</v>
      </c>
      <c r="G6124" s="1563">
        <v>0</v>
      </c>
      <c r="H6124" s="1038" t="s">
        <v>11804</v>
      </c>
    </row>
    <row r="6125" spans="2:8">
      <c r="B6125" s="1560">
        <v>46294</v>
      </c>
      <c r="C6125" s="1038" t="s">
        <v>11791</v>
      </c>
      <c r="D6125" s="1038" t="s">
        <v>1375</v>
      </c>
      <c r="E6125" s="1038" t="s">
        <v>54</v>
      </c>
      <c r="F6125" s="1562" t="s">
        <v>526</v>
      </c>
      <c r="G6125" s="1563"/>
      <c r="H6125" s="1038" t="s">
        <v>11805</v>
      </c>
    </row>
    <row r="6126" spans="2:8">
      <c r="B6126" s="1560">
        <v>46294</v>
      </c>
      <c r="C6126" s="1038" t="s">
        <v>11791</v>
      </c>
      <c r="D6126" s="1038" t="s">
        <v>1375</v>
      </c>
      <c r="E6126" s="1038" t="s">
        <v>54</v>
      </c>
      <c r="F6126" s="1562" t="s">
        <v>527</v>
      </c>
      <c r="G6126" s="1563"/>
      <c r="H6126" s="1038" t="s">
        <v>11806</v>
      </c>
    </row>
    <row r="6127" spans="2:8">
      <c r="B6127" s="1560">
        <v>46294</v>
      </c>
      <c r="C6127" s="1038" t="s">
        <v>11791</v>
      </c>
      <c r="D6127" s="1038" t="s">
        <v>1375</v>
      </c>
      <c r="E6127" s="1038" t="s">
        <v>54</v>
      </c>
      <c r="F6127" s="1562" t="s">
        <v>528</v>
      </c>
      <c r="G6127" s="1563"/>
      <c r="H6127" s="1038" t="s">
        <v>11807</v>
      </c>
    </row>
    <row r="6128" spans="2:8">
      <c r="B6128" s="1560">
        <v>46294</v>
      </c>
      <c r="C6128" s="1038" t="s">
        <v>11791</v>
      </c>
      <c r="D6128" s="1038" t="s">
        <v>1376</v>
      </c>
      <c r="E6128" s="1038" t="s">
        <v>1384</v>
      </c>
      <c r="F6128" s="1562" t="s">
        <v>526</v>
      </c>
      <c r="G6128" s="1563">
        <v>0.36</v>
      </c>
      <c r="H6128" s="1038" t="s">
        <v>11808</v>
      </c>
    </row>
    <row r="6129" spans="2:8">
      <c r="B6129" s="1560">
        <v>46294</v>
      </c>
      <c r="C6129" s="1038" t="s">
        <v>11791</v>
      </c>
      <c r="D6129" s="1038" t="s">
        <v>1376</v>
      </c>
      <c r="E6129" s="1038" t="s">
        <v>1384</v>
      </c>
      <c r="F6129" s="1562" t="s">
        <v>527</v>
      </c>
      <c r="G6129" s="1563">
        <v>0.4</v>
      </c>
      <c r="H6129" s="1038" t="s">
        <v>11809</v>
      </c>
    </row>
    <row r="6130" spans="2:8">
      <c r="B6130" s="1560">
        <v>46294</v>
      </c>
      <c r="C6130" s="1038" t="s">
        <v>11791</v>
      </c>
      <c r="D6130" s="1038" t="s">
        <v>1376</v>
      </c>
      <c r="E6130" s="1038" t="s">
        <v>1384</v>
      </c>
      <c r="F6130" s="1562" t="s">
        <v>528</v>
      </c>
      <c r="G6130" s="1563">
        <v>0.4</v>
      </c>
      <c r="H6130" s="1038" t="s">
        <v>11810</v>
      </c>
    </row>
    <row r="6131" spans="2:8">
      <c r="B6131" s="1560">
        <v>46294</v>
      </c>
      <c r="C6131" s="1038" t="s">
        <v>11791</v>
      </c>
      <c r="D6131" s="1038" t="s">
        <v>1375</v>
      </c>
      <c r="E6131" s="1038" t="s">
        <v>1385</v>
      </c>
      <c r="F6131" s="1562" t="s">
        <v>526</v>
      </c>
      <c r="G6131" s="1563">
        <v>966</v>
      </c>
      <c r="H6131" s="1038" t="s">
        <v>11811</v>
      </c>
    </row>
    <row r="6132" spans="2:8">
      <c r="B6132" s="1560">
        <v>46294</v>
      </c>
      <c r="C6132" s="1038" t="s">
        <v>11791</v>
      </c>
      <c r="D6132" s="1038" t="s">
        <v>1375</v>
      </c>
      <c r="E6132" s="1038" t="s">
        <v>1385</v>
      </c>
      <c r="F6132" s="1562" t="s">
        <v>527</v>
      </c>
      <c r="G6132" s="1563">
        <v>1010</v>
      </c>
      <c r="H6132" s="1038" t="s">
        <v>11812</v>
      </c>
    </row>
    <row r="6133" spans="2:8">
      <c r="B6133" s="1560">
        <v>46294</v>
      </c>
      <c r="C6133" s="1038" t="s">
        <v>11791</v>
      </c>
      <c r="D6133" s="1038" t="s">
        <v>1375</v>
      </c>
      <c r="E6133" s="1038" t="s">
        <v>1385</v>
      </c>
      <c r="F6133" s="1562" t="s">
        <v>528</v>
      </c>
      <c r="G6133" s="1563">
        <v>1970</v>
      </c>
      <c r="H6133" s="1038" t="s">
        <v>11813</v>
      </c>
    </row>
    <row r="6134" spans="2:8">
      <c r="B6134" s="1560">
        <v>46294</v>
      </c>
      <c r="C6134" s="1038" t="s">
        <v>11791</v>
      </c>
      <c r="D6134" s="1038" t="s">
        <v>1376</v>
      </c>
      <c r="E6134" s="1038" t="s">
        <v>1386</v>
      </c>
      <c r="F6134" s="1562" t="s">
        <v>526</v>
      </c>
      <c r="G6134" s="1563">
        <v>0.4</v>
      </c>
      <c r="H6134" s="1038" t="s">
        <v>11814</v>
      </c>
    </row>
    <row r="6135" spans="2:8">
      <c r="B6135" s="1560">
        <v>46294</v>
      </c>
      <c r="C6135" s="1038" t="s">
        <v>11791</v>
      </c>
      <c r="D6135" s="1038" t="s">
        <v>1376</v>
      </c>
      <c r="E6135" s="1038" t="s">
        <v>1386</v>
      </c>
      <c r="F6135" s="1562" t="s">
        <v>527</v>
      </c>
      <c r="G6135" s="1563">
        <v>0.38</v>
      </c>
      <c r="H6135" s="1038" t="s">
        <v>11815</v>
      </c>
    </row>
    <row r="6136" spans="2:8">
      <c r="B6136" s="1560">
        <v>46294</v>
      </c>
      <c r="C6136" s="1038" t="s">
        <v>11791</v>
      </c>
      <c r="D6136" s="1038" t="s">
        <v>1376</v>
      </c>
      <c r="E6136" s="1038" t="s">
        <v>1386</v>
      </c>
      <c r="F6136" s="1562" t="s">
        <v>528</v>
      </c>
      <c r="G6136" s="1563">
        <v>0.36</v>
      </c>
      <c r="H6136" s="1038" t="s">
        <v>11816</v>
      </c>
    </row>
    <row r="6137" spans="2:8">
      <c r="B6137" s="1560">
        <v>46294</v>
      </c>
      <c r="C6137" s="1038" t="s">
        <v>11791</v>
      </c>
      <c r="D6137" s="1038" t="s">
        <v>1376</v>
      </c>
      <c r="E6137" s="1038" t="s">
        <v>1387</v>
      </c>
      <c r="F6137" s="1562" t="s">
        <v>526</v>
      </c>
      <c r="G6137" s="1563">
        <v>8.1</v>
      </c>
      <c r="H6137" s="1038" t="s">
        <v>11817</v>
      </c>
    </row>
    <row r="6138" spans="2:8">
      <c r="B6138" s="1560">
        <v>46294</v>
      </c>
      <c r="C6138" s="1038" t="s">
        <v>11791</v>
      </c>
      <c r="D6138" s="1038" t="s">
        <v>1376</v>
      </c>
      <c r="E6138" s="1038" t="s">
        <v>1387</v>
      </c>
      <c r="F6138" s="1562" t="s">
        <v>527</v>
      </c>
      <c r="G6138" s="1563"/>
      <c r="H6138" s="1038" t="s">
        <v>11818</v>
      </c>
    </row>
    <row r="6139" spans="2:8">
      <c r="B6139" s="1560">
        <v>46294</v>
      </c>
      <c r="C6139" s="1038" t="s">
        <v>11791</v>
      </c>
      <c r="D6139" s="1038" t="s">
        <v>1376</v>
      </c>
      <c r="E6139" s="1038" t="s">
        <v>1387</v>
      </c>
      <c r="F6139" s="1562" t="s">
        <v>528</v>
      </c>
      <c r="G6139" s="1563">
        <v>8.3000000000000007</v>
      </c>
      <c r="H6139" s="1038" t="s">
        <v>11819</v>
      </c>
    </row>
    <row r="6140" spans="2:8">
      <c r="B6140" s="1560">
        <v>46294</v>
      </c>
      <c r="C6140" s="1038" t="s">
        <v>11791</v>
      </c>
      <c r="D6140" s="1038" t="s">
        <v>1375</v>
      </c>
      <c r="E6140" s="1038" t="s">
        <v>1388</v>
      </c>
      <c r="F6140" s="1562" t="s">
        <v>526</v>
      </c>
      <c r="G6140" s="1563"/>
      <c r="H6140" s="1038" t="s">
        <v>11820</v>
      </c>
    </row>
    <row r="6141" spans="2:8">
      <c r="B6141" s="1560">
        <v>46294</v>
      </c>
      <c r="C6141" s="1038" t="s">
        <v>11791</v>
      </c>
      <c r="D6141" s="1038" t="s">
        <v>1375</v>
      </c>
      <c r="E6141" s="1038" t="s">
        <v>1388</v>
      </c>
      <c r="F6141" s="1562" t="s">
        <v>527</v>
      </c>
      <c r="G6141" s="1563"/>
      <c r="H6141" s="1038" t="s">
        <v>11821</v>
      </c>
    </row>
    <row r="6142" spans="2:8">
      <c r="B6142" s="1560">
        <v>46294</v>
      </c>
      <c r="C6142" s="1038" t="s">
        <v>11791</v>
      </c>
      <c r="D6142" s="1038" t="s">
        <v>1375</v>
      </c>
      <c r="E6142" s="1038" t="s">
        <v>1388</v>
      </c>
      <c r="F6142" s="1562" t="s">
        <v>528</v>
      </c>
      <c r="G6142" s="1563"/>
      <c r="H6142" s="1038" t="s">
        <v>11822</v>
      </c>
    </row>
    <row r="6143" spans="2:8">
      <c r="B6143" s="1560">
        <v>46294</v>
      </c>
      <c r="C6143" s="1038" t="s">
        <v>11791</v>
      </c>
      <c r="D6143" s="1038" t="s">
        <v>1376</v>
      </c>
      <c r="E6143" s="1038" t="s">
        <v>1389</v>
      </c>
      <c r="F6143" s="1562" t="s">
        <v>526</v>
      </c>
      <c r="G6143" s="1563">
        <v>63.3</v>
      </c>
      <c r="H6143" s="1038" t="s">
        <v>11823</v>
      </c>
    </row>
    <row r="6144" spans="2:8">
      <c r="B6144" s="1560">
        <v>46294</v>
      </c>
      <c r="C6144" s="1038" t="s">
        <v>11791</v>
      </c>
      <c r="D6144" s="1038" t="s">
        <v>1376</v>
      </c>
      <c r="E6144" s="1038" t="s">
        <v>1389</v>
      </c>
      <c r="F6144" s="1562" t="s">
        <v>527</v>
      </c>
      <c r="G6144" s="1563"/>
      <c r="H6144" s="1038" t="s">
        <v>11824</v>
      </c>
    </row>
    <row r="6145" spans="2:8">
      <c r="B6145" s="1560">
        <v>46294</v>
      </c>
      <c r="C6145" s="1038" t="s">
        <v>11791</v>
      </c>
      <c r="D6145" s="1038" t="s">
        <v>1376</v>
      </c>
      <c r="E6145" s="1038" t="s">
        <v>1389</v>
      </c>
      <c r="F6145" s="1562" t="s">
        <v>528</v>
      </c>
      <c r="G6145" s="1563">
        <v>66.099999999999994</v>
      </c>
      <c r="H6145" s="1038" t="s">
        <v>11825</v>
      </c>
    </row>
    <row r="6146" spans="2:8">
      <c r="B6146" s="1560">
        <v>46294</v>
      </c>
      <c r="C6146" s="1038" t="s">
        <v>11791</v>
      </c>
      <c r="D6146" s="1038" t="s">
        <v>1375</v>
      </c>
      <c r="E6146" s="1038" t="s">
        <v>3266</v>
      </c>
      <c r="F6146" s="1562" t="s">
        <v>526</v>
      </c>
      <c r="G6146" s="1563">
        <v>5</v>
      </c>
      <c r="H6146" s="1038" t="s">
        <v>11826</v>
      </c>
    </row>
    <row r="6147" spans="2:8">
      <c r="B6147" s="1560">
        <v>46294</v>
      </c>
      <c r="C6147" s="1038" t="s">
        <v>11791</v>
      </c>
      <c r="D6147" s="1038" t="s">
        <v>1375</v>
      </c>
      <c r="E6147" s="1038" t="s">
        <v>3266</v>
      </c>
      <c r="F6147" s="1562" t="s">
        <v>527</v>
      </c>
      <c r="G6147" s="1563">
        <v>2</v>
      </c>
      <c r="H6147" s="1038" t="s">
        <v>11827</v>
      </c>
    </row>
    <row r="6148" spans="2:8">
      <c r="B6148" s="1560">
        <v>46294</v>
      </c>
      <c r="C6148" s="1038" t="s">
        <v>11791</v>
      </c>
      <c r="D6148" s="1038" t="s">
        <v>1375</v>
      </c>
      <c r="E6148" s="1038" t="s">
        <v>3266</v>
      </c>
      <c r="F6148" s="1562" t="s">
        <v>528</v>
      </c>
      <c r="G6148" s="1563">
        <v>2</v>
      </c>
      <c r="H6148" s="1038" t="s">
        <v>11828</v>
      </c>
    </row>
    <row r="6149" spans="2:8">
      <c r="B6149" s="1560">
        <v>46294</v>
      </c>
      <c r="C6149" s="1038" t="s">
        <v>11791</v>
      </c>
      <c r="D6149" s="1038" t="s">
        <v>1376</v>
      </c>
      <c r="E6149" s="1038" t="s">
        <v>1390</v>
      </c>
      <c r="F6149" s="1562" t="s">
        <v>526</v>
      </c>
      <c r="G6149" s="1563">
        <v>2.0699999999999998E-3</v>
      </c>
      <c r="H6149" s="1038" t="s">
        <v>11829</v>
      </c>
    </row>
    <row r="6150" spans="2:8">
      <c r="B6150" s="1560">
        <v>46294</v>
      </c>
      <c r="C6150" s="1038" t="s">
        <v>11791</v>
      </c>
      <c r="D6150" s="1038" t="s">
        <v>1376</v>
      </c>
      <c r="E6150" s="1038" t="s">
        <v>1390</v>
      </c>
      <c r="F6150" s="1562" t="s">
        <v>527</v>
      </c>
      <c r="G6150" s="1563"/>
      <c r="H6150" s="1038" t="s">
        <v>11830</v>
      </c>
    </row>
    <row r="6151" spans="2:8">
      <c r="B6151" s="1560">
        <v>46294</v>
      </c>
      <c r="C6151" s="1038" t="s">
        <v>11791</v>
      </c>
      <c r="D6151" s="1038" t="s">
        <v>1376</v>
      </c>
      <c r="E6151" s="1038" t="s">
        <v>1390</v>
      </c>
      <c r="F6151" s="1562" t="s">
        <v>528</v>
      </c>
      <c r="G6151" s="1563">
        <v>1.8E-3</v>
      </c>
      <c r="H6151" s="1038" t="s">
        <v>11831</v>
      </c>
    </row>
    <row r="6152" spans="2:8">
      <c r="B6152" s="1560">
        <v>46294</v>
      </c>
      <c r="C6152" s="1038" t="s">
        <v>11791</v>
      </c>
      <c r="D6152" s="1038" t="s">
        <v>1375</v>
      </c>
      <c r="E6152" s="1038" t="s">
        <v>3273</v>
      </c>
      <c r="F6152" s="1562" t="s">
        <v>526</v>
      </c>
      <c r="G6152" s="1563">
        <v>1</v>
      </c>
      <c r="H6152" s="1038" t="s">
        <v>11832</v>
      </c>
    </row>
    <row r="6153" spans="2:8">
      <c r="B6153" s="1560">
        <v>46294</v>
      </c>
      <c r="C6153" s="1038" t="s">
        <v>11791</v>
      </c>
      <c r="D6153" s="1038" t="s">
        <v>1375</v>
      </c>
      <c r="E6153" s="1038" t="s">
        <v>3273</v>
      </c>
      <c r="F6153" s="1562" t="s">
        <v>527</v>
      </c>
      <c r="G6153" s="1563">
        <v>1</v>
      </c>
      <c r="H6153" s="1038" t="s">
        <v>11833</v>
      </c>
    </row>
    <row r="6154" spans="2:8">
      <c r="B6154" s="1560">
        <v>46294</v>
      </c>
      <c r="C6154" s="1038" t="s">
        <v>11791</v>
      </c>
      <c r="D6154" s="1038" t="s">
        <v>1375</v>
      </c>
      <c r="E6154" s="1038" t="s">
        <v>3273</v>
      </c>
      <c r="F6154" s="1562" t="s">
        <v>528</v>
      </c>
      <c r="G6154" s="1563">
        <v>2</v>
      </c>
      <c r="H6154" s="1038" t="s">
        <v>11834</v>
      </c>
    </row>
    <row r="6155" spans="2:8">
      <c r="B6155" s="1560">
        <v>46294</v>
      </c>
      <c r="C6155" s="1038" t="s">
        <v>11791</v>
      </c>
      <c r="D6155" s="1038" t="s">
        <v>1376</v>
      </c>
      <c r="E6155" s="1038" t="s">
        <v>1391</v>
      </c>
      <c r="F6155" s="1562" t="s">
        <v>526</v>
      </c>
      <c r="G6155" s="1563"/>
      <c r="H6155" s="1038" t="s">
        <v>11835</v>
      </c>
    </row>
    <row r="6156" spans="2:8">
      <c r="B6156" s="1560">
        <v>46294</v>
      </c>
      <c r="C6156" s="1038" t="s">
        <v>11791</v>
      </c>
      <c r="D6156" s="1038" t="s">
        <v>1376</v>
      </c>
      <c r="E6156" s="1038" t="s">
        <v>1391</v>
      </c>
      <c r="F6156" s="1562" t="s">
        <v>527</v>
      </c>
      <c r="G6156" s="1563"/>
      <c r="H6156" s="1038" t="s">
        <v>11836</v>
      </c>
    </row>
    <row r="6157" spans="2:8">
      <c r="B6157" s="1560">
        <v>46294</v>
      </c>
      <c r="C6157" s="1038" t="s">
        <v>11791</v>
      </c>
      <c r="D6157" s="1038" t="s">
        <v>1376</v>
      </c>
      <c r="E6157" s="1038" t="s">
        <v>1391</v>
      </c>
      <c r="F6157" s="1562" t="s">
        <v>528</v>
      </c>
      <c r="G6157" s="1563">
        <v>7560</v>
      </c>
      <c r="H6157" s="1038" t="s">
        <v>11837</v>
      </c>
    </row>
    <row r="6158" spans="2:8">
      <c r="B6158" s="1560">
        <v>46294</v>
      </c>
      <c r="C6158" s="1038" t="s">
        <v>11791</v>
      </c>
      <c r="D6158" s="1038" t="s">
        <v>1375</v>
      </c>
      <c r="E6158" s="1038" t="s">
        <v>3280</v>
      </c>
      <c r="F6158" s="1562" t="s">
        <v>526</v>
      </c>
      <c r="G6158" s="1563">
        <v>3</v>
      </c>
      <c r="H6158" s="1038" t="s">
        <v>11838</v>
      </c>
    </row>
    <row r="6159" spans="2:8">
      <c r="B6159" s="1560">
        <v>46294</v>
      </c>
      <c r="C6159" s="1038" t="s">
        <v>11791</v>
      </c>
      <c r="D6159" s="1038" t="s">
        <v>1375</v>
      </c>
      <c r="E6159" s="1038" t="s">
        <v>3280</v>
      </c>
      <c r="F6159" s="1562" t="s">
        <v>527</v>
      </c>
      <c r="G6159" s="1563">
        <v>2</v>
      </c>
      <c r="H6159" s="1038" t="s">
        <v>11839</v>
      </c>
    </row>
    <row r="6160" spans="2:8">
      <c r="B6160" s="1560">
        <v>46294</v>
      </c>
      <c r="C6160" s="1038" t="s">
        <v>11791</v>
      </c>
      <c r="D6160" s="1038" t="s">
        <v>1375</v>
      </c>
      <c r="E6160" s="1038" t="s">
        <v>3280</v>
      </c>
      <c r="F6160" s="1562" t="s">
        <v>528</v>
      </c>
      <c r="G6160" s="1563">
        <v>2</v>
      </c>
      <c r="H6160" s="1038" t="s">
        <v>11840</v>
      </c>
    </row>
    <row r="6161" spans="2:8">
      <c r="B6161" s="1560">
        <v>46294</v>
      </c>
      <c r="C6161" s="1038" t="s">
        <v>11791</v>
      </c>
      <c r="D6161" s="1038" t="s">
        <v>1376</v>
      </c>
      <c r="E6161" s="1038" t="s">
        <v>1392</v>
      </c>
      <c r="F6161" s="1562" t="s">
        <v>526</v>
      </c>
      <c r="G6161" s="1563">
        <v>7560</v>
      </c>
      <c r="H6161" s="1038" t="s">
        <v>11841</v>
      </c>
    </row>
    <row r="6162" spans="2:8">
      <c r="B6162" s="1560">
        <v>46294</v>
      </c>
      <c r="C6162" s="1038" t="s">
        <v>11791</v>
      </c>
      <c r="D6162" s="1038" t="s">
        <v>1376</v>
      </c>
      <c r="E6162" s="1038" t="s">
        <v>1392</v>
      </c>
      <c r="F6162" s="1562" t="s">
        <v>527</v>
      </c>
      <c r="G6162" s="1563"/>
      <c r="H6162" s="1038" t="s">
        <v>11842</v>
      </c>
    </row>
    <row r="6163" spans="2:8">
      <c r="B6163" s="1560">
        <v>46294</v>
      </c>
      <c r="C6163" s="1038" t="s">
        <v>11791</v>
      </c>
      <c r="D6163" s="1038" t="s">
        <v>1376</v>
      </c>
      <c r="E6163" s="1038" t="s">
        <v>1392</v>
      </c>
      <c r="F6163" s="1562" t="s">
        <v>528</v>
      </c>
      <c r="G6163" s="1563"/>
      <c r="H6163" s="1038" t="s">
        <v>11843</v>
      </c>
    </row>
    <row r="6164" spans="2:8">
      <c r="B6164" s="1560">
        <v>46294</v>
      </c>
      <c r="C6164" s="1038" t="s">
        <v>11791</v>
      </c>
      <c r="D6164" s="1038" t="s">
        <v>1375</v>
      </c>
      <c r="E6164" s="1038" t="s">
        <v>3287</v>
      </c>
      <c r="F6164" s="1562" t="s">
        <v>526</v>
      </c>
      <c r="G6164" s="1563">
        <v>2</v>
      </c>
      <c r="H6164" s="1038" t="s">
        <v>11844</v>
      </c>
    </row>
    <row r="6165" spans="2:8">
      <c r="B6165" s="1560">
        <v>46294</v>
      </c>
      <c r="C6165" s="1038" t="s">
        <v>11791</v>
      </c>
      <c r="D6165" s="1038" t="s">
        <v>1375</v>
      </c>
      <c r="E6165" s="1038" t="s">
        <v>3287</v>
      </c>
      <c r="F6165" s="1562" t="s">
        <v>527</v>
      </c>
      <c r="G6165" s="1563">
        <v>3</v>
      </c>
      <c r="H6165" s="1038" t="s">
        <v>11845</v>
      </c>
    </row>
    <row r="6166" spans="2:8">
      <c r="B6166" s="1560">
        <v>46294</v>
      </c>
      <c r="C6166" s="1038" t="s">
        <v>11791</v>
      </c>
      <c r="D6166" s="1038" t="s">
        <v>1375</v>
      </c>
      <c r="E6166" s="1038" t="s">
        <v>3287</v>
      </c>
      <c r="F6166" s="1562" t="s">
        <v>528</v>
      </c>
      <c r="G6166" s="1563">
        <v>2</v>
      </c>
      <c r="H6166" s="1038" t="s">
        <v>11846</v>
      </c>
    </row>
    <row r="6167" spans="2:8">
      <c r="B6167" s="1560">
        <v>46294</v>
      </c>
      <c r="C6167" s="1038" t="s">
        <v>11791</v>
      </c>
      <c r="D6167" s="1038" t="s">
        <v>1376</v>
      </c>
      <c r="E6167" s="1038" t="s">
        <v>453</v>
      </c>
      <c r="F6167" s="1562" t="s">
        <v>526</v>
      </c>
      <c r="G6167" s="1563"/>
      <c r="H6167" s="1038" t="s">
        <v>11847</v>
      </c>
    </row>
    <row r="6168" spans="2:8">
      <c r="B6168" s="1560">
        <v>46294</v>
      </c>
      <c r="C6168" s="1038" t="s">
        <v>11791</v>
      </c>
      <c r="D6168" s="1038" t="s">
        <v>1376</v>
      </c>
      <c r="E6168" s="1038" t="s">
        <v>453</v>
      </c>
      <c r="F6168" s="1562" t="s">
        <v>527</v>
      </c>
      <c r="G6168" s="1563"/>
      <c r="H6168" s="1038" t="s">
        <v>11848</v>
      </c>
    </row>
    <row r="6169" spans="2:8">
      <c r="B6169" s="1560">
        <v>46294</v>
      </c>
      <c r="C6169" s="1038" t="s">
        <v>11791</v>
      </c>
      <c r="D6169" s="1038" t="s">
        <v>1376</v>
      </c>
      <c r="E6169" s="1038" t="s">
        <v>453</v>
      </c>
      <c r="F6169" s="1562" t="s">
        <v>528</v>
      </c>
      <c r="G6169" s="1563"/>
      <c r="H6169" s="1038" t="s">
        <v>11849</v>
      </c>
    </row>
    <row r="6170" spans="2:8">
      <c r="B6170" s="1560">
        <v>46294</v>
      </c>
      <c r="C6170" s="1038" t="s">
        <v>11791</v>
      </c>
      <c r="D6170" s="1038" t="s">
        <v>1375</v>
      </c>
      <c r="E6170" s="1038" t="s">
        <v>3291</v>
      </c>
      <c r="F6170" s="1562" t="s">
        <v>526</v>
      </c>
      <c r="G6170" s="1563">
        <v>3</v>
      </c>
      <c r="H6170" s="1038" t="s">
        <v>11850</v>
      </c>
    </row>
    <row r="6171" spans="2:8">
      <c r="B6171" s="1560">
        <v>46294</v>
      </c>
      <c r="C6171" s="1038" t="s">
        <v>11791</v>
      </c>
      <c r="D6171" s="1038" t="s">
        <v>1375</v>
      </c>
      <c r="E6171" s="1038" t="s">
        <v>3291</v>
      </c>
      <c r="F6171" s="1562" t="s">
        <v>527</v>
      </c>
      <c r="G6171" s="1563">
        <v>3</v>
      </c>
      <c r="H6171" s="1038" t="s">
        <v>11851</v>
      </c>
    </row>
    <row r="6172" spans="2:8">
      <c r="B6172" s="1560">
        <v>46294</v>
      </c>
      <c r="C6172" s="1038" t="s">
        <v>11791</v>
      </c>
      <c r="D6172" s="1038" t="s">
        <v>1375</v>
      </c>
      <c r="E6172" s="1038" t="s">
        <v>3291</v>
      </c>
      <c r="F6172" s="1562" t="s">
        <v>528</v>
      </c>
      <c r="G6172" s="1563">
        <v>3</v>
      </c>
      <c r="H6172" s="1038" t="s">
        <v>11852</v>
      </c>
    </row>
    <row r="6173" spans="2:8">
      <c r="B6173" s="1560">
        <v>46294</v>
      </c>
      <c r="C6173" s="1038" t="s">
        <v>11791</v>
      </c>
      <c r="D6173" s="1038" t="s">
        <v>1376</v>
      </c>
      <c r="E6173" s="1038" t="s">
        <v>1394</v>
      </c>
      <c r="F6173" s="1562" t="s">
        <v>526</v>
      </c>
      <c r="G6173" s="1564" t="s">
        <v>11853</v>
      </c>
      <c r="H6173" s="1038" t="s">
        <v>11854</v>
      </c>
    </row>
    <row r="6174" spans="2:8">
      <c r="B6174" s="1560">
        <v>46294</v>
      </c>
      <c r="C6174" s="1038" t="s">
        <v>11791</v>
      </c>
      <c r="D6174" s="1038" t="s">
        <v>1376</v>
      </c>
      <c r="E6174" s="1038" t="s">
        <v>1394</v>
      </c>
      <c r="F6174" s="1562" t="s">
        <v>527</v>
      </c>
      <c r="G6174" s="1564" t="s">
        <v>1396</v>
      </c>
      <c r="H6174" s="1038" t="s">
        <v>11855</v>
      </c>
    </row>
    <row r="6175" spans="2:8">
      <c r="B6175" s="1560">
        <v>46294</v>
      </c>
      <c r="C6175" s="1038" t="s">
        <v>11791</v>
      </c>
      <c r="D6175" s="1038" t="s">
        <v>1376</v>
      </c>
      <c r="E6175" s="1038" t="s">
        <v>1394</v>
      </c>
      <c r="F6175" s="1562" t="s">
        <v>528</v>
      </c>
      <c r="G6175" s="1564" t="s">
        <v>1396</v>
      </c>
      <c r="H6175" s="1038" t="s">
        <v>11856</v>
      </c>
    </row>
    <row r="6176" spans="2:8">
      <c r="B6176" s="1560">
        <v>46294</v>
      </c>
      <c r="C6176" s="1038" t="s">
        <v>11791</v>
      </c>
      <c r="D6176" s="1038" t="s">
        <v>1375</v>
      </c>
      <c r="E6176" s="1038" t="s">
        <v>3298</v>
      </c>
      <c r="F6176" s="1562" t="s">
        <v>526</v>
      </c>
      <c r="G6176" s="1563">
        <v>4</v>
      </c>
      <c r="H6176" s="1038" t="s">
        <v>11857</v>
      </c>
    </row>
    <row r="6177" spans="2:8">
      <c r="B6177" s="1560">
        <v>46294</v>
      </c>
      <c r="C6177" s="1038" t="s">
        <v>11791</v>
      </c>
      <c r="D6177" s="1038" t="s">
        <v>1375</v>
      </c>
      <c r="E6177" s="1038" t="s">
        <v>3298</v>
      </c>
      <c r="F6177" s="1562" t="s">
        <v>527</v>
      </c>
      <c r="G6177" s="1563">
        <v>3</v>
      </c>
      <c r="H6177" s="1038" t="s">
        <v>11858</v>
      </c>
    </row>
    <row r="6178" spans="2:8">
      <c r="B6178" s="1560">
        <v>46294</v>
      </c>
      <c r="C6178" s="1038" t="s">
        <v>11791</v>
      </c>
      <c r="D6178" s="1038" t="s">
        <v>1375</v>
      </c>
      <c r="E6178" s="1038" t="s">
        <v>3298</v>
      </c>
      <c r="F6178" s="1562" t="s">
        <v>528</v>
      </c>
      <c r="G6178" s="1563">
        <v>3</v>
      </c>
      <c r="H6178" s="1038" t="s">
        <v>11859</v>
      </c>
    </row>
    <row r="6179" spans="2:8">
      <c r="B6179" s="1560">
        <v>46294</v>
      </c>
      <c r="C6179" s="1038" t="s">
        <v>11791</v>
      </c>
      <c r="D6179" s="1038" t="s">
        <v>1376</v>
      </c>
      <c r="E6179" s="1038" t="s">
        <v>1398</v>
      </c>
      <c r="F6179" s="1562" t="s">
        <v>526</v>
      </c>
      <c r="G6179" s="1563">
        <v>11</v>
      </c>
      <c r="H6179" s="1038" t="s">
        <v>11860</v>
      </c>
    </row>
    <row r="6180" spans="2:8">
      <c r="B6180" s="1560">
        <v>46294</v>
      </c>
      <c r="C6180" s="1038" t="s">
        <v>11791</v>
      </c>
      <c r="D6180" s="1038" t="s">
        <v>1376</v>
      </c>
      <c r="E6180" s="1038" t="s">
        <v>1398</v>
      </c>
      <c r="F6180" s="1562" t="s">
        <v>527</v>
      </c>
      <c r="G6180" s="1563">
        <v>12</v>
      </c>
      <c r="H6180" s="1038" t="s">
        <v>11861</v>
      </c>
    </row>
    <row r="6181" spans="2:8">
      <c r="B6181" s="1560">
        <v>46294</v>
      </c>
      <c r="C6181" s="1038" t="s">
        <v>11791</v>
      </c>
      <c r="D6181" s="1038" t="s">
        <v>1376</v>
      </c>
      <c r="E6181" s="1038" t="s">
        <v>1398</v>
      </c>
      <c r="F6181" s="1562" t="s">
        <v>528</v>
      </c>
      <c r="G6181" s="1563">
        <v>10</v>
      </c>
      <c r="H6181" s="1038" t="s">
        <v>11862</v>
      </c>
    </row>
    <row r="6182" spans="2:8">
      <c r="B6182" s="1560">
        <v>46294</v>
      </c>
      <c r="C6182" s="1038" t="s">
        <v>11791</v>
      </c>
      <c r="D6182" s="1038" t="s">
        <v>1375</v>
      </c>
      <c r="E6182" s="1038" t="s">
        <v>3305</v>
      </c>
      <c r="F6182" s="1562" t="s">
        <v>526</v>
      </c>
      <c r="G6182" s="1563">
        <v>3</v>
      </c>
      <c r="H6182" s="1038" t="s">
        <v>11863</v>
      </c>
    </row>
    <row r="6183" spans="2:8">
      <c r="B6183" s="1560">
        <v>46294</v>
      </c>
      <c r="C6183" s="1038" t="s">
        <v>11791</v>
      </c>
      <c r="D6183" s="1038" t="s">
        <v>1375</v>
      </c>
      <c r="E6183" s="1038" t="s">
        <v>3305</v>
      </c>
      <c r="F6183" s="1562" t="s">
        <v>527</v>
      </c>
      <c r="G6183" s="1563">
        <v>3</v>
      </c>
      <c r="H6183" s="1038" t="s">
        <v>11864</v>
      </c>
    </row>
    <row r="6184" spans="2:8">
      <c r="B6184" s="1560">
        <v>46294</v>
      </c>
      <c r="C6184" s="1038" t="s">
        <v>11791</v>
      </c>
      <c r="D6184" s="1038" t="s">
        <v>1375</v>
      </c>
      <c r="E6184" s="1038" t="s">
        <v>3305</v>
      </c>
      <c r="F6184" s="1562" t="s">
        <v>528</v>
      </c>
      <c r="G6184" s="1563">
        <v>1</v>
      </c>
      <c r="H6184" s="1038" t="s">
        <v>11865</v>
      </c>
    </row>
    <row r="6185" spans="2:8">
      <c r="B6185" s="1560">
        <v>46294</v>
      </c>
      <c r="C6185" s="1038" t="s">
        <v>11791</v>
      </c>
      <c r="D6185" s="1038" t="s">
        <v>1376</v>
      </c>
      <c r="E6185" s="1038" t="s">
        <v>1399</v>
      </c>
      <c r="F6185" s="1562" t="s">
        <v>526</v>
      </c>
      <c r="G6185" s="1563">
        <v>12</v>
      </c>
      <c r="H6185" s="1038" t="s">
        <v>11866</v>
      </c>
    </row>
    <row r="6186" spans="2:8">
      <c r="B6186" s="1560">
        <v>46294</v>
      </c>
      <c r="C6186" s="1038" t="s">
        <v>11791</v>
      </c>
      <c r="D6186" s="1038" t="s">
        <v>1376</v>
      </c>
      <c r="E6186" s="1038" t="s">
        <v>1399</v>
      </c>
      <c r="F6186" s="1562" t="s">
        <v>527</v>
      </c>
      <c r="G6186" s="1563">
        <v>13</v>
      </c>
      <c r="H6186" s="1038" t="s">
        <v>11867</v>
      </c>
    </row>
    <row r="6187" spans="2:8">
      <c r="B6187" s="1560">
        <v>46294</v>
      </c>
      <c r="C6187" s="1038" t="s">
        <v>11791</v>
      </c>
      <c r="D6187" s="1038" t="s">
        <v>1376</v>
      </c>
      <c r="E6187" s="1038" t="s">
        <v>1399</v>
      </c>
      <c r="F6187" s="1562" t="s">
        <v>528</v>
      </c>
      <c r="G6187" s="1563">
        <v>11</v>
      </c>
      <c r="H6187" s="1038" t="s">
        <v>11868</v>
      </c>
    </row>
    <row r="6188" spans="2:8">
      <c r="B6188" s="1560">
        <v>46294</v>
      </c>
      <c r="C6188" s="1038" t="s">
        <v>11791</v>
      </c>
      <c r="D6188" s="1038" t="s">
        <v>1375</v>
      </c>
      <c r="E6188" s="1038" t="s">
        <v>3312</v>
      </c>
      <c r="F6188" s="1562" t="s">
        <v>526</v>
      </c>
      <c r="G6188" s="1563">
        <v>3</v>
      </c>
      <c r="H6188" s="1038" t="s">
        <v>11869</v>
      </c>
    </row>
    <row r="6189" spans="2:8">
      <c r="B6189" s="1560">
        <v>46294</v>
      </c>
      <c r="C6189" s="1038" t="s">
        <v>11791</v>
      </c>
      <c r="D6189" s="1038" t="s">
        <v>1375</v>
      </c>
      <c r="E6189" s="1038" t="s">
        <v>3312</v>
      </c>
      <c r="F6189" s="1562" t="s">
        <v>527</v>
      </c>
      <c r="G6189" s="1563">
        <v>2</v>
      </c>
      <c r="H6189" s="1038" t="s">
        <v>11870</v>
      </c>
    </row>
    <row r="6190" spans="2:8">
      <c r="B6190" s="1560">
        <v>46294</v>
      </c>
      <c r="C6190" s="1038" t="s">
        <v>11791</v>
      </c>
      <c r="D6190" s="1038" t="s">
        <v>1375</v>
      </c>
      <c r="E6190" s="1038" t="s">
        <v>3312</v>
      </c>
      <c r="F6190" s="1562" t="s">
        <v>528</v>
      </c>
      <c r="G6190" s="1563">
        <v>3</v>
      </c>
      <c r="H6190" s="1038" t="s">
        <v>11871</v>
      </c>
    </row>
    <row r="6191" spans="2:8">
      <c r="B6191" s="1560">
        <v>46294</v>
      </c>
      <c r="C6191" s="1038" t="s">
        <v>11791</v>
      </c>
      <c r="D6191" s="1038" t="s">
        <v>1376</v>
      </c>
      <c r="E6191" s="1038" t="s">
        <v>1400</v>
      </c>
      <c r="F6191" s="1562" t="s">
        <v>526</v>
      </c>
      <c r="G6191" s="1563">
        <v>17</v>
      </c>
      <c r="H6191" s="1038" t="s">
        <v>11872</v>
      </c>
    </row>
    <row r="6192" spans="2:8">
      <c r="B6192" s="1560">
        <v>46294</v>
      </c>
      <c r="C6192" s="1038" t="s">
        <v>11791</v>
      </c>
      <c r="D6192" s="1038" t="s">
        <v>1376</v>
      </c>
      <c r="E6192" s="1038" t="s">
        <v>1400</v>
      </c>
      <c r="F6192" s="1562" t="s">
        <v>527</v>
      </c>
      <c r="G6192" s="1563">
        <v>17</v>
      </c>
      <c r="H6192" s="1038" t="s">
        <v>11873</v>
      </c>
    </row>
    <row r="6193" spans="2:8">
      <c r="B6193" s="1560">
        <v>46294</v>
      </c>
      <c r="C6193" s="1038" t="s">
        <v>11791</v>
      </c>
      <c r="D6193" s="1038" t="s">
        <v>1376</v>
      </c>
      <c r="E6193" s="1038" t="s">
        <v>1400</v>
      </c>
      <c r="F6193" s="1562" t="s">
        <v>528</v>
      </c>
      <c r="G6193" s="1563">
        <v>15</v>
      </c>
      <c r="H6193" s="1038" t="s">
        <v>11874</v>
      </c>
    </row>
    <row r="6194" spans="2:8">
      <c r="B6194" s="1560">
        <v>46294</v>
      </c>
      <c r="C6194" s="1038" t="s">
        <v>11791</v>
      </c>
      <c r="D6194" s="1038" t="s">
        <v>1375</v>
      </c>
      <c r="E6194" s="1038" t="s">
        <v>3319</v>
      </c>
      <c r="F6194" s="1562" t="s">
        <v>526</v>
      </c>
      <c r="G6194" s="1563">
        <v>3</v>
      </c>
      <c r="H6194" s="1038" t="s">
        <v>11875</v>
      </c>
    </row>
    <row r="6195" spans="2:8">
      <c r="B6195" s="1560">
        <v>46294</v>
      </c>
      <c r="C6195" s="1038" t="s">
        <v>11791</v>
      </c>
      <c r="D6195" s="1038" t="s">
        <v>1375</v>
      </c>
      <c r="E6195" s="1038" t="s">
        <v>3319</v>
      </c>
      <c r="F6195" s="1562" t="s">
        <v>527</v>
      </c>
      <c r="G6195" s="1563">
        <v>3</v>
      </c>
      <c r="H6195" s="1038" t="s">
        <v>11876</v>
      </c>
    </row>
    <row r="6196" spans="2:8">
      <c r="B6196" s="1560">
        <v>46294</v>
      </c>
      <c r="C6196" s="1038" t="s">
        <v>11791</v>
      </c>
      <c r="D6196" s="1038" t="s">
        <v>1375</v>
      </c>
      <c r="E6196" s="1038" t="s">
        <v>3319</v>
      </c>
      <c r="F6196" s="1562" t="s">
        <v>528</v>
      </c>
      <c r="G6196" s="1563">
        <v>4</v>
      </c>
      <c r="H6196" s="1038" t="s">
        <v>11877</v>
      </c>
    </row>
    <row r="6197" spans="2:8">
      <c r="B6197" s="1560">
        <v>46294</v>
      </c>
      <c r="C6197" s="1038" t="s">
        <v>11791</v>
      </c>
      <c r="D6197" s="1038" t="s">
        <v>1376</v>
      </c>
      <c r="E6197" s="1038" t="s">
        <v>1401</v>
      </c>
      <c r="F6197" s="1562" t="s">
        <v>526</v>
      </c>
      <c r="G6197" s="1563">
        <v>5.76</v>
      </c>
      <c r="H6197" s="1038" t="s">
        <v>11878</v>
      </c>
    </row>
    <row r="6198" spans="2:8">
      <c r="B6198" s="1560">
        <v>46294</v>
      </c>
      <c r="C6198" s="1038" t="s">
        <v>11791</v>
      </c>
      <c r="D6198" s="1038" t="s">
        <v>1376</v>
      </c>
      <c r="E6198" s="1038" t="s">
        <v>1401</v>
      </c>
      <c r="F6198" s="1562" t="s">
        <v>527</v>
      </c>
      <c r="G6198" s="1563">
        <v>6.65</v>
      </c>
      <c r="H6198" s="1038" t="s">
        <v>11879</v>
      </c>
    </row>
    <row r="6199" spans="2:8">
      <c r="B6199" s="1560">
        <v>46294</v>
      </c>
      <c r="C6199" s="1038" t="s">
        <v>11791</v>
      </c>
      <c r="D6199" s="1038" t="s">
        <v>1376</v>
      </c>
      <c r="E6199" s="1038" t="s">
        <v>1401</v>
      </c>
      <c r="F6199" s="1562" t="s">
        <v>528</v>
      </c>
      <c r="G6199" s="1563">
        <v>5.0999999999999996</v>
      </c>
      <c r="H6199" s="1038" t="s">
        <v>11880</v>
      </c>
    </row>
    <row r="6200" spans="2:8">
      <c r="B6200" s="1560">
        <v>46294</v>
      </c>
      <c r="C6200" s="1038" t="s">
        <v>11791</v>
      </c>
      <c r="D6200" s="1038" t="s">
        <v>1375</v>
      </c>
      <c r="E6200" s="1038" t="s">
        <v>3326</v>
      </c>
      <c r="F6200" s="1562" t="s">
        <v>526</v>
      </c>
      <c r="G6200" s="1563" t="s">
        <v>1535</v>
      </c>
      <c r="H6200" s="1038" t="s">
        <v>11881</v>
      </c>
    </row>
    <row r="6201" spans="2:8">
      <c r="B6201" s="1560">
        <v>46294</v>
      </c>
      <c r="C6201" s="1038" t="s">
        <v>11791</v>
      </c>
      <c r="D6201" s="1038" t="s">
        <v>1375</v>
      </c>
      <c r="E6201" s="1038" t="s">
        <v>3326</v>
      </c>
      <c r="F6201" s="1562" t="s">
        <v>527</v>
      </c>
      <c r="G6201" s="1563" t="s">
        <v>1535</v>
      </c>
      <c r="H6201" s="1038" t="s">
        <v>11882</v>
      </c>
    </row>
    <row r="6202" spans="2:8">
      <c r="B6202" s="1560">
        <v>46294</v>
      </c>
      <c r="C6202" s="1038" t="s">
        <v>11791</v>
      </c>
      <c r="D6202" s="1038" t="s">
        <v>1375</v>
      </c>
      <c r="E6202" s="1038" t="s">
        <v>3326</v>
      </c>
      <c r="F6202" s="1562" t="s">
        <v>528</v>
      </c>
      <c r="G6202" s="1563" t="s">
        <v>1535</v>
      </c>
      <c r="H6202" s="1038" t="s">
        <v>11883</v>
      </c>
    </row>
    <row r="6203" spans="2:8">
      <c r="B6203" s="1560">
        <v>46294</v>
      </c>
      <c r="C6203" s="1038" t="s">
        <v>11791</v>
      </c>
      <c r="D6203" s="1038" t="s">
        <v>1376</v>
      </c>
      <c r="E6203" s="1038" t="s">
        <v>1403</v>
      </c>
      <c r="F6203" s="1562" t="s">
        <v>526</v>
      </c>
      <c r="G6203" s="1563">
        <v>690</v>
      </c>
      <c r="H6203" s="1038" t="s">
        <v>11884</v>
      </c>
    </row>
    <row r="6204" spans="2:8">
      <c r="B6204" s="1560">
        <v>46294</v>
      </c>
      <c r="C6204" s="1038" t="s">
        <v>11791</v>
      </c>
      <c r="D6204" s="1038" t="s">
        <v>1376</v>
      </c>
      <c r="E6204" s="1038" t="s">
        <v>1403</v>
      </c>
      <c r="F6204" s="1562" t="s">
        <v>527</v>
      </c>
      <c r="G6204" s="1563">
        <v>660</v>
      </c>
      <c r="H6204" s="1038" t="s">
        <v>11885</v>
      </c>
    </row>
    <row r="6205" spans="2:8">
      <c r="B6205" s="1560">
        <v>46294</v>
      </c>
      <c r="C6205" s="1038" t="s">
        <v>11791</v>
      </c>
      <c r="D6205" s="1038" t="s">
        <v>1376</v>
      </c>
      <c r="E6205" s="1038" t="s">
        <v>1403</v>
      </c>
      <c r="F6205" s="1562" t="s">
        <v>528</v>
      </c>
      <c r="G6205" s="1563">
        <v>680</v>
      </c>
      <c r="H6205" s="1038" t="s">
        <v>11886</v>
      </c>
    </row>
    <row r="6206" spans="2:8">
      <c r="B6206" s="1560">
        <v>46294</v>
      </c>
      <c r="C6206" s="1038" t="s">
        <v>11791</v>
      </c>
      <c r="D6206" s="1038" t="s">
        <v>1376</v>
      </c>
      <c r="E6206" s="1038" t="s">
        <v>1404</v>
      </c>
      <c r="F6206" s="1562" t="s">
        <v>526</v>
      </c>
      <c r="G6206" s="1563">
        <v>3.76</v>
      </c>
      <c r="H6206" s="1038" t="s">
        <v>11887</v>
      </c>
    </row>
    <row r="6207" spans="2:8">
      <c r="B6207" s="1560">
        <v>46294</v>
      </c>
      <c r="C6207" s="1038" t="s">
        <v>11791</v>
      </c>
      <c r="D6207" s="1038" t="s">
        <v>1376</v>
      </c>
      <c r="E6207" s="1038" t="s">
        <v>1404</v>
      </c>
      <c r="F6207" s="1562" t="s">
        <v>527</v>
      </c>
      <c r="G6207" s="1563">
        <v>4.25</v>
      </c>
      <c r="H6207" s="1038" t="s">
        <v>11888</v>
      </c>
    </row>
    <row r="6208" spans="2:8">
      <c r="B6208" s="1560">
        <v>46294</v>
      </c>
      <c r="C6208" s="1038" t="s">
        <v>11791</v>
      </c>
      <c r="D6208" s="1038" t="s">
        <v>1376</v>
      </c>
      <c r="E6208" s="1038" t="s">
        <v>1404</v>
      </c>
      <c r="F6208" s="1562" t="s">
        <v>528</v>
      </c>
      <c r="G6208" s="1563">
        <v>3.18</v>
      </c>
      <c r="H6208" s="1038" t="s">
        <v>11889</v>
      </c>
    </row>
    <row r="6209" spans="2:8">
      <c r="B6209" s="1560">
        <v>46294</v>
      </c>
      <c r="C6209" s="1038" t="s">
        <v>11791</v>
      </c>
      <c r="D6209" s="1038" t="s">
        <v>1375</v>
      </c>
      <c r="E6209" s="1038" t="s">
        <v>3336</v>
      </c>
      <c r="F6209" s="1562" t="s">
        <v>526</v>
      </c>
      <c r="G6209" s="1563" t="s">
        <v>1406</v>
      </c>
      <c r="H6209" s="1038" t="s">
        <v>11890</v>
      </c>
    </row>
    <row r="6210" spans="2:8">
      <c r="B6210" s="1560">
        <v>46294</v>
      </c>
      <c r="C6210" s="1038" t="s">
        <v>11791</v>
      </c>
      <c r="D6210" s="1038" t="s">
        <v>1375</v>
      </c>
      <c r="E6210" s="1038" t="s">
        <v>3336</v>
      </c>
      <c r="F6210" s="1562" t="s">
        <v>527</v>
      </c>
      <c r="G6210" s="1563" t="s">
        <v>1406</v>
      </c>
      <c r="H6210" s="1038" t="s">
        <v>11891</v>
      </c>
    </row>
    <row r="6211" spans="2:8">
      <c r="B6211" s="1560">
        <v>46294</v>
      </c>
      <c r="C6211" s="1038" t="s">
        <v>11791</v>
      </c>
      <c r="D6211" s="1038" t="s">
        <v>1375</v>
      </c>
      <c r="E6211" s="1038" t="s">
        <v>3336</v>
      </c>
      <c r="F6211" s="1562" t="s">
        <v>528</v>
      </c>
      <c r="G6211" s="1563" t="s">
        <v>1406</v>
      </c>
      <c r="H6211" s="1038" t="s">
        <v>11892</v>
      </c>
    </row>
    <row r="6212" spans="2:8">
      <c r="B6212" s="1560">
        <v>46294</v>
      </c>
      <c r="C6212" s="1038" t="s">
        <v>11791</v>
      </c>
      <c r="D6212" s="1038" t="s">
        <v>1376</v>
      </c>
      <c r="E6212" s="1038" t="s">
        <v>1407</v>
      </c>
      <c r="F6212" s="1562" t="s">
        <v>526</v>
      </c>
      <c r="G6212" s="1563">
        <v>380</v>
      </c>
      <c r="H6212" s="1038" t="s">
        <v>11893</v>
      </c>
    </row>
    <row r="6213" spans="2:8">
      <c r="B6213" s="1560">
        <v>46294</v>
      </c>
      <c r="C6213" s="1038" t="s">
        <v>11791</v>
      </c>
      <c r="D6213" s="1038" t="s">
        <v>1376</v>
      </c>
      <c r="E6213" s="1038" t="s">
        <v>1407</v>
      </c>
      <c r="F6213" s="1562" t="s">
        <v>527</v>
      </c>
      <c r="G6213" s="1563">
        <v>330</v>
      </c>
      <c r="H6213" s="1038" t="s">
        <v>11894</v>
      </c>
    </row>
    <row r="6214" spans="2:8">
      <c r="B6214" s="1560">
        <v>46294</v>
      </c>
      <c r="C6214" s="1038" t="s">
        <v>11791</v>
      </c>
      <c r="D6214" s="1038" t="s">
        <v>1376</v>
      </c>
      <c r="E6214" s="1038" t="s">
        <v>1407</v>
      </c>
      <c r="F6214" s="1562" t="s">
        <v>528</v>
      </c>
      <c r="G6214" s="1563">
        <v>290</v>
      </c>
      <c r="H6214" s="1038" t="s">
        <v>11895</v>
      </c>
    </row>
    <row r="6215" spans="2:8">
      <c r="B6215" s="1560">
        <v>46294</v>
      </c>
      <c r="C6215" s="1038" t="s">
        <v>11791</v>
      </c>
      <c r="D6215" s="1038" t="s">
        <v>1376</v>
      </c>
      <c r="E6215" s="1038" t="s">
        <v>1408</v>
      </c>
      <c r="F6215" s="1562" t="s">
        <v>526</v>
      </c>
      <c r="G6215" s="1563">
        <v>1032</v>
      </c>
      <c r="H6215" s="1038" t="s">
        <v>11896</v>
      </c>
    </row>
    <row r="6216" spans="2:8">
      <c r="B6216" s="1560">
        <v>46294</v>
      </c>
      <c r="C6216" s="1038" t="s">
        <v>11791</v>
      </c>
      <c r="D6216" s="1038" t="s">
        <v>1376</v>
      </c>
      <c r="E6216" s="1038" t="s">
        <v>1408</v>
      </c>
      <c r="F6216" s="1562" t="s">
        <v>527</v>
      </c>
      <c r="G6216" s="1563">
        <v>1032</v>
      </c>
      <c r="H6216" s="1038" t="s">
        <v>11897</v>
      </c>
    </row>
    <row r="6217" spans="2:8">
      <c r="B6217" s="1560">
        <v>46294</v>
      </c>
      <c r="C6217" s="1038" t="s">
        <v>11791</v>
      </c>
      <c r="D6217" s="1038" t="s">
        <v>1376</v>
      </c>
      <c r="E6217" s="1038" t="s">
        <v>1408</v>
      </c>
      <c r="F6217" s="1562" t="s">
        <v>528</v>
      </c>
      <c r="G6217" s="1563">
        <v>1027</v>
      </c>
      <c r="H6217" s="1038" t="s">
        <v>11898</v>
      </c>
    </row>
    <row r="6218" spans="2:8">
      <c r="B6218" s="1560">
        <v>46294</v>
      </c>
      <c r="C6218" s="1038" t="s">
        <v>11791</v>
      </c>
      <c r="D6218" s="1038" t="s">
        <v>1409</v>
      </c>
      <c r="E6218" s="1038" t="s">
        <v>1411</v>
      </c>
      <c r="F6218" s="1562" t="s">
        <v>526</v>
      </c>
      <c r="G6218" s="1563"/>
      <c r="H6218" s="1038" t="s">
        <v>11899</v>
      </c>
    </row>
    <row r="6219" spans="2:8">
      <c r="B6219" s="1560">
        <v>46294</v>
      </c>
      <c r="C6219" s="1038" t="s">
        <v>11791</v>
      </c>
      <c r="D6219" s="1038" t="s">
        <v>1409</v>
      </c>
      <c r="E6219" s="1038" t="s">
        <v>1411</v>
      </c>
      <c r="F6219" s="1562" t="s">
        <v>527</v>
      </c>
      <c r="G6219" s="1563"/>
      <c r="H6219" s="1038" t="s">
        <v>11900</v>
      </c>
    </row>
    <row r="6220" spans="2:8">
      <c r="B6220" s="1560">
        <v>46294</v>
      </c>
      <c r="C6220" s="1038" t="s">
        <v>11791</v>
      </c>
      <c r="D6220" s="1038" t="s">
        <v>1409</v>
      </c>
      <c r="E6220" s="1038" t="s">
        <v>1411</v>
      </c>
      <c r="F6220" s="1562" t="s">
        <v>528</v>
      </c>
      <c r="G6220" s="1563"/>
      <c r="H6220" s="1038" t="s">
        <v>11901</v>
      </c>
    </row>
    <row r="6221" spans="2:8">
      <c r="B6221" s="1560">
        <v>46294</v>
      </c>
      <c r="C6221" s="1038" t="s">
        <v>11791</v>
      </c>
      <c r="D6221" s="1038" t="s">
        <v>1409</v>
      </c>
      <c r="E6221" s="1038" t="s">
        <v>1413</v>
      </c>
      <c r="F6221" s="1562" t="s">
        <v>526</v>
      </c>
      <c r="G6221" s="1564" t="s">
        <v>1415</v>
      </c>
      <c r="H6221" s="1038" t="s">
        <v>11902</v>
      </c>
    </row>
    <row r="6222" spans="2:8">
      <c r="B6222" s="1560">
        <v>46294</v>
      </c>
      <c r="C6222" s="1038" t="s">
        <v>11791</v>
      </c>
      <c r="D6222" s="1038" t="s">
        <v>1409</v>
      </c>
      <c r="E6222" s="1038" t="s">
        <v>1413</v>
      </c>
      <c r="F6222" s="1562" t="s">
        <v>527</v>
      </c>
      <c r="G6222" s="1564" t="s">
        <v>1415</v>
      </c>
      <c r="H6222" s="1038" t="s">
        <v>11903</v>
      </c>
    </row>
    <row r="6223" spans="2:8">
      <c r="B6223" s="1560">
        <v>46294</v>
      </c>
      <c r="C6223" s="1038" t="s">
        <v>11791</v>
      </c>
      <c r="D6223" s="1038" t="s">
        <v>1409</v>
      </c>
      <c r="E6223" s="1038" t="s">
        <v>1413</v>
      </c>
      <c r="F6223" s="1562" t="s">
        <v>528</v>
      </c>
      <c r="G6223" s="1564" t="s">
        <v>1415</v>
      </c>
      <c r="H6223" s="1038" t="s">
        <v>11904</v>
      </c>
    </row>
    <row r="6224" spans="2:8">
      <c r="B6224" s="1560">
        <v>46294</v>
      </c>
      <c r="C6224" s="1038" t="s">
        <v>11791</v>
      </c>
      <c r="D6224" s="1038" t="s">
        <v>1410</v>
      </c>
      <c r="E6224" s="1038" t="s">
        <v>3352</v>
      </c>
      <c r="F6224" s="1562" t="s">
        <v>526</v>
      </c>
      <c r="G6224" s="1563" t="s">
        <v>1418</v>
      </c>
      <c r="H6224" s="1038" t="s">
        <v>11905</v>
      </c>
    </row>
    <row r="6225" spans="2:8">
      <c r="B6225" s="1560">
        <v>46294</v>
      </c>
      <c r="C6225" s="1038" t="s">
        <v>11791</v>
      </c>
      <c r="D6225" s="1038" t="s">
        <v>1410</v>
      </c>
      <c r="E6225" s="1038" t="s">
        <v>3352</v>
      </c>
      <c r="F6225" s="1562" t="s">
        <v>527</v>
      </c>
      <c r="G6225" s="1563" t="s">
        <v>1418</v>
      </c>
      <c r="H6225" s="1038" t="s">
        <v>11906</v>
      </c>
    </row>
    <row r="6226" spans="2:8">
      <c r="B6226" s="1560">
        <v>46294</v>
      </c>
      <c r="C6226" s="1038" t="s">
        <v>11791</v>
      </c>
      <c r="D6226" s="1038" t="s">
        <v>1410</v>
      </c>
      <c r="E6226" s="1038" t="s">
        <v>3352</v>
      </c>
      <c r="F6226" s="1562" t="s">
        <v>528</v>
      </c>
      <c r="G6226" s="1563" t="s">
        <v>11907</v>
      </c>
      <c r="H6226" s="1038" t="s">
        <v>11908</v>
      </c>
    </row>
    <row r="6227" spans="2:8">
      <c r="B6227" s="1560">
        <v>46294</v>
      </c>
      <c r="C6227" s="1038" t="s">
        <v>11791</v>
      </c>
      <c r="D6227" s="1038" t="s">
        <v>1409</v>
      </c>
      <c r="E6227" s="1038" t="s">
        <v>1420</v>
      </c>
      <c r="F6227" s="1562" t="s">
        <v>526</v>
      </c>
      <c r="G6227" s="1564" t="s">
        <v>1876</v>
      </c>
      <c r="H6227" s="1038" t="s">
        <v>11909</v>
      </c>
    </row>
    <row r="6228" spans="2:8">
      <c r="B6228" s="1560">
        <v>46294</v>
      </c>
      <c r="C6228" s="1038" t="s">
        <v>11791</v>
      </c>
      <c r="D6228" s="1038" t="s">
        <v>1409</v>
      </c>
      <c r="E6228" s="1038" t="s">
        <v>1420</v>
      </c>
      <c r="F6228" s="1562" t="s">
        <v>527</v>
      </c>
      <c r="G6228" s="1564" t="s">
        <v>11684</v>
      </c>
      <c r="H6228" s="1038" t="s">
        <v>11910</v>
      </c>
    </row>
    <row r="6229" spans="2:8">
      <c r="B6229" s="1560">
        <v>46294</v>
      </c>
      <c r="C6229" s="1038" t="s">
        <v>11791</v>
      </c>
      <c r="D6229" s="1038" t="s">
        <v>1409</v>
      </c>
      <c r="E6229" s="1038" t="s">
        <v>1420</v>
      </c>
      <c r="F6229" s="1562" t="s">
        <v>528</v>
      </c>
      <c r="G6229" s="1564" t="s">
        <v>10773</v>
      </c>
      <c r="H6229" s="1038" t="s">
        <v>11911</v>
      </c>
    </row>
    <row r="6230" spans="2:8">
      <c r="B6230" s="1560">
        <v>46294</v>
      </c>
      <c r="C6230" s="1038" t="s">
        <v>11791</v>
      </c>
      <c r="D6230" s="1038" t="s">
        <v>1410</v>
      </c>
      <c r="E6230" s="1038" t="s">
        <v>3359</v>
      </c>
      <c r="F6230" s="1562" t="s">
        <v>526</v>
      </c>
      <c r="G6230" s="1563">
        <v>108</v>
      </c>
      <c r="H6230" s="1038" t="s">
        <v>11912</v>
      </c>
    </row>
    <row r="6231" spans="2:8">
      <c r="B6231" s="1560">
        <v>46294</v>
      </c>
      <c r="C6231" s="1038" t="s">
        <v>11791</v>
      </c>
      <c r="D6231" s="1038" t="s">
        <v>1410</v>
      </c>
      <c r="E6231" s="1038" t="s">
        <v>3359</v>
      </c>
      <c r="F6231" s="1562" t="s">
        <v>527</v>
      </c>
      <c r="G6231" s="1563">
        <v>110</v>
      </c>
      <c r="H6231" s="1038" t="s">
        <v>11913</v>
      </c>
    </row>
    <row r="6232" spans="2:8">
      <c r="B6232" s="1560">
        <v>46294</v>
      </c>
      <c r="C6232" s="1038" t="s">
        <v>11791</v>
      </c>
      <c r="D6232" s="1038" t="s">
        <v>1410</v>
      </c>
      <c r="E6232" s="1038" t="s">
        <v>3359</v>
      </c>
      <c r="F6232" s="1562" t="s">
        <v>528</v>
      </c>
      <c r="G6232" s="1564" t="s">
        <v>11914</v>
      </c>
      <c r="H6232" s="1038" t="s">
        <v>11915</v>
      </c>
    </row>
    <row r="6233" spans="2:8">
      <c r="B6233" s="1560">
        <v>46294</v>
      </c>
      <c r="C6233" s="1038" t="s">
        <v>11791</v>
      </c>
      <c r="D6233" s="1038" t="s">
        <v>1409</v>
      </c>
      <c r="E6233" s="1038" t="s">
        <v>1424</v>
      </c>
      <c r="F6233" s="1562" t="s">
        <v>526</v>
      </c>
      <c r="G6233" s="1563"/>
      <c r="H6233" s="1038" t="s">
        <v>11916</v>
      </c>
    </row>
    <row r="6234" spans="2:8">
      <c r="B6234" s="1560">
        <v>46294</v>
      </c>
      <c r="C6234" s="1038" t="s">
        <v>11791</v>
      </c>
      <c r="D6234" s="1038" t="s">
        <v>1409</v>
      </c>
      <c r="E6234" s="1038" t="s">
        <v>1424</v>
      </c>
      <c r="F6234" s="1562" t="s">
        <v>527</v>
      </c>
      <c r="G6234" s="1563"/>
      <c r="H6234" s="1038" t="s">
        <v>11917</v>
      </c>
    </row>
    <row r="6235" spans="2:8">
      <c r="B6235" s="1560">
        <v>46294</v>
      </c>
      <c r="C6235" s="1038" t="s">
        <v>11791</v>
      </c>
      <c r="D6235" s="1038" t="s">
        <v>1409</v>
      </c>
      <c r="E6235" s="1038" t="s">
        <v>1424</v>
      </c>
      <c r="F6235" s="1562" t="s">
        <v>528</v>
      </c>
      <c r="G6235" s="1563"/>
      <c r="H6235" s="1038" t="s">
        <v>11918</v>
      </c>
    </row>
    <row r="6236" spans="2:8">
      <c r="B6236" s="1560">
        <v>46294</v>
      </c>
      <c r="C6236" s="1038" t="s">
        <v>11791</v>
      </c>
      <c r="D6236" s="1038" t="s">
        <v>1410</v>
      </c>
      <c r="E6236" s="1038" t="s">
        <v>3366</v>
      </c>
      <c r="F6236" s="1562" t="s">
        <v>526</v>
      </c>
      <c r="G6236" s="1563">
        <v>2824</v>
      </c>
      <c r="H6236" s="1038" t="s">
        <v>11919</v>
      </c>
    </row>
    <row r="6237" spans="2:8">
      <c r="B6237" s="1560">
        <v>46294</v>
      </c>
      <c r="C6237" s="1038" t="s">
        <v>11791</v>
      </c>
      <c r="D6237" s="1038" t="s">
        <v>1410</v>
      </c>
      <c r="E6237" s="1038" t="s">
        <v>3366</v>
      </c>
      <c r="F6237" s="1562" t="s">
        <v>527</v>
      </c>
      <c r="G6237" s="1563">
        <v>2686</v>
      </c>
      <c r="H6237" s="1038" t="s">
        <v>11920</v>
      </c>
    </row>
    <row r="6238" spans="2:8">
      <c r="B6238" s="1560">
        <v>46294</v>
      </c>
      <c r="C6238" s="1038" t="s">
        <v>11791</v>
      </c>
      <c r="D6238" s="1038" t="s">
        <v>1410</v>
      </c>
      <c r="E6238" s="1038" t="s">
        <v>3366</v>
      </c>
      <c r="F6238" s="1562" t="s">
        <v>528</v>
      </c>
      <c r="G6238" s="1564" t="s">
        <v>11921</v>
      </c>
      <c r="H6238" s="1038" t="s">
        <v>11922</v>
      </c>
    </row>
    <row r="6239" spans="2:8">
      <c r="B6239" s="1560">
        <v>46294</v>
      </c>
      <c r="C6239" s="1038" t="s">
        <v>11791</v>
      </c>
      <c r="D6239" s="1038" t="s">
        <v>1410</v>
      </c>
      <c r="E6239" s="1038" t="s">
        <v>3370</v>
      </c>
      <c r="F6239" s="1562" t="s">
        <v>526</v>
      </c>
      <c r="G6239" s="1563" t="s">
        <v>1427</v>
      </c>
      <c r="H6239" s="1038" t="s">
        <v>11923</v>
      </c>
    </row>
    <row r="6240" spans="2:8">
      <c r="B6240" s="1560">
        <v>46294</v>
      </c>
      <c r="C6240" s="1038" t="s">
        <v>11791</v>
      </c>
      <c r="D6240" s="1038" t="s">
        <v>1410</v>
      </c>
      <c r="E6240" s="1038" t="s">
        <v>3370</v>
      </c>
      <c r="F6240" s="1562" t="s">
        <v>527</v>
      </c>
      <c r="G6240" s="1563" t="s">
        <v>1427</v>
      </c>
      <c r="H6240" s="1038" t="s">
        <v>11924</v>
      </c>
    </row>
    <row r="6241" spans="2:8">
      <c r="B6241" s="1560">
        <v>46294</v>
      </c>
      <c r="C6241" s="1038" t="s">
        <v>11791</v>
      </c>
      <c r="D6241" s="1038" t="s">
        <v>1410</v>
      </c>
      <c r="E6241" s="1038" t="s">
        <v>3370</v>
      </c>
      <c r="F6241" s="1562" t="s">
        <v>528</v>
      </c>
      <c r="G6241" s="1563" t="s">
        <v>1427</v>
      </c>
      <c r="H6241" s="1038" t="s">
        <v>11925</v>
      </c>
    </row>
    <row r="6242" spans="2:8">
      <c r="B6242" s="1560">
        <v>46294</v>
      </c>
      <c r="C6242" s="1038" t="s">
        <v>11791</v>
      </c>
      <c r="D6242" s="1038" t="s">
        <v>1410</v>
      </c>
      <c r="E6242" s="1038" t="s">
        <v>3374</v>
      </c>
      <c r="F6242" s="1562" t="s">
        <v>526</v>
      </c>
      <c r="G6242" s="1563">
        <v>2.2999999999999998</v>
      </c>
      <c r="H6242" s="1038" t="s">
        <v>11926</v>
      </c>
    </row>
    <row r="6243" spans="2:8">
      <c r="B6243" s="1560">
        <v>46294</v>
      </c>
      <c r="C6243" s="1038" t="s">
        <v>11791</v>
      </c>
      <c r="D6243" s="1038" t="s">
        <v>1410</v>
      </c>
      <c r="E6243" s="1038" t="s">
        <v>3374</v>
      </c>
      <c r="F6243" s="1562" t="s">
        <v>527</v>
      </c>
      <c r="G6243" s="1563">
        <v>3.8</v>
      </c>
      <c r="H6243" s="1038" t="s">
        <v>11927</v>
      </c>
    </row>
    <row r="6244" spans="2:8">
      <c r="B6244" s="1560">
        <v>46294</v>
      </c>
      <c r="C6244" s="1038" t="s">
        <v>11791</v>
      </c>
      <c r="D6244" s="1038" t="s">
        <v>1410</v>
      </c>
      <c r="E6244" s="1038" t="s">
        <v>3374</v>
      </c>
      <c r="F6244" s="1562" t="s">
        <v>528</v>
      </c>
      <c r="G6244" s="1563">
        <v>2.85</v>
      </c>
      <c r="H6244" s="1038" t="s">
        <v>11928</v>
      </c>
    </row>
    <row r="6245" spans="2:8">
      <c r="B6245" s="1560">
        <v>46294</v>
      </c>
      <c r="C6245" s="1038" t="s">
        <v>11791</v>
      </c>
      <c r="D6245" s="1038" t="s">
        <v>1410</v>
      </c>
      <c r="E6245" s="1038" t="s">
        <v>3378</v>
      </c>
      <c r="F6245" s="1562" t="s">
        <v>526</v>
      </c>
      <c r="G6245" s="1563" t="s">
        <v>1430</v>
      </c>
      <c r="H6245" s="1038" t="s">
        <v>11929</v>
      </c>
    </row>
    <row r="6246" spans="2:8">
      <c r="B6246" s="1560">
        <v>46294</v>
      </c>
      <c r="C6246" s="1038" t="s">
        <v>11791</v>
      </c>
      <c r="D6246" s="1038" t="s">
        <v>1410</v>
      </c>
      <c r="E6246" s="1038" t="s">
        <v>3378</v>
      </c>
      <c r="F6246" s="1562" t="s">
        <v>527</v>
      </c>
      <c r="G6246" s="1563" t="s">
        <v>1430</v>
      </c>
      <c r="H6246" s="1038" t="s">
        <v>11930</v>
      </c>
    </row>
    <row r="6247" spans="2:8">
      <c r="B6247" s="1560">
        <v>46294</v>
      </c>
      <c r="C6247" s="1038" t="s">
        <v>11791</v>
      </c>
      <c r="D6247" s="1038" t="s">
        <v>1410</v>
      </c>
      <c r="E6247" s="1038" t="s">
        <v>3378</v>
      </c>
      <c r="F6247" s="1562" t="s">
        <v>528</v>
      </c>
      <c r="G6247" s="1563" t="s">
        <v>1430</v>
      </c>
      <c r="H6247" s="1038" t="s">
        <v>11931</v>
      </c>
    </row>
    <row r="6248" spans="2:8">
      <c r="B6248" s="1560">
        <v>46294</v>
      </c>
      <c r="C6248" s="1038" t="s">
        <v>11791</v>
      </c>
      <c r="D6248" s="1038" t="s">
        <v>1410</v>
      </c>
      <c r="E6248" s="1038" t="s">
        <v>3382</v>
      </c>
      <c r="F6248" s="1562" t="s">
        <v>526</v>
      </c>
      <c r="G6248" s="1563">
        <v>96</v>
      </c>
      <c r="H6248" s="1038" t="s">
        <v>11932</v>
      </c>
    </row>
    <row r="6249" spans="2:8">
      <c r="B6249" s="1560">
        <v>46294</v>
      </c>
      <c r="C6249" s="1038" t="s">
        <v>11791</v>
      </c>
      <c r="D6249" s="1038" t="s">
        <v>1410</v>
      </c>
      <c r="E6249" s="1038" t="s">
        <v>3382</v>
      </c>
      <c r="F6249" s="1562" t="s">
        <v>527</v>
      </c>
      <c r="G6249" s="1563">
        <v>103</v>
      </c>
      <c r="H6249" s="1038" t="s">
        <v>11933</v>
      </c>
    </row>
    <row r="6250" spans="2:8">
      <c r="B6250" s="1560">
        <v>46294</v>
      </c>
      <c r="C6250" s="1038" t="s">
        <v>11791</v>
      </c>
      <c r="D6250" s="1038" t="s">
        <v>1410</v>
      </c>
      <c r="E6250" s="1038" t="s">
        <v>3382</v>
      </c>
      <c r="F6250" s="1562" t="s">
        <v>528</v>
      </c>
      <c r="G6250" s="1563">
        <v>91</v>
      </c>
      <c r="H6250" s="1038" t="s">
        <v>11934</v>
      </c>
    </row>
    <row r="6251" spans="2:8">
      <c r="B6251" s="1560">
        <v>46294</v>
      </c>
      <c r="C6251" s="1038" t="s">
        <v>11791</v>
      </c>
      <c r="D6251" s="1038" t="s">
        <v>1409</v>
      </c>
      <c r="E6251" s="1038" t="s">
        <v>1431</v>
      </c>
      <c r="F6251" s="1562" t="s">
        <v>526</v>
      </c>
      <c r="G6251" s="1563"/>
      <c r="H6251" s="1038" t="s">
        <v>11935</v>
      </c>
    </row>
    <row r="6252" spans="2:8">
      <c r="B6252" s="1560">
        <v>46294</v>
      </c>
      <c r="C6252" s="1038" t="s">
        <v>11791</v>
      </c>
      <c r="D6252" s="1038" t="s">
        <v>1409</v>
      </c>
      <c r="E6252" s="1038" t="s">
        <v>1431</v>
      </c>
      <c r="F6252" s="1562" t="s">
        <v>527</v>
      </c>
      <c r="G6252" s="1563"/>
      <c r="H6252" s="1038" t="s">
        <v>11936</v>
      </c>
    </row>
    <row r="6253" spans="2:8">
      <c r="B6253" s="1560">
        <v>46294</v>
      </c>
      <c r="C6253" s="1038" t="s">
        <v>11791</v>
      </c>
      <c r="D6253" s="1038" t="s">
        <v>1409</v>
      </c>
      <c r="E6253" s="1038" t="s">
        <v>1431</v>
      </c>
      <c r="F6253" s="1562" t="s">
        <v>528</v>
      </c>
      <c r="G6253" s="1563"/>
      <c r="H6253" s="1038" t="s">
        <v>11937</v>
      </c>
    </row>
    <row r="6254" spans="2:8">
      <c r="B6254" s="1560">
        <v>46294</v>
      </c>
      <c r="C6254" s="1038" t="s">
        <v>11791</v>
      </c>
      <c r="D6254" s="1038" t="s">
        <v>1410</v>
      </c>
      <c r="E6254" s="1038" t="s">
        <v>3389</v>
      </c>
      <c r="F6254" s="1562" t="s">
        <v>526</v>
      </c>
      <c r="G6254" s="1563">
        <v>2765</v>
      </c>
      <c r="H6254" s="1038" t="s">
        <v>11938</v>
      </c>
    </row>
    <row r="6255" spans="2:8">
      <c r="B6255" s="1560">
        <v>46294</v>
      </c>
      <c r="C6255" s="1038" t="s">
        <v>11791</v>
      </c>
      <c r="D6255" s="1038" t="s">
        <v>1410</v>
      </c>
      <c r="E6255" s="1038" t="s">
        <v>3389</v>
      </c>
      <c r="F6255" s="1562" t="s">
        <v>527</v>
      </c>
      <c r="G6255" s="1563">
        <v>2686</v>
      </c>
      <c r="H6255" s="1038" t="s">
        <v>11939</v>
      </c>
    </row>
    <row r="6256" spans="2:8">
      <c r="B6256" s="1560">
        <v>46294</v>
      </c>
      <c r="C6256" s="1038" t="s">
        <v>11791</v>
      </c>
      <c r="D6256" s="1038" t="s">
        <v>1410</v>
      </c>
      <c r="E6256" s="1038" t="s">
        <v>3389</v>
      </c>
      <c r="F6256" s="1562" t="s">
        <v>528</v>
      </c>
      <c r="G6256" s="1563">
        <v>2780</v>
      </c>
      <c r="H6256" s="1038" t="s">
        <v>11940</v>
      </c>
    </row>
    <row r="6257" spans="2:8">
      <c r="B6257" s="1560">
        <v>46294</v>
      </c>
      <c r="C6257" s="1038" t="s">
        <v>11791</v>
      </c>
      <c r="D6257" s="1038" t="s">
        <v>1410</v>
      </c>
      <c r="E6257" s="1038" t="s">
        <v>3393</v>
      </c>
      <c r="F6257" s="1562" t="s">
        <v>526</v>
      </c>
      <c r="G6257" s="1563" t="s">
        <v>1663</v>
      </c>
      <c r="H6257" s="1038" t="s">
        <v>11941</v>
      </c>
    </row>
    <row r="6258" spans="2:8">
      <c r="B6258" s="1560">
        <v>46294</v>
      </c>
      <c r="C6258" s="1038" t="s">
        <v>11791</v>
      </c>
      <c r="D6258" s="1038" t="s">
        <v>1410</v>
      </c>
      <c r="E6258" s="1038" t="s">
        <v>3393</v>
      </c>
      <c r="F6258" s="1562" t="s">
        <v>527</v>
      </c>
      <c r="G6258" s="1563" t="s">
        <v>1663</v>
      </c>
      <c r="H6258" s="1038" t="s">
        <v>11942</v>
      </c>
    </row>
    <row r="6259" spans="2:8">
      <c r="B6259" s="1560">
        <v>46294</v>
      </c>
      <c r="C6259" s="1038" t="s">
        <v>11791</v>
      </c>
      <c r="D6259" s="1038" t="s">
        <v>1410</v>
      </c>
      <c r="E6259" s="1038" t="s">
        <v>3393</v>
      </c>
      <c r="F6259" s="1562" t="s">
        <v>528</v>
      </c>
      <c r="G6259" s="1563" t="s">
        <v>1820</v>
      </c>
      <c r="H6259" s="1038" t="s">
        <v>11943</v>
      </c>
    </row>
    <row r="6260" spans="2:8">
      <c r="B6260" s="1560">
        <v>46294</v>
      </c>
      <c r="C6260" s="1038" t="s">
        <v>11791</v>
      </c>
      <c r="D6260" s="1038" t="s">
        <v>1410</v>
      </c>
      <c r="E6260" s="1038" t="s">
        <v>3397</v>
      </c>
      <c r="F6260" s="1562" t="s">
        <v>526</v>
      </c>
      <c r="G6260" s="1563" t="s">
        <v>1435</v>
      </c>
      <c r="H6260" s="1038" t="s">
        <v>11944</v>
      </c>
    </row>
    <row r="6261" spans="2:8">
      <c r="B6261" s="1560">
        <v>46294</v>
      </c>
      <c r="C6261" s="1038" t="s">
        <v>11791</v>
      </c>
      <c r="D6261" s="1038" t="s">
        <v>1410</v>
      </c>
      <c r="E6261" s="1038" t="s">
        <v>3397</v>
      </c>
      <c r="F6261" s="1562" t="s">
        <v>527</v>
      </c>
      <c r="G6261" s="1563" t="s">
        <v>1435</v>
      </c>
      <c r="H6261" s="1038" t="s">
        <v>11945</v>
      </c>
    </row>
    <row r="6262" spans="2:8">
      <c r="B6262" s="1560">
        <v>46294</v>
      </c>
      <c r="C6262" s="1038" t="s">
        <v>11791</v>
      </c>
      <c r="D6262" s="1038" t="s">
        <v>1410</v>
      </c>
      <c r="E6262" s="1038" t="s">
        <v>3397</v>
      </c>
      <c r="F6262" s="1562" t="s">
        <v>528</v>
      </c>
      <c r="G6262" s="1563" t="s">
        <v>1435</v>
      </c>
      <c r="H6262" s="1038" t="s">
        <v>11946</v>
      </c>
    </row>
    <row r="6263" spans="2:8">
      <c r="B6263" s="1560">
        <v>46294</v>
      </c>
      <c r="C6263" s="1038" t="s">
        <v>11791</v>
      </c>
      <c r="D6263" s="1038" t="s">
        <v>1434</v>
      </c>
      <c r="E6263" s="1038" t="s">
        <v>42</v>
      </c>
      <c r="F6263" s="1562" t="s">
        <v>526</v>
      </c>
      <c r="G6263" s="1563" t="s">
        <v>11035</v>
      </c>
      <c r="H6263" s="1038" t="s">
        <v>11947</v>
      </c>
    </row>
    <row r="6264" spans="2:8">
      <c r="B6264" s="1560">
        <v>46294</v>
      </c>
      <c r="C6264" s="1038" t="s">
        <v>11791</v>
      </c>
      <c r="D6264" s="1038" t="s">
        <v>1434</v>
      </c>
      <c r="E6264" s="1038" t="s">
        <v>42</v>
      </c>
      <c r="F6264" s="1562" t="s">
        <v>527</v>
      </c>
      <c r="G6264" s="1563"/>
      <c r="H6264" s="1038" t="s">
        <v>11948</v>
      </c>
    </row>
    <row r="6265" spans="2:8">
      <c r="B6265" s="1560">
        <v>46294</v>
      </c>
      <c r="C6265" s="1038" t="s">
        <v>11791</v>
      </c>
      <c r="D6265" s="1038" t="s">
        <v>1434</v>
      </c>
      <c r="E6265" s="1038" t="s">
        <v>42</v>
      </c>
      <c r="F6265" s="1562" t="s">
        <v>528</v>
      </c>
      <c r="G6265" s="1563"/>
      <c r="H6265" s="1038" t="s">
        <v>11949</v>
      </c>
    </row>
    <row r="6266" spans="2:8">
      <c r="B6266" s="1560">
        <v>46294</v>
      </c>
      <c r="C6266" s="1038" t="s">
        <v>11791</v>
      </c>
      <c r="D6266" s="1038" t="s">
        <v>1410</v>
      </c>
      <c r="E6266" s="1038" t="s">
        <v>3404</v>
      </c>
      <c r="F6266" s="1562" t="s">
        <v>526</v>
      </c>
      <c r="G6266" s="1563" t="s">
        <v>1419</v>
      </c>
      <c r="H6266" s="1038" t="s">
        <v>11950</v>
      </c>
    </row>
    <row r="6267" spans="2:8">
      <c r="B6267" s="1560">
        <v>46294</v>
      </c>
      <c r="C6267" s="1038" t="s">
        <v>11791</v>
      </c>
      <c r="D6267" s="1038" t="s">
        <v>1410</v>
      </c>
      <c r="E6267" s="1038" t="s">
        <v>3404</v>
      </c>
      <c r="F6267" s="1562" t="s">
        <v>527</v>
      </c>
      <c r="G6267" s="1563" t="s">
        <v>1419</v>
      </c>
      <c r="H6267" s="1038" t="s">
        <v>11951</v>
      </c>
    </row>
    <row r="6268" spans="2:8">
      <c r="B6268" s="1560">
        <v>46294</v>
      </c>
      <c r="C6268" s="1038" t="s">
        <v>11791</v>
      </c>
      <c r="D6268" s="1038" t="s">
        <v>1410</v>
      </c>
      <c r="E6268" s="1038" t="s">
        <v>3404</v>
      </c>
      <c r="F6268" s="1562" t="s">
        <v>528</v>
      </c>
      <c r="G6268" s="1563" t="s">
        <v>1419</v>
      </c>
      <c r="H6268" s="1038" t="s">
        <v>11952</v>
      </c>
    </row>
    <row r="6269" spans="2:8">
      <c r="B6269" s="1560">
        <v>46294</v>
      </c>
      <c r="C6269" s="1038" t="s">
        <v>11791</v>
      </c>
      <c r="D6269" s="1038" t="s">
        <v>1434</v>
      </c>
      <c r="E6269" s="1038" t="s">
        <v>1439</v>
      </c>
      <c r="F6269" s="1562" t="s">
        <v>526</v>
      </c>
      <c r="G6269" s="1563" t="s">
        <v>11042</v>
      </c>
      <c r="H6269" s="1038" t="s">
        <v>11953</v>
      </c>
    </row>
    <row r="6270" spans="2:8">
      <c r="B6270" s="1560">
        <v>46294</v>
      </c>
      <c r="C6270" s="1038" t="s">
        <v>11791</v>
      </c>
      <c r="D6270" s="1038" t="s">
        <v>1434</v>
      </c>
      <c r="E6270" s="1038" t="s">
        <v>1439</v>
      </c>
      <c r="F6270" s="1562" t="s">
        <v>527</v>
      </c>
      <c r="G6270" s="1563"/>
      <c r="H6270" s="1038" t="s">
        <v>11954</v>
      </c>
    </row>
    <row r="6271" spans="2:8">
      <c r="B6271" s="1560">
        <v>46294</v>
      </c>
      <c r="C6271" s="1038" t="s">
        <v>11791</v>
      </c>
      <c r="D6271" s="1038" t="s">
        <v>1434</v>
      </c>
      <c r="E6271" s="1038" t="s">
        <v>1439</v>
      </c>
      <c r="F6271" s="1562" t="s">
        <v>528</v>
      </c>
      <c r="G6271" s="1563"/>
      <c r="H6271" s="1038" t="s">
        <v>11955</v>
      </c>
    </row>
    <row r="6272" spans="2:8">
      <c r="B6272" s="1560">
        <v>46294</v>
      </c>
      <c r="C6272" s="1038" t="s">
        <v>11791</v>
      </c>
      <c r="D6272" s="1038" t="s">
        <v>1410</v>
      </c>
      <c r="E6272" s="1038" t="s">
        <v>3411</v>
      </c>
      <c r="F6272" s="1562" t="s">
        <v>526</v>
      </c>
      <c r="G6272" s="1563">
        <v>48</v>
      </c>
      <c r="H6272" s="1038" t="s">
        <v>11956</v>
      </c>
    </row>
    <row r="6273" spans="2:8">
      <c r="B6273" s="1560">
        <v>46294</v>
      </c>
      <c r="C6273" s="1038" t="s">
        <v>11791</v>
      </c>
      <c r="D6273" s="1038" t="s">
        <v>1410</v>
      </c>
      <c r="E6273" s="1038" t="s">
        <v>3411</v>
      </c>
      <c r="F6273" s="1562" t="s">
        <v>527</v>
      </c>
      <c r="G6273" s="1563">
        <v>60</v>
      </c>
      <c r="H6273" s="1038" t="s">
        <v>11957</v>
      </c>
    </row>
    <row r="6274" spans="2:8">
      <c r="B6274" s="1560">
        <v>46294</v>
      </c>
      <c r="C6274" s="1038" t="s">
        <v>11791</v>
      </c>
      <c r="D6274" s="1038" t="s">
        <v>1410</v>
      </c>
      <c r="E6274" s="1038" t="s">
        <v>3411</v>
      </c>
      <c r="F6274" s="1562" t="s">
        <v>528</v>
      </c>
      <c r="G6274" s="1563">
        <v>47</v>
      </c>
      <c r="H6274" s="1038" t="s">
        <v>11958</v>
      </c>
    </row>
    <row r="6275" spans="2:8">
      <c r="B6275" s="1560">
        <v>46294</v>
      </c>
      <c r="C6275" s="1038" t="s">
        <v>11791</v>
      </c>
      <c r="D6275" s="1038" t="s">
        <v>1434</v>
      </c>
      <c r="E6275" s="1038" t="s">
        <v>43</v>
      </c>
      <c r="F6275" s="1562" t="s">
        <v>526</v>
      </c>
      <c r="G6275" s="1563" t="s">
        <v>11049</v>
      </c>
      <c r="H6275" s="1038" t="s">
        <v>11959</v>
      </c>
    </row>
    <row r="6276" spans="2:8">
      <c r="B6276" s="1560">
        <v>46294</v>
      </c>
      <c r="C6276" s="1038" t="s">
        <v>11791</v>
      </c>
      <c r="D6276" s="1038" t="s">
        <v>1434</v>
      </c>
      <c r="E6276" s="1038" t="s">
        <v>43</v>
      </c>
      <c r="F6276" s="1562" t="s">
        <v>527</v>
      </c>
      <c r="G6276" s="1563"/>
      <c r="H6276" s="1038" t="s">
        <v>11960</v>
      </c>
    </row>
    <row r="6277" spans="2:8">
      <c r="B6277" s="1560">
        <v>46294</v>
      </c>
      <c r="C6277" s="1038" t="s">
        <v>11791</v>
      </c>
      <c r="D6277" s="1038" t="s">
        <v>1434</v>
      </c>
      <c r="E6277" s="1038" t="s">
        <v>43</v>
      </c>
      <c r="F6277" s="1562" t="s">
        <v>528</v>
      </c>
      <c r="G6277" s="1563"/>
      <c r="H6277" s="1038" t="s">
        <v>11961</v>
      </c>
    </row>
    <row r="6278" spans="2:8">
      <c r="B6278" s="1560">
        <v>46294</v>
      </c>
      <c r="C6278" s="1038" t="s">
        <v>11791</v>
      </c>
      <c r="D6278" s="1038" t="s">
        <v>1410</v>
      </c>
      <c r="E6278" s="1038" t="s">
        <v>3418</v>
      </c>
      <c r="F6278" s="1562" t="s">
        <v>526</v>
      </c>
      <c r="G6278" s="1563">
        <v>114</v>
      </c>
      <c r="H6278" s="1038" t="s">
        <v>11962</v>
      </c>
    </row>
    <row r="6279" spans="2:8">
      <c r="B6279" s="1560">
        <v>46294</v>
      </c>
      <c r="C6279" s="1038" t="s">
        <v>11791</v>
      </c>
      <c r="D6279" s="1038" t="s">
        <v>1410</v>
      </c>
      <c r="E6279" s="1038" t="s">
        <v>3418</v>
      </c>
      <c r="F6279" s="1562" t="s">
        <v>527</v>
      </c>
      <c r="G6279" s="1563">
        <v>116</v>
      </c>
      <c r="H6279" s="1038" t="s">
        <v>11963</v>
      </c>
    </row>
    <row r="6280" spans="2:8">
      <c r="B6280" s="1560">
        <v>46294</v>
      </c>
      <c r="C6280" s="1038" t="s">
        <v>11791</v>
      </c>
      <c r="D6280" s="1038" t="s">
        <v>1410</v>
      </c>
      <c r="E6280" s="1038" t="s">
        <v>3418</v>
      </c>
      <c r="F6280" s="1562" t="s">
        <v>528</v>
      </c>
      <c r="G6280" s="1563">
        <v>99</v>
      </c>
      <c r="H6280" s="1038" t="s">
        <v>11964</v>
      </c>
    </row>
    <row r="6281" spans="2:8">
      <c r="B6281" s="1560">
        <v>46294</v>
      </c>
      <c r="C6281" s="1038" t="s">
        <v>11791</v>
      </c>
      <c r="D6281" s="1038" t="s">
        <v>1434</v>
      </c>
      <c r="E6281" s="1038" t="s">
        <v>1441</v>
      </c>
      <c r="F6281" s="1562" t="s">
        <v>526</v>
      </c>
      <c r="G6281" s="1563"/>
      <c r="H6281" s="1038" t="s">
        <v>11965</v>
      </c>
    </row>
    <row r="6282" spans="2:8">
      <c r="B6282" s="1560">
        <v>46294</v>
      </c>
      <c r="C6282" s="1038" t="s">
        <v>11791</v>
      </c>
      <c r="D6282" s="1038" t="s">
        <v>1434</v>
      </c>
      <c r="E6282" s="1038" t="s">
        <v>1441</v>
      </c>
      <c r="F6282" s="1562" t="s">
        <v>527</v>
      </c>
      <c r="G6282" s="1563"/>
      <c r="H6282" s="1038" t="s">
        <v>11966</v>
      </c>
    </row>
    <row r="6283" spans="2:8">
      <c r="B6283" s="1560">
        <v>46294</v>
      </c>
      <c r="C6283" s="1038" t="s">
        <v>11791</v>
      </c>
      <c r="D6283" s="1038" t="s">
        <v>1434</v>
      </c>
      <c r="E6283" s="1038" t="s">
        <v>1441</v>
      </c>
      <c r="F6283" s="1562" t="s">
        <v>528</v>
      </c>
      <c r="G6283" s="1563"/>
      <c r="H6283" s="1038" t="s">
        <v>11967</v>
      </c>
    </row>
    <row r="6284" spans="2:8">
      <c r="B6284" s="1560">
        <v>46294</v>
      </c>
      <c r="C6284" s="1038" t="s">
        <v>11791</v>
      </c>
      <c r="D6284" s="1038" t="s">
        <v>1410</v>
      </c>
      <c r="E6284" s="1038" t="s">
        <v>3425</v>
      </c>
      <c r="F6284" s="1562" t="s">
        <v>526</v>
      </c>
      <c r="G6284" s="1563" t="s">
        <v>1443</v>
      </c>
      <c r="H6284" s="1038" t="s">
        <v>11968</v>
      </c>
    </row>
    <row r="6285" spans="2:8">
      <c r="B6285" s="1560">
        <v>46294</v>
      </c>
      <c r="C6285" s="1038" t="s">
        <v>11791</v>
      </c>
      <c r="D6285" s="1038" t="s">
        <v>1410</v>
      </c>
      <c r="E6285" s="1038" t="s">
        <v>3425</v>
      </c>
      <c r="F6285" s="1562" t="s">
        <v>527</v>
      </c>
      <c r="G6285" s="1563" t="s">
        <v>1443</v>
      </c>
      <c r="H6285" s="1038" t="s">
        <v>11969</v>
      </c>
    </row>
    <row r="6286" spans="2:8">
      <c r="B6286" s="1560">
        <v>46294</v>
      </c>
      <c r="C6286" s="1038" t="s">
        <v>11791</v>
      </c>
      <c r="D6286" s="1038" t="s">
        <v>1410</v>
      </c>
      <c r="E6286" s="1038" t="s">
        <v>3425</v>
      </c>
      <c r="F6286" s="1562" t="s">
        <v>528</v>
      </c>
      <c r="G6286" s="1563" t="s">
        <v>1443</v>
      </c>
      <c r="H6286" s="1038" t="s">
        <v>11970</v>
      </c>
    </row>
    <row r="6287" spans="2:8">
      <c r="B6287" s="1560">
        <v>46294</v>
      </c>
      <c r="C6287" s="1038" t="s">
        <v>11791</v>
      </c>
      <c r="D6287" s="1038" t="s">
        <v>1434</v>
      </c>
      <c r="E6287" s="1038" t="s">
        <v>1444</v>
      </c>
      <c r="F6287" s="1562" t="s">
        <v>526</v>
      </c>
      <c r="G6287" s="1563"/>
      <c r="H6287" s="1038" t="s">
        <v>11971</v>
      </c>
    </row>
    <row r="6288" spans="2:8">
      <c r="B6288" s="1560">
        <v>46294</v>
      </c>
      <c r="C6288" s="1038" t="s">
        <v>11791</v>
      </c>
      <c r="D6288" s="1038" t="s">
        <v>1434</v>
      </c>
      <c r="E6288" s="1038" t="s">
        <v>1444</v>
      </c>
      <c r="F6288" s="1562" t="s">
        <v>527</v>
      </c>
      <c r="G6288" s="1563"/>
      <c r="H6288" s="1038" t="s">
        <v>11972</v>
      </c>
    </row>
    <row r="6289" spans="2:8">
      <c r="B6289" s="1560">
        <v>46294</v>
      </c>
      <c r="C6289" s="1038" t="s">
        <v>11791</v>
      </c>
      <c r="D6289" s="1038" t="s">
        <v>1434</v>
      </c>
      <c r="E6289" s="1038" t="s">
        <v>1444</v>
      </c>
      <c r="F6289" s="1562" t="s">
        <v>528</v>
      </c>
      <c r="G6289" s="1563"/>
      <c r="H6289" s="1038" t="s">
        <v>11973</v>
      </c>
    </row>
    <row r="6290" spans="2:8">
      <c r="B6290" s="1560">
        <v>46294</v>
      </c>
      <c r="C6290" s="1038" t="s">
        <v>11791</v>
      </c>
      <c r="D6290" s="1038" t="s">
        <v>1434</v>
      </c>
      <c r="E6290" s="1038" t="s">
        <v>1446</v>
      </c>
      <c r="F6290" s="1562" t="s">
        <v>526</v>
      </c>
      <c r="G6290" s="1563" t="s">
        <v>11520</v>
      </c>
      <c r="H6290" s="1038" t="s">
        <v>11974</v>
      </c>
    </row>
    <row r="6291" spans="2:8">
      <c r="B6291" s="1560">
        <v>46294</v>
      </c>
      <c r="C6291" s="1038" t="s">
        <v>11791</v>
      </c>
      <c r="D6291" s="1038" t="s">
        <v>1434</v>
      </c>
      <c r="E6291" s="1038" t="s">
        <v>1446</v>
      </c>
      <c r="F6291" s="1562" t="s">
        <v>527</v>
      </c>
      <c r="G6291" s="1563"/>
      <c r="H6291" s="1038" t="s">
        <v>11975</v>
      </c>
    </row>
    <row r="6292" spans="2:8">
      <c r="B6292" s="1560">
        <v>46294</v>
      </c>
      <c r="C6292" s="1038" t="s">
        <v>11791</v>
      </c>
      <c r="D6292" s="1038" t="s">
        <v>1434</v>
      </c>
      <c r="E6292" s="1038" t="s">
        <v>1446</v>
      </c>
      <c r="F6292" s="1562" t="s">
        <v>528</v>
      </c>
      <c r="G6292" s="1563"/>
      <c r="H6292" s="1038" t="s">
        <v>11976</v>
      </c>
    </row>
    <row r="6293" spans="2:8">
      <c r="B6293" s="1560">
        <v>46294</v>
      </c>
      <c r="C6293" s="1038" t="s">
        <v>11791</v>
      </c>
      <c r="D6293" s="1038" t="s">
        <v>1410</v>
      </c>
      <c r="E6293" s="1038" t="s">
        <v>3435</v>
      </c>
      <c r="F6293" s="1562" t="s">
        <v>526</v>
      </c>
      <c r="G6293" s="1563" t="s">
        <v>1586</v>
      </c>
      <c r="H6293" s="1038" t="s">
        <v>11977</v>
      </c>
    </row>
    <row r="6294" spans="2:8">
      <c r="B6294" s="1560">
        <v>46294</v>
      </c>
      <c r="C6294" s="1038" t="s">
        <v>11791</v>
      </c>
      <c r="D6294" s="1038" t="s">
        <v>1410</v>
      </c>
      <c r="E6294" s="1038" t="s">
        <v>3435</v>
      </c>
      <c r="F6294" s="1562" t="s">
        <v>527</v>
      </c>
      <c r="G6294" s="1563" t="s">
        <v>1586</v>
      </c>
      <c r="H6294" s="1038" t="s">
        <v>11978</v>
      </c>
    </row>
    <row r="6295" spans="2:8">
      <c r="B6295" s="1560">
        <v>46294</v>
      </c>
      <c r="C6295" s="1038" t="s">
        <v>11791</v>
      </c>
      <c r="D6295" s="1038" t="s">
        <v>1410</v>
      </c>
      <c r="E6295" s="1038" t="s">
        <v>3435</v>
      </c>
      <c r="F6295" s="1562" t="s">
        <v>528</v>
      </c>
      <c r="G6295" s="1563" t="s">
        <v>1586</v>
      </c>
      <c r="H6295" s="1038" t="s">
        <v>11979</v>
      </c>
    </row>
    <row r="6296" spans="2:8">
      <c r="B6296" s="1560">
        <v>46294</v>
      </c>
      <c r="C6296" s="1038" t="s">
        <v>11791</v>
      </c>
      <c r="D6296" s="1038" t="s">
        <v>1434</v>
      </c>
      <c r="E6296" s="1038" t="s">
        <v>3439</v>
      </c>
      <c r="F6296" s="1562" t="s">
        <v>526</v>
      </c>
      <c r="G6296" s="1563"/>
      <c r="H6296" s="1038" t="s">
        <v>11980</v>
      </c>
    </row>
    <row r="6297" spans="2:8">
      <c r="B6297" s="1560">
        <v>46294</v>
      </c>
      <c r="C6297" s="1038" t="s">
        <v>11791</v>
      </c>
      <c r="D6297" s="1038" t="s">
        <v>1434</v>
      </c>
      <c r="E6297" s="1038" t="s">
        <v>3439</v>
      </c>
      <c r="F6297" s="1562" t="s">
        <v>527</v>
      </c>
      <c r="G6297" s="1563"/>
      <c r="H6297" s="1038" t="s">
        <v>11981</v>
      </c>
    </row>
    <row r="6298" spans="2:8">
      <c r="B6298" s="1560">
        <v>46294</v>
      </c>
      <c r="C6298" s="1038" t="s">
        <v>11791</v>
      </c>
      <c r="D6298" s="1038" t="s">
        <v>1434</v>
      </c>
      <c r="E6298" s="1038" t="s">
        <v>3439</v>
      </c>
      <c r="F6298" s="1562" t="s">
        <v>528</v>
      </c>
      <c r="G6298" s="1563" t="s">
        <v>11982</v>
      </c>
      <c r="H6298" s="1038" t="s">
        <v>11983</v>
      </c>
    </row>
    <row r="6299" spans="2:8">
      <c r="B6299" s="1560">
        <v>46294</v>
      </c>
      <c r="C6299" s="1038" t="s">
        <v>11791</v>
      </c>
      <c r="D6299" s="1038" t="s">
        <v>1410</v>
      </c>
      <c r="E6299" s="1038" t="s">
        <v>3443</v>
      </c>
      <c r="F6299" s="1562" t="s">
        <v>526</v>
      </c>
      <c r="G6299" s="1563"/>
      <c r="H6299" s="1038" t="s">
        <v>11984</v>
      </c>
    </row>
    <row r="6300" spans="2:8">
      <c r="B6300" s="1560">
        <v>46294</v>
      </c>
      <c r="C6300" s="1038" t="s">
        <v>11791</v>
      </c>
      <c r="D6300" s="1038" t="s">
        <v>1410</v>
      </c>
      <c r="E6300" s="1038" t="s">
        <v>3443</v>
      </c>
      <c r="F6300" s="1562" t="s">
        <v>527</v>
      </c>
      <c r="G6300" s="1563"/>
      <c r="H6300" s="1038" t="s">
        <v>11985</v>
      </c>
    </row>
    <row r="6301" spans="2:8">
      <c r="B6301" s="1560">
        <v>46294</v>
      </c>
      <c r="C6301" s="1038" t="s">
        <v>11791</v>
      </c>
      <c r="D6301" s="1038" t="s">
        <v>1410</v>
      </c>
      <c r="E6301" s="1038" t="s">
        <v>3443</v>
      </c>
      <c r="F6301" s="1562" t="s">
        <v>528</v>
      </c>
      <c r="G6301" s="1563"/>
      <c r="H6301" s="1038" t="s">
        <v>11986</v>
      </c>
    </row>
    <row r="6302" spans="2:8">
      <c r="B6302" s="1560">
        <v>46294</v>
      </c>
      <c r="C6302" s="1038" t="s">
        <v>11791</v>
      </c>
      <c r="D6302" s="1038" t="s">
        <v>1434</v>
      </c>
      <c r="E6302" s="1038" t="s">
        <v>3447</v>
      </c>
      <c r="F6302" s="1562" t="s">
        <v>526</v>
      </c>
      <c r="G6302" s="1563"/>
      <c r="H6302" s="1038" t="s">
        <v>11987</v>
      </c>
    </row>
    <row r="6303" spans="2:8">
      <c r="B6303" s="1560">
        <v>46294</v>
      </c>
      <c r="C6303" s="1038" t="s">
        <v>11791</v>
      </c>
      <c r="D6303" s="1038" t="s">
        <v>1434</v>
      </c>
      <c r="E6303" s="1038" t="s">
        <v>3447</v>
      </c>
      <c r="F6303" s="1562" t="s">
        <v>527</v>
      </c>
      <c r="G6303" s="1563"/>
      <c r="H6303" s="1038" t="s">
        <v>11988</v>
      </c>
    </row>
    <row r="6304" spans="2:8">
      <c r="B6304" s="1560">
        <v>46294</v>
      </c>
      <c r="C6304" s="1038" t="s">
        <v>11791</v>
      </c>
      <c r="D6304" s="1038" t="s">
        <v>1434</v>
      </c>
      <c r="E6304" s="1038" t="s">
        <v>3447</v>
      </c>
      <c r="F6304" s="1562" t="s">
        <v>528</v>
      </c>
      <c r="G6304" s="1563" t="s">
        <v>9412</v>
      </c>
      <c r="H6304" s="1038" t="s">
        <v>11989</v>
      </c>
    </row>
    <row r="6305" spans="2:8">
      <c r="B6305" s="1560">
        <v>46294</v>
      </c>
      <c r="C6305" s="1038" t="s">
        <v>11791</v>
      </c>
      <c r="D6305" s="1038" t="s">
        <v>1410</v>
      </c>
      <c r="E6305" s="1038" t="s">
        <v>3451</v>
      </c>
      <c r="F6305" s="1562" t="s">
        <v>526</v>
      </c>
      <c r="G6305" s="1563"/>
      <c r="H6305" s="1038" t="s">
        <v>11990</v>
      </c>
    </row>
    <row r="6306" spans="2:8">
      <c r="B6306" s="1560">
        <v>46294</v>
      </c>
      <c r="C6306" s="1038" t="s">
        <v>11791</v>
      </c>
      <c r="D6306" s="1038" t="s">
        <v>1410</v>
      </c>
      <c r="E6306" s="1038" t="s">
        <v>3451</v>
      </c>
      <c r="F6306" s="1562" t="s">
        <v>527</v>
      </c>
      <c r="G6306" s="1563"/>
      <c r="H6306" s="1038" t="s">
        <v>11991</v>
      </c>
    </row>
    <row r="6307" spans="2:8">
      <c r="B6307" s="1560">
        <v>46294</v>
      </c>
      <c r="C6307" s="1038" t="s">
        <v>11791</v>
      </c>
      <c r="D6307" s="1038" t="s">
        <v>1410</v>
      </c>
      <c r="E6307" s="1038" t="s">
        <v>3451</v>
      </c>
      <c r="F6307" s="1562" t="s">
        <v>528</v>
      </c>
      <c r="G6307" s="1563"/>
      <c r="H6307" s="1038" t="s">
        <v>11992</v>
      </c>
    </row>
    <row r="6308" spans="2:8">
      <c r="B6308" s="1560">
        <v>46294</v>
      </c>
      <c r="C6308" s="1038" t="s">
        <v>11791</v>
      </c>
      <c r="D6308" s="1038" t="s">
        <v>1434</v>
      </c>
      <c r="E6308" s="1038" t="s">
        <v>3455</v>
      </c>
      <c r="F6308" s="1562" t="s">
        <v>526</v>
      </c>
      <c r="G6308" s="1563"/>
      <c r="H6308" s="1038" t="s">
        <v>11993</v>
      </c>
    </row>
    <row r="6309" spans="2:8">
      <c r="B6309" s="1560">
        <v>46294</v>
      </c>
      <c r="C6309" s="1038" t="s">
        <v>11791</v>
      </c>
      <c r="D6309" s="1038" t="s">
        <v>1434</v>
      </c>
      <c r="E6309" s="1038" t="s">
        <v>3455</v>
      </c>
      <c r="F6309" s="1562" t="s">
        <v>527</v>
      </c>
      <c r="G6309" s="1563"/>
      <c r="H6309" s="1038" t="s">
        <v>11994</v>
      </c>
    </row>
    <row r="6310" spans="2:8">
      <c r="B6310" s="1560">
        <v>46294</v>
      </c>
      <c r="C6310" s="1038" t="s">
        <v>11791</v>
      </c>
      <c r="D6310" s="1038" t="s">
        <v>1434</v>
      </c>
      <c r="E6310" s="1038" t="s">
        <v>3455</v>
      </c>
      <c r="F6310" s="1562" t="s">
        <v>528</v>
      </c>
      <c r="G6310" s="1563" t="s">
        <v>11995</v>
      </c>
      <c r="H6310" s="1038" t="s">
        <v>11996</v>
      </c>
    </row>
    <row r="6311" spans="2:8">
      <c r="B6311" s="1560">
        <v>46294</v>
      </c>
      <c r="C6311" s="1038" t="s">
        <v>11791</v>
      </c>
      <c r="D6311" s="1038" t="s">
        <v>1410</v>
      </c>
      <c r="E6311" s="1038" t="s">
        <v>3459</v>
      </c>
      <c r="F6311" s="1562" t="s">
        <v>526</v>
      </c>
      <c r="G6311" s="1563">
        <v>28</v>
      </c>
      <c r="H6311" s="1038" t="s">
        <v>11997</v>
      </c>
    </row>
    <row r="6312" spans="2:8">
      <c r="B6312" s="1560">
        <v>46294</v>
      </c>
      <c r="C6312" s="1038" t="s">
        <v>11791</v>
      </c>
      <c r="D6312" s="1038" t="s">
        <v>1410</v>
      </c>
      <c r="E6312" s="1038" t="s">
        <v>3459</v>
      </c>
      <c r="F6312" s="1562" t="s">
        <v>527</v>
      </c>
      <c r="G6312" s="1563">
        <v>28</v>
      </c>
      <c r="H6312" s="1038" t="s">
        <v>11998</v>
      </c>
    </row>
    <row r="6313" spans="2:8">
      <c r="B6313" s="1560">
        <v>46294</v>
      </c>
      <c r="C6313" s="1038" t="s">
        <v>11791</v>
      </c>
      <c r="D6313" s="1038" t="s">
        <v>1410</v>
      </c>
      <c r="E6313" s="1038" t="s">
        <v>3459</v>
      </c>
      <c r="F6313" s="1562" t="s">
        <v>528</v>
      </c>
      <c r="G6313" s="1563">
        <v>26</v>
      </c>
      <c r="H6313" s="1038" t="s">
        <v>11999</v>
      </c>
    </row>
    <row r="6314" spans="2:8">
      <c r="B6314" s="1560">
        <v>46294</v>
      </c>
      <c r="C6314" s="1038" t="s">
        <v>11791</v>
      </c>
      <c r="D6314" s="1038" t="s">
        <v>1434</v>
      </c>
      <c r="E6314" s="1038" t="s">
        <v>3463</v>
      </c>
      <c r="F6314" s="1562" t="s">
        <v>526</v>
      </c>
      <c r="G6314" s="1563"/>
      <c r="H6314" s="1038" t="s">
        <v>12000</v>
      </c>
    </row>
    <row r="6315" spans="2:8">
      <c r="B6315" s="1560">
        <v>46294</v>
      </c>
      <c r="C6315" s="1038" t="s">
        <v>11791</v>
      </c>
      <c r="D6315" s="1038" t="s">
        <v>1434</v>
      </c>
      <c r="E6315" s="1038" t="s">
        <v>3463</v>
      </c>
      <c r="F6315" s="1562" t="s">
        <v>527</v>
      </c>
      <c r="G6315" s="1563"/>
      <c r="H6315" s="1038" t="s">
        <v>12001</v>
      </c>
    </row>
    <row r="6316" spans="2:8">
      <c r="B6316" s="1560">
        <v>46294</v>
      </c>
      <c r="C6316" s="1038" t="s">
        <v>11791</v>
      </c>
      <c r="D6316" s="1038" t="s">
        <v>1434</v>
      </c>
      <c r="E6316" s="1038" t="s">
        <v>3463</v>
      </c>
      <c r="F6316" s="1562" t="s">
        <v>528</v>
      </c>
      <c r="G6316" s="1563"/>
      <c r="H6316" s="1038" t="s">
        <v>12002</v>
      </c>
    </row>
    <row r="6317" spans="2:8">
      <c r="B6317" s="1560">
        <v>46294</v>
      </c>
      <c r="C6317" s="1038" t="s">
        <v>11791</v>
      </c>
      <c r="D6317" s="1038" t="s">
        <v>1410</v>
      </c>
      <c r="E6317" s="1038" t="s">
        <v>3467</v>
      </c>
      <c r="F6317" s="1562" t="s">
        <v>526</v>
      </c>
      <c r="G6317" s="1563">
        <v>28</v>
      </c>
      <c r="H6317" s="1038" t="s">
        <v>12003</v>
      </c>
    </row>
    <row r="6318" spans="2:8">
      <c r="B6318" s="1560">
        <v>46294</v>
      </c>
      <c r="C6318" s="1038" t="s">
        <v>11791</v>
      </c>
      <c r="D6318" s="1038" t="s">
        <v>1410</v>
      </c>
      <c r="E6318" s="1038" t="s">
        <v>3467</v>
      </c>
      <c r="F6318" s="1562" t="s">
        <v>527</v>
      </c>
      <c r="G6318" s="1563"/>
      <c r="H6318" s="1038" t="s">
        <v>12004</v>
      </c>
    </row>
    <row r="6319" spans="2:8">
      <c r="B6319" s="1560">
        <v>46294</v>
      </c>
      <c r="C6319" s="1038" t="s">
        <v>11791</v>
      </c>
      <c r="D6319" s="1038" t="s">
        <v>1410</v>
      </c>
      <c r="E6319" s="1038" t="s">
        <v>3467</v>
      </c>
      <c r="F6319" s="1562" t="s">
        <v>528</v>
      </c>
      <c r="G6319" s="1563">
        <v>26</v>
      </c>
      <c r="H6319" s="1038" t="s">
        <v>12005</v>
      </c>
    </row>
    <row r="6320" spans="2:8">
      <c r="B6320" s="1560">
        <v>46294</v>
      </c>
      <c r="C6320" s="1038" t="s">
        <v>11791</v>
      </c>
      <c r="D6320" s="1038" t="s">
        <v>1434</v>
      </c>
      <c r="E6320" s="1038" t="s">
        <v>3471</v>
      </c>
      <c r="F6320" s="1562" t="s">
        <v>526</v>
      </c>
      <c r="G6320" s="1563"/>
      <c r="H6320" s="1038" t="s">
        <v>12006</v>
      </c>
    </row>
    <row r="6321" spans="2:8">
      <c r="B6321" s="1560">
        <v>46294</v>
      </c>
      <c r="C6321" s="1038" t="s">
        <v>11791</v>
      </c>
      <c r="D6321" s="1038" t="s">
        <v>1434</v>
      </c>
      <c r="E6321" s="1038" t="s">
        <v>3471</v>
      </c>
      <c r="F6321" s="1562" t="s">
        <v>527</v>
      </c>
      <c r="G6321" s="1563"/>
      <c r="H6321" s="1038" t="s">
        <v>12007</v>
      </c>
    </row>
    <row r="6322" spans="2:8">
      <c r="B6322" s="1560">
        <v>46294</v>
      </c>
      <c r="C6322" s="1038" t="s">
        <v>11791</v>
      </c>
      <c r="D6322" s="1038" t="s">
        <v>1434</v>
      </c>
      <c r="E6322" s="1038" t="s">
        <v>3471</v>
      </c>
      <c r="F6322" s="1562" t="s">
        <v>528</v>
      </c>
      <c r="G6322" s="1563"/>
      <c r="H6322" s="1038" t="s">
        <v>12008</v>
      </c>
    </row>
    <row r="6323" spans="2:8">
      <c r="B6323" s="1560">
        <v>46294</v>
      </c>
      <c r="C6323" s="1038" t="s">
        <v>11791</v>
      </c>
      <c r="D6323" s="1038" t="s">
        <v>1410</v>
      </c>
      <c r="E6323" s="1038" t="s">
        <v>3475</v>
      </c>
      <c r="F6323" s="1562" t="s">
        <v>526</v>
      </c>
      <c r="G6323" s="1563">
        <v>17</v>
      </c>
      <c r="H6323" s="1038" t="s">
        <v>12009</v>
      </c>
    </row>
    <row r="6324" spans="2:8">
      <c r="B6324" s="1560">
        <v>46294</v>
      </c>
      <c r="C6324" s="1038" t="s">
        <v>11791</v>
      </c>
      <c r="D6324" s="1038" t="s">
        <v>1410</v>
      </c>
      <c r="E6324" s="1038" t="s">
        <v>3475</v>
      </c>
      <c r="F6324" s="1562" t="s">
        <v>527</v>
      </c>
      <c r="G6324" s="1563">
        <v>18</v>
      </c>
      <c r="H6324" s="1038" t="s">
        <v>12010</v>
      </c>
    </row>
    <row r="6325" spans="2:8">
      <c r="B6325" s="1560">
        <v>46294</v>
      </c>
      <c r="C6325" s="1038" t="s">
        <v>11791</v>
      </c>
      <c r="D6325" s="1038" t="s">
        <v>1410</v>
      </c>
      <c r="E6325" s="1038" t="s">
        <v>3475</v>
      </c>
      <c r="F6325" s="1562" t="s">
        <v>528</v>
      </c>
      <c r="G6325" s="1563">
        <v>17</v>
      </c>
      <c r="H6325" s="1038" t="s">
        <v>12011</v>
      </c>
    </row>
    <row r="6326" spans="2:8">
      <c r="B6326" s="1560">
        <v>46294</v>
      </c>
      <c r="C6326" s="1038" t="s">
        <v>11791</v>
      </c>
      <c r="D6326" s="1038" t="s">
        <v>1434</v>
      </c>
      <c r="E6326" s="1038" t="s">
        <v>3479</v>
      </c>
      <c r="F6326" s="1562" t="s">
        <v>526</v>
      </c>
      <c r="G6326" s="1563"/>
      <c r="H6326" s="1038" t="s">
        <v>12012</v>
      </c>
    </row>
    <row r="6327" spans="2:8">
      <c r="B6327" s="1560">
        <v>46294</v>
      </c>
      <c r="C6327" s="1038" t="s">
        <v>11791</v>
      </c>
      <c r="D6327" s="1038" t="s">
        <v>1434</v>
      </c>
      <c r="E6327" s="1038" t="s">
        <v>3479</v>
      </c>
      <c r="F6327" s="1562" t="s">
        <v>527</v>
      </c>
      <c r="G6327" s="1563"/>
      <c r="H6327" s="1038" t="s">
        <v>12013</v>
      </c>
    </row>
    <row r="6328" spans="2:8">
      <c r="B6328" s="1560">
        <v>46294</v>
      </c>
      <c r="C6328" s="1038" t="s">
        <v>11791</v>
      </c>
      <c r="D6328" s="1038" t="s">
        <v>1434</v>
      </c>
      <c r="E6328" s="1038" t="s">
        <v>3479</v>
      </c>
      <c r="F6328" s="1562" t="s">
        <v>528</v>
      </c>
      <c r="G6328" s="1563" t="s">
        <v>12014</v>
      </c>
      <c r="H6328" s="1038" t="s">
        <v>12015</v>
      </c>
    </row>
    <row r="6329" spans="2:8">
      <c r="B6329" s="1560">
        <v>46294</v>
      </c>
      <c r="C6329" s="1038" t="s">
        <v>11791</v>
      </c>
      <c r="D6329" s="1038" t="s">
        <v>1410</v>
      </c>
      <c r="E6329" s="1038" t="s">
        <v>3483</v>
      </c>
      <c r="F6329" s="1562" t="s">
        <v>526</v>
      </c>
      <c r="G6329" s="1563">
        <v>5</v>
      </c>
      <c r="H6329" s="1038" t="s">
        <v>12016</v>
      </c>
    </row>
    <row r="6330" spans="2:8">
      <c r="B6330" s="1560">
        <v>46294</v>
      </c>
      <c r="C6330" s="1038" t="s">
        <v>11791</v>
      </c>
      <c r="D6330" s="1038" t="s">
        <v>1410</v>
      </c>
      <c r="E6330" s="1038" t="s">
        <v>3483</v>
      </c>
      <c r="F6330" s="1562" t="s">
        <v>527</v>
      </c>
      <c r="G6330" s="1563">
        <v>5</v>
      </c>
      <c r="H6330" s="1038" t="s">
        <v>12017</v>
      </c>
    </row>
    <row r="6331" spans="2:8">
      <c r="B6331" s="1560">
        <v>46294</v>
      </c>
      <c r="C6331" s="1038" t="s">
        <v>11791</v>
      </c>
      <c r="D6331" s="1038" t="s">
        <v>1410</v>
      </c>
      <c r="E6331" s="1038" t="s">
        <v>3483</v>
      </c>
      <c r="F6331" s="1562" t="s">
        <v>528</v>
      </c>
      <c r="G6331" s="1563" t="s">
        <v>2131</v>
      </c>
      <c r="H6331" s="1038" t="s">
        <v>12018</v>
      </c>
    </row>
  </sheetData>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Registro RDO — Página &amp;P de &amp;F</oddFooter>
  </headerFooter>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F5B27-21E0-4B6F-B98F-0AA940C6E99A}">
  <sheetPr codeName="Hoja30">
    <tabColor rgb="FF1F3864"/>
    <pageSetUpPr fitToPage="1"/>
  </sheetPr>
  <dimension ref="B1:G1512"/>
  <sheetViews>
    <sheetView showGridLines="0" workbookViewId="0">
      <pane ySplit="4" topLeftCell="A5" activePane="bottomLeft" state="frozen"/>
      <selection pane="bottomLeft" activeCell="F1166" sqref="F1166"/>
    </sheetView>
  </sheetViews>
  <sheetFormatPr baseColWidth="10" defaultRowHeight="15"/>
  <cols>
    <col min="2" max="2" width="13.28515625" customWidth="1"/>
    <col min="3" max="3" width="14.28515625" customWidth="1"/>
    <col min="4" max="4" width="9.5703125" customWidth="1"/>
    <col min="5" max="5" width="26.7109375" customWidth="1"/>
    <col min="6" max="6" width="99" customWidth="1"/>
    <col min="7" max="7" width="19" customWidth="1"/>
  </cols>
  <sheetData>
    <row r="1" spans="2:7" ht="18.75">
      <c r="B1" s="885" t="s">
        <v>9216</v>
      </c>
    </row>
    <row r="2" spans="2:7">
      <c r="B2" s="886" t="s">
        <v>9217</v>
      </c>
    </row>
    <row r="4" spans="2:7">
      <c r="B4" t="s">
        <v>3</v>
      </c>
      <c r="C4" t="s">
        <v>2466</v>
      </c>
      <c r="D4" t="s">
        <v>3232</v>
      </c>
      <c r="E4" t="s">
        <v>3231</v>
      </c>
      <c r="F4" t="s">
        <v>8065</v>
      </c>
      <c r="G4" t="s">
        <v>2523</v>
      </c>
    </row>
    <row r="5" spans="2:7" ht="75">
      <c r="B5" s="871">
        <v>46266</v>
      </c>
      <c r="C5" t="s">
        <v>2470</v>
      </c>
      <c r="D5" t="s">
        <v>526</v>
      </c>
      <c r="E5" t="s">
        <v>1375</v>
      </c>
      <c r="F5" s="381" t="s">
        <v>1453</v>
      </c>
      <c r="G5" t="s">
        <v>8066</v>
      </c>
    </row>
    <row r="6" spans="2:7">
      <c r="B6" s="871">
        <v>46266</v>
      </c>
      <c r="C6" t="s">
        <v>2470</v>
      </c>
      <c r="D6" t="s">
        <v>526</v>
      </c>
      <c r="E6" t="s">
        <v>1454</v>
      </c>
      <c r="F6" s="381" t="s">
        <v>1455</v>
      </c>
      <c r="G6" t="s">
        <v>8067</v>
      </c>
    </row>
    <row r="7" spans="2:7">
      <c r="B7" s="871">
        <v>46266</v>
      </c>
      <c r="C7" t="s">
        <v>2470</v>
      </c>
      <c r="D7" t="s">
        <v>526</v>
      </c>
      <c r="E7" t="s">
        <v>1454</v>
      </c>
      <c r="F7" s="381" t="s">
        <v>1456</v>
      </c>
      <c r="G7" t="s">
        <v>8068</v>
      </c>
    </row>
    <row r="8" spans="2:7" ht="30">
      <c r="B8" s="871">
        <v>46266</v>
      </c>
      <c r="C8" t="s">
        <v>2470</v>
      </c>
      <c r="D8" t="s">
        <v>526</v>
      </c>
      <c r="E8" t="s">
        <v>1454</v>
      </c>
      <c r="F8" s="381" t="s">
        <v>1457</v>
      </c>
      <c r="G8" t="s">
        <v>8069</v>
      </c>
    </row>
    <row r="9" spans="2:7">
      <c r="B9" s="871">
        <v>46266</v>
      </c>
      <c r="C9" t="s">
        <v>2470</v>
      </c>
      <c r="D9" t="s">
        <v>526</v>
      </c>
      <c r="E9" t="s">
        <v>1458</v>
      </c>
      <c r="F9" s="381" t="s">
        <v>1459</v>
      </c>
      <c r="G9" t="s">
        <v>8070</v>
      </c>
    </row>
    <row r="10" spans="2:7">
      <c r="B10" s="871">
        <v>46266</v>
      </c>
      <c r="C10" t="s">
        <v>2470</v>
      </c>
      <c r="D10" t="s">
        <v>526</v>
      </c>
      <c r="E10" t="s">
        <v>1458</v>
      </c>
      <c r="F10" s="381" t="s">
        <v>1460</v>
      </c>
      <c r="G10" t="s">
        <v>8071</v>
      </c>
    </row>
    <row r="11" spans="2:7" ht="30">
      <c r="B11" s="871">
        <v>46266</v>
      </c>
      <c r="C11" t="s">
        <v>2470</v>
      </c>
      <c r="D11" t="s">
        <v>526</v>
      </c>
      <c r="E11" t="s">
        <v>1458</v>
      </c>
      <c r="F11" s="381" t="s">
        <v>1461</v>
      </c>
      <c r="G11" t="s">
        <v>8072</v>
      </c>
    </row>
    <row r="12" spans="2:7" ht="240">
      <c r="B12" s="871">
        <v>46266</v>
      </c>
      <c r="C12" t="s">
        <v>2470</v>
      </c>
      <c r="D12" t="s">
        <v>526</v>
      </c>
      <c r="E12" t="s">
        <v>1376</v>
      </c>
      <c r="F12" s="381" t="s">
        <v>1463</v>
      </c>
      <c r="G12" t="s">
        <v>8073</v>
      </c>
    </row>
    <row r="13" spans="2:7" ht="90">
      <c r="B13" s="871">
        <v>46266</v>
      </c>
      <c r="C13" t="s">
        <v>2470</v>
      </c>
      <c r="D13" t="s">
        <v>526</v>
      </c>
      <c r="E13" t="s">
        <v>1393</v>
      </c>
      <c r="F13" s="381" t="s">
        <v>1464</v>
      </c>
      <c r="G13" t="s">
        <v>8074</v>
      </c>
    </row>
    <row r="14" spans="2:7">
      <c r="B14" s="871">
        <v>46266</v>
      </c>
      <c r="C14" t="s">
        <v>2470</v>
      </c>
      <c r="D14" t="s">
        <v>526</v>
      </c>
      <c r="E14" t="s">
        <v>1465</v>
      </c>
      <c r="F14" s="381" t="s">
        <v>1466</v>
      </c>
      <c r="G14" t="s">
        <v>8075</v>
      </c>
    </row>
    <row r="15" spans="2:7" ht="135">
      <c r="B15" s="871">
        <v>46266</v>
      </c>
      <c r="C15" t="s">
        <v>2470</v>
      </c>
      <c r="D15" t="s">
        <v>526</v>
      </c>
      <c r="E15" t="s">
        <v>1410</v>
      </c>
      <c r="F15" s="381" t="s">
        <v>1467</v>
      </c>
      <c r="G15" t="s">
        <v>8076</v>
      </c>
    </row>
    <row r="16" spans="2:7">
      <c r="B16" s="871">
        <v>46266</v>
      </c>
      <c r="C16" t="s">
        <v>2470</v>
      </c>
      <c r="D16" t="s">
        <v>526</v>
      </c>
      <c r="E16" t="s">
        <v>1434</v>
      </c>
      <c r="F16" s="381" t="s">
        <v>1468</v>
      </c>
      <c r="G16" t="s">
        <v>8077</v>
      </c>
    </row>
    <row r="17" spans="2:7">
      <c r="B17" s="871">
        <v>46266</v>
      </c>
      <c r="C17" t="s">
        <v>2470</v>
      </c>
      <c r="D17" t="s">
        <v>526</v>
      </c>
      <c r="E17" t="s">
        <v>1434</v>
      </c>
      <c r="F17" s="381" t="s">
        <v>10035</v>
      </c>
      <c r="G17" t="s">
        <v>8078</v>
      </c>
    </row>
    <row r="18" spans="2:7">
      <c r="B18" s="871">
        <v>46266</v>
      </c>
      <c r="C18" t="s">
        <v>2470</v>
      </c>
      <c r="D18" t="s">
        <v>526</v>
      </c>
      <c r="E18" t="s">
        <v>1434</v>
      </c>
      <c r="F18" s="381" t="s">
        <v>10036</v>
      </c>
      <c r="G18" t="s">
        <v>8079</v>
      </c>
    </row>
    <row r="19" spans="2:7">
      <c r="B19" s="871">
        <v>46266</v>
      </c>
      <c r="C19" t="s">
        <v>2470</v>
      </c>
      <c r="D19" t="s">
        <v>526</v>
      </c>
      <c r="E19" t="s">
        <v>1434</v>
      </c>
      <c r="F19" s="381" t="s">
        <v>10037</v>
      </c>
      <c r="G19" t="s">
        <v>8080</v>
      </c>
    </row>
    <row r="20" spans="2:7">
      <c r="B20" s="871">
        <v>46266</v>
      </c>
      <c r="C20" t="s">
        <v>2470</v>
      </c>
      <c r="D20" t="s">
        <v>526</v>
      </c>
      <c r="E20" t="s">
        <v>1434</v>
      </c>
      <c r="F20" s="381" t="s">
        <v>10038</v>
      </c>
      <c r="G20" t="s">
        <v>8081</v>
      </c>
    </row>
    <row r="21" spans="2:7">
      <c r="B21" s="871">
        <v>46266</v>
      </c>
      <c r="C21" t="s">
        <v>2470</v>
      </c>
      <c r="D21" t="s">
        <v>526</v>
      </c>
      <c r="E21" t="s">
        <v>1434</v>
      </c>
      <c r="F21" s="381" t="s">
        <v>10039</v>
      </c>
      <c r="G21" t="s">
        <v>8082</v>
      </c>
    </row>
    <row r="22" spans="2:7">
      <c r="B22" s="871">
        <v>46266</v>
      </c>
      <c r="C22" t="s">
        <v>2470</v>
      </c>
      <c r="D22" t="s">
        <v>526</v>
      </c>
      <c r="E22" t="s">
        <v>1434</v>
      </c>
      <c r="F22" s="381" t="s">
        <v>10040</v>
      </c>
      <c r="G22" t="s">
        <v>8083</v>
      </c>
    </row>
    <row r="23" spans="2:7" ht="150">
      <c r="B23" s="871">
        <v>46266</v>
      </c>
      <c r="C23" t="s">
        <v>2470</v>
      </c>
      <c r="D23" t="s">
        <v>527</v>
      </c>
      <c r="E23" t="s">
        <v>1375</v>
      </c>
      <c r="F23" s="381" t="s">
        <v>1470</v>
      </c>
      <c r="G23" t="s">
        <v>8084</v>
      </c>
    </row>
    <row r="24" spans="2:7" ht="60">
      <c r="B24" s="871">
        <v>46266</v>
      </c>
      <c r="C24" t="s">
        <v>2470</v>
      </c>
      <c r="D24" t="s">
        <v>527</v>
      </c>
      <c r="E24" t="s">
        <v>1454</v>
      </c>
      <c r="F24" s="381" t="s">
        <v>1471</v>
      </c>
      <c r="G24" t="s">
        <v>8085</v>
      </c>
    </row>
    <row r="25" spans="2:7" ht="60">
      <c r="B25" s="871">
        <v>46266</v>
      </c>
      <c r="C25" t="s">
        <v>2470</v>
      </c>
      <c r="D25" t="s">
        <v>527</v>
      </c>
      <c r="E25" t="s">
        <v>1472</v>
      </c>
      <c r="F25" s="381" t="s">
        <v>1473</v>
      </c>
      <c r="G25" t="s">
        <v>8086</v>
      </c>
    </row>
    <row r="26" spans="2:7">
      <c r="B26" s="871">
        <v>46266</v>
      </c>
      <c r="C26" t="s">
        <v>2470</v>
      </c>
      <c r="D26" t="s">
        <v>527</v>
      </c>
      <c r="E26" t="s">
        <v>1474</v>
      </c>
      <c r="F26" s="381" t="s">
        <v>1475</v>
      </c>
      <c r="G26" t="s">
        <v>8087</v>
      </c>
    </row>
    <row r="27" spans="2:7" ht="75">
      <c r="B27" s="871">
        <v>46266</v>
      </c>
      <c r="C27" t="s">
        <v>2470</v>
      </c>
      <c r="D27" t="s">
        <v>527</v>
      </c>
      <c r="E27" t="s">
        <v>1474</v>
      </c>
      <c r="F27" s="381" t="s">
        <v>1476</v>
      </c>
      <c r="G27" t="s">
        <v>8088</v>
      </c>
    </row>
    <row r="28" spans="2:7" ht="195">
      <c r="B28" s="871">
        <v>46266</v>
      </c>
      <c r="C28" t="s">
        <v>2470</v>
      </c>
      <c r="D28" t="s">
        <v>527</v>
      </c>
      <c r="E28" t="s">
        <v>1393</v>
      </c>
      <c r="F28" s="381" t="s">
        <v>1477</v>
      </c>
      <c r="G28" t="s">
        <v>8089</v>
      </c>
    </row>
    <row r="29" spans="2:7" ht="285">
      <c r="B29" s="871">
        <v>46266</v>
      </c>
      <c r="C29" t="s">
        <v>2470</v>
      </c>
      <c r="D29" t="s">
        <v>527</v>
      </c>
      <c r="E29" t="s">
        <v>1410</v>
      </c>
      <c r="F29" s="381" t="s">
        <v>1478</v>
      </c>
      <c r="G29" t="s">
        <v>8090</v>
      </c>
    </row>
    <row r="30" spans="2:7" ht="409.5">
      <c r="B30" s="871">
        <v>46266</v>
      </c>
      <c r="C30" t="s">
        <v>2470</v>
      </c>
      <c r="D30" t="s">
        <v>527</v>
      </c>
      <c r="E30" t="s">
        <v>1434</v>
      </c>
      <c r="F30" s="381" t="s">
        <v>1479</v>
      </c>
      <c r="G30" t="s">
        <v>8091</v>
      </c>
    </row>
    <row r="31" spans="2:7" ht="165">
      <c r="B31" s="871">
        <v>46266</v>
      </c>
      <c r="C31" t="s">
        <v>2470</v>
      </c>
      <c r="D31" t="s">
        <v>528</v>
      </c>
      <c r="E31" t="s">
        <v>1375</v>
      </c>
      <c r="F31" s="381" t="s">
        <v>1481</v>
      </c>
      <c r="G31" t="s">
        <v>8092</v>
      </c>
    </row>
    <row r="32" spans="2:7" ht="60">
      <c r="B32" s="871">
        <v>46266</v>
      </c>
      <c r="C32" t="s">
        <v>2470</v>
      </c>
      <c r="D32" t="s">
        <v>528</v>
      </c>
      <c r="E32" t="s">
        <v>1454</v>
      </c>
      <c r="F32" s="381" t="s">
        <v>1482</v>
      </c>
      <c r="G32" t="s">
        <v>8093</v>
      </c>
    </row>
    <row r="33" spans="2:7" ht="90">
      <c r="B33" s="871">
        <v>46266</v>
      </c>
      <c r="C33" t="s">
        <v>2470</v>
      </c>
      <c r="D33" t="s">
        <v>528</v>
      </c>
      <c r="E33" t="s">
        <v>1458</v>
      </c>
      <c r="F33" s="381" t="s">
        <v>1483</v>
      </c>
      <c r="G33" t="s">
        <v>8094</v>
      </c>
    </row>
    <row r="34" spans="2:7">
      <c r="B34" s="871">
        <v>46266</v>
      </c>
      <c r="C34" t="s">
        <v>2470</v>
      </c>
      <c r="D34" t="s">
        <v>528</v>
      </c>
      <c r="E34" t="s">
        <v>1474</v>
      </c>
      <c r="F34" s="381" t="s">
        <v>1484</v>
      </c>
      <c r="G34" t="s">
        <v>8095</v>
      </c>
    </row>
    <row r="35" spans="2:7" ht="120">
      <c r="B35" s="871">
        <v>46266</v>
      </c>
      <c r="C35" t="s">
        <v>2470</v>
      </c>
      <c r="D35" t="s">
        <v>528</v>
      </c>
      <c r="E35" t="s">
        <v>1376</v>
      </c>
      <c r="F35" s="381" t="s">
        <v>1485</v>
      </c>
      <c r="G35" t="s">
        <v>8096</v>
      </c>
    </row>
    <row r="36" spans="2:7" ht="240">
      <c r="B36" s="871">
        <v>46266</v>
      </c>
      <c r="C36" t="s">
        <v>2470</v>
      </c>
      <c r="D36" t="s">
        <v>528</v>
      </c>
      <c r="E36" t="s">
        <v>1410</v>
      </c>
      <c r="F36" s="381" t="s">
        <v>1486</v>
      </c>
      <c r="G36" t="s">
        <v>8097</v>
      </c>
    </row>
    <row r="37" spans="2:7" ht="165">
      <c r="B37" s="871">
        <v>46266</v>
      </c>
      <c r="C37" t="s">
        <v>2470</v>
      </c>
      <c r="D37" t="s">
        <v>528</v>
      </c>
      <c r="E37" t="s">
        <v>1393</v>
      </c>
      <c r="F37" s="381" t="s">
        <v>1487</v>
      </c>
      <c r="G37" t="s">
        <v>8098</v>
      </c>
    </row>
    <row r="38" spans="2:7" ht="409.5">
      <c r="B38" s="871">
        <v>46266</v>
      </c>
      <c r="C38" t="s">
        <v>2470</v>
      </c>
      <c r="D38" t="s">
        <v>528</v>
      </c>
      <c r="E38" t="s">
        <v>1434</v>
      </c>
      <c r="F38" s="381" t="s">
        <v>1488</v>
      </c>
      <c r="G38" t="s">
        <v>8099</v>
      </c>
    </row>
    <row r="39" spans="2:7" ht="30">
      <c r="B39" s="871">
        <v>46267</v>
      </c>
      <c r="C39" t="s">
        <v>2471</v>
      </c>
      <c r="D39" t="s">
        <v>526</v>
      </c>
      <c r="E39" t="s">
        <v>1375</v>
      </c>
      <c r="F39" s="381" t="s">
        <v>1492</v>
      </c>
      <c r="G39" t="s">
        <v>8100</v>
      </c>
    </row>
    <row r="40" spans="2:7">
      <c r="B40" s="871">
        <v>46267</v>
      </c>
      <c r="C40" t="s">
        <v>2471</v>
      </c>
      <c r="D40" t="s">
        <v>526</v>
      </c>
      <c r="E40" t="s">
        <v>1454</v>
      </c>
      <c r="F40" s="381" t="s">
        <v>1455</v>
      </c>
      <c r="G40" t="s">
        <v>8101</v>
      </c>
    </row>
    <row r="41" spans="2:7">
      <c r="B41" s="871">
        <v>46267</v>
      </c>
      <c r="C41" t="s">
        <v>2471</v>
      </c>
      <c r="D41" t="s">
        <v>526</v>
      </c>
      <c r="E41" t="s">
        <v>1454</v>
      </c>
      <c r="F41" s="381" t="s">
        <v>1456</v>
      </c>
      <c r="G41" t="s">
        <v>8102</v>
      </c>
    </row>
    <row r="42" spans="2:7" ht="30">
      <c r="B42" s="871">
        <v>46267</v>
      </c>
      <c r="C42" t="s">
        <v>2471</v>
      </c>
      <c r="D42" t="s">
        <v>526</v>
      </c>
      <c r="E42" t="s">
        <v>1454</v>
      </c>
      <c r="F42" s="381" t="s">
        <v>1457</v>
      </c>
      <c r="G42" t="s">
        <v>8103</v>
      </c>
    </row>
    <row r="43" spans="2:7">
      <c r="B43" s="871">
        <v>46267</v>
      </c>
      <c r="C43" t="s">
        <v>2471</v>
      </c>
      <c r="D43" t="s">
        <v>526</v>
      </c>
      <c r="E43" t="s">
        <v>1458</v>
      </c>
      <c r="F43" s="381" t="s">
        <v>1459</v>
      </c>
      <c r="G43" t="s">
        <v>8104</v>
      </c>
    </row>
    <row r="44" spans="2:7">
      <c r="B44" s="871">
        <v>46267</v>
      </c>
      <c r="C44" t="s">
        <v>2471</v>
      </c>
      <c r="D44" t="s">
        <v>526</v>
      </c>
      <c r="E44" t="s">
        <v>1458</v>
      </c>
      <c r="F44" s="381" t="s">
        <v>1460</v>
      </c>
      <c r="G44" t="s">
        <v>8105</v>
      </c>
    </row>
    <row r="45" spans="2:7" ht="30">
      <c r="B45" s="871">
        <v>46267</v>
      </c>
      <c r="C45" t="s">
        <v>2471</v>
      </c>
      <c r="D45" t="s">
        <v>526</v>
      </c>
      <c r="E45" t="s">
        <v>1458</v>
      </c>
      <c r="F45" s="381" t="s">
        <v>1461</v>
      </c>
      <c r="G45" t="s">
        <v>8106</v>
      </c>
    </row>
    <row r="46" spans="2:7" ht="180">
      <c r="B46" s="871">
        <v>46267</v>
      </c>
      <c r="C46" t="s">
        <v>2471</v>
      </c>
      <c r="D46" t="s">
        <v>526</v>
      </c>
      <c r="E46" t="s">
        <v>1376</v>
      </c>
      <c r="F46" s="381" t="s">
        <v>1493</v>
      </c>
      <c r="G46" t="s">
        <v>8107</v>
      </c>
    </row>
    <row r="47" spans="2:7" ht="120">
      <c r="B47" s="871">
        <v>46267</v>
      </c>
      <c r="C47" t="s">
        <v>2471</v>
      </c>
      <c r="D47" t="s">
        <v>526</v>
      </c>
      <c r="E47" t="s">
        <v>1393</v>
      </c>
      <c r="F47" s="381" t="s">
        <v>1494</v>
      </c>
      <c r="G47" t="s">
        <v>8108</v>
      </c>
    </row>
    <row r="48" spans="2:7">
      <c r="B48" s="871">
        <v>46267</v>
      </c>
      <c r="C48" t="s">
        <v>2471</v>
      </c>
      <c r="D48" t="s">
        <v>526</v>
      </c>
      <c r="E48" t="s">
        <v>1465</v>
      </c>
      <c r="F48" s="381" t="s">
        <v>1495</v>
      </c>
      <c r="G48" t="s">
        <v>8109</v>
      </c>
    </row>
    <row r="49" spans="2:7" ht="150">
      <c r="B49" s="871">
        <v>46267</v>
      </c>
      <c r="C49" t="s">
        <v>2471</v>
      </c>
      <c r="D49" t="s">
        <v>526</v>
      </c>
      <c r="E49" t="s">
        <v>1410</v>
      </c>
      <c r="F49" s="381" t="s">
        <v>1496</v>
      </c>
      <c r="G49" t="s">
        <v>8110</v>
      </c>
    </row>
    <row r="50" spans="2:7">
      <c r="B50" s="871">
        <v>46267</v>
      </c>
      <c r="C50" t="s">
        <v>2471</v>
      </c>
      <c r="D50" t="s">
        <v>526</v>
      </c>
      <c r="E50" t="s">
        <v>1434</v>
      </c>
      <c r="F50" s="381" t="s">
        <v>1468</v>
      </c>
      <c r="G50" t="s">
        <v>8111</v>
      </c>
    </row>
    <row r="51" spans="2:7">
      <c r="B51" s="871">
        <v>46267</v>
      </c>
      <c r="C51" t="s">
        <v>2471</v>
      </c>
      <c r="D51" t="s">
        <v>526</v>
      </c>
      <c r="E51" t="s">
        <v>1434</v>
      </c>
      <c r="F51" s="381" t="s">
        <v>10035</v>
      </c>
      <c r="G51" t="s">
        <v>8112</v>
      </c>
    </row>
    <row r="52" spans="2:7">
      <c r="B52" s="871">
        <v>46267</v>
      </c>
      <c r="C52" t="s">
        <v>2471</v>
      </c>
      <c r="D52" t="s">
        <v>526</v>
      </c>
      <c r="E52" t="s">
        <v>1434</v>
      </c>
      <c r="F52" s="381" t="s">
        <v>10036</v>
      </c>
      <c r="G52" t="s">
        <v>8113</v>
      </c>
    </row>
    <row r="53" spans="2:7">
      <c r="B53" s="871">
        <v>46267</v>
      </c>
      <c r="C53" t="s">
        <v>2471</v>
      </c>
      <c r="D53" t="s">
        <v>526</v>
      </c>
      <c r="E53" t="s">
        <v>1434</v>
      </c>
      <c r="F53" s="381" t="s">
        <v>10037</v>
      </c>
      <c r="G53" t="s">
        <v>8114</v>
      </c>
    </row>
    <row r="54" spans="2:7">
      <c r="B54" s="871">
        <v>46267</v>
      </c>
      <c r="C54" t="s">
        <v>2471</v>
      </c>
      <c r="D54" t="s">
        <v>526</v>
      </c>
      <c r="E54" t="s">
        <v>1434</v>
      </c>
      <c r="F54" s="381" t="s">
        <v>10038</v>
      </c>
      <c r="G54" t="s">
        <v>8115</v>
      </c>
    </row>
    <row r="55" spans="2:7">
      <c r="B55" s="871">
        <v>46267</v>
      </c>
      <c r="C55" t="s">
        <v>2471</v>
      </c>
      <c r="D55" t="s">
        <v>526</v>
      </c>
      <c r="E55" t="s">
        <v>1434</v>
      </c>
      <c r="F55" s="381" t="s">
        <v>10039</v>
      </c>
      <c r="G55" t="s">
        <v>8116</v>
      </c>
    </row>
    <row r="56" spans="2:7">
      <c r="B56" s="871">
        <v>46267</v>
      </c>
      <c r="C56" t="s">
        <v>2471</v>
      </c>
      <c r="D56" t="s">
        <v>526</v>
      </c>
      <c r="E56" t="s">
        <v>1434</v>
      </c>
      <c r="F56" s="381" t="s">
        <v>10040</v>
      </c>
      <c r="G56" t="s">
        <v>8117</v>
      </c>
    </row>
    <row r="57" spans="2:7" ht="60">
      <c r="B57" s="871">
        <v>46267</v>
      </c>
      <c r="C57" t="s">
        <v>2471</v>
      </c>
      <c r="D57" t="s">
        <v>527</v>
      </c>
      <c r="E57" t="s">
        <v>1454</v>
      </c>
      <c r="F57" s="381" t="s">
        <v>1471</v>
      </c>
      <c r="G57" t="s">
        <v>8118</v>
      </c>
    </row>
    <row r="58" spans="2:7" ht="60">
      <c r="B58" s="871">
        <v>46267</v>
      </c>
      <c r="C58" t="s">
        <v>2471</v>
      </c>
      <c r="D58" t="s">
        <v>527</v>
      </c>
      <c r="E58" t="s">
        <v>1472</v>
      </c>
      <c r="F58" s="381" t="s">
        <v>1473</v>
      </c>
      <c r="G58" t="s">
        <v>8119</v>
      </c>
    </row>
    <row r="59" spans="2:7">
      <c r="B59" s="871">
        <v>46267</v>
      </c>
      <c r="C59" t="s">
        <v>2471</v>
      </c>
      <c r="D59" t="s">
        <v>527</v>
      </c>
      <c r="E59" t="s">
        <v>1474</v>
      </c>
      <c r="F59" s="381" t="s">
        <v>1475</v>
      </c>
      <c r="G59" t="s">
        <v>8120</v>
      </c>
    </row>
    <row r="60" spans="2:7" ht="75">
      <c r="B60" s="871">
        <v>46267</v>
      </c>
      <c r="C60" t="s">
        <v>2471</v>
      </c>
      <c r="D60" t="s">
        <v>527</v>
      </c>
      <c r="E60" t="s">
        <v>1474</v>
      </c>
      <c r="F60" s="381" t="s">
        <v>1476</v>
      </c>
      <c r="G60" t="s">
        <v>8121</v>
      </c>
    </row>
    <row r="61" spans="2:7" ht="195">
      <c r="B61" s="871">
        <v>46267</v>
      </c>
      <c r="C61" t="s">
        <v>2471</v>
      </c>
      <c r="D61" t="s">
        <v>527</v>
      </c>
      <c r="E61" t="s">
        <v>1393</v>
      </c>
      <c r="F61" s="381" t="s">
        <v>1477</v>
      </c>
      <c r="G61" t="s">
        <v>8122</v>
      </c>
    </row>
    <row r="62" spans="2:7" ht="285">
      <c r="B62" s="871">
        <v>46267</v>
      </c>
      <c r="C62" t="s">
        <v>2471</v>
      </c>
      <c r="D62" t="s">
        <v>527</v>
      </c>
      <c r="E62" t="s">
        <v>1410</v>
      </c>
      <c r="F62" s="381" t="s">
        <v>1478</v>
      </c>
      <c r="G62" t="s">
        <v>8123</v>
      </c>
    </row>
    <row r="63" spans="2:7" ht="409.5">
      <c r="B63" s="871">
        <v>46267</v>
      </c>
      <c r="C63" t="s">
        <v>2471</v>
      </c>
      <c r="D63" t="s">
        <v>527</v>
      </c>
      <c r="E63" t="s">
        <v>1434</v>
      </c>
      <c r="F63" s="381" t="s">
        <v>1479</v>
      </c>
      <c r="G63" t="s">
        <v>8124</v>
      </c>
    </row>
    <row r="64" spans="2:7">
      <c r="B64" s="871">
        <v>46267</v>
      </c>
      <c r="C64" t="s">
        <v>2471</v>
      </c>
      <c r="D64" t="s">
        <v>528</v>
      </c>
      <c r="E64" t="s">
        <v>1375</v>
      </c>
      <c r="F64" s="381" t="s">
        <v>1497</v>
      </c>
      <c r="G64" t="s">
        <v>8125</v>
      </c>
    </row>
    <row r="65" spans="2:7">
      <c r="B65" s="871">
        <v>46267</v>
      </c>
      <c r="C65" t="s">
        <v>2471</v>
      </c>
      <c r="D65" t="s">
        <v>528</v>
      </c>
      <c r="E65" t="s">
        <v>1375</v>
      </c>
      <c r="F65" s="381" t="s">
        <v>1498</v>
      </c>
      <c r="G65" t="s">
        <v>8126</v>
      </c>
    </row>
    <row r="66" spans="2:7">
      <c r="B66" s="871">
        <v>46267</v>
      </c>
      <c r="C66" t="s">
        <v>2471</v>
      </c>
      <c r="D66" t="s">
        <v>528</v>
      </c>
      <c r="E66" t="s">
        <v>1375</v>
      </c>
      <c r="F66" s="381" t="s">
        <v>1499</v>
      </c>
      <c r="G66" t="s">
        <v>8127</v>
      </c>
    </row>
    <row r="67" spans="2:7">
      <c r="B67" s="871">
        <v>46267</v>
      </c>
      <c r="C67" t="s">
        <v>2471</v>
      </c>
      <c r="D67" t="s">
        <v>528</v>
      </c>
      <c r="E67" t="s">
        <v>1375</v>
      </c>
      <c r="F67" s="381" t="s">
        <v>1500</v>
      </c>
      <c r="G67" t="s">
        <v>8128</v>
      </c>
    </row>
    <row r="68" spans="2:7">
      <c r="B68" s="871">
        <v>46267</v>
      </c>
      <c r="C68" t="s">
        <v>2471</v>
      </c>
      <c r="D68" t="s">
        <v>528</v>
      </c>
      <c r="E68" t="s">
        <v>1375</v>
      </c>
      <c r="F68" s="381" t="s">
        <v>1501</v>
      </c>
      <c r="G68" t="s">
        <v>8129</v>
      </c>
    </row>
    <row r="69" spans="2:7">
      <c r="B69" s="871">
        <v>46267</v>
      </c>
      <c r="C69" t="s">
        <v>2471</v>
      </c>
      <c r="D69" t="s">
        <v>528</v>
      </c>
      <c r="E69" t="s">
        <v>1454</v>
      </c>
      <c r="F69" s="381" t="s">
        <v>1502</v>
      </c>
      <c r="G69" t="s">
        <v>8130</v>
      </c>
    </row>
    <row r="70" spans="2:7">
      <c r="B70" s="871">
        <v>46267</v>
      </c>
      <c r="C70" t="s">
        <v>2471</v>
      </c>
      <c r="D70" t="s">
        <v>528</v>
      </c>
      <c r="E70" t="s">
        <v>1458</v>
      </c>
      <c r="F70" s="381" t="s">
        <v>1503</v>
      </c>
      <c r="G70" t="s">
        <v>8131</v>
      </c>
    </row>
    <row r="71" spans="2:7">
      <c r="B71" s="871">
        <v>46267</v>
      </c>
      <c r="C71" t="s">
        <v>2471</v>
      </c>
      <c r="D71" t="s">
        <v>528</v>
      </c>
      <c r="E71" t="s">
        <v>1458</v>
      </c>
      <c r="F71" s="381" t="s">
        <v>1504</v>
      </c>
      <c r="G71" t="s">
        <v>8132</v>
      </c>
    </row>
    <row r="72" spans="2:7">
      <c r="B72" s="871">
        <v>46267</v>
      </c>
      <c r="C72" t="s">
        <v>2471</v>
      </c>
      <c r="D72" t="s">
        <v>528</v>
      </c>
      <c r="E72" t="s">
        <v>1458</v>
      </c>
      <c r="F72" s="381" t="s">
        <v>1505</v>
      </c>
      <c r="G72" t="s">
        <v>8133</v>
      </c>
    </row>
    <row r="73" spans="2:7">
      <c r="B73" s="871">
        <v>46267</v>
      </c>
      <c r="C73" t="s">
        <v>2471</v>
      </c>
      <c r="D73" t="s">
        <v>528</v>
      </c>
      <c r="E73" t="s">
        <v>1458</v>
      </c>
      <c r="F73" s="381" t="s">
        <v>1506</v>
      </c>
      <c r="G73" t="s">
        <v>8134</v>
      </c>
    </row>
    <row r="74" spans="2:7">
      <c r="B74" s="871">
        <v>46267</v>
      </c>
      <c r="C74" t="s">
        <v>2471</v>
      </c>
      <c r="D74" t="s">
        <v>528</v>
      </c>
      <c r="E74" t="s">
        <v>1458</v>
      </c>
      <c r="F74" s="381" t="s">
        <v>1507</v>
      </c>
      <c r="G74" t="s">
        <v>8135</v>
      </c>
    </row>
    <row r="75" spans="2:7">
      <c r="B75" s="871">
        <v>46267</v>
      </c>
      <c r="C75" t="s">
        <v>2471</v>
      </c>
      <c r="D75" t="s">
        <v>528</v>
      </c>
      <c r="E75" t="s">
        <v>1474</v>
      </c>
      <c r="F75" s="381" t="s">
        <v>1508</v>
      </c>
      <c r="G75" t="s">
        <v>8136</v>
      </c>
    </row>
    <row r="76" spans="2:7">
      <c r="B76" s="871">
        <v>46267</v>
      </c>
      <c r="C76" t="s">
        <v>2471</v>
      </c>
      <c r="D76" t="s">
        <v>528</v>
      </c>
      <c r="E76" t="s">
        <v>1376</v>
      </c>
      <c r="F76" s="381" t="s">
        <v>1509</v>
      </c>
      <c r="G76" t="s">
        <v>8137</v>
      </c>
    </row>
    <row r="77" spans="2:7">
      <c r="B77" s="871">
        <v>46267</v>
      </c>
      <c r="C77" t="s">
        <v>2471</v>
      </c>
      <c r="D77" t="s">
        <v>528</v>
      </c>
      <c r="E77" t="s">
        <v>1376</v>
      </c>
      <c r="F77" s="381" t="s">
        <v>1510</v>
      </c>
      <c r="G77" t="s">
        <v>8138</v>
      </c>
    </row>
    <row r="78" spans="2:7">
      <c r="B78" s="871">
        <v>46267</v>
      </c>
      <c r="C78" t="s">
        <v>2471</v>
      </c>
      <c r="D78" t="s">
        <v>528</v>
      </c>
      <c r="E78" t="s">
        <v>1376</v>
      </c>
      <c r="F78" s="381" t="s">
        <v>1511</v>
      </c>
      <c r="G78" t="s">
        <v>8139</v>
      </c>
    </row>
    <row r="79" spans="2:7">
      <c r="B79" s="871">
        <v>46267</v>
      </c>
      <c r="C79" t="s">
        <v>2471</v>
      </c>
      <c r="D79" t="s">
        <v>528</v>
      </c>
      <c r="E79" t="s">
        <v>1376</v>
      </c>
      <c r="F79" s="381" t="s">
        <v>1512</v>
      </c>
      <c r="G79" t="s">
        <v>8140</v>
      </c>
    </row>
    <row r="80" spans="2:7">
      <c r="B80" s="871">
        <v>46267</v>
      </c>
      <c r="C80" t="s">
        <v>2471</v>
      </c>
      <c r="D80" t="s">
        <v>528</v>
      </c>
      <c r="E80" t="s">
        <v>1376</v>
      </c>
      <c r="F80" s="381" t="s">
        <v>1513</v>
      </c>
      <c r="G80" t="s">
        <v>8141</v>
      </c>
    </row>
    <row r="81" spans="2:7">
      <c r="B81" s="871">
        <v>46267</v>
      </c>
      <c r="C81" t="s">
        <v>2471</v>
      </c>
      <c r="D81" t="s">
        <v>528</v>
      </c>
      <c r="E81" t="s">
        <v>1376</v>
      </c>
      <c r="F81" s="381" t="s">
        <v>1514</v>
      </c>
      <c r="G81" t="s">
        <v>8142</v>
      </c>
    </row>
    <row r="82" spans="2:7">
      <c r="B82" s="871">
        <v>46267</v>
      </c>
      <c r="C82" t="s">
        <v>2471</v>
      </c>
      <c r="D82" t="s">
        <v>528</v>
      </c>
      <c r="E82" t="s">
        <v>1410</v>
      </c>
      <c r="F82" s="381" t="s">
        <v>1433</v>
      </c>
      <c r="G82" t="s">
        <v>8143</v>
      </c>
    </row>
    <row r="83" spans="2:7">
      <c r="B83" s="871">
        <v>46267</v>
      </c>
      <c r="C83" t="s">
        <v>2471</v>
      </c>
      <c r="D83" t="s">
        <v>528</v>
      </c>
      <c r="E83" t="s">
        <v>1410</v>
      </c>
      <c r="F83" s="381" t="s">
        <v>1515</v>
      </c>
      <c r="G83" t="s">
        <v>8144</v>
      </c>
    </row>
    <row r="84" spans="2:7">
      <c r="B84" s="871">
        <v>46267</v>
      </c>
      <c r="C84" t="s">
        <v>2471</v>
      </c>
      <c r="D84" t="s">
        <v>528</v>
      </c>
      <c r="E84" t="s">
        <v>1410</v>
      </c>
      <c r="F84" s="381" t="s">
        <v>1516</v>
      </c>
      <c r="G84" t="s">
        <v>8145</v>
      </c>
    </row>
    <row r="85" spans="2:7">
      <c r="B85" s="871">
        <v>46267</v>
      </c>
      <c r="C85" t="s">
        <v>2471</v>
      </c>
      <c r="D85" t="s">
        <v>528</v>
      </c>
      <c r="E85" t="s">
        <v>1410</v>
      </c>
      <c r="F85" s="381" t="s">
        <v>1517</v>
      </c>
      <c r="G85" t="s">
        <v>8146</v>
      </c>
    </row>
    <row r="86" spans="2:7">
      <c r="B86" s="871">
        <v>46267</v>
      </c>
      <c r="C86" t="s">
        <v>2471</v>
      </c>
      <c r="D86" t="s">
        <v>528</v>
      </c>
      <c r="E86" t="s">
        <v>1410</v>
      </c>
      <c r="F86" s="381" t="s">
        <v>1518</v>
      </c>
      <c r="G86" t="s">
        <v>8147</v>
      </c>
    </row>
    <row r="87" spans="2:7">
      <c r="B87" s="871">
        <v>46267</v>
      </c>
      <c r="C87" t="s">
        <v>2471</v>
      </c>
      <c r="D87" t="s">
        <v>528</v>
      </c>
      <c r="E87" t="s">
        <v>1410</v>
      </c>
      <c r="F87" s="381" t="s">
        <v>1519</v>
      </c>
      <c r="G87" t="s">
        <v>8148</v>
      </c>
    </row>
    <row r="88" spans="2:7">
      <c r="B88" s="871">
        <v>46267</v>
      </c>
      <c r="C88" t="s">
        <v>2471</v>
      </c>
      <c r="D88" t="s">
        <v>528</v>
      </c>
      <c r="E88" t="s">
        <v>1410</v>
      </c>
      <c r="F88" s="381" t="s">
        <v>1520</v>
      </c>
      <c r="G88" t="s">
        <v>8149</v>
      </c>
    </row>
    <row r="89" spans="2:7">
      <c r="B89" s="871">
        <v>46267</v>
      </c>
      <c r="C89" t="s">
        <v>2471</v>
      </c>
      <c r="D89" t="s">
        <v>528</v>
      </c>
      <c r="E89" t="s">
        <v>1410</v>
      </c>
      <c r="F89" s="381" t="s">
        <v>1521</v>
      </c>
      <c r="G89" t="s">
        <v>8150</v>
      </c>
    </row>
    <row r="90" spans="2:7">
      <c r="B90" s="871">
        <v>46267</v>
      </c>
      <c r="C90" t="s">
        <v>2471</v>
      </c>
      <c r="D90" t="s">
        <v>528</v>
      </c>
      <c r="E90" t="s">
        <v>1393</v>
      </c>
      <c r="F90" s="381" t="s">
        <v>1522</v>
      </c>
      <c r="G90" t="s">
        <v>8151</v>
      </c>
    </row>
    <row r="91" spans="2:7">
      <c r="B91" s="871">
        <v>46267</v>
      </c>
      <c r="C91" t="s">
        <v>2471</v>
      </c>
      <c r="D91" t="s">
        <v>528</v>
      </c>
      <c r="E91" t="s">
        <v>1393</v>
      </c>
      <c r="F91" s="381" t="s">
        <v>1523</v>
      </c>
      <c r="G91" t="s">
        <v>8152</v>
      </c>
    </row>
    <row r="92" spans="2:7">
      <c r="B92" s="871">
        <v>46267</v>
      </c>
      <c r="C92" t="s">
        <v>2471</v>
      </c>
      <c r="D92" t="s">
        <v>528</v>
      </c>
      <c r="E92" t="s">
        <v>1393</v>
      </c>
      <c r="F92" s="381" t="s">
        <v>1524</v>
      </c>
      <c r="G92" t="s">
        <v>8153</v>
      </c>
    </row>
    <row r="93" spans="2:7">
      <c r="B93" s="871">
        <v>46267</v>
      </c>
      <c r="C93" t="s">
        <v>2471</v>
      </c>
      <c r="D93" t="s">
        <v>528</v>
      </c>
      <c r="E93" t="s">
        <v>1393</v>
      </c>
      <c r="F93" s="381" t="s">
        <v>1525</v>
      </c>
      <c r="G93" t="s">
        <v>8154</v>
      </c>
    </row>
    <row r="94" spans="2:7">
      <c r="B94" s="871">
        <v>46267</v>
      </c>
      <c r="C94" t="s">
        <v>2471</v>
      </c>
      <c r="D94" t="s">
        <v>528</v>
      </c>
      <c r="E94" t="s">
        <v>1393</v>
      </c>
      <c r="F94" s="381" t="s">
        <v>1526</v>
      </c>
      <c r="G94" t="s">
        <v>8155</v>
      </c>
    </row>
    <row r="95" spans="2:7">
      <c r="B95" s="871">
        <v>46267</v>
      </c>
      <c r="C95" t="s">
        <v>2471</v>
      </c>
      <c r="D95" t="s">
        <v>528</v>
      </c>
      <c r="E95" t="s">
        <v>1393</v>
      </c>
      <c r="F95" s="381" t="s">
        <v>1527</v>
      </c>
      <c r="G95" t="s">
        <v>8156</v>
      </c>
    </row>
    <row r="96" spans="2:7">
      <c r="B96" s="871">
        <v>46267</v>
      </c>
      <c r="C96" t="s">
        <v>2471</v>
      </c>
      <c r="D96" t="s">
        <v>528</v>
      </c>
      <c r="E96" t="s">
        <v>1393</v>
      </c>
      <c r="F96" s="381" t="s">
        <v>1528</v>
      </c>
      <c r="G96" t="s">
        <v>8157</v>
      </c>
    </row>
    <row r="97" spans="2:7">
      <c r="B97" s="871">
        <v>46267</v>
      </c>
      <c r="C97" t="s">
        <v>2471</v>
      </c>
      <c r="D97" t="s">
        <v>528</v>
      </c>
      <c r="E97" t="s">
        <v>1393</v>
      </c>
      <c r="F97" s="381" t="s">
        <v>1529</v>
      </c>
      <c r="G97" t="s">
        <v>8158</v>
      </c>
    </row>
    <row r="98" spans="2:7">
      <c r="B98" s="871">
        <v>46267</v>
      </c>
      <c r="C98" t="s">
        <v>2471</v>
      </c>
      <c r="D98" t="s">
        <v>528</v>
      </c>
      <c r="E98" t="s">
        <v>1434</v>
      </c>
      <c r="F98" s="381" t="s">
        <v>1437</v>
      </c>
      <c r="G98" t="s">
        <v>8159</v>
      </c>
    </row>
    <row r="99" spans="2:7">
      <c r="B99" s="871">
        <v>46267</v>
      </c>
      <c r="C99" t="s">
        <v>2471</v>
      </c>
      <c r="D99" t="s">
        <v>528</v>
      </c>
      <c r="E99" t="s">
        <v>1434</v>
      </c>
      <c r="F99" s="381" t="s">
        <v>10041</v>
      </c>
      <c r="G99" t="s">
        <v>8160</v>
      </c>
    </row>
    <row r="100" spans="2:7">
      <c r="B100" s="871">
        <v>46267</v>
      </c>
      <c r="C100" t="s">
        <v>2471</v>
      </c>
      <c r="D100" t="s">
        <v>528</v>
      </c>
      <c r="E100" t="s">
        <v>1434</v>
      </c>
      <c r="F100" s="381" t="s">
        <v>10042</v>
      </c>
      <c r="G100" t="s">
        <v>8161</v>
      </c>
    </row>
    <row r="101" spans="2:7">
      <c r="B101" s="871">
        <v>46267</v>
      </c>
      <c r="C101" t="s">
        <v>2471</v>
      </c>
      <c r="D101" t="s">
        <v>528</v>
      </c>
      <c r="E101" t="s">
        <v>1434</v>
      </c>
      <c r="F101" s="381" t="s">
        <v>10043</v>
      </c>
      <c r="G101" t="s">
        <v>8162</v>
      </c>
    </row>
    <row r="102" spans="2:7">
      <c r="B102" s="871">
        <v>46267</v>
      </c>
      <c r="C102" t="s">
        <v>2471</v>
      </c>
      <c r="D102" t="s">
        <v>528</v>
      </c>
      <c r="E102" t="s">
        <v>1434</v>
      </c>
      <c r="F102" s="381" t="s">
        <v>10044</v>
      </c>
      <c r="G102" t="s">
        <v>8163</v>
      </c>
    </row>
    <row r="103" spans="2:7">
      <c r="B103" s="871">
        <v>46267</v>
      </c>
      <c r="C103" t="s">
        <v>2471</v>
      </c>
      <c r="D103" t="s">
        <v>528</v>
      </c>
      <c r="E103" t="s">
        <v>1434</v>
      </c>
      <c r="F103" s="381" t="s">
        <v>10045</v>
      </c>
      <c r="G103" t="s">
        <v>8164</v>
      </c>
    </row>
    <row r="104" spans="2:7" ht="75">
      <c r="B104" s="871">
        <v>46268</v>
      </c>
      <c r="C104" t="s">
        <v>2472</v>
      </c>
      <c r="D104" t="s">
        <v>526</v>
      </c>
      <c r="E104" t="s">
        <v>1375</v>
      </c>
      <c r="F104" s="381" t="s">
        <v>1539</v>
      </c>
      <c r="G104" t="s">
        <v>8165</v>
      </c>
    </row>
    <row r="105" spans="2:7">
      <c r="B105" s="871">
        <v>46268</v>
      </c>
      <c r="C105" t="s">
        <v>2472</v>
      </c>
      <c r="D105" t="s">
        <v>526</v>
      </c>
      <c r="E105" t="s">
        <v>1454</v>
      </c>
      <c r="F105" s="381" t="s">
        <v>1455</v>
      </c>
      <c r="G105" t="s">
        <v>8166</v>
      </c>
    </row>
    <row r="106" spans="2:7">
      <c r="B106" s="871">
        <v>46268</v>
      </c>
      <c r="C106" t="s">
        <v>2472</v>
      </c>
      <c r="D106" t="s">
        <v>526</v>
      </c>
      <c r="E106" t="s">
        <v>1454</v>
      </c>
      <c r="F106" s="381" t="s">
        <v>1456</v>
      </c>
      <c r="G106" t="s">
        <v>8167</v>
      </c>
    </row>
    <row r="107" spans="2:7" ht="30">
      <c r="B107" s="871">
        <v>46268</v>
      </c>
      <c r="C107" t="s">
        <v>2472</v>
      </c>
      <c r="D107" t="s">
        <v>526</v>
      </c>
      <c r="E107" t="s">
        <v>1454</v>
      </c>
      <c r="F107" s="381" t="s">
        <v>1457</v>
      </c>
      <c r="G107" t="s">
        <v>8168</v>
      </c>
    </row>
    <row r="108" spans="2:7">
      <c r="B108" s="871">
        <v>46268</v>
      </c>
      <c r="C108" t="s">
        <v>2472</v>
      </c>
      <c r="D108" t="s">
        <v>526</v>
      </c>
      <c r="E108" t="s">
        <v>1458</v>
      </c>
      <c r="F108" s="381" t="s">
        <v>1459</v>
      </c>
      <c r="G108" t="s">
        <v>8169</v>
      </c>
    </row>
    <row r="109" spans="2:7">
      <c r="B109" s="871">
        <v>46268</v>
      </c>
      <c r="C109" t="s">
        <v>2472</v>
      </c>
      <c r="D109" t="s">
        <v>526</v>
      </c>
      <c r="E109" t="s">
        <v>1458</v>
      </c>
      <c r="F109" s="381" t="s">
        <v>1460</v>
      </c>
      <c r="G109" t="s">
        <v>8170</v>
      </c>
    </row>
    <row r="110" spans="2:7" ht="30">
      <c r="B110" s="871">
        <v>46268</v>
      </c>
      <c r="C110" t="s">
        <v>2472</v>
      </c>
      <c r="D110" t="s">
        <v>526</v>
      </c>
      <c r="E110" t="s">
        <v>1458</v>
      </c>
      <c r="F110" s="381" t="s">
        <v>1461</v>
      </c>
      <c r="G110" t="s">
        <v>8171</v>
      </c>
    </row>
    <row r="111" spans="2:7" ht="165">
      <c r="B111" s="871">
        <v>46268</v>
      </c>
      <c r="C111" t="s">
        <v>2472</v>
      </c>
      <c r="D111" t="s">
        <v>526</v>
      </c>
      <c r="E111" t="s">
        <v>1376</v>
      </c>
      <c r="F111" s="381" t="s">
        <v>1540</v>
      </c>
      <c r="G111" t="s">
        <v>8172</v>
      </c>
    </row>
    <row r="112" spans="2:7" ht="120">
      <c r="B112" s="871">
        <v>46268</v>
      </c>
      <c r="C112" t="s">
        <v>2472</v>
      </c>
      <c r="D112" t="s">
        <v>526</v>
      </c>
      <c r="E112" t="s">
        <v>1393</v>
      </c>
      <c r="F112" s="381" t="s">
        <v>1541</v>
      </c>
      <c r="G112" t="s">
        <v>8173</v>
      </c>
    </row>
    <row r="113" spans="2:7">
      <c r="B113" s="871">
        <v>46268</v>
      </c>
      <c r="C113" t="s">
        <v>2472</v>
      </c>
      <c r="D113" t="s">
        <v>526</v>
      </c>
      <c r="E113" t="s">
        <v>1465</v>
      </c>
      <c r="F113" s="381" t="s">
        <v>1495</v>
      </c>
      <c r="G113" t="s">
        <v>8174</v>
      </c>
    </row>
    <row r="114" spans="2:7" ht="210">
      <c r="B114" s="871">
        <v>46268</v>
      </c>
      <c r="C114" t="s">
        <v>2472</v>
      </c>
      <c r="D114" t="s">
        <v>526</v>
      </c>
      <c r="E114" t="s">
        <v>1410</v>
      </c>
      <c r="F114" s="381" t="s">
        <v>1542</v>
      </c>
      <c r="G114" t="s">
        <v>8175</v>
      </c>
    </row>
    <row r="115" spans="2:7">
      <c r="B115" s="871">
        <v>46268</v>
      </c>
      <c r="C115" t="s">
        <v>2472</v>
      </c>
      <c r="D115" t="s">
        <v>526</v>
      </c>
      <c r="E115" t="s">
        <v>1434</v>
      </c>
      <c r="F115" s="381" t="s">
        <v>1468</v>
      </c>
      <c r="G115" t="s">
        <v>8176</v>
      </c>
    </row>
    <row r="116" spans="2:7">
      <c r="B116" s="871">
        <v>46268</v>
      </c>
      <c r="C116" t="s">
        <v>2472</v>
      </c>
      <c r="D116" t="s">
        <v>526</v>
      </c>
      <c r="E116" t="s">
        <v>1434</v>
      </c>
      <c r="F116" s="381" t="s">
        <v>10035</v>
      </c>
      <c r="G116" t="s">
        <v>8177</v>
      </c>
    </row>
    <row r="117" spans="2:7">
      <c r="B117" s="871">
        <v>46268</v>
      </c>
      <c r="C117" t="s">
        <v>2472</v>
      </c>
      <c r="D117" t="s">
        <v>526</v>
      </c>
      <c r="E117" t="s">
        <v>1434</v>
      </c>
      <c r="F117" s="381" t="s">
        <v>10036</v>
      </c>
      <c r="G117" t="s">
        <v>8178</v>
      </c>
    </row>
    <row r="118" spans="2:7">
      <c r="B118" s="871">
        <v>46268</v>
      </c>
      <c r="C118" t="s">
        <v>2472</v>
      </c>
      <c r="D118" t="s">
        <v>526</v>
      </c>
      <c r="E118" t="s">
        <v>1434</v>
      </c>
      <c r="F118" s="381" t="s">
        <v>10037</v>
      </c>
      <c r="G118" t="s">
        <v>8179</v>
      </c>
    </row>
    <row r="119" spans="2:7">
      <c r="B119" s="871">
        <v>46268</v>
      </c>
      <c r="C119" t="s">
        <v>2472</v>
      </c>
      <c r="D119" t="s">
        <v>526</v>
      </c>
      <c r="E119" t="s">
        <v>1434</v>
      </c>
      <c r="F119" s="381" t="s">
        <v>10038</v>
      </c>
      <c r="G119" t="s">
        <v>8180</v>
      </c>
    </row>
    <row r="120" spans="2:7">
      <c r="B120" s="871">
        <v>46268</v>
      </c>
      <c r="C120" t="s">
        <v>2472</v>
      </c>
      <c r="D120" t="s">
        <v>526</v>
      </c>
      <c r="E120" t="s">
        <v>1434</v>
      </c>
      <c r="F120" s="381" t="s">
        <v>10039</v>
      </c>
      <c r="G120" t="s">
        <v>8181</v>
      </c>
    </row>
    <row r="121" spans="2:7">
      <c r="B121" s="871">
        <v>46268</v>
      </c>
      <c r="C121" t="s">
        <v>2472</v>
      </c>
      <c r="D121" t="s">
        <v>526</v>
      </c>
      <c r="E121" t="s">
        <v>1434</v>
      </c>
      <c r="F121" s="381" t="s">
        <v>10040</v>
      </c>
      <c r="G121" t="s">
        <v>8182</v>
      </c>
    </row>
    <row r="122" spans="2:7" ht="165">
      <c r="B122" s="871">
        <v>46268</v>
      </c>
      <c r="C122" t="s">
        <v>2472</v>
      </c>
      <c r="D122" t="s">
        <v>527</v>
      </c>
      <c r="E122" t="s">
        <v>1375</v>
      </c>
      <c r="F122" s="381" t="s">
        <v>1543</v>
      </c>
      <c r="G122" t="s">
        <v>8183</v>
      </c>
    </row>
    <row r="123" spans="2:7" ht="120">
      <c r="B123" s="871">
        <v>46268</v>
      </c>
      <c r="C123" t="s">
        <v>2472</v>
      </c>
      <c r="D123" t="s">
        <v>527</v>
      </c>
      <c r="E123" t="s">
        <v>1454</v>
      </c>
      <c r="F123" s="381" t="s">
        <v>1544</v>
      </c>
      <c r="G123" t="s">
        <v>8184</v>
      </c>
    </row>
    <row r="124" spans="2:7" ht="90">
      <c r="B124" s="871">
        <v>46268</v>
      </c>
      <c r="C124" t="s">
        <v>2472</v>
      </c>
      <c r="D124" t="s">
        <v>527</v>
      </c>
      <c r="E124" t="s">
        <v>1472</v>
      </c>
      <c r="F124" s="381" t="s">
        <v>1545</v>
      </c>
      <c r="G124" t="s">
        <v>8185</v>
      </c>
    </row>
    <row r="125" spans="2:7" ht="45">
      <c r="B125" s="871">
        <v>46268</v>
      </c>
      <c r="C125" t="s">
        <v>2472</v>
      </c>
      <c r="D125" t="s">
        <v>527</v>
      </c>
      <c r="E125" t="s">
        <v>1474</v>
      </c>
      <c r="F125" s="381" t="s">
        <v>1546</v>
      </c>
      <c r="G125" t="s">
        <v>8186</v>
      </c>
    </row>
    <row r="126" spans="2:7" ht="75">
      <c r="B126" s="871">
        <v>46268</v>
      </c>
      <c r="C126" t="s">
        <v>2472</v>
      </c>
      <c r="D126" t="s">
        <v>527</v>
      </c>
      <c r="E126" t="s">
        <v>1474</v>
      </c>
      <c r="F126" s="381" t="s">
        <v>1547</v>
      </c>
      <c r="G126" t="s">
        <v>8187</v>
      </c>
    </row>
    <row r="127" spans="2:7" ht="165">
      <c r="B127" s="871">
        <v>46268</v>
      </c>
      <c r="C127" t="s">
        <v>2472</v>
      </c>
      <c r="D127" t="s">
        <v>527</v>
      </c>
      <c r="E127" t="s">
        <v>1393</v>
      </c>
      <c r="F127" s="381" t="s">
        <v>1548</v>
      </c>
      <c r="G127" t="s">
        <v>8188</v>
      </c>
    </row>
    <row r="128" spans="2:7" ht="315">
      <c r="B128" s="871">
        <v>46268</v>
      </c>
      <c r="C128" t="s">
        <v>2472</v>
      </c>
      <c r="D128" t="s">
        <v>527</v>
      </c>
      <c r="E128" t="s">
        <v>1410</v>
      </c>
      <c r="F128" s="381" t="s">
        <v>1549</v>
      </c>
      <c r="G128" t="s">
        <v>8189</v>
      </c>
    </row>
    <row r="129" spans="2:7" ht="409.5">
      <c r="B129" s="871">
        <v>46268</v>
      </c>
      <c r="C129" t="s">
        <v>2472</v>
      </c>
      <c r="D129" t="s">
        <v>527</v>
      </c>
      <c r="E129" t="s">
        <v>1434</v>
      </c>
      <c r="F129" s="381" t="s">
        <v>1550</v>
      </c>
      <c r="G129" t="s">
        <v>8190</v>
      </c>
    </row>
    <row r="130" spans="2:7">
      <c r="B130" s="871">
        <v>46268</v>
      </c>
      <c r="C130" t="s">
        <v>2472</v>
      </c>
      <c r="D130" t="s">
        <v>528</v>
      </c>
      <c r="E130" t="s">
        <v>1375</v>
      </c>
      <c r="F130" s="381" t="s">
        <v>1551</v>
      </c>
      <c r="G130" t="s">
        <v>8191</v>
      </c>
    </row>
    <row r="131" spans="2:7">
      <c r="B131" s="871">
        <v>46268</v>
      </c>
      <c r="C131" t="s">
        <v>2472</v>
      </c>
      <c r="D131" t="s">
        <v>528</v>
      </c>
      <c r="E131" t="s">
        <v>1375</v>
      </c>
      <c r="F131" s="381" t="s">
        <v>1552</v>
      </c>
      <c r="G131" t="s">
        <v>8192</v>
      </c>
    </row>
    <row r="132" spans="2:7">
      <c r="B132" s="871">
        <v>46268</v>
      </c>
      <c r="C132" t="s">
        <v>2472</v>
      </c>
      <c r="D132" t="s">
        <v>528</v>
      </c>
      <c r="E132" t="s">
        <v>1375</v>
      </c>
      <c r="F132" s="381" t="s">
        <v>1499</v>
      </c>
      <c r="G132" t="s">
        <v>8193</v>
      </c>
    </row>
    <row r="133" spans="2:7">
      <c r="B133" s="871">
        <v>46268</v>
      </c>
      <c r="C133" t="s">
        <v>2472</v>
      </c>
      <c r="D133" t="s">
        <v>528</v>
      </c>
      <c r="E133" t="s">
        <v>1375</v>
      </c>
      <c r="F133" s="381" t="s">
        <v>1553</v>
      </c>
      <c r="G133" t="s">
        <v>8194</v>
      </c>
    </row>
    <row r="134" spans="2:7">
      <c r="B134" s="871">
        <v>46268</v>
      </c>
      <c r="C134" t="s">
        <v>2472</v>
      </c>
      <c r="D134" t="s">
        <v>528</v>
      </c>
      <c r="E134" t="s">
        <v>1375</v>
      </c>
      <c r="F134" s="381" t="s">
        <v>1554</v>
      </c>
      <c r="G134" t="s">
        <v>8195</v>
      </c>
    </row>
    <row r="135" spans="2:7">
      <c r="B135" s="871">
        <v>46268</v>
      </c>
      <c r="C135" t="s">
        <v>2472</v>
      </c>
      <c r="D135" t="s">
        <v>528</v>
      </c>
      <c r="E135" t="s">
        <v>1454</v>
      </c>
      <c r="F135" s="381" t="s">
        <v>1555</v>
      </c>
      <c r="G135" t="s">
        <v>8196</v>
      </c>
    </row>
    <row r="136" spans="2:7" ht="30">
      <c r="B136" s="871">
        <v>46268</v>
      </c>
      <c r="C136" t="s">
        <v>2472</v>
      </c>
      <c r="D136" t="s">
        <v>528</v>
      </c>
      <c r="E136" t="s">
        <v>1454</v>
      </c>
      <c r="F136" s="381" t="s">
        <v>1556</v>
      </c>
      <c r="G136" t="s">
        <v>8197</v>
      </c>
    </row>
    <row r="137" spans="2:7">
      <c r="B137" s="871">
        <v>46268</v>
      </c>
      <c r="C137" t="s">
        <v>2472</v>
      </c>
      <c r="D137" t="s">
        <v>528</v>
      </c>
      <c r="E137" t="s">
        <v>1458</v>
      </c>
      <c r="F137" s="381" t="s">
        <v>1557</v>
      </c>
      <c r="G137" t="s">
        <v>8198</v>
      </c>
    </row>
    <row r="138" spans="2:7">
      <c r="B138" s="871">
        <v>46268</v>
      </c>
      <c r="C138" t="s">
        <v>2472</v>
      </c>
      <c r="D138" t="s">
        <v>528</v>
      </c>
      <c r="E138" t="s">
        <v>1458</v>
      </c>
      <c r="F138" s="381" t="s">
        <v>1558</v>
      </c>
      <c r="G138" t="s">
        <v>8199</v>
      </c>
    </row>
    <row r="139" spans="2:7">
      <c r="B139" s="871">
        <v>46268</v>
      </c>
      <c r="C139" t="s">
        <v>2472</v>
      </c>
      <c r="D139" t="s">
        <v>528</v>
      </c>
      <c r="E139" t="s">
        <v>1376</v>
      </c>
      <c r="F139" s="381" t="s">
        <v>1559</v>
      </c>
      <c r="G139" t="s">
        <v>8200</v>
      </c>
    </row>
    <row r="140" spans="2:7">
      <c r="B140" s="871">
        <v>46268</v>
      </c>
      <c r="C140" t="s">
        <v>2472</v>
      </c>
      <c r="D140" t="s">
        <v>528</v>
      </c>
      <c r="E140" t="s">
        <v>1376</v>
      </c>
      <c r="F140" s="381" t="s">
        <v>1560</v>
      </c>
      <c r="G140" t="s">
        <v>8201</v>
      </c>
    </row>
    <row r="141" spans="2:7">
      <c r="B141" s="871">
        <v>46268</v>
      </c>
      <c r="C141" t="s">
        <v>2472</v>
      </c>
      <c r="D141" t="s">
        <v>528</v>
      </c>
      <c r="E141" t="s">
        <v>1376</v>
      </c>
      <c r="F141" s="381" t="s">
        <v>1561</v>
      </c>
      <c r="G141" t="s">
        <v>8202</v>
      </c>
    </row>
    <row r="142" spans="2:7">
      <c r="B142" s="871">
        <v>46268</v>
      </c>
      <c r="C142" t="s">
        <v>2472</v>
      </c>
      <c r="D142" t="s">
        <v>528</v>
      </c>
      <c r="E142" t="s">
        <v>1376</v>
      </c>
      <c r="F142" s="381" t="s">
        <v>1562</v>
      </c>
      <c r="G142" t="s">
        <v>8203</v>
      </c>
    </row>
    <row r="143" spans="2:7">
      <c r="B143" s="871">
        <v>46268</v>
      </c>
      <c r="C143" t="s">
        <v>2472</v>
      </c>
      <c r="D143" t="s">
        <v>528</v>
      </c>
      <c r="E143" t="s">
        <v>1376</v>
      </c>
      <c r="F143" s="381" t="s">
        <v>1563</v>
      </c>
      <c r="G143" t="s">
        <v>8204</v>
      </c>
    </row>
    <row r="144" spans="2:7">
      <c r="B144" s="871">
        <v>46268</v>
      </c>
      <c r="C144" t="s">
        <v>2472</v>
      </c>
      <c r="D144" t="s">
        <v>528</v>
      </c>
      <c r="E144" t="s">
        <v>1376</v>
      </c>
      <c r="F144" s="381" t="s">
        <v>1564</v>
      </c>
      <c r="G144" t="s">
        <v>8205</v>
      </c>
    </row>
    <row r="145" spans="2:7">
      <c r="B145" s="871">
        <v>46268</v>
      </c>
      <c r="C145" t="s">
        <v>2472</v>
      </c>
      <c r="D145" t="s">
        <v>528</v>
      </c>
      <c r="E145" t="s">
        <v>1410</v>
      </c>
      <c r="F145" s="381" t="s">
        <v>1433</v>
      </c>
      <c r="G145" t="s">
        <v>8206</v>
      </c>
    </row>
    <row r="146" spans="2:7">
      <c r="B146" s="871">
        <v>46268</v>
      </c>
      <c r="C146" t="s">
        <v>2472</v>
      </c>
      <c r="D146" t="s">
        <v>528</v>
      </c>
      <c r="E146" t="s">
        <v>1410</v>
      </c>
      <c r="F146" s="381" t="s">
        <v>1565</v>
      </c>
      <c r="G146" t="s">
        <v>8207</v>
      </c>
    </row>
    <row r="147" spans="2:7">
      <c r="B147" s="871">
        <v>46268</v>
      </c>
      <c r="C147" t="s">
        <v>2472</v>
      </c>
      <c r="D147" t="s">
        <v>528</v>
      </c>
      <c r="E147" t="s">
        <v>1410</v>
      </c>
      <c r="F147" s="381" t="s">
        <v>1566</v>
      </c>
      <c r="G147" t="s">
        <v>8208</v>
      </c>
    </row>
    <row r="148" spans="2:7">
      <c r="B148" s="871">
        <v>46268</v>
      </c>
      <c r="C148" t="s">
        <v>2472</v>
      </c>
      <c r="D148" t="s">
        <v>528</v>
      </c>
      <c r="E148" t="s">
        <v>1410</v>
      </c>
      <c r="F148" s="381" t="s">
        <v>1567</v>
      </c>
      <c r="G148" t="s">
        <v>8209</v>
      </c>
    </row>
    <row r="149" spans="2:7">
      <c r="B149" s="871">
        <v>46268</v>
      </c>
      <c r="C149" t="s">
        <v>2472</v>
      </c>
      <c r="D149" t="s">
        <v>528</v>
      </c>
      <c r="E149" t="s">
        <v>1410</v>
      </c>
      <c r="F149" s="381" t="s">
        <v>1568</v>
      </c>
      <c r="G149" t="s">
        <v>8210</v>
      </c>
    </row>
    <row r="150" spans="2:7">
      <c r="B150" s="871">
        <v>46268</v>
      </c>
      <c r="C150" t="s">
        <v>2472</v>
      </c>
      <c r="D150" t="s">
        <v>528</v>
      </c>
      <c r="E150" t="s">
        <v>1410</v>
      </c>
      <c r="F150" s="381" t="s">
        <v>1569</v>
      </c>
      <c r="G150" t="s">
        <v>8211</v>
      </c>
    </row>
    <row r="151" spans="2:7">
      <c r="B151" s="871">
        <v>46268</v>
      </c>
      <c r="C151" t="s">
        <v>2472</v>
      </c>
      <c r="D151" t="s">
        <v>528</v>
      </c>
      <c r="E151" t="s">
        <v>1410</v>
      </c>
      <c r="F151" s="381" t="s">
        <v>1521</v>
      </c>
      <c r="G151" t="s">
        <v>8212</v>
      </c>
    </row>
    <row r="152" spans="2:7">
      <c r="B152" s="871">
        <v>46268</v>
      </c>
      <c r="C152" t="s">
        <v>2472</v>
      </c>
      <c r="D152" t="s">
        <v>528</v>
      </c>
      <c r="E152" t="s">
        <v>1410</v>
      </c>
      <c r="F152" s="381" t="s">
        <v>1570</v>
      </c>
      <c r="G152" t="s">
        <v>8213</v>
      </c>
    </row>
    <row r="153" spans="2:7">
      <c r="B153" s="871">
        <v>46268</v>
      </c>
      <c r="C153" t="s">
        <v>2472</v>
      </c>
      <c r="D153" t="s">
        <v>528</v>
      </c>
      <c r="E153" t="s">
        <v>1393</v>
      </c>
      <c r="F153" s="381" t="s">
        <v>1571</v>
      </c>
      <c r="G153" t="s">
        <v>8214</v>
      </c>
    </row>
    <row r="154" spans="2:7">
      <c r="B154" s="871">
        <v>46268</v>
      </c>
      <c r="C154" t="s">
        <v>2472</v>
      </c>
      <c r="D154" t="s">
        <v>528</v>
      </c>
      <c r="E154" t="s">
        <v>1393</v>
      </c>
      <c r="F154" s="381" t="s">
        <v>1572</v>
      </c>
      <c r="G154" t="s">
        <v>8215</v>
      </c>
    </row>
    <row r="155" spans="2:7">
      <c r="B155" s="871">
        <v>46268</v>
      </c>
      <c r="C155" t="s">
        <v>2472</v>
      </c>
      <c r="D155" t="s">
        <v>528</v>
      </c>
      <c r="E155" t="s">
        <v>1393</v>
      </c>
      <c r="F155" s="381" t="s">
        <v>1524</v>
      </c>
      <c r="G155" t="s">
        <v>8216</v>
      </c>
    </row>
    <row r="156" spans="2:7">
      <c r="B156" s="871">
        <v>46268</v>
      </c>
      <c r="C156" t="s">
        <v>2472</v>
      </c>
      <c r="D156" t="s">
        <v>528</v>
      </c>
      <c r="E156" t="s">
        <v>1393</v>
      </c>
      <c r="F156" s="381" t="s">
        <v>1573</v>
      </c>
      <c r="G156" t="s">
        <v>8217</v>
      </c>
    </row>
    <row r="157" spans="2:7">
      <c r="B157" s="871">
        <v>46268</v>
      </c>
      <c r="C157" t="s">
        <v>2472</v>
      </c>
      <c r="D157" t="s">
        <v>528</v>
      </c>
      <c r="E157" t="s">
        <v>1393</v>
      </c>
      <c r="F157" s="381" t="s">
        <v>1574</v>
      </c>
      <c r="G157" t="s">
        <v>8218</v>
      </c>
    </row>
    <row r="158" spans="2:7">
      <c r="B158" s="871">
        <v>46268</v>
      </c>
      <c r="C158" t="s">
        <v>2472</v>
      </c>
      <c r="D158" t="s">
        <v>528</v>
      </c>
      <c r="E158" t="s">
        <v>1393</v>
      </c>
      <c r="F158" s="381" t="s">
        <v>1575</v>
      </c>
      <c r="G158" t="s">
        <v>8219</v>
      </c>
    </row>
    <row r="159" spans="2:7">
      <c r="B159" s="871">
        <v>46268</v>
      </c>
      <c r="C159" t="s">
        <v>2472</v>
      </c>
      <c r="D159" t="s">
        <v>528</v>
      </c>
      <c r="E159" t="s">
        <v>1393</v>
      </c>
      <c r="F159" s="381" t="s">
        <v>1576</v>
      </c>
      <c r="G159" t="s">
        <v>8220</v>
      </c>
    </row>
    <row r="160" spans="2:7">
      <c r="B160" s="871">
        <v>46268</v>
      </c>
      <c r="C160" t="s">
        <v>2472</v>
      </c>
      <c r="D160" t="s">
        <v>528</v>
      </c>
      <c r="E160" t="s">
        <v>1393</v>
      </c>
      <c r="F160" s="381" t="s">
        <v>1577</v>
      </c>
      <c r="G160" t="s">
        <v>8221</v>
      </c>
    </row>
    <row r="161" spans="2:7">
      <c r="B161" s="871">
        <v>46268</v>
      </c>
      <c r="C161" t="s">
        <v>2472</v>
      </c>
      <c r="D161" t="s">
        <v>528</v>
      </c>
      <c r="E161" t="s">
        <v>1434</v>
      </c>
      <c r="F161" s="381" t="s">
        <v>70</v>
      </c>
      <c r="G161" t="s">
        <v>8222</v>
      </c>
    </row>
    <row r="162" spans="2:7">
      <c r="B162" s="871">
        <v>46268</v>
      </c>
      <c r="C162" t="s">
        <v>2472</v>
      </c>
      <c r="D162" t="s">
        <v>528</v>
      </c>
      <c r="E162" t="s">
        <v>1434</v>
      </c>
      <c r="F162" s="381" t="s">
        <v>9408</v>
      </c>
      <c r="G162" t="s">
        <v>8223</v>
      </c>
    </row>
    <row r="163" spans="2:7">
      <c r="B163" s="871">
        <v>46268</v>
      </c>
      <c r="C163" t="s">
        <v>2472</v>
      </c>
      <c r="D163" t="s">
        <v>528</v>
      </c>
      <c r="E163" t="s">
        <v>1434</v>
      </c>
      <c r="F163" s="381" t="s">
        <v>9409</v>
      </c>
      <c r="G163" t="s">
        <v>8224</v>
      </c>
    </row>
    <row r="164" spans="2:7">
      <c r="B164" s="871">
        <v>46268</v>
      </c>
      <c r="C164" t="s">
        <v>2472</v>
      </c>
      <c r="D164" t="s">
        <v>528</v>
      </c>
      <c r="E164" t="s">
        <v>1434</v>
      </c>
      <c r="F164" s="381" t="s">
        <v>10046</v>
      </c>
      <c r="G164" t="s">
        <v>8225</v>
      </c>
    </row>
    <row r="165" spans="2:7">
      <c r="B165" s="871">
        <v>46268</v>
      </c>
      <c r="C165" t="s">
        <v>2472</v>
      </c>
      <c r="D165" t="s">
        <v>528</v>
      </c>
      <c r="E165" t="s">
        <v>1434</v>
      </c>
      <c r="F165" s="381" t="s">
        <v>10047</v>
      </c>
      <c r="G165" t="s">
        <v>8226</v>
      </c>
    </row>
    <row r="166" spans="2:7">
      <c r="B166" s="871">
        <v>46268</v>
      </c>
      <c r="C166" t="s">
        <v>2472</v>
      </c>
      <c r="D166" t="s">
        <v>528</v>
      </c>
      <c r="E166" t="s">
        <v>1434</v>
      </c>
      <c r="F166" s="381" t="s">
        <v>10048</v>
      </c>
      <c r="G166" t="s">
        <v>8227</v>
      </c>
    </row>
    <row r="167" spans="2:7">
      <c r="B167" s="871">
        <v>46268</v>
      </c>
      <c r="C167" t="s">
        <v>2472</v>
      </c>
      <c r="D167" t="s">
        <v>528</v>
      </c>
      <c r="E167" t="s">
        <v>1434</v>
      </c>
      <c r="F167" s="381" t="s">
        <v>10049</v>
      </c>
      <c r="G167" t="s">
        <v>8228</v>
      </c>
    </row>
    <row r="168" spans="2:7">
      <c r="B168" s="871">
        <v>46268</v>
      </c>
      <c r="C168" t="s">
        <v>2472</v>
      </c>
      <c r="D168" t="s">
        <v>528</v>
      </c>
      <c r="E168" t="s">
        <v>1434</v>
      </c>
      <c r="F168" s="381" t="s">
        <v>10050</v>
      </c>
      <c r="G168" t="s">
        <v>8229</v>
      </c>
    </row>
    <row r="169" spans="2:7">
      <c r="B169" s="871">
        <v>46268</v>
      </c>
      <c r="C169" t="s">
        <v>2472</v>
      </c>
      <c r="D169" t="s">
        <v>528</v>
      </c>
      <c r="E169" t="s">
        <v>1434</v>
      </c>
      <c r="F169" s="381" t="s">
        <v>10040</v>
      </c>
      <c r="G169" t="s">
        <v>8230</v>
      </c>
    </row>
    <row r="170" spans="2:7" ht="165">
      <c r="B170" s="871">
        <v>46269</v>
      </c>
      <c r="C170" t="s">
        <v>2473</v>
      </c>
      <c r="D170" t="s">
        <v>526</v>
      </c>
      <c r="E170" t="s">
        <v>1375</v>
      </c>
      <c r="F170" s="381" t="s">
        <v>1587</v>
      </c>
      <c r="G170" t="s">
        <v>8231</v>
      </c>
    </row>
    <row r="171" spans="2:7">
      <c r="B171" s="871">
        <v>46269</v>
      </c>
      <c r="C171" t="s">
        <v>2473</v>
      </c>
      <c r="D171" t="s">
        <v>526</v>
      </c>
      <c r="E171" t="s">
        <v>1454</v>
      </c>
      <c r="F171" s="381" t="s">
        <v>1455</v>
      </c>
      <c r="G171" t="s">
        <v>8232</v>
      </c>
    </row>
    <row r="172" spans="2:7">
      <c r="B172" s="871">
        <v>46269</v>
      </c>
      <c r="C172" t="s">
        <v>2473</v>
      </c>
      <c r="D172" t="s">
        <v>526</v>
      </c>
      <c r="E172" t="s">
        <v>1454</v>
      </c>
      <c r="F172" s="381" t="s">
        <v>1456</v>
      </c>
      <c r="G172" t="s">
        <v>8233</v>
      </c>
    </row>
    <row r="173" spans="2:7" ht="30">
      <c r="B173" s="871">
        <v>46269</v>
      </c>
      <c r="C173" t="s">
        <v>2473</v>
      </c>
      <c r="D173" t="s">
        <v>526</v>
      </c>
      <c r="E173" t="s">
        <v>1454</v>
      </c>
      <c r="F173" s="381" t="s">
        <v>1457</v>
      </c>
      <c r="G173" t="s">
        <v>8234</v>
      </c>
    </row>
    <row r="174" spans="2:7">
      <c r="B174" s="871">
        <v>46269</v>
      </c>
      <c r="C174" t="s">
        <v>2473</v>
      </c>
      <c r="D174" t="s">
        <v>526</v>
      </c>
      <c r="E174" t="s">
        <v>1458</v>
      </c>
      <c r="F174" s="381" t="s">
        <v>1459</v>
      </c>
      <c r="G174" t="s">
        <v>8235</v>
      </c>
    </row>
    <row r="175" spans="2:7">
      <c r="B175" s="871">
        <v>46269</v>
      </c>
      <c r="C175" t="s">
        <v>2473</v>
      </c>
      <c r="D175" t="s">
        <v>526</v>
      </c>
      <c r="E175" t="s">
        <v>1458</v>
      </c>
      <c r="F175" s="381" t="s">
        <v>1460</v>
      </c>
      <c r="G175" t="s">
        <v>8236</v>
      </c>
    </row>
    <row r="176" spans="2:7" ht="30">
      <c r="B176" s="871">
        <v>46269</v>
      </c>
      <c r="C176" t="s">
        <v>2473</v>
      </c>
      <c r="D176" t="s">
        <v>526</v>
      </c>
      <c r="E176" t="s">
        <v>1458</v>
      </c>
      <c r="F176" s="381" t="s">
        <v>1461</v>
      </c>
      <c r="G176" t="s">
        <v>8237</v>
      </c>
    </row>
    <row r="177" spans="2:7" ht="165">
      <c r="B177" s="871">
        <v>46269</v>
      </c>
      <c r="C177" t="s">
        <v>2473</v>
      </c>
      <c r="D177" t="s">
        <v>526</v>
      </c>
      <c r="E177" t="s">
        <v>1376</v>
      </c>
      <c r="F177" s="381" t="s">
        <v>1540</v>
      </c>
      <c r="G177" t="s">
        <v>8238</v>
      </c>
    </row>
    <row r="178" spans="2:7" ht="120">
      <c r="B178" s="871">
        <v>46269</v>
      </c>
      <c r="C178" t="s">
        <v>2473</v>
      </c>
      <c r="D178" t="s">
        <v>526</v>
      </c>
      <c r="E178" t="s">
        <v>1393</v>
      </c>
      <c r="F178" s="381" t="s">
        <v>1541</v>
      </c>
      <c r="G178" t="s">
        <v>8239</v>
      </c>
    </row>
    <row r="179" spans="2:7">
      <c r="B179" s="871">
        <v>46269</v>
      </c>
      <c r="C179" t="s">
        <v>2473</v>
      </c>
      <c r="D179" t="s">
        <v>526</v>
      </c>
      <c r="E179" t="s">
        <v>1465</v>
      </c>
      <c r="F179" s="381" t="s">
        <v>1495</v>
      </c>
      <c r="G179" t="s">
        <v>8240</v>
      </c>
    </row>
    <row r="180" spans="2:7" ht="210">
      <c r="B180" s="871">
        <v>46269</v>
      </c>
      <c r="C180" t="s">
        <v>2473</v>
      </c>
      <c r="D180" t="s">
        <v>526</v>
      </c>
      <c r="E180" t="s">
        <v>1410</v>
      </c>
      <c r="F180" s="381" t="s">
        <v>1588</v>
      </c>
      <c r="G180" t="s">
        <v>8241</v>
      </c>
    </row>
    <row r="181" spans="2:7">
      <c r="B181" s="871">
        <v>46269</v>
      </c>
      <c r="C181" t="s">
        <v>2473</v>
      </c>
      <c r="D181" t="s">
        <v>526</v>
      </c>
      <c r="E181" t="s">
        <v>1434</v>
      </c>
      <c r="F181" s="381" t="s">
        <v>1468</v>
      </c>
      <c r="G181" t="s">
        <v>8242</v>
      </c>
    </row>
    <row r="182" spans="2:7">
      <c r="B182" s="871">
        <v>46269</v>
      </c>
      <c r="C182" t="s">
        <v>2473</v>
      </c>
      <c r="D182" t="s">
        <v>526</v>
      </c>
      <c r="E182" t="s">
        <v>1434</v>
      </c>
      <c r="F182" s="381" t="s">
        <v>10035</v>
      </c>
      <c r="G182" t="s">
        <v>8243</v>
      </c>
    </row>
    <row r="183" spans="2:7">
      <c r="B183" s="871">
        <v>46269</v>
      </c>
      <c r="C183" t="s">
        <v>2473</v>
      </c>
      <c r="D183" t="s">
        <v>526</v>
      </c>
      <c r="E183" t="s">
        <v>1434</v>
      </c>
      <c r="F183" s="381" t="s">
        <v>10036</v>
      </c>
      <c r="G183" t="s">
        <v>8244</v>
      </c>
    </row>
    <row r="184" spans="2:7">
      <c r="B184" s="871">
        <v>46269</v>
      </c>
      <c r="C184" t="s">
        <v>2473</v>
      </c>
      <c r="D184" t="s">
        <v>526</v>
      </c>
      <c r="E184" t="s">
        <v>1434</v>
      </c>
      <c r="F184" s="381" t="s">
        <v>10037</v>
      </c>
      <c r="G184" t="s">
        <v>8245</v>
      </c>
    </row>
    <row r="185" spans="2:7">
      <c r="B185" s="871">
        <v>46269</v>
      </c>
      <c r="C185" t="s">
        <v>2473</v>
      </c>
      <c r="D185" t="s">
        <v>526</v>
      </c>
      <c r="E185" t="s">
        <v>1434</v>
      </c>
      <c r="F185" s="381" t="s">
        <v>10038</v>
      </c>
      <c r="G185" t="s">
        <v>8246</v>
      </c>
    </row>
    <row r="186" spans="2:7">
      <c r="B186" s="871">
        <v>46269</v>
      </c>
      <c r="C186" t="s">
        <v>2473</v>
      </c>
      <c r="D186" t="s">
        <v>526</v>
      </c>
      <c r="E186" t="s">
        <v>1434</v>
      </c>
      <c r="F186" s="381" t="s">
        <v>10039</v>
      </c>
      <c r="G186" t="s">
        <v>8247</v>
      </c>
    </row>
    <row r="187" spans="2:7">
      <c r="B187" s="871">
        <v>46269</v>
      </c>
      <c r="C187" t="s">
        <v>2473</v>
      </c>
      <c r="D187" t="s">
        <v>526</v>
      </c>
      <c r="E187" t="s">
        <v>1434</v>
      </c>
      <c r="F187" s="381" t="s">
        <v>10040</v>
      </c>
      <c r="G187" t="s">
        <v>8248</v>
      </c>
    </row>
    <row r="188" spans="2:7" ht="150">
      <c r="B188" s="871">
        <v>46269</v>
      </c>
      <c r="C188" t="s">
        <v>2473</v>
      </c>
      <c r="D188" t="s">
        <v>527</v>
      </c>
      <c r="E188" t="s">
        <v>1375</v>
      </c>
      <c r="F188" s="381" t="s">
        <v>1589</v>
      </c>
      <c r="G188" t="s">
        <v>8249</v>
      </c>
    </row>
    <row r="189" spans="2:7" ht="180">
      <c r="B189" s="871">
        <v>46269</v>
      </c>
      <c r="C189" t="s">
        <v>2473</v>
      </c>
      <c r="D189" t="s">
        <v>527</v>
      </c>
      <c r="E189" t="s">
        <v>1454</v>
      </c>
      <c r="F189" s="381" t="s">
        <v>1590</v>
      </c>
      <c r="G189" t="s">
        <v>8250</v>
      </c>
    </row>
    <row r="190" spans="2:7" ht="105">
      <c r="B190" s="871">
        <v>46269</v>
      </c>
      <c r="C190" t="s">
        <v>2473</v>
      </c>
      <c r="D190" t="s">
        <v>527</v>
      </c>
      <c r="E190" t="s">
        <v>1472</v>
      </c>
      <c r="F190" s="381" t="s">
        <v>1591</v>
      </c>
      <c r="G190" t="s">
        <v>8251</v>
      </c>
    </row>
    <row r="191" spans="2:7">
      <c r="B191" s="871">
        <v>46269</v>
      </c>
      <c r="C191" t="s">
        <v>2473</v>
      </c>
      <c r="D191" t="s">
        <v>527</v>
      </c>
      <c r="E191" t="s">
        <v>1474</v>
      </c>
      <c r="F191" s="381" t="s">
        <v>1592</v>
      </c>
      <c r="G191" t="s">
        <v>8252</v>
      </c>
    </row>
    <row r="192" spans="2:7" ht="150">
      <c r="B192" s="871">
        <v>46269</v>
      </c>
      <c r="C192" t="s">
        <v>2473</v>
      </c>
      <c r="D192" t="s">
        <v>527</v>
      </c>
      <c r="E192" t="s">
        <v>1474</v>
      </c>
      <c r="F192" s="381" t="s">
        <v>1593</v>
      </c>
      <c r="G192" t="s">
        <v>8253</v>
      </c>
    </row>
    <row r="193" spans="2:7" ht="165">
      <c r="B193" s="871">
        <v>46269</v>
      </c>
      <c r="C193" t="s">
        <v>2473</v>
      </c>
      <c r="D193" t="s">
        <v>527</v>
      </c>
      <c r="E193" t="s">
        <v>1393</v>
      </c>
      <c r="F193" s="381" t="s">
        <v>1594</v>
      </c>
      <c r="G193" t="s">
        <v>8254</v>
      </c>
    </row>
    <row r="194" spans="2:7" ht="315">
      <c r="B194" s="871">
        <v>46269</v>
      </c>
      <c r="C194" t="s">
        <v>2473</v>
      </c>
      <c r="D194" t="s">
        <v>527</v>
      </c>
      <c r="E194" t="s">
        <v>1410</v>
      </c>
      <c r="F194" s="381" t="s">
        <v>1595</v>
      </c>
      <c r="G194" t="s">
        <v>8255</v>
      </c>
    </row>
    <row r="195" spans="2:7" ht="409.5">
      <c r="B195" s="871">
        <v>46269</v>
      </c>
      <c r="C195" t="s">
        <v>2473</v>
      </c>
      <c r="D195" t="s">
        <v>527</v>
      </c>
      <c r="E195" t="s">
        <v>1434</v>
      </c>
      <c r="F195" s="381" t="s">
        <v>1596</v>
      </c>
      <c r="G195" t="s">
        <v>8256</v>
      </c>
    </row>
    <row r="196" spans="2:7">
      <c r="B196" s="871">
        <v>46269</v>
      </c>
      <c r="C196" t="s">
        <v>2473</v>
      </c>
      <c r="D196" t="s">
        <v>528</v>
      </c>
      <c r="E196" t="s">
        <v>1375</v>
      </c>
      <c r="F196" s="381" t="s">
        <v>1597</v>
      </c>
      <c r="G196" t="s">
        <v>8257</v>
      </c>
    </row>
    <row r="197" spans="2:7">
      <c r="B197" s="871">
        <v>46269</v>
      </c>
      <c r="C197" t="s">
        <v>2473</v>
      </c>
      <c r="D197" t="s">
        <v>528</v>
      </c>
      <c r="E197" t="s">
        <v>1375</v>
      </c>
      <c r="F197" s="381" t="s">
        <v>1552</v>
      </c>
      <c r="G197" t="s">
        <v>8258</v>
      </c>
    </row>
    <row r="198" spans="2:7">
      <c r="B198" s="871">
        <v>46269</v>
      </c>
      <c r="C198" t="s">
        <v>2473</v>
      </c>
      <c r="D198" t="s">
        <v>528</v>
      </c>
      <c r="E198" t="s">
        <v>1375</v>
      </c>
      <c r="F198" s="381" t="s">
        <v>1499</v>
      </c>
      <c r="G198" t="s">
        <v>8259</v>
      </c>
    </row>
    <row r="199" spans="2:7">
      <c r="B199" s="871">
        <v>46269</v>
      </c>
      <c r="C199" t="s">
        <v>2473</v>
      </c>
      <c r="D199" t="s">
        <v>528</v>
      </c>
      <c r="E199" t="s">
        <v>1375</v>
      </c>
      <c r="F199" s="381" t="s">
        <v>1598</v>
      </c>
      <c r="G199" t="s">
        <v>8260</v>
      </c>
    </row>
    <row r="200" spans="2:7">
      <c r="B200" s="871">
        <v>46269</v>
      </c>
      <c r="C200" t="s">
        <v>2473</v>
      </c>
      <c r="D200" t="s">
        <v>528</v>
      </c>
      <c r="E200" t="s">
        <v>1375</v>
      </c>
      <c r="F200" s="381" t="s">
        <v>1599</v>
      </c>
      <c r="G200" t="s">
        <v>8261</v>
      </c>
    </row>
    <row r="201" spans="2:7">
      <c r="B201" s="871">
        <v>46269</v>
      </c>
      <c r="C201" t="s">
        <v>2473</v>
      </c>
      <c r="D201" t="s">
        <v>528</v>
      </c>
      <c r="E201" t="s">
        <v>1454</v>
      </c>
      <c r="F201" s="381" t="s">
        <v>1600</v>
      </c>
      <c r="G201" t="s">
        <v>8262</v>
      </c>
    </row>
    <row r="202" spans="2:7">
      <c r="B202" s="871">
        <v>46269</v>
      </c>
      <c r="C202" t="s">
        <v>2473</v>
      </c>
      <c r="D202" t="s">
        <v>528</v>
      </c>
      <c r="E202" t="s">
        <v>1458</v>
      </c>
      <c r="F202" s="381" t="s">
        <v>1601</v>
      </c>
      <c r="G202" t="s">
        <v>8263</v>
      </c>
    </row>
    <row r="203" spans="2:7">
      <c r="B203" s="871">
        <v>46269</v>
      </c>
      <c r="C203" t="s">
        <v>2473</v>
      </c>
      <c r="D203" t="s">
        <v>528</v>
      </c>
      <c r="E203" t="s">
        <v>1458</v>
      </c>
      <c r="F203" s="381" t="s">
        <v>1602</v>
      </c>
      <c r="G203" t="s">
        <v>8264</v>
      </c>
    </row>
    <row r="204" spans="2:7">
      <c r="B204" s="871">
        <v>46269</v>
      </c>
      <c r="C204" t="s">
        <v>2473</v>
      </c>
      <c r="D204" t="s">
        <v>528</v>
      </c>
      <c r="E204" t="s">
        <v>1458</v>
      </c>
      <c r="F204" s="381" t="s">
        <v>1603</v>
      </c>
      <c r="G204" t="s">
        <v>8265</v>
      </c>
    </row>
    <row r="205" spans="2:7">
      <c r="B205" s="871">
        <v>46269</v>
      </c>
      <c r="C205" t="s">
        <v>2473</v>
      </c>
      <c r="D205" t="s">
        <v>528</v>
      </c>
      <c r="E205" t="s">
        <v>1474</v>
      </c>
      <c r="F205" s="381" t="s">
        <v>1604</v>
      </c>
      <c r="G205" t="s">
        <v>8266</v>
      </c>
    </row>
    <row r="206" spans="2:7">
      <c r="B206" s="871">
        <v>46269</v>
      </c>
      <c r="C206" t="s">
        <v>2473</v>
      </c>
      <c r="D206" t="s">
        <v>528</v>
      </c>
      <c r="E206" t="s">
        <v>1376</v>
      </c>
      <c r="F206" s="381" t="s">
        <v>1605</v>
      </c>
      <c r="G206" t="s">
        <v>8267</v>
      </c>
    </row>
    <row r="207" spans="2:7">
      <c r="B207" s="871">
        <v>46269</v>
      </c>
      <c r="C207" t="s">
        <v>2473</v>
      </c>
      <c r="D207" t="s">
        <v>528</v>
      </c>
      <c r="E207" t="s">
        <v>1376</v>
      </c>
      <c r="F207" s="381" t="s">
        <v>1560</v>
      </c>
      <c r="G207" t="s">
        <v>8268</v>
      </c>
    </row>
    <row r="208" spans="2:7">
      <c r="B208" s="871">
        <v>46269</v>
      </c>
      <c r="C208" t="s">
        <v>2473</v>
      </c>
      <c r="D208" t="s">
        <v>528</v>
      </c>
      <c r="E208" t="s">
        <v>1376</v>
      </c>
      <c r="F208" s="381" t="s">
        <v>1606</v>
      </c>
      <c r="G208" t="s">
        <v>8269</v>
      </c>
    </row>
    <row r="209" spans="2:7">
      <c r="B209" s="871">
        <v>46269</v>
      </c>
      <c r="C209" t="s">
        <v>2473</v>
      </c>
      <c r="D209" t="s">
        <v>528</v>
      </c>
      <c r="E209" t="s">
        <v>1376</v>
      </c>
      <c r="F209" s="381" t="s">
        <v>1607</v>
      </c>
      <c r="G209" t="s">
        <v>8270</v>
      </c>
    </row>
    <row r="210" spans="2:7">
      <c r="B210" s="871">
        <v>46269</v>
      </c>
      <c r="C210" t="s">
        <v>2473</v>
      </c>
      <c r="D210" t="s">
        <v>528</v>
      </c>
      <c r="E210" t="s">
        <v>1376</v>
      </c>
      <c r="F210" s="381" t="s">
        <v>1608</v>
      </c>
      <c r="G210" t="s">
        <v>8271</v>
      </c>
    </row>
    <row r="211" spans="2:7">
      <c r="B211" s="871">
        <v>46269</v>
      </c>
      <c r="C211" t="s">
        <v>2473</v>
      </c>
      <c r="D211" t="s">
        <v>528</v>
      </c>
      <c r="E211" t="s">
        <v>1376</v>
      </c>
      <c r="F211" s="381" t="s">
        <v>1564</v>
      </c>
      <c r="G211" t="s">
        <v>8272</v>
      </c>
    </row>
    <row r="212" spans="2:7">
      <c r="B212" s="871">
        <v>46269</v>
      </c>
      <c r="C212" t="s">
        <v>2473</v>
      </c>
      <c r="D212" t="s">
        <v>528</v>
      </c>
      <c r="E212" t="s">
        <v>1410</v>
      </c>
      <c r="F212" s="381" t="s">
        <v>1433</v>
      </c>
      <c r="G212" t="s">
        <v>8273</v>
      </c>
    </row>
    <row r="213" spans="2:7">
      <c r="B213" s="871">
        <v>46269</v>
      </c>
      <c r="C213" t="s">
        <v>2473</v>
      </c>
      <c r="D213" t="s">
        <v>528</v>
      </c>
      <c r="E213" t="s">
        <v>1410</v>
      </c>
      <c r="F213" s="381" t="s">
        <v>1609</v>
      </c>
      <c r="G213" t="s">
        <v>8274</v>
      </c>
    </row>
    <row r="214" spans="2:7">
      <c r="B214" s="871">
        <v>46269</v>
      </c>
      <c r="C214" t="s">
        <v>2473</v>
      </c>
      <c r="D214" t="s">
        <v>528</v>
      </c>
      <c r="E214" t="s">
        <v>1410</v>
      </c>
      <c r="F214" s="381" t="s">
        <v>1610</v>
      </c>
      <c r="G214" t="s">
        <v>8275</v>
      </c>
    </row>
    <row r="215" spans="2:7">
      <c r="B215" s="871">
        <v>46269</v>
      </c>
      <c r="C215" t="s">
        <v>2473</v>
      </c>
      <c r="D215" t="s">
        <v>528</v>
      </c>
      <c r="E215" t="s">
        <v>1410</v>
      </c>
      <c r="F215" s="381" t="s">
        <v>1611</v>
      </c>
      <c r="G215" t="s">
        <v>8276</v>
      </c>
    </row>
    <row r="216" spans="2:7">
      <c r="B216" s="871">
        <v>46269</v>
      </c>
      <c r="C216" t="s">
        <v>2473</v>
      </c>
      <c r="D216" t="s">
        <v>528</v>
      </c>
      <c r="E216" t="s">
        <v>1410</v>
      </c>
      <c r="F216" s="381" t="s">
        <v>1612</v>
      </c>
      <c r="G216" t="s">
        <v>8277</v>
      </c>
    </row>
    <row r="217" spans="2:7">
      <c r="B217" s="871">
        <v>46269</v>
      </c>
      <c r="C217" t="s">
        <v>2473</v>
      </c>
      <c r="D217" t="s">
        <v>528</v>
      </c>
      <c r="E217" t="s">
        <v>1410</v>
      </c>
      <c r="F217" s="381" t="s">
        <v>1613</v>
      </c>
      <c r="G217" t="s">
        <v>8278</v>
      </c>
    </row>
    <row r="218" spans="2:7">
      <c r="B218" s="871">
        <v>46269</v>
      </c>
      <c r="C218" t="s">
        <v>2473</v>
      </c>
      <c r="D218" t="s">
        <v>528</v>
      </c>
      <c r="E218" t="s">
        <v>1410</v>
      </c>
      <c r="F218" s="381" t="s">
        <v>1614</v>
      </c>
      <c r="G218" t="s">
        <v>8279</v>
      </c>
    </row>
    <row r="219" spans="2:7">
      <c r="B219" s="871">
        <v>46269</v>
      </c>
      <c r="C219" t="s">
        <v>2473</v>
      </c>
      <c r="D219" t="s">
        <v>528</v>
      </c>
      <c r="E219" t="s">
        <v>1410</v>
      </c>
      <c r="F219" s="381" t="s">
        <v>1615</v>
      </c>
      <c r="G219" t="s">
        <v>8280</v>
      </c>
    </row>
    <row r="220" spans="2:7">
      <c r="B220" s="871">
        <v>46269</v>
      </c>
      <c r="C220" t="s">
        <v>2473</v>
      </c>
      <c r="D220" t="s">
        <v>528</v>
      </c>
      <c r="E220" t="s">
        <v>1393</v>
      </c>
      <c r="F220" s="381" t="s">
        <v>1616</v>
      </c>
      <c r="G220" t="s">
        <v>8281</v>
      </c>
    </row>
    <row r="221" spans="2:7">
      <c r="B221" s="871">
        <v>46269</v>
      </c>
      <c r="C221" t="s">
        <v>2473</v>
      </c>
      <c r="D221" t="s">
        <v>528</v>
      </c>
      <c r="E221" t="s">
        <v>1393</v>
      </c>
      <c r="F221" s="381" t="s">
        <v>1617</v>
      </c>
      <c r="G221" t="s">
        <v>8282</v>
      </c>
    </row>
    <row r="222" spans="2:7">
      <c r="B222" s="871">
        <v>46269</v>
      </c>
      <c r="C222" t="s">
        <v>2473</v>
      </c>
      <c r="D222" t="s">
        <v>528</v>
      </c>
      <c r="E222" t="s">
        <v>1393</v>
      </c>
      <c r="F222" s="381" t="s">
        <v>1524</v>
      </c>
      <c r="G222" t="s">
        <v>8283</v>
      </c>
    </row>
    <row r="223" spans="2:7">
      <c r="B223" s="871">
        <v>46269</v>
      </c>
      <c r="C223" t="s">
        <v>2473</v>
      </c>
      <c r="D223" t="s">
        <v>528</v>
      </c>
      <c r="E223" t="s">
        <v>1393</v>
      </c>
      <c r="F223" s="381" t="s">
        <v>1525</v>
      </c>
      <c r="G223" t="s">
        <v>8284</v>
      </c>
    </row>
    <row r="224" spans="2:7">
      <c r="B224" s="871">
        <v>46269</v>
      </c>
      <c r="C224" t="s">
        <v>2473</v>
      </c>
      <c r="D224" t="s">
        <v>528</v>
      </c>
      <c r="E224" t="s">
        <v>1393</v>
      </c>
      <c r="F224" s="381" t="s">
        <v>1618</v>
      </c>
      <c r="G224" t="s">
        <v>8285</v>
      </c>
    </row>
    <row r="225" spans="2:7">
      <c r="B225" s="871">
        <v>46269</v>
      </c>
      <c r="C225" t="s">
        <v>2473</v>
      </c>
      <c r="D225" t="s">
        <v>528</v>
      </c>
      <c r="E225" t="s">
        <v>1393</v>
      </c>
      <c r="F225" s="381" t="s">
        <v>1619</v>
      </c>
      <c r="G225" t="s">
        <v>8286</v>
      </c>
    </row>
    <row r="226" spans="2:7">
      <c r="B226" s="871">
        <v>46269</v>
      </c>
      <c r="C226" t="s">
        <v>2473</v>
      </c>
      <c r="D226" t="s">
        <v>528</v>
      </c>
      <c r="E226" t="s">
        <v>1393</v>
      </c>
      <c r="F226" s="381" t="s">
        <v>1620</v>
      </c>
      <c r="G226" t="s">
        <v>8287</v>
      </c>
    </row>
    <row r="227" spans="2:7">
      <c r="B227" s="871">
        <v>46269</v>
      </c>
      <c r="C227" t="s">
        <v>2473</v>
      </c>
      <c r="D227" t="s">
        <v>528</v>
      </c>
      <c r="E227" t="s">
        <v>1393</v>
      </c>
      <c r="F227" s="381" t="s">
        <v>1621</v>
      </c>
      <c r="G227" t="s">
        <v>8288</v>
      </c>
    </row>
    <row r="228" spans="2:7">
      <c r="B228" s="871">
        <v>46269</v>
      </c>
      <c r="C228" t="s">
        <v>2473</v>
      </c>
      <c r="D228" t="s">
        <v>528</v>
      </c>
      <c r="E228" t="s">
        <v>1434</v>
      </c>
      <c r="F228" s="381" t="s">
        <v>70</v>
      </c>
      <c r="G228" t="s">
        <v>8289</v>
      </c>
    </row>
    <row r="229" spans="2:7">
      <c r="B229" s="871">
        <v>46269</v>
      </c>
      <c r="C229" t="s">
        <v>2473</v>
      </c>
      <c r="D229" t="s">
        <v>528</v>
      </c>
      <c r="E229" t="s">
        <v>1434</v>
      </c>
      <c r="F229" s="381" t="s">
        <v>9408</v>
      </c>
      <c r="G229" t="s">
        <v>8290</v>
      </c>
    </row>
    <row r="230" spans="2:7">
      <c r="B230" s="871">
        <v>46269</v>
      </c>
      <c r="C230" t="s">
        <v>2473</v>
      </c>
      <c r="D230" t="s">
        <v>528</v>
      </c>
      <c r="E230" t="s">
        <v>1434</v>
      </c>
      <c r="F230" s="381" t="s">
        <v>9409</v>
      </c>
      <c r="G230" t="s">
        <v>8291</v>
      </c>
    </row>
    <row r="231" spans="2:7">
      <c r="B231" s="871">
        <v>46269</v>
      </c>
      <c r="C231" t="s">
        <v>2473</v>
      </c>
      <c r="D231" t="s">
        <v>528</v>
      </c>
      <c r="E231" t="s">
        <v>1434</v>
      </c>
      <c r="F231" s="381" t="s">
        <v>10046</v>
      </c>
      <c r="G231" t="s">
        <v>8292</v>
      </c>
    </row>
    <row r="232" spans="2:7">
      <c r="B232" s="871">
        <v>46269</v>
      </c>
      <c r="C232" t="s">
        <v>2473</v>
      </c>
      <c r="D232" t="s">
        <v>528</v>
      </c>
      <c r="E232" t="s">
        <v>1434</v>
      </c>
      <c r="F232" s="381" t="s">
        <v>10047</v>
      </c>
      <c r="G232" t="s">
        <v>8293</v>
      </c>
    </row>
    <row r="233" spans="2:7">
      <c r="B233" s="871">
        <v>46269</v>
      </c>
      <c r="C233" t="s">
        <v>2473</v>
      </c>
      <c r="D233" t="s">
        <v>528</v>
      </c>
      <c r="E233" t="s">
        <v>1434</v>
      </c>
      <c r="F233" s="381" t="s">
        <v>10048</v>
      </c>
      <c r="G233" t="s">
        <v>8294</v>
      </c>
    </row>
    <row r="234" spans="2:7">
      <c r="B234" s="871">
        <v>46269</v>
      </c>
      <c r="C234" t="s">
        <v>2473</v>
      </c>
      <c r="D234" t="s">
        <v>528</v>
      </c>
      <c r="E234" t="s">
        <v>1434</v>
      </c>
      <c r="F234" s="381" t="s">
        <v>10049</v>
      </c>
      <c r="G234" t="s">
        <v>8295</v>
      </c>
    </row>
    <row r="235" spans="2:7">
      <c r="B235" s="871">
        <v>46269</v>
      </c>
      <c r="C235" t="s">
        <v>2473</v>
      </c>
      <c r="D235" t="s">
        <v>528</v>
      </c>
      <c r="E235" t="s">
        <v>1434</v>
      </c>
      <c r="F235" s="381" t="s">
        <v>10051</v>
      </c>
      <c r="G235" t="s">
        <v>8296</v>
      </c>
    </row>
    <row r="236" spans="2:7">
      <c r="B236" s="871">
        <v>46269</v>
      </c>
      <c r="C236" t="s">
        <v>2473</v>
      </c>
      <c r="D236" t="s">
        <v>528</v>
      </c>
      <c r="E236" t="s">
        <v>1434</v>
      </c>
      <c r="F236" s="381" t="s">
        <v>10040</v>
      </c>
      <c r="G236" t="s">
        <v>8297</v>
      </c>
    </row>
    <row r="237" spans="2:7" ht="105">
      <c r="B237" s="871">
        <v>46270</v>
      </c>
      <c r="C237" t="s">
        <v>2474</v>
      </c>
      <c r="D237" t="s">
        <v>526</v>
      </c>
      <c r="E237" t="s">
        <v>1375</v>
      </c>
      <c r="F237" s="381" t="s">
        <v>1628</v>
      </c>
      <c r="G237" t="s">
        <v>8298</v>
      </c>
    </row>
    <row r="238" spans="2:7" ht="90">
      <c r="B238" s="871">
        <v>46270</v>
      </c>
      <c r="C238" t="s">
        <v>2474</v>
      </c>
      <c r="D238" t="s">
        <v>526</v>
      </c>
      <c r="E238" t="s">
        <v>1454</v>
      </c>
      <c r="F238" s="381" t="s">
        <v>1629</v>
      </c>
      <c r="G238" t="s">
        <v>8299</v>
      </c>
    </row>
    <row r="239" spans="2:7" ht="60">
      <c r="B239" s="871">
        <v>46270</v>
      </c>
      <c r="C239" t="s">
        <v>2474</v>
      </c>
      <c r="D239" t="s">
        <v>526</v>
      </c>
      <c r="E239" t="s">
        <v>1458</v>
      </c>
      <c r="F239" s="381" t="s">
        <v>1630</v>
      </c>
      <c r="G239" t="s">
        <v>8300</v>
      </c>
    </row>
    <row r="240" spans="2:7">
      <c r="B240" s="871">
        <v>46270</v>
      </c>
      <c r="C240" t="s">
        <v>2474</v>
      </c>
      <c r="D240" t="s">
        <v>526</v>
      </c>
      <c r="E240" t="s">
        <v>1462</v>
      </c>
      <c r="F240" s="381" t="s">
        <v>1475</v>
      </c>
      <c r="G240" t="s">
        <v>8301</v>
      </c>
    </row>
    <row r="241" spans="2:7" ht="90">
      <c r="B241" s="871">
        <v>46270</v>
      </c>
      <c r="C241" t="s">
        <v>2474</v>
      </c>
      <c r="D241" t="s">
        <v>526</v>
      </c>
      <c r="E241" t="s">
        <v>1376</v>
      </c>
      <c r="F241" s="381" t="s">
        <v>1631</v>
      </c>
      <c r="G241" t="s">
        <v>8302</v>
      </c>
    </row>
    <row r="242" spans="2:7" ht="180">
      <c r="B242" s="871">
        <v>46270</v>
      </c>
      <c r="C242" t="s">
        <v>2474</v>
      </c>
      <c r="D242" t="s">
        <v>526</v>
      </c>
      <c r="E242" t="s">
        <v>1393</v>
      </c>
      <c r="F242" s="381" t="s">
        <v>1632</v>
      </c>
      <c r="G242" t="s">
        <v>8303</v>
      </c>
    </row>
    <row r="243" spans="2:7" ht="409.5">
      <c r="B243" s="871">
        <v>46270</v>
      </c>
      <c r="C243" t="s">
        <v>2474</v>
      </c>
      <c r="D243" t="s">
        <v>526</v>
      </c>
      <c r="E243" t="s">
        <v>1434</v>
      </c>
      <c r="F243" s="381" t="s">
        <v>1633</v>
      </c>
      <c r="G243" t="s">
        <v>8304</v>
      </c>
    </row>
    <row r="244" spans="2:7" ht="165">
      <c r="B244" s="871">
        <v>46270</v>
      </c>
      <c r="C244" t="s">
        <v>2474</v>
      </c>
      <c r="D244" t="s">
        <v>527</v>
      </c>
      <c r="E244" t="s">
        <v>1375</v>
      </c>
      <c r="F244" s="381" t="s">
        <v>1634</v>
      </c>
      <c r="G244" t="s">
        <v>8305</v>
      </c>
    </row>
    <row r="245" spans="2:7" ht="90">
      <c r="B245" s="871">
        <v>46270</v>
      </c>
      <c r="C245" t="s">
        <v>2474</v>
      </c>
      <c r="D245" t="s">
        <v>527</v>
      </c>
      <c r="E245" t="s">
        <v>1454</v>
      </c>
      <c r="F245" s="381" t="s">
        <v>1635</v>
      </c>
      <c r="G245" t="s">
        <v>8306</v>
      </c>
    </row>
    <row r="246" spans="2:7" ht="45">
      <c r="B246" s="871">
        <v>46270</v>
      </c>
      <c r="C246" t="s">
        <v>2474</v>
      </c>
      <c r="D246" t="s">
        <v>527</v>
      </c>
      <c r="E246" t="s">
        <v>1472</v>
      </c>
      <c r="F246" s="381" t="s">
        <v>1636</v>
      </c>
      <c r="G246" t="s">
        <v>8307</v>
      </c>
    </row>
    <row r="247" spans="2:7" ht="75">
      <c r="B247" s="871">
        <v>46270</v>
      </c>
      <c r="C247" t="s">
        <v>2474</v>
      </c>
      <c r="D247" t="s">
        <v>527</v>
      </c>
      <c r="E247" t="s">
        <v>1474</v>
      </c>
      <c r="F247" s="381" t="s">
        <v>1637</v>
      </c>
      <c r="G247" t="s">
        <v>8308</v>
      </c>
    </row>
    <row r="248" spans="2:7" ht="135">
      <c r="B248" s="871">
        <v>46270</v>
      </c>
      <c r="C248" t="s">
        <v>2474</v>
      </c>
      <c r="D248" t="s">
        <v>527</v>
      </c>
      <c r="E248" t="s">
        <v>1393</v>
      </c>
      <c r="F248" s="381" t="s">
        <v>1638</v>
      </c>
      <c r="G248" t="s">
        <v>8309</v>
      </c>
    </row>
    <row r="249" spans="2:7" ht="300">
      <c r="B249" s="871">
        <v>46270</v>
      </c>
      <c r="C249" t="s">
        <v>2474</v>
      </c>
      <c r="D249" t="s">
        <v>527</v>
      </c>
      <c r="E249" t="s">
        <v>1410</v>
      </c>
      <c r="F249" s="381" t="s">
        <v>1639</v>
      </c>
      <c r="G249" t="s">
        <v>8310</v>
      </c>
    </row>
    <row r="250" spans="2:7" ht="409.5">
      <c r="B250" s="871">
        <v>46270</v>
      </c>
      <c r="C250" t="s">
        <v>2474</v>
      </c>
      <c r="D250" t="s">
        <v>527</v>
      </c>
      <c r="E250" t="s">
        <v>1434</v>
      </c>
      <c r="F250" s="381" t="s">
        <v>1640</v>
      </c>
      <c r="G250" t="s">
        <v>8311</v>
      </c>
    </row>
    <row r="251" spans="2:7">
      <c r="B251" s="871">
        <v>46270</v>
      </c>
      <c r="C251" t="s">
        <v>2474</v>
      </c>
      <c r="D251" t="s">
        <v>528</v>
      </c>
      <c r="E251" t="s">
        <v>1375</v>
      </c>
      <c r="F251" s="381" t="s">
        <v>1641</v>
      </c>
      <c r="G251" t="s">
        <v>8312</v>
      </c>
    </row>
    <row r="252" spans="2:7">
      <c r="B252" s="871">
        <v>46270</v>
      </c>
      <c r="C252" t="s">
        <v>2474</v>
      </c>
      <c r="D252" t="s">
        <v>528</v>
      </c>
      <c r="E252" t="s">
        <v>1375</v>
      </c>
      <c r="F252" s="381" t="s">
        <v>1552</v>
      </c>
      <c r="G252" t="s">
        <v>8313</v>
      </c>
    </row>
    <row r="253" spans="2:7">
      <c r="B253" s="871">
        <v>46270</v>
      </c>
      <c r="C253" t="s">
        <v>2474</v>
      </c>
      <c r="D253" t="s">
        <v>528</v>
      </c>
      <c r="E253" t="s">
        <v>1375</v>
      </c>
      <c r="F253" s="381" t="s">
        <v>1499</v>
      </c>
      <c r="G253" t="s">
        <v>8314</v>
      </c>
    </row>
    <row r="254" spans="2:7">
      <c r="B254" s="871">
        <v>46270</v>
      </c>
      <c r="C254" t="s">
        <v>2474</v>
      </c>
      <c r="D254" t="s">
        <v>528</v>
      </c>
      <c r="E254" t="s">
        <v>1375</v>
      </c>
      <c r="F254" s="381" t="s">
        <v>1642</v>
      </c>
      <c r="G254" t="s">
        <v>8315</v>
      </c>
    </row>
    <row r="255" spans="2:7">
      <c r="B255" s="871">
        <v>46270</v>
      </c>
      <c r="C255" t="s">
        <v>2474</v>
      </c>
      <c r="D255" t="s">
        <v>528</v>
      </c>
      <c r="E255" t="s">
        <v>1375</v>
      </c>
      <c r="F255" s="381" t="s">
        <v>1643</v>
      </c>
      <c r="G255" t="s">
        <v>8316</v>
      </c>
    </row>
    <row r="256" spans="2:7">
      <c r="B256" s="871">
        <v>46270</v>
      </c>
      <c r="C256" t="s">
        <v>2474</v>
      </c>
      <c r="D256" t="s">
        <v>528</v>
      </c>
      <c r="E256" t="s">
        <v>1454</v>
      </c>
      <c r="F256" s="381" t="s">
        <v>1644</v>
      </c>
      <c r="G256" t="s">
        <v>8317</v>
      </c>
    </row>
    <row r="257" spans="2:7">
      <c r="B257" s="871">
        <v>46270</v>
      </c>
      <c r="C257" t="s">
        <v>2474</v>
      </c>
      <c r="D257" t="s">
        <v>528</v>
      </c>
      <c r="E257" t="s">
        <v>1458</v>
      </c>
      <c r="F257" s="381" t="s">
        <v>1645</v>
      </c>
      <c r="G257" t="s">
        <v>8318</v>
      </c>
    </row>
    <row r="258" spans="2:7">
      <c r="B258" s="871">
        <v>46270</v>
      </c>
      <c r="C258" t="s">
        <v>2474</v>
      </c>
      <c r="D258" t="s">
        <v>528</v>
      </c>
      <c r="E258" t="s">
        <v>1474</v>
      </c>
      <c r="F258" s="381" t="s">
        <v>1604</v>
      </c>
      <c r="G258" t="s">
        <v>8319</v>
      </c>
    </row>
    <row r="259" spans="2:7">
      <c r="B259" s="871">
        <v>46270</v>
      </c>
      <c r="C259" t="s">
        <v>2474</v>
      </c>
      <c r="D259" t="s">
        <v>528</v>
      </c>
      <c r="E259" t="s">
        <v>1376</v>
      </c>
      <c r="F259" s="381" t="s">
        <v>1605</v>
      </c>
      <c r="G259" t="s">
        <v>8320</v>
      </c>
    </row>
    <row r="260" spans="2:7">
      <c r="B260" s="871">
        <v>46270</v>
      </c>
      <c r="C260" t="s">
        <v>2474</v>
      </c>
      <c r="D260" t="s">
        <v>528</v>
      </c>
      <c r="E260" t="s">
        <v>1376</v>
      </c>
      <c r="F260" s="381" t="s">
        <v>1510</v>
      </c>
      <c r="G260" t="s">
        <v>8321</v>
      </c>
    </row>
    <row r="261" spans="2:7">
      <c r="B261" s="871">
        <v>46270</v>
      </c>
      <c r="C261" t="s">
        <v>2474</v>
      </c>
      <c r="D261" t="s">
        <v>528</v>
      </c>
      <c r="E261" t="s">
        <v>1376</v>
      </c>
      <c r="F261" s="381" t="s">
        <v>1646</v>
      </c>
      <c r="G261" t="s">
        <v>8322</v>
      </c>
    </row>
    <row r="262" spans="2:7">
      <c r="B262" s="871">
        <v>46270</v>
      </c>
      <c r="C262" t="s">
        <v>2474</v>
      </c>
      <c r="D262" t="s">
        <v>528</v>
      </c>
      <c r="E262" t="s">
        <v>1376</v>
      </c>
      <c r="F262" s="381" t="s">
        <v>1647</v>
      </c>
      <c r="G262" t="s">
        <v>8323</v>
      </c>
    </row>
    <row r="263" spans="2:7">
      <c r="B263" s="871">
        <v>46270</v>
      </c>
      <c r="C263" t="s">
        <v>2474</v>
      </c>
      <c r="D263" t="s">
        <v>528</v>
      </c>
      <c r="E263" t="s">
        <v>1376</v>
      </c>
      <c r="F263" s="381" t="s">
        <v>1564</v>
      </c>
      <c r="G263" t="s">
        <v>8324</v>
      </c>
    </row>
    <row r="264" spans="2:7">
      <c r="B264" s="871">
        <v>46270</v>
      </c>
      <c r="C264" t="s">
        <v>2474</v>
      </c>
      <c r="D264" t="s">
        <v>528</v>
      </c>
      <c r="E264" t="s">
        <v>1410</v>
      </c>
      <c r="F264" s="381" t="s">
        <v>1433</v>
      </c>
      <c r="G264" t="s">
        <v>8325</v>
      </c>
    </row>
    <row r="265" spans="2:7">
      <c r="B265" s="871">
        <v>46270</v>
      </c>
      <c r="C265" t="s">
        <v>2474</v>
      </c>
      <c r="D265" t="s">
        <v>528</v>
      </c>
      <c r="E265" t="s">
        <v>1410</v>
      </c>
      <c r="F265" s="381" t="s">
        <v>1648</v>
      </c>
      <c r="G265" t="s">
        <v>8326</v>
      </c>
    </row>
    <row r="266" spans="2:7">
      <c r="B266" s="871">
        <v>46270</v>
      </c>
      <c r="C266" t="s">
        <v>2474</v>
      </c>
      <c r="D266" t="s">
        <v>528</v>
      </c>
      <c r="E266" t="s">
        <v>1410</v>
      </c>
      <c r="F266" s="381" t="s">
        <v>1649</v>
      </c>
      <c r="G266" t="s">
        <v>8327</v>
      </c>
    </row>
    <row r="267" spans="2:7">
      <c r="B267" s="871">
        <v>46270</v>
      </c>
      <c r="C267" t="s">
        <v>2474</v>
      </c>
      <c r="D267" t="s">
        <v>528</v>
      </c>
      <c r="E267" t="s">
        <v>1410</v>
      </c>
      <c r="F267" s="381" t="s">
        <v>1650</v>
      </c>
      <c r="G267" t="s">
        <v>8328</v>
      </c>
    </row>
    <row r="268" spans="2:7">
      <c r="B268" s="871">
        <v>46270</v>
      </c>
      <c r="C268" t="s">
        <v>2474</v>
      </c>
      <c r="D268" t="s">
        <v>528</v>
      </c>
      <c r="E268" t="s">
        <v>1410</v>
      </c>
      <c r="F268" s="381" t="s">
        <v>1612</v>
      </c>
      <c r="G268" t="s">
        <v>8329</v>
      </c>
    </row>
    <row r="269" spans="2:7">
      <c r="B269" s="871">
        <v>46270</v>
      </c>
      <c r="C269" t="s">
        <v>2474</v>
      </c>
      <c r="D269" t="s">
        <v>528</v>
      </c>
      <c r="E269" t="s">
        <v>1410</v>
      </c>
      <c r="F269" s="381" t="s">
        <v>1613</v>
      </c>
      <c r="G269" t="s">
        <v>8330</v>
      </c>
    </row>
    <row r="270" spans="2:7">
      <c r="B270" s="871">
        <v>46270</v>
      </c>
      <c r="C270" t="s">
        <v>2474</v>
      </c>
      <c r="D270" t="s">
        <v>528</v>
      </c>
      <c r="E270" t="s">
        <v>1410</v>
      </c>
      <c r="F270" s="381" t="s">
        <v>10052</v>
      </c>
      <c r="G270" t="s">
        <v>8331</v>
      </c>
    </row>
    <row r="271" spans="2:7">
      <c r="B271" s="871">
        <v>46270</v>
      </c>
      <c r="C271" t="s">
        <v>2474</v>
      </c>
      <c r="D271" t="s">
        <v>528</v>
      </c>
      <c r="E271" t="s">
        <v>1393</v>
      </c>
      <c r="F271" s="381" t="s">
        <v>1651</v>
      </c>
      <c r="G271" t="s">
        <v>8332</v>
      </c>
    </row>
    <row r="272" spans="2:7">
      <c r="B272" s="871">
        <v>46270</v>
      </c>
      <c r="C272" t="s">
        <v>2474</v>
      </c>
      <c r="D272" t="s">
        <v>528</v>
      </c>
      <c r="E272" t="s">
        <v>1393</v>
      </c>
      <c r="F272" s="381" t="s">
        <v>1523</v>
      </c>
      <c r="G272" t="s">
        <v>8333</v>
      </c>
    </row>
    <row r="273" spans="2:7">
      <c r="B273" s="871">
        <v>46270</v>
      </c>
      <c r="C273" t="s">
        <v>2474</v>
      </c>
      <c r="D273" t="s">
        <v>528</v>
      </c>
      <c r="E273" t="s">
        <v>1393</v>
      </c>
      <c r="F273" s="381" t="s">
        <v>1524</v>
      </c>
      <c r="G273" t="s">
        <v>8334</v>
      </c>
    </row>
    <row r="274" spans="2:7">
      <c r="B274" s="871">
        <v>46270</v>
      </c>
      <c r="C274" t="s">
        <v>2474</v>
      </c>
      <c r="D274" t="s">
        <v>528</v>
      </c>
      <c r="E274" t="s">
        <v>1393</v>
      </c>
      <c r="F274" s="381" t="s">
        <v>1652</v>
      </c>
      <c r="G274" t="s">
        <v>8335</v>
      </c>
    </row>
    <row r="275" spans="2:7">
      <c r="B275" s="871">
        <v>46270</v>
      </c>
      <c r="C275" t="s">
        <v>2474</v>
      </c>
      <c r="D275" t="s">
        <v>528</v>
      </c>
      <c r="E275" t="s">
        <v>1393</v>
      </c>
      <c r="F275" s="381" t="s">
        <v>1653</v>
      </c>
      <c r="G275" t="s">
        <v>8336</v>
      </c>
    </row>
    <row r="276" spans="2:7">
      <c r="B276" s="871">
        <v>46270</v>
      </c>
      <c r="C276" t="s">
        <v>2474</v>
      </c>
      <c r="D276" t="s">
        <v>528</v>
      </c>
      <c r="E276" t="s">
        <v>1393</v>
      </c>
      <c r="F276" s="381" t="s">
        <v>1654</v>
      </c>
      <c r="G276" t="s">
        <v>8337</v>
      </c>
    </row>
    <row r="277" spans="2:7">
      <c r="B277" s="871">
        <v>46270</v>
      </c>
      <c r="C277" t="s">
        <v>2474</v>
      </c>
      <c r="D277" t="s">
        <v>528</v>
      </c>
      <c r="E277" t="s">
        <v>1393</v>
      </c>
      <c r="F277" s="381" t="s">
        <v>1655</v>
      </c>
      <c r="G277" t="s">
        <v>8338</v>
      </c>
    </row>
    <row r="278" spans="2:7">
      <c r="B278" s="871">
        <v>46270</v>
      </c>
      <c r="C278" t="s">
        <v>2474</v>
      </c>
      <c r="D278" t="s">
        <v>528</v>
      </c>
      <c r="E278" t="s">
        <v>1393</v>
      </c>
      <c r="F278" s="381" t="s">
        <v>1656</v>
      </c>
      <c r="G278" t="s">
        <v>8339</v>
      </c>
    </row>
    <row r="279" spans="2:7">
      <c r="B279" s="871">
        <v>46270</v>
      </c>
      <c r="C279" t="s">
        <v>2474</v>
      </c>
      <c r="D279" t="s">
        <v>528</v>
      </c>
      <c r="E279" t="s">
        <v>1393</v>
      </c>
      <c r="F279" s="381" t="s">
        <v>1657</v>
      </c>
      <c r="G279" t="s">
        <v>8340</v>
      </c>
    </row>
    <row r="280" spans="2:7">
      <c r="B280" s="871">
        <v>46270</v>
      </c>
      <c r="C280" t="s">
        <v>2474</v>
      </c>
      <c r="D280" t="s">
        <v>528</v>
      </c>
      <c r="E280" t="s">
        <v>1434</v>
      </c>
      <c r="F280" s="381" t="s">
        <v>70</v>
      </c>
      <c r="G280" t="s">
        <v>8341</v>
      </c>
    </row>
    <row r="281" spans="2:7">
      <c r="B281" s="871">
        <v>46270</v>
      </c>
      <c r="C281" t="s">
        <v>2474</v>
      </c>
      <c r="D281" t="s">
        <v>528</v>
      </c>
      <c r="E281" t="s">
        <v>1434</v>
      </c>
      <c r="F281" s="381" t="s">
        <v>9408</v>
      </c>
      <c r="G281" t="s">
        <v>8342</v>
      </c>
    </row>
    <row r="282" spans="2:7">
      <c r="B282" s="871">
        <v>46270</v>
      </c>
      <c r="C282" t="s">
        <v>2474</v>
      </c>
      <c r="D282" t="s">
        <v>528</v>
      </c>
      <c r="E282" t="s">
        <v>1434</v>
      </c>
      <c r="F282" s="381" t="s">
        <v>9409</v>
      </c>
      <c r="G282" t="s">
        <v>8343</v>
      </c>
    </row>
    <row r="283" spans="2:7">
      <c r="B283" s="871">
        <v>46270</v>
      </c>
      <c r="C283" t="s">
        <v>2474</v>
      </c>
      <c r="D283" t="s">
        <v>528</v>
      </c>
      <c r="E283" t="s">
        <v>1434</v>
      </c>
      <c r="F283" s="381" t="s">
        <v>1658</v>
      </c>
      <c r="G283" t="s">
        <v>8344</v>
      </c>
    </row>
    <row r="284" spans="2:7">
      <c r="B284" s="871">
        <v>46270</v>
      </c>
      <c r="C284" t="s">
        <v>2474</v>
      </c>
      <c r="D284" t="s">
        <v>528</v>
      </c>
      <c r="E284" t="s">
        <v>1434</v>
      </c>
      <c r="F284" s="381" t="s">
        <v>1659</v>
      </c>
      <c r="G284" t="s">
        <v>8345</v>
      </c>
    </row>
    <row r="285" spans="2:7">
      <c r="B285" s="871">
        <v>46270</v>
      </c>
      <c r="C285" t="s">
        <v>2474</v>
      </c>
      <c r="D285" t="s">
        <v>528</v>
      </c>
      <c r="E285" t="s">
        <v>1434</v>
      </c>
      <c r="F285" s="381" t="s">
        <v>10053</v>
      </c>
      <c r="G285" t="s">
        <v>8346</v>
      </c>
    </row>
    <row r="286" spans="2:7">
      <c r="B286" s="871">
        <v>46270</v>
      </c>
      <c r="C286" t="s">
        <v>2474</v>
      </c>
      <c r="D286" t="s">
        <v>528</v>
      </c>
      <c r="E286" t="s">
        <v>1434</v>
      </c>
      <c r="F286" s="381" t="s">
        <v>10045</v>
      </c>
      <c r="G286" t="s">
        <v>8347</v>
      </c>
    </row>
    <row r="287" spans="2:7" ht="225">
      <c r="B287" s="871">
        <v>46271</v>
      </c>
      <c r="C287" t="s">
        <v>2475</v>
      </c>
      <c r="D287" t="s">
        <v>526</v>
      </c>
      <c r="E287" t="s">
        <v>1375</v>
      </c>
      <c r="F287" s="381" t="s">
        <v>1664</v>
      </c>
      <c r="G287" t="s">
        <v>8348</v>
      </c>
    </row>
    <row r="288" spans="2:7" ht="90">
      <c r="B288" s="871">
        <v>46271</v>
      </c>
      <c r="C288" t="s">
        <v>2475</v>
      </c>
      <c r="D288" t="s">
        <v>526</v>
      </c>
      <c r="E288" t="s">
        <v>1454</v>
      </c>
      <c r="F288" s="381" t="s">
        <v>1665</v>
      </c>
      <c r="G288" t="s">
        <v>8349</v>
      </c>
    </row>
    <row r="289" spans="2:7" ht="60">
      <c r="B289" s="871">
        <v>46271</v>
      </c>
      <c r="C289" t="s">
        <v>2475</v>
      </c>
      <c r="D289" t="s">
        <v>526</v>
      </c>
      <c r="E289" t="s">
        <v>1458</v>
      </c>
      <c r="F289" s="381" t="s">
        <v>1666</v>
      </c>
      <c r="G289" t="s">
        <v>8350</v>
      </c>
    </row>
    <row r="290" spans="2:7">
      <c r="B290" s="871">
        <v>46271</v>
      </c>
      <c r="C290" t="s">
        <v>2475</v>
      </c>
      <c r="D290" t="s">
        <v>526</v>
      </c>
      <c r="E290" t="s">
        <v>1462</v>
      </c>
      <c r="F290" s="381" t="s">
        <v>1667</v>
      </c>
      <c r="G290" t="s">
        <v>8351</v>
      </c>
    </row>
    <row r="291" spans="2:7" ht="90">
      <c r="B291" s="871">
        <v>46271</v>
      </c>
      <c r="C291" t="s">
        <v>2475</v>
      </c>
      <c r="D291" t="s">
        <v>526</v>
      </c>
      <c r="E291" t="s">
        <v>1376</v>
      </c>
      <c r="F291" s="381" t="s">
        <v>1668</v>
      </c>
      <c r="G291" t="s">
        <v>8352</v>
      </c>
    </row>
    <row r="292" spans="2:7" ht="180">
      <c r="B292" s="871">
        <v>46271</v>
      </c>
      <c r="C292" t="s">
        <v>2475</v>
      </c>
      <c r="D292" t="s">
        <v>526</v>
      </c>
      <c r="E292" t="s">
        <v>1393</v>
      </c>
      <c r="F292" s="381" t="s">
        <v>1669</v>
      </c>
      <c r="G292" t="s">
        <v>8353</v>
      </c>
    </row>
    <row r="293" spans="2:7" ht="120">
      <c r="B293" s="871">
        <v>46271</v>
      </c>
      <c r="C293" t="s">
        <v>2475</v>
      </c>
      <c r="D293" t="s">
        <v>526</v>
      </c>
      <c r="E293" t="s">
        <v>1410</v>
      </c>
      <c r="F293" s="381" t="s">
        <v>1670</v>
      </c>
      <c r="G293" t="s">
        <v>8354</v>
      </c>
    </row>
    <row r="294" spans="2:7" ht="409.5">
      <c r="B294" s="871">
        <v>46271</v>
      </c>
      <c r="C294" t="s">
        <v>2475</v>
      </c>
      <c r="D294" t="s">
        <v>526</v>
      </c>
      <c r="E294" t="s">
        <v>1434</v>
      </c>
      <c r="F294" s="381" t="s">
        <v>1633</v>
      </c>
      <c r="G294" t="s">
        <v>8355</v>
      </c>
    </row>
    <row r="295" spans="2:7" ht="165">
      <c r="B295" s="871">
        <v>46271</v>
      </c>
      <c r="C295" t="s">
        <v>2475</v>
      </c>
      <c r="D295" t="s">
        <v>527</v>
      </c>
      <c r="E295" t="s">
        <v>1375</v>
      </c>
      <c r="F295" s="381" t="s">
        <v>1671</v>
      </c>
      <c r="G295" t="s">
        <v>8356</v>
      </c>
    </row>
    <row r="296" spans="2:7">
      <c r="B296" s="871">
        <v>46271</v>
      </c>
      <c r="C296" t="s">
        <v>2475</v>
      </c>
      <c r="D296" t="s">
        <v>528</v>
      </c>
      <c r="E296" t="s">
        <v>1375</v>
      </c>
      <c r="F296" s="381" t="s">
        <v>1672</v>
      </c>
      <c r="G296" t="s">
        <v>8357</v>
      </c>
    </row>
    <row r="297" spans="2:7">
      <c r="B297" s="871">
        <v>46271</v>
      </c>
      <c r="C297" t="s">
        <v>2475</v>
      </c>
      <c r="D297" t="s">
        <v>528</v>
      </c>
      <c r="E297" t="s">
        <v>1375</v>
      </c>
      <c r="F297" s="381" t="s">
        <v>1552</v>
      </c>
      <c r="G297" t="s">
        <v>8358</v>
      </c>
    </row>
    <row r="298" spans="2:7">
      <c r="B298" s="871">
        <v>46271</v>
      </c>
      <c r="C298" t="s">
        <v>2475</v>
      </c>
      <c r="D298" t="s">
        <v>528</v>
      </c>
      <c r="E298" t="s">
        <v>1375</v>
      </c>
      <c r="F298" s="381" t="s">
        <v>1499</v>
      </c>
      <c r="G298" t="s">
        <v>8359</v>
      </c>
    </row>
    <row r="299" spans="2:7">
      <c r="B299" s="871">
        <v>46271</v>
      </c>
      <c r="C299" t="s">
        <v>2475</v>
      </c>
      <c r="D299" t="s">
        <v>528</v>
      </c>
      <c r="E299" t="s">
        <v>1375</v>
      </c>
      <c r="F299" s="381" t="s">
        <v>1673</v>
      </c>
      <c r="G299" t="s">
        <v>8360</v>
      </c>
    </row>
    <row r="300" spans="2:7">
      <c r="B300" s="871">
        <v>46271</v>
      </c>
      <c r="C300" t="s">
        <v>2475</v>
      </c>
      <c r="D300" t="s">
        <v>528</v>
      </c>
      <c r="E300" t="s">
        <v>1375</v>
      </c>
      <c r="F300" s="381" t="s">
        <v>1674</v>
      </c>
      <c r="G300" t="s">
        <v>8361</v>
      </c>
    </row>
    <row r="301" spans="2:7">
      <c r="B301" s="871">
        <v>46271</v>
      </c>
      <c r="C301" t="s">
        <v>2475</v>
      </c>
      <c r="D301" t="s">
        <v>528</v>
      </c>
      <c r="E301" t="s">
        <v>1375</v>
      </c>
      <c r="F301" s="381" t="s">
        <v>1675</v>
      </c>
      <c r="G301" t="s">
        <v>8362</v>
      </c>
    </row>
    <row r="302" spans="2:7" ht="30">
      <c r="B302" s="871">
        <v>46271</v>
      </c>
      <c r="C302" t="s">
        <v>2475</v>
      </c>
      <c r="D302" t="s">
        <v>528</v>
      </c>
      <c r="E302" t="s">
        <v>1454</v>
      </c>
      <c r="F302" s="381" t="s">
        <v>1676</v>
      </c>
      <c r="G302" t="s">
        <v>8363</v>
      </c>
    </row>
    <row r="303" spans="2:7">
      <c r="B303" s="871">
        <v>46271</v>
      </c>
      <c r="C303" t="s">
        <v>2475</v>
      </c>
      <c r="D303" t="s">
        <v>528</v>
      </c>
      <c r="E303" t="s">
        <v>1458</v>
      </c>
      <c r="F303" s="381" t="s">
        <v>1677</v>
      </c>
      <c r="G303" t="s">
        <v>8364</v>
      </c>
    </row>
    <row r="304" spans="2:7">
      <c r="B304" s="871">
        <v>46271</v>
      </c>
      <c r="C304" t="s">
        <v>2475</v>
      </c>
      <c r="D304" t="s">
        <v>528</v>
      </c>
      <c r="E304" t="s">
        <v>1458</v>
      </c>
      <c r="F304" s="381" t="s">
        <v>1678</v>
      </c>
      <c r="G304" t="s">
        <v>8365</v>
      </c>
    </row>
    <row r="305" spans="2:7">
      <c r="B305" s="871">
        <v>46271</v>
      </c>
      <c r="C305" t="s">
        <v>2475</v>
      </c>
      <c r="D305" t="s">
        <v>528</v>
      </c>
      <c r="E305" t="s">
        <v>1458</v>
      </c>
      <c r="F305" s="381" t="s">
        <v>1679</v>
      </c>
      <c r="G305" t="s">
        <v>8366</v>
      </c>
    </row>
    <row r="306" spans="2:7">
      <c r="B306" s="871">
        <v>46271</v>
      </c>
      <c r="C306" t="s">
        <v>2475</v>
      </c>
      <c r="D306" t="s">
        <v>528</v>
      </c>
      <c r="E306" t="s">
        <v>1458</v>
      </c>
      <c r="F306" s="381" t="s">
        <v>1680</v>
      </c>
      <c r="G306" t="s">
        <v>8367</v>
      </c>
    </row>
    <row r="307" spans="2:7">
      <c r="B307" s="871">
        <v>46271</v>
      </c>
      <c r="C307" t="s">
        <v>2475</v>
      </c>
      <c r="D307" t="s">
        <v>528</v>
      </c>
      <c r="E307" t="s">
        <v>1474</v>
      </c>
      <c r="F307" s="381" t="s">
        <v>1681</v>
      </c>
      <c r="G307" t="s">
        <v>8368</v>
      </c>
    </row>
    <row r="308" spans="2:7">
      <c r="B308" s="871">
        <v>46271</v>
      </c>
      <c r="C308" t="s">
        <v>2475</v>
      </c>
      <c r="D308" t="s">
        <v>528</v>
      </c>
      <c r="E308" t="s">
        <v>1376</v>
      </c>
      <c r="F308" s="381" t="s">
        <v>1605</v>
      </c>
      <c r="G308" t="s">
        <v>8369</v>
      </c>
    </row>
    <row r="309" spans="2:7">
      <c r="B309" s="871">
        <v>46271</v>
      </c>
      <c r="C309" t="s">
        <v>2475</v>
      </c>
      <c r="D309" t="s">
        <v>528</v>
      </c>
      <c r="E309" t="s">
        <v>1376</v>
      </c>
      <c r="F309" s="381" t="s">
        <v>1510</v>
      </c>
      <c r="G309" t="s">
        <v>8370</v>
      </c>
    </row>
    <row r="310" spans="2:7">
      <c r="B310" s="871">
        <v>46271</v>
      </c>
      <c r="C310" t="s">
        <v>2475</v>
      </c>
      <c r="D310" t="s">
        <v>528</v>
      </c>
      <c r="E310" t="s">
        <v>1376</v>
      </c>
      <c r="F310" s="381" t="s">
        <v>1682</v>
      </c>
      <c r="G310" t="s">
        <v>8371</v>
      </c>
    </row>
    <row r="311" spans="2:7">
      <c r="B311" s="871">
        <v>46271</v>
      </c>
      <c r="C311" t="s">
        <v>2475</v>
      </c>
      <c r="D311" t="s">
        <v>528</v>
      </c>
      <c r="E311" t="s">
        <v>1376</v>
      </c>
      <c r="F311" s="381" t="s">
        <v>1683</v>
      </c>
      <c r="G311" t="s">
        <v>8372</v>
      </c>
    </row>
    <row r="312" spans="2:7">
      <c r="B312" s="871">
        <v>46271</v>
      </c>
      <c r="C312" t="s">
        <v>2475</v>
      </c>
      <c r="D312" t="s">
        <v>528</v>
      </c>
      <c r="E312" t="s">
        <v>1376</v>
      </c>
      <c r="F312" s="381" t="s">
        <v>1564</v>
      </c>
      <c r="G312" t="s">
        <v>8373</v>
      </c>
    </row>
    <row r="313" spans="2:7">
      <c r="B313" s="871">
        <v>46271</v>
      </c>
      <c r="C313" t="s">
        <v>2475</v>
      </c>
      <c r="D313" t="s">
        <v>528</v>
      </c>
      <c r="E313" t="s">
        <v>1410</v>
      </c>
      <c r="F313" s="381" t="s">
        <v>1433</v>
      </c>
      <c r="G313" t="s">
        <v>8374</v>
      </c>
    </row>
    <row r="314" spans="2:7">
      <c r="B314" s="871">
        <v>46271</v>
      </c>
      <c r="C314" t="s">
        <v>2475</v>
      </c>
      <c r="D314" t="s">
        <v>528</v>
      </c>
      <c r="E314" t="s">
        <v>1410</v>
      </c>
      <c r="F314" s="381" t="s">
        <v>1684</v>
      </c>
      <c r="G314" t="s">
        <v>8375</v>
      </c>
    </row>
    <row r="315" spans="2:7">
      <c r="B315" s="871">
        <v>46271</v>
      </c>
      <c r="C315" t="s">
        <v>2475</v>
      </c>
      <c r="D315" t="s">
        <v>528</v>
      </c>
      <c r="E315" t="s">
        <v>1410</v>
      </c>
      <c r="F315" s="381" t="s">
        <v>1685</v>
      </c>
      <c r="G315" t="s">
        <v>8376</v>
      </c>
    </row>
    <row r="316" spans="2:7">
      <c r="B316" s="871">
        <v>46271</v>
      </c>
      <c r="C316" t="s">
        <v>2475</v>
      </c>
      <c r="D316" t="s">
        <v>528</v>
      </c>
      <c r="E316" t="s">
        <v>1410</v>
      </c>
      <c r="F316" s="381" t="s">
        <v>1650</v>
      </c>
      <c r="G316" t="s">
        <v>8377</v>
      </c>
    </row>
    <row r="317" spans="2:7">
      <c r="B317" s="871">
        <v>46271</v>
      </c>
      <c r="C317" t="s">
        <v>2475</v>
      </c>
      <c r="D317" t="s">
        <v>528</v>
      </c>
      <c r="E317" t="s">
        <v>1410</v>
      </c>
      <c r="F317" s="381" t="s">
        <v>1686</v>
      </c>
      <c r="G317" t="s">
        <v>8378</v>
      </c>
    </row>
    <row r="318" spans="2:7">
      <c r="B318" s="871">
        <v>46271</v>
      </c>
      <c r="C318" t="s">
        <v>2475</v>
      </c>
      <c r="D318" t="s">
        <v>528</v>
      </c>
      <c r="E318" t="s">
        <v>1410</v>
      </c>
      <c r="F318" s="381" t="s">
        <v>1687</v>
      </c>
      <c r="G318" t="s">
        <v>8379</v>
      </c>
    </row>
    <row r="319" spans="2:7">
      <c r="B319" s="871">
        <v>46271</v>
      </c>
      <c r="C319" t="s">
        <v>2475</v>
      </c>
      <c r="D319" t="s">
        <v>528</v>
      </c>
      <c r="E319" t="s">
        <v>1410</v>
      </c>
      <c r="F319" s="381" t="s">
        <v>1688</v>
      </c>
      <c r="G319" t="s">
        <v>8380</v>
      </c>
    </row>
    <row r="320" spans="2:7">
      <c r="B320" s="871">
        <v>46271</v>
      </c>
      <c r="C320" t="s">
        <v>2475</v>
      </c>
      <c r="D320" t="s">
        <v>528</v>
      </c>
      <c r="E320" t="s">
        <v>1393</v>
      </c>
      <c r="F320" s="381" t="s">
        <v>1689</v>
      </c>
      <c r="G320" t="s">
        <v>8381</v>
      </c>
    </row>
    <row r="321" spans="2:7">
      <c r="B321" s="871">
        <v>46271</v>
      </c>
      <c r="C321" t="s">
        <v>2475</v>
      </c>
      <c r="D321" t="s">
        <v>528</v>
      </c>
      <c r="E321" t="s">
        <v>1393</v>
      </c>
      <c r="F321" s="381" t="s">
        <v>1690</v>
      </c>
      <c r="G321" t="s">
        <v>8382</v>
      </c>
    </row>
    <row r="322" spans="2:7">
      <c r="B322" s="871">
        <v>46271</v>
      </c>
      <c r="C322" t="s">
        <v>2475</v>
      </c>
      <c r="D322" t="s">
        <v>528</v>
      </c>
      <c r="E322" t="s">
        <v>1393</v>
      </c>
      <c r="F322" s="381" t="s">
        <v>1691</v>
      </c>
      <c r="G322" t="s">
        <v>8383</v>
      </c>
    </row>
    <row r="323" spans="2:7">
      <c r="B323" s="871">
        <v>46271</v>
      </c>
      <c r="C323" t="s">
        <v>2475</v>
      </c>
      <c r="D323" t="s">
        <v>528</v>
      </c>
      <c r="E323" t="s">
        <v>1393</v>
      </c>
      <c r="F323" s="381" t="s">
        <v>1652</v>
      </c>
      <c r="G323" t="s">
        <v>8384</v>
      </c>
    </row>
    <row r="324" spans="2:7">
      <c r="B324" s="871">
        <v>46271</v>
      </c>
      <c r="C324" t="s">
        <v>2475</v>
      </c>
      <c r="D324" t="s">
        <v>528</v>
      </c>
      <c r="E324" t="s">
        <v>1393</v>
      </c>
      <c r="F324" s="381" t="s">
        <v>1692</v>
      </c>
      <c r="G324" t="s">
        <v>8385</v>
      </c>
    </row>
    <row r="325" spans="2:7">
      <c r="B325" s="871">
        <v>46271</v>
      </c>
      <c r="C325" t="s">
        <v>2475</v>
      </c>
      <c r="D325" t="s">
        <v>528</v>
      </c>
      <c r="E325" t="s">
        <v>1393</v>
      </c>
      <c r="F325" s="381" t="s">
        <v>1693</v>
      </c>
      <c r="G325" t="s">
        <v>8386</v>
      </c>
    </row>
    <row r="326" spans="2:7">
      <c r="B326" s="871">
        <v>46271</v>
      </c>
      <c r="C326" t="s">
        <v>2475</v>
      </c>
      <c r="D326" t="s">
        <v>528</v>
      </c>
      <c r="E326" t="s">
        <v>1393</v>
      </c>
      <c r="F326" s="381" t="s">
        <v>1655</v>
      </c>
      <c r="G326" t="s">
        <v>8387</v>
      </c>
    </row>
    <row r="327" spans="2:7">
      <c r="B327" s="871">
        <v>46271</v>
      </c>
      <c r="C327" t="s">
        <v>2475</v>
      </c>
      <c r="D327" t="s">
        <v>528</v>
      </c>
      <c r="E327" t="s">
        <v>1393</v>
      </c>
      <c r="F327" s="381" t="s">
        <v>1694</v>
      </c>
      <c r="G327" t="s">
        <v>8388</v>
      </c>
    </row>
    <row r="328" spans="2:7">
      <c r="B328" s="871">
        <v>46271</v>
      </c>
      <c r="C328" t="s">
        <v>2475</v>
      </c>
      <c r="D328" t="s">
        <v>528</v>
      </c>
      <c r="E328" t="s">
        <v>1393</v>
      </c>
      <c r="F328" s="381" t="s">
        <v>1695</v>
      </c>
      <c r="G328" t="s">
        <v>8389</v>
      </c>
    </row>
    <row r="329" spans="2:7">
      <c r="B329" s="871">
        <v>46271</v>
      </c>
      <c r="C329" t="s">
        <v>2475</v>
      </c>
      <c r="D329" t="s">
        <v>528</v>
      </c>
      <c r="E329" t="s">
        <v>1434</v>
      </c>
      <c r="F329" s="381" t="s">
        <v>70</v>
      </c>
      <c r="G329" t="s">
        <v>8390</v>
      </c>
    </row>
    <row r="330" spans="2:7">
      <c r="B330" s="871">
        <v>46271</v>
      </c>
      <c r="C330" t="s">
        <v>2475</v>
      </c>
      <c r="D330" t="s">
        <v>528</v>
      </c>
      <c r="E330" t="s">
        <v>1434</v>
      </c>
      <c r="F330" s="381" t="s">
        <v>9408</v>
      </c>
      <c r="G330" t="s">
        <v>8391</v>
      </c>
    </row>
    <row r="331" spans="2:7">
      <c r="B331" s="871">
        <v>46271</v>
      </c>
      <c r="C331" t="s">
        <v>2475</v>
      </c>
      <c r="D331" t="s">
        <v>528</v>
      </c>
      <c r="E331" t="s">
        <v>1434</v>
      </c>
      <c r="F331" s="381" t="s">
        <v>9409</v>
      </c>
      <c r="G331" t="s">
        <v>8392</v>
      </c>
    </row>
    <row r="332" spans="2:7">
      <c r="B332" s="871">
        <v>46271</v>
      </c>
      <c r="C332" t="s">
        <v>2475</v>
      </c>
      <c r="D332" t="s">
        <v>528</v>
      </c>
      <c r="E332" t="s">
        <v>1434</v>
      </c>
      <c r="F332" s="381" t="s">
        <v>1696</v>
      </c>
      <c r="G332" t="s">
        <v>8393</v>
      </c>
    </row>
    <row r="333" spans="2:7">
      <c r="B333" s="871">
        <v>46271</v>
      </c>
      <c r="C333" t="s">
        <v>2475</v>
      </c>
      <c r="D333" t="s">
        <v>528</v>
      </c>
      <c r="E333" t="s">
        <v>1434</v>
      </c>
      <c r="F333" s="381" t="s">
        <v>1697</v>
      </c>
      <c r="G333" t="s">
        <v>8394</v>
      </c>
    </row>
    <row r="334" spans="2:7">
      <c r="B334" s="871">
        <v>46271</v>
      </c>
      <c r="C334" t="s">
        <v>2475</v>
      </c>
      <c r="D334" t="s">
        <v>528</v>
      </c>
      <c r="E334" t="s">
        <v>1434</v>
      </c>
      <c r="F334" s="381" t="s">
        <v>1698</v>
      </c>
      <c r="G334" t="s">
        <v>8395</v>
      </c>
    </row>
    <row r="335" spans="2:7">
      <c r="B335" s="871">
        <v>46271</v>
      </c>
      <c r="C335" t="s">
        <v>2475</v>
      </c>
      <c r="D335" t="s">
        <v>528</v>
      </c>
      <c r="E335" t="s">
        <v>1434</v>
      </c>
      <c r="F335" s="381" t="s">
        <v>10054</v>
      </c>
      <c r="G335" t="s">
        <v>8396</v>
      </c>
    </row>
    <row r="336" spans="2:7">
      <c r="B336" s="871">
        <v>46271</v>
      </c>
      <c r="C336" t="s">
        <v>2475</v>
      </c>
      <c r="D336" t="s">
        <v>528</v>
      </c>
      <c r="E336" t="s">
        <v>1434</v>
      </c>
      <c r="F336" s="381" t="s">
        <v>10055</v>
      </c>
      <c r="G336" t="s">
        <v>8397</v>
      </c>
    </row>
    <row r="337" spans="2:7" ht="45">
      <c r="B337" s="871">
        <v>46272</v>
      </c>
      <c r="C337" t="s">
        <v>2476</v>
      </c>
      <c r="D337" t="s">
        <v>526</v>
      </c>
      <c r="E337" t="s">
        <v>1375</v>
      </c>
      <c r="F337" s="381" t="s">
        <v>1703</v>
      </c>
      <c r="G337" t="s">
        <v>8398</v>
      </c>
    </row>
    <row r="338" spans="2:7" ht="90">
      <c r="B338" s="871">
        <v>46272</v>
      </c>
      <c r="C338" t="s">
        <v>2476</v>
      </c>
      <c r="D338" t="s">
        <v>526</v>
      </c>
      <c r="E338" t="s">
        <v>1454</v>
      </c>
      <c r="F338" s="381" t="s">
        <v>1665</v>
      </c>
      <c r="G338" t="s">
        <v>8399</v>
      </c>
    </row>
    <row r="339" spans="2:7" ht="60">
      <c r="B339" s="871">
        <v>46272</v>
      </c>
      <c r="C339" t="s">
        <v>2476</v>
      </c>
      <c r="D339" t="s">
        <v>526</v>
      </c>
      <c r="E339" t="s">
        <v>1458</v>
      </c>
      <c r="F339" s="381" t="s">
        <v>1666</v>
      </c>
      <c r="G339" t="s">
        <v>8400</v>
      </c>
    </row>
    <row r="340" spans="2:7">
      <c r="B340" s="871">
        <v>46272</v>
      </c>
      <c r="C340" t="s">
        <v>2476</v>
      </c>
      <c r="D340" t="s">
        <v>526</v>
      </c>
      <c r="E340" t="s">
        <v>1462</v>
      </c>
      <c r="F340" s="381" t="s">
        <v>1667</v>
      </c>
      <c r="G340" t="s">
        <v>8401</v>
      </c>
    </row>
    <row r="341" spans="2:7" ht="180">
      <c r="B341" s="871">
        <v>46272</v>
      </c>
      <c r="C341" t="s">
        <v>2476</v>
      </c>
      <c r="D341" t="s">
        <v>526</v>
      </c>
      <c r="E341" t="s">
        <v>1376</v>
      </c>
      <c r="F341" s="381" t="s">
        <v>1704</v>
      </c>
      <c r="G341" t="s">
        <v>8402</v>
      </c>
    </row>
    <row r="342" spans="2:7" ht="105">
      <c r="B342" s="871">
        <v>46272</v>
      </c>
      <c r="C342" t="s">
        <v>2476</v>
      </c>
      <c r="D342" t="s">
        <v>526</v>
      </c>
      <c r="E342" t="s">
        <v>1393</v>
      </c>
      <c r="F342" s="381" t="s">
        <v>1705</v>
      </c>
      <c r="G342" t="s">
        <v>8403</v>
      </c>
    </row>
    <row r="343" spans="2:7">
      <c r="B343" s="871">
        <v>46272</v>
      </c>
      <c r="C343" t="s">
        <v>2476</v>
      </c>
      <c r="D343" t="s">
        <v>526</v>
      </c>
      <c r="E343" t="s">
        <v>1465</v>
      </c>
      <c r="F343" s="381" t="s">
        <v>1706</v>
      </c>
      <c r="G343" t="s">
        <v>8404</v>
      </c>
    </row>
    <row r="344" spans="2:7" ht="105">
      <c r="B344" s="871">
        <v>46272</v>
      </c>
      <c r="C344" t="s">
        <v>2476</v>
      </c>
      <c r="D344" t="s">
        <v>526</v>
      </c>
      <c r="E344" t="s">
        <v>1410</v>
      </c>
      <c r="F344" s="381" t="s">
        <v>1707</v>
      </c>
      <c r="G344" t="s">
        <v>8405</v>
      </c>
    </row>
    <row r="345" spans="2:7" ht="409.5">
      <c r="B345" s="871">
        <v>46272</v>
      </c>
      <c r="C345" t="s">
        <v>2476</v>
      </c>
      <c r="D345" t="s">
        <v>526</v>
      </c>
      <c r="E345" t="s">
        <v>1434</v>
      </c>
      <c r="F345" s="381" t="s">
        <v>1708</v>
      </c>
      <c r="G345" t="s">
        <v>8406</v>
      </c>
    </row>
    <row r="346" spans="2:7" ht="150">
      <c r="B346" s="871">
        <v>46272</v>
      </c>
      <c r="C346" t="s">
        <v>2476</v>
      </c>
      <c r="D346" t="s">
        <v>527</v>
      </c>
      <c r="E346" t="s">
        <v>1375</v>
      </c>
      <c r="F346" s="381" t="s">
        <v>1709</v>
      </c>
      <c r="G346" t="s">
        <v>8407</v>
      </c>
    </row>
    <row r="347" spans="2:7" ht="90">
      <c r="B347" s="871">
        <v>46272</v>
      </c>
      <c r="C347" t="s">
        <v>2476</v>
      </c>
      <c r="D347" t="s">
        <v>527</v>
      </c>
      <c r="E347" t="s">
        <v>1454</v>
      </c>
      <c r="F347" s="381" t="s">
        <v>1710</v>
      </c>
      <c r="G347" t="s">
        <v>8408</v>
      </c>
    </row>
    <row r="348" spans="2:7" ht="105">
      <c r="B348" s="871">
        <v>46272</v>
      </c>
      <c r="C348" t="s">
        <v>2476</v>
      </c>
      <c r="D348" t="s">
        <v>527</v>
      </c>
      <c r="E348" t="s">
        <v>1472</v>
      </c>
      <c r="F348" s="381" t="s">
        <v>1711</v>
      </c>
      <c r="G348" t="s">
        <v>8409</v>
      </c>
    </row>
    <row r="349" spans="2:7">
      <c r="B349" s="871">
        <v>46272</v>
      </c>
      <c r="C349" t="s">
        <v>2476</v>
      </c>
      <c r="D349" t="s">
        <v>527</v>
      </c>
      <c r="E349" t="s">
        <v>1474</v>
      </c>
      <c r="F349" s="381" t="s">
        <v>1712</v>
      </c>
      <c r="G349" t="s">
        <v>8410</v>
      </c>
    </row>
    <row r="350" spans="2:7" ht="90">
      <c r="B350" s="871">
        <v>46272</v>
      </c>
      <c r="C350" t="s">
        <v>2476</v>
      </c>
      <c r="D350" t="s">
        <v>527</v>
      </c>
      <c r="E350" t="s">
        <v>1474</v>
      </c>
      <c r="F350" s="381" t="s">
        <v>1713</v>
      </c>
      <c r="G350" t="s">
        <v>8411</v>
      </c>
    </row>
    <row r="351" spans="2:7" ht="150">
      <c r="B351" s="871">
        <v>46272</v>
      </c>
      <c r="C351" t="s">
        <v>2476</v>
      </c>
      <c r="D351" t="s">
        <v>527</v>
      </c>
      <c r="E351" t="s">
        <v>1393</v>
      </c>
      <c r="F351" s="381" t="s">
        <v>1714</v>
      </c>
      <c r="G351" t="s">
        <v>8412</v>
      </c>
    </row>
    <row r="352" spans="2:7" ht="330">
      <c r="B352" s="871">
        <v>46272</v>
      </c>
      <c r="C352" t="s">
        <v>2476</v>
      </c>
      <c r="D352" t="s">
        <v>527</v>
      </c>
      <c r="E352" t="s">
        <v>1410</v>
      </c>
      <c r="F352" s="381" t="s">
        <v>1715</v>
      </c>
      <c r="G352" t="s">
        <v>8413</v>
      </c>
    </row>
    <row r="353" spans="2:7" ht="409.5">
      <c r="B353" s="871">
        <v>46272</v>
      </c>
      <c r="C353" t="s">
        <v>2476</v>
      </c>
      <c r="D353" t="s">
        <v>527</v>
      </c>
      <c r="E353" t="s">
        <v>1434</v>
      </c>
      <c r="F353" s="381" t="s">
        <v>1716</v>
      </c>
      <c r="G353" t="s">
        <v>8414</v>
      </c>
    </row>
    <row r="354" spans="2:7">
      <c r="B354" s="871">
        <v>46272</v>
      </c>
      <c r="C354" t="s">
        <v>2476</v>
      </c>
      <c r="D354" t="s">
        <v>528</v>
      </c>
      <c r="E354" t="s">
        <v>1375</v>
      </c>
      <c r="F354" s="381" t="s">
        <v>1717</v>
      </c>
      <c r="G354" t="s">
        <v>8415</v>
      </c>
    </row>
    <row r="355" spans="2:7">
      <c r="B355" s="871">
        <v>46272</v>
      </c>
      <c r="C355" t="s">
        <v>2476</v>
      </c>
      <c r="D355" t="s">
        <v>528</v>
      </c>
      <c r="E355" t="s">
        <v>1375</v>
      </c>
      <c r="F355" s="381" t="s">
        <v>1718</v>
      </c>
      <c r="G355" t="s">
        <v>8416</v>
      </c>
    </row>
    <row r="356" spans="2:7">
      <c r="B356" s="871">
        <v>46272</v>
      </c>
      <c r="C356" t="s">
        <v>2476</v>
      </c>
      <c r="D356" t="s">
        <v>528</v>
      </c>
      <c r="E356" t="s">
        <v>1375</v>
      </c>
      <c r="F356" s="381" t="s">
        <v>1719</v>
      </c>
      <c r="G356" t="s">
        <v>8417</v>
      </c>
    </row>
    <row r="357" spans="2:7">
      <c r="B357" s="871">
        <v>46272</v>
      </c>
      <c r="C357" t="s">
        <v>2476</v>
      </c>
      <c r="D357" t="s">
        <v>528</v>
      </c>
      <c r="E357" t="s">
        <v>1375</v>
      </c>
      <c r="F357" s="381" t="s">
        <v>1720</v>
      </c>
      <c r="G357" t="s">
        <v>8418</v>
      </c>
    </row>
    <row r="358" spans="2:7" ht="30">
      <c r="B358" s="871">
        <v>46272</v>
      </c>
      <c r="C358" t="s">
        <v>2476</v>
      </c>
      <c r="D358" t="s">
        <v>528</v>
      </c>
      <c r="E358" t="s">
        <v>1454</v>
      </c>
      <c r="F358" s="381" t="s">
        <v>1721</v>
      </c>
      <c r="G358" t="s">
        <v>8419</v>
      </c>
    </row>
    <row r="359" spans="2:7">
      <c r="B359" s="871">
        <v>46272</v>
      </c>
      <c r="C359" t="s">
        <v>2476</v>
      </c>
      <c r="D359" t="s">
        <v>528</v>
      </c>
      <c r="E359" t="s">
        <v>1458</v>
      </c>
      <c r="F359" s="381" t="s">
        <v>1722</v>
      </c>
      <c r="G359" t="s">
        <v>8420</v>
      </c>
    </row>
    <row r="360" spans="2:7">
      <c r="B360" s="871">
        <v>46272</v>
      </c>
      <c r="C360" t="s">
        <v>2476</v>
      </c>
      <c r="D360" t="s">
        <v>528</v>
      </c>
      <c r="E360" t="s">
        <v>1458</v>
      </c>
      <c r="F360" s="381" t="s">
        <v>1723</v>
      </c>
      <c r="G360" t="s">
        <v>8421</v>
      </c>
    </row>
    <row r="361" spans="2:7">
      <c r="B361" s="871">
        <v>46272</v>
      </c>
      <c r="C361" t="s">
        <v>2476</v>
      </c>
      <c r="D361" t="s">
        <v>528</v>
      </c>
      <c r="E361" t="s">
        <v>1458</v>
      </c>
      <c r="F361" s="381" t="s">
        <v>1724</v>
      </c>
      <c r="G361" t="s">
        <v>8422</v>
      </c>
    </row>
    <row r="362" spans="2:7">
      <c r="B362" s="871">
        <v>46272</v>
      </c>
      <c r="C362" t="s">
        <v>2476</v>
      </c>
      <c r="D362" t="s">
        <v>528</v>
      </c>
      <c r="E362" t="s">
        <v>1458</v>
      </c>
      <c r="F362" s="381" t="s">
        <v>1725</v>
      </c>
      <c r="G362" t="s">
        <v>8423</v>
      </c>
    </row>
    <row r="363" spans="2:7">
      <c r="B363" s="871">
        <v>46272</v>
      </c>
      <c r="C363" t="s">
        <v>2476</v>
      </c>
      <c r="D363" t="s">
        <v>528</v>
      </c>
      <c r="E363" t="s">
        <v>1376</v>
      </c>
      <c r="F363" s="381" t="s">
        <v>1605</v>
      </c>
      <c r="G363" t="s">
        <v>8424</v>
      </c>
    </row>
    <row r="364" spans="2:7">
      <c r="B364" s="871">
        <v>46272</v>
      </c>
      <c r="C364" t="s">
        <v>2476</v>
      </c>
      <c r="D364" t="s">
        <v>528</v>
      </c>
      <c r="E364" t="s">
        <v>1376</v>
      </c>
      <c r="F364" s="381" t="s">
        <v>1510</v>
      </c>
      <c r="G364" t="s">
        <v>8425</v>
      </c>
    </row>
    <row r="365" spans="2:7">
      <c r="B365" s="871">
        <v>46272</v>
      </c>
      <c r="C365" t="s">
        <v>2476</v>
      </c>
      <c r="D365" t="s">
        <v>528</v>
      </c>
      <c r="E365" t="s">
        <v>1376</v>
      </c>
      <c r="F365" s="381" t="s">
        <v>1726</v>
      </c>
      <c r="G365" t="s">
        <v>8426</v>
      </c>
    </row>
    <row r="366" spans="2:7">
      <c r="B366" s="871">
        <v>46272</v>
      </c>
      <c r="C366" t="s">
        <v>2476</v>
      </c>
      <c r="D366" t="s">
        <v>528</v>
      </c>
      <c r="E366" t="s">
        <v>1376</v>
      </c>
      <c r="F366" s="381" t="s">
        <v>1727</v>
      </c>
      <c r="G366" t="s">
        <v>8427</v>
      </c>
    </row>
    <row r="367" spans="2:7">
      <c r="B367" s="871">
        <v>46272</v>
      </c>
      <c r="C367" t="s">
        <v>2476</v>
      </c>
      <c r="D367" t="s">
        <v>528</v>
      </c>
      <c r="E367" t="s">
        <v>1376</v>
      </c>
      <c r="F367" s="381" t="s">
        <v>1564</v>
      </c>
      <c r="G367" t="s">
        <v>8428</v>
      </c>
    </row>
    <row r="368" spans="2:7">
      <c r="B368" s="871">
        <v>46272</v>
      </c>
      <c r="C368" t="s">
        <v>2476</v>
      </c>
      <c r="D368" t="s">
        <v>528</v>
      </c>
      <c r="E368" t="s">
        <v>1410</v>
      </c>
      <c r="F368" s="381" t="s">
        <v>1433</v>
      </c>
      <c r="G368" t="s">
        <v>8429</v>
      </c>
    </row>
    <row r="369" spans="2:7">
      <c r="B369" s="871">
        <v>46272</v>
      </c>
      <c r="C369" t="s">
        <v>2476</v>
      </c>
      <c r="D369" t="s">
        <v>528</v>
      </c>
      <c r="E369" t="s">
        <v>1410</v>
      </c>
      <c r="F369" s="381" t="s">
        <v>1728</v>
      </c>
      <c r="G369" t="s">
        <v>8430</v>
      </c>
    </row>
    <row r="370" spans="2:7">
      <c r="B370" s="871">
        <v>46272</v>
      </c>
      <c r="C370" t="s">
        <v>2476</v>
      </c>
      <c r="D370" t="s">
        <v>528</v>
      </c>
      <c r="E370" t="s">
        <v>1410</v>
      </c>
      <c r="F370" s="381" t="s">
        <v>1729</v>
      </c>
      <c r="G370" t="s">
        <v>8431</v>
      </c>
    </row>
    <row r="371" spans="2:7">
      <c r="B371" s="871">
        <v>46272</v>
      </c>
      <c r="C371" t="s">
        <v>2476</v>
      </c>
      <c r="D371" t="s">
        <v>528</v>
      </c>
      <c r="E371" t="s">
        <v>1410</v>
      </c>
      <c r="F371" s="381" t="s">
        <v>1650</v>
      </c>
      <c r="G371" t="s">
        <v>8432</v>
      </c>
    </row>
    <row r="372" spans="2:7">
      <c r="B372" s="871">
        <v>46272</v>
      </c>
      <c r="C372" t="s">
        <v>2476</v>
      </c>
      <c r="D372" t="s">
        <v>528</v>
      </c>
      <c r="E372" t="s">
        <v>1410</v>
      </c>
      <c r="F372" s="381" t="s">
        <v>1730</v>
      </c>
      <c r="G372" t="s">
        <v>8433</v>
      </c>
    </row>
    <row r="373" spans="2:7">
      <c r="B373" s="871">
        <v>46272</v>
      </c>
      <c r="C373" t="s">
        <v>2476</v>
      </c>
      <c r="D373" t="s">
        <v>528</v>
      </c>
      <c r="E373" t="s">
        <v>1410</v>
      </c>
      <c r="F373" s="381" t="s">
        <v>1731</v>
      </c>
      <c r="G373" t="s">
        <v>8434</v>
      </c>
    </row>
    <row r="374" spans="2:7">
      <c r="B374" s="871">
        <v>46272</v>
      </c>
      <c r="C374" t="s">
        <v>2476</v>
      </c>
      <c r="D374" t="s">
        <v>528</v>
      </c>
      <c r="E374" t="s">
        <v>1410</v>
      </c>
      <c r="F374" s="381" t="s">
        <v>1732</v>
      </c>
      <c r="G374" t="s">
        <v>8435</v>
      </c>
    </row>
    <row r="375" spans="2:7">
      <c r="B375" s="871">
        <v>46272</v>
      </c>
      <c r="C375" t="s">
        <v>2476</v>
      </c>
      <c r="D375" t="s">
        <v>528</v>
      </c>
      <c r="E375" t="s">
        <v>1393</v>
      </c>
      <c r="F375" s="381" t="s">
        <v>1733</v>
      </c>
      <c r="G375" t="s">
        <v>8436</v>
      </c>
    </row>
    <row r="376" spans="2:7">
      <c r="B376" s="871">
        <v>46272</v>
      </c>
      <c r="C376" t="s">
        <v>2476</v>
      </c>
      <c r="D376" t="s">
        <v>528</v>
      </c>
      <c r="E376" t="s">
        <v>1393</v>
      </c>
      <c r="F376" s="381" t="s">
        <v>1734</v>
      </c>
      <c r="G376" t="s">
        <v>8437</v>
      </c>
    </row>
    <row r="377" spans="2:7">
      <c r="B377" s="871">
        <v>46272</v>
      </c>
      <c r="C377" t="s">
        <v>2476</v>
      </c>
      <c r="D377" t="s">
        <v>528</v>
      </c>
      <c r="E377" t="s">
        <v>1393</v>
      </c>
      <c r="F377" s="381" t="s">
        <v>1691</v>
      </c>
      <c r="G377" t="s">
        <v>8438</v>
      </c>
    </row>
    <row r="378" spans="2:7">
      <c r="B378" s="871">
        <v>46272</v>
      </c>
      <c r="C378" t="s">
        <v>2476</v>
      </c>
      <c r="D378" t="s">
        <v>528</v>
      </c>
      <c r="E378" t="s">
        <v>1393</v>
      </c>
      <c r="F378" s="381" t="s">
        <v>1652</v>
      </c>
      <c r="G378" t="s">
        <v>8439</v>
      </c>
    </row>
    <row r="379" spans="2:7">
      <c r="B379" s="871">
        <v>46272</v>
      </c>
      <c r="C379" t="s">
        <v>2476</v>
      </c>
      <c r="D379" t="s">
        <v>528</v>
      </c>
      <c r="E379" t="s">
        <v>1393</v>
      </c>
      <c r="F379" s="381" t="s">
        <v>1735</v>
      </c>
      <c r="G379" t="s">
        <v>8440</v>
      </c>
    </row>
    <row r="380" spans="2:7">
      <c r="B380" s="871">
        <v>46272</v>
      </c>
      <c r="C380" t="s">
        <v>2476</v>
      </c>
      <c r="D380" t="s">
        <v>528</v>
      </c>
      <c r="E380" t="s">
        <v>1393</v>
      </c>
      <c r="F380" s="381" t="s">
        <v>1654</v>
      </c>
      <c r="G380" t="s">
        <v>8441</v>
      </c>
    </row>
    <row r="381" spans="2:7">
      <c r="B381" s="871">
        <v>46272</v>
      </c>
      <c r="C381" t="s">
        <v>2476</v>
      </c>
      <c r="D381" t="s">
        <v>528</v>
      </c>
      <c r="E381" t="s">
        <v>1393</v>
      </c>
      <c r="F381" s="381" t="s">
        <v>1736</v>
      </c>
      <c r="G381" t="s">
        <v>8442</v>
      </c>
    </row>
    <row r="382" spans="2:7">
      <c r="B382" s="871">
        <v>46272</v>
      </c>
      <c r="C382" t="s">
        <v>2476</v>
      </c>
      <c r="D382" t="s">
        <v>528</v>
      </c>
      <c r="E382" t="s">
        <v>1393</v>
      </c>
      <c r="F382" s="381" t="s">
        <v>1737</v>
      </c>
      <c r="G382" t="s">
        <v>8443</v>
      </c>
    </row>
    <row r="383" spans="2:7">
      <c r="B383" s="871">
        <v>46272</v>
      </c>
      <c r="C383" t="s">
        <v>2476</v>
      </c>
      <c r="D383" t="s">
        <v>528</v>
      </c>
      <c r="E383" t="s">
        <v>1393</v>
      </c>
      <c r="F383" s="381" t="s">
        <v>1738</v>
      </c>
      <c r="G383" t="s">
        <v>8444</v>
      </c>
    </row>
    <row r="384" spans="2:7">
      <c r="B384" s="871">
        <v>46272</v>
      </c>
      <c r="C384" t="s">
        <v>2476</v>
      </c>
      <c r="D384" t="s">
        <v>528</v>
      </c>
      <c r="E384" t="s">
        <v>1434</v>
      </c>
      <c r="F384" s="381" t="s">
        <v>70</v>
      </c>
      <c r="G384" t="s">
        <v>8445</v>
      </c>
    </row>
    <row r="385" spans="2:7">
      <c r="B385" s="871">
        <v>46272</v>
      </c>
      <c r="C385" t="s">
        <v>2476</v>
      </c>
      <c r="D385" t="s">
        <v>528</v>
      </c>
      <c r="E385" t="s">
        <v>1434</v>
      </c>
      <c r="F385" s="381" t="s">
        <v>9408</v>
      </c>
      <c r="G385" t="s">
        <v>8446</v>
      </c>
    </row>
    <row r="386" spans="2:7">
      <c r="B386" s="871">
        <v>46272</v>
      </c>
      <c r="C386" t="s">
        <v>2476</v>
      </c>
      <c r="D386" t="s">
        <v>528</v>
      </c>
      <c r="E386" t="s">
        <v>1434</v>
      </c>
      <c r="F386" s="381" t="s">
        <v>9409</v>
      </c>
      <c r="G386" t="s">
        <v>8447</v>
      </c>
    </row>
    <row r="387" spans="2:7">
      <c r="B387" s="871">
        <v>46272</v>
      </c>
      <c r="C387" t="s">
        <v>2476</v>
      </c>
      <c r="D387" t="s">
        <v>528</v>
      </c>
      <c r="E387" t="s">
        <v>1434</v>
      </c>
      <c r="F387" s="381" t="s">
        <v>10056</v>
      </c>
      <c r="G387" t="s">
        <v>8448</v>
      </c>
    </row>
    <row r="388" spans="2:7">
      <c r="B388" s="871">
        <v>46272</v>
      </c>
      <c r="C388" t="s">
        <v>2476</v>
      </c>
      <c r="D388" t="s">
        <v>528</v>
      </c>
      <c r="E388" t="s">
        <v>1434</v>
      </c>
      <c r="F388" s="381" t="s">
        <v>10057</v>
      </c>
      <c r="G388" t="s">
        <v>8449</v>
      </c>
    </row>
    <row r="389" spans="2:7">
      <c r="B389" s="871">
        <v>46272</v>
      </c>
      <c r="C389" t="s">
        <v>2476</v>
      </c>
      <c r="D389" t="s">
        <v>528</v>
      </c>
      <c r="E389" t="s">
        <v>1434</v>
      </c>
      <c r="F389" s="381" t="s">
        <v>10058</v>
      </c>
      <c r="G389" t="s">
        <v>8450</v>
      </c>
    </row>
    <row r="390" spans="2:7">
      <c r="B390" s="871">
        <v>46272</v>
      </c>
      <c r="C390" t="s">
        <v>2476</v>
      </c>
      <c r="D390" t="s">
        <v>528</v>
      </c>
      <c r="E390" t="s">
        <v>1434</v>
      </c>
      <c r="F390" s="381" t="s">
        <v>10059</v>
      </c>
      <c r="G390" t="s">
        <v>8451</v>
      </c>
    </row>
    <row r="391" spans="2:7">
      <c r="B391" s="871">
        <v>46272</v>
      </c>
      <c r="C391" t="s">
        <v>2476</v>
      </c>
      <c r="D391" t="s">
        <v>528</v>
      </c>
      <c r="E391" t="s">
        <v>1434</v>
      </c>
      <c r="F391" s="381" t="s">
        <v>10060</v>
      </c>
      <c r="G391" t="s">
        <v>8452</v>
      </c>
    </row>
    <row r="392" spans="2:7">
      <c r="B392" s="871">
        <v>46272</v>
      </c>
      <c r="C392" t="s">
        <v>2476</v>
      </c>
      <c r="D392" t="s">
        <v>528</v>
      </c>
      <c r="E392" t="s">
        <v>1434</v>
      </c>
      <c r="F392" s="381" t="s">
        <v>10045</v>
      </c>
      <c r="G392" t="s">
        <v>8453</v>
      </c>
    </row>
    <row r="393" spans="2:7" ht="120">
      <c r="B393" s="871">
        <v>46273</v>
      </c>
      <c r="C393" t="s">
        <v>2477</v>
      </c>
      <c r="D393" t="s">
        <v>526</v>
      </c>
      <c r="E393" t="s">
        <v>1375</v>
      </c>
      <c r="F393" s="381" t="s">
        <v>1744</v>
      </c>
      <c r="G393" t="s">
        <v>8454</v>
      </c>
    </row>
    <row r="394" spans="2:7" ht="90">
      <c r="B394" s="871">
        <v>46273</v>
      </c>
      <c r="C394" t="s">
        <v>2477</v>
      </c>
      <c r="D394" t="s">
        <v>526</v>
      </c>
      <c r="E394" t="s">
        <v>1454</v>
      </c>
      <c r="F394" s="381" t="s">
        <v>1665</v>
      </c>
      <c r="G394" t="s">
        <v>8455</v>
      </c>
    </row>
    <row r="395" spans="2:7" ht="60">
      <c r="B395" s="871">
        <v>46273</v>
      </c>
      <c r="C395" t="s">
        <v>2477</v>
      </c>
      <c r="D395" t="s">
        <v>526</v>
      </c>
      <c r="E395" t="s">
        <v>1458</v>
      </c>
      <c r="F395" s="381" t="s">
        <v>1666</v>
      </c>
      <c r="G395" t="s">
        <v>8456</v>
      </c>
    </row>
    <row r="396" spans="2:7">
      <c r="B396" s="871">
        <v>46273</v>
      </c>
      <c r="C396" t="s">
        <v>2477</v>
      </c>
      <c r="D396" t="s">
        <v>526</v>
      </c>
      <c r="E396" t="s">
        <v>1462</v>
      </c>
      <c r="F396" s="381" t="s">
        <v>1667</v>
      </c>
      <c r="G396" t="s">
        <v>8457</v>
      </c>
    </row>
    <row r="397" spans="2:7" ht="150">
      <c r="B397" s="871">
        <v>46273</v>
      </c>
      <c r="C397" t="s">
        <v>2477</v>
      </c>
      <c r="D397" t="s">
        <v>526</v>
      </c>
      <c r="E397" t="s">
        <v>1376</v>
      </c>
      <c r="F397" s="381" t="s">
        <v>1745</v>
      </c>
      <c r="G397" t="s">
        <v>8458</v>
      </c>
    </row>
    <row r="398" spans="2:7" ht="165">
      <c r="B398" s="871">
        <v>46273</v>
      </c>
      <c r="C398" t="s">
        <v>2477</v>
      </c>
      <c r="D398" t="s">
        <v>526</v>
      </c>
      <c r="E398" t="s">
        <v>1393</v>
      </c>
      <c r="F398" s="381" t="s">
        <v>1746</v>
      </c>
      <c r="G398" t="s">
        <v>8459</v>
      </c>
    </row>
    <row r="399" spans="2:7">
      <c r="B399" s="871">
        <v>46273</v>
      </c>
      <c r="C399" t="s">
        <v>2477</v>
      </c>
      <c r="D399" t="s">
        <v>526</v>
      </c>
      <c r="E399" t="s">
        <v>1465</v>
      </c>
      <c r="F399" s="381" t="s">
        <v>1747</v>
      </c>
      <c r="G399" t="s">
        <v>8460</v>
      </c>
    </row>
    <row r="400" spans="2:7" ht="165">
      <c r="B400" s="871">
        <v>46273</v>
      </c>
      <c r="C400" t="s">
        <v>2477</v>
      </c>
      <c r="D400" t="s">
        <v>526</v>
      </c>
      <c r="E400" t="s">
        <v>1410</v>
      </c>
      <c r="F400" s="381" t="s">
        <v>1748</v>
      </c>
      <c r="G400" t="s">
        <v>8461</v>
      </c>
    </row>
    <row r="401" spans="2:7" ht="409.5">
      <c r="B401" s="871">
        <v>46273</v>
      </c>
      <c r="C401" t="s">
        <v>2477</v>
      </c>
      <c r="D401" t="s">
        <v>526</v>
      </c>
      <c r="E401" t="s">
        <v>1434</v>
      </c>
      <c r="F401" s="381" t="s">
        <v>1749</v>
      </c>
      <c r="G401" t="s">
        <v>8462</v>
      </c>
    </row>
    <row r="402" spans="2:7">
      <c r="B402" s="871">
        <v>46273</v>
      </c>
      <c r="C402" t="s">
        <v>2477</v>
      </c>
      <c r="D402" t="s">
        <v>527</v>
      </c>
      <c r="E402" t="s">
        <v>1375</v>
      </c>
      <c r="F402" s="381" t="s">
        <v>1750</v>
      </c>
      <c r="G402" t="s">
        <v>8463</v>
      </c>
    </row>
    <row r="403" spans="2:7">
      <c r="B403" s="871">
        <v>46273</v>
      </c>
      <c r="C403" t="s">
        <v>2477</v>
      </c>
      <c r="D403" t="s">
        <v>527</v>
      </c>
      <c r="E403" t="s">
        <v>1472</v>
      </c>
      <c r="F403" s="381" t="s">
        <v>1751</v>
      </c>
      <c r="G403" t="s">
        <v>8464</v>
      </c>
    </row>
    <row r="404" spans="2:7">
      <c r="B404" s="871">
        <v>46273</v>
      </c>
      <c r="C404" t="s">
        <v>2477</v>
      </c>
      <c r="D404" t="s">
        <v>527</v>
      </c>
      <c r="E404" t="s">
        <v>1474</v>
      </c>
      <c r="F404" s="381" t="s">
        <v>1752</v>
      </c>
      <c r="G404" t="s">
        <v>8465</v>
      </c>
    </row>
    <row r="405" spans="2:7" ht="90">
      <c r="B405" s="871">
        <v>46273</v>
      </c>
      <c r="C405" t="s">
        <v>2477</v>
      </c>
      <c r="D405" t="s">
        <v>527</v>
      </c>
      <c r="E405" t="s">
        <v>1474</v>
      </c>
      <c r="F405" s="381" t="s">
        <v>1713</v>
      </c>
      <c r="G405" t="s">
        <v>8466</v>
      </c>
    </row>
    <row r="406" spans="2:7" ht="150">
      <c r="B406" s="871">
        <v>46273</v>
      </c>
      <c r="C406" t="s">
        <v>2477</v>
      </c>
      <c r="D406" t="s">
        <v>527</v>
      </c>
      <c r="E406" t="s">
        <v>1393</v>
      </c>
      <c r="F406" s="381" t="s">
        <v>1714</v>
      </c>
      <c r="G406" t="s">
        <v>8467</v>
      </c>
    </row>
    <row r="407" spans="2:7" ht="330">
      <c r="B407" s="871">
        <v>46273</v>
      </c>
      <c r="C407" t="s">
        <v>2477</v>
      </c>
      <c r="D407" t="s">
        <v>527</v>
      </c>
      <c r="E407" t="s">
        <v>1410</v>
      </c>
      <c r="F407" s="381" t="s">
        <v>1715</v>
      </c>
      <c r="G407" t="s">
        <v>8468</v>
      </c>
    </row>
    <row r="408" spans="2:7" ht="409.5">
      <c r="B408" s="871">
        <v>46273</v>
      </c>
      <c r="C408" t="s">
        <v>2477</v>
      </c>
      <c r="D408" t="s">
        <v>527</v>
      </c>
      <c r="E408" t="s">
        <v>1434</v>
      </c>
      <c r="F408" s="381" t="s">
        <v>1716</v>
      </c>
      <c r="G408" t="s">
        <v>8469</v>
      </c>
    </row>
    <row r="409" spans="2:7">
      <c r="B409" s="871">
        <v>46273</v>
      </c>
      <c r="C409" t="s">
        <v>2477</v>
      </c>
      <c r="D409" t="s">
        <v>528</v>
      </c>
      <c r="E409" t="s">
        <v>1375</v>
      </c>
      <c r="F409" s="381" t="s">
        <v>1753</v>
      </c>
      <c r="G409" t="s">
        <v>8470</v>
      </c>
    </row>
    <row r="410" spans="2:7">
      <c r="B410" s="871">
        <v>46273</v>
      </c>
      <c r="C410" t="s">
        <v>2477</v>
      </c>
      <c r="D410" t="s">
        <v>528</v>
      </c>
      <c r="E410" t="s">
        <v>1375</v>
      </c>
      <c r="F410" s="381" t="s">
        <v>1754</v>
      </c>
      <c r="G410" t="s">
        <v>8471</v>
      </c>
    </row>
    <row r="411" spans="2:7">
      <c r="B411" s="871">
        <v>46273</v>
      </c>
      <c r="C411" t="s">
        <v>2477</v>
      </c>
      <c r="D411" t="s">
        <v>528</v>
      </c>
      <c r="E411" t="s">
        <v>1375</v>
      </c>
      <c r="F411" s="381" t="s">
        <v>1755</v>
      </c>
      <c r="G411" t="s">
        <v>8472</v>
      </c>
    </row>
    <row r="412" spans="2:7">
      <c r="B412" s="871">
        <v>46273</v>
      </c>
      <c r="C412" t="s">
        <v>2477</v>
      </c>
      <c r="D412" t="s">
        <v>528</v>
      </c>
      <c r="E412" t="s">
        <v>1375</v>
      </c>
      <c r="F412" s="381" t="s">
        <v>1756</v>
      </c>
      <c r="G412" t="s">
        <v>8473</v>
      </c>
    </row>
    <row r="413" spans="2:7">
      <c r="B413" s="871">
        <v>46273</v>
      </c>
      <c r="C413" t="s">
        <v>2477</v>
      </c>
      <c r="D413" t="s">
        <v>528</v>
      </c>
      <c r="E413" t="s">
        <v>1454</v>
      </c>
      <c r="F413" s="381" t="s">
        <v>1757</v>
      </c>
      <c r="G413" t="s">
        <v>8474</v>
      </c>
    </row>
    <row r="414" spans="2:7">
      <c r="B414" s="871">
        <v>46273</v>
      </c>
      <c r="C414" t="s">
        <v>2477</v>
      </c>
      <c r="D414" t="s">
        <v>528</v>
      </c>
      <c r="E414" t="s">
        <v>1454</v>
      </c>
      <c r="F414" s="381" t="s">
        <v>1758</v>
      </c>
      <c r="G414" t="s">
        <v>8475</v>
      </c>
    </row>
    <row r="415" spans="2:7">
      <c r="B415" s="871">
        <v>46273</v>
      </c>
      <c r="C415" t="s">
        <v>2477</v>
      </c>
      <c r="D415" t="s">
        <v>528</v>
      </c>
      <c r="E415" t="s">
        <v>1454</v>
      </c>
      <c r="F415" s="381" t="s">
        <v>1759</v>
      </c>
      <c r="G415" t="s">
        <v>8476</v>
      </c>
    </row>
    <row r="416" spans="2:7">
      <c r="B416" s="871">
        <v>46273</v>
      </c>
      <c r="C416" t="s">
        <v>2477</v>
      </c>
      <c r="D416" t="s">
        <v>528</v>
      </c>
      <c r="E416" t="s">
        <v>1454</v>
      </c>
      <c r="F416" s="381" t="s">
        <v>1760</v>
      </c>
      <c r="G416" t="s">
        <v>8477</v>
      </c>
    </row>
    <row r="417" spans="2:7">
      <c r="B417" s="871">
        <v>46273</v>
      </c>
      <c r="C417" t="s">
        <v>2477</v>
      </c>
      <c r="D417" t="s">
        <v>528</v>
      </c>
      <c r="E417" t="s">
        <v>1458</v>
      </c>
      <c r="F417" s="381" t="s">
        <v>1761</v>
      </c>
      <c r="G417" t="s">
        <v>8478</v>
      </c>
    </row>
    <row r="418" spans="2:7">
      <c r="B418" s="871">
        <v>46273</v>
      </c>
      <c r="C418" t="s">
        <v>2477</v>
      </c>
      <c r="D418" t="s">
        <v>528</v>
      </c>
      <c r="E418" t="s">
        <v>1458</v>
      </c>
      <c r="F418" s="381" t="s">
        <v>1762</v>
      </c>
      <c r="G418" t="s">
        <v>8479</v>
      </c>
    </row>
    <row r="419" spans="2:7">
      <c r="B419" s="871">
        <v>46273</v>
      </c>
      <c r="C419" t="s">
        <v>2477</v>
      </c>
      <c r="D419" t="s">
        <v>528</v>
      </c>
      <c r="E419" t="s">
        <v>1458</v>
      </c>
      <c r="F419" s="381" t="s">
        <v>1763</v>
      </c>
      <c r="G419" t="s">
        <v>8480</v>
      </c>
    </row>
    <row r="420" spans="2:7">
      <c r="B420" s="871">
        <v>46273</v>
      </c>
      <c r="C420" t="s">
        <v>2477</v>
      </c>
      <c r="D420" t="s">
        <v>528</v>
      </c>
      <c r="E420" t="s">
        <v>1458</v>
      </c>
      <c r="F420" s="381" t="s">
        <v>1764</v>
      </c>
      <c r="G420" t="s">
        <v>8481</v>
      </c>
    </row>
    <row r="421" spans="2:7">
      <c r="B421" s="871">
        <v>46273</v>
      </c>
      <c r="C421" t="s">
        <v>2477</v>
      </c>
      <c r="D421" t="s">
        <v>528</v>
      </c>
      <c r="E421" t="s">
        <v>1376</v>
      </c>
      <c r="F421" s="381" t="s">
        <v>1605</v>
      </c>
      <c r="G421" t="s">
        <v>8482</v>
      </c>
    </row>
    <row r="422" spans="2:7">
      <c r="B422" s="871">
        <v>46273</v>
      </c>
      <c r="C422" t="s">
        <v>2477</v>
      </c>
      <c r="D422" t="s">
        <v>528</v>
      </c>
      <c r="E422" t="s">
        <v>1376</v>
      </c>
      <c r="F422" s="381" t="s">
        <v>1765</v>
      </c>
      <c r="G422" t="s">
        <v>8483</v>
      </c>
    </row>
    <row r="423" spans="2:7">
      <c r="B423" s="871">
        <v>46273</v>
      </c>
      <c r="C423" t="s">
        <v>2477</v>
      </c>
      <c r="D423" t="s">
        <v>528</v>
      </c>
      <c r="E423" t="s">
        <v>1376</v>
      </c>
      <c r="F423" s="381" t="s">
        <v>1766</v>
      </c>
      <c r="G423" t="s">
        <v>8484</v>
      </c>
    </row>
    <row r="424" spans="2:7">
      <c r="B424" s="871">
        <v>46273</v>
      </c>
      <c r="C424" t="s">
        <v>2477</v>
      </c>
      <c r="D424" t="s">
        <v>528</v>
      </c>
      <c r="E424" t="s">
        <v>1376</v>
      </c>
      <c r="F424" s="381" t="s">
        <v>1564</v>
      </c>
      <c r="G424" t="s">
        <v>8485</v>
      </c>
    </row>
    <row r="425" spans="2:7">
      <c r="B425" s="871">
        <v>46273</v>
      </c>
      <c r="C425" t="s">
        <v>2477</v>
      </c>
      <c r="D425" t="s">
        <v>528</v>
      </c>
      <c r="E425" t="s">
        <v>1410</v>
      </c>
      <c r="F425" s="381" t="s">
        <v>1433</v>
      </c>
      <c r="G425" t="s">
        <v>8486</v>
      </c>
    </row>
    <row r="426" spans="2:7">
      <c r="B426" s="871">
        <v>46273</v>
      </c>
      <c r="C426" t="s">
        <v>2477</v>
      </c>
      <c r="D426" t="s">
        <v>528</v>
      </c>
      <c r="E426" t="s">
        <v>1410</v>
      </c>
      <c r="F426" s="381" t="s">
        <v>1767</v>
      </c>
      <c r="G426" t="s">
        <v>8487</v>
      </c>
    </row>
    <row r="427" spans="2:7">
      <c r="B427" s="871">
        <v>46273</v>
      </c>
      <c r="C427" t="s">
        <v>2477</v>
      </c>
      <c r="D427" t="s">
        <v>528</v>
      </c>
      <c r="E427" t="s">
        <v>1410</v>
      </c>
      <c r="F427" s="381" t="s">
        <v>1768</v>
      </c>
      <c r="G427" t="s">
        <v>8488</v>
      </c>
    </row>
    <row r="428" spans="2:7">
      <c r="B428" s="871">
        <v>46273</v>
      </c>
      <c r="C428" t="s">
        <v>2477</v>
      </c>
      <c r="D428" t="s">
        <v>528</v>
      </c>
      <c r="E428" t="s">
        <v>1410</v>
      </c>
      <c r="F428" s="381" t="s">
        <v>1769</v>
      </c>
      <c r="G428" t="s">
        <v>8489</v>
      </c>
    </row>
    <row r="429" spans="2:7">
      <c r="B429" s="871">
        <v>46273</v>
      </c>
      <c r="C429" t="s">
        <v>2477</v>
      </c>
      <c r="D429" t="s">
        <v>528</v>
      </c>
      <c r="E429" t="s">
        <v>1410</v>
      </c>
      <c r="F429" s="381" t="s">
        <v>1730</v>
      </c>
      <c r="G429" t="s">
        <v>8490</v>
      </c>
    </row>
    <row r="430" spans="2:7">
      <c r="B430" s="871">
        <v>46273</v>
      </c>
      <c r="C430" t="s">
        <v>2477</v>
      </c>
      <c r="D430" t="s">
        <v>528</v>
      </c>
      <c r="E430" t="s">
        <v>1410</v>
      </c>
      <c r="F430" s="381" t="s">
        <v>1770</v>
      </c>
      <c r="G430" t="s">
        <v>8491</v>
      </c>
    </row>
    <row r="431" spans="2:7">
      <c r="B431" s="871">
        <v>46273</v>
      </c>
      <c r="C431" t="s">
        <v>2477</v>
      </c>
      <c r="D431" t="s">
        <v>528</v>
      </c>
      <c r="E431" t="s">
        <v>1410</v>
      </c>
      <c r="F431" s="381" t="s">
        <v>1771</v>
      </c>
      <c r="G431" t="s">
        <v>8492</v>
      </c>
    </row>
    <row r="432" spans="2:7">
      <c r="B432" s="871">
        <v>46273</v>
      </c>
      <c r="C432" t="s">
        <v>2477</v>
      </c>
      <c r="D432" t="s">
        <v>528</v>
      </c>
      <c r="E432" t="s">
        <v>1393</v>
      </c>
      <c r="F432" s="381" t="s">
        <v>1772</v>
      </c>
      <c r="G432" t="s">
        <v>8493</v>
      </c>
    </row>
    <row r="433" spans="2:7">
      <c r="B433" s="871">
        <v>46273</v>
      </c>
      <c r="C433" t="s">
        <v>2477</v>
      </c>
      <c r="D433" t="s">
        <v>528</v>
      </c>
      <c r="E433" t="s">
        <v>1393</v>
      </c>
      <c r="F433" s="381" t="s">
        <v>1773</v>
      </c>
      <c r="G433" t="s">
        <v>8494</v>
      </c>
    </row>
    <row r="434" spans="2:7">
      <c r="B434" s="871">
        <v>46273</v>
      </c>
      <c r="C434" t="s">
        <v>2477</v>
      </c>
      <c r="D434" t="s">
        <v>528</v>
      </c>
      <c r="E434" t="s">
        <v>1393</v>
      </c>
      <c r="F434" s="381" t="s">
        <v>1524</v>
      </c>
      <c r="G434" t="s">
        <v>8495</v>
      </c>
    </row>
    <row r="435" spans="2:7">
      <c r="B435" s="871">
        <v>46273</v>
      </c>
      <c r="C435" t="s">
        <v>2477</v>
      </c>
      <c r="D435" t="s">
        <v>528</v>
      </c>
      <c r="E435" t="s">
        <v>1393</v>
      </c>
      <c r="F435" s="381" t="s">
        <v>1652</v>
      </c>
      <c r="G435" t="s">
        <v>8496</v>
      </c>
    </row>
    <row r="436" spans="2:7">
      <c r="B436" s="871">
        <v>46273</v>
      </c>
      <c r="C436" t="s">
        <v>2477</v>
      </c>
      <c r="D436" t="s">
        <v>528</v>
      </c>
      <c r="E436" t="s">
        <v>1393</v>
      </c>
      <c r="F436" s="381" t="s">
        <v>1774</v>
      </c>
      <c r="G436" t="s">
        <v>8497</v>
      </c>
    </row>
    <row r="437" spans="2:7">
      <c r="B437" s="871">
        <v>46273</v>
      </c>
      <c r="C437" t="s">
        <v>2477</v>
      </c>
      <c r="D437" t="s">
        <v>528</v>
      </c>
      <c r="E437" t="s">
        <v>1393</v>
      </c>
      <c r="F437" s="381" t="s">
        <v>1775</v>
      </c>
      <c r="G437" t="s">
        <v>8498</v>
      </c>
    </row>
    <row r="438" spans="2:7">
      <c r="B438" s="871">
        <v>46273</v>
      </c>
      <c r="C438" t="s">
        <v>2477</v>
      </c>
      <c r="D438" t="s">
        <v>528</v>
      </c>
      <c r="E438" t="s">
        <v>1393</v>
      </c>
      <c r="F438" s="381" t="s">
        <v>1776</v>
      </c>
      <c r="G438" t="s">
        <v>8499</v>
      </c>
    </row>
    <row r="439" spans="2:7">
      <c r="B439" s="871">
        <v>46273</v>
      </c>
      <c r="C439" t="s">
        <v>2477</v>
      </c>
      <c r="D439" t="s">
        <v>528</v>
      </c>
      <c r="E439" t="s">
        <v>1393</v>
      </c>
      <c r="F439" s="381" t="s">
        <v>1694</v>
      </c>
      <c r="G439" t="s">
        <v>8500</v>
      </c>
    </row>
    <row r="440" spans="2:7">
      <c r="B440" s="871">
        <v>46273</v>
      </c>
      <c r="C440" t="s">
        <v>2477</v>
      </c>
      <c r="D440" t="s">
        <v>528</v>
      </c>
      <c r="E440" t="s">
        <v>1393</v>
      </c>
      <c r="F440" s="381" t="s">
        <v>1777</v>
      </c>
      <c r="G440" t="s">
        <v>8501</v>
      </c>
    </row>
    <row r="441" spans="2:7">
      <c r="B441" s="871">
        <v>46273</v>
      </c>
      <c r="C441" t="s">
        <v>2477</v>
      </c>
      <c r="D441" t="s">
        <v>528</v>
      </c>
      <c r="E441" t="s">
        <v>1434</v>
      </c>
      <c r="F441" s="381" t="s">
        <v>70</v>
      </c>
      <c r="G441" t="s">
        <v>8502</v>
      </c>
    </row>
    <row r="442" spans="2:7">
      <c r="B442" s="871">
        <v>46273</v>
      </c>
      <c r="C442" t="s">
        <v>2477</v>
      </c>
      <c r="D442" t="s">
        <v>528</v>
      </c>
      <c r="E442" t="s">
        <v>1434</v>
      </c>
      <c r="F442" s="381" t="s">
        <v>9408</v>
      </c>
      <c r="G442" t="s">
        <v>8503</v>
      </c>
    </row>
    <row r="443" spans="2:7">
      <c r="B443" s="871">
        <v>46273</v>
      </c>
      <c r="C443" t="s">
        <v>2477</v>
      </c>
      <c r="D443" t="s">
        <v>528</v>
      </c>
      <c r="E443" t="s">
        <v>1434</v>
      </c>
      <c r="F443" s="381" t="s">
        <v>9409</v>
      </c>
      <c r="G443" t="s">
        <v>8504</v>
      </c>
    </row>
    <row r="444" spans="2:7">
      <c r="B444" s="871">
        <v>46273</v>
      </c>
      <c r="C444" t="s">
        <v>2477</v>
      </c>
      <c r="D444" t="s">
        <v>528</v>
      </c>
      <c r="E444" t="s">
        <v>1434</v>
      </c>
      <c r="F444" s="381" t="s">
        <v>10056</v>
      </c>
      <c r="G444" t="s">
        <v>8505</v>
      </c>
    </row>
    <row r="445" spans="2:7">
      <c r="B445" s="871">
        <v>46273</v>
      </c>
      <c r="C445" t="s">
        <v>2477</v>
      </c>
      <c r="D445" t="s">
        <v>528</v>
      </c>
      <c r="E445" t="s">
        <v>1434</v>
      </c>
      <c r="F445" s="381" t="s">
        <v>10061</v>
      </c>
      <c r="G445" t="s">
        <v>8506</v>
      </c>
    </row>
    <row r="446" spans="2:7">
      <c r="B446" s="871">
        <v>46273</v>
      </c>
      <c r="C446" t="s">
        <v>2477</v>
      </c>
      <c r="D446" t="s">
        <v>528</v>
      </c>
      <c r="E446" t="s">
        <v>1434</v>
      </c>
      <c r="F446" s="381" t="s">
        <v>10062</v>
      </c>
      <c r="G446" t="s">
        <v>8507</v>
      </c>
    </row>
    <row r="447" spans="2:7">
      <c r="B447" s="871">
        <v>46273</v>
      </c>
      <c r="C447" t="s">
        <v>2477</v>
      </c>
      <c r="D447" t="s">
        <v>528</v>
      </c>
      <c r="E447" t="s">
        <v>1434</v>
      </c>
      <c r="F447" s="381" t="s">
        <v>10063</v>
      </c>
      <c r="G447" t="s">
        <v>8508</v>
      </c>
    </row>
    <row r="448" spans="2:7">
      <c r="B448" s="871">
        <v>46273</v>
      </c>
      <c r="C448" t="s">
        <v>2477</v>
      </c>
      <c r="D448" t="s">
        <v>528</v>
      </c>
      <c r="E448" t="s">
        <v>1434</v>
      </c>
      <c r="F448" s="381" t="s">
        <v>10064</v>
      </c>
      <c r="G448" t="s">
        <v>8509</v>
      </c>
    </row>
    <row r="449" spans="2:7">
      <c r="B449" s="871">
        <v>46273</v>
      </c>
      <c r="C449" t="s">
        <v>2477</v>
      </c>
      <c r="D449" t="s">
        <v>528</v>
      </c>
      <c r="E449" t="s">
        <v>1434</v>
      </c>
      <c r="F449" s="381" t="s">
        <v>10065</v>
      </c>
      <c r="G449" t="s">
        <v>8510</v>
      </c>
    </row>
    <row r="450" spans="2:7" ht="105">
      <c r="B450" s="871">
        <v>46274</v>
      </c>
      <c r="C450" t="s">
        <v>2478</v>
      </c>
      <c r="D450" t="s">
        <v>526</v>
      </c>
      <c r="E450" t="s">
        <v>1375</v>
      </c>
      <c r="F450" s="381" t="s">
        <v>1787</v>
      </c>
      <c r="G450" t="s">
        <v>8511</v>
      </c>
    </row>
    <row r="451" spans="2:7" ht="90">
      <c r="B451" s="871">
        <v>46274</v>
      </c>
      <c r="C451" t="s">
        <v>2478</v>
      </c>
      <c r="D451" t="s">
        <v>526</v>
      </c>
      <c r="E451" t="s">
        <v>1454</v>
      </c>
      <c r="F451" s="381" t="s">
        <v>1665</v>
      </c>
      <c r="G451" t="s">
        <v>8512</v>
      </c>
    </row>
    <row r="452" spans="2:7" ht="60">
      <c r="B452" s="871">
        <v>46274</v>
      </c>
      <c r="C452" t="s">
        <v>2478</v>
      </c>
      <c r="D452" t="s">
        <v>526</v>
      </c>
      <c r="E452" t="s">
        <v>1458</v>
      </c>
      <c r="F452" s="381" t="s">
        <v>1666</v>
      </c>
      <c r="G452" t="s">
        <v>8513</v>
      </c>
    </row>
    <row r="453" spans="2:7">
      <c r="B453" s="871">
        <v>46274</v>
      </c>
      <c r="C453" t="s">
        <v>2478</v>
      </c>
      <c r="D453" t="s">
        <v>526</v>
      </c>
      <c r="E453" t="s">
        <v>1462</v>
      </c>
      <c r="F453" s="381" t="s">
        <v>1667</v>
      </c>
      <c r="G453" t="s">
        <v>8514</v>
      </c>
    </row>
    <row r="454" spans="2:7" ht="120">
      <c r="B454" s="871">
        <v>46274</v>
      </c>
      <c r="C454" t="s">
        <v>2478</v>
      </c>
      <c r="D454" t="s">
        <v>526</v>
      </c>
      <c r="E454" t="s">
        <v>1376</v>
      </c>
      <c r="F454" s="381" t="s">
        <v>1788</v>
      </c>
      <c r="G454" t="s">
        <v>8515</v>
      </c>
    </row>
    <row r="455" spans="2:7" ht="120">
      <c r="B455" s="871">
        <v>46274</v>
      </c>
      <c r="C455" t="s">
        <v>2478</v>
      </c>
      <c r="D455" t="s">
        <v>526</v>
      </c>
      <c r="E455" t="s">
        <v>1393</v>
      </c>
      <c r="F455" s="381" t="s">
        <v>1789</v>
      </c>
      <c r="G455" t="s">
        <v>8516</v>
      </c>
    </row>
    <row r="456" spans="2:7">
      <c r="B456" s="871">
        <v>46274</v>
      </c>
      <c r="C456" t="s">
        <v>2478</v>
      </c>
      <c r="D456" t="s">
        <v>526</v>
      </c>
      <c r="E456" t="s">
        <v>1465</v>
      </c>
      <c r="F456" s="381" t="s">
        <v>1790</v>
      </c>
      <c r="G456" t="s">
        <v>8517</v>
      </c>
    </row>
    <row r="457" spans="2:7" ht="165">
      <c r="B457" s="871">
        <v>46274</v>
      </c>
      <c r="C457" t="s">
        <v>2478</v>
      </c>
      <c r="D457" t="s">
        <v>526</v>
      </c>
      <c r="E457" t="s">
        <v>1410</v>
      </c>
      <c r="F457" s="381" t="s">
        <v>1748</v>
      </c>
      <c r="G457" t="s">
        <v>8518</v>
      </c>
    </row>
    <row r="458" spans="2:7" ht="409.5">
      <c r="B458" s="871">
        <v>46274</v>
      </c>
      <c r="C458" t="s">
        <v>2478</v>
      </c>
      <c r="D458" t="s">
        <v>526</v>
      </c>
      <c r="E458" t="s">
        <v>1434</v>
      </c>
      <c r="F458" s="381" t="s">
        <v>1749</v>
      </c>
      <c r="G458" t="s">
        <v>8519</v>
      </c>
    </row>
    <row r="459" spans="2:7" ht="165">
      <c r="B459" s="871">
        <v>46274</v>
      </c>
      <c r="C459" t="s">
        <v>2478</v>
      </c>
      <c r="D459" t="s">
        <v>527</v>
      </c>
      <c r="E459" t="s">
        <v>1375</v>
      </c>
      <c r="F459" s="381" t="s">
        <v>1791</v>
      </c>
      <c r="G459" t="s">
        <v>8520</v>
      </c>
    </row>
    <row r="460" spans="2:7" ht="60">
      <c r="B460" s="871">
        <v>46274</v>
      </c>
      <c r="C460" t="s">
        <v>2478</v>
      </c>
      <c r="D460" t="s">
        <v>527</v>
      </c>
      <c r="E460" t="s">
        <v>1454</v>
      </c>
      <c r="F460" s="381" t="s">
        <v>10066</v>
      </c>
      <c r="G460" t="s">
        <v>8521</v>
      </c>
    </row>
    <row r="461" spans="2:7" ht="90">
      <c r="B461" s="871">
        <v>46274</v>
      </c>
      <c r="C461" t="s">
        <v>2478</v>
      </c>
      <c r="D461" t="s">
        <v>527</v>
      </c>
      <c r="E461" t="s">
        <v>1472</v>
      </c>
      <c r="F461" s="381" t="s">
        <v>1792</v>
      </c>
      <c r="G461" t="s">
        <v>8522</v>
      </c>
    </row>
    <row r="462" spans="2:7">
      <c r="B462" s="871">
        <v>46274</v>
      </c>
      <c r="C462" t="s">
        <v>2478</v>
      </c>
      <c r="D462" t="s">
        <v>527</v>
      </c>
      <c r="E462" t="s">
        <v>1474</v>
      </c>
      <c r="F462" s="381" t="s">
        <v>1475</v>
      </c>
      <c r="G462" t="s">
        <v>8523</v>
      </c>
    </row>
    <row r="463" spans="2:7" ht="75">
      <c r="B463" s="871">
        <v>46274</v>
      </c>
      <c r="C463" t="s">
        <v>2478</v>
      </c>
      <c r="D463" t="s">
        <v>527</v>
      </c>
      <c r="E463" t="s">
        <v>1474</v>
      </c>
      <c r="F463" s="381" t="s">
        <v>1793</v>
      </c>
      <c r="G463" t="s">
        <v>8524</v>
      </c>
    </row>
    <row r="464" spans="2:7" ht="150">
      <c r="B464" s="871">
        <v>46274</v>
      </c>
      <c r="C464" t="s">
        <v>2478</v>
      </c>
      <c r="D464" t="s">
        <v>527</v>
      </c>
      <c r="E464" t="s">
        <v>1393</v>
      </c>
      <c r="F464" s="381" t="s">
        <v>1794</v>
      </c>
      <c r="G464" t="s">
        <v>8525</v>
      </c>
    </row>
    <row r="465" spans="2:7" ht="285">
      <c r="B465" s="871">
        <v>46274</v>
      </c>
      <c r="C465" t="s">
        <v>2478</v>
      </c>
      <c r="D465" t="s">
        <v>527</v>
      </c>
      <c r="E465" t="s">
        <v>1410</v>
      </c>
      <c r="F465" s="381" t="s">
        <v>1795</v>
      </c>
      <c r="G465" t="s">
        <v>8526</v>
      </c>
    </row>
    <row r="466" spans="2:7" ht="90">
      <c r="B466" s="871">
        <v>46274</v>
      </c>
      <c r="C466" t="s">
        <v>2478</v>
      </c>
      <c r="D466" t="s">
        <v>527</v>
      </c>
      <c r="E466" t="s">
        <v>1434</v>
      </c>
      <c r="F466" s="381" t="s">
        <v>1796</v>
      </c>
      <c r="G466" t="s">
        <v>8527</v>
      </c>
    </row>
    <row r="467" spans="2:7" ht="150">
      <c r="B467" s="871">
        <v>46274</v>
      </c>
      <c r="C467" t="s">
        <v>2478</v>
      </c>
      <c r="D467" t="s">
        <v>528</v>
      </c>
      <c r="E467" t="s">
        <v>1375</v>
      </c>
      <c r="F467" s="381" t="s">
        <v>1797</v>
      </c>
      <c r="G467" t="s">
        <v>8528</v>
      </c>
    </row>
    <row r="468" spans="2:7" ht="75">
      <c r="B468" s="871">
        <v>46274</v>
      </c>
      <c r="C468" t="s">
        <v>2478</v>
      </c>
      <c r="D468" t="s">
        <v>528</v>
      </c>
      <c r="E468" t="s">
        <v>1454</v>
      </c>
      <c r="F468" s="381" t="s">
        <v>1798</v>
      </c>
      <c r="G468" t="s">
        <v>8529</v>
      </c>
    </row>
    <row r="469" spans="2:7" ht="120">
      <c r="B469" s="871">
        <v>46274</v>
      </c>
      <c r="C469" t="s">
        <v>2478</v>
      </c>
      <c r="D469" t="s">
        <v>528</v>
      </c>
      <c r="E469" t="s">
        <v>1458</v>
      </c>
      <c r="F469" s="381" t="s">
        <v>1799</v>
      </c>
      <c r="G469" t="s">
        <v>8530</v>
      </c>
    </row>
    <row r="470" spans="2:7">
      <c r="B470" s="871">
        <v>46274</v>
      </c>
      <c r="C470" t="s">
        <v>2478</v>
      </c>
      <c r="D470" t="s">
        <v>528</v>
      </c>
      <c r="E470" t="s">
        <v>1474</v>
      </c>
      <c r="F470" s="381" t="s">
        <v>1800</v>
      </c>
      <c r="G470" t="s">
        <v>8531</v>
      </c>
    </row>
    <row r="471" spans="2:7" ht="90">
      <c r="B471" s="871">
        <v>46274</v>
      </c>
      <c r="C471" t="s">
        <v>2478</v>
      </c>
      <c r="D471" t="s">
        <v>528</v>
      </c>
      <c r="E471" t="s">
        <v>1376</v>
      </c>
      <c r="F471" s="381" t="s">
        <v>1801</v>
      </c>
      <c r="G471" t="s">
        <v>8532</v>
      </c>
    </row>
    <row r="472" spans="2:7" ht="285">
      <c r="B472" s="871">
        <v>46274</v>
      </c>
      <c r="C472" t="s">
        <v>2478</v>
      </c>
      <c r="D472" t="s">
        <v>528</v>
      </c>
      <c r="E472" t="s">
        <v>1410</v>
      </c>
      <c r="F472" s="381" t="s">
        <v>1802</v>
      </c>
      <c r="G472" t="s">
        <v>8533</v>
      </c>
    </row>
    <row r="473" spans="2:7" ht="150">
      <c r="B473" s="871">
        <v>46274</v>
      </c>
      <c r="C473" t="s">
        <v>2478</v>
      </c>
      <c r="D473" t="s">
        <v>528</v>
      </c>
      <c r="E473" t="s">
        <v>1393</v>
      </c>
      <c r="F473" s="381" t="s">
        <v>1803</v>
      </c>
      <c r="G473" t="s">
        <v>8534</v>
      </c>
    </row>
    <row r="474" spans="2:7" ht="60">
      <c r="B474" s="871">
        <v>46275</v>
      </c>
      <c r="C474" t="s">
        <v>2479</v>
      </c>
      <c r="D474" t="s">
        <v>526</v>
      </c>
      <c r="E474" t="s">
        <v>1375</v>
      </c>
      <c r="F474" s="381" t="s">
        <v>1805</v>
      </c>
      <c r="G474" t="s">
        <v>8535</v>
      </c>
    </row>
    <row r="475" spans="2:7" ht="90">
      <c r="B475" s="871">
        <v>46275</v>
      </c>
      <c r="C475" t="s">
        <v>2479</v>
      </c>
      <c r="D475" t="s">
        <v>526</v>
      </c>
      <c r="E475" t="s">
        <v>1454</v>
      </c>
      <c r="F475" s="381" t="s">
        <v>1665</v>
      </c>
      <c r="G475" t="s">
        <v>8536</v>
      </c>
    </row>
    <row r="476" spans="2:7" ht="60">
      <c r="B476" s="871">
        <v>46275</v>
      </c>
      <c r="C476" t="s">
        <v>2479</v>
      </c>
      <c r="D476" t="s">
        <v>526</v>
      </c>
      <c r="E476" t="s">
        <v>1458</v>
      </c>
      <c r="F476" s="381" t="s">
        <v>1666</v>
      </c>
      <c r="G476" t="s">
        <v>8537</v>
      </c>
    </row>
    <row r="477" spans="2:7">
      <c r="B477" s="871">
        <v>46275</v>
      </c>
      <c r="C477" t="s">
        <v>2479</v>
      </c>
      <c r="D477" t="s">
        <v>526</v>
      </c>
      <c r="E477" t="s">
        <v>1462</v>
      </c>
      <c r="F477" s="381" t="s">
        <v>1667</v>
      </c>
      <c r="G477" t="s">
        <v>8538</v>
      </c>
    </row>
    <row r="478" spans="2:7" ht="120">
      <c r="B478" s="871">
        <v>46275</v>
      </c>
      <c r="C478" t="s">
        <v>2479</v>
      </c>
      <c r="D478" t="s">
        <v>526</v>
      </c>
      <c r="E478" t="s">
        <v>1376</v>
      </c>
      <c r="F478" s="381" t="s">
        <v>1806</v>
      </c>
      <c r="G478" t="s">
        <v>8539</v>
      </c>
    </row>
    <row r="479" spans="2:7" ht="105">
      <c r="B479" s="871">
        <v>46275</v>
      </c>
      <c r="C479" t="s">
        <v>2479</v>
      </c>
      <c r="D479" t="s">
        <v>526</v>
      </c>
      <c r="E479" t="s">
        <v>1393</v>
      </c>
      <c r="F479" s="381" t="s">
        <v>1807</v>
      </c>
      <c r="G479" t="s">
        <v>8540</v>
      </c>
    </row>
    <row r="480" spans="2:7">
      <c r="B480" s="871">
        <v>46275</v>
      </c>
      <c r="C480" t="s">
        <v>2479</v>
      </c>
      <c r="D480" t="s">
        <v>526</v>
      </c>
      <c r="E480" t="s">
        <v>1465</v>
      </c>
      <c r="F480" s="381" t="s">
        <v>1808</v>
      </c>
      <c r="G480" t="s">
        <v>8541</v>
      </c>
    </row>
    <row r="481" spans="2:7" ht="135">
      <c r="B481" s="871">
        <v>46275</v>
      </c>
      <c r="C481" t="s">
        <v>2479</v>
      </c>
      <c r="D481" t="s">
        <v>526</v>
      </c>
      <c r="E481" t="s">
        <v>1410</v>
      </c>
      <c r="F481" s="381" t="s">
        <v>1809</v>
      </c>
      <c r="G481" t="s">
        <v>8542</v>
      </c>
    </row>
    <row r="482" spans="2:7" ht="409.5">
      <c r="B482" s="871">
        <v>46275</v>
      </c>
      <c r="C482" t="s">
        <v>2479</v>
      </c>
      <c r="D482" t="s">
        <v>526</v>
      </c>
      <c r="E482" t="s">
        <v>1434</v>
      </c>
      <c r="F482" s="381" t="s">
        <v>1810</v>
      </c>
      <c r="G482" t="s">
        <v>8543</v>
      </c>
    </row>
    <row r="483" spans="2:7" ht="60">
      <c r="B483" s="871">
        <v>46275</v>
      </c>
      <c r="C483" t="s">
        <v>2479</v>
      </c>
      <c r="D483" t="s">
        <v>527</v>
      </c>
      <c r="E483" t="s">
        <v>1454</v>
      </c>
      <c r="F483" s="381" t="s">
        <v>10066</v>
      </c>
      <c r="G483" t="s">
        <v>8544</v>
      </c>
    </row>
    <row r="484" spans="2:7" ht="90">
      <c r="B484" s="871">
        <v>46275</v>
      </c>
      <c r="C484" t="s">
        <v>2479</v>
      </c>
      <c r="D484" t="s">
        <v>527</v>
      </c>
      <c r="E484" t="s">
        <v>1472</v>
      </c>
      <c r="F484" s="381" t="s">
        <v>1792</v>
      </c>
      <c r="G484" t="s">
        <v>8545</v>
      </c>
    </row>
    <row r="485" spans="2:7">
      <c r="B485" s="871">
        <v>46275</v>
      </c>
      <c r="C485" t="s">
        <v>2479</v>
      </c>
      <c r="D485" t="s">
        <v>527</v>
      </c>
      <c r="E485" t="s">
        <v>1474</v>
      </c>
      <c r="F485" s="381" t="s">
        <v>1475</v>
      </c>
      <c r="G485" t="s">
        <v>8546</v>
      </c>
    </row>
    <row r="486" spans="2:7" ht="75">
      <c r="B486" s="871">
        <v>46275</v>
      </c>
      <c r="C486" t="s">
        <v>2479</v>
      </c>
      <c r="D486" t="s">
        <v>527</v>
      </c>
      <c r="E486" t="s">
        <v>1474</v>
      </c>
      <c r="F486" s="381" t="s">
        <v>1793</v>
      </c>
      <c r="G486" t="s">
        <v>8547</v>
      </c>
    </row>
    <row r="487" spans="2:7" ht="150">
      <c r="B487" s="871">
        <v>46275</v>
      </c>
      <c r="C487" t="s">
        <v>2479</v>
      </c>
      <c r="D487" t="s">
        <v>527</v>
      </c>
      <c r="E487" t="s">
        <v>1393</v>
      </c>
      <c r="F487" s="381" t="s">
        <v>1794</v>
      </c>
      <c r="G487" t="s">
        <v>8548</v>
      </c>
    </row>
    <row r="488" spans="2:7" ht="285">
      <c r="B488" s="871">
        <v>46275</v>
      </c>
      <c r="C488" t="s">
        <v>2479</v>
      </c>
      <c r="D488" t="s">
        <v>527</v>
      </c>
      <c r="E488" t="s">
        <v>1410</v>
      </c>
      <c r="F488" s="381" t="s">
        <v>1795</v>
      </c>
      <c r="G488" t="s">
        <v>8549</v>
      </c>
    </row>
    <row r="489" spans="2:7" ht="90">
      <c r="B489" s="871">
        <v>46275</v>
      </c>
      <c r="C489" t="s">
        <v>2479</v>
      </c>
      <c r="D489" t="s">
        <v>527</v>
      </c>
      <c r="E489" t="s">
        <v>1434</v>
      </c>
      <c r="F489" s="381" t="s">
        <v>1796</v>
      </c>
      <c r="G489" t="s">
        <v>8550</v>
      </c>
    </row>
    <row r="490" spans="2:7" ht="165">
      <c r="B490" s="871">
        <v>46275</v>
      </c>
      <c r="C490" t="s">
        <v>2479</v>
      </c>
      <c r="D490" t="s">
        <v>528</v>
      </c>
      <c r="E490" t="s">
        <v>1375</v>
      </c>
      <c r="F490" s="381" t="s">
        <v>1811</v>
      </c>
      <c r="G490" t="s">
        <v>8551</v>
      </c>
    </row>
    <row r="491" spans="2:7" ht="150">
      <c r="B491" s="871">
        <v>46275</v>
      </c>
      <c r="C491" t="s">
        <v>2479</v>
      </c>
      <c r="D491" t="s">
        <v>528</v>
      </c>
      <c r="E491" t="s">
        <v>1454</v>
      </c>
      <c r="F491" s="381" t="s">
        <v>1812</v>
      </c>
      <c r="G491" t="s">
        <v>8552</v>
      </c>
    </row>
    <row r="492" spans="2:7" ht="75">
      <c r="B492" s="871">
        <v>46275</v>
      </c>
      <c r="C492" t="s">
        <v>2479</v>
      </c>
      <c r="D492" t="s">
        <v>528</v>
      </c>
      <c r="E492" t="s">
        <v>1458</v>
      </c>
      <c r="F492" s="381" t="s">
        <v>1813</v>
      </c>
      <c r="G492" t="s">
        <v>8553</v>
      </c>
    </row>
    <row r="493" spans="2:7">
      <c r="B493" s="871">
        <v>46275</v>
      </c>
      <c r="C493" t="s">
        <v>2479</v>
      </c>
      <c r="D493" t="s">
        <v>528</v>
      </c>
      <c r="E493" t="s">
        <v>1474</v>
      </c>
      <c r="F493" s="381" t="s">
        <v>1800</v>
      </c>
      <c r="G493" t="s">
        <v>8554</v>
      </c>
    </row>
    <row r="494" spans="2:7" ht="120">
      <c r="B494" s="871">
        <v>46275</v>
      </c>
      <c r="C494" t="s">
        <v>2479</v>
      </c>
      <c r="D494" t="s">
        <v>528</v>
      </c>
      <c r="E494" t="s">
        <v>1376</v>
      </c>
      <c r="F494" s="381" t="s">
        <v>1814</v>
      </c>
      <c r="G494" t="s">
        <v>8555</v>
      </c>
    </row>
    <row r="495" spans="2:7" ht="285">
      <c r="B495" s="871">
        <v>46275</v>
      </c>
      <c r="C495" t="s">
        <v>2479</v>
      </c>
      <c r="D495" t="s">
        <v>528</v>
      </c>
      <c r="E495" t="s">
        <v>1410</v>
      </c>
      <c r="F495" s="381" t="s">
        <v>1815</v>
      </c>
      <c r="G495" t="s">
        <v>8556</v>
      </c>
    </row>
    <row r="496" spans="2:7" ht="150">
      <c r="B496" s="871">
        <v>46275</v>
      </c>
      <c r="C496" t="s">
        <v>2479</v>
      </c>
      <c r="D496" t="s">
        <v>528</v>
      </c>
      <c r="E496" t="s">
        <v>1393</v>
      </c>
      <c r="F496" s="381" t="s">
        <v>1816</v>
      </c>
      <c r="G496" t="s">
        <v>8557</v>
      </c>
    </row>
    <row r="497" spans="2:7" ht="409.5">
      <c r="B497" s="871">
        <v>46275</v>
      </c>
      <c r="C497" t="s">
        <v>2479</v>
      </c>
      <c r="D497" t="s">
        <v>528</v>
      </c>
      <c r="E497" t="s">
        <v>1434</v>
      </c>
      <c r="F497" s="381" t="s">
        <v>1817</v>
      </c>
      <c r="G497" t="s">
        <v>8558</v>
      </c>
    </row>
    <row r="498" spans="2:7" ht="90">
      <c r="B498" s="871">
        <v>46276</v>
      </c>
      <c r="C498" t="s">
        <v>2480</v>
      </c>
      <c r="D498" t="s">
        <v>526</v>
      </c>
      <c r="E498" t="s">
        <v>1375</v>
      </c>
      <c r="F498" s="381" t="s">
        <v>1821</v>
      </c>
      <c r="G498" t="s">
        <v>8559</v>
      </c>
    </row>
    <row r="499" spans="2:7" ht="90">
      <c r="B499" s="871">
        <v>46276</v>
      </c>
      <c r="C499" t="s">
        <v>2480</v>
      </c>
      <c r="D499" t="s">
        <v>526</v>
      </c>
      <c r="E499" t="s">
        <v>1454</v>
      </c>
      <c r="F499" s="381" t="s">
        <v>1665</v>
      </c>
      <c r="G499" t="s">
        <v>8560</v>
      </c>
    </row>
    <row r="500" spans="2:7" ht="60">
      <c r="B500" s="871">
        <v>46276</v>
      </c>
      <c r="C500" t="s">
        <v>2480</v>
      </c>
      <c r="D500" t="s">
        <v>526</v>
      </c>
      <c r="E500" t="s">
        <v>1458</v>
      </c>
      <c r="F500" s="381" t="s">
        <v>1666</v>
      </c>
      <c r="G500" t="s">
        <v>8561</v>
      </c>
    </row>
    <row r="501" spans="2:7">
      <c r="B501" s="871">
        <v>46276</v>
      </c>
      <c r="C501" t="s">
        <v>2480</v>
      </c>
      <c r="D501" t="s">
        <v>526</v>
      </c>
      <c r="E501" t="s">
        <v>1462</v>
      </c>
      <c r="F501" s="381" t="s">
        <v>1667</v>
      </c>
      <c r="G501" t="s">
        <v>8562</v>
      </c>
    </row>
    <row r="502" spans="2:7" ht="240">
      <c r="B502" s="871">
        <v>46276</v>
      </c>
      <c r="C502" t="s">
        <v>2480</v>
      </c>
      <c r="D502" t="s">
        <v>526</v>
      </c>
      <c r="E502" t="s">
        <v>1376</v>
      </c>
      <c r="F502" s="381" t="s">
        <v>1822</v>
      </c>
      <c r="G502" t="s">
        <v>8563</v>
      </c>
    </row>
    <row r="503" spans="2:7" ht="105">
      <c r="B503" s="871">
        <v>46276</v>
      </c>
      <c r="C503" t="s">
        <v>2480</v>
      </c>
      <c r="D503" t="s">
        <v>526</v>
      </c>
      <c r="E503" t="s">
        <v>1393</v>
      </c>
      <c r="F503" s="381" t="s">
        <v>1823</v>
      </c>
      <c r="G503" t="s">
        <v>8564</v>
      </c>
    </row>
    <row r="504" spans="2:7">
      <c r="B504" s="871">
        <v>46276</v>
      </c>
      <c r="C504" t="s">
        <v>2480</v>
      </c>
      <c r="D504" t="s">
        <v>526</v>
      </c>
      <c r="E504" t="s">
        <v>1465</v>
      </c>
      <c r="F504" s="381" t="s">
        <v>1824</v>
      </c>
      <c r="G504" t="s">
        <v>8565</v>
      </c>
    </row>
    <row r="505" spans="2:7" ht="409.5">
      <c r="B505" s="871">
        <v>46276</v>
      </c>
      <c r="C505" t="s">
        <v>2480</v>
      </c>
      <c r="D505" t="s">
        <v>526</v>
      </c>
      <c r="E505" t="s">
        <v>1434</v>
      </c>
      <c r="F505" s="381" t="s">
        <v>1810</v>
      </c>
      <c r="G505" t="s">
        <v>8566</v>
      </c>
    </row>
    <row r="506" spans="2:7">
      <c r="B506" s="871">
        <v>46276</v>
      </c>
      <c r="C506" t="s">
        <v>2480</v>
      </c>
      <c r="D506" t="s">
        <v>527</v>
      </c>
      <c r="E506" t="s">
        <v>1375</v>
      </c>
      <c r="F506" s="381" t="s">
        <v>1825</v>
      </c>
      <c r="G506" t="s">
        <v>8567</v>
      </c>
    </row>
    <row r="507" spans="2:7">
      <c r="B507" s="871">
        <v>46276</v>
      </c>
      <c r="C507" t="s">
        <v>2480</v>
      </c>
      <c r="D507" t="s">
        <v>527</v>
      </c>
      <c r="E507" t="s">
        <v>1375</v>
      </c>
      <c r="F507" s="381" t="s">
        <v>1552</v>
      </c>
      <c r="G507" t="s">
        <v>8568</v>
      </c>
    </row>
    <row r="508" spans="2:7">
      <c r="B508" s="871">
        <v>46276</v>
      </c>
      <c r="C508" t="s">
        <v>2480</v>
      </c>
      <c r="D508" t="s">
        <v>527</v>
      </c>
      <c r="E508" t="s">
        <v>1375</v>
      </c>
      <c r="F508" s="381" t="s">
        <v>1499</v>
      </c>
      <c r="G508" t="s">
        <v>8569</v>
      </c>
    </row>
    <row r="509" spans="2:7">
      <c r="B509" s="871">
        <v>46276</v>
      </c>
      <c r="C509" t="s">
        <v>2480</v>
      </c>
      <c r="D509" t="s">
        <v>527</v>
      </c>
      <c r="E509" t="s">
        <v>1375</v>
      </c>
      <c r="F509" s="381" t="s">
        <v>1826</v>
      </c>
      <c r="G509" t="s">
        <v>8570</v>
      </c>
    </row>
    <row r="510" spans="2:7">
      <c r="B510" s="871">
        <v>46276</v>
      </c>
      <c r="C510" t="s">
        <v>2480</v>
      </c>
      <c r="D510" t="s">
        <v>527</v>
      </c>
      <c r="E510" t="s">
        <v>1454</v>
      </c>
      <c r="F510" s="381" t="s">
        <v>1827</v>
      </c>
      <c r="G510" t="s">
        <v>8571</v>
      </c>
    </row>
    <row r="511" spans="2:7">
      <c r="B511" s="871">
        <v>46276</v>
      </c>
      <c r="C511" t="s">
        <v>2480</v>
      </c>
      <c r="D511" t="s">
        <v>527</v>
      </c>
      <c r="E511" t="s">
        <v>1472</v>
      </c>
      <c r="F511" s="381" t="s">
        <v>1828</v>
      </c>
      <c r="G511" t="s">
        <v>8572</v>
      </c>
    </row>
    <row r="512" spans="2:7">
      <c r="B512" s="871">
        <v>46276</v>
      </c>
      <c r="C512" t="s">
        <v>2480</v>
      </c>
      <c r="D512" t="s">
        <v>527</v>
      </c>
      <c r="E512" t="s">
        <v>1472</v>
      </c>
      <c r="F512" s="381" t="s">
        <v>1829</v>
      </c>
      <c r="G512" t="s">
        <v>8573</v>
      </c>
    </row>
    <row r="513" spans="2:7">
      <c r="B513" s="871">
        <v>46276</v>
      </c>
      <c r="C513" t="s">
        <v>2480</v>
      </c>
      <c r="D513" t="s">
        <v>527</v>
      </c>
      <c r="E513" t="s">
        <v>1472</v>
      </c>
      <c r="F513" s="381" t="s">
        <v>1830</v>
      </c>
      <c r="G513" t="s">
        <v>8574</v>
      </c>
    </row>
    <row r="514" spans="2:7">
      <c r="B514" s="871">
        <v>46276</v>
      </c>
      <c r="C514" t="s">
        <v>2480</v>
      </c>
      <c r="D514" t="s">
        <v>527</v>
      </c>
      <c r="E514" t="s">
        <v>1472</v>
      </c>
      <c r="F514" s="381" t="s">
        <v>1831</v>
      </c>
      <c r="G514" t="s">
        <v>8575</v>
      </c>
    </row>
    <row r="515" spans="2:7">
      <c r="B515" s="871">
        <v>46276</v>
      </c>
      <c r="C515" t="s">
        <v>2480</v>
      </c>
      <c r="D515" t="s">
        <v>527</v>
      </c>
      <c r="E515" t="s">
        <v>1472</v>
      </c>
      <c r="F515" s="381" t="s">
        <v>1832</v>
      </c>
      <c r="G515" t="s">
        <v>8576</v>
      </c>
    </row>
    <row r="516" spans="2:7">
      <c r="B516" s="871">
        <v>46276</v>
      </c>
      <c r="C516" t="s">
        <v>2480</v>
      </c>
      <c r="D516" t="s">
        <v>527</v>
      </c>
      <c r="E516" t="s">
        <v>1474</v>
      </c>
      <c r="F516" s="381" t="s">
        <v>1833</v>
      </c>
      <c r="G516" t="s">
        <v>8577</v>
      </c>
    </row>
    <row r="517" spans="2:7">
      <c r="B517" s="871">
        <v>46276</v>
      </c>
      <c r="C517" t="s">
        <v>2480</v>
      </c>
      <c r="D517" t="s">
        <v>527</v>
      </c>
      <c r="E517" t="s">
        <v>1474</v>
      </c>
      <c r="F517" s="381" t="s">
        <v>1834</v>
      </c>
      <c r="G517" t="s">
        <v>8578</v>
      </c>
    </row>
    <row r="518" spans="2:7">
      <c r="B518" s="871">
        <v>46276</v>
      </c>
      <c r="C518" t="s">
        <v>2480</v>
      </c>
      <c r="D518" t="s">
        <v>527</v>
      </c>
      <c r="E518" t="s">
        <v>1474</v>
      </c>
      <c r="F518" s="381" t="s">
        <v>1835</v>
      </c>
      <c r="G518" t="s">
        <v>8579</v>
      </c>
    </row>
    <row r="519" spans="2:7">
      <c r="B519" s="871">
        <v>46276</v>
      </c>
      <c r="C519" t="s">
        <v>2480</v>
      </c>
      <c r="D519" t="s">
        <v>527</v>
      </c>
      <c r="E519" t="s">
        <v>1474</v>
      </c>
      <c r="F519" s="381" t="s">
        <v>1836</v>
      </c>
      <c r="G519" t="s">
        <v>8580</v>
      </c>
    </row>
    <row r="520" spans="2:7">
      <c r="B520" s="871">
        <v>46276</v>
      </c>
      <c r="C520" t="s">
        <v>2480</v>
      </c>
      <c r="D520" t="s">
        <v>527</v>
      </c>
      <c r="E520" t="s">
        <v>1376</v>
      </c>
      <c r="F520" s="381" t="s">
        <v>1837</v>
      </c>
      <c r="G520" t="s">
        <v>8581</v>
      </c>
    </row>
    <row r="521" spans="2:7">
      <c r="B521" s="871">
        <v>46276</v>
      </c>
      <c r="C521" t="s">
        <v>2480</v>
      </c>
      <c r="D521" t="s">
        <v>527</v>
      </c>
      <c r="E521" t="s">
        <v>1376</v>
      </c>
      <c r="F521" s="381" t="s">
        <v>1564</v>
      </c>
      <c r="G521" t="s">
        <v>8582</v>
      </c>
    </row>
    <row r="522" spans="2:7">
      <c r="B522" s="871">
        <v>46276</v>
      </c>
      <c r="C522" t="s">
        <v>2480</v>
      </c>
      <c r="D522" t="s">
        <v>527</v>
      </c>
      <c r="E522" t="s">
        <v>1393</v>
      </c>
      <c r="F522" s="381" t="s">
        <v>1838</v>
      </c>
      <c r="G522" t="s">
        <v>8583</v>
      </c>
    </row>
    <row r="523" spans="2:7">
      <c r="B523" s="871">
        <v>46276</v>
      </c>
      <c r="C523" t="s">
        <v>2480</v>
      </c>
      <c r="D523" t="s">
        <v>527</v>
      </c>
      <c r="E523" t="s">
        <v>1393</v>
      </c>
      <c r="F523" s="381" t="s">
        <v>1617</v>
      </c>
      <c r="G523" t="s">
        <v>8584</v>
      </c>
    </row>
    <row r="524" spans="2:7">
      <c r="B524" s="871">
        <v>46276</v>
      </c>
      <c r="C524" t="s">
        <v>2480</v>
      </c>
      <c r="D524" t="s">
        <v>527</v>
      </c>
      <c r="E524" t="s">
        <v>1393</v>
      </c>
      <c r="F524" s="381" t="s">
        <v>1524</v>
      </c>
      <c r="G524" t="s">
        <v>8585</v>
      </c>
    </row>
    <row r="525" spans="2:7">
      <c r="B525" s="871">
        <v>46276</v>
      </c>
      <c r="C525" t="s">
        <v>2480</v>
      </c>
      <c r="D525" t="s">
        <v>527</v>
      </c>
      <c r="E525" t="s">
        <v>1393</v>
      </c>
      <c r="F525" s="381" t="s">
        <v>1652</v>
      </c>
      <c r="G525" t="s">
        <v>8586</v>
      </c>
    </row>
    <row r="526" spans="2:7">
      <c r="B526" s="871">
        <v>46276</v>
      </c>
      <c r="C526" t="s">
        <v>2480</v>
      </c>
      <c r="D526" t="s">
        <v>527</v>
      </c>
      <c r="E526" t="s">
        <v>1393</v>
      </c>
      <c r="F526" s="381" t="s">
        <v>1839</v>
      </c>
      <c r="G526" t="s">
        <v>8587</v>
      </c>
    </row>
    <row r="527" spans="2:7">
      <c r="B527" s="871">
        <v>46276</v>
      </c>
      <c r="C527" t="s">
        <v>2480</v>
      </c>
      <c r="D527" t="s">
        <v>527</v>
      </c>
      <c r="E527" t="s">
        <v>1393</v>
      </c>
      <c r="F527" s="381" t="s">
        <v>1840</v>
      </c>
      <c r="G527" t="s">
        <v>8588</v>
      </c>
    </row>
    <row r="528" spans="2:7">
      <c r="B528" s="871">
        <v>46276</v>
      </c>
      <c r="C528" t="s">
        <v>2480</v>
      </c>
      <c r="D528" t="s">
        <v>527</v>
      </c>
      <c r="E528" t="s">
        <v>1393</v>
      </c>
      <c r="F528" s="381" t="s">
        <v>1841</v>
      </c>
      <c r="G528" t="s">
        <v>8589</v>
      </c>
    </row>
    <row r="529" spans="2:7">
      <c r="B529" s="871">
        <v>46276</v>
      </c>
      <c r="C529" t="s">
        <v>2480</v>
      </c>
      <c r="D529" t="s">
        <v>527</v>
      </c>
      <c r="E529" t="s">
        <v>1393</v>
      </c>
      <c r="F529" s="381" t="s">
        <v>1842</v>
      </c>
      <c r="G529" t="s">
        <v>8590</v>
      </c>
    </row>
    <row r="530" spans="2:7">
      <c r="B530" s="871">
        <v>46276</v>
      </c>
      <c r="C530" t="s">
        <v>2480</v>
      </c>
      <c r="D530" t="s">
        <v>527</v>
      </c>
      <c r="E530" t="s">
        <v>1393</v>
      </c>
      <c r="F530" s="381" t="s">
        <v>1843</v>
      </c>
      <c r="G530" t="s">
        <v>8591</v>
      </c>
    </row>
    <row r="531" spans="2:7">
      <c r="B531" s="871">
        <v>46276</v>
      </c>
      <c r="C531" t="s">
        <v>2480</v>
      </c>
      <c r="D531" t="s">
        <v>527</v>
      </c>
      <c r="E531" t="s">
        <v>1410</v>
      </c>
      <c r="F531" s="381" t="s">
        <v>1433</v>
      </c>
      <c r="G531" t="s">
        <v>8592</v>
      </c>
    </row>
    <row r="532" spans="2:7">
      <c r="B532" s="871">
        <v>46276</v>
      </c>
      <c r="C532" t="s">
        <v>2480</v>
      </c>
      <c r="D532" t="s">
        <v>527</v>
      </c>
      <c r="E532" t="s">
        <v>1410</v>
      </c>
      <c r="F532" s="381" t="s">
        <v>1844</v>
      </c>
      <c r="G532" t="s">
        <v>8593</v>
      </c>
    </row>
    <row r="533" spans="2:7">
      <c r="B533" s="871">
        <v>46276</v>
      </c>
      <c r="C533" t="s">
        <v>2480</v>
      </c>
      <c r="D533" t="s">
        <v>527</v>
      </c>
      <c r="E533" t="s">
        <v>1410</v>
      </c>
      <c r="F533" s="381" t="s">
        <v>1845</v>
      </c>
      <c r="G533" t="s">
        <v>8594</v>
      </c>
    </row>
    <row r="534" spans="2:7">
      <c r="B534" s="871">
        <v>46276</v>
      </c>
      <c r="C534" t="s">
        <v>2480</v>
      </c>
      <c r="D534" t="s">
        <v>527</v>
      </c>
      <c r="E534" t="s">
        <v>1410</v>
      </c>
      <c r="F534" s="381" t="s">
        <v>1846</v>
      </c>
      <c r="G534" t="s">
        <v>8595</v>
      </c>
    </row>
    <row r="535" spans="2:7">
      <c r="B535" s="871">
        <v>46276</v>
      </c>
      <c r="C535" t="s">
        <v>2480</v>
      </c>
      <c r="D535" t="s">
        <v>527</v>
      </c>
      <c r="E535" t="s">
        <v>1410</v>
      </c>
      <c r="F535" s="381" t="s">
        <v>1730</v>
      </c>
      <c r="G535" t="s">
        <v>8596</v>
      </c>
    </row>
    <row r="536" spans="2:7">
      <c r="B536" s="871">
        <v>46276</v>
      </c>
      <c r="C536" t="s">
        <v>2480</v>
      </c>
      <c r="D536" t="s">
        <v>527</v>
      </c>
      <c r="E536" t="s">
        <v>1410</v>
      </c>
      <c r="F536" s="381" t="s">
        <v>1847</v>
      </c>
      <c r="G536" t="s">
        <v>8597</v>
      </c>
    </row>
    <row r="537" spans="2:7">
      <c r="B537" s="871">
        <v>46276</v>
      </c>
      <c r="C537" t="s">
        <v>2480</v>
      </c>
      <c r="D537" t="s">
        <v>527</v>
      </c>
      <c r="E537" t="s">
        <v>1410</v>
      </c>
      <c r="F537" s="381" t="s">
        <v>1848</v>
      </c>
      <c r="G537" t="s">
        <v>8598</v>
      </c>
    </row>
    <row r="538" spans="2:7">
      <c r="B538" s="871">
        <v>46276</v>
      </c>
      <c r="C538" t="s">
        <v>2480</v>
      </c>
      <c r="D538" t="s">
        <v>527</v>
      </c>
      <c r="E538" t="s">
        <v>1410</v>
      </c>
      <c r="F538" s="381" t="s">
        <v>1849</v>
      </c>
      <c r="G538" t="s">
        <v>8599</v>
      </c>
    </row>
    <row r="539" spans="2:7">
      <c r="B539" s="871">
        <v>46276</v>
      </c>
      <c r="C539" t="s">
        <v>2480</v>
      </c>
      <c r="D539" t="s">
        <v>527</v>
      </c>
      <c r="E539" t="s">
        <v>1434</v>
      </c>
      <c r="F539" s="381" t="s">
        <v>1850</v>
      </c>
      <c r="G539" t="s">
        <v>8600</v>
      </c>
    </row>
    <row r="540" spans="2:7">
      <c r="B540" s="871">
        <v>46276</v>
      </c>
      <c r="C540" t="s">
        <v>2480</v>
      </c>
      <c r="D540" t="s">
        <v>527</v>
      </c>
      <c r="E540" t="s">
        <v>1434</v>
      </c>
      <c r="F540" s="381" t="s">
        <v>10067</v>
      </c>
      <c r="G540" t="s">
        <v>8601</v>
      </c>
    </row>
    <row r="541" spans="2:7">
      <c r="B541" s="871">
        <v>46276</v>
      </c>
      <c r="C541" t="s">
        <v>2480</v>
      </c>
      <c r="D541" t="s">
        <v>527</v>
      </c>
      <c r="E541" t="s">
        <v>1434</v>
      </c>
      <c r="F541" s="381" t="s">
        <v>10068</v>
      </c>
      <c r="G541" t="s">
        <v>8602</v>
      </c>
    </row>
    <row r="542" spans="2:7">
      <c r="B542" s="871">
        <v>46276</v>
      </c>
      <c r="C542" t="s">
        <v>2480</v>
      </c>
      <c r="D542" t="s">
        <v>527</v>
      </c>
      <c r="E542" t="s">
        <v>1434</v>
      </c>
      <c r="F542" s="381" t="s">
        <v>1851</v>
      </c>
      <c r="G542" t="s">
        <v>8603</v>
      </c>
    </row>
    <row r="543" spans="2:7">
      <c r="B543" s="871">
        <v>46276</v>
      </c>
      <c r="C543" t="s">
        <v>2480</v>
      </c>
      <c r="D543" t="s">
        <v>527</v>
      </c>
      <c r="E543" t="s">
        <v>1434</v>
      </c>
      <c r="F543" s="381" t="s">
        <v>10069</v>
      </c>
      <c r="G543" t="s">
        <v>8604</v>
      </c>
    </row>
    <row r="544" spans="2:7">
      <c r="B544" s="871">
        <v>46276</v>
      </c>
      <c r="C544" t="s">
        <v>2480</v>
      </c>
      <c r="D544" t="s">
        <v>527</v>
      </c>
      <c r="E544" t="s">
        <v>1434</v>
      </c>
      <c r="F544" s="381" t="s">
        <v>1852</v>
      </c>
      <c r="G544" t="s">
        <v>8605</v>
      </c>
    </row>
    <row r="545" spans="2:7" ht="165">
      <c r="B545" s="871">
        <v>46276</v>
      </c>
      <c r="C545" t="s">
        <v>2480</v>
      </c>
      <c r="D545" t="s">
        <v>528</v>
      </c>
      <c r="E545" t="s">
        <v>1375</v>
      </c>
      <c r="F545" s="381" t="s">
        <v>1853</v>
      </c>
      <c r="G545" t="s">
        <v>8606</v>
      </c>
    </row>
    <row r="546" spans="2:7" ht="75">
      <c r="B546" s="871">
        <v>46276</v>
      </c>
      <c r="C546" t="s">
        <v>2480</v>
      </c>
      <c r="D546" t="s">
        <v>528</v>
      </c>
      <c r="E546" t="s">
        <v>1454</v>
      </c>
      <c r="F546" s="381" t="s">
        <v>1854</v>
      </c>
      <c r="G546" t="s">
        <v>8607</v>
      </c>
    </row>
    <row r="547" spans="2:7" ht="135">
      <c r="B547" s="871">
        <v>46276</v>
      </c>
      <c r="C547" t="s">
        <v>2480</v>
      </c>
      <c r="D547" t="s">
        <v>528</v>
      </c>
      <c r="E547" t="s">
        <v>1458</v>
      </c>
      <c r="F547" s="381" t="s">
        <v>1855</v>
      </c>
      <c r="G547" t="s">
        <v>8608</v>
      </c>
    </row>
    <row r="548" spans="2:7">
      <c r="B548" s="871">
        <v>46276</v>
      </c>
      <c r="C548" t="s">
        <v>2480</v>
      </c>
      <c r="D548" t="s">
        <v>528</v>
      </c>
      <c r="E548" t="s">
        <v>1474</v>
      </c>
      <c r="F548" s="381" t="s">
        <v>1475</v>
      </c>
      <c r="G548" t="s">
        <v>8609</v>
      </c>
    </row>
    <row r="549" spans="2:7" ht="75">
      <c r="B549" s="871">
        <v>46276</v>
      </c>
      <c r="C549" t="s">
        <v>2480</v>
      </c>
      <c r="D549" t="s">
        <v>528</v>
      </c>
      <c r="E549" t="s">
        <v>1376</v>
      </c>
      <c r="F549" s="381" t="s">
        <v>1856</v>
      </c>
      <c r="G549" t="s">
        <v>8610</v>
      </c>
    </row>
    <row r="550" spans="2:7" ht="300">
      <c r="B550" s="871">
        <v>46276</v>
      </c>
      <c r="C550" t="s">
        <v>2480</v>
      </c>
      <c r="D550" t="s">
        <v>528</v>
      </c>
      <c r="E550" t="s">
        <v>1410</v>
      </c>
      <c r="F550" s="381" t="s">
        <v>1857</v>
      </c>
      <c r="G550" t="s">
        <v>8611</v>
      </c>
    </row>
    <row r="551" spans="2:7" ht="150">
      <c r="B551" s="871">
        <v>46276</v>
      </c>
      <c r="C551" t="s">
        <v>2480</v>
      </c>
      <c r="D551" t="s">
        <v>528</v>
      </c>
      <c r="E551" t="s">
        <v>1393</v>
      </c>
      <c r="F551" s="381" t="s">
        <v>1858</v>
      </c>
      <c r="G551" t="s">
        <v>8612</v>
      </c>
    </row>
    <row r="552" spans="2:7" ht="409.5">
      <c r="B552" s="871">
        <v>46276</v>
      </c>
      <c r="C552" t="s">
        <v>2480</v>
      </c>
      <c r="D552" t="s">
        <v>528</v>
      </c>
      <c r="E552" t="s">
        <v>1434</v>
      </c>
      <c r="F552" s="381" t="s">
        <v>1859</v>
      </c>
      <c r="G552" t="s">
        <v>8613</v>
      </c>
    </row>
    <row r="553" spans="2:7" ht="90">
      <c r="B553" s="871">
        <v>46277</v>
      </c>
      <c r="C553" t="s">
        <v>2481</v>
      </c>
      <c r="D553" t="s">
        <v>526</v>
      </c>
      <c r="E553" t="s">
        <v>1375</v>
      </c>
      <c r="F553" s="381" t="s">
        <v>1864</v>
      </c>
      <c r="G553" t="s">
        <v>8614</v>
      </c>
    </row>
    <row r="554" spans="2:7" ht="90">
      <c r="B554" s="871">
        <v>46277</v>
      </c>
      <c r="C554" t="s">
        <v>2481</v>
      </c>
      <c r="D554" t="s">
        <v>526</v>
      </c>
      <c r="E554" t="s">
        <v>1454</v>
      </c>
      <c r="F554" s="381" t="s">
        <v>1665</v>
      </c>
      <c r="G554" t="s">
        <v>8615</v>
      </c>
    </row>
    <row r="555" spans="2:7" ht="60">
      <c r="B555" s="871">
        <v>46277</v>
      </c>
      <c r="C555" t="s">
        <v>2481</v>
      </c>
      <c r="D555" t="s">
        <v>526</v>
      </c>
      <c r="E555" t="s">
        <v>1458</v>
      </c>
      <c r="F555" s="381" t="s">
        <v>1666</v>
      </c>
      <c r="G555" t="s">
        <v>8616</v>
      </c>
    </row>
    <row r="556" spans="2:7">
      <c r="B556" s="871">
        <v>46277</v>
      </c>
      <c r="C556" t="s">
        <v>2481</v>
      </c>
      <c r="D556" t="s">
        <v>526</v>
      </c>
      <c r="E556" t="s">
        <v>1462</v>
      </c>
      <c r="F556" s="381" t="s">
        <v>1667</v>
      </c>
      <c r="G556" t="s">
        <v>8617</v>
      </c>
    </row>
    <row r="557" spans="2:7" ht="240">
      <c r="B557" s="871">
        <v>46277</v>
      </c>
      <c r="C557" t="s">
        <v>2481</v>
      </c>
      <c r="D557" t="s">
        <v>526</v>
      </c>
      <c r="E557" t="s">
        <v>1376</v>
      </c>
      <c r="F557" s="381" t="s">
        <v>1822</v>
      </c>
      <c r="G557" t="s">
        <v>8618</v>
      </c>
    </row>
    <row r="558" spans="2:7" ht="150">
      <c r="B558" s="871">
        <v>46277</v>
      </c>
      <c r="C558" t="s">
        <v>2481</v>
      </c>
      <c r="D558" t="s">
        <v>526</v>
      </c>
      <c r="E558" t="s">
        <v>1393</v>
      </c>
      <c r="F558" s="381" t="s">
        <v>1865</v>
      </c>
      <c r="G558" t="s">
        <v>8619</v>
      </c>
    </row>
    <row r="559" spans="2:7">
      <c r="B559" s="871">
        <v>46277</v>
      </c>
      <c r="C559" t="s">
        <v>2481</v>
      </c>
      <c r="D559" t="s">
        <v>526</v>
      </c>
      <c r="E559" t="s">
        <v>1465</v>
      </c>
      <c r="F559" s="381" t="s">
        <v>1866</v>
      </c>
      <c r="G559" t="s">
        <v>8620</v>
      </c>
    </row>
    <row r="560" spans="2:7" ht="409.5">
      <c r="B560" s="871">
        <v>46277</v>
      </c>
      <c r="C560" t="s">
        <v>2481</v>
      </c>
      <c r="D560" t="s">
        <v>526</v>
      </c>
      <c r="E560" t="s">
        <v>1434</v>
      </c>
      <c r="F560" s="381" t="s">
        <v>1810</v>
      </c>
      <c r="G560" t="s">
        <v>8621</v>
      </c>
    </row>
    <row r="561" spans="2:7">
      <c r="B561" s="871">
        <v>46277</v>
      </c>
      <c r="C561" t="s">
        <v>2481</v>
      </c>
      <c r="D561" t="s">
        <v>527</v>
      </c>
      <c r="E561" t="s">
        <v>1454</v>
      </c>
      <c r="F561" s="381" t="s">
        <v>1827</v>
      </c>
      <c r="G561" t="s">
        <v>8622</v>
      </c>
    </row>
    <row r="562" spans="2:7">
      <c r="B562" s="871">
        <v>46277</v>
      </c>
      <c r="C562" t="s">
        <v>2481</v>
      </c>
      <c r="D562" t="s">
        <v>527</v>
      </c>
      <c r="E562" t="s">
        <v>1472</v>
      </c>
      <c r="F562" s="381" t="s">
        <v>1828</v>
      </c>
      <c r="G562" t="s">
        <v>8623</v>
      </c>
    </row>
    <row r="563" spans="2:7">
      <c r="B563" s="871">
        <v>46277</v>
      </c>
      <c r="C563" t="s">
        <v>2481</v>
      </c>
      <c r="D563" t="s">
        <v>527</v>
      </c>
      <c r="E563" t="s">
        <v>1472</v>
      </c>
      <c r="F563" s="381" t="s">
        <v>1829</v>
      </c>
      <c r="G563" t="s">
        <v>8624</v>
      </c>
    </row>
    <row r="564" spans="2:7">
      <c r="B564" s="871">
        <v>46277</v>
      </c>
      <c r="C564" t="s">
        <v>2481</v>
      </c>
      <c r="D564" t="s">
        <v>527</v>
      </c>
      <c r="E564" t="s">
        <v>1472</v>
      </c>
      <c r="F564" s="381" t="s">
        <v>1830</v>
      </c>
      <c r="G564" t="s">
        <v>8625</v>
      </c>
    </row>
    <row r="565" spans="2:7">
      <c r="B565" s="871">
        <v>46277</v>
      </c>
      <c r="C565" t="s">
        <v>2481</v>
      </c>
      <c r="D565" t="s">
        <v>527</v>
      </c>
      <c r="E565" t="s">
        <v>1472</v>
      </c>
      <c r="F565" s="381" t="s">
        <v>1831</v>
      </c>
      <c r="G565" t="s">
        <v>8626</v>
      </c>
    </row>
    <row r="566" spans="2:7">
      <c r="B566" s="871">
        <v>46277</v>
      </c>
      <c r="C566" t="s">
        <v>2481</v>
      </c>
      <c r="D566" t="s">
        <v>527</v>
      </c>
      <c r="E566" t="s">
        <v>1472</v>
      </c>
      <c r="F566" s="381" t="s">
        <v>1832</v>
      </c>
      <c r="G566" t="s">
        <v>8627</v>
      </c>
    </row>
    <row r="567" spans="2:7">
      <c r="B567" s="871">
        <v>46277</v>
      </c>
      <c r="C567" t="s">
        <v>2481</v>
      </c>
      <c r="D567" t="s">
        <v>527</v>
      </c>
      <c r="E567" t="s">
        <v>1474</v>
      </c>
      <c r="F567" s="381" t="s">
        <v>1833</v>
      </c>
      <c r="G567" t="s">
        <v>8628</v>
      </c>
    </row>
    <row r="568" spans="2:7">
      <c r="B568" s="871">
        <v>46277</v>
      </c>
      <c r="C568" t="s">
        <v>2481</v>
      </c>
      <c r="D568" t="s">
        <v>527</v>
      </c>
      <c r="E568" t="s">
        <v>1474</v>
      </c>
      <c r="F568" s="381" t="s">
        <v>1834</v>
      </c>
      <c r="G568" t="s">
        <v>8629</v>
      </c>
    </row>
    <row r="569" spans="2:7">
      <c r="B569" s="871">
        <v>46277</v>
      </c>
      <c r="C569" t="s">
        <v>2481</v>
      </c>
      <c r="D569" t="s">
        <v>527</v>
      </c>
      <c r="E569" t="s">
        <v>1474</v>
      </c>
      <c r="F569" s="381" t="s">
        <v>1835</v>
      </c>
      <c r="G569" t="s">
        <v>8630</v>
      </c>
    </row>
    <row r="570" spans="2:7">
      <c r="B570" s="871">
        <v>46277</v>
      </c>
      <c r="C570" t="s">
        <v>2481</v>
      </c>
      <c r="D570" t="s">
        <v>527</v>
      </c>
      <c r="E570" t="s">
        <v>1474</v>
      </c>
      <c r="F570" s="381" t="s">
        <v>1836</v>
      </c>
      <c r="G570" t="s">
        <v>8631</v>
      </c>
    </row>
    <row r="571" spans="2:7">
      <c r="B571" s="871">
        <v>46277</v>
      </c>
      <c r="C571" t="s">
        <v>2481</v>
      </c>
      <c r="D571" t="s">
        <v>527</v>
      </c>
      <c r="E571" t="s">
        <v>1376</v>
      </c>
      <c r="F571" s="381" t="s">
        <v>1837</v>
      </c>
      <c r="G571" t="s">
        <v>8632</v>
      </c>
    </row>
    <row r="572" spans="2:7">
      <c r="B572" s="871">
        <v>46277</v>
      </c>
      <c r="C572" t="s">
        <v>2481</v>
      </c>
      <c r="D572" t="s">
        <v>527</v>
      </c>
      <c r="E572" t="s">
        <v>1376</v>
      </c>
      <c r="F572" s="381" t="s">
        <v>1564</v>
      </c>
      <c r="G572" t="s">
        <v>8633</v>
      </c>
    </row>
    <row r="573" spans="2:7">
      <c r="B573" s="871">
        <v>46277</v>
      </c>
      <c r="C573" t="s">
        <v>2481</v>
      </c>
      <c r="D573" t="s">
        <v>527</v>
      </c>
      <c r="E573" t="s">
        <v>1393</v>
      </c>
      <c r="F573" s="381" t="s">
        <v>1838</v>
      </c>
      <c r="G573" t="s">
        <v>8634</v>
      </c>
    </row>
    <row r="574" spans="2:7">
      <c r="B574" s="871">
        <v>46277</v>
      </c>
      <c r="C574" t="s">
        <v>2481</v>
      </c>
      <c r="D574" t="s">
        <v>527</v>
      </c>
      <c r="E574" t="s">
        <v>1393</v>
      </c>
      <c r="F574" s="381" t="s">
        <v>1617</v>
      </c>
      <c r="G574" t="s">
        <v>8635</v>
      </c>
    </row>
    <row r="575" spans="2:7">
      <c r="B575" s="871">
        <v>46277</v>
      </c>
      <c r="C575" t="s">
        <v>2481</v>
      </c>
      <c r="D575" t="s">
        <v>527</v>
      </c>
      <c r="E575" t="s">
        <v>1393</v>
      </c>
      <c r="F575" s="381" t="s">
        <v>1524</v>
      </c>
      <c r="G575" t="s">
        <v>8636</v>
      </c>
    </row>
    <row r="576" spans="2:7">
      <c r="B576" s="871">
        <v>46277</v>
      </c>
      <c r="C576" t="s">
        <v>2481</v>
      </c>
      <c r="D576" t="s">
        <v>527</v>
      </c>
      <c r="E576" t="s">
        <v>1393</v>
      </c>
      <c r="F576" s="381" t="s">
        <v>1652</v>
      </c>
      <c r="G576" t="s">
        <v>8637</v>
      </c>
    </row>
    <row r="577" spans="2:7">
      <c r="B577" s="871">
        <v>46277</v>
      </c>
      <c r="C577" t="s">
        <v>2481</v>
      </c>
      <c r="D577" t="s">
        <v>527</v>
      </c>
      <c r="E577" t="s">
        <v>1393</v>
      </c>
      <c r="F577" s="381" t="s">
        <v>1839</v>
      </c>
      <c r="G577" t="s">
        <v>8638</v>
      </c>
    </row>
    <row r="578" spans="2:7">
      <c r="B578" s="871">
        <v>46277</v>
      </c>
      <c r="C578" t="s">
        <v>2481</v>
      </c>
      <c r="D578" t="s">
        <v>527</v>
      </c>
      <c r="E578" t="s">
        <v>1393</v>
      </c>
      <c r="F578" s="381" t="s">
        <v>1840</v>
      </c>
      <c r="G578" t="s">
        <v>8639</v>
      </c>
    </row>
    <row r="579" spans="2:7">
      <c r="B579" s="871">
        <v>46277</v>
      </c>
      <c r="C579" t="s">
        <v>2481</v>
      </c>
      <c r="D579" t="s">
        <v>527</v>
      </c>
      <c r="E579" t="s">
        <v>1393</v>
      </c>
      <c r="F579" s="381" t="s">
        <v>1841</v>
      </c>
      <c r="G579" t="s">
        <v>8640</v>
      </c>
    </row>
    <row r="580" spans="2:7">
      <c r="B580" s="871">
        <v>46277</v>
      </c>
      <c r="C580" t="s">
        <v>2481</v>
      </c>
      <c r="D580" t="s">
        <v>527</v>
      </c>
      <c r="E580" t="s">
        <v>1393</v>
      </c>
      <c r="F580" s="381" t="s">
        <v>1842</v>
      </c>
      <c r="G580" t="s">
        <v>8641</v>
      </c>
    </row>
    <row r="581" spans="2:7">
      <c r="B581" s="871">
        <v>46277</v>
      </c>
      <c r="C581" t="s">
        <v>2481</v>
      </c>
      <c r="D581" t="s">
        <v>527</v>
      </c>
      <c r="E581" t="s">
        <v>1393</v>
      </c>
      <c r="F581" s="381" t="s">
        <v>1843</v>
      </c>
      <c r="G581" t="s">
        <v>8642</v>
      </c>
    </row>
    <row r="582" spans="2:7">
      <c r="B582" s="871">
        <v>46277</v>
      </c>
      <c r="C582" t="s">
        <v>2481</v>
      </c>
      <c r="D582" t="s">
        <v>527</v>
      </c>
      <c r="E582" t="s">
        <v>1410</v>
      </c>
      <c r="F582" s="381" t="s">
        <v>1433</v>
      </c>
      <c r="G582" t="s">
        <v>8643</v>
      </c>
    </row>
    <row r="583" spans="2:7">
      <c r="B583" s="871">
        <v>46277</v>
      </c>
      <c r="C583" t="s">
        <v>2481</v>
      </c>
      <c r="D583" t="s">
        <v>527</v>
      </c>
      <c r="E583" t="s">
        <v>1410</v>
      </c>
      <c r="F583" s="381" t="s">
        <v>1844</v>
      </c>
      <c r="G583" t="s">
        <v>8644</v>
      </c>
    </row>
    <row r="584" spans="2:7">
      <c r="B584" s="871">
        <v>46277</v>
      </c>
      <c r="C584" t="s">
        <v>2481</v>
      </c>
      <c r="D584" t="s">
        <v>527</v>
      </c>
      <c r="E584" t="s">
        <v>1410</v>
      </c>
      <c r="F584" s="381" t="s">
        <v>1845</v>
      </c>
      <c r="G584" t="s">
        <v>8645</v>
      </c>
    </row>
    <row r="585" spans="2:7">
      <c r="B585" s="871">
        <v>46277</v>
      </c>
      <c r="C585" t="s">
        <v>2481</v>
      </c>
      <c r="D585" t="s">
        <v>527</v>
      </c>
      <c r="E585" t="s">
        <v>1410</v>
      </c>
      <c r="F585" s="381" t="s">
        <v>1846</v>
      </c>
      <c r="G585" t="s">
        <v>8646</v>
      </c>
    </row>
    <row r="586" spans="2:7">
      <c r="B586" s="871">
        <v>46277</v>
      </c>
      <c r="C586" t="s">
        <v>2481</v>
      </c>
      <c r="D586" t="s">
        <v>527</v>
      </c>
      <c r="E586" t="s">
        <v>1410</v>
      </c>
      <c r="F586" s="381" t="s">
        <v>1730</v>
      </c>
      <c r="G586" t="s">
        <v>8647</v>
      </c>
    </row>
    <row r="587" spans="2:7">
      <c r="B587" s="871">
        <v>46277</v>
      </c>
      <c r="C587" t="s">
        <v>2481</v>
      </c>
      <c r="D587" t="s">
        <v>527</v>
      </c>
      <c r="E587" t="s">
        <v>1410</v>
      </c>
      <c r="F587" s="381" t="s">
        <v>1847</v>
      </c>
      <c r="G587" t="s">
        <v>8648</v>
      </c>
    </row>
    <row r="588" spans="2:7">
      <c r="B588" s="871">
        <v>46277</v>
      </c>
      <c r="C588" t="s">
        <v>2481</v>
      </c>
      <c r="D588" t="s">
        <v>527</v>
      </c>
      <c r="E588" t="s">
        <v>1410</v>
      </c>
      <c r="F588" s="381" t="s">
        <v>1848</v>
      </c>
      <c r="G588" t="s">
        <v>8649</v>
      </c>
    </row>
    <row r="589" spans="2:7">
      <c r="B589" s="871">
        <v>46277</v>
      </c>
      <c r="C589" t="s">
        <v>2481</v>
      </c>
      <c r="D589" t="s">
        <v>527</v>
      </c>
      <c r="E589" t="s">
        <v>1410</v>
      </c>
      <c r="F589" s="381" t="s">
        <v>1849</v>
      </c>
      <c r="G589" t="s">
        <v>8650</v>
      </c>
    </row>
    <row r="590" spans="2:7">
      <c r="B590" s="871">
        <v>46277</v>
      </c>
      <c r="C590" t="s">
        <v>2481</v>
      </c>
      <c r="D590" t="s">
        <v>527</v>
      </c>
      <c r="E590" t="s">
        <v>1434</v>
      </c>
      <c r="F590" s="381" t="s">
        <v>1850</v>
      </c>
      <c r="G590" t="s">
        <v>8651</v>
      </c>
    </row>
    <row r="591" spans="2:7">
      <c r="B591" s="871">
        <v>46277</v>
      </c>
      <c r="C591" t="s">
        <v>2481</v>
      </c>
      <c r="D591" t="s">
        <v>527</v>
      </c>
      <c r="E591" t="s">
        <v>1434</v>
      </c>
      <c r="F591" s="381" t="s">
        <v>10067</v>
      </c>
      <c r="G591" t="s">
        <v>8652</v>
      </c>
    </row>
    <row r="592" spans="2:7">
      <c r="B592" s="871">
        <v>46277</v>
      </c>
      <c r="C592" t="s">
        <v>2481</v>
      </c>
      <c r="D592" t="s">
        <v>527</v>
      </c>
      <c r="E592" t="s">
        <v>1434</v>
      </c>
      <c r="F592" s="381" t="s">
        <v>10068</v>
      </c>
      <c r="G592" t="s">
        <v>8653</v>
      </c>
    </row>
    <row r="593" spans="2:7">
      <c r="B593" s="871">
        <v>46277</v>
      </c>
      <c r="C593" t="s">
        <v>2481</v>
      </c>
      <c r="D593" t="s">
        <v>527</v>
      </c>
      <c r="E593" t="s">
        <v>1434</v>
      </c>
      <c r="F593" s="381" t="s">
        <v>1851</v>
      </c>
      <c r="G593" t="s">
        <v>8654</v>
      </c>
    </row>
    <row r="594" spans="2:7">
      <c r="B594" s="871">
        <v>46277</v>
      </c>
      <c r="C594" t="s">
        <v>2481</v>
      </c>
      <c r="D594" t="s">
        <v>527</v>
      </c>
      <c r="E594" t="s">
        <v>1434</v>
      </c>
      <c r="F594" s="381" t="s">
        <v>10069</v>
      </c>
      <c r="G594" t="s">
        <v>8655</v>
      </c>
    </row>
    <row r="595" spans="2:7">
      <c r="B595" s="871">
        <v>46277</v>
      </c>
      <c r="C595" t="s">
        <v>2481</v>
      </c>
      <c r="D595" t="s">
        <v>527</v>
      </c>
      <c r="E595" t="s">
        <v>1434</v>
      </c>
      <c r="F595" s="381" t="s">
        <v>1852</v>
      </c>
      <c r="G595" t="s">
        <v>8656</v>
      </c>
    </row>
    <row r="596" spans="2:7" ht="165">
      <c r="B596" s="871">
        <v>46277</v>
      </c>
      <c r="C596" t="s">
        <v>2481</v>
      </c>
      <c r="D596" t="s">
        <v>528</v>
      </c>
      <c r="E596" t="s">
        <v>1375</v>
      </c>
      <c r="F596" s="381" t="s">
        <v>1867</v>
      </c>
      <c r="G596" t="s">
        <v>8657</v>
      </c>
    </row>
    <row r="597" spans="2:7" ht="75">
      <c r="B597" s="871">
        <v>46277</v>
      </c>
      <c r="C597" t="s">
        <v>2481</v>
      </c>
      <c r="D597" t="s">
        <v>528</v>
      </c>
      <c r="E597" t="s">
        <v>1454</v>
      </c>
      <c r="F597" s="381" t="s">
        <v>1868</v>
      </c>
      <c r="G597" t="s">
        <v>8658</v>
      </c>
    </row>
    <row r="598" spans="2:7" ht="60">
      <c r="B598" s="871">
        <v>46277</v>
      </c>
      <c r="C598" t="s">
        <v>2481</v>
      </c>
      <c r="D598" t="s">
        <v>528</v>
      </c>
      <c r="E598" t="s">
        <v>1458</v>
      </c>
      <c r="F598" s="381" t="s">
        <v>1869</v>
      </c>
      <c r="G598" t="s">
        <v>8659</v>
      </c>
    </row>
    <row r="599" spans="2:7">
      <c r="B599" s="871">
        <v>46277</v>
      </c>
      <c r="C599" t="s">
        <v>2481</v>
      </c>
      <c r="D599" t="s">
        <v>528</v>
      </c>
      <c r="E599" t="s">
        <v>1474</v>
      </c>
      <c r="F599" s="381" t="s">
        <v>1870</v>
      </c>
      <c r="G599" t="s">
        <v>8660</v>
      </c>
    </row>
    <row r="600" spans="2:7" ht="105">
      <c r="B600" s="871">
        <v>46277</v>
      </c>
      <c r="C600" t="s">
        <v>2481</v>
      </c>
      <c r="D600" t="s">
        <v>528</v>
      </c>
      <c r="E600" t="s">
        <v>1376</v>
      </c>
      <c r="F600" s="381" t="s">
        <v>1871</v>
      </c>
      <c r="G600" t="s">
        <v>8661</v>
      </c>
    </row>
    <row r="601" spans="2:7" ht="285">
      <c r="B601" s="871">
        <v>46277</v>
      </c>
      <c r="C601" t="s">
        <v>2481</v>
      </c>
      <c r="D601" t="s">
        <v>528</v>
      </c>
      <c r="E601" t="s">
        <v>1410</v>
      </c>
      <c r="F601" s="381" t="s">
        <v>1872</v>
      </c>
      <c r="G601" t="s">
        <v>8662</v>
      </c>
    </row>
    <row r="602" spans="2:7" ht="150">
      <c r="B602" s="871">
        <v>46277</v>
      </c>
      <c r="C602" t="s">
        <v>2481</v>
      </c>
      <c r="D602" t="s">
        <v>528</v>
      </c>
      <c r="E602" t="s">
        <v>1393</v>
      </c>
      <c r="F602" s="381" t="s">
        <v>1873</v>
      </c>
      <c r="G602" t="s">
        <v>8663</v>
      </c>
    </row>
    <row r="603" spans="2:7" ht="409.5">
      <c r="B603" s="871">
        <v>46277</v>
      </c>
      <c r="C603" t="s">
        <v>2481</v>
      </c>
      <c r="D603" t="s">
        <v>528</v>
      </c>
      <c r="E603" t="s">
        <v>1434</v>
      </c>
      <c r="F603" s="381" t="s">
        <v>1874</v>
      </c>
      <c r="G603" t="s">
        <v>8664</v>
      </c>
    </row>
    <row r="604" spans="2:7" ht="90">
      <c r="B604" s="871">
        <v>46278</v>
      </c>
      <c r="C604" t="s">
        <v>2482</v>
      </c>
      <c r="D604" t="s">
        <v>526</v>
      </c>
      <c r="E604" t="s">
        <v>1375</v>
      </c>
      <c r="F604" s="381" t="s">
        <v>1864</v>
      </c>
      <c r="G604" t="s">
        <v>8665</v>
      </c>
    </row>
    <row r="605" spans="2:7" ht="60">
      <c r="B605" s="871">
        <v>46278</v>
      </c>
      <c r="C605" t="s">
        <v>2482</v>
      </c>
      <c r="D605" t="s">
        <v>526</v>
      </c>
      <c r="E605" t="s">
        <v>1454</v>
      </c>
      <c r="F605" s="381" t="s">
        <v>1879</v>
      </c>
      <c r="G605" t="s">
        <v>8666</v>
      </c>
    </row>
    <row r="606" spans="2:7" ht="60">
      <c r="B606" s="871">
        <v>46278</v>
      </c>
      <c r="C606" t="s">
        <v>2482</v>
      </c>
      <c r="D606" t="s">
        <v>526</v>
      </c>
      <c r="E606" t="s">
        <v>1458</v>
      </c>
      <c r="F606" s="381" t="s">
        <v>1666</v>
      </c>
      <c r="G606" t="s">
        <v>8667</v>
      </c>
    </row>
    <row r="607" spans="2:7">
      <c r="B607" s="871">
        <v>46278</v>
      </c>
      <c r="C607" t="s">
        <v>2482</v>
      </c>
      <c r="D607" t="s">
        <v>526</v>
      </c>
      <c r="E607" t="s">
        <v>1462</v>
      </c>
      <c r="F607" s="381" t="s">
        <v>1667</v>
      </c>
      <c r="G607" t="s">
        <v>8668</v>
      </c>
    </row>
    <row r="608" spans="2:7" ht="240">
      <c r="B608" s="871">
        <v>46278</v>
      </c>
      <c r="C608" t="s">
        <v>2482</v>
      </c>
      <c r="D608" t="s">
        <v>526</v>
      </c>
      <c r="E608" t="s">
        <v>1376</v>
      </c>
      <c r="F608" s="381" t="s">
        <v>1822</v>
      </c>
      <c r="G608" t="s">
        <v>8669</v>
      </c>
    </row>
    <row r="609" spans="2:7" ht="150">
      <c r="B609" s="871">
        <v>46278</v>
      </c>
      <c r="C609" t="s">
        <v>2482</v>
      </c>
      <c r="D609" t="s">
        <v>526</v>
      </c>
      <c r="E609" t="s">
        <v>1393</v>
      </c>
      <c r="F609" s="381" t="s">
        <v>1865</v>
      </c>
      <c r="G609" t="s">
        <v>8670</v>
      </c>
    </row>
    <row r="610" spans="2:7">
      <c r="B610" s="871">
        <v>46278</v>
      </c>
      <c r="C610" t="s">
        <v>2482</v>
      </c>
      <c r="D610" t="s">
        <v>526</v>
      </c>
      <c r="E610" t="s">
        <v>1465</v>
      </c>
      <c r="F610" s="381" t="s">
        <v>1866</v>
      </c>
      <c r="G610" t="s">
        <v>8671</v>
      </c>
    </row>
    <row r="611" spans="2:7" ht="409.5">
      <c r="B611" s="871">
        <v>46278</v>
      </c>
      <c r="C611" t="s">
        <v>2482</v>
      </c>
      <c r="D611" t="s">
        <v>526</v>
      </c>
      <c r="E611" t="s">
        <v>1434</v>
      </c>
      <c r="F611" s="381" t="s">
        <v>1810</v>
      </c>
      <c r="G611" t="s">
        <v>8672</v>
      </c>
    </row>
    <row r="612" spans="2:7" ht="165">
      <c r="B612" s="871">
        <v>46278</v>
      </c>
      <c r="C612" t="s">
        <v>2482</v>
      </c>
      <c r="D612" t="s">
        <v>527</v>
      </c>
      <c r="E612" t="s">
        <v>1375</v>
      </c>
      <c r="F612" s="381" t="s">
        <v>1880</v>
      </c>
      <c r="G612" t="s">
        <v>8673</v>
      </c>
    </row>
    <row r="613" spans="2:7" ht="60">
      <c r="B613" s="871">
        <v>46278</v>
      </c>
      <c r="C613" t="s">
        <v>2482</v>
      </c>
      <c r="D613" t="s">
        <v>527</v>
      </c>
      <c r="E613" t="s">
        <v>1454</v>
      </c>
      <c r="F613" s="381" t="s">
        <v>1881</v>
      </c>
      <c r="G613" t="s">
        <v>8674</v>
      </c>
    </row>
    <row r="614" spans="2:7">
      <c r="B614" s="871">
        <v>46278</v>
      </c>
      <c r="C614" t="s">
        <v>2482</v>
      </c>
      <c r="D614" t="s">
        <v>527</v>
      </c>
      <c r="E614" t="s">
        <v>1472</v>
      </c>
      <c r="F614" s="381" t="s">
        <v>1882</v>
      </c>
      <c r="G614" t="s">
        <v>8675</v>
      </c>
    </row>
    <row r="615" spans="2:7">
      <c r="B615" s="871">
        <v>46278</v>
      </c>
      <c r="C615" t="s">
        <v>2482</v>
      </c>
      <c r="D615" t="s">
        <v>527</v>
      </c>
      <c r="E615" t="s">
        <v>1472</v>
      </c>
      <c r="F615" s="381" t="s">
        <v>1883</v>
      </c>
      <c r="G615" t="s">
        <v>8676</v>
      </c>
    </row>
    <row r="616" spans="2:7">
      <c r="B616" s="871">
        <v>46278</v>
      </c>
      <c r="C616" t="s">
        <v>2482</v>
      </c>
      <c r="D616" t="s">
        <v>527</v>
      </c>
      <c r="E616" t="s">
        <v>1472</v>
      </c>
      <c r="F616" s="381" t="s">
        <v>1884</v>
      </c>
      <c r="G616" t="s">
        <v>8677</v>
      </c>
    </row>
    <row r="617" spans="2:7">
      <c r="B617" s="871">
        <v>46278</v>
      </c>
      <c r="C617" t="s">
        <v>2482</v>
      </c>
      <c r="D617" t="s">
        <v>527</v>
      </c>
      <c r="E617" t="s">
        <v>1472</v>
      </c>
      <c r="F617" s="381" t="s">
        <v>1885</v>
      </c>
      <c r="G617" t="s">
        <v>8678</v>
      </c>
    </row>
    <row r="618" spans="2:7">
      <c r="B618" s="871">
        <v>46278</v>
      </c>
      <c r="C618" t="s">
        <v>2482</v>
      </c>
      <c r="D618" t="s">
        <v>527</v>
      </c>
      <c r="E618" t="s">
        <v>1474</v>
      </c>
      <c r="F618" s="381" t="s">
        <v>1886</v>
      </c>
      <c r="G618" t="s">
        <v>8679</v>
      </c>
    </row>
    <row r="619" spans="2:7">
      <c r="B619" s="871">
        <v>46278</v>
      </c>
      <c r="C619" t="s">
        <v>2482</v>
      </c>
      <c r="D619" t="s">
        <v>527</v>
      </c>
      <c r="E619" t="s">
        <v>1474</v>
      </c>
      <c r="F619" s="381" t="s">
        <v>1887</v>
      </c>
      <c r="G619" t="s">
        <v>8680</v>
      </c>
    </row>
    <row r="620" spans="2:7" ht="105">
      <c r="B620" s="871">
        <v>46278</v>
      </c>
      <c r="C620" t="s">
        <v>2482</v>
      </c>
      <c r="D620" t="s">
        <v>527</v>
      </c>
      <c r="E620" t="s">
        <v>1474</v>
      </c>
      <c r="F620" s="381" t="s">
        <v>1888</v>
      </c>
      <c r="G620" t="s">
        <v>8681</v>
      </c>
    </row>
    <row r="621" spans="2:7">
      <c r="B621" s="871">
        <v>46278</v>
      </c>
      <c r="C621" t="s">
        <v>2482</v>
      </c>
      <c r="D621" t="s">
        <v>527</v>
      </c>
      <c r="E621" t="s">
        <v>1393</v>
      </c>
      <c r="F621" s="381" t="s">
        <v>1651</v>
      </c>
      <c r="G621" t="s">
        <v>8682</v>
      </c>
    </row>
    <row r="622" spans="2:7">
      <c r="B622" s="871">
        <v>46278</v>
      </c>
      <c r="C622" t="s">
        <v>2482</v>
      </c>
      <c r="D622" t="s">
        <v>527</v>
      </c>
      <c r="E622" t="s">
        <v>1393</v>
      </c>
      <c r="F622" s="381" t="s">
        <v>1889</v>
      </c>
      <c r="G622" t="s">
        <v>8683</v>
      </c>
    </row>
    <row r="623" spans="2:7">
      <c r="B623" s="871">
        <v>46278</v>
      </c>
      <c r="C623" t="s">
        <v>2482</v>
      </c>
      <c r="D623" t="s">
        <v>527</v>
      </c>
      <c r="E623" t="s">
        <v>1393</v>
      </c>
      <c r="F623" s="381" t="s">
        <v>1524</v>
      </c>
      <c r="G623" t="s">
        <v>8684</v>
      </c>
    </row>
    <row r="624" spans="2:7">
      <c r="B624" s="871">
        <v>46278</v>
      </c>
      <c r="C624" t="s">
        <v>2482</v>
      </c>
      <c r="D624" t="s">
        <v>527</v>
      </c>
      <c r="E624" t="s">
        <v>1393</v>
      </c>
      <c r="F624" s="381" t="s">
        <v>1652</v>
      </c>
      <c r="G624" t="s">
        <v>8685</v>
      </c>
    </row>
    <row r="625" spans="2:7">
      <c r="B625" s="871">
        <v>46278</v>
      </c>
      <c r="C625" t="s">
        <v>2482</v>
      </c>
      <c r="D625" t="s">
        <v>527</v>
      </c>
      <c r="E625" t="s">
        <v>1393</v>
      </c>
      <c r="F625" s="381" t="s">
        <v>1890</v>
      </c>
      <c r="G625" t="s">
        <v>8686</v>
      </c>
    </row>
    <row r="626" spans="2:7">
      <c r="B626" s="871">
        <v>46278</v>
      </c>
      <c r="C626" t="s">
        <v>2482</v>
      </c>
      <c r="D626" t="s">
        <v>527</v>
      </c>
      <c r="E626" t="s">
        <v>1393</v>
      </c>
      <c r="F626" s="381" t="s">
        <v>1891</v>
      </c>
      <c r="G626" t="s">
        <v>8687</v>
      </c>
    </row>
    <row r="627" spans="2:7">
      <c r="B627" s="871">
        <v>46278</v>
      </c>
      <c r="C627" t="s">
        <v>2482</v>
      </c>
      <c r="D627" t="s">
        <v>527</v>
      </c>
      <c r="E627" t="s">
        <v>1393</v>
      </c>
      <c r="F627" s="381" t="s">
        <v>1892</v>
      </c>
      <c r="G627" t="s">
        <v>8688</v>
      </c>
    </row>
    <row r="628" spans="2:7">
      <c r="B628" s="871">
        <v>46278</v>
      </c>
      <c r="C628" t="s">
        <v>2482</v>
      </c>
      <c r="D628" t="s">
        <v>527</v>
      </c>
      <c r="E628" t="s">
        <v>1393</v>
      </c>
      <c r="F628" s="381" t="s">
        <v>1893</v>
      </c>
      <c r="G628" t="s">
        <v>8689</v>
      </c>
    </row>
    <row r="629" spans="2:7">
      <c r="B629" s="871">
        <v>46278</v>
      </c>
      <c r="C629" t="s">
        <v>2482</v>
      </c>
      <c r="D629" t="s">
        <v>527</v>
      </c>
      <c r="E629" t="s">
        <v>1393</v>
      </c>
      <c r="F629" s="381" t="s">
        <v>1894</v>
      </c>
      <c r="G629" t="s">
        <v>8690</v>
      </c>
    </row>
    <row r="630" spans="2:7">
      <c r="B630" s="871">
        <v>46278</v>
      </c>
      <c r="C630" t="s">
        <v>2482</v>
      </c>
      <c r="D630" t="s">
        <v>527</v>
      </c>
      <c r="E630" t="s">
        <v>1410</v>
      </c>
      <c r="F630" s="381" t="s">
        <v>1433</v>
      </c>
      <c r="G630" t="s">
        <v>8691</v>
      </c>
    </row>
    <row r="631" spans="2:7">
      <c r="B631" s="871">
        <v>46278</v>
      </c>
      <c r="C631" t="s">
        <v>2482</v>
      </c>
      <c r="D631" t="s">
        <v>527</v>
      </c>
      <c r="E631" t="s">
        <v>1410</v>
      </c>
      <c r="F631" s="381" t="s">
        <v>1895</v>
      </c>
      <c r="G631" t="s">
        <v>8692</v>
      </c>
    </row>
    <row r="632" spans="2:7">
      <c r="B632" s="871">
        <v>46278</v>
      </c>
      <c r="C632" t="s">
        <v>2482</v>
      </c>
      <c r="D632" t="s">
        <v>527</v>
      </c>
      <c r="E632" t="s">
        <v>1410</v>
      </c>
      <c r="F632" s="381" t="s">
        <v>1896</v>
      </c>
      <c r="G632" t="s">
        <v>8693</v>
      </c>
    </row>
    <row r="633" spans="2:7">
      <c r="B633" s="871">
        <v>46278</v>
      </c>
      <c r="C633" t="s">
        <v>2482</v>
      </c>
      <c r="D633" t="s">
        <v>527</v>
      </c>
      <c r="E633" t="s">
        <v>1410</v>
      </c>
      <c r="F633" s="381" t="s">
        <v>1897</v>
      </c>
      <c r="G633" t="s">
        <v>8694</v>
      </c>
    </row>
    <row r="634" spans="2:7">
      <c r="B634" s="871">
        <v>46278</v>
      </c>
      <c r="C634" t="s">
        <v>2482</v>
      </c>
      <c r="D634" t="s">
        <v>527</v>
      </c>
      <c r="E634" t="s">
        <v>1410</v>
      </c>
      <c r="F634" s="381" t="s">
        <v>1898</v>
      </c>
      <c r="G634" t="s">
        <v>8695</v>
      </c>
    </row>
    <row r="635" spans="2:7">
      <c r="B635" s="871">
        <v>46278</v>
      </c>
      <c r="C635" t="s">
        <v>2482</v>
      </c>
      <c r="D635" t="s">
        <v>527</v>
      </c>
      <c r="E635" t="s">
        <v>1410</v>
      </c>
      <c r="F635" s="381" t="s">
        <v>1899</v>
      </c>
      <c r="G635" t="s">
        <v>8696</v>
      </c>
    </row>
    <row r="636" spans="2:7">
      <c r="B636" s="871">
        <v>46278</v>
      </c>
      <c r="C636" t="s">
        <v>2482</v>
      </c>
      <c r="D636" t="s">
        <v>527</v>
      </c>
      <c r="E636" t="s">
        <v>1434</v>
      </c>
      <c r="F636" s="381" t="s">
        <v>1900</v>
      </c>
      <c r="G636" t="s">
        <v>8697</v>
      </c>
    </row>
    <row r="637" spans="2:7">
      <c r="B637" s="871">
        <v>46278</v>
      </c>
      <c r="C637" t="s">
        <v>2482</v>
      </c>
      <c r="D637" t="s">
        <v>527</v>
      </c>
      <c r="E637" t="s">
        <v>1434</v>
      </c>
      <c r="F637" s="381" t="s">
        <v>10070</v>
      </c>
      <c r="G637" t="s">
        <v>8698</v>
      </c>
    </row>
    <row r="638" spans="2:7">
      <c r="B638" s="871">
        <v>46278</v>
      </c>
      <c r="C638" t="s">
        <v>2482</v>
      </c>
      <c r="D638" t="s">
        <v>527</v>
      </c>
      <c r="E638" t="s">
        <v>1434</v>
      </c>
      <c r="F638" s="381" t="s">
        <v>10071</v>
      </c>
      <c r="G638" t="s">
        <v>8699</v>
      </c>
    </row>
    <row r="639" spans="2:7">
      <c r="B639" s="871">
        <v>46278</v>
      </c>
      <c r="C639" t="s">
        <v>2482</v>
      </c>
      <c r="D639" t="s">
        <v>527</v>
      </c>
      <c r="E639" t="s">
        <v>1434</v>
      </c>
      <c r="F639" s="381" t="s">
        <v>10072</v>
      </c>
      <c r="G639" t="s">
        <v>8700</v>
      </c>
    </row>
    <row r="640" spans="2:7">
      <c r="B640" s="871">
        <v>46278</v>
      </c>
      <c r="C640" t="s">
        <v>2482</v>
      </c>
      <c r="D640" t="s">
        <v>527</v>
      </c>
      <c r="E640" t="s">
        <v>1434</v>
      </c>
      <c r="F640" s="381" t="s">
        <v>10073</v>
      </c>
      <c r="G640" t="s">
        <v>8701</v>
      </c>
    </row>
    <row r="641" spans="2:7">
      <c r="B641" s="871">
        <v>46278</v>
      </c>
      <c r="C641" t="s">
        <v>2482</v>
      </c>
      <c r="D641" t="s">
        <v>527</v>
      </c>
      <c r="E641" t="s">
        <v>1434</v>
      </c>
      <c r="F641" s="381" t="s">
        <v>10074</v>
      </c>
      <c r="G641" t="s">
        <v>8702</v>
      </c>
    </row>
    <row r="642" spans="2:7">
      <c r="B642" s="871">
        <v>46278</v>
      </c>
      <c r="C642" t="s">
        <v>2482</v>
      </c>
      <c r="D642" t="s">
        <v>527</v>
      </c>
      <c r="E642" t="s">
        <v>1434</v>
      </c>
      <c r="F642" s="381" t="s">
        <v>10055</v>
      </c>
      <c r="G642" t="s">
        <v>8703</v>
      </c>
    </row>
    <row r="643" spans="2:7" ht="150">
      <c r="B643" s="871">
        <v>46278</v>
      </c>
      <c r="C643" t="s">
        <v>2482</v>
      </c>
      <c r="D643" t="s">
        <v>528</v>
      </c>
      <c r="E643" t="s">
        <v>1375</v>
      </c>
      <c r="F643" s="381" t="s">
        <v>1901</v>
      </c>
      <c r="G643" t="s">
        <v>8704</v>
      </c>
    </row>
    <row r="644" spans="2:7" ht="195">
      <c r="B644" s="871">
        <v>46278</v>
      </c>
      <c r="C644" t="s">
        <v>2482</v>
      </c>
      <c r="D644" t="s">
        <v>528</v>
      </c>
      <c r="E644" t="s">
        <v>1454</v>
      </c>
      <c r="F644" s="381" t="s">
        <v>1902</v>
      </c>
      <c r="G644" t="s">
        <v>8705</v>
      </c>
    </row>
    <row r="645" spans="2:7" ht="90">
      <c r="B645" s="871">
        <v>46278</v>
      </c>
      <c r="C645" t="s">
        <v>2482</v>
      </c>
      <c r="D645" t="s">
        <v>528</v>
      </c>
      <c r="E645" t="s">
        <v>1458</v>
      </c>
      <c r="F645" s="381" t="s">
        <v>1903</v>
      </c>
      <c r="G645" t="s">
        <v>8706</v>
      </c>
    </row>
    <row r="646" spans="2:7">
      <c r="B646" s="871">
        <v>46278</v>
      </c>
      <c r="C646" t="s">
        <v>2482</v>
      </c>
      <c r="D646" t="s">
        <v>528</v>
      </c>
      <c r="E646" t="s">
        <v>1474</v>
      </c>
      <c r="F646" s="381" t="s">
        <v>1904</v>
      </c>
      <c r="G646" t="s">
        <v>8707</v>
      </c>
    </row>
    <row r="647" spans="2:7" ht="90">
      <c r="B647" s="871">
        <v>46278</v>
      </c>
      <c r="C647" t="s">
        <v>2482</v>
      </c>
      <c r="D647" t="s">
        <v>528</v>
      </c>
      <c r="E647" t="s">
        <v>1376</v>
      </c>
      <c r="F647" s="381" t="s">
        <v>1905</v>
      </c>
      <c r="G647" t="s">
        <v>8708</v>
      </c>
    </row>
    <row r="648" spans="2:7" ht="285">
      <c r="B648" s="871">
        <v>46278</v>
      </c>
      <c r="C648" t="s">
        <v>2482</v>
      </c>
      <c r="D648" t="s">
        <v>528</v>
      </c>
      <c r="E648" t="s">
        <v>1410</v>
      </c>
      <c r="F648" s="381" t="s">
        <v>1906</v>
      </c>
      <c r="G648" t="s">
        <v>8709</v>
      </c>
    </row>
    <row r="649" spans="2:7" ht="150">
      <c r="B649" s="871">
        <v>46278</v>
      </c>
      <c r="C649" t="s">
        <v>2482</v>
      </c>
      <c r="D649" t="s">
        <v>528</v>
      </c>
      <c r="E649" t="s">
        <v>1393</v>
      </c>
      <c r="F649" s="381" t="s">
        <v>1907</v>
      </c>
      <c r="G649" t="s">
        <v>8710</v>
      </c>
    </row>
    <row r="650" spans="2:7" ht="409.5">
      <c r="B650" s="871">
        <v>46278</v>
      </c>
      <c r="C650" t="s">
        <v>2482</v>
      </c>
      <c r="D650" t="s">
        <v>528</v>
      </c>
      <c r="E650" t="s">
        <v>1434</v>
      </c>
      <c r="F650" s="381" t="s">
        <v>1908</v>
      </c>
      <c r="G650" t="s">
        <v>8711</v>
      </c>
    </row>
    <row r="651" spans="2:7" ht="105">
      <c r="B651" s="871">
        <v>46279</v>
      </c>
      <c r="C651" t="s">
        <v>2483</v>
      </c>
      <c r="D651" t="s">
        <v>526</v>
      </c>
      <c r="E651" t="s">
        <v>1375</v>
      </c>
      <c r="F651" s="381" t="s">
        <v>1916</v>
      </c>
      <c r="G651" t="s">
        <v>8712</v>
      </c>
    </row>
    <row r="652" spans="2:7" ht="60">
      <c r="B652" s="871">
        <v>46279</v>
      </c>
      <c r="C652" t="s">
        <v>2483</v>
      </c>
      <c r="D652" t="s">
        <v>526</v>
      </c>
      <c r="E652" t="s">
        <v>1454</v>
      </c>
      <c r="F652" s="381" t="s">
        <v>1879</v>
      </c>
      <c r="G652" t="s">
        <v>8713</v>
      </c>
    </row>
    <row r="653" spans="2:7" ht="60">
      <c r="B653" s="871">
        <v>46279</v>
      </c>
      <c r="C653" t="s">
        <v>2483</v>
      </c>
      <c r="D653" t="s">
        <v>526</v>
      </c>
      <c r="E653" t="s">
        <v>1458</v>
      </c>
      <c r="F653" s="381" t="s">
        <v>1666</v>
      </c>
      <c r="G653" t="s">
        <v>8714</v>
      </c>
    </row>
    <row r="654" spans="2:7">
      <c r="B654" s="871">
        <v>46279</v>
      </c>
      <c r="C654" t="s">
        <v>2483</v>
      </c>
      <c r="D654" t="s">
        <v>526</v>
      </c>
      <c r="E654" t="s">
        <v>1462</v>
      </c>
      <c r="F654" s="381" t="s">
        <v>1667</v>
      </c>
      <c r="G654" t="s">
        <v>8715</v>
      </c>
    </row>
    <row r="655" spans="2:7" ht="240">
      <c r="B655" s="871">
        <v>46279</v>
      </c>
      <c r="C655" t="s">
        <v>2483</v>
      </c>
      <c r="D655" t="s">
        <v>526</v>
      </c>
      <c r="E655" t="s">
        <v>1376</v>
      </c>
      <c r="F655" s="381" t="s">
        <v>1822</v>
      </c>
      <c r="G655" t="s">
        <v>8716</v>
      </c>
    </row>
    <row r="656" spans="2:7" ht="150">
      <c r="B656" s="871">
        <v>46279</v>
      </c>
      <c r="C656" t="s">
        <v>2483</v>
      </c>
      <c r="D656" t="s">
        <v>526</v>
      </c>
      <c r="E656" t="s">
        <v>1393</v>
      </c>
      <c r="F656" s="381" t="s">
        <v>1865</v>
      </c>
      <c r="G656" t="s">
        <v>8717</v>
      </c>
    </row>
    <row r="657" spans="2:7">
      <c r="B657" s="871">
        <v>46279</v>
      </c>
      <c r="C657" t="s">
        <v>2483</v>
      </c>
      <c r="D657" t="s">
        <v>526</v>
      </c>
      <c r="E657" t="s">
        <v>1465</v>
      </c>
      <c r="F657" s="381" t="s">
        <v>1866</v>
      </c>
      <c r="G657" t="s">
        <v>8718</v>
      </c>
    </row>
    <row r="658" spans="2:7" ht="409.5">
      <c r="B658" s="871">
        <v>46279</v>
      </c>
      <c r="C658" t="s">
        <v>2483</v>
      </c>
      <c r="D658" t="s">
        <v>526</v>
      </c>
      <c r="E658" t="s">
        <v>1434</v>
      </c>
      <c r="F658" s="381" t="s">
        <v>1810</v>
      </c>
      <c r="G658" t="s">
        <v>8719</v>
      </c>
    </row>
    <row r="659" spans="2:7">
      <c r="B659" s="871">
        <v>46279</v>
      </c>
      <c r="C659" t="s">
        <v>2483</v>
      </c>
      <c r="D659" t="s">
        <v>527</v>
      </c>
      <c r="E659" t="s">
        <v>1375</v>
      </c>
      <c r="F659" s="381" t="s">
        <v>1917</v>
      </c>
      <c r="G659" t="s">
        <v>8720</v>
      </c>
    </row>
    <row r="660" spans="2:7">
      <c r="B660" s="871">
        <v>46279</v>
      </c>
      <c r="C660" t="s">
        <v>2483</v>
      </c>
      <c r="D660" t="s">
        <v>527</v>
      </c>
      <c r="E660" t="s">
        <v>1375</v>
      </c>
      <c r="F660" s="381" t="s">
        <v>1918</v>
      </c>
      <c r="G660" t="s">
        <v>8721</v>
      </c>
    </row>
    <row r="661" spans="2:7" ht="45">
      <c r="B661" s="871">
        <v>46279</v>
      </c>
      <c r="C661" t="s">
        <v>2483</v>
      </c>
      <c r="D661" t="s">
        <v>527</v>
      </c>
      <c r="E661" t="s">
        <v>1375</v>
      </c>
      <c r="F661" s="381" t="s">
        <v>1919</v>
      </c>
      <c r="G661" t="s">
        <v>8722</v>
      </c>
    </row>
    <row r="662" spans="2:7" ht="30">
      <c r="B662" s="871">
        <v>46279</v>
      </c>
      <c r="C662" t="s">
        <v>2483</v>
      </c>
      <c r="D662" t="s">
        <v>527</v>
      </c>
      <c r="E662" t="s">
        <v>1454</v>
      </c>
      <c r="F662" s="381" t="s">
        <v>1920</v>
      </c>
      <c r="G662" t="s">
        <v>8723</v>
      </c>
    </row>
    <row r="663" spans="2:7">
      <c r="B663" s="871">
        <v>46279</v>
      </c>
      <c r="C663" t="s">
        <v>2483</v>
      </c>
      <c r="D663" t="s">
        <v>527</v>
      </c>
      <c r="E663" t="s">
        <v>1454</v>
      </c>
      <c r="F663" s="381" t="s">
        <v>1921</v>
      </c>
      <c r="G663" t="s">
        <v>8724</v>
      </c>
    </row>
    <row r="664" spans="2:7">
      <c r="B664" s="871">
        <v>46279</v>
      </c>
      <c r="C664" t="s">
        <v>2483</v>
      </c>
      <c r="D664" t="s">
        <v>527</v>
      </c>
      <c r="E664" t="s">
        <v>1454</v>
      </c>
      <c r="F664" s="381" t="s">
        <v>1922</v>
      </c>
      <c r="G664" t="s">
        <v>8725</v>
      </c>
    </row>
    <row r="665" spans="2:7">
      <c r="B665" s="871">
        <v>46279</v>
      </c>
      <c r="C665" t="s">
        <v>2483</v>
      </c>
      <c r="D665" t="s">
        <v>527</v>
      </c>
      <c r="E665" t="s">
        <v>1454</v>
      </c>
      <c r="F665" s="381" t="s">
        <v>1923</v>
      </c>
      <c r="G665" t="s">
        <v>8726</v>
      </c>
    </row>
    <row r="666" spans="2:7" ht="30">
      <c r="B666" s="871">
        <v>46279</v>
      </c>
      <c r="C666" t="s">
        <v>2483</v>
      </c>
      <c r="D666" t="s">
        <v>527</v>
      </c>
      <c r="E666" t="s">
        <v>1454</v>
      </c>
      <c r="F666" s="381" t="s">
        <v>1924</v>
      </c>
      <c r="G666" t="s">
        <v>8727</v>
      </c>
    </row>
    <row r="667" spans="2:7">
      <c r="B667" s="871">
        <v>46279</v>
      </c>
      <c r="C667" t="s">
        <v>2483</v>
      </c>
      <c r="D667" t="s">
        <v>527</v>
      </c>
      <c r="E667" t="s">
        <v>1472</v>
      </c>
      <c r="F667" s="381" t="s">
        <v>1925</v>
      </c>
      <c r="G667" t="s">
        <v>8728</v>
      </c>
    </row>
    <row r="668" spans="2:7">
      <c r="B668" s="871">
        <v>46279</v>
      </c>
      <c r="C668" t="s">
        <v>2483</v>
      </c>
      <c r="D668" t="s">
        <v>527</v>
      </c>
      <c r="E668" t="s">
        <v>1472</v>
      </c>
      <c r="F668" s="381" t="s">
        <v>1926</v>
      </c>
      <c r="G668" t="s">
        <v>8729</v>
      </c>
    </row>
    <row r="669" spans="2:7">
      <c r="B669" s="871">
        <v>46279</v>
      </c>
      <c r="C669" t="s">
        <v>2483</v>
      </c>
      <c r="D669" t="s">
        <v>527</v>
      </c>
      <c r="E669" t="s">
        <v>1472</v>
      </c>
      <c r="F669" s="381" t="s">
        <v>1927</v>
      </c>
      <c r="G669" t="s">
        <v>8730</v>
      </c>
    </row>
    <row r="670" spans="2:7">
      <c r="B670" s="871">
        <v>46279</v>
      </c>
      <c r="C670" t="s">
        <v>2483</v>
      </c>
      <c r="D670" t="s">
        <v>527</v>
      </c>
      <c r="E670" t="s">
        <v>1472</v>
      </c>
      <c r="F670" s="381" t="s">
        <v>1928</v>
      </c>
      <c r="G670" t="s">
        <v>8731</v>
      </c>
    </row>
    <row r="671" spans="2:7">
      <c r="B671" s="871">
        <v>46279</v>
      </c>
      <c r="C671" t="s">
        <v>2483</v>
      </c>
      <c r="D671" t="s">
        <v>527</v>
      </c>
      <c r="E671" t="s">
        <v>1472</v>
      </c>
      <c r="F671" s="381" t="s">
        <v>1929</v>
      </c>
      <c r="G671" t="s">
        <v>8732</v>
      </c>
    </row>
    <row r="672" spans="2:7">
      <c r="B672" s="871">
        <v>46279</v>
      </c>
      <c r="C672" t="s">
        <v>2483</v>
      </c>
      <c r="D672" t="s">
        <v>527</v>
      </c>
      <c r="E672" t="s">
        <v>1474</v>
      </c>
      <c r="F672" s="381" t="s">
        <v>1930</v>
      </c>
      <c r="G672" t="s">
        <v>8733</v>
      </c>
    </row>
    <row r="673" spans="2:7">
      <c r="B673" s="871">
        <v>46279</v>
      </c>
      <c r="C673" t="s">
        <v>2483</v>
      </c>
      <c r="D673" t="s">
        <v>527</v>
      </c>
      <c r="E673" t="s">
        <v>1474</v>
      </c>
      <c r="F673" s="381" t="s">
        <v>1835</v>
      </c>
      <c r="G673" t="s">
        <v>8734</v>
      </c>
    </row>
    <row r="674" spans="2:7">
      <c r="B674" s="871">
        <v>46279</v>
      </c>
      <c r="C674" t="s">
        <v>2483</v>
      </c>
      <c r="D674" t="s">
        <v>527</v>
      </c>
      <c r="E674" t="s">
        <v>1474</v>
      </c>
      <c r="F674" s="381" t="s">
        <v>1836</v>
      </c>
      <c r="G674" t="s">
        <v>8735</v>
      </c>
    </row>
    <row r="675" spans="2:7">
      <c r="B675" s="871">
        <v>46279</v>
      </c>
      <c r="C675" t="s">
        <v>2483</v>
      </c>
      <c r="D675" t="s">
        <v>527</v>
      </c>
      <c r="E675" t="s">
        <v>1474</v>
      </c>
      <c r="F675" s="381" t="s">
        <v>1931</v>
      </c>
      <c r="G675" t="s">
        <v>8736</v>
      </c>
    </row>
    <row r="676" spans="2:7">
      <c r="B676" s="871">
        <v>46279</v>
      </c>
      <c r="C676" t="s">
        <v>2483</v>
      </c>
      <c r="D676" t="s">
        <v>527</v>
      </c>
      <c r="E676" t="s">
        <v>1376</v>
      </c>
      <c r="F676" s="381" t="s">
        <v>1564</v>
      </c>
      <c r="G676" t="s">
        <v>8737</v>
      </c>
    </row>
    <row r="677" spans="2:7">
      <c r="B677" s="871">
        <v>46279</v>
      </c>
      <c r="C677" t="s">
        <v>2483</v>
      </c>
      <c r="D677" t="s">
        <v>527</v>
      </c>
      <c r="E677" t="s">
        <v>1393</v>
      </c>
      <c r="F677" s="381" t="s">
        <v>1932</v>
      </c>
      <c r="G677" t="s">
        <v>8738</v>
      </c>
    </row>
    <row r="678" spans="2:7">
      <c r="B678" s="871">
        <v>46279</v>
      </c>
      <c r="C678" t="s">
        <v>2483</v>
      </c>
      <c r="D678" t="s">
        <v>527</v>
      </c>
      <c r="E678" t="s">
        <v>1393</v>
      </c>
      <c r="F678" s="381" t="s">
        <v>1523</v>
      </c>
      <c r="G678" t="s">
        <v>8739</v>
      </c>
    </row>
    <row r="679" spans="2:7">
      <c r="B679" s="871">
        <v>46279</v>
      </c>
      <c r="C679" t="s">
        <v>2483</v>
      </c>
      <c r="D679" t="s">
        <v>527</v>
      </c>
      <c r="E679" t="s">
        <v>1393</v>
      </c>
      <c r="F679" s="381" t="s">
        <v>1933</v>
      </c>
      <c r="G679" t="s">
        <v>8740</v>
      </c>
    </row>
    <row r="680" spans="2:7">
      <c r="B680" s="871">
        <v>46279</v>
      </c>
      <c r="C680" t="s">
        <v>2483</v>
      </c>
      <c r="D680" t="s">
        <v>527</v>
      </c>
      <c r="E680" t="s">
        <v>1393</v>
      </c>
      <c r="F680" s="381" t="s">
        <v>1934</v>
      </c>
      <c r="G680" t="s">
        <v>8741</v>
      </c>
    </row>
    <row r="681" spans="2:7">
      <c r="B681" s="871">
        <v>46279</v>
      </c>
      <c r="C681" t="s">
        <v>2483</v>
      </c>
      <c r="D681" t="s">
        <v>527</v>
      </c>
      <c r="E681" t="s">
        <v>1393</v>
      </c>
      <c r="F681" s="381" t="s">
        <v>1935</v>
      </c>
      <c r="G681" t="s">
        <v>8742</v>
      </c>
    </row>
    <row r="682" spans="2:7">
      <c r="B682" s="871">
        <v>46279</v>
      </c>
      <c r="C682" t="s">
        <v>2483</v>
      </c>
      <c r="D682" t="s">
        <v>527</v>
      </c>
      <c r="E682" t="s">
        <v>1393</v>
      </c>
      <c r="F682" s="381" t="s">
        <v>1936</v>
      </c>
      <c r="G682" t="s">
        <v>8743</v>
      </c>
    </row>
    <row r="683" spans="2:7">
      <c r="B683" s="871">
        <v>46279</v>
      </c>
      <c r="C683" t="s">
        <v>2483</v>
      </c>
      <c r="D683" t="s">
        <v>527</v>
      </c>
      <c r="E683" t="s">
        <v>1393</v>
      </c>
      <c r="F683" s="381" t="s">
        <v>1937</v>
      </c>
      <c r="G683" t="s">
        <v>8744</v>
      </c>
    </row>
    <row r="684" spans="2:7">
      <c r="B684" s="871">
        <v>46279</v>
      </c>
      <c r="C684" t="s">
        <v>2483</v>
      </c>
      <c r="D684" t="s">
        <v>527</v>
      </c>
      <c r="E684" t="s">
        <v>1393</v>
      </c>
      <c r="F684" s="381" t="s">
        <v>1938</v>
      </c>
      <c r="G684" t="s">
        <v>8745</v>
      </c>
    </row>
    <row r="685" spans="2:7">
      <c r="B685" s="871">
        <v>46279</v>
      </c>
      <c r="C685" t="s">
        <v>2483</v>
      </c>
      <c r="D685" t="s">
        <v>527</v>
      </c>
      <c r="E685" t="s">
        <v>1393</v>
      </c>
      <c r="F685" s="381" t="s">
        <v>1939</v>
      </c>
      <c r="G685" t="s">
        <v>8746</v>
      </c>
    </row>
    <row r="686" spans="2:7">
      <c r="B686" s="871">
        <v>46279</v>
      </c>
      <c r="C686" t="s">
        <v>2483</v>
      </c>
      <c r="D686" t="s">
        <v>527</v>
      </c>
      <c r="E686" t="s">
        <v>1410</v>
      </c>
      <c r="F686" s="381" t="s">
        <v>1433</v>
      </c>
      <c r="G686" t="s">
        <v>8747</v>
      </c>
    </row>
    <row r="687" spans="2:7">
      <c r="B687" s="871">
        <v>46279</v>
      </c>
      <c r="C687" t="s">
        <v>2483</v>
      </c>
      <c r="D687" t="s">
        <v>527</v>
      </c>
      <c r="E687" t="s">
        <v>1410</v>
      </c>
      <c r="F687" s="381" t="s">
        <v>1940</v>
      </c>
      <c r="G687" t="s">
        <v>8748</v>
      </c>
    </row>
    <row r="688" spans="2:7">
      <c r="B688" s="871">
        <v>46279</v>
      </c>
      <c r="C688" t="s">
        <v>2483</v>
      </c>
      <c r="D688" t="s">
        <v>527</v>
      </c>
      <c r="E688" t="s">
        <v>1410</v>
      </c>
      <c r="F688" s="381" t="s">
        <v>1941</v>
      </c>
      <c r="G688" t="s">
        <v>8749</v>
      </c>
    </row>
    <row r="689" spans="2:7">
      <c r="B689" s="871">
        <v>46279</v>
      </c>
      <c r="C689" t="s">
        <v>2483</v>
      </c>
      <c r="D689" t="s">
        <v>527</v>
      </c>
      <c r="E689" t="s">
        <v>1410</v>
      </c>
      <c r="F689" s="381" t="s">
        <v>1942</v>
      </c>
      <c r="G689" t="s">
        <v>8750</v>
      </c>
    </row>
    <row r="690" spans="2:7">
      <c r="B690" s="871">
        <v>46279</v>
      </c>
      <c r="C690" t="s">
        <v>2483</v>
      </c>
      <c r="D690" t="s">
        <v>527</v>
      </c>
      <c r="E690" t="s">
        <v>1410</v>
      </c>
      <c r="F690" s="381" t="s">
        <v>1943</v>
      </c>
      <c r="G690" t="s">
        <v>8751</v>
      </c>
    </row>
    <row r="691" spans="2:7">
      <c r="B691" s="871">
        <v>46279</v>
      </c>
      <c r="C691" t="s">
        <v>2483</v>
      </c>
      <c r="D691" t="s">
        <v>527</v>
      </c>
      <c r="E691" t="s">
        <v>1410</v>
      </c>
      <c r="F691" s="381" t="s">
        <v>1944</v>
      </c>
      <c r="G691" t="s">
        <v>8752</v>
      </c>
    </row>
    <row r="692" spans="2:7">
      <c r="B692" s="871">
        <v>46279</v>
      </c>
      <c r="C692" t="s">
        <v>2483</v>
      </c>
      <c r="D692" t="s">
        <v>527</v>
      </c>
      <c r="E692" t="s">
        <v>1410</v>
      </c>
      <c r="F692" s="381" t="s">
        <v>1945</v>
      </c>
      <c r="G692" t="s">
        <v>8753</v>
      </c>
    </row>
    <row r="693" spans="2:7">
      <c r="B693" s="871">
        <v>46279</v>
      </c>
      <c r="C693" t="s">
        <v>2483</v>
      </c>
      <c r="D693" t="s">
        <v>527</v>
      </c>
      <c r="E693" t="s">
        <v>1410</v>
      </c>
      <c r="F693" s="381" t="s">
        <v>1946</v>
      </c>
      <c r="G693" t="s">
        <v>8754</v>
      </c>
    </row>
    <row r="694" spans="2:7">
      <c r="B694" s="871">
        <v>46279</v>
      </c>
      <c r="C694" t="s">
        <v>2483</v>
      </c>
      <c r="D694" t="s">
        <v>527</v>
      </c>
      <c r="E694" t="s">
        <v>1434</v>
      </c>
      <c r="F694" s="381" t="s">
        <v>1913</v>
      </c>
      <c r="G694" t="s">
        <v>8755</v>
      </c>
    </row>
    <row r="695" spans="2:7">
      <c r="B695" s="871">
        <v>46279</v>
      </c>
      <c r="C695" t="s">
        <v>2483</v>
      </c>
      <c r="D695" t="s">
        <v>527</v>
      </c>
      <c r="E695" t="s">
        <v>1434</v>
      </c>
      <c r="F695" s="381" t="s">
        <v>9413</v>
      </c>
      <c r="G695" t="s">
        <v>8756</v>
      </c>
    </row>
    <row r="696" spans="2:7">
      <c r="B696" s="871">
        <v>46279</v>
      </c>
      <c r="C696" t="s">
        <v>2483</v>
      </c>
      <c r="D696" t="s">
        <v>527</v>
      </c>
      <c r="E696" t="s">
        <v>1434</v>
      </c>
      <c r="F696" s="381" t="s">
        <v>10075</v>
      </c>
      <c r="G696" t="s">
        <v>8757</v>
      </c>
    </row>
    <row r="697" spans="2:7">
      <c r="B697" s="871">
        <v>46279</v>
      </c>
      <c r="C697" t="s">
        <v>2483</v>
      </c>
      <c r="D697" t="s">
        <v>527</v>
      </c>
      <c r="E697" t="s">
        <v>1434</v>
      </c>
      <c r="F697" s="381" t="s">
        <v>1947</v>
      </c>
      <c r="G697" t="s">
        <v>8758</v>
      </c>
    </row>
    <row r="698" spans="2:7">
      <c r="B698" s="871">
        <v>46279</v>
      </c>
      <c r="C698" t="s">
        <v>2483</v>
      </c>
      <c r="D698" t="s">
        <v>527</v>
      </c>
      <c r="E698" t="s">
        <v>1434</v>
      </c>
      <c r="F698" s="381" t="s">
        <v>1948</v>
      </c>
      <c r="G698" t="s">
        <v>8759</v>
      </c>
    </row>
    <row r="699" spans="2:7">
      <c r="B699" s="871">
        <v>46279</v>
      </c>
      <c r="C699" t="s">
        <v>2483</v>
      </c>
      <c r="D699" t="s">
        <v>527</v>
      </c>
      <c r="E699" t="s">
        <v>1434</v>
      </c>
      <c r="F699" s="381" t="s">
        <v>10076</v>
      </c>
      <c r="G699" t="s">
        <v>8760</v>
      </c>
    </row>
    <row r="700" spans="2:7">
      <c r="B700" s="871">
        <v>46279</v>
      </c>
      <c r="C700" t="s">
        <v>2483</v>
      </c>
      <c r="D700" t="s">
        <v>527</v>
      </c>
      <c r="E700" t="s">
        <v>1434</v>
      </c>
      <c r="F700" s="381" t="s">
        <v>2186</v>
      </c>
      <c r="G700" t="s">
        <v>8761</v>
      </c>
    </row>
    <row r="701" spans="2:7" ht="180">
      <c r="B701" s="871">
        <v>46279</v>
      </c>
      <c r="C701" t="s">
        <v>2483</v>
      </c>
      <c r="D701" t="s">
        <v>528</v>
      </c>
      <c r="E701" t="s">
        <v>1375</v>
      </c>
      <c r="F701" s="381" t="s">
        <v>1949</v>
      </c>
      <c r="G701" t="s">
        <v>8762</v>
      </c>
    </row>
    <row r="702" spans="2:7" ht="105">
      <c r="B702" s="871">
        <v>46279</v>
      </c>
      <c r="C702" t="s">
        <v>2483</v>
      </c>
      <c r="D702" t="s">
        <v>528</v>
      </c>
      <c r="E702" t="s">
        <v>1454</v>
      </c>
      <c r="F702" s="381" t="s">
        <v>1950</v>
      </c>
      <c r="G702" t="s">
        <v>8763</v>
      </c>
    </row>
    <row r="703" spans="2:7" ht="60">
      <c r="B703" s="871">
        <v>46279</v>
      </c>
      <c r="C703" t="s">
        <v>2483</v>
      </c>
      <c r="D703" t="s">
        <v>528</v>
      </c>
      <c r="E703" t="s">
        <v>1458</v>
      </c>
      <c r="F703" s="381" t="s">
        <v>1951</v>
      </c>
      <c r="G703" t="s">
        <v>8764</v>
      </c>
    </row>
    <row r="704" spans="2:7" ht="90">
      <c r="B704" s="871">
        <v>46279</v>
      </c>
      <c r="C704" t="s">
        <v>2483</v>
      </c>
      <c r="D704" t="s">
        <v>528</v>
      </c>
      <c r="E704" t="s">
        <v>1376</v>
      </c>
      <c r="F704" s="381" t="s">
        <v>1952</v>
      </c>
      <c r="G704" t="s">
        <v>8765</v>
      </c>
    </row>
    <row r="705" spans="2:7" ht="285">
      <c r="B705" s="871">
        <v>46279</v>
      </c>
      <c r="C705" t="s">
        <v>2483</v>
      </c>
      <c r="D705" t="s">
        <v>528</v>
      </c>
      <c r="E705" t="s">
        <v>1410</v>
      </c>
      <c r="F705" s="381" t="s">
        <v>1953</v>
      </c>
      <c r="G705" t="s">
        <v>8766</v>
      </c>
    </row>
    <row r="706" spans="2:7" ht="150">
      <c r="B706" s="871">
        <v>46279</v>
      </c>
      <c r="C706" t="s">
        <v>2483</v>
      </c>
      <c r="D706" t="s">
        <v>528</v>
      </c>
      <c r="E706" t="s">
        <v>1393</v>
      </c>
      <c r="F706" s="381" t="s">
        <v>1954</v>
      </c>
      <c r="G706" t="s">
        <v>8767</v>
      </c>
    </row>
    <row r="707" spans="2:7" ht="409.5">
      <c r="B707" s="871">
        <v>46279</v>
      </c>
      <c r="C707" t="s">
        <v>2483</v>
      </c>
      <c r="D707" t="s">
        <v>528</v>
      </c>
      <c r="E707" t="s">
        <v>1434</v>
      </c>
      <c r="F707" s="381" t="s">
        <v>1955</v>
      </c>
      <c r="G707" t="s">
        <v>8768</v>
      </c>
    </row>
    <row r="708" spans="2:7" ht="210">
      <c r="B708" s="871">
        <v>46280</v>
      </c>
      <c r="C708" t="s">
        <v>2484</v>
      </c>
      <c r="D708" t="s">
        <v>526</v>
      </c>
      <c r="E708" t="s">
        <v>1375</v>
      </c>
      <c r="F708" s="381" t="s">
        <v>1960</v>
      </c>
      <c r="G708" t="s">
        <v>8769</v>
      </c>
    </row>
    <row r="709" spans="2:7" ht="60">
      <c r="B709" s="871">
        <v>46280</v>
      </c>
      <c r="C709" t="s">
        <v>2484</v>
      </c>
      <c r="D709" t="s">
        <v>526</v>
      </c>
      <c r="E709" t="s">
        <v>1454</v>
      </c>
      <c r="F709" s="381" t="s">
        <v>1879</v>
      </c>
      <c r="G709" t="s">
        <v>8770</v>
      </c>
    </row>
    <row r="710" spans="2:7" ht="60">
      <c r="B710" s="871">
        <v>46280</v>
      </c>
      <c r="C710" t="s">
        <v>2484</v>
      </c>
      <c r="D710" t="s">
        <v>526</v>
      </c>
      <c r="E710" t="s">
        <v>1458</v>
      </c>
      <c r="F710" s="381" t="s">
        <v>1666</v>
      </c>
      <c r="G710" t="s">
        <v>8771</v>
      </c>
    </row>
    <row r="711" spans="2:7">
      <c r="B711" s="871">
        <v>46280</v>
      </c>
      <c r="C711" t="s">
        <v>2484</v>
      </c>
      <c r="D711" t="s">
        <v>526</v>
      </c>
      <c r="E711" t="s">
        <v>1462</v>
      </c>
      <c r="F711" s="381" t="s">
        <v>1667</v>
      </c>
      <c r="G711" t="s">
        <v>8772</v>
      </c>
    </row>
    <row r="712" spans="2:7" ht="120">
      <c r="B712" s="871">
        <v>46280</v>
      </c>
      <c r="C712" t="s">
        <v>2484</v>
      </c>
      <c r="D712" t="s">
        <v>526</v>
      </c>
      <c r="E712" t="s">
        <v>1376</v>
      </c>
      <c r="F712" s="381" t="s">
        <v>1961</v>
      </c>
      <c r="G712" t="s">
        <v>8773</v>
      </c>
    </row>
    <row r="713" spans="2:7" ht="120">
      <c r="B713" s="871">
        <v>46280</v>
      </c>
      <c r="C713" t="s">
        <v>2484</v>
      </c>
      <c r="D713" t="s">
        <v>526</v>
      </c>
      <c r="E713" t="s">
        <v>1393</v>
      </c>
      <c r="F713" s="381" t="s">
        <v>1962</v>
      </c>
      <c r="G713" t="s">
        <v>8774</v>
      </c>
    </row>
    <row r="714" spans="2:7">
      <c r="B714" s="871">
        <v>46280</v>
      </c>
      <c r="C714" t="s">
        <v>2484</v>
      </c>
      <c r="D714" t="s">
        <v>526</v>
      </c>
      <c r="E714" t="s">
        <v>1465</v>
      </c>
      <c r="F714" s="381" t="s">
        <v>1963</v>
      </c>
      <c r="G714" t="s">
        <v>8775</v>
      </c>
    </row>
    <row r="715" spans="2:7" ht="409.5">
      <c r="B715" s="871">
        <v>46280</v>
      </c>
      <c r="C715" t="s">
        <v>2484</v>
      </c>
      <c r="D715" t="s">
        <v>526</v>
      </c>
      <c r="E715" t="s">
        <v>1434</v>
      </c>
      <c r="F715" s="381" t="s">
        <v>1810</v>
      </c>
      <c r="G715" t="s">
        <v>8776</v>
      </c>
    </row>
    <row r="716" spans="2:7" ht="30">
      <c r="B716" s="871">
        <v>46280</v>
      </c>
      <c r="C716" t="s">
        <v>2484</v>
      </c>
      <c r="D716" t="s">
        <v>527</v>
      </c>
      <c r="E716" t="s">
        <v>1454</v>
      </c>
      <c r="F716" s="381" t="s">
        <v>1920</v>
      </c>
      <c r="G716" t="s">
        <v>8777</v>
      </c>
    </row>
    <row r="717" spans="2:7">
      <c r="B717" s="871">
        <v>46280</v>
      </c>
      <c r="C717" t="s">
        <v>2484</v>
      </c>
      <c r="D717" t="s">
        <v>527</v>
      </c>
      <c r="E717" t="s">
        <v>1454</v>
      </c>
      <c r="F717" s="381" t="s">
        <v>1921</v>
      </c>
      <c r="G717" t="s">
        <v>8778</v>
      </c>
    </row>
    <row r="718" spans="2:7">
      <c r="B718" s="871">
        <v>46280</v>
      </c>
      <c r="C718" t="s">
        <v>2484</v>
      </c>
      <c r="D718" t="s">
        <v>527</v>
      </c>
      <c r="E718" t="s">
        <v>1454</v>
      </c>
      <c r="F718" s="381" t="s">
        <v>1922</v>
      </c>
      <c r="G718" t="s">
        <v>8779</v>
      </c>
    </row>
    <row r="719" spans="2:7">
      <c r="B719" s="871">
        <v>46280</v>
      </c>
      <c r="C719" t="s">
        <v>2484</v>
      </c>
      <c r="D719" t="s">
        <v>527</v>
      </c>
      <c r="E719" t="s">
        <v>1454</v>
      </c>
      <c r="F719" s="381" t="s">
        <v>1923</v>
      </c>
      <c r="G719" t="s">
        <v>8780</v>
      </c>
    </row>
    <row r="720" spans="2:7" ht="30">
      <c r="B720" s="871">
        <v>46280</v>
      </c>
      <c r="C720" t="s">
        <v>2484</v>
      </c>
      <c r="D720" t="s">
        <v>527</v>
      </c>
      <c r="E720" t="s">
        <v>1454</v>
      </c>
      <c r="F720" s="381" t="s">
        <v>1924</v>
      </c>
      <c r="G720" t="s">
        <v>8781</v>
      </c>
    </row>
    <row r="721" spans="2:7">
      <c r="B721" s="871">
        <v>46280</v>
      </c>
      <c r="C721" t="s">
        <v>2484</v>
      </c>
      <c r="D721" t="s">
        <v>527</v>
      </c>
      <c r="E721" t="s">
        <v>1472</v>
      </c>
      <c r="F721" s="381" t="s">
        <v>1925</v>
      </c>
      <c r="G721" t="s">
        <v>8782</v>
      </c>
    </row>
    <row r="722" spans="2:7">
      <c r="B722" s="871">
        <v>46280</v>
      </c>
      <c r="C722" t="s">
        <v>2484</v>
      </c>
      <c r="D722" t="s">
        <v>527</v>
      </c>
      <c r="E722" t="s">
        <v>1472</v>
      </c>
      <c r="F722" s="381" t="s">
        <v>1926</v>
      </c>
      <c r="G722" t="s">
        <v>8783</v>
      </c>
    </row>
    <row r="723" spans="2:7">
      <c r="B723" s="871">
        <v>46280</v>
      </c>
      <c r="C723" t="s">
        <v>2484</v>
      </c>
      <c r="D723" t="s">
        <v>527</v>
      </c>
      <c r="E723" t="s">
        <v>1472</v>
      </c>
      <c r="F723" s="381" t="s">
        <v>1927</v>
      </c>
      <c r="G723" t="s">
        <v>8784</v>
      </c>
    </row>
    <row r="724" spans="2:7">
      <c r="B724" s="871">
        <v>46280</v>
      </c>
      <c r="C724" t="s">
        <v>2484</v>
      </c>
      <c r="D724" t="s">
        <v>527</v>
      </c>
      <c r="E724" t="s">
        <v>1472</v>
      </c>
      <c r="F724" s="381" t="s">
        <v>1928</v>
      </c>
      <c r="G724" t="s">
        <v>8785</v>
      </c>
    </row>
    <row r="725" spans="2:7">
      <c r="B725" s="871">
        <v>46280</v>
      </c>
      <c r="C725" t="s">
        <v>2484</v>
      </c>
      <c r="D725" t="s">
        <v>527</v>
      </c>
      <c r="E725" t="s">
        <v>1472</v>
      </c>
      <c r="F725" s="381" t="s">
        <v>1929</v>
      </c>
      <c r="G725" t="s">
        <v>8786</v>
      </c>
    </row>
    <row r="726" spans="2:7">
      <c r="B726" s="871">
        <v>46280</v>
      </c>
      <c r="C726" t="s">
        <v>2484</v>
      </c>
      <c r="D726" t="s">
        <v>527</v>
      </c>
      <c r="E726" t="s">
        <v>1474</v>
      </c>
      <c r="F726" s="381" t="s">
        <v>1930</v>
      </c>
      <c r="G726" t="s">
        <v>8787</v>
      </c>
    </row>
    <row r="727" spans="2:7">
      <c r="B727" s="871">
        <v>46280</v>
      </c>
      <c r="C727" t="s">
        <v>2484</v>
      </c>
      <c r="D727" t="s">
        <v>527</v>
      </c>
      <c r="E727" t="s">
        <v>1474</v>
      </c>
      <c r="F727" s="381" t="s">
        <v>1835</v>
      </c>
      <c r="G727" t="s">
        <v>8788</v>
      </c>
    </row>
    <row r="728" spans="2:7">
      <c r="B728" s="871">
        <v>46280</v>
      </c>
      <c r="C728" t="s">
        <v>2484</v>
      </c>
      <c r="D728" t="s">
        <v>527</v>
      </c>
      <c r="E728" t="s">
        <v>1474</v>
      </c>
      <c r="F728" s="381" t="s">
        <v>1836</v>
      </c>
      <c r="G728" t="s">
        <v>8789</v>
      </c>
    </row>
    <row r="729" spans="2:7">
      <c r="B729" s="871">
        <v>46280</v>
      </c>
      <c r="C729" t="s">
        <v>2484</v>
      </c>
      <c r="D729" t="s">
        <v>527</v>
      </c>
      <c r="E729" t="s">
        <v>1474</v>
      </c>
      <c r="F729" s="381" t="s">
        <v>1931</v>
      </c>
      <c r="G729" t="s">
        <v>8790</v>
      </c>
    </row>
    <row r="730" spans="2:7">
      <c r="B730" s="871">
        <v>46280</v>
      </c>
      <c r="C730" t="s">
        <v>2484</v>
      </c>
      <c r="D730" t="s">
        <v>527</v>
      </c>
      <c r="E730" t="s">
        <v>1376</v>
      </c>
      <c r="F730" s="381" t="s">
        <v>1564</v>
      </c>
      <c r="G730" t="s">
        <v>8791</v>
      </c>
    </row>
    <row r="731" spans="2:7">
      <c r="B731" s="871">
        <v>46280</v>
      </c>
      <c r="C731" t="s">
        <v>2484</v>
      </c>
      <c r="D731" t="s">
        <v>527</v>
      </c>
      <c r="E731" t="s">
        <v>1393</v>
      </c>
      <c r="F731" s="381" t="s">
        <v>1932</v>
      </c>
      <c r="G731" t="s">
        <v>8792</v>
      </c>
    </row>
    <row r="732" spans="2:7">
      <c r="B732" s="871">
        <v>46280</v>
      </c>
      <c r="C732" t="s">
        <v>2484</v>
      </c>
      <c r="D732" t="s">
        <v>527</v>
      </c>
      <c r="E732" t="s">
        <v>1393</v>
      </c>
      <c r="F732" s="381" t="s">
        <v>1523</v>
      </c>
      <c r="G732" t="s">
        <v>8793</v>
      </c>
    </row>
    <row r="733" spans="2:7">
      <c r="B733" s="871">
        <v>46280</v>
      </c>
      <c r="C733" t="s">
        <v>2484</v>
      </c>
      <c r="D733" t="s">
        <v>527</v>
      </c>
      <c r="E733" t="s">
        <v>1393</v>
      </c>
      <c r="F733" s="381" t="s">
        <v>1933</v>
      </c>
      <c r="G733" t="s">
        <v>8794</v>
      </c>
    </row>
    <row r="734" spans="2:7">
      <c r="B734" s="871">
        <v>46280</v>
      </c>
      <c r="C734" t="s">
        <v>2484</v>
      </c>
      <c r="D734" t="s">
        <v>527</v>
      </c>
      <c r="E734" t="s">
        <v>1393</v>
      </c>
      <c r="F734" s="381" t="s">
        <v>1934</v>
      </c>
      <c r="G734" t="s">
        <v>8795</v>
      </c>
    </row>
    <row r="735" spans="2:7">
      <c r="B735" s="871">
        <v>46280</v>
      </c>
      <c r="C735" t="s">
        <v>2484</v>
      </c>
      <c r="D735" t="s">
        <v>527</v>
      </c>
      <c r="E735" t="s">
        <v>1393</v>
      </c>
      <c r="F735" s="381" t="s">
        <v>1935</v>
      </c>
      <c r="G735" t="s">
        <v>8796</v>
      </c>
    </row>
    <row r="736" spans="2:7">
      <c r="B736" s="871">
        <v>46280</v>
      </c>
      <c r="C736" t="s">
        <v>2484</v>
      </c>
      <c r="D736" t="s">
        <v>527</v>
      </c>
      <c r="E736" t="s">
        <v>1393</v>
      </c>
      <c r="F736" s="381" t="s">
        <v>1936</v>
      </c>
      <c r="G736" t="s">
        <v>8797</v>
      </c>
    </row>
    <row r="737" spans="2:7">
      <c r="B737" s="871">
        <v>46280</v>
      </c>
      <c r="C737" t="s">
        <v>2484</v>
      </c>
      <c r="D737" t="s">
        <v>527</v>
      </c>
      <c r="E737" t="s">
        <v>1393</v>
      </c>
      <c r="F737" s="381" t="s">
        <v>1937</v>
      </c>
      <c r="G737" t="s">
        <v>8798</v>
      </c>
    </row>
    <row r="738" spans="2:7">
      <c r="B738" s="871">
        <v>46280</v>
      </c>
      <c r="C738" t="s">
        <v>2484</v>
      </c>
      <c r="D738" t="s">
        <v>527</v>
      </c>
      <c r="E738" t="s">
        <v>1393</v>
      </c>
      <c r="F738" s="381" t="s">
        <v>1938</v>
      </c>
      <c r="G738" t="s">
        <v>8799</v>
      </c>
    </row>
    <row r="739" spans="2:7">
      <c r="B739" s="871">
        <v>46280</v>
      </c>
      <c r="C739" t="s">
        <v>2484</v>
      </c>
      <c r="D739" t="s">
        <v>527</v>
      </c>
      <c r="E739" t="s">
        <v>1393</v>
      </c>
      <c r="F739" s="381" t="s">
        <v>1939</v>
      </c>
      <c r="G739" t="s">
        <v>8800</v>
      </c>
    </row>
    <row r="740" spans="2:7">
      <c r="B740" s="871">
        <v>46280</v>
      </c>
      <c r="C740" t="s">
        <v>2484</v>
      </c>
      <c r="D740" t="s">
        <v>527</v>
      </c>
      <c r="E740" t="s">
        <v>1410</v>
      </c>
      <c r="F740" s="381" t="s">
        <v>1433</v>
      </c>
      <c r="G740" t="s">
        <v>8801</v>
      </c>
    </row>
    <row r="741" spans="2:7">
      <c r="B741" s="871">
        <v>46280</v>
      </c>
      <c r="C741" t="s">
        <v>2484</v>
      </c>
      <c r="D741" t="s">
        <v>527</v>
      </c>
      <c r="E741" t="s">
        <v>1410</v>
      </c>
      <c r="F741" s="381" t="s">
        <v>1940</v>
      </c>
      <c r="G741" t="s">
        <v>8802</v>
      </c>
    </row>
    <row r="742" spans="2:7">
      <c r="B742" s="871">
        <v>46280</v>
      </c>
      <c r="C742" t="s">
        <v>2484</v>
      </c>
      <c r="D742" t="s">
        <v>527</v>
      </c>
      <c r="E742" t="s">
        <v>1410</v>
      </c>
      <c r="F742" s="381" t="s">
        <v>1941</v>
      </c>
      <c r="G742" t="s">
        <v>8803</v>
      </c>
    </row>
    <row r="743" spans="2:7">
      <c r="B743" s="871">
        <v>46280</v>
      </c>
      <c r="C743" t="s">
        <v>2484</v>
      </c>
      <c r="D743" t="s">
        <v>527</v>
      </c>
      <c r="E743" t="s">
        <v>1410</v>
      </c>
      <c r="F743" s="381" t="s">
        <v>1942</v>
      </c>
      <c r="G743" t="s">
        <v>8804</v>
      </c>
    </row>
    <row r="744" spans="2:7">
      <c r="B744" s="871">
        <v>46280</v>
      </c>
      <c r="C744" t="s">
        <v>2484</v>
      </c>
      <c r="D744" t="s">
        <v>527</v>
      </c>
      <c r="E744" t="s">
        <v>1410</v>
      </c>
      <c r="F744" s="381" t="s">
        <v>1943</v>
      </c>
      <c r="G744" t="s">
        <v>8805</v>
      </c>
    </row>
    <row r="745" spans="2:7">
      <c r="B745" s="871">
        <v>46280</v>
      </c>
      <c r="C745" t="s">
        <v>2484</v>
      </c>
      <c r="D745" t="s">
        <v>527</v>
      </c>
      <c r="E745" t="s">
        <v>1410</v>
      </c>
      <c r="F745" s="381" t="s">
        <v>1944</v>
      </c>
      <c r="G745" t="s">
        <v>8806</v>
      </c>
    </row>
    <row r="746" spans="2:7">
      <c r="B746" s="871">
        <v>46280</v>
      </c>
      <c r="C746" t="s">
        <v>2484</v>
      </c>
      <c r="D746" t="s">
        <v>527</v>
      </c>
      <c r="E746" t="s">
        <v>1410</v>
      </c>
      <c r="F746" s="381" t="s">
        <v>1945</v>
      </c>
      <c r="G746" t="s">
        <v>8807</v>
      </c>
    </row>
    <row r="747" spans="2:7">
      <c r="B747" s="871">
        <v>46280</v>
      </c>
      <c r="C747" t="s">
        <v>2484</v>
      </c>
      <c r="D747" t="s">
        <v>527</v>
      </c>
      <c r="E747" t="s">
        <v>1410</v>
      </c>
      <c r="F747" s="381" t="s">
        <v>1946</v>
      </c>
      <c r="G747" t="s">
        <v>8808</v>
      </c>
    </row>
    <row r="748" spans="2:7">
      <c r="B748" s="871">
        <v>46280</v>
      </c>
      <c r="C748" t="s">
        <v>2484</v>
      </c>
      <c r="D748" t="s">
        <v>527</v>
      </c>
      <c r="E748" t="s">
        <v>1434</v>
      </c>
      <c r="F748" s="381" t="s">
        <v>1913</v>
      </c>
      <c r="G748" t="s">
        <v>8809</v>
      </c>
    </row>
    <row r="749" spans="2:7">
      <c r="B749" s="871">
        <v>46280</v>
      </c>
      <c r="C749" t="s">
        <v>2484</v>
      </c>
      <c r="D749" t="s">
        <v>527</v>
      </c>
      <c r="E749" t="s">
        <v>1434</v>
      </c>
      <c r="F749" s="381" t="s">
        <v>9413</v>
      </c>
      <c r="G749" t="s">
        <v>8810</v>
      </c>
    </row>
    <row r="750" spans="2:7">
      <c r="B750" s="871">
        <v>46280</v>
      </c>
      <c r="C750" t="s">
        <v>2484</v>
      </c>
      <c r="D750" t="s">
        <v>527</v>
      </c>
      <c r="E750" t="s">
        <v>1434</v>
      </c>
      <c r="F750" s="381" t="s">
        <v>10075</v>
      </c>
      <c r="G750" t="s">
        <v>8811</v>
      </c>
    </row>
    <row r="751" spans="2:7">
      <c r="B751" s="871">
        <v>46280</v>
      </c>
      <c r="C751" t="s">
        <v>2484</v>
      </c>
      <c r="D751" t="s">
        <v>527</v>
      </c>
      <c r="E751" t="s">
        <v>1434</v>
      </c>
      <c r="F751" s="381" t="s">
        <v>1947</v>
      </c>
      <c r="G751" t="s">
        <v>8812</v>
      </c>
    </row>
    <row r="752" spans="2:7">
      <c r="B752" s="871">
        <v>46280</v>
      </c>
      <c r="C752" t="s">
        <v>2484</v>
      </c>
      <c r="D752" t="s">
        <v>527</v>
      </c>
      <c r="E752" t="s">
        <v>1434</v>
      </c>
      <c r="F752" s="381" t="s">
        <v>1948</v>
      </c>
      <c r="G752" t="s">
        <v>8813</v>
      </c>
    </row>
    <row r="753" spans="2:7">
      <c r="B753" s="871">
        <v>46280</v>
      </c>
      <c r="C753" t="s">
        <v>2484</v>
      </c>
      <c r="D753" t="s">
        <v>527</v>
      </c>
      <c r="E753" t="s">
        <v>1434</v>
      </c>
      <c r="F753" s="381" t="s">
        <v>10076</v>
      </c>
      <c r="G753" t="s">
        <v>8814</v>
      </c>
    </row>
    <row r="754" spans="2:7">
      <c r="B754" s="871">
        <v>46280</v>
      </c>
      <c r="C754" t="s">
        <v>2484</v>
      </c>
      <c r="D754" t="s">
        <v>527</v>
      </c>
      <c r="E754" t="s">
        <v>1434</v>
      </c>
      <c r="F754" s="381" t="s">
        <v>2186</v>
      </c>
      <c r="G754" t="s">
        <v>8815</v>
      </c>
    </row>
    <row r="755" spans="2:7" ht="150">
      <c r="B755" s="871">
        <v>46280</v>
      </c>
      <c r="C755" t="s">
        <v>2484</v>
      </c>
      <c r="D755" t="s">
        <v>528</v>
      </c>
      <c r="E755" t="s">
        <v>1375</v>
      </c>
      <c r="F755" s="381" t="s">
        <v>1964</v>
      </c>
      <c r="G755" t="s">
        <v>8816</v>
      </c>
    </row>
    <row r="756" spans="2:7" ht="165">
      <c r="B756" s="871">
        <v>46280</v>
      </c>
      <c r="C756" t="s">
        <v>2484</v>
      </c>
      <c r="D756" t="s">
        <v>528</v>
      </c>
      <c r="E756" t="s">
        <v>1454</v>
      </c>
      <c r="F756" s="381" t="s">
        <v>1965</v>
      </c>
      <c r="G756" t="s">
        <v>8817</v>
      </c>
    </row>
    <row r="757" spans="2:7" ht="90">
      <c r="B757" s="871">
        <v>46280</v>
      </c>
      <c r="C757" t="s">
        <v>2484</v>
      </c>
      <c r="D757" t="s">
        <v>528</v>
      </c>
      <c r="E757" t="s">
        <v>1458</v>
      </c>
      <c r="F757" s="381" t="s">
        <v>1966</v>
      </c>
      <c r="G757" t="s">
        <v>8818</v>
      </c>
    </row>
    <row r="758" spans="2:7" ht="105">
      <c r="B758" s="871">
        <v>46280</v>
      </c>
      <c r="C758" t="s">
        <v>2484</v>
      </c>
      <c r="D758" t="s">
        <v>528</v>
      </c>
      <c r="E758" t="s">
        <v>1376</v>
      </c>
      <c r="F758" s="381" t="s">
        <v>1967</v>
      </c>
      <c r="G758" t="s">
        <v>8819</v>
      </c>
    </row>
    <row r="759" spans="2:7" ht="285">
      <c r="B759" s="871">
        <v>46280</v>
      </c>
      <c r="C759" t="s">
        <v>2484</v>
      </c>
      <c r="D759" t="s">
        <v>528</v>
      </c>
      <c r="E759" t="s">
        <v>1410</v>
      </c>
      <c r="F759" s="381" t="s">
        <v>1968</v>
      </c>
      <c r="G759" t="s">
        <v>8820</v>
      </c>
    </row>
    <row r="760" spans="2:7" ht="150">
      <c r="B760" s="871">
        <v>46280</v>
      </c>
      <c r="C760" t="s">
        <v>2484</v>
      </c>
      <c r="D760" t="s">
        <v>528</v>
      </c>
      <c r="E760" t="s">
        <v>1393</v>
      </c>
      <c r="F760" s="381" t="s">
        <v>1969</v>
      </c>
      <c r="G760" t="s">
        <v>8821</v>
      </c>
    </row>
    <row r="761" spans="2:7" ht="409.5">
      <c r="B761" s="871">
        <v>46280</v>
      </c>
      <c r="C761" t="s">
        <v>2484</v>
      </c>
      <c r="D761" t="s">
        <v>528</v>
      </c>
      <c r="E761" t="s">
        <v>1434</v>
      </c>
      <c r="F761" s="381" t="s">
        <v>1970</v>
      </c>
      <c r="G761" t="s">
        <v>8822</v>
      </c>
    </row>
    <row r="762" spans="2:7" ht="105">
      <c r="B762" s="871">
        <v>46281</v>
      </c>
      <c r="C762" t="s">
        <v>2485</v>
      </c>
      <c r="D762" t="s">
        <v>526</v>
      </c>
      <c r="E762" t="s">
        <v>1375</v>
      </c>
      <c r="F762" s="381" t="s">
        <v>1976</v>
      </c>
      <c r="G762" t="s">
        <v>8823</v>
      </c>
    </row>
    <row r="763" spans="2:7" ht="60">
      <c r="B763" s="871">
        <v>46281</v>
      </c>
      <c r="C763" t="s">
        <v>2485</v>
      </c>
      <c r="D763" t="s">
        <v>526</v>
      </c>
      <c r="E763" t="s">
        <v>1454</v>
      </c>
      <c r="F763" s="381" t="s">
        <v>1879</v>
      </c>
      <c r="G763" t="s">
        <v>8824</v>
      </c>
    </row>
    <row r="764" spans="2:7" ht="60">
      <c r="B764" s="871">
        <v>46281</v>
      </c>
      <c r="C764" t="s">
        <v>2485</v>
      </c>
      <c r="D764" t="s">
        <v>526</v>
      </c>
      <c r="E764" t="s">
        <v>1458</v>
      </c>
      <c r="F764" s="381" t="s">
        <v>1666</v>
      </c>
      <c r="G764" t="s">
        <v>8825</v>
      </c>
    </row>
    <row r="765" spans="2:7">
      <c r="B765" s="871">
        <v>46281</v>
      </c>
      <c r="C765" t="s">
        <v>2485</v>
      </c>
      <c r="D765" t="s">
        <v>526</v>
      </c>
      <c r="E765" t="s">
        <v>1462</v>
      </c>
      <c r="F765" s="381" t="s">
        <v>1667</v>
      </c>
      <c r="G765" t="s">
        <v>8826</v>
      </c>
    </row>
    <row r="766" spans="2:7" ht="135">
      <c r="B766" s="871">
        <v>46281</v>
      </c>
      <c r="C766" t="s">
        <v>2485</v>
      </c>
      <c r="D766" t="s">
        <v>526</v>
      </c>
      <c r="E766" t="s">
        <v>1376</v>
      </c>
      <c r="F766" s="381" t="s">
        <v>1977</v>
      </c>
      <c r="G766" t="s">
        <v>8827</v>
      </c>
    </row>
    <row r="767" spans="2:7" ht="105">
      <c r="B767" s="871">
        <v>46281</v>
      </c>
      <c r="C767" t="s">
        <v>2485</v>
      </c>
      <c r="D767" t="s">
        <v>526</v>
      </c>
      <c r="E767" t="s">
        <v>1393</v>
      </c>
      <c r="F767" s="381" t="s">
        <v>1978</v>
      </c>
      <c r="G767" t="s">
        <v>8828</v>
      </c>
    </row>
    <row r="768" spans="2:7" ht="30">
      <c r="B768" s="871">
        <v>46281</v>
      </c>
      <c r="C768" t="s">
        <v>2485</v>
      </c>
      <c r="D768" t="s">
        <v>526</v>
      </c>
      <c r="E768" t="s">
        <v>1465</v>
      </c>
      <c r="F768" s="381" t="s">
        <v>1979</v>
      </c>
      <c r="G768" t="s">
        <v>8829</v>
      </c>
    </row>
    <row r="769" spans="2:7" ht="409.5">
      <c r="B769" s="871">
        <v>46281</v>
      </c>
      <c r="C769" t="s">
        <v>2485</v>
      </c>
      <c r="D769" t="s">
        <v>526</v>
      </c>
      <c r="E769" t="s">
        <v>1434</v>
      </c>
      <c r="F769" s="381" t="s">
        <v>1810</v>
      </c>
      <c r="G769" t="s">
        <v>8830</v>
      </c>
    </row>
    <row r="770" spans="2:7" ht="120">
      <c r="B770" s="871">
        <v>46281</v>
      </c>
      <c r="C770" t="s">
        <v>2485</v>
      </c>
      <c r="D770" t="s">
        <v>527</v>
      </c>
      <c r="E770" t="s">
        <v>1375</v>
      </c>
      <c r="F770" s="381" t="s">
        <v>1980</v>
      </c>
      <c r="G770" t="s">
        <v>8831</v>
      </c>
    </row>
    <row r="771" spans="2:7">
      <c r="B771" s="871">
        <v>46281</v>
      </c>
      <c r="C771" t="s">
        <v>2485</v>
      </c>
      <c r="D771" t="s">
        <v>527</v>
      </c>
      <c r="E771" t="s">
        <v>1454</v>
      </c>
      <c r="F771" s="381" t="s">
        <v>1981</v>
      </c>
      <c r="G771" t="s">
        <v>8832</v>
      </c>
    </row>
    <row r="772" spans="2:7">
      <c r="B772" s="871">
        <v>46281</v>
      </c>
      <c r="C772" t="s">
        <v>2485</v>
      </c>
      <c r="D772" t="s">
        <v>527</v>
      </c>
      <c r="E772" t="s">
        <v>1472</v>
      </c>
      <c r="F772" s="381" t="s">
        <v>1982</v>
      </c>
      <c r="G772" t="s">
        <v>8833</v>
      </c>
    </row>
    <row r="773" spans="2:7">
      <c r="B773" s="871">
        <v>46281</v>
      </c>
      <c r="C773" t="s">
        <v>2485</v>
      </c>
      <c r="D773" t="s">
        <v>527</v>
      </c>
      <c r="E773" t="s">
        <v>1472</v>
      </c>
      <c r="F773" s="381" t="s">
        <v>1983</v>
      </c>
      <c r="G773" t="s">
        <v>8834</v>
      </c>
    </row>
    <row r="774" spans="2:7">
      <c r="B774" s="871">
        <v>46281</v>
      </c>
      <c r="C774" t="s">
        <v>2485</v>
      </c>
      <c r="D774" t="s">
        <v>527</v>
      </c>
      <c r="E774" t="s">
        <v>1472</v>
      </c>
      <c r="F774" s="381" t="s">
        <v>1984</v>
      </c>
      <c r="G774" t="s">
        <v>8835</v>
      </c>
    </row>
    <row r="775" spans="2:7">
      <c r="B775" s="871">
        <v>46281</v>
      </c>
      <c r="C775" t="s">
        <v>2485</v>
      </c>
      <c r="D775" t="s">
        <v>527</v>
      </c>
      <c r="E775" t="s">
        <v>1474</v>
      </c>
      <c r="F775" s="381" t="s">
        <v>1985</v>
      </c>
      <c r="G775" t="s">
        <v>8836</v>
      </c>
    </row>
    <row r="776" spans="2:7">
      <c r="B776" s="871">
        <v>46281</v>
      </c>
      <c r="C776" t="s">
        <v>2485</v>
      </c>
      <c r="D776" t="s">
        <v>527</v>
      </c>
      <c r="E776" t="s">
        <v>1474</v>
      </c>
      <c r="F776" s="381" t="s">
        <v>1930</v>
      </c>
      <c r="G776" t="s">
        <v>8837</v>
      </c>
    </row>
    <row r="777" spans="2:7">
      <c r="B777" s="871">
        <v>46281</v>
      </c>
      <c r="C777" t="s">
        <v>2485</v>
      </c>
      <c r="D777" t="s">
        <v>527</v>
      </c>
      <c r="E777" t="s">
        <v>1474</v>
      </c>
      <c r="F777" s="381" t="s">
        <v>1835</v>
      </c>
      <c r="G777" t="s">
        <v>8838</v>
      </c>
    </row>
    <row r="778" spans="2:7">
      <c r="B778" s="871">
        <v>46281</v>
      </c>
      <c r="C778" t="s">
        <v>2485</v>
      </c>
      <c r="D778" t="s">
        <v>527</v>
      </c>
      <c r="E778" t="s">
        <v>1474</v>
      </c>
      <c r="F778" s="381" t="s">
        <v>1836</v>
      </c>
      <c r="G778" t="s">
        <v>8839</v>
      </c>
    </row>
    <row r="779" spans="2:7">
      <c r="B779" s="871">
        <v>46281</v>
      </c>
      <c r="C779" t="s">
        <v>2485</v>
      </c>
      <c r="D779" t="s">
        <v>527</v>
      </c>
      <c r="E779" t="s">
        <v>1376</v>
      </c>
      <c r="F779" s="381" t="s">
        <v>1564</v>
      </c>
      <c r="G779" t="s">
        <v>8840</v>
      </c>
    </row>
    <row r="780" spans="2:7">
      <c r="B780" s="871">
        <v>46281</v>
      </c>
      <c r="C780" t="s">
        <v>2485</v>
      </c>
      <c r="D780" t="s">
        <v>527</v>
      </c>
      <c r="E780" t="s">
        <v>1393</v>
      </c>
      <c r="F780" s="381" t="s">
        <v>1932</v>
      </c>
      <c r="G780" t="s">
        <v>8841</v>
      </c>
    </row>
    <row r="781" spans="2:7">
      <c r="B781" s="871">
        <v>46281</v>
      </c>
      <c r="C781" t="s">
        <v>2485</v>
      </c>
      <c r="D781" t="s">
        <v>527</v>
      </c>
      <c r="E781" t="s">
        <v>1393</v>
      </c>
      <c r="F781" s="381" t="s">
        <v>1523</v>
      </c>
      <c r="G781" t="s">
        <v>8842</v>
      </c>
    </row>
    <row r="782" spans="2:7">
      <c r="B782" s="871">
        <v>46281</v>
      </c>
      <c r="C782" t="s">
        <v>2485</v>
      </c>
      <c r="D782" t="s">
        <v>527</v>
      </c>
      <c r="E782" t="s">
        <v>1393</v>
      </c>
      <c r="F782" s="381" t="s">
        <v>1933</v>
      </c>
      <c r="G782" t="s">
        <v>8843</v>
      </c>
    </row>
    <row r="783" spans="2:7">
      <c r="B783" s="871">
        <v>46281</v>
      </c>
      <c r="C783" t="s">
        <v>2485</v>
      </c>
      <c r="D783" t="s">
        <v>527</v>
      </c>
      <c r="E783" t="s">
        <v>1393</v>
      </c>
      <c r="F783" s="381" t="s">
        <v>1934</v>
      </c>
      <c r="G783" t="s">
        <v>8844</v>
      </c>
    </row>
    <row r="784" spans="2:7">
      <c r="B784" s="871">
        <v>46281</v>
      </c>
      <c r="C784" t="s">
        <v>2485</v>
      </c>
      <c r="D784" t="s">
        <v>527</v>
      </c>
      <c r="E784" t="s">
        <v>1393</v>
      </c>
      <c r="F784" s="381" t="s">
        <v>1935</v>
      </c>
      <c r="G784" t="s">
        <v>8845</v>
      </c>
    </row>
    <row r="785" spans="2:7">
      <c r="B785" s="871">
        <v>46281</v>
      </c>
      <c r="C785" t="s">
        <v>2485</v>
      </c>
      <c r="D785" t="s">
        <v>527</v>
      </c>
      <c r="E785" t="s">
        <v>1393</v>
      </c>
      <c r="F785" s="381" t="s">
        <v>1936</v>
      </c>
      <c r="G785" t="s">
        <v>8846</v>
      </c>
    </row>
    <row r="786" spans="2:7">
      <c r="B786" s="871">
        <v>46281</v>
      </c>
      <c r="C786" t="s">
        <v>2485</v>
      </c>
      <c r="D786" t="s">
        <v>527</v>
      </c>
      <c r="E786" t="s">
        <v>1393</v>
      </c>
      <c r="F786" s="381" t="s">
        <v>1937</v>
      </c>
      <c r="G786" t="s">
        <v>8847</v>
      </c>
    </row>
    <row r="787" spans="2:7">
      <c r="B787" s="871">
        <v>46281</v>
      </c>
      <c r="C787" t="s">
        <v>2485</v>
      </c>
      <c r="D787" t="s">
        <v>527</v>
      </c>
      <c r="E787" t="s">
        <v>1393</v>
      </c>
      <c r="F787" s="381" t="s">
        <v>1938</v>
      </c>
      <c r="G787" t="s">
        <v>8848</v>
      </c>
    </row>
    <row r="788" spans="2:7">
      <c r="B788" s="871">
        <v>46281</v>
      </c>
      <c r="C788" t="s">
        <v>2485</v>
      </c>
      <c r="D788" t="s">
        <v>527</v>
      </c>
      <c r="E788" t="s">
        <v>1393</v>
      </c>
      <c r="F788" s="381" t="s">
        <v>1939</v>
      </c>
      <c r="G788" t="s">
        <v>8849</v>
      </c>
    </row>
    <row r="789" spans="2:7">
      <c r="B789" s="871">
        <v>46281</v>
      </c>
      <c r="C789" t="s">
        <v>2485</v>
      </c>
      <c r="D789" t="s">
        <v>527</v>
      </c>
      <c r="E789" t="s">
        <v>1410</v>
      </c>
      <c r="F789" s="381" t="s">
        <v>1433</v>
      </c>
      <c r="G789" t="s">
        <v>8850</v>
      </c>
    </row>
    <row r="790" spans="2:7">
      <c r="B790" s="871">
        <v>46281</v>
      </c>
      <c r="C790" t="s">
        <v>2485</v>
      </c>
      <c r="D790" t="s">
        <v>527</v>
      </c>
      <c r="E790" t="s">
        <v>1410</v>
      </c>
      <c r="F790" s="381" t="s">
        <v>1940</v>
      </c>
      <c r="G790" t="s">
        <v>8851</v>
      </c>
    </row>
    <row r="791" spans="2:7">
      <c r="B791" s="871">
        <v>46281</v>
      </c>
      <c r="C791" t="s">
        <v>2485</v>
      </c>
      <c r="D791" t="s">
        <v>527</v>
      </c>
      <c r="E791" t="s">
        <v>1410</v>
      </c>
      <c r="F791" s="381" t="s">
        <v>1941</v>
      </c>
      <c r="G791" t="s">
        <v>8852</v>
      </c>
    </row>
    <row r="792" spans="2:7">
      <c r="B792" s="871">
        <v>46281</v>
      </c>
      <c r="C792" t="s">
        <v>2485</v>
      </c>
      <c r="D792" t="s">
        <v>527</v>
      </c>
      <c r="E792" t="s">
        <v>1410</v>
      </c>
      <c r="F792" s="381" t="s">
        <v>1942</v>
      </c>
      <c r="G792" t="s">
        <v>8853</v>
      </c>
    </row>
    <row r="793" spans="2:7">
      <c r="B793" s="871">
        <v>46281</v>
      </c>
      <c r="C793" t="s">
        <v>2485</v>
      </c>
      <c r="D793" t="s">
        <v>527</v>
      </c>
      <c r="E793" t="s">
        <v>1410</v>
      </c>
      <c r="F793" s="381" t="s">
        <v>1943</v>
      </c>
      <c r="G793" t="s">
        <v>8854</v>
      </c>
    </row>
    <row r="794" spans="2:7">
      <c r="B794" s="871">
        <v>46281</v>
      </c>
      <c r="C794" t="s">
        <v>2485</v>
      </c>
      <c r="D794" t="s">
        <v>527</v>
      </c>
      <c r="E794" t="s">
        <v>1410</v>
      </c>
      <c r="F794" s="381" t="s">
        <v>1944</v>
      </c>
      <c r="G794" t="s">
        <v>8855</v>
      </c>
    </row>
    <row r="795" spans="2:7">
      <c r="B795" s="871">
        <v>46281</v>
      </c>
      <c r="C795" t="s">
        <v>2485</v>
      </c>
      <c r="D795" t="s">
        <v>527</v>
      </c>
      <c r="E795" t="s">
        <v>1410</v>
      </c>
      <c r="F795" s="381" t="s">
        <v>1945</v>
      </c>
      <c r="G795" t="s">
        <v>8856</v>
      </c>
    </row>
    <row r="796" spans="2:7">
      <c r="B796" s="871">
        <v>46281</v>
      </c>
      <c r="C796" t="s">
        <v>2485</v>
      </c>
      <c r="D796" t="s">
        <v>527</v>
      </c>
      <c r="E796" t="s">
        <v>1410</v>
      </c>
      <c r="F796" s="381" t="s">
        <v>1946</v>
      </c>
      <c r="G796" t="s">
        <v>8857</v>
      </c>
    </row>
    <row r="797" spans="2:7" ht="409.5">
      <c r="B797" s="871">
        <v>46281</v>
      </c>
      <c r="C797" t="s">
        <v>2485</v>
      </c>
      <c r="D797" t="s">
        <v>527</v>
      </c>
      <c r="E797" t="s">
        <v>1434</v>
      </c>
      <c r="F797" s="381" t="s">
        <v>1986</v>
      </c>
      <c r="G797" t="s">
        <v>8858</v>
      </c>
    </row>
    <row r="798" spans="2:7" ht="135">
      <c r="B798" s="871">
        <v>46281</v>
      </c>
      <c r="C798" t="s">
        <v>2485</v>
      </c>
      <c r="D798" t="s">
        <v>528</v>
      </c>
      <c r="E798" t="s">
        <v>1375</v>
      </c>
      <c r="F798" s="381" t="s">
        <v>1987</v>
      </c>
      <c r="G798" t="s">
        <v>8859</v>
      </c>
    </row>
    <row r="799" spans="2:7" ht="105">
      <c r="B799" s="871">
        <v>46281</v>
      </c>
      <c r="C799" t="s">
        <v>2485</v>
      </c>
      <c r="D799" t="s">
        <v>528</v>
      </c>
      <c r="E799" t="s">
        <v>1454</v>
      </c>
      <c r="F799" s="381" t="s">
        <v>1988</v>
      </c>
      <c r="G799" t="s">
        <v>8860</v>
      </c>
    </row>
    <row r="800" spans="2:7" ht="45">
      <c r="B800" s="871">
        <v>46281</v>
      </c>
      <c r="C800" t="s">
        <v>2485</v>
      </c>
      <c r="D800" t="s">
        <v>528</v>
      </c>
      <c r="E800" t="s">
        <v>1458</v>
      </c>
      <c r="F800" s="381" t="s">
        <v>1989</v>
      </c>
      <c r="G800" t="s">
        <v>8861</v>
      </c>
    </row>
    <row r="801" spans="2:7">
      <c r="B801" s="871">
        <v>46281</v>
      </c>
      <c r="C801" t="s">
        <v>2485</v>
      </c>
      <c r="D801" t="s">
        <v>528</v>
      </c>
      <c r="E801" t="s">
        <v>1474</v>
      </c>
      <c r="F801" s="381" t="s">
        <v>1990</v>
      </c>
      <c r="G801" t="s">
        <v>8862</v>
      </c>
    </row>
    <row r="802" spans="2:7" ht="105">
      <c r="B802" s="871">
        <v>46281</v>
      </c>
      <c r="C802" t="s">
        <v>2485</v>
      </c>
      <c r="D802" t="s">
        <v>528</v>
      </c>
      <c r="E802" t="s">
        <v>1376</v>
      </c>
      <c r="F802" s="381" t="s">
        <v>1991</v>
      </c>
      <c r="G802" t="s">
        <v>8863</v>
      </c>
    </row>
    <row r="803" spans="2:7" ht="270">
      <c r="B803" s="871">
        <v>46281</v>
      </c>
      <c r="C803" t="s">
        <v>2485</v>
      </c>
      <c r="D803" t="s">
        <v>528</v>
      </c>
      <c r="E803" t="s">
        <v>1410</v>
      </c>
      <c r="F803" s="381" t="s">
        <v>1992</v>
      </c>
      <c r="G803" t="s">
        <v>8864</v>
      </c>
    </row>
    <row r="804" spans="2:7" ht="135">
      <c r="B804" s="871">
        <v>46281</v>
      </c>
      <c r="C804" t="s">
        <v>2485</v>
      </c>
      <c r="D804" t="s">
        <v>528</v>
      </c>
      <c r="E804" t="s">
        <v>1393</v>
      </c>
      <c r="F804" s="381" t="s">
        <v>1993</v>
      </c>
      <c r="G804" t="s">
        <v>8865</v>
      </c>
    </row>
    <row r="805" spans="2:7" ht="409.5">
      <c r="B805" s="871">
        <v>46281</v>
      </c>
      <c r="C805" t="s">
        <v>2485</v>
      </c>
      <c r="D805" t="s">
        <v>528</v>
      </c>
      <c r="E805" t="s">
        <v>1434</v>
      </c>
      <c r="F805" s="381" t="s">
        <v>1994</v>
      </c>
      <c r="G805" t="s">
        <v>8866</v>
      </c>
    </row>
    <row r="806" spans="2:7" ht="120">
      <c r="B806" s="871">
        <v>46282</v>
      </c>
      <c r="C806" t="s">
        <v>2486</v>
      </c>
      <c r="D806" t="s">
        <v>526</v>
      </c>
      <c r="E806" t="s">
        <v>1375</v>
      </c>
      <c r="F806" s="381" t="s">
        <v>1997</v>
      </c>
      <c r="G806" t="s">
        <v>8867</v>
      </c>
    </row>
    <row r="807" spans="2:7" ht="60">
      <c r="B807" s="871">
        <v>46282</v>
      </c>
      <c r="C807" t="s">
        <v>2486</v>
      </c>
      <c r="D807" t="s">
        <v>526</v>
      </c>
      <c r="E807" t="s">
        <v>1454</v>
      </c>
      <c r="F807" s="381" t="s">
        <v>1879</v>
      </c>
      <c r="G807" t="s">
        <v>8868</v>
      </c>
    </row>
    <row r="808" spans="2:7" ht="60">
      <c r="B808" s="871">
        <v>46282</v>
      </c>
      <c r="C808" t="s">
        <v>2486</v>
      </c>
      <c r="D808" t="s">
        <v>526</v>
      </c>
      <c r="E808" t="s">
        <v>1458</v>
      </c>
      <c r="F808" s="381" t="s">
        <v>1666</v>
      </c>
      <c r="G808" t="s">
        <v>8869</v>
      </c>
    </row>
    <row r="809" spans="2:7">
      <c r="B809" s="871">
        <v>46282</v>
      </c>
      <c r="C809" t="s">
        <v>2486</v>
      </c>
      <c r="D809" t="s">
        <v>526</v>
      </c>
      <c r="E809" t="s">
        <v>1462</v>
      </c>
      <c r="F809" s="381" t="s">
        <v>1667</v>
      </c>
      <c r="G809" t="s">
        <v>8870</v>
      </c>
    </row>
    <row r="810" spans="2:7" ht="165">
      <c r="B810" s="871">
        <v>46282</v>
      </c>
      <c r="C810" t="s">
        <v>2486</v>
      </c>
      <c r="D810" t="s">
        <v>526</v>
      </c>
      <c r="E810" t="s">
        <v>1376</v>
      </c>
      <c r="F810" s="381" t="s">
        <v>1998</v>
      </c>
      <c r="G810" t="s">
        <v>8871</v>
      </c>
    </row>
    <row r="811" spans="2:7" ht="120">
      <c r="B811" s="871">
        <v>46282</v>
      </c>
      <c r="C811" t="s">
        <v>2486</v>
      </c>
      <c r="D811" t="s">
        <v>526</v>
      </c>
      <c r="E811" t="s">
        <v>1393</v>
      </c>
      <c r="F811" s="381" t="s">
        <v>1999</v>
      </c>
      <c r="G811" t="s">
        <v>8872</v>
      </c>
    </row>
    <row r="812" spans="2:7">
      <c r="B812" s="871">
        <v>46282</v>
      </c>
      <c r="C812" t="s">
        <v>2486</v>
      </c>
      <c r="D812" t="s">
        <v>526</v>
      </c>
      <c r="E812" t="s">
        <v>1465</v>
      </c>
      <c r="F812" s="381" t="s">
        <v>2000</v>
      </c>
      <c r="G812" t="s">
        <v>8873</v>
      </c>
    </row>
    <row r="813" spans="2:7" ht="409.5">
      <c r="B813" s="871">
        <v>46282</v>
      </c>
      <c r="C813" t="s">
        <v>2486</v>
      </c>
      <c r="D813" t="s">
        <v>526</v>
      </c>
      <c r="E813" t="s">
        <v>1434</v>
      </c>
      <c r="F813" s="381" t="s">
        <v>1810</v>
      </c>
      <c r="G813" t="s">
        <v>8874</v>
      </c>
    </row>
    <row r="814" spans="2:7">
      <c r="B814" s="871">
        <v>46282</v>
      </c>
      <c r="C814" t="s">
        <v>2486</v>
      </c>
      <c r="D814" t="s">
        <v>527</v>
      </c>
      <c r="E814" t="s">
        <v>1454</v>
      </c>
      <c r="F814" s="381" t="s">
        <v>1981</v>
      </c>
      <c r="G814" t="s">
        <v>8875</v>
      </c>
    </row>
    <row r="815" spans="2:7">
      <c r="B815" s="871">
        <v>46282</v>
      </c>
      <c r="C815" t="s">
        <v>2486</v>
      </c>
      <c r="D815" t="s">
        <v>527</v>
      </c>
      <c r="E815" t="s">
        <v>1472</v>
      </c>
      <c r="F815" s="381" t="s">
        <v>1982</v>
      </c>
      <c r="G815" t="s">
        <v>8876</v>
      </c>
    </row>
    <row r="816" spans="2:7">
      <c r="B816" s="871">
        <v>46282</v>
      </c>
      <c r="C816" t="s">
        <v>2486</v>
      </c>
      <c r="D816" t="s">
        <v>527</v>
      </c>
      <c r="E816" t="s">
        <v>1472</v>
      </c>
      <c r="F816" s="381" t="s">
        <v>1983</v>
      </c>
      <c r="G816" t="s">
        <v>8877</v>
      </c>
    </row>
    <row r="817" spans="2:7">
      <c r="B817" s="871">
        <v>46282</v>
      </c>
      <c r="C817" t="s">
        <v>2486</v>
      </c>
      <c r="D817" t="s">
        <v>527</v>
      </c>
      <c r="E817" t="s">
        <v>1472</v>
      </c>
      <c r="F817" s="381" t="s">
        <v>1984</v>
      </c>
      <c r="G817" t="s">
        <v>8878</v>
      </c>
    </row>
    <row r="818" spans="2:7">
      <c r="B818" s="871">
        <v>46282</v>
      </c>
      <c r="C818" t="s">
        <v>2486</v>
      </c>
      <c r="D818" t="s">
        <v>527</v>
      </c>
      <c r="E818" t="s">
        <v>1474</v>
      </c>
      <c r="F818" s="381" t="s">
        <v>1985</v>
      </c>
      <c r="G818" t="s">
        <v>8879</v>
      </c>
    </row>
    <row r="819" spans="2:7">
      <c r="B819" s="871">
        <v>46282</v>
      </c>
      <c r="C819" t="s">
        <v>2486</v>
      </c>
      <c r="D819" t="s">
        <v>527</v>
      </c>
      <c r="E819" t="s">
        <v>1474</v>
      </c>
      <c r="F819" s="381" t="s">
        <v>1930</v>
      </c>
      <c r="G819" t="s">
        <v>8880</v>
      </c>
    </row>
    <row r="820" spans="2:7">
      <c r="B820" s="871">
        <v>46282</v>
      </c>
      <c r="C820" t="s">
        <v>2486</v>
      </c>
      <c r="D820" t="s">
        <v>527</v>
      </c>
      <c r="E820" t="s">
        <v>1474</v>
      </c>
      <c r="F820" s="381" t="s">
        <v>1835</v>
      </c>
      <c r="G820" t="s">
        <v>8881</v>
      </c>
    </row>
    <row r="821" spans="2:7">
      <c r="B821" s="871">
        <v>46282</v>
      </c>
      <c r="C821" t="s">
        <v>2486</v>
      </c>
      <c r="D821" t="s">
        <v>527</v>
      </c>
      <c r="E821" t="s">
        <v>1474</v>
      </c>
      <c r="F821" s="381" t="s">
        <v>1836</v>
      </c>
      <c r="G821" t="s">
        <v>8882</v>
      </c>
    </row>
    <row r="822" spans="2:7">
      <c r="B822" s="871">
        <v>46282</v>
      </c>
      <c r="C822" t="s">
        <v>2486</v>
      </c>
      <c r="D822" t="s">
        <v>527</v>
      </c>
      <c r="E822" t="s">
        <v>1376</v>
      </c>
      <c r="F822" s="381" t="s">
        <v>1564</v>
      </c>
      <c r="G822" t="s">
        <v>8883</v>
      </c>
    </row>
    <row r="823" spans="2:7">
      <c r="B823" s="871">
        <v>46282</v>
      </c>
      <c r="C823" t="s">
        <v>2486</v>
      </c>
      <c r="D823" t="s">
        <v>527</v>
      </c>
      <c r="E823" t="s">
        <v>1393</v>
      </c>
      <c r="F823" s="381" t="s">
        <v>1932</v>
      </c>
      <c r="G823" t="s">
        <v>8884</v>
      </c>
    </row>
    <row r="824" spans="2:7">
      <c r="B824" s="871">
        <v>46282</v>
      </c>
      <c r="C824" t="s">
        <v>2486</v>
      </c>
      <c r="D824" t="s">
        <v>527</v>
      </c>
      <c r="E824" t="s">
        <v>1393</v>
      </c>
      <c r="F824" s="381" t="s">
        <v>1523</v>
      </c>
      <c r="G824" t="s">
        <v>8885</v>
      </c>
    </row>
    <row r="825" spans="2:7">
      <c r="B825" s="871">
        <v>46282</v>
      </c>
      <c r="C825" t="s">
        <v>2486</v>
      </c>
      <c r="D825" t="s">
        <v>527</v>
      </c>
      <c r="E825" t="s">
        <v>1393</v>
      </c>
      <c r="F825" s="381" t="s">
        <v>1933</v>
      </c>
      <c r="G825" t="s">
        <v>8886</v>
      </c>
    </row>
    <row r="826" spans="2:7">
      <c r="B826" s="871">
        <v>46282</v>
      </c>
      <c r="C826" t="s">
        <v>2486</v>
      </c>
      <c r="D826" t="s">
        <v>527</v>
      </c>
      <c r="E826" t="s">
        <v>1393</v>
      </c>
      <c r="F826" s="381" t="s">
        <v>1934</v>
      </c>
      <c r="G826" t="s">
        <v>8887</v>
      </c>
    </row>
    <row r="827" spans="2:7">
      <c r="B827" s="871">
        <v>46282</v>
      </c>
      <c r="C827" t="s">
        <v>2486</v>
      </c>
      <c r="D827" t="s">
        <v>527</v>
      </c>
      <c r="E827" t="s">
        <v>1393</v>
      </c>
      <c r="F827" s="381" t="s">
        <v>1935</v>
      </c>
      <c r="G827" t="s">
        <v>8888</v>
      </c>
    </row>
    <row r="828" spans="2:7">
      <c r="B828" s="871">
        <v>46282</v>
      </c>
      <c r="C828" t="s">
        <v>2486</v>
      </c>
      <c r="D828" t="s">
        <v>527</v>
      </c>
      <c r="E828" t="s">
        <v>1393</v>
      </c>
      <c r="F828" s="381" t="s">
        <v>1936</v>
      </c>
      <c r="G828" t="s">
        <v>8889</v>
      </c>
    </row>
    <row r="829" spans="2:7">
      <c r="B829" s="871">
        <v>46282</v>
      </c>
      <c r="C829" t="s">
        <v>2486</v>
      </c>
      <c r="D829" t="s">
        <v>527</v>
      </c>
      <c r="E829" t="s">
        <v>1393</v>
      </c>
      <c r="F829" s="381" t="s">
        <v>1937</v>
      </c>
      <c r="G829" t="s">
        <v>8890</v>
      </c>
    </row>
    <row r="830" spans="2:7">
      <c r="B830" s="871">
        <v>46282</v>
      </c>
      <c r="C830" t="s">
        <v>2486</v>
      </c>
      <c r="D830" t="s">
        <v>527</v>
      </c>
      <c r="E830" t="s">
        <v>1393</v>
      </c>
      <c r="F830" s="381" t="s">
        <v>1938</v>
      </c>
      <c r="G830" t="s">
        <v>8891</v>
      </c>
    </row>
    <row r="831" spans="2:7">
      <c r="B831" s="871">
        <v>46282</v>
      </c>
      <c r="C831" t="s">
        <v>2486</v>
      </c>
      <c r="D831" t="s">
        <v>527</v>
      </c>
      <c r="E831" t="s">
        <v>1393</v>
      </c>
      <c r="F831" s="381" t="s">
        <v>1939</v>
      </c>
      <c r="G831" t="s">
        <v>8892</v>
      </c>
    </row>
    <row r="832" spans="2:7">
      <c r="B832" s="871">
        <v>46282</v>
      </c>
      <c r="C832" t="s">
        <v>2486</v>
      </c>
      <c r="D832" t="s">
        <v>527</v>
      </c>
      <c r="E832" t="s">
        <v>1410</v>
      </c>
      <c r="F832" s="381" t="s">
        <v>1433</v>
      </c>
      <c r="G832" t="s">
        <v>8893</v>
      </c>
    </row>
    <row r="833" spans="2:7">
      <c r="B833" s="871">
        <v>46282</v>
      </c>
      <c r="C833" t="s">
        <v>2486</v>
      </c>
      <c r="D833" t="s">
        <v>527</v>
      </c>
      <c r="E833" t="s">
        <v>1410</v>
      </c>
      <c r="F833" s="381" t="s">
        <v>1940</v>
      </c>
      <c r="G833" t="s">
        <v>8894</v>
      </c>
    </row>
    <row r="834" spans="2:7">
      <c r="B834" s="871">
        <v>46282</v>
      </c>
      <c r="C834" t="s">
        <v>2486</v>
      </c>
      <c r="D834" t="s">
        <v>527</v>
      </c>
      <c r="E834" t="s">
        <v>1410</v>
      </c>
      <c r="F834" s="381" t="s">
        <v>1941</v>
      </c>
      <c r="G834" t="s">
        <v>8895</v>
      </c>
    </row>
    <row r="835" spans="2:7">
      <c r="B835" s="871">
        <v>46282</v>
      </c>
      <c r="C835" t="s">
        <v>2486</v>
      </c>
      <c r="D835" t="s">
        <v>527</v>
      </c>
      <c r="E835" t="s">
        <v>1410</v>
      </c>
      <c r="F835" s="381" t="s">
        <v>1942</v>
      </c>
      <c r="G835" t="s">
        <v>8896</v>
      </c>
    </row>
    <row r="836" spans="2:7">
      <c r="B836" s="871">
        <v>46282</v>
      </c>
      <c r="C836" t="s">
        <v>2486</v>
      </c>
      <c r="D836" t="s">
        <v>527</v>
      </c>
      <c r="E836" t="s">
        <v>1410</v>
      </c>
      <c r="F836" s="381" t="s">
        <v>1943</v>
      </c>
      <c r="G836" t="s">
        <v>8897</v>
      </c>
    </row>
    <row r="837" spans="2:7">
      <c r="B837" s="871">
        <v>46282</v>
      </c>
      <c r="C837" t="s">
        <v>2486</v>
      </c>
      <c r="D837" t="s">
        <v>527</v>
      </c>
      <c r="E837" t="s">
        <v>1410</v>
      </c>
      <c r="F837" s="381" t="s">
        <v>1944</v>
      </c>
      <c r="G837" t="s">
        <v>8898</v>
      </c>
    </row>
    <row r="838" spans="2:7">
      <c r="B838" s="871">
        <v>46282</v>
      </c>
      <c r="C838" t="s">
        <v>2486</v>
      </c>
      <c r="D838" t="s">
        <v>527</v>
      </c>
      <c r="E838" t="s">
        <v>1410</v>
      </c>
      <c r="F838" s="381" t="s">
        <v>1945</v>
      </c>
      <c r="G838" t="s">
        <v>8899</v>
      </c>
    </row>
    <row r="839" spans="2:7">
      <c r="B839" s="871">
        <v>46282</v>
      </c>
      <c r="C839" t="s">
        <v>2486</v>
      </c>
      <c r="D839" t="s">
        <v>527</v>
      </c>
      <c r="E839" t="s">
        <v>1410</v>
      </c>
      <c r="F839" s="381" t="s">
        <v>1946</v>
      </c>
      <c r="G839" t="s">
        <v>8900</v>
      </c>
    </row>
    <row r="840" spans="2:7" ht="409.5">
      <c r="B840" s="871">
        <v>46282</v>
      </c>
      <c r="C840" t="s">
        <v>2486</v>
      </c>
      <c r="D840" t="s">
        <v>527</v>
      </c>
      <c r="E840" t="s">
        <v>1434</v>
      </c>
      <c r="F840" s="381" t="s">
        <v>1986</v>
      </c>
      <c r="G840" t="s">
        <v>8901</v>
      </c>
    </row>
    <row r="841" spans="2:7">
      <c r="B841" s="871">
        <v>46282</v>
      </c>
      <c r="C841" t="s">
        <v>2486</v>
      </c>
      <c r="D841" t="s">
        <v>528</v>
      </c>
      <c r="E841" t="s">
        <v>1375</v>
      </c>
      <c r="F841" s="381" t="s">
        <v>2001</v>
      </c>
      <c r="G841" t="s">
        <v>8902</v>
      </c>
    </row>
    <row r="842" spans="2:7">
      <c r="B842" s="871">
        <v>46282</v>
      </c>
      <c r="C842" t="s">
        <v>2486</v>
      </c>
      <c r="D842" t="s">
        <v>528</v>
      </c>
      <c r="E842" t="s">
        <v>1375</v>
      </c>
      <c r="F842" s="381" t="s">
        <v>1552</v>
      </c>
      <c r="G842" t="s">
        <v>8903</v>
      </c>
    </row>
    <row r="843" spans="2:7">
      <c r="B843" s="871">
        <v>46282</v>
      </c>
      <c r="C843" t="s">
        <v>2486</v>
      </c>
      <c r="D843" t="s">
        <v>528</v>
      </c>
      <c r="E843" t="s">
        <v>1375</v>
      </c>
      <c r="F843" s="381" t="s">
        <v>1499</v>
      </c>
      <c r="G843" t="s">
        <v>8904</v>
      </c>
    </row>
    <row r="844" spans="2:7">
      <c r="B844" s="871">
        <v>46282</v>
      </c>
      <c r="C844" t="s">
        <v>2486</v>
      </c>
      <c r="D844" t="s">
        <v>528</v>
      </c>
      <c r="E844" t="s">
        <v>1375</v>
      </c>
      <c r="F844" s="381" t="s">
        <v>2002</v>
      </c>
      <c r="G844" t="s">
        <v>8905</v>
      </c>
    </row>
    <row r="845" spans="2:7">
      <c r="B845" s="871">
        <v>46282</v>
      </c>
      <c r="C845" t="s">
        <v>2486</v>
      </c>
      <c r="D845" t="s">
        <v>528</v>
      </c>
      <c r="E845" t="s">
        <v>1375</v>
      </c>
      <c r="F845" s="381" t="s">
        <v>2003</v>
      </c>
      <c r="G845" t="s">
        <v>8906</v>
      </c>
    </row>
    <row r="846" spans="2:7">
      <c r="B846" s="871">
        <v>46282</v>
      </c>
      <c r="C846" t="s">
        <v>2486</v>
      </c>
      <c r="D846" t="s">
        <v>528</v>
      </c>
      <c r="E846" t="s">
        <v>1454</v>
      </c>
      <c r="F846" s="381" t="s">
        <v>2004</v>
      </c>
      <c r="G846" t="s">
        <v>8907</v>
      </c>
    </row>
    <row r="847" spans="2:7">
      <c r="B847" s="871">
        <v>46282</v>
      </c>
      <c r="C847" t="s">
        <v>2486</v>
      </c>
      <c r="D847" t="s">
        <v>528</v>
      </c>
      <c r="E847" t="s">
        <v>1454</v>
      </c>
      <c r="F847" s="381" t="s">
        <v>2005</v>
      </c>
      <c r="G847" t="s">
        <v>8908</v>
      </c>
    </row>
    <row r="848" spans="2:7" ht="30">
      <c r="B848" s="871">
        <v>46282</v>
      </c>
      <c r="C848" t="s">
        <v>2486</v>
      </c>
      <c r="D848" t="s">
        <v>528</v>
      </c>
      <c r="E848" t="s">
        <v>1454</v>
      </c>
      <c r="F848" s="381" t="s">
        <v>2006</v>
      </c>
      <c r="G848" t="s">
        <v>8909</v>
      </c>
    </row>
    <row r="849" spans="2:7">
      <c r="B849" s="871">
        <v>46282</v>
      </c>
      <c r="C849" t="s">
        <v>2486</v>
      </c>
      <c r="D849" t="s">
        <v>528</v>
      </c>
      <c r="E849" t="s">
        <v>1454</v>
      </c>
      <c r="F849" s="381" t="s">
        <v>2007</v>
      </c>
      <c r="G849" t="s">
        <v>8910</v>
      </c>
    </row>
    <row r="850" spans="2:7">
      <c r="B850" s="871">
        <v>46282</v>
      </c>
      <c r="C850" t="s">
        <v>2486</v>
      </c>
      <c r="D850" t="s">
        <v>528</v>
      </c>
      <c r="E850" t="s">
        <v>1454</v>
      </c>
      <c r="F850" s="381" t="s">
        <v>2008</v>
      </c>
      <c r="G850" t="s">
        <v>8911</v>
      </c>
    </row>
    <row r="851" spans="2:7">
      <c r="B851" s="871">
        <v>46282</v>
      </c>
      <c r="C851" t="s">
        <v>2486</v>
      </c>
      <c r="D851" t="s">
        <v>528</v>
      </c>
      <c r="E851" t="s">
        <v>1458</v>
      </c>
      <c r="F851" s="381" t="s">
        <v>2009</v>
      </c>
      <c r="G851" t="s">
        <v>8912</v>
      </c>
    </row>
    <row r="852" spans="2:7">
      <c r="B852" s="871">
        <v>46282</v>
      </c>
      <c r="C852" t="s">
        <v>2486</v>
      </c>
      <c r="D852" t="s">
        <v>528</v>
      </c>
      <c r="E852" t="s">
        <v>1458</v>
      </c>
      <c r="F852" s="381" t="s">
        <v>2010</v>
      </c>
      <c r="G852" t="s">
        <v>8913</v>
      </c>
    </row>
    <row r="853" spans="2:7">
      <c r="B853" s="871">
        <v>46282</v>
      </c>
      <c r="C853" t="s">
        <v>2486</v>
      </c>
      <c r="D853" t="s">
        <v>528</v>
      </c>
      <c r="E853" t="s">
        <v>1458</v>
      </c>
      <c r="F853" s="381" t="s">
        <v>2011</v>
      </c>
      <c r="G853" t="s">
        <v>8914</v>
      </c>
    </row>
    <row r="854" spans="2:7">
      <c r="B854" s="871">
        <v>46282</v>
      </c>
      <c r="C854" t="s">
        <v>2486</v>
      </c>
      <c r="D854" t="s">
        <v>528</v>
      </c>
      <c r="E854" t="s">
        <v>1376</v>
      </c>
      <c r="F854" s="381" t="s">
        <v>2012</v>
      </c>
      <c r="G854" t="s">
        <v>8915</v>
      </c>
    </row>
    <row r="855" spans="2:7">
      <c r="B855" s="871">
        <v>46282</v>
      </c>
      <c r="C855" t="s">
        <v>2486</v>
      </c>
      <c r="D855" t="s">
        <v>528</v>
      </c>
      <c r="E855" t="s">
        <v>1376</v>
      </c>
      <c r="F855" s="381" t="s">
        <v>2013</v>
      </c>
      <c r="G855" t="s">
        <v>8916</v>
      </c>
    </row>
    <row r="856" spans="2:7">
      <c r="B856" s="871">
        <v>46282</v>
      </c>
      <c r="C856" t="s">
        <v>2486</v>
      </c>
      <c r="D856" t="s">
        <v>528</v>
      </c>
      <c r="E856" t="s">
        <v>1376</v>
      </c>
      <c r="F856" s="381" t="s">
        <v>1836</v>
      </c>
      <c r="G856" t="s">
        <v>8917</v>
      </c>
    </row>
    <row r="857" spans="2:7">
      <c r="B857" s="871">
        <v>46282</v>
      </c>
      <c r="C857" t="s">
        <v>2486</v>
      </c>
      <c r="D857" t="s">
        <v>528</v>
      </c>
      <c r="E857" t="s">
        <v>1376</v>
      </c>
      <c r="F857" s="381" t="s">
        <v>2014</v>
      </c>
      <c r="G857" t="s">
        <v>8918</v>
      </c>
    </row>
    <row r="858" spans="2:7">
      <c r="B858" s="871">
        <v>46282</v>
      </c>
      <c r="C858" t="s">
        <v>2486</v>
      </c>
      <c r="D858" t="s">
        <v>528</v>
      </c>
      <c r="E858" t="s">
        <v>1376</v>
      </c>
      <c r="F858" s="381" t="s">
        <v>2015</v>
      </c>
      <c r="G858" t="s">
        <v>8919</v>
      </c>
    </row>
    <row r="859" spans="2:7">
      <c r="B859" s="871">
        <v>46282</v>
      </c>
      <c r="C859" t="s">
        <v>2486</v>
      </c>
      <c r="D859" t="s">
        <v>528</v>
      </c>
      <c r="E859" t="s">
        <v>1376</v>
      </c>
      <c r="F859" s="381" t="s">
        <v>2016</v>
      </c>
      <c r="G859" t="s">
        <v>8920</v>
      </c>
    </row>
    <row r="860" spans="2:7">
      <c r="B860" s="871">
        <v>46282</v>
      </c>
      <c r="C860" t="s">
        <v>2486</v>
      </c>
      <c r="D860" t="s">
        <v>528</v>
      </c>
      <c r="E860" t="s">
        <v>1410</v>
      </c>
      <c r="F860" s="381" t="s">
        <v>1433</v>
      </c>
      <c r="G860" t="s">
        <v>8921</v>
      </c>
    </row>
    <row r="861" spans="2:7">
      <c r="B861" s="871">
        <v>46282</v>
      </c>
      <c r="C861" t="s">
        <v>2486</v>
      </c>
      <c r="D861" t="s">
        <v>528</v>
      </c>
      <c r="E861" t="s">
        <v>1410</v>
      </c>
      <c r="F861" s="381" t="s">
        <v>2017</v>
      </c>
      <c r="G861" t="s">
        <v>8922</v>
      </c>
    </row>
    <row r="862" spans="2:7">
      <c r="B862" s="871">
        <v>46282</v>
      </c>
      <c r="C862" t="s">
        <v>2486</v>
      </c>
      <c r="D862" t="s">
        <v>528</v>
      </c>
      <c r="E862" t="s">
        <v>1410</v>
      </c>
      <c r="F862" s="381" t="s">
        <v>2018</v>
      </c>
      <c r="G862" t="s">
        <v>8923</v>
      </c>
    </row>
    <row r="863" spans="2:7">
      <c r="B863" s="871">
        <v>46282</v>
      </c>
      <c r="C863" t="s">
        <v>2486</v>
      </c>
      <c r="D863" t="s">
        <v>528</v>
      </c>
      <c r="E863" t="s">
        <v>1410</v>
      </c>
      <c r="F863" s="381" t="s">
        <v>1942</v>
      </c>
      <c r="G863" t="s">
        <v>8924</v>
      </c>
    </row>
    <row r="864" spans="2:7">
      <c r="B864" s="871">
        <v>46282</v>
      </c>
      <c r="C864" t="s">
        <v>2486</v>
      </c>
      <c r="D864" t="s">
        <v>528</v>
      </c>
      <c r="E864" t="s">
        <v>1410</v>
      </c>
      <c r="F864" s="381" t="s">
        <v>2019</v>
      </c>
      <c r="G864" t="s">
        <v>8925</v>
      </c>
    </row>
    <row r="865" spans="2:7">
      <c r="B865" s="871">
        <v>46282</v>
      </c>
      <c r="C865" t="s">
        <v>2486</v>
      </c>
      <c r="D865" t="s">
        <v>528</v>
      </c>
      <c r="E865" t="s">
        <v>1410</v>
      </c>
      <c r="F865" s="381" t="s">
        <v>1944</v>
      </c>
      <c r="G865" t="s">
        <v>8926</v>
      </c>
    </row>
    <row r="866" spans="2:7">
      <c r="B866" s="871">
        <v>46282</v>
      </c>
      <c r="C866" t="s">
        <v>2486</v>
      </c>
      <c r="D866" t="s">
        <v>528</v>
      </c>
      <c r="E866" t="s">
        <v>1410</v>
      </c>
      <c r="F866" s="381" t="s">
        <v>2020</v>
      </c>
      <c r="G866" t="s">
        <v>8927</v>
      </c>
    </row>
    <row r="867" spans="2:7">
      <c r="B867" s="871">
        <v>46282</v>
      </c>
      <c r="C867" t="s">
        <v>2486</v>
      </c>
      <c r="D867" t="s">
        <v>528</v>
      </c>
      <c r="E867" t="s">
        <v>1410</v>
      </c>
      <c r="F867" s="381" t="s">
        <v>1946</v>
      </c>
      <c r="G867" t="s">
        <v>8928</v>
      </c>
    </row>
    <row r="868" spans="2:7">
      <c r="B868" s="871">
        <v>46282</v>
      </c>
      <c r="C868" t="s">
        <v>2486</v>
      </c>
      <c r="D868" t="s">
        <v>528</v>
      </c>
      <c r="E868" t="s">
        <v>1393</v>
      </c>
      <c r="F868" s="381" t="s">
        <v>2021</v>
      </c>
      <c r="G868" t="s">
        <v>8929</v>
      </c>
    </row>
    <row r="869" spans="2:7">
      <c r="B869" s="871">
        <v>46282</v>
      </c>
      <c r="C869" t="s">
        <v>2486</v>
      </c>
      <c r="D869" t="s">
        <v>528</v>
      </c>
      <c r="E869" t="s">
        <v>1393</v>
      </c>
      <c r="F869" s="381" t="s">
        <v>1523</v>
      </c>
      <c r="G869" t="s">
        <v>8930</v>
      </c>
    </row>
    <row r="870" spans="2:7">
      <c r="B870" s="871">
        <v>46282</v>
      </c>
      <c r="C870" t="s">
        <v>2486</v>
      </c>
      <c r="D870" t="s">
        <v>528</v>
      </c>
      <c r="E870" t="s">
        <v>1393</v>
      </c>
      <c r="F870" s="381" t="s">
        <v>1524</v>
      </c>
      <c r="G870" t="s">
        <v>8931</v>
      </c>
    </row>
    <row r="871" spans="2:7">
      <c r="B871" s="871">
        <v>46282</v>
      </c>
      <c r="C871" t="s">
        <v>2486</v>
      </c>
      <c r="D871" t="s">
        <v>528</v>
      </c>
      <c r="E871" t="s">
        <v>1393</v>
      </c>
      <c r="F871" s="381" t="s">
        <v>1525</v>
      </c>
      <c r="G871" t="s">
        <v>8932</v>
      </c>
    </row>
    <row r="872" spans="2:7">
      <c r="B872" s="871">
        <v>46282</v>
      </c>
      <c r="C872" t="s">
        <v>2486</v>
      </c>
      <c r="D872" t="s">
        <v>528</v>
      </c>
      <c r="E872" t="s">
        <v>1393</v>
      </c>
      <c r="F872" s="381" t="s">
        <v>2022</v>
      </c>
      <c r="G872" t="s">
        <v>8933</v>
      </c>
    </row>
    <row r="873" spans="2:7">
      <c r="B873" s="871">
        <v>46282</v>
      </c>
      <c r="C873" t="s">
        <v>2486</v>
      </c>
      <c r="D873" t="s">
        <v>528</v>
      </c>
      <c r="E873" t="s">
        <v>1393</v>
      </c>
      <c r="F873" s="381" t="s">
        <v>2023</v>
      </c>
      <c r="G873" t="s">
        <v>8934</v>
      </c>
    </row>
    <row r="874" spans="2:7">
      <c r="B874" s="871">
        <v>46282</v>
      </c>
      <c r="C874" t="s">
        <v>2486</v>
      </c>
      <c r="D874" t="s">
        <v>528</v>
      </c>
      <c r="E874" t="s">
        <v>1393</v>
      </c>
      <c r="F874" s="381" t="s">
        <v>2024</v>
      </c>
      <c r="G874" t="s">
        <v>8935</v>
      </c>
    </row>
    <row r="875" spans="2:7">
      <c r="B875" s="871">
        <v>46282</v>
      </c>
      <c r="C875" t="s">
        <v>2486</v>
      </c>
      <c r="D875" t="s">
        <v>528</v>
      </c>
      <c r="E875" t="s">
        <v>1393</v>
      </c>
      <c r="F875" s="381" t="s">
        <v>2025</v>
      </c>
      <c r="G875" t="s">
        <v>8936</v>
      </c>
    </row>
    <row r="876" spans="2:7">
      <c r="B876" s="871">
        <v>46282</v>
      </c>
      <c r="C876" t="s">
        <v>2486</v>
      </c>
      <c r="D876" t="s">
        <v>528</v>
      </c>
      <c r="E876" t="s">
        <v>1393</v>
      </c>
      <c r="F876" s="381" t="s">
        <v>2026</v>
      </c>
      <c r="G876" t="s">
        <v>8937</v>
      </c>
    </row>
    <row r="877" spans="2:7">
      <c r="B877" s="871">
        <v>46282</v>
      </c>
      <c r="C877" t="s">
        <v>2486</v>
      </c>
      <c r="D877" t="s">
        <v>528</v>
      </c>
      <c r="E877" t="s">
        <v>1434</v>
      </c>
      <c r="F877" s="381" t="s">
        <v>2027</v>
      </c>
      <c r="G877" t="s">
        <v>8938</v>
      </c>
    </row>
    <row r="878" spans="2:7">
      <c r="B878" s="871">
        <v>46282</v>
      </c>
      <c r="C878" t="s">
        <v>2486</v>
      </c>
      <c r="D878" t="s">
        <v>528</v>
      </c>
      <c r="E878" t="s">
        <v>1434</v>
      </c>
      <c r="F878" s="381" t="s">
        <v>10077</v>
      </c>
      <c r="G878" t="s">
        <v>8939</v>
      </c>
    </row>
    <row r="879" spans="2:7">
      <c r="B879" s="871">
        <v>46282</v>
      </c>
      <c r="C879" t="s">
        <v>2486</v>
      </c>
      <c r="D879" t="s">
        <v>528</v>
      </c>
      <c r="E879" t="s">
        <v>1434</v>
      </c>
      <c r="F879" s="381" t="s">
        <v>10078</v>
      </c>
      <c r="G879" t="s">
        <v>8940</v>
      </c>
    </row>
    <row r="880" spans="2:7">
      <c r="B880" s="871">
        <v>46282</v>
      </c>
      <c r="C880" t="s">
        <v>2486</v>
      </c>
      <c r="D880" t="s">
        <v>528</v>
      </c>
      <c r="E880" t="s">
        <v>1434</v>
      </c>
      <c r="F880" s="381" t="s">
        <v>2028</v>
      </c>
      <c r="G880" t="s">
        <v>8941</v>
      </c>
    </row>
    <row r="881" spans="2:7">
      <c r="B881" s="871">
        <v>46282</v>
      </c>
      <c r="C881" t="s">
        <v>2486</v>
      </c>
      <c r="D881" t="s">
        <v>528</v>
      </c>
      <c r="E881" t="s">
        <v>1434</v>
      </c>
      <c r="F881" s="381" t="s">
        <v>2029</v>
      </c>
      <c r="G881" t="s">
        <v>8942</v>
      </c>
    </row>
    <row r="882" spans="2:7">
      <c r="B882" s="871">
        <v>46282</v>
      </c>
      <c r="C882" t="s">
        <v>2486</v>
      </c>
      <c r="D882" t="s">
        <v>528</v>
      </c>
      <c r="E882" t="s">
        <v>1434</v>
      </c>
      <c r="F882" s="381" t="s">
        <v>10079</v>
      </c>
      <c r="G882" t="s">
        <v>8943</v>
      </c>
    </row>
    <row r="883" spans="2:7">
      <c r="B883" s="871">
        <v>46282</v>
      </c>
      <c r="C883" t="s">
        <v>2486</v>
      </c>
      <c r="D883" t="s">
        <v>528</v>
      </c>
      <c r="E883" t="s">
        <v>1434</v>
      </c>
      <c r="F883" s="381" t="s">
        <v>2186</v>
      </c>
      <c r="G883" t="s">
        <v>8944</v>
      </c>
    </row>
    <row r="884" spans="2:7" ht="105">
      <c r="B884" s="871">
        <v>46283</v>
      </c>
      <c r="C884" t="s">
        <v>2487</v>
      </c>
      <c r="D884" t="s">
        <v>526</v>
      </c>
      <c r="E884" t="s">
        <v>1375</v>
      </c>
      <c r="F884" s="381" t="s">
        <v>2041</v>
      </c>
      <c r="G884" t="s">
        <v>8945</v>
      </c>
    </row>
    <row r="885" spans="2:7" ht="60">
      <c r="B885" s="871">
        <v>46283</v>
      </c>
      <c r="C885" t="s">
        <v>2487</v>
      </c>
      <c r="D885" t="s">
        <v>526</v>
      </c>
      <c r="E885" t="s">
        <v>1454</v>
      </c>
      <c r="F885" s="381" t="s">
        <v>1879</v>
      </c>
      <c r="G885" t="s">
        <v>8946</v>
      </c>
    </row>
    <row r="886" spans="2:7" ht="60">
      <c r="B886" s="871">
        <v>46283</v>
      </c>
      <c r="C886" t="s">
        <v>2487</v>
      </c>
      <c r="D886" t="s">
        <v>526</v>
      </c>
      <c r="E886" t="s">
        <v>1458</v>
      </c>
      <c r="F886" s="381" t="s">
        <v>1666</v>
      </c>
      <c r="G886" t="s">
        <v>8947</v>
      </c>
    </row>
    <row r="887" spans="2:7">
      <c r="B887" s="871">
        <v>46283</v>
      </c>
      <c r="C887" t="s">
        <v>2487</v>
      </c>
      <c r="D887" t="s">
        <v>526</v>
      </c>
      <c r="E887" t="s">
        <v>1462</v>
      </c>
      <c r="F887" s="381" t="s">
        <v>1667</v>
      </c>
      <c r="G887" t="s">
        <v>8948</v>
      </c>
    </row>
    <row r="888" spans="2:7" ht="135">
      <c r="B888" s="871">
        <v>46283</v>
      </c>
      <c r="C888" t="s">
        <v>2487</v>
      </c>
      <c r="D888" t="s">
        <v>526</v>
      </c>
      <c r="E888" t="s">
        <v>1376</v>
      </c>
      <c r="F888" s="381" t="s">
        <v>2042</v>
      </c>
      <c r="G888" t="s">
        <v>8949</v>
      </c>
    </row>
    <row r="889" spans="2:7" ht="135">
      <c r="B889" s="871">
        <v>46283</v>
      </c>
      <c r="C889" t="s">
        <v>2487</v>
      </c>
      <c r="D889" t="s">
        <v>526</v>
      </c>
      <c r="E889" t="s">
        <v>1393</v>
      </c>
      <c r="F889" s="381" t="s">
        <v>2043</v>
      </c>
      <c r="G889" t="s">
        <v>8950</v>
      </c>
    </row>
    <row r="890" spans="2:7" ht="30">
      <c r="B890" s="871">
        <v>46283</v>
      </c>
      <c r="C890" t="s">
        <v>2487</v>
      </c>
      <c r="D890" t="s">
        <v>526</v>
      </c>
      <c r="E890" t="s">
        <v>1465</v>
      </c>
      <c r="F890" s="381" t="s">
        <v>2044</v>
      </c>
      <c r="G890" t="s">
        <v>8951</v>
      </c>
    </row>
    <row r="891" spans="2:7" ht="409.5">
      <c r="B891" s="871">
        <v>46283</v>
      </c>
      <c r="C891" t="s">
        <v>2487</v>
      </c>
      <c r="D891" t="s">
        <v>526</v>
      </c>
      <c r="E891" t="s">
        <v>1434</v>
      </c>
      <c r="F891" s="381" t="s">
        <v>1810</v>
      </c>
      <c r="G891" t="s">
        <v>8952</v>
      </c>
    </row>
    <row r="892" spans="2:7" ht="150">
      <c r="B892" s="871">
        <v>46283</v>
      </c>
      <c r="C892" t="s">
        <v>2487</v>
      </c>
      <c r="D892" t="s">
        <v>527</v>
      </c>
      <c r="E892" t="s">
        <v>1375</v>
      </c>
      <c r="F892" s="381" t="s">
        <v>2045</v>
      </c>
      <c r="G892" t="s">
        <v>8953</v>
      </c>
    </row>
    <row r="893" spans="2:7" ht="165">
      <c r="B893" s="871">
        <v>46283</v>
      </c>
      <c r="C893" t="s">
        <v>2487</v>
      </c>
      <c r="D893" t="s">
        <v>527</v>
      </c>
      <c r="E893" t="s">
        <v>1454</v>
      </c>
      <c r="F893" s="381" t="s">
        <v>2046</v>
      </c>
      <c r="G893" t="s">
        <v>8954</v>
      </c>
    </row>
    <row r="894" spans="2:7" ht="60">
      <c r="B894" s="871">
        <v>46283</v>
      </c>
      <c r="C894" t="s">
        <v>2487</v>
      </c>
      <c r="D894" t="s">
        <v>527</v>
      </c>
      <c r="E894" t="s">
        <v>1472</v>
      </c>
      <c r="F894" s="381" t="s">
        <v>2047</v>
      </c>
      <c r="G894" t="s">
        <v>8955</v>
      </c>
    </row>
    <row r="895" spans="2:7">
      <c r="B895" s="871">
        <v>46283</v>
      </c>
      <c r="C895" t="s">
        <v>2487</v>
      </c>
      <c r="D895" t="s">
        <v>527</v>
      </c>
      <c r="E895" t="s">
        <v>1474</v>
      </c>
      <c r="F895" s="381" t="s">
        <v>1475</v>
      </c>
      <c r="G895" t="s">
        <v>8956</v>
      </c>
    </row>
    <row r="896" spans="2:7" ht="135">
      <c r="B896" s="871">
        <v>46283</v>
      </c>
      <c r="C896" t="s">
        <v>2487</v>
      </c>
      <c r="D896" t="s">
        <v>527</v>
      </c>
      <c r="E896" t="s">
        <v>1474</v>
      </c>
      <c r="F896" s="381" t="s">
        <v>2048</v>
      </c>
      <c r="G896" t="s">
        <v>8957</v>
      </c>
    </row>
    <row r="897" spans="2:7" ht="165">
      <c r="B897" s="871">
        <v>46283</v>
      </c>
      <c r="C897" t="s">
        <v>2487</v>
      </c>
      <c r="D897" t="s">
        <v>527</v>
      </c>
      <c r="E897" t="s">
        <v>1393</v>
      </c>
      <c r="F897" s="381" t="s">
        <v>2049</v>
      </c>
      <c r="G897" t="s">
        <v>8958</v>
      </c>
    </row>
    <row r="898" spans="2:7" ht="285">
      <c r="B898" s="871">
        <v>46283</v>
      </c>
      <c r="C898" t="s">
        <v>2487</v>
      </c>
      <c r="D898" t="s">
        <v>527</v>
      </c>
      <c r="E898" t="s">
        <v>1410</v>
      </c>
      <c r="F898" s="381" t="s">
        <v>2050</v>
      </c>
      <c r="G898" t="s">
        <v>8959</v>
      </c>
    </row>
    <row r="899" spans="2:7" ht="409.5">
      <c r="B899" s="871">
        <v>46283</v>
      </c>
      <c r="C899" t="s">
        <v>2487</v>
      </c>
      <c r="D899" t="s">
        <v>527</v>
      </c>
      <c r="E899" t="s">
        <v>1434</v>
      </c>
      <c r="F899" s="381" t="s">
        <v>2051</v>
      </c>
      <c r="G899" t="s">
        <v>8960</v>
      </c>
    </row>
    <row r="900" spans="2:7">
      <c r="B900" s="871">
        <v>46283</v>
      </c>
      <c r="C900" t="s">
        <v>2487</v>
      </c>
      <c r="D900" t="s">
        <v>528</v>
      </c>
      <c r="E900" t="s">
        <v>1375</v>
      </c>
      <c r="F900" s="381" t="s">
        <v>2052</v>
      </c>
      <c r="G900" t="s">
        <v>8961</v>
      </c>
    </row>
    <row r="901" spans="2:7">
      <c r="B901" s="871">
        <v>46283</v>
      </c>
      <c r="C901" t="s">
        <v>2487</v>
      </c>
      <c r="D901" t="s">
        <v>528</v>
      </c>
      <c r="E901" t="s">
        <v>1375</v>
      </c>
      <c r="F901" s="381" t="s">
        <v>2053</v>
      </c>
      <c r="G901" t="s">
        <v>8962</v>
      </c>
    </row>
    <row r="902" spans="2:7">
      <c r="B902" s="871">
        <v>46283</v>
      </c>
      <c r="C902" t="s">
        <v>2487</v>
      </c>
      <c r="D902" t="s">
        <v>528</v>
      </c>
      <c r="E902" t="s">
        <v>1375</v>
      </c>
      <c r="F902" s="381" t="s">
        <v>2054</v>
      </c>
      <c r="G902" t="s">
        <v>8963</v>
      </c>
    </row>
    <row r="903" spans="2:7">
      <c r="B903" s="871">
        <v>46283</v>
      </c>
      <c r="C903" t="s">
        <v>2487</v>
      </c>
      <c r="D903" t="s">
        <v>528</v>
      </c>
      <c r="E903" t="s">
        <v>1454</v>
      </c>
      <c r="F903" s="381" t="s">
        <v>2055</v>
      </c>
      <c r="G903" t="s">
        <v>8964</v>
      </c>
    </row>
    <row r="904" spans="2:7" ht="30">
      <c r="B904" s="871">
        <v>46283</v>
      </c>
      <c r="C904" t="s">
        <v>2487</v>
      </c>
      <c r="D904" t="s">
        <v>528</v>
      </c>
      <c r="E904" t="s">
        <v>1454</v>
      </c>
      <c r="F904" s="381" t="s">
        <v>2056</v>
      </c>
      <c r="G904" t="s">
        <v>8965</v>
      </c>
    </row>
    <row r="905" spans="2:7">
      <c r="B905" s="871">
        <v>46283</v>
      </c>
      <c r="C905" t="s">
        <v>2487</v>
      </c>
      <c r="D905" t="s">
        <v>528</v>
      </c>
      <c r="E905" t="s">
        <v>1454</v>
      </c>
      <c r="F905" s="381" t="s">
        <v>2057</v>
      </c>
      <c r="G905" t="s">
        <v>8966</v>
      </c>
    </row>
    <row r="906" spans="2:7">
      <c r="B906" s="871">
        <v>46283</v>
      </c>
      <c r="C906" t="s">
        <v>2487</v>
      </c>
      <c r="D906" t="s">
        <v>528</v>
      </c>
      <c r="E906" t="s">
        <v>1458</v>
      </c>
      <c r="F906" s="381" t="s">
        <v>2058</v>
      </c>
      <c r="G906" t="s">
        <v>8967</v>
      </c>
    </row>
    <row r="907" spans="2:7">
      <c r="B907" s="871">
        <v>46283</v>
      </c>
      <c r="C907" t="s">
        <v>2487</v>
      </c>
      <c r="D907" t="s">
        <v>528</v>
      </c>
      <c r="E907" t="s">
        <v>1458</v>
      </c>
      <c r="F907" s="381" t="s">
        <v>2059</v>
      </c>
      <c r="G907" t="s">
        <v>8968</v>
      </c>
    </row>
    <row r="908" spans="2:7">
      <c r="B908" s="871">
        <v>46283</v>
      </c>
      <c r="C908" t="s">
        <v>2487</v>
      </c>
      <c r="D908" t="s">
        <v>528</v>
      </c>
      <c r="E908" t="s">
        <v>1376</v>
      </c>
      <c r="F908" s="381" t="s">
        <v>2012</v>
      </c>
      <c r="G908" t="s">
        <v>8969</v>
      </c>
    </row>
    <row r="909" spans="2:7">
      <c r="B909" s="871">
        <v>46283</v>
      </c>
      <c r="C909" t="s">
        <v>2487</v>
      </c>
      <c r="D909" t="s">
        <v>528</v>
      </c>
      <c r="E909" t="s">
        <v>1376</v>
      </c>
      <c r="F909" s="381" t="s">
        <v>2060</v>
      </c>
      <c r="G909" t="s">
        <v>8970</v>
      </c>
    </row>
    <row r="910" spans="2:7">
      <c r="B910" s="871">
        <v>46283</v>
      </c>
      <c r="C910" t="s">
        <v>2487</v>
      </c>
      <c r="D910" t="s">
        <v>528</v>
      </c>
      <c r="E910" t="s">
        <v>1376</v>
      </c>
      <c r="F910" s="381" t="s">
        <v>2061</v>
      </c>
      <c r="G910" t="s">
        <v>8971</v>
      </c>
    </row>
    <row r="911" spans="2:7">
      <c r="B911" s="871">
        <v>46283</v>
      </c>
      <c r="C911" t="s">
        <v>2487</v>
      </c>
      <c r="D911" t="s">
        <v>528</v>
      </c>
      <c r="E911" t="s">
        <v>1376</v>
      </c>
      <c r="F911" s="381" t="s">
        <v>2016</v>
      </c>
      <c r="G911" t="s">
        <v>8972</v>
      </c>
    </row>
    <row r="912" spans="2:7">
      <c r="B912" s="871">
        <v>46283</v>
      </c>
      <c r="C912" t="s">
        <v>2487</v>
      </c>
      <c r="D912" t="s">
        <v>528</v>
      </c>
      <c r="E912" t="s">
        <v>1410</v>
      </c>
      <c r="F912" s="381" t="s">
        <v>1433</v>
      </c>
      <c r="G912" t="s">
        <v>8973</v>
      </c>
    </row>
    <row r="913" spans="2:7">
      <c r="B913" s="871">
        <v>46283</v>
      </c>
      <c r="C913" t="s">
        <v>2487</v>
      </c>
      <c r="D913" t="s">
        <v>528</v>
      </c>
      <c r="E913" t="s">
        <v>1410</v>
      </c>
      <c r="F913" s="381" t="s">
        <v>2062</v>
      </c>
      <c r="G913" t="s">
        <v>8974</v>
      </c>
    </row>
    <row r="914" spans="2:7">
      <c r="B914" s="871">
        <v>46283</v>
      </c>
      <c r="C914" t="s">
        <v>2487</v>
      </c>
      <c r="D914" t="s">
        <v>528</v>
      </c>
      <c r="E914" t="s">
        <v>1410</v>
      </c>
      <c r="F914" s="381" t="s">
        <v>2063</v>
      </c>
      <c r="G914" t="s">
        <v>8975</v>
      </c>
    </row>
    <row r="915" spans="2:7">
      <c r="B915" s="871">
        <v>46283</v>
      </c>
      <c r="C915" t="s">
        <v>2487</v>
      </c>
      <c r="D915" t="s">
        <v>528</v>
      </c>
      <c r="E915" t="s">
        <v>1410</v>
      </c>
      <c r="F915" s="381" t="s">
        <v>1942</v>
      </c>
      <c r="G915" t="s">
        <v>8976</v>
      </c>
    </row>
    <row r="916" spans="2:7">
      <c r="B916" s="871">
        <v>46283</v>
      </c>
      <c r="C916" t="s">
        <v>2487</v>
      </c>
      <c r="D916" t="s">
        <v>528</v>
      </c>
      <c r="E916" t="s">
        <v>1410</v>
      </c>
      <c r="F916" s="381" t="s">
        <v>2019</v>
      </c>
      <c r="G916" t="s">
        <v>8977</v>
      </c>
    </row>
    <row r="917" spans="2:7">
      <c r="B917" s="871">
        <v>46283</v>
      </c>
      <c r="C917" t="s">
        <v>2487</v>
      </c>
      <c r="D917" t="s">
        <v>528</v>
      </c>
      <c r="E917" t="s">
        <v>1410</v>
      </c>
      <c r="F917" s="381" t="s">
        <v>2064</v>
      </c>
      <c r="G917" t="s">
        <v>8978</v>
      </c>
    </row>
    <row r="918" spans="2:7">
      <c r="B918" s="871">
        <v>46283</v>
      </c>
      <c r="C918" t="s">
        <v>2487</v>
      </c>
      <c r="D918" t="s">
        <v>528</v>
      </c>
      <c r="E918" t="s">
        <v>1410</v>
      </c>
      <c r="F918" s="381" t="s">
        <v>2065</v>
      </c>
      <c r="G918" t="s">
        <v>8979</v>
      </c>
    </row>
    <row r="919" spans="2:7">
      <c r="B919" s="871">
        <v>46283</v>
      </c>
      <c r="C919" t="s">
        <v>2487</v>
      </c>
      <c r="D919" t="s">
        <v>528</v>
      </c>
      <c r="E919" t="s">
        <v>1410</v>
      </c>
      <c r="F919" s="381" t="s">
        <v>1946</v>
      </c>
      <c r="G919" t="s">
        <v>8980</v>
      </c>
    </row>
    <row r="920" spans="2:7">
      <c r="B920" s="871">
        <v>46283</v>
      </c>
      <c r="C920" t="s">
        <v>2487</v>
      </c>
      <c r="D920" t="s">
        <v>528</v>
      </c>
      <c r="E920" t="s">
        <v>1393</v>
      </c>
      <c r="F920" s="381" t="s">
        <v>2066</v>
      </c>
      <c r="G920" t="s">
        <v>8981</v>
      </c>
    </row>
    <row r="921" spans="2:7">
      <c r="B921" s="871">
        <v>46283</v>
      </c>
      <c r="C921" t="s">
        <v>2487</v>
      </c>
      <c r="D921" t="s">
        <v>528</v>
      </c>
      <c r="E921" t="s">
        <v>1393</v>
      </c>
      <c r="F921" s="381" t="s">
        <v>1523</v>
      </c>
      <c r="G921" t="s">
        <v>8982</v>
      </c>
    </row>
    <row r="922" spans="2:7">
      <c r="B922" s="871">
        <v>46283</v>
      </c>
      <c r="C922" t="s">
        <v>2487</v>
      </c>
      <c r="D922" t="s">
        <v>528</v>
      </c>
      <c r="E922" t="s">
        <v>1393</v>
      </c>
      <c r="F922" s="381" t="s">
        <v>1524</v>
      </c>
      <c r="G922" t="s">
        <v>8983</v>
      </c>
    </row>
    <row r="923" spans="2:7">
      <c r="B923" s="871">
        <v>46283</v>
      </c>
      <c r="C923" t="s">
        <v>2487</v>
      </c>
      <c r="D923" t="s">
        <v>528</v>
      </c>
      <c r="E923" t="s">
        <v>1393</v>
      </c>
      <c r="F923" s="381" t="s">
        <v>1652</v>
      </c>
      <c r="G923" t="s">
        <v>8984</v>
      </c>
    </row>
    <row r="924" spans="2:7">
      <c r="B924" s="871">
        <v>46283</v>
      </c>
      <c r="C924" t="s">
        <v>2487</v>
      </c>
      <c r="D924" t="s">
        <v>528</v>
      </c>
      <c r="E924" t="s">
        <v>1393</v>
      </c>
      <c r="F924" s="381" t="s">
        <v>2067</v>
      </c>
      <c r="G924" t="s">
        <v>8985</v>
      </c>
    </row>
    <row r="925" spans="2:7">
      <c r="B925" s="871">
        <v>46283</v>
      </c>
      <c r="C925" t="s">
        <v>2487</v>
      </c>
      <c r="D925" t="s">
        <v>528</v>
      </c>
      <c r="E925" t="s">
        <v>1393</v>
      </c>
      <c r="F925" s="381" t="s">
        <v>2068</v>
      </c>
      <c r="G925" t="s">
        <v>8986</v>
      </c>
    </row>
    <row r="926" spans="2:7">
      <c r="B926" s="871">
        <v>46283</v>
      </c>
      <c r="C926" t="s">
        <v>2487</v>
      </c>
      <c r="D926" t="s">
        <v>528</v>
      </c>
      <c r="E926" t="s">
        <v>1393</v>
      </c>
      <c r="F926" s="381" t="s">
        <v>1620</v>
      </c>
      <c r="G926" t="s">
        <v>8987</v>
      </c>
    </row>
    <row r="927" spans="2:7">
      <c r="B927" s="871">
        <v>46283</v>
      </c>
      <c r="C927" t="s">
        <v>2487</v>
      </c>
      <c r="D927" t="s">
        <v>528</v>
      </c>
      <c r="E927" t="s">
        <v>1393</v>
      </c>
      <c r="F927" s="381" t="s">
        <v>2069</v>
      </c>
      <c r="G927" t="s">
        <v>8988</v>
      </c>
    </row>
    <row r="928" spans="2:7">
      <c r="B928" s="871">
        <v>46283</v>
      </c>
      <c r="C928" t="s">
        <v>2487</v>
      </c>
      <c r="D928" t="s">
        <v>528</v>
      </c>
      <c r="E928" t="s">
        <v>1393</v>
      </c>
      <c r="F928" s="381" t="s">
        <v>2070</v>
      </c>
      <c r="G928" t="s">
        <v>8989</v>
      </c>
    </row>
    <row r="929" spans="2:7">
      <c r="B929" s="871">
        <v>46283</v>
      </c>
      <c r="C929" t="s">
        <v>2487</v>
      </c>
      <c r="D929" t="s">
        <v>528</v>
      </c>
      <c r="E929" t="s">
        <v>1434</v>
      </c>
      <c r="F929" s="381" t="s">
        <v>2037</v>
      </c>
      <c r="G929" t="s">
        <v>8990</v>
      </c>
    </row>
    <row r="930" spans="2:7">
      <c r="B930" s="871">
        <v>46283</v>
      </c>
      <c r="C930" t="s">
        <v>2487</v>
      </c>
      <c r="D930" t="s">
        <v>528</v>
      </c>
      <c r="E930" t="s">
        <v>1434</v>
      </c>
      <c r="F930" s="381" t="s">
        <v>2038</v>
      </c>
      <c r="G930" t="s">
        <v>8991</v>
      </c>
    </row>
    <row r="931" spans="2:7">
      <c r="B931" s="871">
        <v>46283</v>
      </c>
      <c r="C931" t="s">
        <v>2487</v>
      </c>
      <c r="D931" t="s">
        <v>528</v>
      </c>
      <c r="E931" t="s">
        <v>1434</v>
      </c>
      <c r="F931" s="381" t="s">
        <v>2071</v>
      </c>
      <c r="G931" t="s">
        <v>8992</v>
      </c>
    </row>
    <row r="932" spans="2:7">
      <c r="B932" s="871">
        <v>46283</v>
      </c>
      <c r="C932" t="s">
        <v>2487</v>
      </c>
      <c r="D932" t="s">
        <v>528</v>
      </c>
      <c r="E932" t="s">
        <v>1434</v>
      </c>
      <c r="F932" s="381" t="s">
        <v>2039</v>
      </c>
      <c r="G932" t="s">
        <v>8993</v>
      </c>
    </row>
    <row r="933" spans="2:7">
      <c r="B933" s="871">
        <v>46283</v>
      </c>
      <c r="C933" t="s">
        <v>2487</v>
      </c>
      <c r="D933" t="s">
        <v>528</v>
      </c>
      <c r="E933" t="s">
        <v>1434</v>
      </c>
      <c r="F933" s="381" t="s">
        <v>2072</v>
      </c>
      <c r="G933" t="s">
        <v>8994</v>
      </c>
    </row>
    <row r="934" spans="2:7">
      <c r="B934" s="871">
        <v>46283</v>
      </c>
      <c r="C934" t="s">
        <v>2487</v>
      </c>
      <c r="D934" t="s">
        <v>528</v>
      </c>
      <c r="E934" t="s">
        <v>1434</v>
      </c>
      <c r="F934" s="381" t="s">
        <v>2073</v>
      </c>
      <c r="G934" t="s">
        <v>8995</v>
      </c>
    </row>
    <row r="935" spans="2:7">
      <c r="B935" s="871">
        <v>46283</v>
      </c>
      <c r="C935" t="s">
        <v>2487</v>
      </c>
      <c r="D935" t="s">
        <v>528</v>
      </c>
      <c r="E935" t="s">
        <v>1434</v>
      </c>
      <c r="F935" s="381" t="s">
        <v>2074</v>
      </c>
      <c r="G935" t="s">
        <v>8996</v>
      </c>
    </row>
    <row r="936" spans="2:7" ht="105">
      <c r="B936" s="871">
        <v>46284</v>
      </c>
      <c r="C936" t="s">
        <v>2488</v>
      </c>
      <c r="D936" t="s">
        <v>526</v>
      </c>
      <c r="E936" t="s">
        <v>1375</v>
      </c>
      <c r="F936" s="381" t="s">
        <v>2080</v>
      </c>
      <c r="G936" t="s">
        <v>8997</v>
      </c>
    </row>
    <row r="937" spans="2:7" ht="60">
      <c r="B937" s="871">
        <v>46284</v>
      </c>
      <c r="C937" t="s">
        <v>2488</v>
      </c>
      <c r="D937" t="s">
        <v>526</v>
      </c>
      <c r="E937" t="s">
        <v>1454</v>
      </c>
      <c r="F937" s="381" t="s">
        <v>1879</v>
      </c>
      <c r="G937" t="s">
        <v>8998</v>
      </c>
    </row>
    <row r="938" spans="2:7" ht="60">
      <c r="B938" s="871">
        <v>46284</v>
      </c>
      <c r="C938" t="s">
        <v>2488</v>
      </c>
      <c r="D938" t="s">
        <v>526</v>
      </c>
      <c r="E938" t="s">
        <v>1458</v>
      </c>
      <c r="F938" s="381" t="s">
        <v>1666</v>
      </c>
      <c r="G938" t="s">
        <v>8999</v>
      </c>
    </row>
    <row r="939" spans="2:7">
      <c r="B939" s="871">
        <v>46284</v>
      </c>
      <c r="C939" t="s">
        <v>2488</v>
      </c>
      <c r="D939" t="s">
        <v>526</v>
      </c>
      <c r="E939" t="s">
        <v>1462</v>
      </c>
      <c r="F939" s="381" t="s">
        <v>1667</v>
      </c>
      <c r="G939" t="s">
        <v>9000</v>
      </c>
    </row>
    <row r="940" spans="2:7" ht="135">
      <c r="B940" s="871">
        <v>46284</v>
      </c>
      <c r="C940" t="s">
        <v>2488</v>
      </c>
      <c r="D940" t="s">
        <v>526</v>
      </c>
      <c r="E940" t="s">
        <v>1376</v>
      </c>
      <c r="F940" s="381" t="s">
        <v>2042</v>
      </c>
      <c r="G940" t="s">
        <v>9001</v>
      </c>
    </row>
    <row r="941" spans="2:7" ht="135">
      <c r="B941" s="871">
        <v>46284</v>
      </c>
      <c r="C941" t="s">
        <v>2488</v>
      </c>
      <c r="D941" t="s">
        <v>526</v>
      </c>
      <c r="E941" t="s">
        <v>1393</v>
      </c>
      <c r="F941" s="381" t="s">
        <v>2043</v>
      </c>
      <c r="G941" t="s">
        <v>9002</v>
      </c>
    </row>
    <row r="942" spans="2:7" ht="30">
      <c r="B942" s="871">
        <v>46284</v>
      </c>
      <c r="C942" t="s">
        <v>2488</v>
      </c>
      <c r="D942" t="s">
        <v>526</v>
      </c>
      <c r="E942" t="s">
        <v>1465</v>
      </c>
      <c r="F942" s="381" t="s">
        <v>2044</v>
      </c>
      <c r="G942" t="s">
        <v>9003</v>
      </c>
    </row>
    <row r="943" spans="2:7" ht="409.5">
      <c r="B943" s="871">
        <v>46284</v>
      </c>
      <c r="C943" t="s">
        <v>2488</v>
      </c>
      <c r="D943" t="s">
        <v>526</v>
      </c>
      <c r="E943" t="s">
        <v>1434</v>
      </c>
      <c r="F943" s="381" t="s">
        <v>1810</v>
      </c>
      <c r="G943" t="s">
        <v>9004</v>
      </c>
    </row>
    <row r="944" spans="2:7" ht="150">
      <c r="B944" s="871">
        <v>46284</v>
      </c>
      <c r="C944" t="s">
        <v>2488</v>
      </c>
      <c r="D944" t="s">
        <v>527</v>
      </c>
      <c r="E944" t="s">
        <v>1375</v>
      </c>
      <c r="F944" s="381" t="s">
        <v>2081</v>
      </c>
      <c r="G944" t="s">
        <v>9005</v>
      </c>
    </row>
    <row r="945" spans="2:7" ht="150">
      <c r="B945" s="871">
        <v>46284</v>
      </c>
      <c r="C945" t="s">
        <v>2488</v>
      </c>
      <c r="D945" t="s">
        <v>527</v>
      </c>
      <c r="E945" t="s">
        <v>1454</v>
      </c>
      <c r="F945" s="381" t="s">
        <v>2082</v>
      </c>
      <c r="G945" t="s">
        <v>9006</v>
      </c>
    </row>
    <row r="946" spans="2:7" ht="45">
      <c r="B946" s="871">
        <v>46284</v>
      </c>
      <c r="C946" t="s">
        <v>2488</v>
      </c>
      <c r="D946" t="s">
        <v>527</v>
      </c>
      <c r="E946" t="s">
        <v>1472</v>
      </c>
      <c r="F946" s="381" t="s">
        <v>2083</v>
      </c>
      <c r="G946" t="s">
        <v>9007</v>
      </c>
    </row>
    <row r="947" spans="2:7" ht="105">
      <c r="B947" s="871">
        <v>46284</v>
      </c>
      <c r="C947" t="s">
        <v>2488</v>
      </c>
      <c r="D947" t="s">
        <v>527</v>
      </c>
      <c r="E947" t="s">
        <v>1474</v>
      </c>
      <c r="F947" s="381" t="s">
        <v>2084</v>
      </c>
      <c r="G947" t="s">
        <v>9008</v>
      </c>
    </row>
    <row r="948" spans="2:7" ht="165">
      <c r="B948" s="871">
        <v>46284</v>
      </c>
      <c r="C948" t="s">
        <v>2488</v>
      </c>
      <c r="D948" t="s">
        <v>527</v>
      </c>
      <c r="E948" t="s">
        <v>1393</v>
      </c>
      <c r="F948" s="381" t="s">
        <v>2085</v>
      </c>
      <c r="G948" t="s">
        <v>9009</v>
      </c>
    </row>
    <row r="949" spans="2:7" ht="285">
      <c r="B949" s="871">
        <v>46284</v>
      </c>
      <c r="C949" t="s">
        <v>2488</v>
      </c>
      <c r="D949" t="s">
        <v>527</v>
      </c>
      <c r="E949" t="s">
        <v>1410</v>
      </c>
      <c r="F949" s="381" t="s">
        <v>2086</v>
      </c>
      <c r="G949" t="s">
        <v>9010</v>
      </c>
    </row>
    <row r="950" spans="2:7" ht="409.5">
      <c r="B950" s="871">
        <v>46284</v>
      </c>
      <c r="C950" t="s">
        <v>2488</v>
      </c>
      <c r="D950" t="s">
        <v>527</v>
      </c>
      <c r="E950" t="s">
        <v>1434</v>
      </c>
      <c r="F950" s="381" t="s">
        <v>2087</v>
      </c>
      <c r="G950" t="s">
        <v>9011</v>
      </c>
    </row>
    <row r="951" spans="2:7">
      <c r="B951" s="871">
        <v>46284</v>
      </c>
      <c r="C951" t="s">
        <v>2488</v>
      </c>
      <c r="D951" t="s">
        <v>528</v>
      </c>
      <c r="E951" t="s">
        <v>1375</v>
      </c>
      <c r="F951" s="381" t="s">
        <v>2052</v>
      </c>
      <c r="G951" t="s">
        <v>9012</v>
      </c>
    </row>
    <row r="952" spans="2:7">
      <c r="B952" s="871">
        <v>46284</v>
      </c>
      <c r="C952" t="s">
        <v>2488</v>
      </c>
      <c r="D952" t="s">
        <v>528</v>
      </c>
      <c r="E952" t="s">
        <v>1375</v>
      </c>
      <c r="F952" s="381" t="s">
        <v>2088</v>
      </c>
      <c r="G952" t="s">
        <v>9013</v>
      </c>
    </row>
    <row r="953" spans="2:7">
      <c r="B953" s="871">
        <v>46284</v>
      </c>
      <c r="C953" t="s">
        <v>2488</v>
      </c>
      <c r="D953" t="s">
        <v>528</v>
      </c>
      <c r="E953" t="s">
        <v>1375</v>
      </c>
      <c r="F953" s="381" t="s">
        <v>2089</v>
      </c>
      <c r="G953" t="s">
        <v>9014</v>
      </c>
    </row>
    <row r="954" spans="2:7">
      <c r="B954" s="871">
        <v>46284</v>
      </c>
      <c r="C954" t="s">
        <v>2488</v>
      </c>
      <c r="D954" t="s">
        <v>528</v>
      </c>
      <c r="E954" t="s">
        <v>1454</v>
      </c>
      <c r="F954" s="381" t="s">
        <v>2090</v>
      </c>
      <c r="G954" t="s">
        <v>9015</v>
      </c>
    </row>
    <row r="955" spans="2:7">
      <c r="B955" s="871">
        <v>46284</v>
      </c>
      <c r="C955" t="s">
        <v>2488</v>
      </c>
      <c r="D955" t="s">
        <v>528</v>
      </c>
      <c r="E955" t="s">
        <v>1458</v>
      </c>
      <c r="F955" s="381" t="s">
        <v>2091</v>
      </c>
      <c r="G955" t="s">
        <v>9016</v>
      </c>
    </row>
    <row r="956" spans="2:7">
      <c r="B956" s="871">
        <v>46284</v>
      </c>
      <c r="C956" t="s">
        <v>2488</v>
      </c>
      <c r="D956" t="s">
        <v>528</v>
      </c>
      <c r="E956" t="s">
        <v>1458</v>
      </c>
      <c r="F956" s="381" t="s">
        <v>2092</v>
      </c>
      <c r="G956" t="s">
        <v>9017</v>
      </c>
    </row>
    <row r="957" spans="2:7">
      <c r="B957" s="871">
        <v>46284</v>
      </c>
      <c r="C957" t="s">
        <v>2488</v>
      </c>
      <c r="D957" t="s">
        <v>528</v>
      </c>
      <c r="E957" t="s">
        <v>1458</v>
      </c>
      <c r="F957" s="381" t="s">
        <v>2093</v>
      </c>
      <c r="G957" t="s">
        <v>9018</v>
      </c>
    </row>
    <row r="958" spans="2:7">
      <c r="B958" s="871">
        <v>46284</v>
      </c>
      <c r="C958" t="s">
        <v>2488</v>
      </c>
      <c r="D958" t="s">
        <v>528</v>
      </c>
      <c r="E958" t="s">
        <v>1376</v>
      </c>
      <c r="F958" s="381" t="s">
        <v>2012</v>
      </c>
      <c r="G958" t="s">
        <v>9019</v>
      </c>
    </row>
    <row r="959" spans="2:7">
      <c r="B959" s="871">
        <v>46284</v>
      </c>
      <c r="C959" t="s">
        <v>2488</v>
      </c>
      <c r="D959" t="s">
        <v>528</v>
      </c>
      <c r="E959" t="s">
        <v>1376</v>
      </c>
      <c r="F959" s="381" t="s">
        <v>2094</v>
      </c>
      <c r="G959" t="s">
        <v>9020</v>
      </c>
    </row>
    <row r="960" spans="2:7">
      <c r="B960" s="871">
        <v>46284</v>
      </c>
      <c r="C960" t="s">
        <v>2488</v>
      </c>
      <c r="D960" t="s">
        <v>528</v>
      </c>
      <c r="E960" t="s">
        <v>1376</v>
      </c>
      <c r="F960" s="381" t="s">
        <v>2095</v>
      </c>
      <c r="G960" t="s">
        <v>9021</v>
      </c>
    </row>
    <row r="961" spans="2:7">
      <c r="B961" s="871">
        <v>46284</v>
      </c>
      <c r="C961" t="s">
        <v>2488</v>
      </c>
      <c r="D961" t="s">
        <v>528</v>
      </c>
      <c r="E961" t="s">
        <v>1376</v>
      </c>
      <c r="F961" s="381" t="s">
        <v>2096</v>
      </c>
      <c r="G961" t="s">
        <v>9022</v>
      </c>
    </row>
    <row r="962" spans="2:7">
      <c r="B962" s="871">
        <v>46284</v>
      </c>
      <c r="C962" t="s">
        <v>2488</v>
      </c>
      <c r="D962" t="s">
        <v>528</v>
      </c>
      <c r="E962" t="s">
        <v>1376</v>
      </c>
      <c r="F962" s="381" t="s">
        <v>2016</v>
      </c>
      <c r="G962" t="s">
        <v>9023</v>
      </c>
    </row>
    <row r="963" spans="2:7">
      <c r="B963" s="871">
        <v>46284</v>
      </c>
      <c r="C963" t="s">
        <v>2488</v>
      </c>
      <c r="D963" t="s">
        <v>528</v>
      </c>
      <c r="E963" t="s">
        <v>1410</v>
      </c>
      <c r="F963" s="381" t="s">
        <v>1433</v>
      </c>
      <c r="G963" t="s">
        <v>9024</v>
      </c>
    </row>
    <row r="964" spans="2:7">
      <c r="B964" s="871">
        <v>46284</v>
      </c>
      <c r="C964" t="s">
        <v>2488</v>
      </c>
      <c r="D964" t="s">
        <v>528</v>
      </c>
      <c r="E964" t="s">
        <v>1410</v>
      </c>
      <c r="F964" s="381" t="s">
        <v>2097</v>
      </c>
      <c r="G964" t="s">
        <v>9025</v>
      </c>
    </row>
    <row r="965" spans="2:7">
      <c r="B965" s="871">
        <v>46284</v>
      </c>
      <c r="C965" t="s">
        <v>2488</v>
      </c>
      <c r="D965" t="s">
        <v>528</v>
      </c>
      <c r="E965" t="s">
        <v>1410</v>
      </c>
      <c r="F965" s="381" t="s">
        <v>2063</v>
      </c>
      <c r="G965" t="s">
        <v>9026</v>
      </c>
    </row>
    <row r="966" spans="2:7">
      <c r="B966" s="871">
        <v>46284</v>
      </c>
      <c r="C966" t="s">
        <v>2488</v>
      </c>
      <c r="D966" t="s">
        <v>528</v>
      </c>
      <c r="E966" t="s">
        <v>1410</v>
      </c>
      <c r="F966" s="381" t="s">
        <v>1942</v>
      </c>
      <c r="G966" t="s">
        <v>9027</v>
      </c>
    </row>
    <row r="967" spans="2:7">
      <c r="B967" s="871">
        <v>46284</v>
      </c>
      <c r="C967" t="s">
        <v>2488</v>
      </c>
      <c r="D967" t="s">
        <v>528</v>
      </c>
      <c r="E967" t="s">
        <v>1410</v>
      </c>
      <c r="F967" s="381" t="s">
        <v>2019</v>
      </c>
      <c r="G967" t="s">
        <v>9028</v>
      </c>
    </row>
    <row r="968" spans="2:7">
      <c r="B968" s="871">
        <v>46284</v>
      </c>
      <c r="C968" t="s">
        <v>2488</v>
      </c>
      <c r="D968" t="s">
        <v>528</v>
      </c>
      <c r="E968" t="s">
        <v>1410</v>
      </c>
      <c r="F968" s="381" t="s">
        <v>2064</v>
      </c>
      <c r="G968" t="s">
        <v>9029</v>
      </c>
    </row>
    <row r="969" spans="2:7">
      <c r="B969" s="871">
        <v>46284</v>
      </c>
      <c r="C969" t="s">
        <v>2488</v>
      </c>
      <c r="D969" t="s">
        <v>528</v>
      </c>
      <c r="E969" t="s">
        <v>1410</v>
      </c>
      <c r="F969" s="381" t="s">
        <v>2098</v>
      </c>
      <c r="G969" t="s">
        <v>9030</v>
      </c>
    </row>
    <row r="970" spans="2:7">
      <c r="B970" s="871">
        <v>46284</v>
      </c>
      <c r="C970" t="s">
        <v>2488</v>
      </c>
      <c r="D970" t="s">
        <v>528</v>
      </c>
      <c r="E970" t="s">
        <v>1410</v>
      </c>
      <c r="F970" s="381" t="s">
        <v>1946</v>
      </c>
      <c r="G970" t="s">
        <v>9031</v>
      </c>
    </row>
    <row r="971" spans="2:7">
      <c r="B971" s="871">
        <v>46284</v>
      </c>
      <c r="C971" t="s">
        <v>2488</v>
      </c>
      <c r="D971" t="s">
        <v>528</v>
      </c>
      <c r="E971" t="s">
        <v>1393</v>
      </c>
      <c r="F971" s="381" t="s">
        <v>2099</v>
      </c>
      <c r="G971" t="s">
        <v>9032</v>
      </c>
    </row>
    <row r="972" spans="2:7">
      <c r="B972" s="871">
        <v>46284</v>
      </c>
      <c r="C972" t="s">
        <v>2488</v>
      </c>
      <c r="D972" t="s">
        <v>528</v>
      </c>
      <c r="E972" t="s">
        <v>1393</v>
      </c>
      <c r="F972" s="381" t="s">
        <v>1523</v>
      </c>
      <c r="G972" t="s">
        <v>9033</v>
      </c>
    </row>
    <row r="973" spans="2:7">
      <c r="B973" s="871">
        <v>46284</v>
      </c>
      <c r="C973" t="s">
        <v>2488</v>
      </c>
      <c r="D973" t="s">
        <v>528</v>
      </c>
      <c r="E973" t="s">
        <v>1393</v>
      </c>
      <c r="F973" s="381" t="s">
        <v>1524</v>
      </c>
      <c r="G973" t="s">
        <v>9034</v>
      </c>
    </row>
    <row r="974" spans="2:7">
      <c r="B974" s="871">
        <v>46284</v>
      </c>
      <c r="C974" t="s">
        <v>2488</v>
      </c>
      <c r="D974" t="s">
        <v>528</v>
      </c>
      <c r="E974" t="s">
        <v>1393</v>
      </c>
      <c r="F974" s="381" t="s">
        <v>1652</v>
      </c>
      <c r="G974" t="s">
        <v>9035</v>
      </c>
    </row>
    <row r="975" spans="2:7">
      <c r="B975" s="871">
        <v>46284</v>
      </c>
      <c r="C975" t="s">
        <v>2488</v>
      </c>
      <c r="D975" t="s">
        <v>528</v>
      </c>
      <c r="E975" t="s">
        <v>1393</v>
      </c>
      <c r="F975" s="381" t="s">
        <v>2100</v>
      </c>
      <c r="G975" t="s">
        <v>9036</v>
      </c>
    </row>
    <row r="976" spans="2:7">
      <c r="B976" s="871">
        <v>46284</v>
      </c>
      <c r="C976" t="s">
        <v>2488</v>
      </c>
      <c r="D976" t="s">
        <v>528</v>
      </c>
      <c r="E976" t="s">
        <v>1393</v>
      </c>
      <c r="F976" s="381" t="s">
        <v>2101</v>
      </c>
      <c r="G976" t="s">
        <v>9037</v>
      </c>
    </row>
    <row r="977" spans="2:7">
      <c r="B977" s="871">
        <v>46284</v>
      </c>
      <c r="C977" t="s">
        <v>2488</v>
      </c>
      <c r="D977" t="s">
        <v>528</v>
      </c>
      <c r="E977" t="s">
        <v>1393</v>
      </c>
      <c r="F977" s="381" t="s">
        <v>2102</v>
      </c>
      <c r="G977" t="s">
        <v>9038</v>
      </c>
    </row>
    <row r="978" spans="2:7">
      <c r="B978" s="871">
        <v>46284</v>
      </c>
      <c r="C978" t="s">
        <v>2488</v>
      </c>
      <c r="D978" t="s">
        <v>528</v>
      </c>
      <c r="E978" t="s">
        <v>1393</v>
      </c>
      <c r="F978" s="381" t="s">
        <v>2103</v>
      </c>
      <c r="G978" t="s">
        <v>9039</v>
      </c>
    </row>
    <row r="979" spans="2:7">
      <c r="B979" s="871">
        <v>46284</v>
      </c>
      <c r="C979" t="s">
        <v>2488</v>
      </c>
      <c r="D979" t="s">
        <v>528</v>
      </c>
      <c r="E979" t="s">
        <v>1393</v>
      </c>
      <c r="F979" s="381" t="s">
        <v>2104</v>
      </c>
      <c r="G979" t="s">
        <v>9040</v>
      </c>
    </row>
    <row r="980" spans="2:7">
      <c r="B980" s="871">
        <v>46284</v>
      </c>
      <c r="C980" t="s">
        <v>2488</v>
      </c>
      <c r="D980" t="s">
        <v>528</v>
      </c>
      <c r="E980" t="s">
        <v>1393</v>
      </c>
      <c r="F980" s="381" t="s">
        <v>2105</v>
      </c>
      <c r="G980" t="s">
        <v>9041</v>
      </c>
    </row>
    <row r="981" spans="2:7">
      <c r="B981" s="871">
        <v>46284</v>
      </c>
      <c r="C981" t="s">
        <v>2488</v>
      </c>
      <c r="D981" t="s">
        <v>528</v>
      </c>
      <c r="E981" t="s">
        <v>1434</v>
      </c>
      <c r="F981" s="381" t="s">
        <v>2037</v>
      </c>
      <c r="G981" t="s">
        <v>9042</v>
      </c>
    </row>
    <row r="982" spans="2:7">
      <c r="B982" s="871">
        <v>46284</v>
      </c>
      <c r="C982" t="s">
        <v>2488</v>
      </c>
      <c r="D982" t="s">
        <v>528</v>
      </c>
      <c r="E982" t="s">
        <v>1434</v>
      </c>
      <c r="F982" s="381" t="s">
        <v>2038</v>
      </c>
      <c r="G982" t="s">
        <v>9043</v>
      </c>
    </row>
    <row r="983" spans="2:7">
      <c r="B983" s="871">
        <v>46284</v>
      </c>
      <c r="C983" t="s">
        <v>2488</v>
      </c>
      <c r="D983" t="s">
        <v>528</v>
      </c>
      <c r="E983" t="s">
        <v>1434</v>
      </c>
      <c r="F983" s="381" t="s">
        <v>2071</v>
      </c>
      <c r="G983" t="s">
        <v>9044</v>
      </c>
    </row>
    <row r="984" spans="2:7">
      <c r="B984" s="871">
        <v>46284</v>
      </c>
      <c r="C984" t="s">
        <v>2488</v>
      </c>
      <c r="D984" t="s">
        <v>528</v>
      </c>
      <c r="E984" t="s">
        <v>1434</v>
      </c>
      <c r="F984" s="381" t="s">
        <v>2079</v>
      </c>
      <c r="G984" t="s">
        <v>9045</v>
      </c>
    </row>
    <row r="985" spans="2:7">
      <c r="B985" s="871">
        <v>46284</v>
      </c>
      <c r="C985" t="s">
        <v>2488</v>
      </c>
      <c r="D985" t="s">
        <v>528</v>
      </c>
      <c r="E985" t="s">
        <v>1434</v>
      </c>
      <c r="F985" s="381" t="s">
        <v>2106</v>
      </c>
      <c r="G985" t="s">
        <v>9046</v>
      </c>
    </row>
    <row r="986" spans="2:7">
      <c r="B986" s="871">
        <v>46284</v>
      </c>
      <c r="C986" t="s">
        <v>2488</v>
      </c>
      <c r="D986" t="s">
        <v>528</v>
      </c>
      <c r="E986" t="s">
        <v>1434</v>
      </c>
      <c r="F986" s="381" t="s">
        <v>2107</v>
      </c>
      <c r="G986" t="s">
        <v>9047</v>
      </c>
    </row>
    <row r="987" spans="2:7">
      <c r="B987" s="871">
        <v>46284</v>
      </c>
      <c r="C987" t="s">
        <v>2488</v>
      </c>
      <c r="D987" t="s">
        <v>528</v>
      </c>
      <c r="E987" t="s">
        <v>1434</v>
      </c>
      <c r="F987" s="381" t="s">
        <v>2108</v>
      </c>
      <c r="G987" t="s">
        <v>9048</v>
      </c>
    </row>
    <row r="988" spans="2:7">
      <c r="B988" s="871">
        <v>46284</v>
      </c>
      <c r="C988" t="s">
        <v>2488</v>
      </c>
      <c r="D988" t="s">
        <v>528</v>
      </c>
      <c r="E988" t="s">
        <v>1434</v>
      </c>
      <c r="F988" s="381" t="s">
        <v>2109</v>
      </c>
      <c r="G988" t="s">
        <v>9049</v>
      </c>
    </row>
    <row r="989" spans="2:7">
      <c r="B989" s="871">
        <v>46284</v>
      </c>
      <c r="C989" t="s">
        <v>2488</v>
      </c>
      <c r="D989" t="s">
        <v>528</v>
      </c>
      <c r="E989" t="s">
        <v>1434</v>
      </c>
      <c r="F989" s="381" t="s">
        <v>2073</v>
      </c>
      <c r="G989" t="s">
        <v>9050</v>
      </c>
    </row>
    <row r="990" spans="2:7">
      <c r="B990" s="871">
        <v>46284</v>
      </c>
      <c r="C990" t="s">
        <v>2488</v>
      </c>
      <c r="D990" t="s">
        <v>528</v>
      </c>
      <c r="E990" t="s">
        <v>1434</v>
      </c>
      <c r="F990" s="381" t="s">
        <v>2074</v>
      </c>
      <c r="G990" t="s">
        <v>9051</v>
      </c>
    </row>
    <row r="991" spans="2:7" ht="210">
      <c r="B991" s="871">
        <v>46285</v>
      </c>
      <c r="C991" t="s">
        <v>2489</v>
      </c>
      <c r="D991" t="s">
        <v>526</v>
      </c>
      <c r="E991" t="s">
        <v>1375</v>
      </c>
      <c r="F991" s="381" t="s">
        <v>2114</v>
      </c>
      <c r="G991" t="s">
        <v>9052</v>
      </c>
    </row>
    <row r="992" spans="2:7" ht="180">
      <c r="B992" s="871">
        <v>46285</v>
      </c>
      <c r="C992" t="s">
        <v>2489</v>
      </c>
      <c r="D992" t="s">
        <v>526</v>
      </c>
      <c r="E992" t="s">
        <v>1454</v>
      </c>
      <c r="F992" s="381" t="s">
        <v>2115</v>
      </c>
      <c r="G992" t="s">
        <v>9053</v>
      </c>
    </row>
    <row r="993" spans="2:7" ht="90">
      <c r="B993" s="871">
        <v>46285</v>
      </c>
      <c r="C993" t="s">
        <v>2489</v>
      </c>
      <c r="D993" t="s">
        <v>526</v>
      </c>
      <c r="E993" t="s">
        <v>1458</v>
      </c>
      <c r="F993" s="381" t="s">
        <v>2116</v>
      </c>
      <c r="G993" t="s">
        <v>9054</v>
      </c>
    </row>
    <row r="994" spans="2:7" ht="105">
      <c r="B994" s="871">
        <v>46285</v>
      </c>
      <c r="C994" t="s">
        <v>2489</v>
      </c>
      <c r="D994" t="s">
        <v>526</v>
      </c>
      <c r="E994" t="s">
        <v>1376</v>
      </c>
      <c r="F994" s="381" t="s">
        <v>2117</v>
      </c>
      <c r="G994" t="s">
        <v>9055</v>
      </c>
    </row>
    <row r="995" spans="2:7" ht="165">
      <c r="B995" s="871">
        <v>46285</v>
      </c>
      <c r="C995" t="s">
        <v>2489</v>
      </c>
      <c r="D995" t="s">
        <v>526</v>
      </c>
      <c r="E995" t="s">
        <v>1393</v>
      </c>
      <c r="F995" s="381" t="s">
        <v>2118</v>
      </c>
      <c r="G995" t="s">
        <v>9056</v>
      </c>
    </row>
    <row r="996" spans="2:7" ht="195">
      <c r="B996" s="871">
        <v>46285</v>
      </c>
      <c r="C996" t="s">
        <v>2489</v>
      </c>
      <c r="D996" t="s">
        <v>526</v>
      </c>
      <c r="E996" t="s">
        <v>1410</v>
      </c>
      <c r="F996" s="381" t="s">
        <v>2119</v>
      </c>
      <c r="G996" t="s">
        <v>9057</v>
      </c>
    </row>
    <row r="997" spans="2:7" ht="409.5">
      <c r="B997" s="871">
        <v>46285</v>
      </c>
      <c r="C997" t="s">
        <v>2489</v>
      </c>
      <c r="D997" t="s">
        <v>526</v>
      </c>
      <c r="E997" t="s">
        <v>1434</v>
      </c>
      <c r="F997" s="381" t="s">
        <v>2120</v>
      </c>
      <c r="G997" t="s">
        <v>9058</v>
      </c>
    </row>
    <row r="998" spans="2:7" ht="150">
      <c r="B998" s="871">
        <v>46285</v>
      </c>
      <c r="C998" t="s">
        <v>2489</v>
      </c>
      <c r="D998" t="s">
        <v>527</v>
      </c>
      <c r="E998" t="s">
        <v>1375</v>
      </c>
      <c r="F998" s="381" t="s">
        <v>2081</v>
      </c>
      <c r="G998" t="s">
        <v>9059</v>
      </c>
    </row>
    <row r="999" spans="2:7" ht="150">
      <c r="B999" s="871">
        <v>46285</v>
      </c>
      <c r="C999" t="s">
        <v>2489</v>
      </c>
      <c r="D999" t="s">
        <v>527</v>
      </c>
      <c r="E999" t="s">
        <v>1454</v>
      </c>
      <c r="F999" s="381" t="s">
        <v>2082</v>
      </c>
      <c r="G999" t="s">
        <v>9060</v>
      </c>
    </row>
    <row r="1000" spans="2:7" ht="45">
      <c r="B1000" s="871">
        <v>46285</v>
      </c>
      <c r="C1000" t="s">
        <v>2489</v>
      </c>
      <c r="D1000" t="s">
        <v>527</v>
      </c>
      <c r="E1000" t="s">
        <v>1472</v>
      </c>
      <c r="F1000" s="381" t="s">
        <v>2083</v>
      </c>
      <c r="G1000" t="s">
        <v>9061</v>
      </c>
    </row>
    <row r="1001" spans="2:7" ht="105">
      <c r="B1001" s="871">
        <v>46285</v>
      </c>
      <c r="C1001" t="s">
        <v>2489</v>
      </c>
      <c r="D1001" t="s">
        <v>527</v>
      </c>
      <c r="E1001" t="s">
        <v>1474</v>
      </c>
      <c r="F1001" s="381" t="s">
        <v>2084</v>
      </c>
      <c r="G1001" t="s">
        <v>9062</v>
      </c>
    </row>
    <row r="1002" spans="2:7" ht="165">
      <c r="B1002" s="871">
        <v>46285</v>
      </c>
      <c r="C1002" t="s">
        <v>2489</v>
      </c>
      <c r="D1002" t="s">
        <v>527</v>
      </c>
      <c r="E1002" t="s">
        <v>1393</v>
      </c>
      <c r="F1002" s="381" t="s">
        <v>2085</v>
      </c>
      <c r="G1002" t="s">
        <v>9063</v>
      </c>
    </row>
    <row r="1003" spans="2:7" ht="285">
      <c r="B1003" s="871">
        <v>46285</v>
      </c>
      <c r="C1003" t="s">
        <v>2489</v>
      </c>
      <c r="D1003" t="s">
        <v>527</v>
      </c>
      <c r="E1003" t="s">
        <v>1410</v>
      </c>
      <c r="F1003" s="381" t="s">
        <v>2086</v>
      </c>
      <c r="G1003" t="s">
        <v>9064</v>
      </c>
    </row>
    <row r="1004" spans="2:7" ht="409.5">
      <c r="B1004" s="871">
        <v>46285</v>
      </c>
      <c r="C1004" t="s">
        <v>2489</v>
      </c>
      <c r="D1004" t="s">
        <v>527</v>
      </c>
      <c r="E1004" t="s">
        <v>1434</v>
      </c>
      <c r="F1004" s="381" t="s">
        <v>2087</v>
      </c>
      <c r="G1004" t="s">
        <v>9065</v>
      </c>
    </row>
    <row r="1005" spans="2:7">
      <c r="B1005" s="871">
        <v>46285</v>
      </c>
      <c r="C1005" t="s">
        <v>2489</v>
      </c>
      <c r="D1005" t="s">
        <v>528</v>
      </c>
      <c r="E1005" t="s">
        <v>1375</v>
      </c>
      <c r="F1005" s="381" t="s">
        <v>2052</v>
      </c>
      <c r="G1005" t="s">
        <v>9066</v>
      </c>
    </row>
    <row r="1006" spans="2:7">
      <c r="B1006" s="871">
        <v>46285</v>
      </c>
      <c r="C1006" t="s">
        <v>2489</v>
      </c>
      <c r="D1006" t="s">
        <v>528</v>
      </c>
      <c r="E1006" t="s">
        <v>1375</v>
      </c>
      <c r="F1006" s="381" t="s">
        <v>2088</v>
      </c>
      <c r="G1006" t="s">
        <v>9067</v>
      </c>
    </row>
    <row r="1007" spans="2:7">
      <c r="B1007" s="871">
        <v>46285</v>
      </c>
      <c r="C1007" t="s">
        <v>2489</v>
      </c>
      <c r="D1007" t="s">
        <v>528</v>
      </c>
      <c r="E1007" t="s">
        <v>1375</v>
      </c>
      <c r="F1007" s="381" t="s">
        <v>2089</v>
      </c>
      <c r="G1007" t="s">
        <v>9068</v>
      </c>
    </row>
    <row r="1008" spans="2:7">
      <c r="B1008" s="871">
        <v>46285</v>
      </c>
      <c r="C1008" t="s">
        <v>2489</v>
      </c>
      <c r="D1008" t="s">
        <v>528</v>
      </c>
      <c r="E1008" t="s">
        <v>1454</v>
      </c>
      <c r="F1008" s="381" t="s">
        <v>2090</v>
      </c>
      <c r="G1008" t="s">
        <v>9069</v>
      </c>
    </row>
    <row r="1009" spans="2:7">
      <c r="B1009" s="871">
        <v>46285</v>
      </c>
      <c r="C1009" t="s">
        <v>2489</v>
      </c>
      <c r="D1009" t="s">
        <v>528</v>
      </c>
      <c r="E1009" t="s">
        <v>1458</v>
      </c>
      <c r="F1009" s="381" t="s">
        <v>2091</v>
      </c>
      <c r="G1009" t="s">
        <v>9070</v>
      </c>
    </row>
    <row r="1010" spans="2:7">
      <c r="B1010" s="871">
        <v>46285</v>
      </c>
      <c r="C1010" t="s">
        <v>2489</v>
      </c>
      <c r="D1010" t="s">
        <v>528</v>
      </c>
      <c r="E1010" t="s">
        <v>1458</v>
      </c>
      <c r="F1010" s="381" t="s">
        <v>2092</v>
      </c>
      <c r="G1010" t="s">
        <v>9071</v>
      </c>
    </row>
    <row r="1011" spans="2:7">
      <c r="B1011" s="871">
        <v>46285</v>
      </c>
      <c r="C1011" t="s">
        <v>2489</v>
      </c>
      <c r="D1011" t="s">
        <v>528</v>
      </c>
      <c r="E1011" t="s">
        <v>1458</v>
      </c>
      <c r="F1011" s="381" t="s">
        <v>2093</v>
      </c>
      <c r="G1011" t="s">
        <v>9072</v>
      </c>
    </row>
    <row r="1012" spans="2:7">
      <c r="B1012" s="871">
        <v>46285</v>
      </c>
      <c r="C1012" t="s">
        <v>2489</v>
      </c>
      <c r="D1012" t="s">
        <v>528</v>
      </c>
      <c r="E1012" t="s">
        <v>1376</v>
      </c>
      <c r="F1012" s="381" t="s">
        <v>2012</v>
      </c>
      <c r="G1012" t="s">
        <v>9073</v>
      </c>
    </row>
    <row r="1013" spans="2:7">
      <c r="B1013" s="871">
        <v>46285</v>
      </c>
      <c r="C1013" t="s">
        <v>2489</v>
      </c>
      <c r="D1013" t="s">
        <v>528</v>
      </c>
      <c r="E1013" t="s">
        <v>1376</v>
      </c>
      <c r="F1013" s="381" t="s">
        <v>2094</v>
      </c>
      <c r="G1013" t="s">
        <v>9074</v>
      </c>
    </row>
    <row r="1014" spans="2:7">
      <c r="B1014" s="871">
        <v>46285</v>
      </c>
      <c r="C1014" t="s">
        <v>2489</v>
      </c>
      <c r="D1014" t="s">
        <v>528</v>
      </c>
      <c r="E1014" t="s">
        <v>1376</v>
      </c>
      <c r="F1014" s="381" t="s">
        <v>2095</v>
      </c>
      <c r="G1014" t="s">
        <v>9075</v>
      </c>
    </row>
    <row r="1015" spans="2:7">
      <c r="B1015" s="871">
        <v>46285</v>
      </c>
      <c r="C1015" t="s">
        <v>2489</v>
      </c>
      <c r="D1015" t="s">
        <v>528</v>
      </c>
      <c r="E1015" t="s">
        <v>1376</v>
      </c>
      <c r="F1015" s="381" t="s">
        <v>2096</v>
      </c>
      <c r="G1015" t="s">
        <v>9076</v>
      </c>
    </row>
    <row r="1016" spans="2:7">
      <c r="B1016" s="871">
        <v>46285</v>
      </c>
      <c r="C1016" t="s">
        <v>2489</v>
      </c>
      <c r="D1016" t="s">
        <v>528</v>
      </c>
      <c r="E1016" t="s">
        <v>1376</v>
      </c>
      <c r="F1016" s="381" t="s">
        <v>2016</v>
      </c>
      <c r="G1016" t="s">
        <v>9077</v>
      </c>
    </row>
    <row r="1017" spans="2:7">
      <c r="B1017" s="871">
        <v>46285</v>
      </c>
      <c r="C1017" t="s">
        <v>2489</v>
      </c>
      <c r="D1017" t="s">
        <v>528</v>
      </c>
      <c r="E1017" t="s">
        <v>1410</v>
      </c>
      <c r="F1017" s="381" t="s">
        <v>1433</v>
      </c>
      <c r="G1017" t="s">
        <v>9078</v>
      </c>
    </row>
    <row r="1018" spans="2:7">
      <c r="B1018" s="871">
        <v>46285</v>
      </c>
      <c r="C1018" t="s">
        <v>2489</v>
      </c>
      <c r="D1018" t="s">
        <v>528</v>
      </c>
      <c r="E1018" t="s">
        <v>1410</v>
      </c>
      <c r="F1018" s="381" t="s">
        <v>2097</v>
      </c>
      <c r="G1018" t="s">
        <v>9079</v>
      </c>
    </row>
    <row r="1019" spans="2:7">
      <c r="B1019" s="871">
        <v>46285</v>
      </c>
      <c r="C1019" t="s">
        <v>2489</v>
      </c>
      <c r="D1019" t="s">
        <v>528</v>
      </c>
      <c r="E1019" t="s">
        <v>1410</v>
      </c>
      <c r="F1019" s="381" t="s">
        <v>2063</v>
      </c>
      <c r="G1019" t="s">
        <v>9080</v>
      </c>
    </row>
    <row r="1020" spans="2:7">
      <c r="B1020" s="871">
        <v>46285</v>
      </c>
      <c r="C1020" t="s">
        <v>2489</v>
      </c>
      <c r="D1020" t="s">
        <v>528</v>
      </c>
      <c r="E1020" t="s">
        <v>1410</v>
      </c>
      <c r="F1020" s="381" t="s">
        <v>1942</v>
      </c>
      <c r="G1020" t="s">
        <v>9081</v>
      </c>
    </row>
    <row r="1021" spans="2:7">
      <c r="B1021" s="871">
        <v>46285</v>
      </c>
      <c r="C1021" t="s">
        <v>2489</v>
      </c>
      <c r="D1021" t="s">
        <v>528</v>
      </c>
      <c r="E1021" t="s">
        <v>1410</v>
      </c>
      <c r="F1021" s="381" t="s">
        <v>2019</v>
      </c>
      <c r="G1021" t="s">
        <v>9082</v>
      </c>
    </row>
    <row r="1022" spans="2:7">
      <c r="B1022" s="871">
        <v>46285</v>
      </c>
      <c r="C1022" t="s">
        <v>2489</v>
      </c>
      <c r="D1022" t="s">
        <v>528</v>
      </c>
      <c r="E1022" t="s">
        <v>1410</v>
      </c>
      <c r="F1022" s="381" t="s">
        <v>2064</v>
      </c>
      <c r="G1022" t="s">
        <v>9083</v>
      </c>
    </row>
    <row r="1023" spans="2:7">
      <c r="B1023" s="871">
        <v>46285</v>
      </c>
      <c r="C1023" t="s">
        <v>2489</v>
      </c>
      <c r="D1023" t="s">
        <v>528</v>
      </c>
      <c r="E1023" t="s">
        <v>1410</v>
      </c>
      <c r="F1023" s="381" t="s">
        <v>2098</v>
      </c>
      <c r="G1023" t="s">
        <v>9084</v>
      </c>
    </row>
    <row r="1024" spans="2:7">
      <c r="B1024" s="871">
        <v>46285</v>
      </c>
      <c r="C1024" t="s">
        <v>2489</v>
      </c>
      <c r="D1024" t="s">
        <v>528</v>
      </c>
      <c r="E1024" t="s">
        <v>1410</v>
      </c>
      <c r="F1024" s="381" t="s">
        <v>1946</v>
      </c>
      <c r="G1024" t="s">
        <v>9085</v>
      </c>
    </row>
    <row r="1025" spans="2:7">
      <c r="B1025" s="871">
        <v>46285</v>
      </c>
      <c r="C1025" t="s">
        <v>2489</v>
      </c>
      <c r="D1025" t="s">
        <v>528</v>
      </c>
      <c r="E1025" t="s">
        <v>1393</v>
      </c>
      <c r="F1025" s="381" t="s">
        <v>2099</v>
      </c>
      <c r="G1025" t="s">
        <v>9086</v>
      </c>
    </row>
    <row r="1026" spans="2:7">
      <c r="B1026" s="871">
        <v>46285</v>
      </c>
      <c r="C1026" t="s">
        <v>2489</v>
      </c>
      <c r="D1026" t="s">
        <v>528</v>
      </c>
      <c r="E1026" t="s">
        <v>1393</v>
      </c>
      <c r="F1026" s="381" t="s">
        <v>1523</v>
      </c>
      <c r="G1026" t="s">
        <v>9087</v>
      </c>
    </row>
    <row r="1027" spans="2:7">
      <c r="B1027" s="871">
        <v>46285</v>
      </c>
      <c r="C1027" t="s">
        <v>2489</v>
      </c>
      <c r="D1027" t="s">
        <v>528</v>
      </c>
      <c r="E1027" t="s">
        <v>1393</v>
      </c>
      <c r="F1027" s="381" t="s">
        <v>1524</v>
      </c>
      <c r="G1027" t="s">
        <v>9088</v>
      </c>
    </row>
    <row r="1028" spans="2:7">
      <c r="B1028" s="871">
        <v>46285</v>
      </c>
      <c r="C1028" t="s">
        <v>2489</v>
      </c>
      <c r="D1028" t="s">
        <v>528</v>
      </c>
      <c r="E1028" t="s">
        <v>1393</v>
      </c>
      <c r="F1028" s="381" t="s">
        <v>1652</v>
      </c>
      <c r="G1028" t="s">
        <v>9089</v>
      </c>
    </row>
    <row r="1029" spans="2:7">
      <c r="B1029" s="871">
        <v>46285</v>
      </c>
      <c r="C1029" t="s">
        <v>2489</v>
      </c>
      <c r="D1029" t="s">
        <v>528</v>
      </c>
      <c r="E1029" t="s">
        <v>1393</v>
      </c>
      <c r="F1029" s="381" t="s">
        <v>2100</v>
      </c>
      <c r="G1029" t="s">
        <v>9090</v>
      </c>
    </row>
    <row r="1030" spans="2:7">
      <c r="B1030" s="871">
        <v>46285</v>
      </c>
      <c r="C1030" t="s">
        <v>2489</v>
      </c>
      <c r="D1030" t="s">
        <v>528</v>
      </c>
      <c r="E1030" t="s">
        <v>1393</v>
      </c>
      <c r="F1030" s="381" t="s">
        <v>2101</v>
      </c>
      <c r="G1030" t="s">
        <v>9091</v>
      </c>
    </row>
    <row r="1031" spans="2:7">
      <c r="B1031" s="871">
        <v>46285</v>
      </c>
      <c r="C1031" t="s">
        <v>2489</v>
      </c>
      <c r="D1031" t="s">
        <v>528</v>
      </c>
      <c r="E1031" t="s">
        <v>1393</v>
      </c>
      <c r="F1031" s="381" t="s">
        <v>2102</v>
      </c>
      <c r="G1031" t="s">
        <v>9092</v>
      </c>
    </row>
    <row r="1032" spans="2:7">
      <c r="B1032" s="871">
        <v>46285</v>
      </c>
      <c r="C1032" t="s">
        <v>2489</v>
      </c>
      <c r="D1032" t="s">
        <v>528</v>
      </c>
      <c r="E1032" t="s">
        <v>1393</v>
      </c>
      <c r="F1032" s="381" t="s">
        <v>2103</v>
      </c>
      <c r="G1032" t="s">
        <v>9093</v>
      </c>
    </row>
    <row r="1033" spans="2:7">
      <c r="B1033" s="871">
        <v>46285</v>
      </c>
      <c r="C1033" t="s">
        <v>2489</v>
      </c>
      <c r="D1033" t="s">
        <v>528</v>
      </c>
      <c r="E1033" t="s">
        <v>1393</v>
      </c>
      <c r="F1033" s="381" t="s">
        <v>2104</v>
      </c>
      <c r="G1033" t="s">
        <v>9094</v>
      </c>
    </row>
    <row r="1034" spans="2:7">
      <c r="B1034" s="871">
        <v>46285</v>
      </c>
      <c r="C1034" t="s">
        <v>2489</v>
      </c>
      <c r="D1034" t="s">
        <v>528</v>
      </c>
      <c r="E1034" t="s">
        <v>1393</v>
      </c>
      <c r="F1034" s="381" t="s">
        <v>2105</v>
      </c>
      <c r="G1034" t="s">
        <v>9095</v>
      </c>
    </row>
    <row r="1035" spans="2:7">
      <c r="B1035" s="871">
        <v>46285</v>
      </c>
      <c r="C1035" t="s">
        <v>2489</v>
      </c>
      <c r="D1035" t="s">
        <v>528</v>
      </c>
      <c r="E1035" t="s">
        <v>1434</v>
      </c>
      <c r="F1035" s="381" t="s">
        <v>2037</v>
      </c>
      <c r="G1035" t="s">
        <v>9096</v>
      </c>
    </row>
    <row r="1036" spans="2:7">
      <c r="B1036" s="871">
        <v>46285</v>
      </c>
      <c r="C1036" t="s">
        <v>2489</v>
      </c>
      <c r="D1036" t="s">
        <v>528</v>
      </c>
      <c r="E1036" t="s">
        <v>1434</v>
      </c>
      <c r="F1036" s="381" t="s">
        <v>2038</v>
      </c>
      <c r="G1036" t="s">
        <v>9097</v>
      </c>
    </row>
    <row r="1037" spans="2:7">
      <c r="B1037" s="871">
        <v>46285</v>
      </c>
      <c r="C1037" t="s">
        <v>2489</v>
      </c>
      <c r="D1037" t="s">
        <v>528</v>
      </c>
      <c r="E1037" t="s">
        <v>1434</v>
      </c>
      <c r="F1037" s="381" t="s">
        <v>2071</v>
      </c>
      <c r="G1037" t="s">
        <v>9098</v>
      </c>
    </row>
    <row r="1038" spans="2:7">
      <c r="B1038" s="871">
        <v>46285</v>
      </c>
      <c r="C1038" t="s">
        <v>2489</v>
      </c>
      <c r="D1038" t="s">
        <v>528</v>
      </c>
      <c r="E1038" t="s">
        <v>1434</v>
      </c>
      <c r="F1038" s="381" t="s">
        <v>2079</v>
      </c>
      <c r="G1038" t="s">
        <v>9099</v>
      </c>
    </row>
    <row r="1039" spans="2:7">
      <c r="B1039" s="871">
        <v>46285</v>
      </c>
      <c r="C1039" t="s">
        <v>2489</v>
      </c>
      <c r="D1039" t="s">
        <v>528</v>
      </c>
      <c r="E1039" t="s">
        <v>1434</v>
      </c>
      <c r="F1039" s="381" t="s">
        <v>2106</v>
      </c>
      <c r="G1039" t="s">
        <v>9100</v>
      </c>
    </row>
    <row r="1040" spans="2:7">
      <c r="B1040" s="871">
        <v>46285</v>
      </c>
      <c r="C1040" t="s">
        <v>2489</v>
      </c>
      <c r="D1040" t="s">
        <v>528</v>
      </c>
      <c r="E1040" t="s">
        <v>1434</v>
      </c>
      <c r="F1040" s="381" t="s">
        <v>2107</v>
      </c>
      <c r="G1040" t="s">
        <v>9101</v>
      </c>
    </row>
    <row r="1041" spans="2:7">
      <c r="B1041" s="871">
        <v>46285</v>
      </c>
      <c r="C1041" t="s">
        <v>2489</v>
      </c>
      <c r="D1041" t="s">
        <v>528</v>
      </c>
      <c r="E1041" t="s">
        <v>1434</v>
      </c>
      <c r="F1041" s="381" t="s">
        <v>2108</v>
      </c>
      <c r="G1041" t="s">
        <v>9102</v>
      </c>
    </row>
    <row r="1042" spans="2:7">
      <c r="B1042" s="871">
        <v>46285</v>
      </c>
      <c r="C1042" t="s">
        <v>2489</v>
      </c>
      <c r="D1042" t="s">
        <v>528</v>
      </c>
      <c r="E1042" t="s">
        <v>1434</v>
      </c>
      <c r="F1042" s="381" t="s">
        <v>2109</v>
      </c>
      <c r="G1042" t="s">
        <v>9103</v>
      </c>
    </row>
    <row r="1043" spans="2:7">
      <c r="B1043" s="871">
        <v>46285</v>
      </c>
      <c r="C1043" t="s">
        <v>2489</v>
      </c>
      <c r="D1043" t="s">
        <v>528</v>
      </c>
      <c r="E1043" t="s">
        <v>1434</v>
      </c>
      <c r="F1043" s="381" t="s">
        <v>2073</v>
      </c>
      <c r="G1043" t="s">
        <v>9104</v>
      </c>
    </row>
    <row r="1044" spans="2:7">
      <c r="B1044" s="871">
        <v>46285</v>
      </c>
      <c r="C1044" t="s">
        <v>2489</v>
      </c>
      <c r="D1044" t="s">
        <v>528</v>
      </c>
      <c r="E1044" t="s">
        <v>1434</v>
      </c>
      <c r="F1044" s="381" t="s">
        <v>2074</v>
      </c>
      <c r="G1044" t="s">
        <v>9105</v>
      </c>
    </row>
    <row r="1045" spans="2:7" ht="135">
      <c r="B1045" s="871">
        <v>46286</v>
      </c>
      <c r="C1045" t="s">
        <v>2490</v>
      </c>
      <c r="D1045" t="s">
        <v>526</v>
      </c>
      <c r="E1045" t="s">
        <v>1375</v>
      </c>
      <c r="F1045" s="381" t="s">
        <v>2132</v>
      </c>
      <c r="G1045" t="s">
        <v>9106</v>
      </c>
    </row>
    <row r="1046" spans="2:7" ht="180">
      <c r="B1046" s="871">
        <v>46286</v>
      </c>
      <c r="C1046" t="s">
        <v>2490</v>
      </c>
      <c r="D1046" t="s">
        <v>526</v>
      </c>
      <c r="E1046" t="s">
        <v>1454</v>
      </c>
      <c r="F1046" s="381" t="s">
        <v>2115</v>
      </c>
      <c r="G1046" t="s">
        <v>9107</v>
      </c>
    </row>
    <row r="1047" spans="2:7" ht="90">
      <c r="B1047" s="871">
        <v>46286</v>
      </c>
      <c r="C1047" t="s">
        <v>2490</v>
      </c>
      <c r="D1047" t="s">
        <v>526</v>
      </c>
      <c r="E1047" t="s">
        <v>1458</v>
      </c>
      <c r="F1047" s="381" t="s">
        <v>2116</v>
      </c>
      <c r="G1047" t="s">
        <v>9108</v>
      </c>
    </row>
    <row r="1048" spans="2:7" ht="180">
      <c r="B1048" s="871">
        <v>46286</v>
      </c>
      <c r="C1048" t="s">
        <v>2490</v>
      </c>
      <c r="D1048" t="s">
        <v>526</v>
      </c>
      <c r="E1048" t="s">
        <v>1376</v>
      </c>
      <c r="F1048" s="381" t="s">
        <v>2133</v>
      </c>
      <c r="G1048" t="s">
        <v>9109</v>
      </c>
    </row>
    <row r="1049" spans="2:7" ht="150">
      <c r="B1049" s="871">
        <v>46286</v>
      </c>
      <c r="C1049" t="s">
        <v>2490</v>
      </c>
      <c r="D1049" t="s">
        <v>526</v>
      </c>
      <c r="E1049" t="s">
        <v>1393</v>
      </c>
      <c r="F1049" s="381" t="s">
        <v>2134</v>
      </c>
      <c r="G1049" t="s">
        <v>9110</v>
      </c>
    </row>
    <row r="1050" spans="2:7">
      <c r="B1050" s="871">
        <v>46286</v>
      </c>
      <c r="C1050" t="s">
        <v>2490</v>
      </c>
      <c r="D1050" t="s">
        <v>526</v>
      </c>
      <c r="E1050" t="s">
        <v>1465</v>
      </c>
      <c r="F1050" s="381" t="s">
        <v>2135</v>
      </c>
      <c r="G1050" t="s">
        <v>9111</v>
      </c>
    </row>
    <row r="1051" spans="2:7" ht="270">
      <c r="B1051" s="871">
        <v>46286</v>
      </c>
      <c r="C1051" t="s">
        <v>2490</v>
      </c>
      <c r="D1051" t="s">
        <v>526</v>
      </c>
      <c r="E1051" t="s">
        <v>1410</v>
      </c>
      <c r="F1051" s="381" t="s">
        <v>2136</v>
      </c>
      <c r="G1051" t="s">
        <v>9112</v>
      </c>
    </row>
    <row r="1052" spans="2:7" ht="409.5">
      <c r="B1052" s="871">
        <v>46286</v>
      </c>
      <c r="C1052" t="s">
        <v>2490</v>
      </c>
      <c r="D1052" t="s">
        <v>526</v>
      </c>
      <c r="E1052" t="s">
        <v>1434</v>
      </c>
      <c r="F1052" s="381" t="s">
        <v>2120</v>
      </c>
      <c r="G1052" t="s">
        <v>9113</v>
      </c>
    </row>
    <row r="1053" spans="2:7" ht="150">
      <c r="B1053" s="871">
        <v>46286</v>
      </c>
      <c r="C1053" t="s">
        <v>2490</v>
      </c>
      <c r="D1053" t="s">
        <v>527</v>
      </c>
      <c r="E1053" t="s">
        <v>1375</v>
      </c>
      <c r="F1053" s="381" t="s">
        <v>2137</v>
      </c>
      <c r="G1053" t="s">
        <v>9114</v>
      </c>
    </row>
    <row r="1054" spans="2:7" ht="210">
      <c r="B1054" s="871">
        <v>46286</v>
      </c>
      <c r="C1054" t="s">
        <v>2490</v>
      </c>
      <c r="D1054" t="s">
        <v>527</v>
      </c>
      <c r="E1054" t="s">
        <v>1454</v>
      </c>
      <c r="F1054" s="381" t="s">
        <v>2138</v>
      </c>
      <c r="G1054" t="s">
        <v>9115</v>
      </c>
    </row>
    <row r="1055" spans="2:7" ht="60">
      <c r="B1055" s="871">
        <v>46286</v>
      </c>
      <c r="C1055" t="s">
        <v>2490</v>
      </c>
      <c r="D1055" t="s">
        <v>527</v>
      </c>
      <c r="E1055" t="s">
        <v>1472</v>
      </c>
      <c r="F1055" s="381" t="s">
        <v>2139</v>
      </c>
      <c r="G1055" t="s">
        <v>9116</v>
      </c>
    </row>
    <row r="1056" spans="2:7" ht="105">
      <c r="B1056" s="871">
        <v>46286</v>
      </c>
      <c r="C1056" t="s">
        <v>2490</v>
      </c>
      <c r="D1056" t="s">
        <v>527</v>
      </c>
      <c r="E1056" t="s">
        <v>1474</v>
      </c>
      <c r="F1056" s="381" t="s">
        <v>2140</v>
      </c>
      <c r="G1056" t="s">
        <v>9117</v>
      </c>
    </row>
    <row r="1057" spans="2:7" ht="165">
      <c r="B1057" s="871">
        <v>46286</v>
      </c>
      <c r="C1057" t="s">
        <v>2490</v>
      </c>
      <c r="D1057" t="s">
        <v>527</v>
      </c>
      <c r="E1057" t="s">
        <v>1393</v>
      </c>
      <c r="F1057" s="381" t="s">
        <v>2141</v>
      </c>
      <c r="G1057" t="s">
        <v>9118</v>
      </c>
    </row>
    <row r="1058" spans="2:7" ht="180">
      <c r="B1058" s="871">
        <v>46286</v>
      </c>
      <c r="C1058" t="s">
        <v>2490</v>
      </c>
      <c r="D1058" t="s">
        <v>527</v>
      </c>
      <c r="E1058" t="s">
        <v>1410</v>
      </c>
      <c r="F1058" s="381" t="s">
        <v>2142</v>
      </c>
      <c r="G1058" t="s">
        <v>9119</v>
      </c>
    </row>
    <row r="1059" spans="2:7" ht="409.5">
      <c r="B1059" s="871">
        <v>46286</v>
      </c>
      <c r="C1059" t="s">
        <v>2490</v>
      </c>
      <c r="D1059" t="s">
        <v>527</v>
      </c>
      <c r="E1059" t="s">
        <v>1434</v>
      </c>
      <c r="F1059" s="381" t="s">
        <v>2143</v>
      </c>
      <c r="G1059" t="s">
        <v>9120</v>
      </c>
    </row>
    <row r="1060" spans="2:7">
      <c r="B1060" s="871">
        <v>46286</v>
      </c>
      <c r="C1060" t="s">
        <v>2490</v>
      </c>
      <c r="D1060" t="s">
        <v>528</v>
      </c>
      <c r="E1060" t="s">
        <v>1375</v>
      </c>
      <c r="F1060" s="381" t="s">
        <v>2052</v>
      </c>
      <c r="G1060" t="s">
        <v>9121</v>
      </c>
    </row>
    <row r="1061" spans="2:7">
      <c r="B1061" s="871">
        <v>46286</v>
      </c>
      <c r="C1061" t="s">
        <v>2490</v>
      </c>
      <c r="D1061" t="s">
        <v>528</v>
      </c>
      <c r="E1061" t="s">
        <v>1375</v>
      </c>
      <c r="F1061" s="381" t="s">
        <v>2088</v>
      </c>
      <c r="G1061" t="s">
        <v>9122</v>
      </c>
    </row>
    <row r="1062" spans="2:7">
      <c r="B1062" s="871">
        <v>46286</v>
      </c>
      <c r="C1062" t="s">
        <v>2490</v>
      </c>
      <c r="D1062" t="s">
        <v>528</v>
      </c>
      <c r="E1062" t="s">
        <v>1375</v>
      </c>
      <c r="F1062" s="381" t="s">
        <v>2089</v>
      </c>
      <c r="G1062" t="s">
        <v>9123</v>
      </c>
    </row>
    <row r="1063" spans="2:7">
      <c r="B1063" s="871">
        <v>46286</v>
      </c>
      <c r="C1063" t="s">
        <v>2490</v>
      </c>
      <c r="D1063" t="s">
        <v>528</v>
      </c>
      <c r="E1063" t="s">
        <v>1454</v>
      </c>
      <c r="F1063" s="381" t="s">
        <v>2090</v>
      </c>
      <c r="G1063" t="s">
        <v>9124</v>
      </c>
    </row>
    <row r="1064" spans="2:7">
      <c r="B1064" s="871">
        <v>46286</v>
      </c>
      <c r="C1064" t="s">
        <v>2490</v>
      </c>
      <c r="D1064" t="s">
        <v>528</v>
      </c>
      <c r="E1064" t="s">
        <v>1458</v>
      </c>
      <c r="F1064" s="381" t="s">
        <v>2091</v>
      </c>
      <c r="G1064" t="s">
        <v>9125</v>
      </c>
    </row>
    <row r="1065" spans="2:7">
      <c r="B1065" s="871">
        <v>46286</v>
      </c>
      <c r="C1065" t="s">
        <v>2490</v>
      </c>
      <c r="D1065" t="s">
        <v>528</v>
      </c>
      <c r="E1065" t="s">
        <v>1458</v>
      </c>
      <c r="F1065" s="381" t="s">
        <v>2092</v>
      </c>
      <c r="G1065" t="s">
        <v>9126</v>
      </c>
    </row>
    <row r="1066" spans="2:7">
      <c r="B1066" s="871">
        <v>46286</v>
      </c>
      <c r="C1066" t="s">
        <v>2490</v>
      </c>
      <c r="D1066" t="s">
        <v>528</v>
      </c>
      <c r="E1066" t="s">
        <v>1458</v>
      </c>
      <c r="F1066" s="381" t="s">
        <v>2093</v>
      </c>
      <c r="G1066" t="s">
        <v>9127</v>
      </c>
    </row>
    <row r="1067" spans="2:7">
      <c r="B1067" s="871">
        <v>46286</v>
      </c>
      <c r="C1067" t="s">
        <v>2490</v>
      </c>
      <c r="D1067" t="s">
        <v>528</v>
      </c>
      <c r="E1067" t="s">
        <v>1376</v>
      </c>
      <c r="F1067" s="381" t="s">
        <v>2012</v>
      </c>
      <c r="G1067" t="s">
        <v>9128</v>
      </c>
    </row>
    <row r="1068" spans="2:7">
      <c r="B1068" s="871">
        <v>46286</v>
      </c>
      <c r="C1068" t="s">
        <v>2490</v>
      </c>
      <c r="D1068" t="s">
        <v>528</v>
      </c>
      <c r="E1068" t="s">
        <v>1376</v>
      </c>
      <c r="F1068" s="381" t="s">
        <v>2094</v>
      </c>
      <c r="G1068" t="s">
        <v>9129</v>
      </c>
    </row>
    <row r="1069" spans="2:7">
      <c r="B1069" s="871">
        <v>46286</v>
      </c>
      <c r="C1069" t="s">
        <v>2490</v>
      </c>
      <c r="D1069" t="s">
        <v>528</v>
      </c>
      <c r="E1069" t="s">
        <v>1376</v>
      </c>
      <c r="F1069" s="381" t="s">
        <v>2095</v>
      </c>
      <c r="G1069" t="s">
        <v>9130</v>
      </c>
    </row>
    <row r="1070" spans="2:7">
      <c r="B1070" s="871">
        <v>46286</v>
      </c>
      <c r="C1070" t="s">
        <v>2490</v>
      </c>
      <c r="D1070" t="s">
        <v>528</v>
      </c>
      <c r="E1070" t="s">
        <v>1376</v>
      </c>
      <c r="F1070" s="381" t="s">
        <v>2096</v>
      </c>
      <c r="G1070" t="s">
        <v>9131</v>
      </c>
    </row>
    <row r="1071" spans="2:7">
      <c r="B1071" s="871">
        <v>46286</v>
      </c>
      <c r="C1071" t="s">
        <v>2490</v>
      </c>
      <c r="D1071" t="s">
        <v>528</v>
      </c>
      <c r="E1071" t="s">
        <v>1376</v>
      </c>
      <c r="F1071" s="381" t="s">
        <v>2016</v>
      </c>
      <c r="G1071" t="s">
        <v>9132</v>
      </c>
    </row>
    <row r="1072" spans="2:7">
      <c r="B1072" s="871">
        <v>46286</v>
      </c>
      <c r="C1072" t="s">
        <v>2490</v>
      </c>
      <c r="D1072" t="s">
        <v>528</v>
      </c>
      <c r="E1072" t="s">
        <v>1410</v>
      </c>
      <c r="F1072" s="381" t="s">
        <v>1433</v>
      </c>
      <c r="G1072" t="s">
        <v>9133</v>
      </c>
    </row>
    <row r="1073" spans="2:7">
      <c r="B1073" s="871">
        <v>46286</v>
      </c>
      <c r="C1073" t="s">
        <v>2490</v>
      </c>
      <c r="D1073" t="s">
        <v>528</v>
      </c>
      <c r="E1073" t="s">
        <v>1410</v>
      </c>
      <c r="F1073" s="381" t="s">
        <v>2097</v>
      </c>
      <c r="G1073" t="s">
        <v>9134</v>
      </c>
    </row>
    <row r="1074" spans="2:7">
      <c r="B1074" s="871">
        <v>46286</v>
      </c>
      <c r="C1074" t="s">
        <v>2490</v>
      </c>
      <c r="D1074" t="s">
        <v>528</v>
      </c>
      <c r="E1074" t="s">
        <v>1410</v>
      </c>
      <c r="F1074" s="381" t="s">
        <v>2063</v>
      </c>
      <c r="G1074" t="s">
        <v>9135</v>
      </c>
    </row>
    <row r="1075" spans="2:7">
      <c r="B1075" s="871">
        <v>46286</v>
      </c>
      <c r="C1075" t="s">
        <v>2490</v>
      </c>
      <c r="D1075" t="s">
        <v>528</v>
      </c>
      <c r="E1075" t="s">
        <v>1410</v>
      </c>
      <c r="F1075" s="381" t="s">
        <v>1942</v>
      </c>
      <c r="G1075" t="s">
        <v>9136</v>
      </c>
    </row>
    <row r="1076" spans="2:7">
      <c r="B1076" s="871">
        <v>46286</v>
      </c>
      <c r="C1076" t="s">
        <v>2490</v>
      </c>
      <c r="D1076" t="s">
        <v>528</v>
      </c>
      <c r="E1076" t="s">
        <v>1410</v>
      </c>
      <c r="F1076" s="381" t="s">
        <v>2019</v>
      </c>
      <c r="G1076" t="s">
        <v>9137</v>
      </c>
    </row>
    <row r="1077" spans="2:7">
      <c r="B1077" s="871">
        <v>46286</v>
      </c>
      <c r="C1077" t="s">
        <v>2490</v>
      </c>
      <c r="D1077" t="s">
        <v>528</v>
      </c>
      <c r="E1077" t="s">
        <v>1410</v>
      </c>
      <c r="F1077" s="381" t="s">
        <v>2064</v>
      </c>
      <c r="G1077" t="s">
        <v>9138</v>
      </c>
    </row>
    <row r="1078" spans="2:7">
      <c r="B1078" s="871">
        <v>46286</v>
      </c>
      <c r="C1078" t="s">
        <v>2490</v>
      </c>
      <c r="D1078" t="s">
        <v>528</v>
      </c>
      <c r="E1078" t="s">
        <v>1410</v>
      </c>
      <c r="F1078" s="381" t="s">
        <v>2098</v>
      </c>
      <c r="G1078" t="s">
        <v>9139</v>
      </c>
    </row>
    <row r="1079" spans="2:7">
      <c r="B1079" s="871">
        <v>46286</v>
      </c>
      <c r="C1079" t="s">
        <v>2490</v>
      </c>
      <c r="D1079" t="s">
        <v>528</v>
      </c>
      <c r="E1079" t="s">
        <v>1410</v>
      </c>
      <c r="F1079" s="381" t="s">
        <v>1946</v>
      </c>
      <c r="G1079" t="s">
        <v>9140</v>
      </c>
    </row>
    <row r="1080" spans="2:7">
      <c r="B1080" s="871">
        <v>46286</v>
      </c>
      <c r="C1080" t="s">
        <v>2490</v>
      </c>
      <c r="D1080" t="s">
        <v>528</v>
      </c>
      <c r="E1080" t="s">
        <v>1393</v>
      </c>
      <c r="F1080" s="381" t="s">
        <v>2099</v>
      </c>
      <c r="G1080" t="s">
        <v>9141</v>
      </c>
    </row>
    <row r="1081" spans="2:7">
      <c r="B1081" s="871">
        <v>46286</v>
      </c>
      <c r="C1081" t="s">
        <v>2490</v>
      </c>
      <c r="D1081" t="s">
        <v>528</v>
      </c>
      <c r="E1081" t="s">
        <v>1393</v>
      </c>
      <c r="F1081" s="381" t="s">
        <v>1523</v>
      </c>
      <c r="G1081" t="s">
        <v>9142</v>
      </c>
    </row>
    <row r="1082" spans="2:7">
      <c r="B1082" s="871">
        <v>46286</v>
      </c>
      <c r="C1082" t="s">
        <v>2490</v>
      </c>
      <c r="D1082" t="s">
        <v>528</v>
      </c>
      <c r="E1082" t="s">
        <v>1393</v>
      </c>
      <c r="F1082" s="381" t="s">
        <v>1524</v>
      </c>
      <c r="G1082" t="s">
        <v>9143</v>
      </c>
    </row>
    <row r="1083" spans="2:7">
      <c r="B1083" s="871">
        <v>46286</v>
      </c>
      <c r="C1083" t="s">
        <v>2490</v>
      </c>
      <c r="D1083" t="s">
        <v>528</v>
      </c>
      <c r="E1083" t="s">
        <v>1393</v>
      </c>
      <c r="F1083" s="381" t="s">
        <v>1652</v>
      </c>
      <c r="G1083" t="s">
        <v>9144</v>
      </c>
    </row>
    <row r="1084" spans="2:7">
      <c r="B1084" s="871">
        <v>46286</v>
      </c>
      <c r="C1084" t="s">
        <v>2490</v>
      </c>
      <c r="D1084" t="s">
        <v>528</v>
      </c>
      <c r="E1084" t="s">
        <v>1393</v>
      </c>
      <c r="F1084" s="381" t="s">
        <v>2100</v>
      </c>
      <c r="G1084" t="s">
        <v>9145</v>
      </c>
    </row>
    <row r="1085" spans="2:7">
      <c r="B1085" s="871">
        <v>46286</v>
      </c>
      <c r="C1085" t="s">
        <v>2490</v>
      </c>
      <c r="D1085" t="s">
        <v>528</v>
      </c>
      <c r="E1085" t="s">
        <v>1393</v>
      </c>
      <c r="F1085" s="381" t="s">
        <v>2101</v>
      </c>
      <c r="G1085" t="s">
        <v>9146</v>
      </c>
    </row>
    <row r="1086" spans="2:7">
      <c r="B1086" s="871">
        <v>46286</v>
      </c>
      <c r="C1086" t="s">
        <v>2490</v>
      </c>
      <c r="D1086" t="s">
        <v>528</v>
      </c>
      <c r="E1086" t="s">
        <v>1393</v>
      </c>
      <c r="F1086" s="381" t="s">
        <v>2102</v>
      </c>
      <c r="G1086" t="s">
        <v>9147</v>
      </c>
    </row>
    <row r="1087" spans="2:7">
      <c r="B1087" s="871">
        <v>46286</v>
      </c>
      <c r="C1087" t="s">
        <v>2490</v>
      </c>
      <c r="D1087" t="s">
        <v>528</v>
      </c>
      <c r="E1087" t="s">
        <v>1393</v>
      </c>
      <c r="F1087" s="381" t="s">
        <v>2103</v>
      </c>
      <c r="G1087" t="s">
        <v>9148</v>
      </c>
    </row>
    <row r="1088" spans="2:7">
      <c r="B1088" s="871">
        <v>46286</v>
      </c>
      <c r="C1088" t="s">
        <v>2490</v>
      </c>
      <c r="D1088" t="s">
        <v>528</v>
      </c>
      <c r="E1088" t="s">
        <v>1393</v>
      </c>
      <c r="F1088" s="381" t="s">
        <v>2104</v>
      </c>
      <c r="G1088" t="s">
        <v>9149</v>
      </c>
    </row>
    <row r="1089" spans="2:7">
      <c r="B1089" s="871">
        <v>46286</v>
      </c>
      <c r="C1089" t="s">
        <v>2490</v>
      </c>
      <c r="D1089" t="s">
        <v>528</v>
      </c>
      <c r="E1089" t="s">
        <v>1393</v>
      </c>
      <c r="F1089" s="381" t="s">
        <v>2105</v>
      </c>
      <c r="G1089" t="s">
        <v>9150</v>
      </c>
    </row>
    <row r="1090" spans="2:7">
      <c r="B1090" s="871">
        <v>46286</v>
      </c>
      <c r="C1090" t="s">
        <v>2490</v>
      </c>
      <c r="D1090" t="s">
        <v>528</v>
      </c>
      <c r="E1090" t="s">
        <v>1434</v>
      </c>
      <c r="F1090" s="381" t="s">
        <v>2037</v>
      </c>
      <c r="G1090" t="s">
        <v>9151</v>
      </c>
    </row>
    <row r="1091" spans="2:7">
      <c r="B1091" s="871">
        <v>46286</v>
      </c>
      <c r="C1091" t="s">
        <v>2490</v>
      </c>
      <c r="D1091" t="s">
        <v>528</v>
      </c>
      <c r="E1091" t="s">
        <v>1434</v>
      </c>
      <c r="F1091" s="381" t="s">
        <v>2038</v>
      </c>
      <c r="G1091" t="s">
        <v>9152</v>
      </c>
    </row>
    <row r="1092" spans="2:7">
      <c r="B1092" s="871">
        <v>46286</v>
      </c>
      <c r="C1092" t="s">
        <v>2490</v>
      </c>
      <c r="D1092" t="s">
        <v>528</v>
      </c>
      <c r="E1092" t="s">
        <v>1434</v>
      </c>
      <c r="F1092" s="381" t="s">
        <v>2071</v>
      </c>
      <c r="G1092" t="s">
        <v>9153</v>
      </c>
    </row>
    <row r="1093" spans="2:7">
      <c r="B1093" s="871">
        <v>46286</v>
      </c>
      <c r="C1093" t="s">
        <v>2490</v>
      </c>
      <c r="D1093" t="s">
        <v>528</v>
      </c>
      <c r="E1093" t="s">
        <v>1434</v>
      </c>
      <c r="F1093" s="381" t="s">
        <v>2079</v>
      </c>
      <c r="G1093" t="s">
        <v>9154</v>
      </c>
    </row>
    <row r="1094" spans="2:7">
      <c r="B1094" s="871">
        <v>46286</v>
      </c>
      <c r="C1094" t="s">
        <v>2490</v>
      </c>
      <c r="D1094" t="s">
        <v>528</v>
      </c>
      <c r="E1094" t="s">
        <v>1434</v>
      </c>
      <c r="F1094" s="381" t="s">
        <v>2106</v>
      </c>
      <c r="G1094" t="s">
        <v>9155</v>
      </c>
    </row>
    <row r="1095" spans="2:7">
      <c r="B1095" s="871">
        <v>46286</v>
      </c>
      <c r="C1095" t="s">
        <v>2490</v>
      </c>
      <c r="D1095" t="s">
        <v>528</v>
      </c>
      <c r="E1095" t="s">
        <v>1434</v>
      </c>
      <c r="F1095" s="381" t="s">
        <v>2107</v>
      </c>
      <c r="G1095" t="s">
        <v>9156</v>
      </c>
    </row>
    <row r="1096" spans="2:7">
      <c r="B1096" s="871">
        <v>46286</v>
      </c>
      <c r="C1096" t="s">
        <v>2490</v>
      </c>
      <c r="D1096" t="s">
        <v>528</v>
      </c>
      <c r="E1096" t="s">
        <v>1434</v>
      </c>
      <c r="F1096" s="381" t="s">
        <v>2108</v>
      </c>
      <c r="G1096" t="s">
        <v>9157</v>
      </c>
    </row>
    <row r="1097" spans="2:7">
      <c r="B1097" s="871">
        <v>46286</v>
      </c>
      <c r="C1097" t="s">
        <v>2490</v>
      </c>
      <c r="D1097" t="s">
        <v>528</v>
      </c>
      <c r="E1097" t="s">
        <v>1434</v>
      </c>
      <c r="F1097" s="381" t="s">
        <v>2109</v>
      </c>
      <c r="G1097" t="s">
        <v>9158</v>
      </c>
    </row>
    <row r="1098" spans="2:7">
      <c r="B1098" s="871">
        <v>46286</v>
      </c>
      <c r="C1098" t="s">
        <v>2490</v>
      </c>
      <c r="D1098" t="s">
        <v>528</v>
      </c>
      <c r="E1098" t="s">
        <v>1434</v>
      </c>
      <c r="F1098" s="381" t="s">
        <v>2073</v>
      </c>
      <c r="G1098" t="s">
        <v>9159</v>
      </c>
    </row>
    <row r="1099" spans="2:7">
      <c r="B1099" s="871">
        <v>46286</v>
      </c>
      <c r="C1099" t="s">
        <v>2490</v>
      </c>
      <c r="D1099" t="s">
        <v>528</v>
      </c>
      <c r="E1099" t="s">
        <v>1434</v>
      </c>
      <c r="F1099" s="381" t="s">
        <v>2074</v>
      </c>
      <c r="G1099" t="s">
        <v>9160</v>
      </c>
    </row>
    <row r="1100" spans="2:7" ht="75">
      <c r="B1100" s="871">
        <v>46287</v>
      </c>
      <c r="C1100" t="s">
        <v>2491</v>
      </c>
      <c r="D1100" t="s">
        <v>526</v>
      </c>
      <c r="E1100" t="s">
        <v>1375</v>
      </c>
      <c r="F1100" s="381" t="s">
        <v>2152</v>
      </c>
      <c r="G1100" t="s">
        <v>9161</v>
      </c>
    </row>
    <row r="1101" spans="2:7" ht="180">
      <c r="B1101" s="871">
        <v>46287</v>
      </c>
      <c r="C1101" t="s">
        <v>2491</v>
      </c>
      <c r="D1101" t="s">
        <v>526</v>
      </c>
      <c r="E1101" t="s">
        <v>1454</v>
      </c>
      <c r="F1101" s="381" t="s">
        <v>2115</v>
      </c>
      <c r="G1101" t="s">
        <v>9162</v>
      </c>
    </row>
    <row r="1102" spans="2:7" ht="90">
      <c r="B1102" s="871">
        <v>46287</v>
      </c>
      <c r="C1102" t="s">
        <v>2491</v>
      </c>
      <c r="D1102" t="s">
        <v>526</v>
      </c>
      <c r="E1102" t="s">
        <v>1458</v>
      </c>
      <c r="F1102" s="381" t="s">
        <v>2116</v>
      </c>
      <c r="G1102" t="s">
        <v>9163</v>
      </c>
    </row>
    <row r="1103" spans="2:7" ht="195">
      <c r="B1103" s="871">
        <v>46287</v>
      </c>
      <c r="C1103" t="s">
        <v>2491</v>
      </c>
      <c r="D1103" t="s">
        <v>526</v>
      </c>
      <c r="E1103" t="s">
        <v>1376</v>
      </c>
      <c r="F1103" s="381" t="s">
        <v>2153</v>
      </c>
      <c r="G1103" t="s">
        <v>9164</v>
      </c>
    </row>
    <row r="1104" spans="2:7" ht="135">
      <c r="B1104" s="871">
        <v>46287</v>
      </c>
      <c r="C1104" t="s">
        <v>2491</v>
      </c>
      <c r="D1104" t="s">
        <v>526</v>
      </c>
      <c r="E1104" t="s">
        <v>1393</v>
      </c>
      <c r="F1104" s="381" t="s">
        <v>2154</v>
      </c>
      <c r="G1104" t="s">
        <v>9165</v>
      </c>
    </row>
    <row r="1105" spans="2:7">
      <c r="B1105" s="871">
        <v>46287</v>
      </c>
      <c r="C1105" t="s">
        <v>2491</v>
      </c>
      <c r="D1105" t="s">
        <v>526</v>
      </c>
      <c r="E1105" t="s">
        <v>1465</v>
      </c>
      <c r="F1105" s="381" t="s">
        <v>2155</v>
      </c>
      <c r="G1105" t="s">
        <v>9166</v>
      </c>
    </row>
    <row r="1106" spans="2:7" ht="270">
      <c r="B1106" s="871">
        <v>46287</v>
      </c>
      <c r="C1106" t="s">
        <v>2491</v>
      </c>
      <c r="D1106" t="s">
        <v>526</v>
      </c>
      <c r="E1106" t="s">
        <v>1410</v>
      </c>
      <c r="F1106" s="381" t="s">
        <v>2136</v>
      </c>
      <c r="G1106" t="s">
        <v>9167</v>
      </c>
    </row>
    <row r="1107" spans="2:7" ht="409.5">
      <c r="B1107" s="871">
        <v>46287</v>
      </c>
      <c r="C1107" t="s">
        <v>2491</v>
      </c>
      <c r="D1107" t="s">
        <v>526</v>
      </c>
      <c r="E1107" t="s">
        <v>1434</v>
      </c>
      <c r="F1107" s="381" t="s">
        <v>2120</v>
      </c>
      <c r="G1107" t="s">
        <v>9168</v>
      </c>
    </row>
    <row r="1108" spans="2:7" ht="180">
      <c r="B1108" s="871">
        <v>46287</v>
      </c>
      <c r="C1108" t="s">
        <v>2491</v>
      </c>
      <c r="D1108" t="s">
        <v>527</v>
      </c>
      <c r="E1108" t="s">
        <v>1375</v>
      </c>
      <c r="F1108" s="381" t="s">
        <v>2156</v>
      </c>
      <c r="G1108" t="s">
        <v>9169</v>
      </c>
    </row>
    <row r="1109" spans="2:7" ht="150">
      <c r="B1109" s="871">
        <v>46287</v>
      </c>
      <c r="C1109" t="s">
        <v>2491</v>
      </c>
      <c r="D1109" t="s">
        <v>527</v>
      </c>
      <c r="E1109" t="s">
        <v>1454</v>
      </c>
      <c r="F1109" s="381" t="s">
        <v>2157</v>
      </c>
      <c r="G1109" t="s">
        <v>9170</v>
      </c>
    </row>
    <row r="1110" spans="2:7" ht="45">
      <c r="B1110" s="871">
        <v>46287</v>
      </c>
      <c r="C1110" t="s">
        <v>2491</v>
      </c>
      <c r="D1110" t="s">
        <v>527</v>
      </c>
      <c r="E1110" t="s">
        <v>1472</v>
      </c>
      <c r="F1110" s="381" t="s">
        <v>2158</v>
      </c>
      <c r="G1110" t="s">
        <v>9171</v>
      </c>
    </row>
    <row r="1111" spans="2:7" ht="90">
      <c r="B1111" s="871">
        <v>46287</v>
      </c>
      <c r="C1111" t="s">
        <v>2491</v>
      </c>
      <c r="D1111" t="s">
        <v>527</v>
      </c>
      <c r="E1111" t="s">
        <v>1474</v>
      </c>
      <c r="F1111" s="381" t="s">
        <v>2159</v>
      </c>
      <c r="G1111" t="s">
        <v>9172</v>
      </c>
    </row>
    <row r="1112" spans="2:7" ht="165">
      <c r="B1112" s="871">
        <v>46287</v>
      </c>
      <c r="C1112" t="s">
        <v>2491</v>
      </c>
      <c r="D1112" t="s">
        <v>527</v>
      </c>
      <c r="E1112" t="s">
        <v>1393</v>
      </c>
      <c r="F1112" s="381" t="s">
        <v>2160</v>
      </c>
      <c r="G1112" t="s">
        <v>9173</v>
      </c>
    </row>
    <row r="1113" spans="2:7" ht="180">
      <c r="B1113" s="871">
        <v>46287</v>
      </c>
      <c r="C1113" t="s">
        <v>2491</v>
      </c>
      <c r="D1113" t="s">
        <v>527</v>
      </c>
      <c r="E1113" t="s">
        <v>1410</v>
      </c>
      <c r="F1113" s="381" t="s">
        <v>2161</v>
      </c>
      <c r="G1113" t="s">
        <v>9174</v>
      </c>
    </row>
    <row r="1114" spans="2:7" ht="409.5">
      <c r="B1114" s="871">
        <v>46287</v>
      </c>
      <c r="C1114" t="s">
        <v>2491</v>
      </c>
      <c r="D1114" t="s">
        <v>527</v>
      </c>
      <c r="E1114" t="s">
        <v>1434</v>
      </c>
      <c r="F1114" s="381" t="s">
        <v>2162</v>
      </c>
      <c r="G1114" t="s">
        <v>9175</v>
      </c>
    </row>
    <row r="1115" spans="2:7">
      <c r="B1115" s="871">
        <v>46287</v>
      </c>
      <c r="C1115" t="s">
        <v>2491</v>
      </c>
      <c r="D1115" t="s">
        <v>528</v>
      </c>
      <c r="E1115" t="s">
        <v>1375</v>
      </c>
      <c r="F1115" s="381" t="s">
        <v>2163</v>
      </c>
      <c r="G1115" t="s">
        <v>9176</v>
      </c>
    </row>
    <row r="1116" spans="2:7" ht="30">
      <c r="B1116" s="871">
        <v>46287</v>
      </c>
      <c r="C1116" t="s">
        <v>2491</v>
      </c>
      <c r="D1116" t="s">
        <v>528</v>
      </c>
      <c r="E1116" t="s">
        <v>1375</v>
      </c>
      <c r="F1116" s="381" t="s">
        <v>2164</v>
      </c>
      <c r="G1116" t="s">
        <v>9177</v>
      </c>
    </row>
    <row r="1117" spans="2:7">
      <c r="B1117" s="871">
        <v>46287</v>
      </c>
      <c r="C1117" t="s">
        <v>2491</v>
      </c>
      <c r="D1117" t="s">
        <v>528</v>
      </c>
      <c r="E1117" t="s">
        <v>1375</v>
      </c>
      <c r="F1117" s="381" t="s">
        <v>2165</v>
      </c>
      <c r="G1117" t="s">
        <v>9178</v>
      </c>
    </row>
    <row r="1118" spans="2:7">
      <c r="B1118" s="871">
        <v>46287</v>
      </c>
      <c r="C1118" t="s">
        <v>2491</v>
      </c>
      <c r="D1118" t="s">
        <v>528</v>
      </c>
      <c r="E1118" t="s">
        <v>1454</v>
      </c>
      <c r="F1118" s="381" t="s">
        <v>2166</v>
      </c>
      <c r="G1118" t="s">
        <v>9179</v>
      </c>
    </row>
    <row r="1119" spans="2:7">
      <c r="B1119" s="871">
        <v>46287</v>
      </c>
      <c r="C1119" t="s">
        <v>2491</v>
      </c>
      <c r="D1119" t="s">
        <v>528</v>
      </c>
      <c r="E1119" t="s">
        <v>1454</v>
      </c>
      <c r="F1119" s="381" t="s">
        <v>2167</v>
      </c>
      <c r="G1119" t="s">
        <v>9180</v>
      </c>
    </row>
    <row r="1120" spans="2:7">
      <c r="B1120" s="871">
        <v>46287</v>
      </c>
      <c r="C1120" t="s">
        <v>2491</v>
      </c>
      <c r="D1120" t="s">
        <v>528</v>
      </c>
      <c r="E1120" t="s">
        <v>1454</v>
      </c>
      <c r="F1120" s="381" t="s">
        <v>2168</v>
      </c>
      <c r="G1120" t="s">
        <v>9181</v>
      </c>
    </row>
    <row r="1121" spans="2:7">
      <c r="B1121" s="871">
        <v>46287</v>
      </c>
      <c r="C1121" t="s">
        <v>2491</v>
      </c>
      <c r="D1121" t="s">
        <v>528</v>
      </c>
      <c r="E1121" t="s">
        <v>1458</v>
      </c>
      <c r="F1121" s="381" t="s">
        <v>2169</v>
      </c>
      <c r="G1121" t="s">
        <v>9182</v>
      </c>
    </row>
    <row r="1122" spans="2:7">
      <c r="B1122" s="871">
        <v>46287</v>
      </c>
      <c r="C1122" t="s">
        <v>2491</v>
      </c>
      <c r="D1122" t="s">
        <v>528</v>
      </c>
      <c r="E1122" t="s">
        <v>1458</v>
      </c>
      <c r="F1122" s="381" t="s">
        <v>2170</v>
      </c>
      <c r="G1122" t="s">
        <v>9183</v>
      </c>
    </row>
    <row r="1123" spans="2:7">
      <c r="B1123" s="871">
        <v>46287</v>
      </c>
      <c r="C1123" t="s">
        <v>2491</v>
      </c>
      <c r="D1123" t="s">
        <v>528</v>
      </c>
      <c r="E1123" t="s">
        <v>1458</v>
      </c>
      <c r="F1123" s="381" t="s">
        <v>2171</v>
      </c>
      <c r="G1123" t="s">
        <v>9184</v>
      </c>
    </row>
    <row r="1124" spans="2:7">
      <c r="B1124" s="871">
        <v>46287</v>
      </c>
      <c r="C1124" t="s">
        <v>2491</v>
      </c>
      <c r="D1124" t="s">
        <v>528</v>
      </c>
      <c r="E1124" t="s">
        <v>1376</v>
      </c>
      <c r="F1124" s="381" t="s">
        <v>2172</v>
      </c>
      <c r="G1124" t="s">
        <v>9185</v>
      </c>
    </row>
    <row r="1125" spans="2:7">
      <c r="B1125" s="871">
        <v>46287</v>
      </c>
      <c r="C1125" t="s">
        <v>2491</v>
      </c>
      <c r="D1125" t="s">
        <v>528</v>
      </c>
      <c r="E1125" t="s">
        <v>1376</v>
      </c>
      <c r="F1125" s="381" t="s">
        <v>2060</v>
      </c>
      <c r="G1125" t="s">
        <v>9186</v>
      </c>
    </row>
    <row r="1126" spans="2:7">
      <c r="B1126" s="871">
        <v>46287</v>
      </c>
      <c r="C1126" t="s">
        <v>2491</v>
      </c>
      <c r="D1126" t="s">
        <v>528</v>
      </c>
      <c r="E1126" t="s">
        <v>1376</v>
      </c>
      <c r="F1126" s="381" t="s">
        <v>2173</v>
      </c>
      <c r="G1126" t="s">
        <v>9187</v>
      </c>
    </row>
    <row r="1127" spans="2:7">
      <c r="B1127" s="871">
        <v>46287</v>
      </c>
      <c r="C1127" t="s">
        <v>2491</v>
      </c>
      <c r="D1127" t="s">
        <v>528</v>
      </c>
      <c r="E1127" t="s">
        <v>1376</v>
      </c>
      <c r="F1127" s="381" t="s">
        <v>2016</v>
      </c>
      <c r="G1127" t="s">
        <v>9188</v>
      </c>
    </row>
    <row r="1128" spans="2:7">
      <c r="B1128" s="871">
        <v>46287</v>
      </c>
      <c r="C1128" t="s">
        <v>2491</v>
      </c>
      <c r="D1128" t="s">
        <v>528</v>
      </c>
      <c r="E1128" t="s">
        <v>1410</v>
      </c>
      <c r="F1128" s="381" t="s">
        <v>1433</v>
      </c>
      <c r="G1128" t="s">
        <v>9189</v>
      </c>
    </row>
    <row r="1129" spans="2:7">
      <c r="B1129" s="871">
        <v>46287</v>
      </c>
      <c r="C1129" t="s">
        <v>2491</v>
      </c>
      <c r="D1129" t="s">
        <v>528</v>
      </c>
      <c r="E1129" t="s">
        <v>1410</v>
      </c>
      <c r="F1129" s="381" t="s">
        <v>2174</v>
      </c>
      <c r="G1129" t="s">
        <v>9190</v>
      </c>
    </row>
    <row r="1130" spans="2:7">
      <c r="B1130" s="871">
        <v>46287</v>
      </c>
      <c r="C1130" t="s">
        <v>2491</v>
      </c>
      <c r="D1130" t="s">
        <v>528</v>
      </c>
      <c r="E1130" t="s">
        <v>1410</v>
      </c>
      <c r="F1130" s="381" t="s">
        <v>2175</v>
      </c>
      <c r="G1130" t="s">
        <v>9191</v>
      </c>
    </row>
    <row r="1131" spans="2:7">
      <c r="B1131" s="871">
        <v>46287</v>
      </c>
      <c r="C1131" t="s">
        <v>2491</v>
      </c>
      <c r="D1131" t="s">
        <v>528</v>
      </c>
      <c r="E1131" t="s">
        <v>1410</v>
      </c>
      <c r="F1131" s="381" t="s">
        <v>1942</v>
      </c>
      <c r="G1131" t="s">
        <v>9192</v>
      </c>
    </row>
    <row r="1132" spans="2:7">
      <c r="B1132" s="871">
        <v>46287</v>
      </c>
      <c r="C1132" t="s">
        <v>2491</v>
      </c>
      <c r="D1132" t="s">
        <v>528</v>
      </c>
      <c r="E1132" t="s">
        <v>1410</v>
      </c>
      <c r="F1132" s="381" t="s">
        <v>2019</v>
      </c>
      <c r="G1132" t="s">
        <v>9193</v>
      </c>
    </row>
    <row r="1133" spans="2:7">
      <c r="B1133" s="871">
        <v>46287</v>
      </c>
      <c r="C1133" t="s">
        <v>2491</v>
      </c>
      <c r="D1133" t="s">
        <v>528</v>
      </c>
      <c r="E1133" t="s">
        <v>1410</v>
      </c>
      <c r="F1133" s="381" t="s">
        <v>2176</v>
      </c>
      <c r="G1133" t="s">
        <v>9194</v>
      </c>
    </row>
    <row r="1134" spans="2:7">
      <c r="B1134" s="871">
        <v>46287</v>
      </c>
      <c r="C1134" t="s">
        <v>2491</v>
      </c>
      <c r="D1134" t="s">
        <v>528</v>
      </c>
      <c r="E1134" t="s">
        <v>1410</v>
      </c>
      <c r="F1134" s="381" t="s">
        <v>2020</v>
      </c>
      <c r="G1134" t="s">
        <v>9195</v>
      </c>
    </row>
    <row r="1135" spans="2:7">
      <c r="B1135" s="871">
        <v>46287</v>
      </c>
      <c r="C1135" t="s">
        <v>2491</v>
      </c>
      <c r="D1135" t="s">
        <v>528</v>
      </c>
      <c r="E1135" t="s">
        <v>1410</v>
      </c>
      <c r="F1135" s="381" t="s">
        <v>2177</v>
      </c>
      <c r="G1135" t="s">
        <v>9196</v>
      </c>
    </row>
    <row r="1136" spans="2:7">
      <c r="B1136" s="871">
        <v>46287</v>
      </c>
      <c r="C1136" t="s">
        <v>2491</v>
      </c>
      <c r="D1136" t="s">
        <v>528</v>
      </c>
      <c r="E1136" t="s">
        <v>1393</v>
      </c>
      <c r="F1136" s="381" t="s">
        <v>2178</v>
      </c>
      <c r="G1136" t="s">
        <v>9197</v>
      </c>
    </row>
    <row r="1137" spans="2:7">
      <c r="B1137" s="871">
        <v>46287</v>
      </c>
      <c r="C1137" t="s">
        <v>2491</v>
      </c>
      <c r="D1137" t="s">
        <v>528</v>
      </c>
      <c r="E1137" t="s">
        <v>1393</v>
      </c>
      <c r="F1137" s="381" t="s">
        <v>1523</v>
      </c>
      <c r="G1137" t="s">
        <v>9198</v>
      </c>
    </row>
    <row r="1138" spans="2:7">
      <c r="B1138" s="871">
        <v>46287</v>
      </c>
      <c r="C1138" t="s">
        <v>2491</v>
      </c>
      <c r="D1138" t="s">
        <v>528</v>
      </c>
      <c r="E1138" t="s">
        <v>1393</v>
      </c>
      <c r="F1138" s="381" t="s">
        <v>1524</v>
      </c>
      <c r="G1138" t="s">
        <v>9199</v>
      </c>
    </row>
    <row r="1139" spans="2:7">
      <c r="B1139" s="871">
        <v>46287</v>
      </c>
      <c r="C1139" t="s">
        <v>2491</v>
      </c>
      <c r="D1139" t="s">
        <v>528</v>
      </c>
      <c r="E1139" t="s">
        <v>1393</v>
      </c>
      <c r="F1139" s="381" t="s">
        <v>1652</v>
      </c>
      <c r="G1139" t="s">
        <v>9200</v>
      </c>
    </row>
    <row r="1140" spans="2:7">
      <c r="B1140" s="871">
        <v>46287</v>
      </c>
      <c r="C1140" t="s">
        <v>2491</v>
      </c>
      <c r="D1140" t="s">
        <v>528</v>
      </c>
      <c r="E1140" t="s">
        <v>1393</v>
      </c>
      <c r="F1140" s="381" t="s">
        <v>2179</v>
      </c>
      <c r="G1140" t="s">
        <v>9201</v>
      </c>
    </row>
    <row r="1141" spans="2:7">
      <c r="B1141" s="871">
        <v>46287</v>
      </c>
      <c r="C1141" t="s">
        <v>2491</v>
      </c>
      <c r="D1141" t="s">
        <v>528</v>
      </c>
      <c r="E1141" t="s">
        <v>1393</v>
      </c>
      <c r="F1141" s="381" t="s">
        <v>2180</v>
      </c>
      <c r="G1141" t="s">
        <v>9202</v>
      </c>
    </row>
    <row r="1142" spans="2:7">
      <c r="B1142" s="871">
        <v>46287</v>
      </c>
      <c r="C1142" t="s">
        <v>2491</v>
      </c>
      <c r="D1142" t="s">
        <v>528</v>
      </c>
      <c r="E1142" t="s">
        <v>1393</v>
      </c>
      <c r="F1142" s="381" t="s">
        <v>2181</v>
      </c>
      <c r="G1142" t="s">
        <v>9203</v>
      </c>
    </row>
    <row r="1143" spans="2:7">
      <c r="B1143" s="871">
        <v>46287</v>
      </c>
      <c r="C1143" t="s">
        <v>2491</v>
      </c>
      <c r="D1143" t="s">
        <v>528</v>
      </c>
      <c r="E1143" t="s">
        <v>1393</v>
      </c>
      <c r="F1143" s="381" t="s">
        <v>2182</v>
      </c>
      <c r="G1143" t="s">
        <v>9204</v>
      </c>
    </row>
    <row r="1144" spans="2:7">
      <c r="B1144" s="871">
        <v>46287</v>
      </c>
      <c r="C1144" t="s">
        <v>2491</v>
      </c>
      <c r="D1144" t="s">
        <v>528</v>
      </c>
      <c r="E1144" t="s">
        <v>1393</v>
      </c>
      <c r="F1144" s="381" t="s">
        <v>2183</v>
      </c>
      <c r="G1144" t="s">
        <v>9205</v>
      </c>
    </row>
    <row r="1145" spans="2:7">
      <c r="B1145" s="871">
        <v>46287</v>
      </c>
      <c r="C1145" t="s">
        <v>2491</v>
      </c>
      <c r="D1145" t="s">
        <v>528</v>
      </c>
      <c r="E1145" t="s">
        <v>1393</v>
      </c>
      <c r="F1145" s="381" t="s">
        <v>2184</v>
      </c>
      <c r="G1145" t="s">
        <v>9206</v>
      </c>
    </row>
    <row r="1146" spans="2:7">
      <c r="B1146" s="871">
        <v>46287</v>
      </c>
      <c r="C1146" t="s">
        <v>2491</v>
      </c>
      <c r="D1146" t="s">
        <v>528</v>
      </c>
      <c r="E1146" t="s">
        <v>1434</v>
      </c>
      <c r="F1146" s="381" t="s">
        <v>2185</v>
      </c>
      <c r="G1146" t="s">
        <v>9207</v>
      </c>
    </row>
    <row r="1147" spans="2:7">
      <c r="B1147" s="871">
        <v>46287</v>
      </c>
      <c r="C1147" t="s">
        <v>2491</v>
      </c>
      <c r="D1147" t="s">
        <v>528</v>
      </c>
      <c r="E1147" t="s">
        <v>1434</v>
      </c>
      <c r="F1147" s="381" t="s">
        <v>9846</v>
      </c>
      <c r="G1147" t="s">
        <v>9208</v>
      </c>
    </row>
    <row r="1148" spans="2:7">
      <c r="B1148" s="871">
        <v>46287</v>
      </c>
      <c r="C1148" t="s">
        <v>2491</v>
      </c>
      <c r="D1148" t="s">
        <v>528</v>
      </c>
      <c r="E1148" t="s">
        <v>1434</v>
      </c>
      <c r="F1148" s="381" t="s">
        <v>9847</v>
      </c>
      <c r="G1148" t="s">
        <v>9209</v>
      </c>
    </row>
    <row r="1149" spans="2:7">
      <c r="B1149" s="871">
        <v>46287</v>
      </c>
      <c r="C1149" t="s">
        <v>2491</v>
      </c>
      <c r="D1149" t="s">
        <v>528</v>
      </c>
      <c r="E1149" t="s">
        <v>1434</v>
      </c>
      <c r="F1149" s="381" t="s">
        <v>9848</v>
      </c>
      <c r="G1149" t="s">
        <v>9210</v>
      </c>
    </row>
    <row r="1150" spans="2:7">
      <c r="B1150" s="871">
        <v>46287</v>
      </c>
      <c r="C1150" t="s">
        <v>2491</v>
      </c>
      <c r="D1150" t="s">
        <v>528</v>
      </c>
      <c r="E1150" t="s">
        <v>1434</v>
      </c>
      <c r="F1150" s="381" t="s">
        <v>9849</v>
      </c>
      <c r="G1150" s="945" t="s">
        <v>9211</v>
      </c>
    </row>
    <row r="1151" spans="2:7">
      <c r="B1151" s="871">
        <v>46287</v>
      </c>
      <c r="C1151" t="s">
        <v>2491</v>
      </c>
      <c r="D1151" t="s">
        <v>528</v>
      </c>
      <c r="E1151" t="s">
        <v>1434</v>
      </c>
      <c r="F1151" s="381" t="s">
        <v>9850</v>
      </c>
      <c r="G1151" t="s">
        <v>9212</v>
      </c>
    </row>
    <row r="1152" spans="2:7">
      <c r="B1152" s="871">
        <v>46287</v>
      </c>
      <c r="C1152" t="s">
        <v>2491</v>
      </c>
      <c r="D1152" t="s">
        <v>528</v>
      </c>
      <c r="E1152" t="s">
        <v>1434</v>
      </c>
      <c r="F1152" s="381" t="s">
        <v>9851</v>
      </c>
      <c r="G1152" t="s">
        <v>9213</v>
      </c>
    </row>
    <row r="1153" spans="2:7">
      <c r="B1153" s="871">
        <v>46287</v>
      </c>
      <c r="C1153" t="s">
        <v>2491</v>
      </c>
      <c r="D1153" t="s">
        <v>528</v>
      </c>
      <c r="E1153" t="s">
        <v>1434</v>
      </c>
      <c r="F1153" s="381" t="s">
        <v>9852</v>
      </c>
      <c r="G1153" t="s">
        <v>9214</v>
      </c>
    </row>
    <row r="1154" spans="2:7">
      <c r="B1154" s="871">
        <v>46287</v>
      </c>
      <c r="C1154" t="s">
        <v>2491</v>
      </c>
      <c r="D1154" t="s">
        <v>528</v>
      </c>
      <c r="E1154" t="s">
        <v>1434</v>
      </c>
      <c r="F1154" s="381" t="s">
        <v>2186</v>
      </c>
      <c r="G1154" t="s">
        <v>9215</v>
      </c>
    </row>
    <row r="1155" spans="2:7" ht="120">
      <c r="B1155" s="1560">
        <v>46288</v>
      </c>
      <c r="C1155" s="1038" t="s">
        <v>10429</v>
      </c>
      <c r="D1155" s="1038" t="s">
        <v>526</v>
      </c>
      <c r="E1155" s="1038" t="s">
        <v>1375</v>
      </c>
      <c r="F1155" s="1566" t="s">
        <v>12019</v>
      </c>
      <c r="G1155" s="1038" t="s">
        <v>12020</v>
      </c>
    </row>
    <row r="1156" spans="2:7" ht="165">
      <c r="B1156" s="1560">
        <v>46288</v>
      </c>
      <c r="C1156" s="1038" t="s">
        <v>10429</v>
      </c>
      <c r="D1156" s="1038" t="s">
        <v>526</v>
      </c>
      <c r="E1156" s="1038" t="s">
        <v>1454</v>
      </c>
      <c r="F1156" s="1566" t="s">
        <v>12021</v>
      </c>
      <c r="G1156" s="1038" t="s">
        <v>12022</v>
      </c>
    </row>
    <row r="1157" spans="2:7" ht="75">
      <c r="B1157" s="1560">
        <v>46288</v>
      </c>
      <c r="C1157" s="1038" t="s">
        <v>10429</v>
      </c>
      <c r="D1157" s="1038" t="s">
        <v>526</v>
      </c>
      <c r="E1157" s="1038" t="s">
        <v>1458</v>
      </c>
      <c r="F1157" s="1567" t="s">
        <v>12023</v>
      </c>
      <c r="G1157" s="1038" t="s">
        <v>12024</v>
      </c>
    </row>
    <row r="1158" spans="2:7" ht="195">
      <c r="B1158" s="1560">
        <v>46288</v>
      </c>
      <c r="C1158" s="1038" t="s">
        <v>10429</v>
      </c>
      <c r="D1158" s="1038" t="s">
        <v>526</v>
      </c>
      <c r="E1158" s="1038" t="s">
        <v>1376</v>
      </c>
      <c r="F1158" s="1566" t="s">
        <v>2153</v>
      </c>
      <c r="G1158" s="1038" t="s">
        <v>12025</v>
      </c>
    </row>
    <row r="1159" spans="2:7" ht="120">
      <c r="B1159" s="1560">
        <v>46288</v>
      </c>
      <c r="C1159" s="1038" t="s">
        <v>10429</v>
      </c>
      <c r="D1159" s="1038" t="s">
        <v>526</v>
      </c>
      <c r="E1159" s="1038" t="s">
        <v>1393</v>
      </c>
      <c r="F1159" s="1566" t="s">
        <v>12026</v>
      </c>
      <c r="G1159" s="1038" t="s">
        <v>12027</v>
      </c>
    </row>
    <row r="1160" spans="2:7">
      <c r="B1160" s="1560">
        <v>46288</v>
      </c>
      <c r="C1160" s="1038" t="s">
        <v>10429</v>
      </c>
      <c r="D1160" s="1038" t="s">
        <v>526</v>
      </c>
      <c r="E1160" s="1038" t="s">
        <v>1465</v>
      </c>
      <c r="F1160" s="1566" t="s">
        <v>12028</v>
      </c>
      <c r="G1160" s="1038" t="s">
        <v>12029</v>
      </c>
    </row>
    <row r="1161" spans="2:7" ht="255">
      <c r="B1161" s="1560">
        <v>46288</v>
      </c>
      <c r="C1161" s="1038" t="s">
        <v>10429</v>
      </c>
      <c r="D1161" s="1038" t="s">
        <v>526</v>
      </c>
      <c r="E1161" s="1038" t="s">
        <v>1410</v>
      </c>
      <c r="F1161" s="1566" t="s">
        <v>12030</v>
      </c>
      <c r="G1161" s="1038" t="s">
        <v>12031</v>
      </c>
    </row>
    <row r="1162" spans="2:7" ht="409.5">
      <c r="B1162" s="1560">
        <v>46288</v>
      </c>
      <c r="C1162" s="1038" t="s">
        <v>10429</v>
      </c>
      <c r="D1162" s="1038" t="s">
        <v>526</v>
      </c>
      <c r="E1162" s="1038" t="s">
        <v>1434</v>
      </c>
      <c r="F1162" s="1566" t="s">
        <v>12032</v>
      </c>
      <c r="G1162" s="1038" t="s">
        <v>12033</v>
      </c>
    </row>
    <row r="1163" spans="2:7" ht="165">
      <c r="B1163" s="1560">
        <v>46288</v>
      </c>
      <c r="C1163" s="1038" t="s">
        <v>10429</v>
      </c>
      <c r="D1163" s="1038" t="s">
        <v>527</v>
      </c>
      <c r="E1163" s="1038" t="s">
        <v>1375</v>
      </c>
      <c r="F1163" s="1566" t="s">
        <v>12034</v>
      </c>
      <c r="G1163" s="1038" t="s">
        <v>12035</v>
      </c>
    </row>
    <row r="1164" spans="2:7" ht="135">
      <c r="B1164" s="1560">
        <v>46288</v>
      </c>
      <c r="C1164" s="1038" t="s">
        <v>10429</v>
      </c>
      <c r="D1164" s="1038" t="s">
        <v>527</v>
      </c>
      <c r="E1164" s="1038" t="s">
        <v>1454</v>
      </c>
      <c r="F1164" s="1566" t="s">
        <v>12036</v>
      </c>
      <c r="G1164" s="1038" t="s">
        <v>12037</v>
      </c>
    </row>
    <row r="1165" spans="2:7" ht="30">
      <c r="B1165" s="1560">
        <v>46288</v>
      </c>
      <c r="C1165" s="1038" t="s">
        <v>10429</v>
      </c>
      <c r="D1165" s="1038" t="s">
        <v>527</v>
      </c>
      <c r="E1165" s="1038" t="s">
        <v>1472</v>
      </c>
      <c r="F1165" s="1567" t="s">
        <v>12038</v>
      </c>
      <c r="G1165" s="1038" t="s">
        <v>12039</v>
      </c>
    </row>
    <row r="1166" spans="2:7" ht="75">
      <c r="B1166" s="1560">
        <v>46288</v>
      </c>
      <c r="C1166" s="1038" t="s">
        <v>10429</v>
      </c>
      <c r="D1166" s="1038" t="s">
        <v>527</v>
      </c>
      <c r="E1166" s="1038" t="s">
        <v>1474</v>
      </c>
      <c r="F1166" s="1566" t="s">
        <v>12040</v>
      </c>
      <c r="G1166" s="1038" t="s">
        <v>12041</v>
      </c>
    </row>
    <row r="1167" spans="2:7" ht="150">
      <c r="B1167" s="1560">
        <v>46288</v>
      </c>
      <c r="C1167" s="1038" t="s">
        <v>10429</v>
      </c>
      <c r="D1167" s="1038" t="s">
        <v>527</v>
      </c>
      <c r="E1167" s="1038" t="s">
        <v>1393</v>
      </c>
      <c r="F1167" s="1566" t="s">
        <v>12042</v>
      </c>
      <c r="G1167" s="1038" t="s">
        <v>12043</v>
      </c>
    </row>
    <row r="1168" spans="2:7" ht="165">
      <c r="B1168" s="1560">
        <v>46288</v>
      </c>
      <c r="C1168" s="1038" t="s">
        <v>10429</v>
      </c>
      <c r="D1168" s="1038" t="s">
        <v>527</v>
      </c>
      <c r="E1168" s="1038" t="s">
        <v>1410</v>
      </c>
      <c r="F1168" s="1566" t="s">
        <v>12044</v>
      </c>
      <c r="G1168" s="1038" t="s">
        <v>12045</v>
      </c>
    </row>
    <row r="1169" spans="2:7" ht="409.5">
      <c r="B1169" s="1560">
        <v>46288</v>
      </c>
      <c r="C1169" s="1038" t="s">
        <v>10429</v>
      </c>
      <c r="D1169" s="1038" t="s">
        <v>527</v>
      </c>
      <c r="E1169" s="1038" t="s">
        <v>1434</v>
      </c>
      <c r="F1169" s="1566" t="s">
        <v>12127</v>
      </c>
      <c r="G1169" s="1038" t="s">
        <v>12046</v>
      </c>
    </row>
    <row r="1170" spans="2:7">
      <c r="B1170" s="1560">
        <v>46288</v>
      </c>
      <c r="C1170" s="1038" t="s">
        <v>10429</v>
      </c>
      <c r="D1170" s="1038" t="s">
        <v>528</v>
      </c>
      <c r="E1170" s="1038" t="s">
        <v>1375</v>
      </c>
      <c r="F1170" s="1566" t="s">
        <v>2052</v>
      </c>
      <c r="G1170" s="1038" t="s">
        <v>12047</v>
      </c>
    </row>
    <row r="1171" spans="2:7">
      <c r="B1171" s="1560">
        <v>46288</v>
      </c>
      <c r="C1171" s="1038" t="s">
        <v>10429</v>
      </c>
      <c r="D1171" s="1038" t="s">
        <v>528</v>
      </c>
      <c r="E1171" s="1038" t="s">
        <v>1375</v>
      </c>
      <c r="F1171" s="1566" t="s">
        <v>12048</v>
      </c>
      <c r="G1171" s="1038" t="s">
        <v>12049</v>
      </c>
    </row>
    <row r="1172" spans="2:7">
      <c r="B1172" s="1560">
        <v>46288</v>
      </c>
      <c r="C1172" s="1038" t="s">
        <v>10429</v>
      </c>
      <c r="D1172" s="1038" t="s">
        <v>528</v>
      </c>
      <c r="E1172" s="1038" t="s">
        <v>1375</v>
      </c>
      <c r="F1172" s="1567" t="s">
        <v>12050</v>
      </c>
      <c r="G1172" s="1038" t="s">
        <v>12051</v>
      </c>
    </row>
    <row r="1173" spans="2:7">
      <c r="B1173" s="1560">
        <v>46288</v>
      </c>
      <c r="C1173" s="1038" t="s">
        <v>10429</v>
      </c>
      <c r="D1173" s="1038" t="s">
        <v>528</v>
      </c>
      <c r="E1173" s="1038" t="s">
        <v>1375</v>
      </c>
      <c r="F1173" s="1566" t="s">
        <v>12052</v>
      </c>
      <c r="G1173" s="1038" t="s">
        <v>12053</v>
      </c>
    </row>
    <row r="1174" spans="2:7">
      <c r="B1174" s="1560">
        <v>46288</v>
      </c>
      <c r="C1174" s="1038" t="s">
        <v>10429</v>
      </c>
      <c r="D1174" s="1038" t="s">
        <v>528</v>
      </c>
      <c r="E1174" s="1038" t="s">
        <v>1454</v>
      </c>
      <c r="F1174" s="1567" t="s">
        <v>12054</v>
      </c>
      <c r="G1174" s="1038" t="s">
        <v>12055</v>
      </c>
    </row>
    <row r="1175" spans="2:7">
      <c r="B1175" s="1560">
        <v>46288</v>
      </c>
      <c r="C1175" s="1038" t="s">
        <v>10429</v>
      </c>
      <c r="D1175" s="1038" t="s">
        <v>528</v>
      </c>
      <c r="E1175" s="1038" t="s">
        <v>1458</v>
      </c>
      <c r="F1175" s="1566" t="s">
        <v>12056</v>
      </c>
      <c r="G1175" s="1038" t="s">
        <v>12057</v>
      </c>
    </row>
    <row r="1176" spans="2:7">
      <c r="B1176" s="1560">
        <v>46288</v>
      </c>
      <c r="C1176" s="1038" t="s">
        <v>10429</v>
      </c>
      <c r="D1176" s="1038" t="s">
        <v>528</v>
      </c>
      <c r="E1176" s="1038" t="s">
        <v>1458</v>
      </c>
      <c r="F1176" s="1566" t="s">
        <v>12058</v>
      </c>
      <c r="G1176" s="1038" t="s">
        <v>12059</v>
      </c>
    </row>
    <row r="1177" spans="2:7">
      <c r="B1177" s="1560">
        <v>46288</v>
      </c>
      <c r="C1177" s="1038" t="s">
        <v>10429</v>
      </c>
      <c r="D1177" s="1038" t="s">
        <v>528</v>
      </c>
      <c r="E1177" s="1038" t="s">
        <v>1458</v>
      </c>
      <c r="F1177" s="1566" t="s">
        <v>12060</v>
      </c>
      <c r="G1177" s="1038" t="s">
        <v>12061</v>
      </c>
    </row>
    <row r="1178" spans="2:7">
      <c r="B1178" s="1560">
        <v>46288</v>
      </c>
      <c r="C1178" s="1038" t="s">
        <v>10429</v>
      </c>
      <c r="D1178" s="1038" t="s">
        <v>528</v>
      </c>
      <c r="E1178" s="1038" t="s">
        <v>1458</v>
      </c>
      <c r="F1178" s="1566" t="s">
        <v>12062</v>
      </c>
      <c r="G1178" s="1038" t="s">
        <v>12063</v>
      </c>
    </row>
    <row r="1179" spans="2:7">
      <c r="B1179" s="1560">
        <v>46288</v>
      </c>
      <c r="C1179" s="1038" t="s">
        <v>10429</v>
      </c>
      <c r="D1179" s="1038" t="s">
        <v>528</v>
      </c>
      <c r="E1179" s="1038" t="s">
        <v>1458</v>
      </c>
      <c r="F1179" s="1566" t="s">
        <v>12064</v>
      </c>
      <c r="G1179" s="1038" t="s">
        <v>12065</v>
      </c>
    </row>
    <row r="1180" spans="2:7">
      <c r="B1180" s="1560">
        <v>46288</v>
      </c>
      <c r="C1180" s="1038" t="s">
        <v>10429</v>
      </c>
      <c r="D1180" s="1038" t="s">
        <v>528</v>
      </c>
      <c r="E1180" s="1038" t="s">
        <v>1458</v>
      </c>
      <c r="F1180" s="1566" t="s">
        <v>12066</v>
      </c>
      <c r="G1180" s="1038" t="s">
        <v>12067</v>
      </c>
    </row>
    <row r="1181" spans="2:7">
      <c r="B1181" s="1560">
        <v>46288</v>
      </c>
      <c r="C1181" s="1038" t="s">
        <v>10429</v>
      </c>
      <c r="D1181" s="1038" t="s">
        <v>528</v>
      </c>
      <c r="E1181" s="1038" t="s">
        <v>1474</v>
      </c>
      <c r="F1181" s="1566" t="s">
        <v>12068</v>
      </c>
      <c r="G1181" s="1038" t="s">
        <v>12069</v>
      </c>
    </row>
    <row r="1182" spans="2:7">
      <c r="B1182" s="1560">
        <v>46288</v>
      </c>
      <c r="C1182" s="1038" t="s">
        <v>10429</v>
      </c>
      <c r="D1182" s="1038" t="s">
        <v>528</v>
      </c>
      <c r="E1182" s="1038" t="s">
        <v>1376</v>
      </c>
      <c r="F1182" s="1566" t="s">
        <v>12070</v>
      </c>
      <c r="G1182" s="1038" t="s">
        <v>12071</v>
      </c>
    </row>
    <row r="1183" spans="2:7">
      <c r="B1183" s="1560">
        <v>46288</v>
      </c>
      <c r="C1183" s="1038" t="s">
        <v>10429</v>
      </c>
      <c r="D1183" s="1038" t="s">
        <v>528</v>
      </c>
      <c r="E1183" s="1038" t="s">
        <v>1376</v>
      </c>
      <c r="F1183" s="1566" t="s">
        <v>2060</v>
      </c>
      <c r="G1183" s="1038" t="s">
        <v>12072</v>
      </c>
    </row>
    <row r="1184" spans="2:7">
      <c r="B1184" s="1560">
        <v>46288</v>
      </c>
      <c r="C1184" s="1038" t="s">
        <v>10429</v>
      </c>
      <c r="D1184" s="1038" t="s">
        <v>528</v>
      </c>
      <c r="E1184" s="1038" t="s">
        <v>1376</v>
      </c>
      <c r="F1184" s="1566" t="s">
        <v>12073</v>
      </c>
      <c r="G1184" s="1038" t="s">
        <v>12074</v>
      </c>
    </row>
    <row r="1185" spans="2:7">
      <c r="B1185" s="1560">
        <v>46288</v>
      </c>
      <c r="C1185" s="1038" t="s">
        <v>10429</v>
      </c>
      <c r="D1185" s="1038" t="s">
        <v>528</v>
      </c>
      <c r="E1185" s="1038" t="s">
        <v>1376</v>
      </c>
      <c r="F1185" s="1566" t="s">
        <v>12075</v>
      </c>
      <c r="G1185" s="1038" t="s">
        <v>12076</v>
      </c>
    </row>
    <row r="1186" spans="2:7">
      <c r="B1186" s="1560">
        <v>46288</v>
      </c>
      <c r="C1186" s="1038" t="s">
        <v>10429</v>
      </c>
      <c r="D1186" s="1038" t="s">
        <v>528</v>
      </c>
      <c r="E1186" s="1038" t="s">
        <v>1376</v>
      </c>
      <c r="F1186" s="1566" t="s">
        <v>2016</v>
      </c>
      <c r="G1186" s="1038" t="s">
        <v>12077</v>
      </c>
    </row>
    <row r="1187" spans="2:7">
      <c r="B1187" s="1560">
        <v>46288</v>
      </c>
      <c r="C1187" s="1038" t="s">
        <v>10429</v>
      </c>
      <c r="D1187" s="1038" t="s">
        <v>528</v>
      </c>
      <c r="E1187" s="1038" t="s">
        <v>1410</v>
      </c>
      <c r="F1187" s="1566" t="s">
        <v>1433</v>
      </c>
      <c r="G1187" s="1038" t="s">
        <v>12078</v>
      </c>
    </row>
    <row r="1188" spans="2:7">
      <c r="B1188" s="1560">
        <v>46288</v>
      </c>
      <c r="C1188" s="1038" t="s">
        <v>10429</v>
      </c>
      <c r="D1188" s="1038" t="s">
        <v>528</v>
      </c>
      <c r="E1188" s="1038" t="s">
        <v>1410</v>
      </c>
      <c r="F1188" s="1566" t="s">
        <v>2174</v>
      </c>
      <c r="G1188" s="1038" t="s">
        <v>12079</v>
      </c>
    </row>
    <row r="1189" spans="2:7">
      <c r="B1189" s="1560">
        <v>46288</v>
      </c>
      <c r="C1189" s="1038" t="s">
        <v>10429</v>
      </c>
      <c r="D1189" s="1038" t="s">
        <v>528</v>
      </c>
      <c r="E1189" s="1038" t="s">
        <v>1410</v>
      </c>
      <c r="F1189" s="1566" t="s">
        <v>12080</v>
      </c>
      <c r="G1189" s="1038" t="s">
        <v>12081</v>
      </c>
    </row>
    <row r="1190" spans="2:7">
      <c r="B1190" s="1560">
        <v>46288</v>
      </c>
      <c r="C1190" s="1038" t="s">
        <v>10429</v>
      </c>
      <c r="D1190" s="1038" t="s">
        <v>528</v>
      </c>
      <c r="E1190" s="1038" t="s">
        <v>1410</v>
      </c>
      <c r="F1190" s="1566" t="s">
        <v>1942</v>
      </c>
      <c r="G1190" s="1038" t="s">
        <v>12082</v>
      </c>
    </row>
    <row r="1191" spans="2:7">
      <c r="B1191" s="1560">
        <v>46288</v>
      </c>
      <c r="C1191" s="1038" t="s">
        <v>10429</v>
      </c>
      <c r="D1191" s="1038" t="s">
        <v>528</v>
      </c>
      <c r="E1191" s="1038" t="s">
        <v>1410</v>
      </c>
      <c r="F1191" s="1566" t="s">
        <v>2019</v>
      </c>
      <c r="G1191" s="1038" t="s">
        <v>12083</v>
      </c>
    </row>
    <row r="1192" spans="2:7">
      <c r="B1192" s="1560">
        <v>46288</v>
      </c>
      <c r="C1192" s="1038" t="s">
        <v>10429</v>
      </c>
      <c r="D1192" s="1038" t="s">
        <v>528</v>
      </c>
      <c r="E1192" s="1038" t="s">
        <v>1410</v>
      </c>
      <c r="F1192" s="1566" t="s">
        <v>1944</v>
      </c>
      <c r="G1192" s="1038" t="s">
        <v>12084</v>
      </c>
    </row>
    <row r="1193" spans="2:7">
      <c r="B1193" s="1560">
        <v>46288</v>
      </c>
      <c r="C1193" s="1038" t="s">
        <v>10429</v>
      </c>
      <c r="D1193" s="1038" t="s">
        <v>528</v>
      </c>
      <c r="E1193" s="1038" t="s">
        <v>1410</v>
      </c>
      <c r="F1193" s="1566" t="s">
        <v>12085</v>
      </c>
      <c r="G1193" s="1038" t="s">
        <v>12086</v>
      </c>
    </row>
    <row r="1194" spans="2:7">
      <c r="B1194" s="1560">
        <v>46288</v>
      </c>
      <c r="C1194" s="1038" t="s">
        <v>10429</v>
      </c>
      <c r="D1194" s="1038" t="s">
        <v>528</v>
      </c>
      <c r="E1194" s="1038" t="s">
        <v>1410</v>
      </c>
      <c r="F1194" s="1566" t="s">
        <v>12087</v>
      </c>
      <c r="G1194" s="1038" t="s">
        <v>12088</v>
      </c>
    </row>
    <row r="1195" spans="2:7">
      <c r="B1195" s="1560">
        <v>46288</v>
      </c>
      <c r="C1195" s="1038" t="s">
        <v>10429</v>
      </c>
      <c r="D1195" s="1038" t="s">
        <v>528</v>
      </c>
      <c r="E1195" s="1038" t="s">
        <v>1393</v>
      </c>
      <c r="F1195" s="1566" t="s">
        <v>12089</v>
      </c>
      <c r="G1195" s="1038" t="s">
        <v>12090</v>
      </c>
    </row>
    <row r="1196" spans="2:7">
      <c r="B1196" s="1560">
        <v>46288</v>
      </c>
      <c r="C1196" s="1038" t="s">
        <v>10429</v>
      </c>
      <c r="D1196" s="1038" t="s">
        <v>528</v>
      </c>
      <c r="E1196" s="1038" t="s">
        <v>1393</v>
      </c>
      <c r="F1196" s="1566" t="s">
        <v>1523</v>
      </c>
      <c r="G1196" s="1038" t="s">
        <v>12091</v>
      </c>
    </row>
    <row r="1197" spans="2:7">
      <c r="B1197" s="1560">
        <v>46288</v>
      </c>
      <c r="C1197" s="1038" t="s">
        <v>10429</v>
      </c>
      <c r="D1197" s="1038" t="s">
        <v>528</v>
      </c>
      <c r="E1197" s="1038" t="s">
        <v>1393</v>
      </c>
      <c r="F1197" s="1566" t="s">
        <v>1524</v>
      </c>
      <c r="G1197" s="1038" t="s">
        <v>12092</v>
      </c>
    </row>
    <row r="1198" spans="2:7">
      <c r="B1198" s="1560">
        <v>46288</v>
      </c>
      <c r="C1198" s="1038" t="s">
        <v>10429</v>
      </c>
      <c r="D1198" s="1038" t="s">
        <v>528</v>
      </c>
      <c r="E1198" s="1038" t="s">
        <v>1393</v>
      </c>
      <c r="F1198" s="1566" t="s">
        <v>12093</v>
      </c>
      <c r="G1198" s="1038" t="s">
        <v>12094</v>
      </c>
    </row>
    <row r="1199" spans="2:7">
      <c r="B1199" s="1560">
        <v>46288</v>
      </c>
      <c r="C1199" s="1038" t="s">
        <v>10429</v>
      </c>
      <c r="D1199" s="1038" t="s">
        <v>528</v>
      </c>
      <c r="E1199" s="1038" t="s">
        <v>1393</v>
      </c>
      <c r="F1199" s="1566" t="s">
        <v>12095</v>
      </c>
      <c r="G1199" s="1038" t="s">
        <v>12096</v>
      </c>
    </row>
    <row r="1200" spans="2:7">
      <c r="B1200" s="1560">
        <v>46288</v>
      </c>
      <c r="C1200" s="1038" t="s">
        <v>10429</v>
      </c>
      <c r="D1200" s="1038" t="s">
        <v>528</v>
      </c>
      <c r="E1200" s="1038" t="s">
        <v>1393</v>
      </c>
      <c r="F1200" s="1566" t="s">
        <v>12097</v>
      </c>
      <c r="G1200" s="1038" t="s">
        <v>12098</v>
      </c>
    </row>
    <row r="1201" spans="2:7">
      <c r="B1201" s="1560">
        <v>46288</v>
      </c>
      <c r="C1201" s="1038" t="s">
        <v>10429</v>
      </c>
      <c r="D1201" s="1038" t="s">
        <v>528</v>
      </c>
      <c r="E1201" s="1038" t="s">
        <v>1393</v>
      </c>
      <c r="F1201" s="1566" t="s">
        <v>1892</v>
      </c>
      <c r="G1201" s="1038" t="s">
        <v>12099</v>
      </c>
    </row>
    <row r="1202" spans="2:7">
      <c r="B1202" s="1560">
        <v>46288</v>
      </c>
      <c r="C1202" s="1038" t="s">
        <v>10429</v>
      </c>
      <c r="D1202" s="1038" t="s">
        <v>528</v>
      </c>
      <c r="E1202" s="1038" t="s">
        <v>1393</v>
      </c>
      <c r="F1202" s="1566" t="s">
        <v>12100</v>
      </c>
      <c r="G1202" s="1038" t="s">
        <v>12101</v>
      </c>
    </row>
    <row r="1203" spans="2:7">
      <c r="B1203" s="1560">
        <v>46288</v>
      </c>
      <c r="C1203" s="1038" t="s">
        <v>10429</v>
      </c>
      <c r="D1203" s="1038" t="s">
        <v>528</v>
      </c>
      <c r="E1203" s="1038" t="s">
        <v>1393</v>
      </c>
      <c r="F1203" s="1566" t="s">
        <v>2070</v>
      </c>
      <c r="G1203" s="1038" t="s">
        <v>12102</v>
      </c>
    </row>
    <row r="1204" spans="2:7">
      <c r="B1204" s="1560">
        <v>46288</v>
      </c>
      <c r="C1204" s="1038" t="s">
        <v>10429</v>
      </c>
      <c r="D1204" s="1038" t="s">
        <v>528</v>
      </c>
      <c r="E1204" s="1038" t="s">
        <v>1393</v>
      </c>
      <c r="F1204" s="1567" t="s">
        <v>12103</v>
      </c>
      <c r="G1204" s="1038" t="s">
        <v>12104</v>
      </c>
    </row>
    <row r="1205" spans="2:7">
      <c r="B1205" s="1560">
        <v>46288</v>
      </c>
      <c r="C1205" s="1038" t="s">
        <v>10429</v>
      </c>
      <c r="D1205" s="1038" t="s">
        <v>528</v>
      </c>
      <c r="E1205" s="1038" t="s">
        <v>1434</v>
      </c>
      <c r="F1205" s="1566" t="s">
        <v>12105</v>
      </c>
      <c r="G1205" s="1038" t="s">
        <v>12106</v>
      </c>
    </row>
    <row r="1206" spans="2:7">
      <c r="B1206" s="1560">
        <v>46288</v>
      </c>
      <c r="C1206" s="1038" t="s">
        <v>10429</v>
      </c>
      <c r="D1206" s="1038" t="s">
        <v>528</v>
      </c>
      <c r="E1206" s="1038" t="s">
        <v>1434</v>
      </c>
      <c r="F1206" s="1566" t="s">
        <v>12107</v>
      </c>
      <c r="G1206" s="1038" t="s">
        <v>12108</v>
      </c>
    </row>
    <row r="1207" spans="2:7">
      <c r="B1207" s="1560">
        <v>46288</v>
      </c>
      <c r="C1207" s="1038" t="s">
        <v>10429</v>
      </c>
      <c r="D1207" s="1038" t="s">
        <v>528</v>
      </c>
      <c r="E1207" s="1038" t="s">
        <v>1434</v>
      </c>
      <c r="F1207" s="1566" t="s">
        <v>12109</v>
      </c>
      <c r="G1207" s="1038" t="s">
        <v>12110</v>
      </c>
    </row>
    <row r="1208" spans="2:7">
      <c r="B1208" s="1560">
        <v>46288</v>
      </c>
      <c r="C1208" s="1038" t="s">
        <v>10429</v>
      </c>
      <c r="D1208" s="1038" t="s">
        <v>528</v>
      </c>
      <c r="E1208" s="1038" t="s">
        <v>1434</v>
      </c>
      <c r="F1208" s="1566" t="s">
        <v>12111</v>
      </c>
      <c r="G1208" s="1038" t="s">
        <v>12112</v>
      </c>
    </row>
    <row r="1209" spans="2:7">
      <c r="B1209" s="1560">
        <v>46288</v>
      </c>
      <c r="C1209" s="1038" t="s">
        <v>10429</v>
      </c>
      <c r="D1209" s="1038" t="s">
        <v>528</v>
      </c>
      <c r="E1209" s="1038" t="s">
        <v>1434</v>
      </c>
      <c r="F1209" s="1566" t="s">
        <v>12113</v>
      </c>
      <c r="G1209" s="1038" t="s">
        <v>12114</v>
      </c>
    </row>
    <row r="1210" spans="2:7">
      <c r="B1210" s="1560">
        <v>46288</v>
      </c>
      <c r="C1210" s="1038" t="s">
        <v>10429</v>
      </c>
      <c r="D1210" s="1038" t="s">
        <v>528</v>
      </c>
      <c r="E1210" s="1038" t="s">
        <v>1434</v>
      </c>
      <c r="F1210" s="1566" t="s">
        <v>12115</v>
      </c>
      <c r="G1210" s="1038" t="s">
        <v>12116</v>
      </c>
    </row>
    <row r="1211" spans="2:7">
      <c r="B1211" s="1560">
        <v>46288</v>
      </c>
      <c r="C1211" s="1038" t="s">
        <v>10429</v>
      </c>
      <c r="D1211" s="1038" t="s">
        <v>528</v>
      </c>
      <c r="E1211" s="1038" t="s">
        <v>1434</v>
      </c>
      <c r="F1211" s="1566" t="s">
        <v>12117</v>
      </c>
      <c r="G1211" s="1038" t="s">
        <v>12118</v>
      </c>
    </row>
    <row r="1212" spans="2:7">
      <c r="B1212" s="1560">
        <v>46288</v>
      </c>
      <c r="C1212" s="1038" t="s">
        <v>10429</v>
      </c>
      <c r="D1212" s="1038" t="s">
        <v>528</v>
      </c>
      <c r="E1212" s="1038" t="s">
        <v>1434</v>
      </c>
      <c r="F1212" s="1566" t="s">
        <v>12119</v>
      </c>
      <c r="G1212" s="1038" t="s">
        <v>12120</v>
      </c>
    </row>
    <row r="1213" spans="2:7">
      <c r="B1213" s="1560">
        <v>46288</v>
      </c>
      <c r="C1213" s="1038" t="s">
        <v>10429</v>
      </c>
      <c r="D1213" s="1038" t="s">
        <v>528</v>
      </c>
      <c r="E1213" s="1038" t="s">
        <v>1434</v>
      </c>
      <c r="F1213" s="1566" t="s">
        <v>12121</v>
      </c>
      <c r="G1213" s="1038" t="s">
        <v>12122</v>
      </c>
    </row>
    <row r="1214" spans="2:7">
      <c r="B1214" s="1560">
        <v>46288</v>
      </c>
      <c r="C1214" s="1038" t="s">
        <v>10429</v>
      </c>
      <c r="D1214" s="1038" t="s">
        <v>528</v>
      </c>
      <c r="E1214" s="1038" t="s">
        <v>1434</v>
      </c>
      <c r="F1214" s="1566" t="s">
        <v>12123</v>
      </c>
      <c r="G1214" s="1038" t="s">
        <v>12124</v>
      </c>
    </row>
    <row r="1215" spans="2:7">
      <c r="B1215" s="1560">
        <v>46288</v>
      </c>
      <c r="C1215" s="1038" t="s">
        <v>10429</v>
      </c>
      <c r="D1215" s="1038" t="s">
        <v>528</v>
      </c>
      <c r="E1215" s="1038" t="s">
        <v>1434</v>
      </c>
      <c r="F1215" s="1566" t="s">
        <v>12125</v>
      </c>
      <c r="G1215" s="1038" t="s">
        <v>12126</v>
      </c>
    </row>
    <row r="1216" spans="2:7" ht="210">
      <c r="B1216" s="1560">
        <v>46289</v>
      </c>
      <c r="C1216" s="1038" t="s">
        <v>10654</v>
      </c>
      <c r="D1216" s="1038" t="s">
        <v>526</v>
      </c>
      <c r="E1216" s="1038" t="s">
        <v>1375</v>
      </c>
      <c r="F1216" s="1566" t="s">
        <v>12128</v>
      </c>
      <c r="G1216" s="1038" t="s">
        <v>12129</v>
      </c>
    </row>
    <row r="1217" spans="2:7" ht="165">
      <c r="B1217" s="1560">
        <v>46289</v>
      </c>
      <c r="C1217" s="1038" t="s">
        <v>10654</v>
      </c>
      <c r="D1217" s="1038" t="s">
        <v>526</v>
      </c>
      <c r="E1217" s="1038" t="s">
        <v>1454</v>
      </c>
      <c r="F1217" s="1566" t="s">
        <v>12021</v>
      </c>
      <c r="G1217" s="1038" t="s">
        <v>12130</v>
      </c>
    </row>
    <row r="1218" spans="2:7" ht="75">
      <c r="B1218" s="1560">
        <v>46289</v>
      </c>
      <c r="C1218" s="1038" t="s">
        <v>10654</v>
      </c>
      <c r="D1218" s="1038" t="s">
        <v>526</v>
      </c>
      <c r="E1218" s="1038" t="s">
        <v>1458</v>
      </c>
      <c r="F1218" s="1567" t="s">
        <v>12023</v>
      </c>
      <c r="G1218" s="1038" t="s">
        <v>12131</v>
      </c>
    </row>
    <row r="1219" spans="2:7" ht="180">
      <c r="B1219" s="1560">
        <v>46289</v>
      </c>
      <c r="C1219" s="1038" t="s">
        <v>10654</v>
      </c>
      <c r="D1219" s="1038" t="s">
        <v>526</v>
      </c>
      <c r="E1219" s="1038" t="s">
        <v>1376</v>
      </c>
      <c r="F1219" s="1566" t="s">
        <v>12132</v>
      </c>
      <c r="G1219" s="1038" t="s">
        <v>12133</v>
      </c>
    </row>
    <row r="1220" spans="2:7" ht="195">
      <c r="B1220" s="1560">
        <v>46289</v>
      </c>
      <c r="C1220" s="1038" t="s">
        <v>10654</v>
      </c>
      <c r="D1220" s="1038" t="s">
        <v>526</v>
      </c>
      <c r="E1220" s="1038" t="s">
        <v>1393</v>
      </c>
      <c r="F1220" s="1566" t="s">
        <v>12134</v>
      </c>
      <c r="G1220" s="1038" t="s">
        <v>12135</v>
      </c>
    </row>
    <row r="1221" spans="2:7">
      <c r="B1221" s="1560">
        <v>46289</v>
      </c>
      <c r="C1221" s="1038" t="s">
        <v>10654</v>
      </c>
      <c r="D1221" s="1038" t="s">
        <v>526</v>
      </c>
      <c r="E1221" s="1038" t="s">
        <v>1465</v>
      </c>
      <c r="F1221" s="1566" t="s">
        <v>12136</v>
      </c>
      <c r="G1221" s="1038" t="s">
        <v>12137</v>
      </c>
    </row>
    <row r="1222" spans="2:7" ht="255">
      <c r="B1222" s="1560">
        <v>46289</v>
      </c>
      <c r="C1222" s="1038" t="s">
        <v>10654</v>
      </c>
      <c r="D1222" s="1038" t="s">
        <v>526</v>
      </c>
      <c r="E1222" s="1038" t="s">
        <v>1410</v>
      </c>
      <c r="F1222" s="1566" t="s">
        <v>12030</v>
      </c>
      <c r="G1222" s="1038" t="s">
        <v>12138</v>
      </c>
    </row>
    <row r="1223" spans="2:7" ht="409.5">
      <c r="B1223" s="1560">
        <v>46289</v>
      </c>
      <c r="C1223" s="1038" t="s">
        <v>10654</v>
      </c>
      <c r="D1223" s="1038" t="s">
        <v>526</v>
      </c>
      <c r="E1223" s="1038" t="s">
        <v>1434</v>
      </c>
      <c r="F1223" s="1566" t="s">
        <v>12032</v>
      </c>
      <c r="G1223" s="1038" t="s">
        <v>12139</v>
      </c>
    </row>
    <row r="1224" spans="2:7" ht="180">
      <c r="B1224" s="1560">
        <v>46289</v>
      </c>
      <c r="C1224" s="1038" t="s">
        <v>10654</v>
      </c>
      <c r="D1224" s="1038" t="s">
        <v>527</v>
      </c>
      <c r="E1224" s="1038" t="s">
        <v>1375</v>
      </c>
      <c r="F1224" s="1566" t="s">
        <v>12140</v>
      </c>
      <c r="G1224" s="1038" t="s">
        <v>12141</v>
      </c>
    </row>
    <row r="1225" spans="2:7" ht="60">
      <c r="B1225" s="1560">
        <v>46289</v>
      </c>
      <c r="C1225" s="1038" t="s">
        <v>10654</v>
      </c>
      <c r="D1225" s="1038" t="s">
        <v>527</v>
      </c>
      <c r="E1225" s="1038" t="s">
        <v>1454</v>
      </c>
      <c r="F1225" s="1566" t="s">
        <v>12142</v>
      </c>
      <c r="G1225" s="1038" t="s">
        <v>12143</v>
      </c>
    </row>
    <row r="1226" spans="2:7" ht="30">
      <c r="B1226" s="1560">
        <v>46289</v>
      </c>
      <c r="C1226" s="1038" t="s">
        <v>10654</v>
      </c>
      <c r="D1226" s="1038" t="s">
        <v>527</v>
      </c>
      <c r="E1226" s="1038" t="s">
        <v>1472</v>
      </c>
      <c r="F1226" s="1567" t="s">
        <v>12144</v>
      </c>
      <c r="G1226" s="1038" t="s">
        <v>12145</v>
      </c>
    </row>
    <row r="1227" spans="2:7">
      <c r="B1227" s="1560">
        <v>46289</v>
      </c>
      <c r="C1227" s="1038" t="s">
        <v>10654</v>
      </c>
      <c r="D1227" s="1038" t="s">
        <v>527</v>
      </c>
      <c r="E1227" s="1038" t="s">
        <v>1474</v>
      </c>
      <c r="F1227" s="1567" t="s">
        <v>12146</v>
      </c>
      <c r="G1227" s="1038" t="s">
        <v>12147</v>
      </c>
    </row>
    <row r="1228" spans="2:7" ht="60">
      <c r="B1228" s="1560">
        <v>46289</v>
      </c>
      <c r="C1228" s="1038" t="s">
        <v>10654</v>
      </c>
      <c r="D1228" s="1038" t="s">
        <v>527</v>
      </c>
      <c r="E1228" s="1038" t="s">
        <v>1474</v>
      </c>
      <c r="F1228" s="1566" t="s">
        <v>12148</v>
      </c>
      <c r="G1228" s="1038" t="s">
        <v>12149</v>
      </c>
    </row>
    <row r="1229" spans="2:7" ht="150">
      <c r="B1229" s="1560">
        <v>46289</v>
      </c>
      <c r="C1229" s="1038" t="s">
        <v>10654</v>
      </c>
      <c r="D1229" s="1038" t="s">
        <v>527</v>
      </c>
      <c r="E1229" s="1038" t="s">
        <v>1393</v>
      </c>
      <c r="F1229" s="1566" t="s">
        <v>12150</v>
      </c>
      <c r="G1229" s="1038" t="s">
        <v>12151</v>
      </c>
    </row>
    <row r="1230" spans="2:7" ht="165">
      <c r="B1230" s="1560">
        <v>46289</v>
      </c>
      <c r="C1230" s="1038" t="s">
        <v>10654</v>
      </c>
      <c r="D1230" s="1038" t="s">
        <v>527</v>
      </c>
      <c r="E1230" s="1038" t="s">
        <v>1410</v>
      </c>
      <c r="F1230" s="1566" t="s">
        <v>12152</v>
      </c>
      <c r="G1230" s="1038" t="s">
        <v>12153</v>
      </c>
    </row>
    <row r="1231" spans="2:7" ht="409.5">
      <c r="B1231" s="1560">
        <v>46289</v>
      </c>
      <c r="C1231" s="1038" t="s">
        <v>10654</v>
      </c>
      <c r="D1231" s="1038" t="s">
        <v>527</v>
      </c>
      <c r="E1231" s="1038" t="s">
        <v>1434</v>
      </c>
      <c r="F1231" s="1566" t="s">
        <v>12154</v>
      </c>
      <c r="G1231" s="1038" t="s">
        <v>12155</v>
      </c>
    </row>
    <row r="1232" spans="2:7" ht="150">
      <c r="B1232" s="1560">
        <v>46289</v>
      </c>
      <c r="C1232" s="1038" t="s">
        <v>10654</v>
      </c>
      <c r="D1232" s="1038" t="s">
        <v>528</v>
      </c>
      <c r="E1232" s="1038" t="s">
        <v>1375</v>
      </c>
      <c r="F1232" s="1566" t="s">
        <v>12156</v>
      </c>
      <c r="G1232" s="1038" t="s">
        <v>12157</v>
      </c>
    </row>
    <row r="1233" spans="2:7" ht="60">
      <c r="B1233" s="1560">
        <v>46289</v>
      </c>
      <c r="C1233" s="1038" t="s">
        <v>10654</v>
      </c>
      <c r="D1233" s="1038" t="s">
        <v>528</v>
      </c>
      <c r="E1233" s="1038" t="s">
        <v>1454</v>
      </c>
      <c r="F1233" s="1566" t="s">
        <v>12142</v>
      </c>
      <c r="G1233" s="1038" t="s">
        <v>12158</v>
      </c>
    </row>
    <row r="1234" spans="2:7" ht="75">
      <c r="B1234" s="1560">
        <v>46289</v>
      </c>
      <c r="C1234" s="1038" t="s">
        <v>10654</v>
      </c>
      <c r="D1234" s="1038" t="s">
        <v>528</v>
      </c>
      <c r="E1234" s="1038" t="s">
        <v>1458</v>
      </c>
      <c r="F1234" s="1567" t="s">
        <v>12159</v>
      </c>
      <c r="G1234" s="1038" t="s">
        <v>12160</v>
      </c>
    </row>
    <row r="1235" spans="2:7">
      <c r="B1235" s="1560">
        <v>46289</v>
      </c>
      <c r="C1235" s="1038" t="s">
        <v>10654</v>
      </c>
      <c r="D1235" s="1038" t="s">
        <v>528</v>
      </c>
      <c r="E1235" s="1038" t="s">
        <v>1474</v>
      </c>
      <c r="F1235" s="1567" t="s">
        <v>12161</v>
      </c>
      <c r="G1235" s="1038" t="s">
        <v>12162</v>
      </c>
    </row>
    <row r="1236" spans="2:7" ht="150">
      <c r="B1236" s="1560">
        <v>46289</v>
      </c>
      <c r="C1236" s="1038" t="s">
        <v>10654</v>
      </c>
      <c r="D1236" s="1038" t="s">
        <v>528</v>
      </c>
      <c r="E1236" s="1038" t="s">
        <v>1376</v>
      </c>
      <c r="F1236" s="1566" t="s">
        <v>12163</v>
      </c>
      <c r="G1236" s="1038" t="s">
        <v>12164</v>
      </c>
    </row>
    <row r="1237" spans="2:7" ht="165">
      <c r="B1237" s="1560">
        <v>46289</v>
      </c>
      <c r="C1237" s="1038" t="s">
        <v>10654</v>
      </c>
      <c r="D1237" s="1038" t="s">
        <v>528</v>
      </c>
      <c r="E1237" s="1038" t="s">
        <v>1410</v>
      </c>
      <c r="F1237" s="1566" t="s">
        <v>12165</v>
      </c>
      <c r="G1237" s="1038" t="s">
        <v>12166</v>
      </c>
    </row>
    <row r="1238" spans="2:7" ht="135">
      <c r="B1238" s="1560">
        <v>46289</v>
      </c>
      <c r="C1238" s="1038" t="s">
        <v>10654</v>
      </c>
      <c r="D1238" s="1038" t="s">
        <v>528</v>
      </c>
      <c r="E1238" s="1038" t="s">
        <v>1393</v>
      </c>
      <c r="F1238" s="1566" t="s">
        <v>12167</v>
      </c>
      <c r="G1238" s="1038" t="s">
        <v>12168</v>
      </c>
    </row>
    <row r="1239" spans="2:7" ht="409.5">
      <c r="B1239" s="1560">
        <v>46289</v>
      </c>
      <c r="C1239" s="1038" t="s">
        <v>10654</v>
      </c>
      <c r="D1239" s="1038" t="s">
        <v>528</v>
      </c>
      <c r="E1239" s="1038" t="s">
        <v>1434</v>
      </c>
      <c r="F1239" s="1566" t="s">
        <v>12169</v>
      </c>
      <c r="G1239" s="1038" t="s">
        <v>12170</v>
      </c>
    </row>
    <row r="1240" spans="2:7" ht="90">
      <c r="B1240" s="1560">
        <v>46290</v>
      </c>
      <c r="C1240" s="1038" t="s">
        <v>10880</v>
      </c>
      <c r="D1240" s="1038" t="s">
        <v>526</v>
      </c>
      <c r="E1240" s="1038" t="s">
        <v>1375</v>
      </c>
      <c r="F1240" s="1566" t="s">
        <v>12171</v>
      </c>
      <c r="G1240" s="1038" t="s">
        <v>12172</v>
      </c>
    </row>
    <row r="1241" spans="2:7" ht="165">
      <c r="B1241" s="1560">
        <v>46290</v>
      </c>
      <c r="C1241" s="1038" t="s">
        <v>10880</v>
      </c>
      <c r="D1241" s="1038" t="s">
        <v>526</v>
      </c>
      <c r="E1241" s="1038" t="s">
        <v>1454</v>
      </c>
      <c r="F1241" s="1566" t="s">
        <v>12021</v>
      </c>
      <c r="G1241" s="1038" t="s">
        <v>12173</v>
      </c>
    </row>
    <row r="1242" spans="2:7" ht="75">
      <c r="B1242" s="1560">
        <v>46290</v>
      </c>
      <c r="C1242" s="1038" t="s">
        <v>10880</v>
      </c>
      <c r="D1242" s="1038" t="s">
        <v>526</v>
      </c>
      <c r="E1242" s="1038" t="s">
        <v>1458</v>
      </c>
      <c r="F1242" s="1567" t="s">
        <v>12023</v>
      </c>
      <c r="G1242" s="1038" t="s">
        <v>12174</v>
      </c>
    </row>
    <row r="1243" spans="2:7" ht="135">
      <c r="B1243" s="1560">
        <v>46290</v>
      </c>
      <c r="C1243" s="1038" t="s">
        <v>10880</v>
      </c>
      <c r="D1243" s="1038" t="s">
        <v>526</v>
      </c>
      <c r="E1243" s="1038" t="s">
        <v>1376</v>
      </c>
      <c r="F1243" s="1566" t="s">
        <v>12175</v>
      </c>
      <c r="G1243" s="1038" t="s">
        <v>12176</v>
      </c>
    </row>
    <row r="1244" spans="2:7" ht="165">
      <c r="B1244" s="1560">
        <v>46290</v>
      </c>
      <c r="C1244" s="1038" t="s">
        <v>10880</v>
      </c>
      <c r="D1244" s="1038" t="s">
        <v>526</v>
      </c>
      <c r="E1244" s="1038" t="s">
        <v>1393</v>
      </c>
      <c r="F1244" s="1566" t="s">
        <v>12177</v>
      </c>
      <c r="G1244" s="1038" t="s">
        <v>12178</v>
      </c>
    </row>
    <row r="1245" spans="2:7">
      <c r="B1245" s="1560">
        <v>46290</v>
      </c>
      <c r="C1245" s="1038" t="s">
        <v>10880</v>
      </c>
      <c r="D1245" s="1038" t="s">
        <v>526</v>
      </c>
      <c r="E1245" s="1038" t="s">
        <v>1465</v>
      </c>
      <c r="F1245" s="1566" t="s">
        <v>12179</v>
      </c>
      <c r="G1245" s="1038" t="s">
        <v>12180</v>
      </c>
    </row>
    <row r="1246" spans="2:7" ht="255">
      <c r="B1246" s="1560">
        <v>46290</v>
      </c>
      <c r="C1246" s="1038" t="s">
        <v>10880</v>
      </c>
      <c r="D1246" s="1038" t="s">
        <v>526</v>
      </c>
      <c r="E1246" s="1038" t="s">
        <v>1410</v>
      </c>
      <c r="F1246" s="1566" t="s">
        <v>12030</v>
      </c>
      <c r="G1246" s="1038" t="s">
        <v>12181</v>
      </c>
    </row>
    <row r="1247" spans="2:7" ht="409.5">
      <c r="B1247" s="1560">
        <v>46290</v>
      </c>
      <c r="C1247" s="1038" t="s">
        <v>10880</v>
      </c>
      <c r="D1247" s="1038" t="s">
        <v>526</v>
      </c>
      <c r="E1247" s="1038" t="s">
        <v>1434</v>
      </c>
      <c r="F1247" s="1566" t="s">
        <v>12032</v>
      </c>
      <c r="G1247" s="1038" t="s">
        <v>12182</v>
      </c>
    </row>
    <row r="1248" spans="2:7" ht="60">
      <c r="B1248" s="1560">
        <v>46290</v>
      </c>
      <c r="C1248" s="1038" t="s">
        <v>10880</v>
      </c>
      <c r="D1248" s="1038" t="s">
        <v>527</v>
      </c>
      <c r="E1248" s="1038" t="s">
        <v>1454</v>
      </c>
      <c r="F1248" s="1566" t="s">
        <v>12142</v>
      </c>
      <c r="G1248" s="1038" t="s">
        <v>12183</v>
      </c>
    </row>
    <row r="1249" spans="2:7" ht="30">
      <c r="B1249" s="1560">
        <v>46290</v>
      </c>
      <c r="C1249" s="1038" t="s">
        <v>10880</v>
      </c>
      <c r="D1249" s="1038" t="s">
        <v>527</v>
      </c>
      <c r="E1249" s="1038" t="s">
        <v>1472</v>
      </c>
      <c r="F1249" s="1567" t="s">
        <v>12144</v>
      </c>
      <c r="G1249" s="1038" t="s">
        <v>12184</v>
      </c>
    </row>
    <row r="1250" spans="2:7">
      <c r="B1250" s="1560">
        <v>46290</v>
      </c>
      <c r="C1250" s="1038" t="s">
        <v>10880</v>
      </c>
      <c r="D1250" s="1038" t="s">
        <v>527</v>
      </c>
      <c r="E1250" s="1038" t="s">
        <v>1474</v>
      </c>
      <c r="F1250" s="1567" t="s">
        <v>12146</v>
      </c>
      <c r="G1250" s="1038" t="s">
        <v>12185</v>
      </c>
    </row>
    <row r="1251" spans="2:7" ht="60">
      <c r="B1251" s="1560">
        <v>46290</v>
      </c>
      <c r="C1251" s="1038" t="s">
        <v>10880</v>
      </c>
      <c r="D1251" s="1038" t="s">
        <v>527</v>
      </c>
      <c r="E1251" s="1038" t="s">
        <v>1474</v>
      </c>
      <c r="F1251" s="1566" t="s">
        <v>12148</v>
      </c>
      <c r="G1251" s="1038" t="s">
        <v>12186</v>
      </c>
    </row>
    <row r="1252" spans="2:7" ht="150">
      <c r="B1252" s="1560">
        <v>46290</v>
      </c>
      <c r="C1252" s="1038" t="s">
        <v>10880</v>
      </c>
      <c r="D1252" s="1038" t="s">
        <v>527</v>
      </c>
      <c r="E1252" s="1038" t="s">
        <v>1393</v>
      </c>
      <c r="F1252" s="1566" t="s">
        <v>12150</v>
      </c>
      <c r="G1252" s="1038" t="s">
        <v>12187</v>
      </c>
    </row>
    <row r="1253" spans="2:7" ht="165">
      <c r="B1253" s="1560">
        <v>46290</v>
      </c>
      <c r="C1253" s="1038" t="s">
        <v>10880</v>
      </c>
      <c r="D1253" s="1038" t="s">
        <v>527</v>
      </c>
      <c r="E1253" s="1038" t="s">
        <v>1410</v>
      </c>
      <c r="F1253" s="1566" t="s">
        <v>12152</v>
      </c>
      <c r="G1253" s="1038" t="s">
        <v>12188</v>
      </c>
    </row>
    <row r="1254" spans="2:7" ht="409.5">
      <c r="B1254" s="1560">
        <v>46290</v>
      </c>
      <c r="C1254" s="1038" t="s">
        <v>10880</v>
      </c>
      <c r="D1254" s="1038" t="s">
        <v>527</v>
      </c>
      <c r="E1254" s="1038" t="s">
        <v>1434</v>
      </c>
      <c r="F1254" s="1566" t="s">
        <v>12154</v>
      </c>
      <c r="G1254" s="1038" t="s">
        <v>12189</v>
      </c>
    </row>
    <row r="1255" spans="2:7" ht="135">
      <c r="B1255" s="1560">
        <v>46290</v>
      </c>
      <c r="C1255" s="1038" t="s">
        <v>10880</v>
      </c>
      <c r="D1255" s="1038" t="s">
        <v>528</v>
      </c>
      <c r="E1255" s="1038" t="s">
        <v>1375</v>
      </c>
      <c r="F1255" s="1566" t="s">
        <v>12190</v>
      </c>
      <c r="G1255" s="1038" t="s">
        <v>12191</v>
      </c>
    </row>
    <row r="1256" spans="2:7" ht="60">
      <c r="B1256" s="1560">
        <v>46290</v>
      </c>
      <c r="C1256" s="1038" t="s">
        <v>10880</v>
      </c>
      <c r="D1256" s="1038" t="s">
        <v>528</v>
      </c>
      <c r="E1256" s="1038" t="s">
        <v>1454</v>
      </c>
      <c r="F1256" s="1566" t="s">
        <v>12192</v>
      </c>
      <c r="G1256" s="1038" t="s">
        <v>12193</v>
      </c>
    </row>
    <row r="1257" spans="2:7" ht="60">
      <c r="B1257" s="1560">
        <v>46290</v>
      </c>
      <c r="C1257" s="1038" t="s">
        <v>10880</v>
      </c>
      <c r="D1257" s="1038" t="s">
        <v>528</v>
      </c>
      <c r="E1257" s="1038" t="s">
        <v>1458</v>
      </c>
      <c r="F1257" s="1567" t="s">
        <v>12194</v>
      </c>
      <c r="G1257" s="1038" t="s">
        <v>12195</v>
      </c>
    </row>
    <row r="1258" spans="2:7" ht="30">
      <c r="B1258" s="1560">
        <v>46290</v>
      </c>
      <c r="C1258" s="1038" t="s">
        <v>10880</v>
      </c>
      <c r="D1258" s="1038" t="s">
        <v>528</v>
      </c>
      <c r="E1258" s="1038" t="s">
        <v>1474</v>
      </c>
      <c r="F1258" s="1567" t="s">
        <v>12196</v>
      </c>
      <c r="G1258" s="1038" t="s">
        <v>12197</v>
      </c>
    </row>
    <row r="1259" spans="2:7" ht="105">
      <c r="B1259" s="1560">
        <v>46290</v>
      </c>
      <c r="C1259" s="1038" t="s">
        <v>10880</v>
      </c>
      <c r="D1259" s="1038" t="s">
        <v>528</v>
      </c>
      <c r="E1259" s="1038" t="s">
        <v>1376</v>
      </c>
      <c r="F1259" s="1566" t="s">
        <v>12198</v>
      </c>
      <c r="G1259" s="1038" t="s">
        <v>12199</v>
      </c>
    </row>
    <row r="1260" spans="2:7" ht="165">
      <c r="B1260" s="1560">
        <v>46290</v>
      </c>
      <c r="C1260" s="1038" t="s">
        <v>10880</v>
      </c>
      <c r="D1260" s="1038" t="s">
        <v>528</v>
      </c>
      <c r="E1260" s="1038" t="s">
        <v>1410</v>
      </c>
      <c r="F1260" s="1566" t="s">
        <v>12200</v>
      </c>
      <c r="G1260" s="1038" t="s">
        <v>12201</v>
      </c>
    </row>
    <row r="1261" spans="2:7" ht="255">
      <c r="B1261" s="1560">
        <v>46290</v>
      </c>
      <c r="C1261" s="1038" t="s">
        <v>10880</v>
      </c>
      <c r="D1261" s="1038" t="s">
        <v>528</v>
      </c>
      <c r="E1261" s="1038" t="s">
        <v>1393</v>
      </c>
      <c r="F1261" s="1566" t="s">
        <v>12202</v>
      </c>
      <c r="G1261" s="1038" t="s">
        <v>12203</v>
      </c>
    </row>
    <row r="1262" spans="2:7" ht="409.5">
      <c r="B1262" s="1560">
        <v>46290</v>
      </c>
      <c r="C1262" s="1038" t="s">
        <v>10880</v>
      </c>
      <c r="D1262" s="1038" t="s">
        <v>528</v>
      </c>
      <c r="E1262" s="1038" t="s">
        <v>1434</v>
      </c>
      <c r="F1262" s="1566" t="s">
        <v>12204</v>
      </c>
      <c r="G1262" s="1038" t="s">
        <v>12205</v>
      </c>
    </row>
    <row r="1263" spans="2:7" ht="60">
      <c r="B1263" s="1560">
        <v>46291</v>
      </c>
      <c r="C1263" s="1038" t="s">
        <v>11110</v>
      </c>
      <c r="D1263" s="1038" t="s">
        <v>526</v>
      </c>
      <c r="E1263" s="1038" t="s">
        <v>1375</v>
      </c>
      <c r="F1263" s="1566" t="s">
        <v>12206</v>
      </c>
      <c r="G1263" s="1038" t="s">
        <v>12207</v>
      </c>
    </row>
    <row r="1264" spans="2:7" ht="165">
      <c r="B1264" s="1560">
        <v>46291</v>
      </c>
      <c r="C1264" s="1038" t="s">
        <v>11110</v>
      </c>
      <c r="D1264" s="1038" t="s">
        <v>526</v>
      </c>
      <c r="E1264" s="1038" t="s">
        <v>1454</v>
      </c>
      <c r="F1264" s="1566" t="s">
        <v>12021</v>
      </c>
      <c r="G1264" s="1038" t="s">
        <v>12208</v>
      </c>
    </row>
    <row r="1265" spans="2:7" ht="75">
      <c r="B1265" s="1560">
        <v>46291</v>
      </c>
      <c r="C1265" s="1038" t="s">
        <v>11110</v>
      </c>
      <c r="D1265" s="1038" t="s">
        <v>526</v>
      </c>
      <c r="E1265" s="1038" t="s">
        <v>1458</v>
      </c>
      <c r="F1265" s="1567" t="s">
        <v>12023</v>
      </c>
      <c r="G1265" s="1038" t="s">
        <v>12209</v>
      </c>
    </row>
    <row r="1266" spans="2:7" ht="135">
      <c r="B1266" s="1560">
        <v>46291</v>
      </c>
      <c r="C1266" s="1038" t="s">
        <v>11110</v>
      </c>
      <c r="D1266" s="1038" t="s">
        <v>526</v>
      </c>
      <c r="E1266" s="1038" t="s">
        <v>1376</v>
      </c>
      <c r="F1266" s="1566" t="s">
        <v>12175</v>
      </c>
      <c r="G1266" s="1038" t="s">
        <v>12210</v>
      </c>
    </row>
    <row r="1267" spans="2:7" ht="165">
      <c r="B1267" s="1560">
        <v>46291</v>
      </c>
      <c r="C1267" s="1038" t="s">
        <v>11110</v>
      </c>
      <c r="D1267" s="1038" t="s">
        <v>526</v>
      </c>
      <c r="E1267" s="1038" t="s">
        <v>1393</v>
      </c>
      <c r="F1267" s="1566" t="s">
        <v>12177</v>
      </c>
      <c r="G1267" s="1038" t="s">
        <v>12211</v>
      </c>
    </row>
    <row r="1268" spans="2:7">
      <c r="B1268" s="1560">
        <v>46291</v>
      </c>
      <c r="C1268" s="1038" t="s">
        <v>11110</v>
      </c>
      <c r="D1268" s="1038" t="s">
        <v>526</v>
      </c>
      <c r="E1268" s="1038" t="s">
        <v>1465</v>
      </c>
      <c r="F1268" s="1566" t="s">
        <v>12179</v>
      </c>
      <c r="G1268" s="1038" t="s">
        <v>12212</v>
      </c>
    </row>
    <row r="1269" spans="2:7" ht="255">
      <c r="B1269" s="1560">
        <v>46291</v>
      </c>
      <c r="C1269" s="1038" t="s">
        <v>11110</v>
      </c>
      <c r="D1269" s="1038" t="s">
        <v>526</v>
      </c>
      <c r="E1269" s="1038" t="s">
        <v>1410</v>
      </c>
      <c r="F1269" s="1566" t="s">
        <v>12030</v>
      </c>
      <c r="G1269" s="1038" t="s">
        <v>12213</v>
      </c>
    </row>
    <row r="1270" spans="2:7" ht="409.5">
      <c r="B1270" s="1560">
        <v>46291</v>
      </c>
      <c r="C1270" s="1038" t="s">
        <v>11110</v>
      </c>
      <c r="D1270" s="1038" t="s">
        <v>526</v>
      </c>
      <c r="E1270" s="1038" t="s">
        <v>1434</v>
      </c>
      <c r="F1270" s="1566" t="s">
        <v>12032</v>
      </c>
      <c r="G1270" s="1038" t="s">
        <v>12214</v>
      </c>
    </row>
    <row r="1271" spans="2:7">
      <c r="B1271" s="1560">
        <v>46291</v>
      </c>
      <c r="C1271" s="1038" t="s">
        <v>11110</v>
      </c>
      <c r="D1271" s="1038" t="s">
        <v>527</v>
      </c>
      <c r="E1271" s="1038" t="s">
        <v>1375</v>
      </c>
      <c r="F1271" s="1566" t="s">
        <v>12215</v>
      </c>
      <c r="G1271" s="1038" t="s">
        <v>12216</v>
      </c>
    </row>
    <row r="1272" spans="2:7">
      <c r="B1272" s="1560">
        <v>46291</v>
      </c>
      <c r="C1272" s="1038" t="s">
        <v>11110</v>
      </c>
      <c r="D1272" s="1038" t="s">
        <v>527</v>
      </c>
      <c r="E1272" s="1038" t="s">
        <v>1375</v>
      </c>
      <c r="F1272" s="1566" t="s">
        <v>12217</v>
      </c>
      <c r="G1272" s="1038" t="s">
        <v>12218</v>
      </c>
    </row>
    <row r="1273" spans="2:7">
      <c r="B1273" s="1560">
        <v>46291</v>
      </c>
      <c r="C1273" s="1038" t="s">
        <v>11110</v>
      </c>
      <c r="D1273" s="1038" t="s">
        <v>527</v>
      </c>
      <c r="E1273" s="1038" t="s">
        <v>1375</v>
      </c>
      <c r="F1273" s="1567" t="s">
        <v>12219</v>
      </c>
      <c r="G1273" s="1038" t="s">
        <v>12220</v>
      </c>
    </row>
    <row r="1274" spans="2:7">
      <c r="B1274" s="1560">
        <v>46291</v>
      </c>
      <c r="C1274" s="1038" t="s">
        <v>11110</v>
      </c>
      <c r="D1274" s="1038" t="s">
        <v>527</v>
      </c>
      <c r="E1274" s="1038" t="s">
        <v>1375</v>
      </c>
      <c r="F1274" s="1566" t="s">
        <v>12221</v>
      </c>
      <c r="G1274" s="1038" t="s">
        <v>12222</v>
      </c>
    </row>
    <row r="1275" spans="2:7" ht="30">
      <c r="B1275" s="1560">
        <v>46291</v>
      </c>
      <c r="C1275" s="1038" t="s">
        <v>11110</v>
      </c>
      <c r="D1275" s="1038" t="s">
        <v>527</v>
      </c>
      <c r="E1275" s="1038" t="s">
        <v>1454</v>
      </c>
      <c r="F1275" s="1566" t="s">
        <v>12223</v>
      </c>
      <c r="G1275" s="1038" t="s">
        <v>12224</v>
      </c>
    </row>
    <row r="1276" spans="2:7">
      <c r="B1276" s="1560">
        <v>46291</v>
      </c>
      <c r="C1276" s="1038" t="s">
        <v>11110</v>
      </c>
      <c r="D1276" s="1038" t="s">
        <v>527</v>
      </c>
      <c r="E1276" s="1038" t="s">
        <v>1454</v>
      </c>
      <c r="F1276" s="1566" t="s">
        <v>12225</v>
      </c>
      <c r="G1276" s="1038" t="s">
        <v>12226</v>
      </c>
    </row>
    <row r="1277" spans="2:7">
      <c r="B1277" s="1560">
        <v>46291</v>
      </c>
      <c r="C1277" s="1038" t="s">
        <v>11110</v>
      </c>
      <c r="D1277" s="1038" t="s">
        <v>527</v>
      </c>
      <c r="E1277" s="1038" t="s">
        <v>1454</v>
      </c>
      <c r="F1277" s="1566" t="s">
        <v>12227</v>
      </c>
      <c r="G1277" s="1038" t="s">
        <v>12228</v>
      </c>
    </row>
    <row r="1278" spans="2:7">
      <c r="B1278" s="1560">
        <v>46291</v>
      </c>
      <c r="C1278" s="1038" t="s">
        <v>11110</v>
      </c>
      <c r="D1278" s="1038" t="s">
        <v>527</v>
      </c>
      <c r="E1278" s="1038" t="s">
        <v>1472</v>
      </c>
      <c r="F1278" s="1566" t="s">
        <v>12229</v>
      </c>
      <c r="G1278" s="1038" t="s">
        <v>12230</v>
      </c>
    </row>
    <row r="1279" spans="2:7">
      <c r="B1279" s="1560">
        <v>46291</v>
      </c>
      <c r="C1279" s="1038" t="s">
        <v>11110</v>
      </c>
      <c r="D1279" s="1038" t="s">
        <v>527</v>
      </c>
      <c r="E1279" s="1038" t="s">
        <v>1472</v>
      </c>
      <c r="F1279" s="1566" t="s">
        <v>12231</v>
      </c>
      <c r="G1279" s="1038" t="s">
        <v>12232</v>
      </c>
    </row>
    <row r="1280" spans="2:7">
      <c r="B1280" s="1560">
        <v>46291</v>
      </c>
      <c r="C1280" s="1038" t="s">
        <v>11110</v>
      </c>
      <c r="D1280" s="1038" t="s">
        <v>527</v>
      </c>
      <c r="E1280" s="1038" t="s">
        <v>1472</v>
      </c>
      <c r="F1280" s="1566" t="s">
        <v>12233</v>
      </c>
      <c r="G1280" s="1038" t="s">
        <v>12234</v>
      </c>
    </row>
    <row r="1281" spans="2:7">
      <c r="B1281" s="1560">
        <v>46291</v>
      </c>
      <c r="C1281" s="1038" t="s">
        <v>11110</v>
      </c>
      <c r="D1281" s="1038" t="s">
        <v>527</v>
      </c>
      <c r="E1281" s="1038" t="s">
        <v>1474</v>
      </c>
      <c r="F1281" s="1566" t="s">
        <v>12235</v>
      </c>
      <c r="G1281" s="1038" t="s">
        <v>12236</v>
      </c>
    </row>
    <row r="1282" spans="2:7">
      <c r="B1282" s="1560">
        <v>46291</v>
      </c>
      <c r="C1282" s="1038" t="s">
        <v>11110</v>
      </c>
      <c r="D1282" s="1038" t="s">
        <v>527</v>
      </c>
      <c r="E1282" s="1038" t="s">
        <v>1474</v>
      </c>
      <c r="F1282" s="1566" t="s">
        <v>12237</v>
      </c>
      <c r="G1282" s="1038" t="s">
        <v>12238</v>
      </c>
    </row>
    <row r="1283" spans="2:7">
      <c r="B1283" s="1560">
        <v>46291</v>
      </c>
      <c r="C1283" s="1038" t="s">
        <v>11110</v>
      </c>
      <c r="D1283" s="1038" t="s">
        <v>527</v>
      </c>
      <c r="E1283" s="1038" t="s">
        <v>1474</v>
      </c>
      <c r="F1283" s="1566" t="s">
        <v>2060</v>
      </c>
      <c r="G1283" s="1038" t="s">
        <v>12239</v>
      </c>
    </row>
    <row r="1284" spans="2:7">
      <c r="B1284" s="1560">
        <v>46291</v>
      </c>
      <c r="C1284" s="1038" t="s">
        <v>11110</v>
      </c>
      <c r="D1284" s="1038" t="s">
        <v>527</v>
      </c>
      <c r="E1284" s="1038" t="s">
        <v>1474</v>
      </c>
      <c r="F1284" s="1566" t="s">
        <v>12240</v>
      </c>
      <c r="G1284" s="1038" t="s">
        <v>12241</v>
      </c>
    </row>
    <row r="1285" spans="2:7">
      <c r="B1285" s="1560">
        <v>46291</v>
      </c>
      <c r="C1285" s="1038" t="s">
        <v>11110</v>
      </c>
      <c r="D1285" s="1038" t="s">
        <v>527</v>
      </c>
      <c r="E1285" s="1038" t="s">
        <v>1376</v>
      </c>
      <c r="F1285" s="1567" t="s">
        <v>12242</v>
      </c>
      <c r="G1285" s="1038" t="s">
        <v>12243</v>
      </c>
    </row>
    <row r="1286" spans="2:7">
      <c r="B1286" s="1560">
        <v>46291</v>
      </c>
      <c r="C1286" s="1038" t="s">
        <v>11110</v>
      </c>
      <c r="D1286" s="1038" t="s">
        <v>527</v>
      </c>
      <c r="E1286" s="1038" t="s">
        <v>1393</v>
      </c>
      <c r="F1286" s="1566" t="s">
        <v>12244</v>
      </c>
      <c r="G1286" s="1038" t="s">
        <v>12245</v>
      </c>
    </row>
    <row r="1287" spans="2:7">
      <c r="B1287" s="1560">
        <v>46291</v>
      </c>
      <c r="C1287" s="1038" t="s">
        <v>11110</v>
      </c>
      <c r="D1287" s="1038" t="s">
        <v>527</v>
      </c>
      <c r="E1287" s="1038" t="s">
        <v>1393</v>
      </c>
      <c r="F1287" s="1566" t="s">
        <v>12246</v>
      </c>
      <c r="G1287" s="1038" t="s">
        <v>12247</v>
      </c>
    </row>
    <row r="1288" spans="2:7">
      <c r="B1288" s="1560">
        <v>46291</v>
      </c>
      <c r="C1288" s="1038" t="s">
        <v>11110</v>
      </c>
      <c r="D1288" s="1038" t="s">
        <v>527</v>
      </c>
      <c r="E1288" s="1038" t="s">
        <v>1393</v>
      </c>
      <c r="F1288" s="1566" t="s">
        <v>1524</v>
      </c>
      <c r="G1288" s="1038" t="s">
        <v>12248</v>
      </c>
    </row>
    <row r="1289" spans="2:7">
      <c r="B1289" s="1560">
        <v>46291</v>
      </c>
      <c r="C1289" s="1038" t="s">
        <v>11110</v>
      </c>
      <c r="D1289" s="1038" t="s">
        <v>527</v>
      </c>
      <c r="E1289" s="1038" t="s">
        <v>1393</v>
      </c>
      <c r="F1289" s="1566" t="s">
        <v>1525</v>
      </c>
      <c r="G1289" s="1038" t="s">
        <v>12249</v>
      </c>
    </row>
    <row r="1290" spans="2:7">
      <c r="B1290" s="1560">
        <v>46291</v>
      </c>
      <c r="C1290" s="1038" t="s">
        <v>11110</v>
      </c>
      <c r="D1290" s="1038" t="s">
        <v>527</v>
      </c>
      <c r="E1290" s="1038" t="s">
        <v>1393</v>
      </c>
      <c r="F1290" s="1566" t="s">
        <v>12250</v>
      </c>
      <c r="G1290" s="1038" t="s">
        <v>12251</v>
      </c>
    </row>
    <row r="1291" spans="2:7">
      <c r="B1291" s="1560">
        <v>46291</v>
      </c>
      <c r="C1291" s="1038" t="s">
        <v>11110</v>
      </c>
      <c r="D1291" s="1038" t="s">
        <v>527</v>
      </c>
      <c r="E1291" s="1038" t="s">
        <v>1393</v>
      </c>
      <c r="F1291" s="1566" t="s">
        <v>12252</v>
      </c>
      <c r="G1291" s="1038" t="s">
        <v>12253</v>
      </c>
    </row>
    <row r="1292" spans="2:7">
      <c r="B1292" s="1560">
        <v>46291</v>
      </c>
      <c r="C1292" s="1038" t="s">
        <v>11110</v>
      </c>
      <c r="D1292" s="1038" t="s">
        <v>527</v>
      </c>
      <c r="E1292" s="1038" t="s">
        <v>1393</v>
      </c>
      <c r="F1292" s="1566" t="s">
        <v>12254</v>
      </c>
      <c r="G1292" s="1038" t="s">
        <v>12255</v>
      </c>
    </row>
    <row r="1293" spans="2:7">
      <c r="B1293" s="1560">
        <v>46291</v>
      </c>
      <c r="C1293" s="1038" t="s">
        <v>11110</v>
      </c>
      <c r="D1293" s="1038" t="s">
        <v>527</v>
      </c>
      <c r="E1293" s="1038" t="s">
        <v>1393</v>
      </c>
      <c r="F1293" s="1566" t="s">
        <v>12256</v>
      </c>
      <c r="G1293" s="1038" t="s">
        <v>12257</v>
      </c>
    </row>
    <row r="1294" spans="2:7">
      <c r="B1294" s="1560">
        <v>46291</v>
      </c>
      <c r="C1294" s="1038" t="s">
        <v>11110</v>
      </c>
      <c r="D1294" s="1038" t="s">
        <v>527</v>
      </c>
      <c r="E1294" s="1038" t="s">
        <v>1393</v>
      </c>
      <c r="F1294" s="1566" t="s">
        <v>12258</v>
      </c>
      <c r="G1294" s="1038" t="s">
        <v>12259</v>
      </c>
    </row>
    <row r="1295" spans="2:7">
      <c r="B1295" s="1560">
        <v>46291</v>
      </c>
      <c r="C1295" s="1038" t="s">
        <v>11110</v>
      </c>
      <c r="D1295" s="1038" t="s">
        <v>527</v>
      </c>
      <c r="E1295" s="1038" t="s">
        <v>1410</v>
      </c>
      <c r="F1295" s="1566" t="s">
        <v>12260</v>
      </c>
      <c r="G1295" s="1038" t="s">
        <v>12261</v>
      </c>
    </row>
    <row r="1296" spans="2:7">
      <c r="B1296" s="1560">
        <v>46291</v>
      </c>
      <c r="C1296" s="1038" t="s">
        <v>11110</v>
      </c>
      <c r="D1296" s="1038" t="s">
        <v>527</v>
      </c>
      <c r="E1296" s="1038" t="s">
        <v>1410</v>
      </c>
      <c r="F1296" s="1566" t="s">
        <v>12262</v>
      </c>
      <c r="G1296" s="1038" t="s">
        <v>12263</v>
      </c>
    </row>
    <row r="1297" spans="2:7">
      <c r="B1297" s="1560">
        <v>46291</v>
      </c>
      <c r="C1297" s="1038" t="s">
        <v>11110</v>
      </c>
      <c r="D1297" s="1038" t="s">
        <v>527</v>
      </c>
      <c r="E1297" s="1038" t="s">
        <v>1410</v>
      </c>
      <c r="F1297" s="1566" t="s">
        <v>12264</v>
      </c>
      <c r="G1297" s="1038" t="s">
        <v>12265</v>
      </c>
    </row>
    <row r="1298" spans="2:7">
      <c r="B1298" s="1560">
        <v>46291</v>
      </c>
      <c r="C1298" s="1038" t="s">
        <v>11110</v>
      </c>
      <c r="D1298" s="1038" t="s">
        <v>527</v>
      </c>
      <c r="E1298" s="1038" t="s">
        <v>1410</v>
      </c>
      <c r="F1298" s="1566" t="s">
        <v>1942</v>
      </c>
      <c r="G1298" s="1038" t="s">
        <v>12266</v>
      </c>
    </row>
    <row r="1299" spans="2:7">
      <c r="B1299" s="1560">
        <v>46291</v>
      </c>
      <c r="C1299" s="1038" t="s">
        <v>11110</v>
      </c>
      <c r="D1299" s="1038" t="s">
        <v>527</v>
      </c>
      <c r="E1299" s="1038" t="s">
        <v>1410</v>
      </c>
      <c r="F1299" s="1566" t="s">
        <v>12267</v>
      </c>
      <c r="G1299" s="1038" t="s">
        <v>12268</v>
      </c>
    </row>
    <row r="1300" spans="2:7">
      <c r="B1300" s="1560">
        <v>46291</v>
      </c>
      <c r="C1300" s="1038" t="s">
        <v>11110</v>
      </c>
      <c r="D1300" s="1038" t="s">
        <v>527</v>
      </c>
      <c r="E1300" s="1038" t="s">
        <v>1410</v>
      </c>
      <c r="F1300" s="1566" t="s">
        <v>2176</v>
      </c>
      <c r="G1300" s="1038" t="s">
        <v>12269</v>
      </c>
    </row>
    <row r="1301" spans="2:7">
      <c r="B1301" s="1560">
        <v>46291</v>
      </c>
      <c r="C1301" s="1038" t="s">
        <v>11110</v>
      </c>
      <c r="D1301" s="1038" t="s">
        <v>527</v>
      </c>
      <c r="E1301" s="1038" t="s">
        <v>1410</v>
      </c>
      <c r="F1301" s="1566" t="s">
        <v>2020</v>
      </c>
      <c r="G1301" s="1038" t="s">
        <v>12270</v>
      </c>
    </row>
    <row r="1302" spans="2:7">
      <c r="B1302" s="1560">
        <v>46291</v>
      </c>
      <c r="C1302" s="1038" t="s">
        <v>11110</v>
      </c>
      <c r="D1302" s="1038" t="s">
        <v>527</v>
      </c>
      <c r="E1302" s="1038" t="s">
        <v>1410</v>
      </c>
      <c r="F1302" s="1566" t="s">
        <v>12271</v>
      </c>
      <c r="G1302" s="1038" t="s">
        <v>12272</v>
      </c>
    </row>
    <row r="1303" spans="2:7">
      <c r="B1303" s="1560">
        <v>46291</v>
      </c>
      <c r="C1303" s="1038" t="s">
        <v>11110</v>
      </c>
      <c r="D1303" s="1038" t="s">
        <v>527</v>
      </c>
      <c r="E1303" s="1038" t="s">
        <v>1434</v>
      </c>
      <c r="F1303" s="1566" t="s">
        <v>12273</v>
      </c>
      <c r="G1303" s="1038" t="s">
        <v>12274</v>
      </c>
    </row>
    <row r="1304" spans="2:7">
      <c r="B1304" s="1560">
        <v>46291</v>
      </c>
      <c r="C1304" s="1038" t="s">
        <v>11110</v>
      </c>
      <c r="D1304" s="1038" t="s">
        <v>527</v>
      </c>
      <c r="E1304" s="1038" t="s">
        <v>1434</v>
      </c>
      <c r="F1304" s="1566" t="s">
        <v>12275</v>
      </c>
      <c r="G1304" s="1038" t="s">
        <v>12276</v>
      </c>
    </row>
    <row r="1305" spans="2:7">
      <c r="B1305" s="1560">
        <v>46291</v>
      </c>
      <c r="C1305" s="1038" t="s">
        <v>11110</v>
      </c>
      <c r="D1305" s="1038" t="s">
        <v>527</v>
      </c>
      <c r="E1305" s="1038" t="s">
        <v>1434</v>
      </c>
      <c r="F1305" s="1566" t="s">
        <v>12277</v>
      </c>
      <c r="G1305" s="1038" t="s">
        <v>12278</v>
      </c>
    </row>
    <row r="1306" spans="2:7">
      <c r="B1306" s="1560">
        <v>46291</v>
      </c>
      <c r="C1306" s="1038" t="s">
        <v>11110</v>
      </c>
      <c r="D1306" s="1038" t="s">
        <v>527</v>
      </c>
      <c r="E1306" s="1038" t="s">
        <v>1434</v>
      </c>
      <c r="F1306" s="1566" t="s">
        <v>12279</v>
      </c>
      <c r="G1306" s="1038" t="s">
        <v>12280</v>
      </c>
    </row>
    <row r="1307" spans="2:7">
      <c r="B1307" s="1560">
        <v>46291</v>
      </c>
      <c r="C1307" s="1038" t="s">
        <v>11110</v>
      </c>
      <c r="D1307" s="1038" t="s">
        <v>527</v>
      </c>
      <c r="E1307" s="1038" t="s">
        <v>1434</v>
      </c>
      <c r="F1307" s="1566" t="s">
        <v>12281</v>
      </c>
      <c r="G1307" s="1038" t="s">
        <v>12282</v>
      </c>
    </row>
    <row r="1308" spans="2:7">
      <c r="B1308" s="1560">
        <v>46291</v>
      </c>
      <c r="C1308" s="1038" t="s">
        <v>11110</v>
      </c>
      <c r="D1308" s="1038" t="s">
        <v>527</v>
      </c>
      <c r="E1308" s="1038" t="s">
        <v>1434</v>
      </c>
      <c r="F1308" s="1566" t="s">
        <v>12283</v>
      </c>
      <c r="G1308" s="1038" t="s">
        <v>12284</v>
      </c>
    </row>
    <row r="1309" spans="2:7">
      <c r="B1309" s="1560">
        <v>46291</v>
      </c>
      <c r="C1309" s="1038" t="s">
        <v>11110</v>
      </c>
      <c r="D1309" s="1038" t="s">
        <v>527</v>
      </c>
      <c r="E1309" s="1038" t="s">
        <v>1434</v>
      </c>
      <c r="F1309" s="1566" t="s">
        <v>12285</v>
      </c>
      <c r="G1309" s="1038" t="s">
        <v>12286</v>
      </c>
    </row>
    <row r="1310" spans="2:7">
      <c r="B1310" s="1560">
        <v>46291</v>
      </c>
      <c r="C1310" s="1038" t="s">
        <v>11110</v>
      </c>
      <c r="D1310" s="1038" t="s">
        <v>527</v>
      </c>
      <c r="E1310" s="1038" t="s">
        <v>1434</v>
      </c>
      <c r="F1310" s="1566" t="s">
        <v>12287</v>
      </c>
      <c r="G1310" s="1038" t="s">
        <v>12288</v>
      </c>
    </row>
    <row r="1311" spans="2:7" ht="135">
      <c r="B1311" s="1560">
        <v>46291</v>
      </c>
      <c r="C1311" s="1038" t="s">
        <v>11110</v>
      </c>
      <c r="D1311" s="1038" t="s">
        <v>528</v>
      </c>
      <c r="E1311" s="1038" t="s">
        <v>1375</v>
      </c>
      <c r="F1311" s="1566" t="s">
        <v>12289</v>
      </c>
      <c r="G1311" s="1038" t="s">
        <v>12290</v>
      </c>
    </row>
    <row r="1312" spans="2:7" ht="60">
      <c r="B1312" s="1560">
        <v>46291</v>
      </c>
      <c r="C1312" s="1038" t="s">
        <v>11110</v>
      </c>
      <c r="D1312" s="1038" t="s">
        <v>528</v>
      </c>
      <c r="E1312" s="1038" t="s">
        <v>1454</v>
      </c>
      <c r="F1312" s="1566" t="s">
        <v>12291</v>
      </c>
      <c r="G1312" s="1038" t="s">
        <v>12292</v>
      </c>
    </row>
    <row r="1313" spans="2:7" ht="75">
      <c r="B1313" s="1560">
        <v>46291</v>
      </c>
      <c r="C1313" s="1038" t="s">
        <v>11110</v>
      </c>
      <c r="D1313" s="1038" t="s">
        <v>528</v>
      </c>
      <c r="E1313" s="1038" t="s">
        <v>1458</v>
      </c>
      <c r="F1313" s="1566" t="s">
        <v>12293</v>
      </c>
      <c r="G1313" s="1038" t="s">
        <v>12294</v>
      </c>
    </row>
    <row r="1314" spans="2:7">
      <c r="B1314" s="1560">
        <v>46291</v>
      </c>
      <c r="C1314" s="1038" t="s">
        <v>11110</v>
      </c>
      <c r="D1314" s="1038" t="s">
        <v>528</v>
      </c>
      <c r="E1314" s="1038" t="s">
        <v>1474</v>
      </c>
      <c r="F1314" s="1566" t="s">
        <v>1475</v>
      </c>
      <c r="G1314" s="1038" t="s">
        <v>12295</v>
      </c>
    </row>
    <row r="1315" spans="2:7" ht="120">
      <c r="B1315" s="1560">
        <v>46291</v>
      </c>
      <c r="C1315" s="1038" t="s">
        <v>11110</v>
      </c>
      <c r="D1315" s="1038" t="s">
        <v>528</v>
      </c>
      <c r="E1315" s="1038" t="s">
        <v>1376</v>
      </c>
      <c r="F1315" s="1566" t="s">
        <v>12296</v>
      </c>
      <c r="G1315" s="1038" t="s">
        <v>12297</v>
      </c>
    </row>
    <row r="1316" spans="2:7" ht="165">
      <c r="B1316" s="1560">
        <v>46291</v>
      </c>
      <c r="C1316" s="1038" t="s">
        <v>11110</v>
      </c>
      <c r="D1316" s="1038" t="s">
        <v>528</v>
      </c>
      <c r="E1316" s="1038" t="s">
        <v>1410</v>
      </c>
      <c r="F1316" s="1566" t="s">
        <v>12298</v>
      </c>
      <c r="G1316" s="1038" t="s">
        <v>12299</v>
      </c>
    </row>
    <row r="1317" spans="2:7" ht="150">
      <c r="B1317" s="1560">
        <v>46291</v>
      </c>
      <c r="C1317" s="1038" t="s">
        <v>11110</v>
      </c>
      <c r="D1317" s="1038" t="s">
        <v>528</v>
      </c>
      <c r="E1317" s="1038" t="s">
        <v>1393</v>
      </c>
      <c r="F1317" s="1566" t="s">
        <v>12300</v>
      </c>
      <c r="G1317" s="1038" t="s">
        <v>12301</v>
      </c>
    </row>
    <row r="1318" spans="2:7" ht="409.5">
      <c r="B1318" s="1560">
        <v>46291</v>
      </c>
      <c r="C1318" s="1038" t="s">
        <v>11110</v>
      </c>
      <c r="D1318" s="1038" t="s">
        <v>528</v>
      </c>
      <c r="E1318" s="1038" t="s">
        <v>1434</v>
      </c>
      <c r="F1318" s="1566" t="s">
        <v>12302</v>
      </c>
      <c r="G1318" s="1038" t="s">
        <v>12303</v>
      </c>
    </row>
    <row r="1319" spans="2:7">
      <c r="B1319" s="1560">
        <v>46292</v>
      </c>
      <c r="C1319" s="1038" t="s">
        <v>11339</v>
      </c>
      <c r="D1319" s="1038" t="s">
        <v>526</v>
      </c>
      <c r="E1319" s="1038" t="s">
        <v>1375</v>
      </c>
      <c r="F1319" s="1566" t="s">
        <v>12304</v>
      </c>
      <c r="G1319" s="1038" t="s">
        <v>12305</v>
      </c>
    </row>
    <row r="1320" spans="2:7">
      <c r="B1320" s="1560">
        <v>46292</v>
      </c>
      <c r="C1320" s="1038" t="s">
        <v>11339</v>
      </c>
      <c r="D1320" s="1038" t="s">
        <v>526</v>
      </c>
      <c r="E1320" s="1038" t="s">
        <v>1375</v>
      </c>
      <c r="F1320" s="1566" t="s">
        <v>12306</v>
      </c>
      <c r="G1320" s="1038" t="s">
        <v>12307</v>
      </c>
    </row>
    <row r="1321" spans="2:7">
      <c r="B1321" s="1560">
        <v>46292</v>
      </c>
      <c r="C1321" s="1038" t="s">
        <v>11339</v>
      </c>
      <c r="D1321" s="1038" t="s">
        <v>526</v>
      </c>
      <c r="E1321" s="1038" t="s">
        <v>1375</v>
      </c>
      <c r="F1321" s="1567" t="s">
        <v>12308</v>
      </c>
      <c r="G1321" s="1038" t="s">
        <v>12309</v>
      </c>
    </row>
    <row r="1322" spans="2:7" ht="30">
      <c r="B1322" s="1560">
        <v>46292</v>
      </c>
      <c r="C1322" s="1038" t="s">
        <v>11339</v>
      </c>
      <c r="D1322" s="1038" t="s">
        <v>526</v>
      </c>
      <c r="E1322" s="1038" t="s">
        <v>1375</v>
      </c>
      <c r="F1322" s="1566" t="s">
        <v>12310</v>
      </c>
      <c r="G1322" s="1038" t="s">
        <v>12311</v>
      </c>
    </row>
    <row r="1323" spans="2:7">
      <c r="B1323" s="1560">
        <v>46292</v>
      </c>
      <c r="C1323" s="1038" t="s">
        <v>11339</v>
      </c>
      <c r="D1323" s="1038" t="s">
        <v>526</v>
      </c>
      <c r="E1323" s="1038" t="s">
        <v>1454</v>
      </c>
      <c r="F1323" s="1566" t="s">
        <v>12312</v>
      </c>
      <c r="G1323" s="1038" t="s">
        <v>12313</v>
      </c>
    </row>
    <row r="1324" spans="2:7">
      <c r="B1324" s="1560">
        <v>46292</v>
      </c>
      <c r="C1324" s="1038" t="s">
        <v>11339</v>
      </c>
      <c r="D1324" s="1038" t="s">
        <v>526</v>
      </c>
      <c r="E1324" s="1038" t="s">
        <v>1454</v>
      </c>
      <c r="F1324" s="1566" t="s">
        <v>12314</v>
      </c>
      <c r="G1324" s="1038" t="s">
        <v>12315</v>
      </c>
    </row>
    <row r="1325" spans="2:7">
      <c r="B1325" s="1560">
        <v>46292</v>
      </c>
      <c r="C1325" s="1038" t="s">
        <v>11339</v>
      </c>
      <c r="D1325" s="1038" t="s">
        <v>526</v>
      </c>
      <c r="E1325" s="1038" t="s">
        <v>1454</v>
      </c>
      <c r="F1325" s="1566" t="s">
        <v>12316</v>
      </c>
      <c r="G1325" s="1038" t="s">
        <v>12317</v>
      </c>
    </row>
    <row r="1326" spans="2:7">
      <c r="B1326" s="1560">
        <v>46292</v>
      </c>
      <c r="C1326" s="1038" t="s">
        <v>11339</v>
      </c>
      <c r="D1326" s="1038" t="s">
        <v>526</v>
      </c>
      <c r="E1326" s="1038" t="s">
        <v>1454</v>
      </c>
      <c r="F1326" s="1566" t="s">
        <v>12318</v>
      </c>
      <c r="G1326" s="1038" t="s">
        <v>12319</v>
      </c>
    </row>
    <row r="1327" spans="2:7">
      <c r="B1327" s="1560">
        <v>46292</v>
      </c>
      <c r="C1327" s="1038" t="s">
        <v>11339</v>
      </c>
      <c r="D1327" s="1038" t="s">
        <v>526</v>
      </c>
      <c r="E1327" s="1038" t="s">
        <v>1454</v>
      </c>
      <c r="F1327" s="1566" t="s">
        <v>12320</v>
      </c>
      <c r="G1327" s="1038" t="s">
        <v>12321</v>
      </c>
    </row>
    <row r="1328" spans="2:7">
      <c r="B1328" s="1560">
        <v>46292</v>
      </c>
      <c r="C1328" s="1038" t="s">
        <v>11339</v>
      </c>
      <c r="D1328" s="1038" t="s">
        <v>526</v>
      </c>
      <c r="E1328" s="1038" t="s">
        <v>1454</v>
      </c>
      <c r="F1328" s="1566" t="s">
        <v>12322</v>
      </c>
      <c r="G1328" s="1038" t="s">
        <v>12323</v>
      </c>
    </row>
    <row r="1329" spans="2:7">
      <c r="B1329" s="1560">
        <v>46292</v>
      </c>
      <c r="C1329" s="1038" t="s">
        <v>11339</v>
      </c>
      <c r="D1329" s="1038" t="s">
        <v>526</v>
      </c>
      <c r="E1329" s="1038" t="s">
        <v>1458</v>
      </c>
      <c r="F1329" s="1566" t="s">
        <v>12324</v>
      </c>
      <c r="G1329" s="1038" t="s">
        <v>12325</v>
      </c>
    </row>
    <row r="1330" spans="2:7">
      <c r="B1330" s="1560">
        <v>46292</v>
      </c>
      <c r="C1330" s="1038" t="s">
        <v>11339</v>
      </c>
      <c r="D1330" s="1038" t="s">
        <v>526</v>
      </c>
      <c r="E1330" s="1038" t="s">
        <v>1458</v>
      </c>
      <c r="F1330" s="1566" t="s">
        <v>12326</v>
      </c>
      <c r="G1330" s="1038" t="s">
        <v>12327</v>
      </c>
    </row>
    <row r="1331" spans="2:7">
      <c r="B1331" s="1560">
        <v>46292</v>
      </c>
      <c r="C1331" s="1038" t="s">
        <v>11339</v>
      </c>
      <c r="D1331" s="1038" t="s">
        <v>526</v>
      </c>
      <c r="E1331" s="1038" t="s">
        <v>1458</v>
      </c>
      <c r="F1331" s="1566" t="s">
        <v>12328</v>
      </c>
      <c r="G1331" s="1038" t="s">
        <v>12329</v>
      </c>
    </row>
    <row r="1332" spans="2:7">
      <c r="B1332" s="1560">
        <v>46292</v>
      </c>
      <c r="C1332" s="1038" t="s">
        <v>11339</v>
      </c>
      <c r="D1332" s="1038" t="s">
        <v>526</v>
      </c>
      <c r="E1332" s="1038" t="s">
        <v>1458</v>
      </c>
      <c r="F1332" s="1566" t="s">
        <v>12330</v>
      </c>
      <c r="G1332" s="1038" t="s">
        <v>12331</v>
      </c>
    </row>
    <row r="1333" spans="2:7">
      <c r="B1333" s="1560">
        <v>46292</v>
      </c>
      <c r="C1333" s="1038" t="s">
        <v>11339</v>
      </c>
      <c r="D1333" s="1038" t="s">
        <v>526</v>
      </c>
      <c r="E1333" s="1038" t="s">
        <v>1462</v>
      </c>
      <c r="F1333" s="1566" t="s">
        <v>12332</v>
      </c>
      <c r="G1333" s="1038" t="s">
        <v>12333</v>
      </c>
    </row>
    <row r="1334" spans="2:7">
      <c r="B1334" s="1560">
        <v>46292</v>
      </c>
      <c r="C1334" s="1038" t="s">
        <v>11339</v>
      </c>
      <c r="D1334" s="1038" t="s">
        <v>526</v>
      </c>
      <c r="E1334" s="1038" t="s">
        <v>1376</v>
      </c>
      <c r="F1334" s="1566" t="s">
        <v>12237</v>
      </c>
      <c r="G1334" s="1038" t="s">
        <v>12334</v>
      </c>
    </row>
    <row r="1335" spans="2:7">
      <c r="B1335" s="1560">
        <v>46292</v>
      </c>
      <c r="C1335" s="1038" t="s">
        <v>11339</v>
      </c>
      <c r="D1335" s="1038" t="s">
        <v>526</v>
      </c>
      <c r="E1335" s="1038" t="s">
        <v>1376</v>
      </c>
      <c r="F1335" s="1566" t="s">
        <v>1510</v>
      </c>
      <c r="G1335" s="1038" t="s">
        <v>12335</v>
      </c>
    </row>
    <row r="1336" spans="2:7">
      <c r="B1336" s="1560">
        <v>46292</v>
      </c>
      <c r="C1336" s="1038" t="s">
        <v>11339</v>
      </c>
      <c r="D1336" s="1038" t="s">
        <v>526</v>
      </c>
      <c r="E1336" s="1038" t="s">
        <v>1376</v>
      </c>
      <c r="F1336" s="1566" t="s">
        <v>2060</v>
      </c>
      <c r="G1336" s="1038" t="s">
        <v>12336</v>
      </c>
    </row>
    <row r="1337" spans="2:7">
      <c r="B1337" s="1560">
        <v>46292</v>
      </c>
      <c r="C1337" s="1038" t="s">
        <v>11339</v>
      </c>
      <c r="D1337" s="1038" t="s">
        <v>526</v>
      </c>
      <c r="E1337" s="1038" t="s">
        <v>1376</v>
      </c>
      <c r="F1337" s="1566" t="s">
        <v>12337</v>
      </c>
      <c r="G1337" s="1038" t="s">
        <v>12338</v>
      </c>
    </row>
    <row r="1338" spans="2:7">
      <c r="B1338" s="1560">
        <v>46292</v>
      </c>
      <c r="C1338" s="1038" t="s">
        <v>11339</v>
      </c>
      <c r="D1338" s="1038" t="s">
        <v>526</v>
      </c>
      <c r="E1338" s="1038" t="s">
        <v>1376</v>
      </c>
      <c r="F1338" s="1566" t="s">
        <v>12339</v>
      </c>
      <c r="G1338" s="1038" t="s">
        <v>12340</v>
      </c>
    </row>
    <row r="1339" spans="2:7">
      <c r="B1339" s="1560">
        <v>46292</v>
      </c>
      <c r="C1339" s="1038" t="s">
        <v>11339</v>
      </c>
      <c r="D1339" s="1038" t="s">
        <v>526</v>
      </c>
      <c r="E1339" s="1038" t="s">
        <v>1376</v>
      </c>
      <c r="F1339" s="1566" t="s">
        <v>12341</v>
      </c>
      <c r="G1339" s="1038" t="s">
        <v>12342</v>
      </c>
    </row>
    <row r="1340" spans="2:7">
      <c r="B1340" s="1560">
        <v>46292</v>
      </c>
      <c r="C1340" s="1038" t="s">
        <v>11339</v>
      </c>
      <c r="D1340" s="1038" t="s">
        <v>526</v>
      </c>
      <c r="E1340" s="1038" t="s">
        <v>1393</v>
      </c>
      <c r="F1340" s="1566" t="s">
        <v>12343</v>
      </c>
      <c r="G1340" s="1038" t="s">
        <v>12344</v>
      </c>
    </row>
    <row r="1341" spans="2:7">
      <c r="B1341" s="1560">
        <v>46292</v>
      </c>
      <c r="C1341" s="1038" t="s">
        <v>11339</v>
      </c>
      <c r="D1341" s="1038" t="s">
        <v>526</v>
      </c>
      <c r="E1341" s="1038" t="s">
        <v>1393</v>
      </c>
      <c r="F1341" s="1566" t="s">
        <v>12345</v>
      </c>
      <c r="G1341" s="1038" t="s">
        <v>12346</v>
      </c>
    </row>
    <row r="1342" spans="2:7">
      <c r="B1342" s="1560">
        <v>46292</v>
      </c>
      <c r="C1342" s="1038" t="s">
        <v>11339</v>
      </c>
      <c r="D1342" s="1038" t="s">
        <v>526</v>
      </c>
      <c r="E1342" s="1038" t="s">
        <v>1393</v>
      </c>
      <c r="F1342" s="1566" t="s">
        <v>1691</v>
      </c>
      <c r="G1342" s="1038" t="s">
        <v>12347</v>
      </c>
    </row>
    <row r="1343" spans="2:7">
      <c r="B1343" s="1560">
        <v>46292</v>
      </c>
      <c r="C1343" s="1038" t="s">
        <v>11339</v>
      </c>
      <c r="D1343" s="1038" t="s">
        <v>526</v>
      </c>
      <c r="E1343" s="1038" t="s">
        <v>1393</v>
      </c>
      <c r="F1343" s="1566" t="s">
        <v>12348</v>
      </c>
      <c r="G1343" s="1038" t="s">
        <v>12349</v>
      </c>
    </row>
    <row r="1344" spans="2:7">
      <c r="B1344" s="1560">
        <v>46292</v>
      </c>
      <c r="C1344" s="1038" t="s">
        <v>11339</v>
      </c>
      <c r="D1344" s="1038" t="s">
        <v>526</v>
      </c>
      <c r="E1344" s="1038" t="s">
        <v>1393</v>
      </c>
      <c r="F1344" s="1566" t="s">
        <v>12350</v>
      </c>
      <c r="G1344" s="1038" t="s">
        <v>12351</v>
      </c>
    </row>
    <row r="1345" spans="2:7">
      <c r="B1345" s="1560">
        <v>46292</v>
      </c>
      <c r="C1345" s="1038" t="s">
        <v>11339</v>
      </c>
      <c r="D1345" s="1038" t="s">
        <v>526</v>
      </c>
      <c r="E1345" s="1038" t="s">
        <v>1393</v>
      </c>
      <c r="F1345" s="1566" t="s">
        <v>12352</v>
      </c>
      <c r="G1345" s="1038" t="s">
        <v>12353</v>
      </c>
    </row>
    <row r="1346" spans="2:7">
      <c r="B1346" s="1560">
        <v>46292</v>
      </c>
      <c r="C1346" s="1038" t="s">
        <v>11339</v>
      </c>
      <c r="D1346" s="1038" t="s">
        <v>526</v>
      </c>
      <c r="E1346" s="1038" t="s">
        <v>1410</v>
      </c>
      <c r="F1346" s="1566" t="s">
        <v>12260</v>
      </c>
      <c r="G1346" s="1038" t="s">
        <v>12354</v>
      </c>
    </row>
    <row r="1347" spans="2:7">
      <c r="B1347" s="1560">
        <v>46292</v>
      </c>
      <c r="C1347" s="1038" t="s">
        <v>11339</v>
      </c>
      <c r="D1347" s="1038" t="s">
        <v>526</v>
      </c>
      <c r="E1347" s="1038" t="s">
        <v>1410</v>
      </c>
      <c r="F1347" s="1566" t="s">
        <v>1895</v>
      </c>
      <c r="G1347" s="1038" t="s">
        <v>12355</v>
      </c>
    </row>
    <row r="1348" spans="2:7">
      <c r="B1348" s="1560">
        <v>46292</v>
      </c>
      <c r="C1348" s="1038" t="s">
        <v>11339</v>
      </c>
      <c r="D1348" s="1038" t="s">
        <v>526</v>
      </c>
      <c r="E1348" s="1038" t="s">
        <v>1410</v>
      </c>
      <c r="F1348" s="1566" t="s">
        <v>12356</v>
      </c>
      <c r="G1348" s="1038" t="s">
        <v>12357</v>
      </c>
    </row>
    <row r="1349" spans="2:7">
      <c r="B1349" s="1560">
        <v>46292</v>
      </c>
      <c r="C1349" s="1038" t="s">
        <v>11339</v>
      </c>
      <c r="D1349" s="1038" t="s">
        <v>526</v>
      </c>
      <c r="E1349" s="1038" t="s">
        <v>1410</v>
      </c>
      <c r="F1349" s="1566" t="s">
        <v>1942</v>
      </c>
      <c r="G1349" s="1038" t="s">
        <v>12358</v>
      </c>
    </row>
    <row r="1350" spans="2:7">
      <c r="B1350" s="1560">
        <v>46292</v>
      </c>
      <c r="C1350" s="1038" t="s">
        <v>11339</v>
      </c>
      <c r="D1350" s="1038" t="s">
        <v>526</v>
      </c>
      <c r="E1350" s="1038" t="s">
        <v>1410</v>
      </c>
      <c r="F1350" s="1566" t="s">
        <v>2019</v>
      </c>
      <c r="G1350" s="1038" t="s">
        <v>12359</v>
      </c>
    </row>
    <row r="1351" spans="2:7">
      <c r="B1351" s="1560">
        <v>46292</v>
      </c>
      <c r="C1351" s="1038" t="s">
        <v>11339</v>
      </c>
      <c r="D1351" s="1038" t="s">
        <v>526</v>
      </c>
      <c r="E1351" s="1038" t="s">
        <v>1434</v>
      </c>
      <c r="F1351" s="1566" t="s">
        <v>12273</v>
      </c>
      <c r="G1351" s="1038" t="s">
        <v>12360</v>
      </c>
    </row>
    <row r="1352" spans="2:7">
      <c r="B1352" s="1560">
        <v>46292</v>
      </c>
      <c r="C1352" s="1038" t="s">
        <v>11339</v>
      </c>
      <c r="D1352" s="1038" t="s">
        <v>526</v>
      </c>
      <c r="E1352" s="1038" t="s">
        <v>1434</v>
      </c>
      <c r="F1352" s="1566" t="s">
        <v>12361</v>
      </c>
      <c r="G1352" s="1038" t="s">
        <v>12362</v>
      </c>
    </row>
    <row r="1353" spans="2:7">
      <c r="B1353" s="1560">
        <v>46292</v>
      </c>
      <c r="C1353" s="1038" t="s">
        <v>11339</v>
      </c>
      <c r="D1353" s="1038" t="s">
        <v>526</v>
      </c>
      <c r="E1353" s="1038" t="s">
        <v>1434</v>
      </c>
      <c r="F1353" s="1566" t="s">
        <v>12363</v>
      </c>
      <c r="G1353" s="1038" t="s">
        <v>12364</v>
      </c>
    </row>
    <row r="1354" spans="2:7">
      <c r="B1354" s="1560">
        <v>46292</v>
      </c>
      <c r="C1354" s="1038" t="s">
        <v>11339</v>
      </c>
      <c r="D1354" s="1038" t="s">
        <v>526</v>
      </c>
      <c r="E1354" s="1038" t="s">
        <v>1434</v>
      </c>
      <c r="F1354" s="1566" t="s">
        <v>12365</v>
      </c>
      <c r="G1354" s="1038" t="s">
        <v>12366</v>
      </c>
    </row>
    <row r="1355" spans="2:7">
      <c r="B1355" s="1560">
        <v>46292</v>
      </c>
      <c r="C1355" s="1038" t="s">
        <v>11339</v>
      </c>
      <c r="D1355" s="1038" t="s">
        <v>526</v>
      </c>
      <c r="E1355" s="1038" t="s">
        <v>1434</v>
      </c>
      <c r="F1355" s="1566" t="s">
        <v>12367</v>
      </c>
      <c r="G1355" s="1038" t="s">
        <v>12368</v>
      </c>
    </row>
    <row r="1356" spans="2:7">
      <c r="B1356" s="1560">
        <v>46292</v>
      </c>
      <c r="C1356" s="1038" t="s">
        <v>11339</v>
      </c>
      <c r="D1356" s="1038" t="s">
        <v>526</v>
      </c>
      <c r="E1356" s="1038" t="s">
        <v>1434</v>
      </c>
      <c r="F1356" s="1566" t="s">
        <v>12369</v>
      </c>
      <c r="G1356" s="1038" t="s">
        <v>12370</v>
      </c>
    </row>
    <row r="1357" spans="2:7" ht="210">
      <c r="B1357" s="1560">
        <v>46292</v>
      </c>
      <c r="C1357" s="1038" t="s">
        <v>11339</v>
      </c>
      <c r="D1357" s="1038" t="s">
        <v>527</v>
      </c>
      <c r="E1357" s="1038" t="s">
        <v>1375</v>
      </c>
      <c r="F1357" s="1566" t="s">
        <v>12371</v>
      </c>
      <c r="G1357" s="1038" t="s">
        <v>12372</v>
      </c>
    </row>
    <row r="1358" spans="2:7" ht="90">
      <c r="B1358" s="1560">
        <v>46292</v>
      </c>
      <c r="C1358" s="1038" t="s">
        <v>11339</v>
      </c>
      <c r="D1358" s="1038" t="s">
        <v>527</v>
      </c>
      <c r="E1358" s="1038" t="s">
        <v>1454</v>
      </c>
      <c r="F1358" s="1566" t="s">
        <v>12373</v>
      </c>
      <c r="G1358" s="1038" t="s">
        <v>12374</v>
      </c>
    </row>
    <row r="1359" spans="2:7" ht="60">
      <c r="B1359" s="1560">
        <v>46292</v>
      </c>
      <c r="C1359" s="1038" t="s">
        <v>11339</v>
      </c>
      <c r="D1359" s="1038" t="s">
        <v>527</v>
      </c>
      <c r="E1359" s="1038" t="s">
        <v>1472</v>
      </c>
      <c r="F1359" s="1566" t="s">
        <v>12375</v>
      </c>
      <c r="G1359" s="1038" t="s">
        <v>12376</v>
      </c>
    </row>
    <row r="1360" spans="2:7" ht="60">
      <c r="B1360" s="1560">
        <v>46292</v>
      </c>
      <c r="C1360" s="1038" t="s">
        <v>11339</v>
      </c>
      <c r="D1360" s="1038" t="s">
        <v>527</v>
      </c>
      <c r="E1360" s="1038" t="s">
        <v>1474</v>
      </c>
      <c r="F1360" s="1566" t="s">
        <v>12377</v>
      </c>
      <c r="G1360" s="1038" t="s">
        <v>12378</v>
      </c>
    </row>
    <row r="1361" spans="2:7" ht="150">
      <c r="B1361" s="1560">
        <v>46292</v>
      </c>
      <c r="C1361" s="1038" t="s">
        <v>11339</v>
      </c>
      <c r="D1361" s="1038" t="s">
        <v>527</v>
      </c>
      <c r="E1361" s="1038" t="s">
        <v>1393</v>
      </c>
      <c r="F1361" s="1566" t="s">
        <v>12379</v>
      </c>
      <c r="G1361" s="1038" t="s">
        <v>12380</v>
      </c>
    </row>
    <row r="1362" spans="2:7" ht="165">
      <c r="B1362" s="1560">
        <v>46292</v>
      </c>
      <c r="C1362" s="1038" t="s">
        <v>11339</v>
      </c>
      <c r="D1362" s="1038" t="s">
        <v>527</v>
      </c>
      <c r="E1362" s="1038" t="s">
        <v>1410</v>
      </c>
      <c r="F1362" s="1566" t="s">
        <v>12381</v>
      </c>
      <c r="G1362" s="1038" t="s">
        <v>12382</v>
      </c>
    </row>
    <row r="1363" spans="2:7" ht="409.5">
      <c r="B1363" s="1560">
        <v>46292</v>
      </c>
      <c r="C1363" s="1038" t="s">
        <v>11339</v>
      </c>
      <c r="D1363" s="1038" t="s">
        <v>527</v>
      </c>
      <c r="E1363" s="1038" t="s">
        <v>1434</v>
      </c>
      <c r="F1363" s="1566" t="s">
        <v>12383</v>
      </c>
      <c r="G1363" s="1038" t="s">
        <v>12384</v>
      </c>
    </row>
    <row r="1364" spans="2:7" ht="135">
      <c r="B1364" s="1560">
        <v>46292</v>
      </c>
      <c r="C1364" s="1038" t="s">
        <v>11339</v>
      </c>
      <c r="D1364" s="1038" t="s">
        <v>528</v>
      </c>
      <c r="E1364" s="1038" t="s">
        <v>1375</v>
      </c>
      <c r="F1364" s="1566" t="s">
        <v>12385</v>
      </c>
      <c r="G1364" s="1038" t="s">
        <v>12386</v>
      </c>
    </row>
    <row r="1365" spans="2:7" ht="60">
      <c r="B1365" s="1560">
        <v>46292</v>
      </c>
      <c r="C1365" s="1038" t="s">
        <v>11339</v>
      </c>
      <c r="D1365" s="1038" t="s">
        <v>528</v>
      </c>
      <c r="E1365" s="1038" t="s">
        <v>1454</v>
      </c>
      <c r="F1365" s="1566" t="s">
        <v>12387</v>
      </c>
      <c r="G1365" s="1038" t="s">
        <v>12388</v>
      </c>
    </row>
    <row r="1366" spans="2:7" ht="105">
      <c r="B1366" s="1560">
        <v>46292</v>
      </c>
      <c r="C1366" s="1038" t="s">
        <v>11339</v>
      </c>
      <c r="D1366" s="1038" t="s">
        <v>528</v>
      </c>
      <c r="E1366" s="1038" t="s">
        <v>1458</v>
      </c>
      <c r="F1366" s="1567" t="s">
        <v>12389</v>
      </c>
      <c r="G1366" s="1038" t="s">
        <v>12390</v>
      </c>
    </row>
    <row r="1367" spans="2:7">
      <c r="B1367" s="1560">
        <v>46292</v>
      </c>
      <c r="C1367" s="1038" t="s">
        <v>11339</v>
      </c>
      <c r="D1367" s="1038" t="s">
        <v>528</v>
      </c>
      <c r="E1367" s="1038" t="s">
        <v>1474</v>
      </c>
      <c r="F1367" s="1567" t="s">
        <v>12391</v>
      </c>
      <c r="G1367" s="1038" t="s">
        <v>12392</v>
      </c>
    </row>
    <row r="1368" spans="2:7" ht="105">
      <c r="B1368" s="1560">
        <v>46292</v>
      </c>
      <c r="C1368" s="1038" t="s">
        <v>11339</v>
      </c>
      <c r="D1368" s="1038" t="s">
        <v>528</v>
      </c>
      <c r="E1368" s="1038" t="s">
        <v>1376</v>
      </c>
      <c r="F1368" s="1566" t="s">
        <v>12393</v>
      </c>
      <c r="G1368" s="1038" t="s">
        <v>12394</v>
      </c>
    </row>
    <row r="1369" spans="2:7" ht="165">
      <c r="B1369" s="1560">
        <v>46292</v>
      </c>
      <c r="C1369" s="1038" t="s">
        <v>11339</v>
      </c>
      <c r="D1369" s="1038" t="s">
        <v>528</v>
      </c>
      <c r="E1369" s="1038" t="s">
        <v>1410</v>
      </c>
      <c r="F1369" s="1566" t="s">
        <v>12395</v>
      </c>
      <c r="G1369" s="1038" t="s">
        <v>12396</v>
      </c>
    </row>
    <row r="1370" spans="2:7" ht="150">
      <c r="B1370" s="1560">
        <v>46292</v>
      </c>
      <c r="C1370" s="1038" t="s">
        <v>11339</v>
      </c>
      <c r="D1370" s="1038" t="s">
        <v>528</v>
      </c>
      <c r="E1370" s="1038" t="s">
        <v>1393</v>
      </c>
      <c r="F1370" s="1566" t="s">
        <v>12397</v>
      </c>
      <c r="G1370" s="1038" t="s">
        <v>12398</v>
      </c>
    </row>
    <row r="1371" spans="2:7" ht="409.5">
      <c r="B1371" s="1560">
        <v>46292</v>
      </c>
      <c r="C1371" s="1038" t="s">
        <v>11339</v>
      </c>
      <c r="D1371" s="1038" t="s">
        <v>528</v>
      </c>
      <c r="E1371" s="1038" t="s">
        <v>1434</v>
      </c>
      <c r="F1371" s="1566" t="s">
        <v>12399</v>
      </c>
      <c r="G1371" s="1038" t="s">
        <v>12400</v>
      </c>
    </row>
    <row r="1372" spans="2:7" ht="30">
      <c r="B1372" s="1560">
        <v>46293</v>
      </c>
      <c r="C1372" s="1038" t="s">
        <v>11566</v>
      </c>
      <c r="D1372" s="1038" t="s">
        <v>526</v>
      </c>
      <c r="E1372" s="1038" t="s">
        <v>1375</v>
      </c>
      <c r="F1372" s="1566" t="s">
        <v>12401</v>
      </c>
      <c r="G1372" s="1038" t="s">
        <v>12402</v>
      </c>
    </row>
    <row r="1373" spans="2:7">
      <c r="B1373" s="1560">
        <v>46293</v>
      </c>
      <c r="C1373" s="1038" t="s">
        <v>11566</v>
      </c>
      <c r="D1373" s="1038" t="s">
        <v>526</v>
      </c>
      <c r="E1373" s="1038" t="s">
        <v>1454</v>
      </c>
      <c r="F1373" s="1566" t="s">
        <v>12312</v>
      </c>
      <c r="G1373" s="1038" t="s">
        <v>12403</v>
      </c>
    </row>
    <row r="1374" spans="2:7">
      <c r="B1374" s="1560">
        <v>46293</v>
      </c>
      <c r="C1374" s="1038" t="s">
        <v>11566</v>
      </c>
      <c r="D1374" s="1038" t="s">
        <v>526</v>
      </c>
      <c r="E1374" s="1038" t="s">
        <v>1454</v>
      </c>
      <c r="F1374" s="1566" t="s">
        <v>12314</v>
      </c>
      <c r="G1374" s="1038" t="s">
        <v>12404</v>
      </c>
    </row>
    <row r="1375" spans="2:7">
      <c r="B1375" s="1560">
        <v>46293</v>
      </c>
      <c r="C1375" s="1038" t="s">
        <v>11566</v>
      </c>
      <c r="D1375" s="1038" t="s">
        <v>526</v>
      </c>
      <c r="E1375" s="1038" t="s">
        <v>1454</v>
      </c>
      <c r="F1375" s="1566" t="s">
        <v>12316</v>
      </c>
      <c r="G1375" s="1038" t="s">
        <v>12405</v>
      </c>
    </row>
    <row r="1376" spans="2:7">
      <c r="B1376" s="1560">
        <v>46293</v>
      </c>
      <c r="C1376" s="1038" t="s">
        <v>11566</v>
      </c>
      <c r="D1376" s="1038" t="s">
        <v>526</v>
      </c>
      <c r="E1376" s="1038" t="s">
        <v>1454</v>
      </c>
      <c r="F1376" s="1566" t="s">
        <v>12318</v>
      </c>
      <c r="G1376" s="1038" t="s">
        <v>12406</v>
      </c>
    </row>
    <row r="1377" spans="2:7">
      <c r="B1377" s="1560">
        <v>46293</v>
      </c>
      <c r="C1377" s="1038" t="s">
        <v>11566</v>
      </c>
      <c r="D1377" s="1038" t="s">
        <v>526</v>
      </c>
      <c r="E1377" s="1038" t="s">
        <v>1454</v>
      </c>
      <c r="F1377" s="1566" t="s">
        <v>12320</v>
      </c>
      <c r="G1377" s="1038" t="s">
        <v>12407</v>
      </c>
    </row>
    <row r="1378" spans="2:7">
      <c r="B1378" s="1560">
        <v>46293</v>
      </c>
      <c r="C1378" s="1038" t="s">
        <v>11566</v>
      </c>
      <c r="D1378" s="1038" t="s">
        <v>526</v>
      </c>
      <c r="E1378" s="1038" t="s">
        <v>1454</v>
      </c>
      <c r="F1378" s="1566" t="s">
        <v>12322</v>
      </c>
      <c r="G1378" s="1038" t="s">
        <v>12408</v>
      </c>
    </row>
    <row r="1379" spans="2:7">
      <c r="B1379" s="1560">
        <v>46293</v>
      </c>
      <c r="C1379" s="1038" t="s">
        <v>11566</v>
      </c>
      <c r="D1379" s="1038" t="s">
        <v>526</v>
      </c>
      <c r="E1379" s="1038" t="s">
        <v>1458</v>
      </c>
      <c r="F1379" s="1566" t="s">
        <v>12324</v>
      </c>
      <c r="G1379" s="1038" t="s">
        <v>12409</v>
      </c>
    </row>
    <row r="1380" spans="2:7">
      <c r="B1380" s="1560">
        <v>46293</v>
      </c>
      <c r="C1380" s="1038" t="s">
        <v>11566</v>
      </c>
      <c r="D1380" s="1038" t="s">
        <v>526</v>
      </c>
      <c r="E1380" s="1038" t="s">
        <v>1458</v>
      </c>
      <c r="F1380" s="1566" t="s">
        <v>12326</v>
      </c>
      <c r="G1380" s="1038" t="s">
        <v>12410</v>
      </c>
    </row>
    <row r="1381" spans="2:7">
      <c r="B1381" s="1560">
        <v>46293</v>
      </c>
      <c r="C1381" s="1038" t="s">
        <v>11566</v>
      </c>
      <c r="D1381" s="1038" t="s">
        <v>526</v>
      </c>
      <c r="E1381" s="1038" t="s">
        <v>1458</v>
      </c>
      <c r="F1381" s="1566" t="s">
        <v>12328</v>
      </c>
      <c r="G1381" s="1038" t="s">
        <v>12411</v>
      </c>
    </row>
    <row r="1382" spans="2:7">
      <c r="B1382" s="1560">
        <v>46293</v>
      </c>
      <c r="C1382" s="1038" t="s">
        <v>11566</v>
      </c>
      <c r="D1382" s="1038" t="s">
        <v>526</v>
      </c>
      <c r="E1382" s="1038" t="s">
        <v>1458</v>
      </c>
      <c r="F1382" s="1566" t="s">
        <v>12330</v>
      </c>
      <c r="G1382" s="1038" t="s">
        <v>12412</v>
      </c>
    </row>
    <row r="1383" spans="2:7">
      <c r="B1383" s="1560">
        <v>46293</v>
      </c>
      <c r="C1383" s="1038" t="s">
        <v>11566</v>
      </c>
      <c r="D1383" s="1038" t="s">
        <v>526</v>
      </c>
      <c r="E1383" s="1038" t="s">
        <v>1462</v>
      </c>
      <c r="F1383" s="1566" t="s">
        <v>12332</v>
      </c>
      <c r="G1383" s="1038" t="s">
        <v>12413</v>
      </c>
    </row>
    <row r="1384" spans="2:7" ht="165">
      <c r="B1384" s="1560">
        <v>46293</v>
      </c>
      <c r="C1384" s="1038" t="s">
        <v>11566</v>
      </c>
      <c r="D1384" s="1038" t="s">
        <v>526</v>
      </c>
      <c r="E1384" s="1038" t="s">
        <v>1376</v>
      </c>
      <c r="F1384" s="1566" t="s">
        <v>12414</v>
      </c>
      <c r="G1384" s="1038" t="s">
        <v>12415</v>
      </c>
    </row>
    <row r="1385" spans="2:7" ht="105">
      <c r="B1385" s="1560">
        <v>46293</v>
      </c>
      <c r="C1385" s="1038" t="s">
        <v>11566</v>
      </c>
      <c r="D1385" s="1038" t="s">
        <v>526</v>
      </c>
      <c r="E1385" s="1038" t="s">
        <v>1393</v>
      </c>
      <c r="F1385" s="1566" t="s">
        <v>12416</v>
      </c>
      <c r="G1385" s="1038" t="s">
        <v>12417</v>
      </c>
    </row>
    <row r="1386" spans="2:7">
      <c r="B1386" s="1560">
        <v>46293</v>
      </c>
      <c r="C1386" s="1038" t="s">
        <v>11566</v>
      </c>
      <c r="D1386" s="1038" t="s">
        <v>526</v>
      </c>
      <c r="E1386" s="1038" t="s">
        <v>1465</v>
      </c>
      <c r="F1386" s="1566" t="s">
        <v>12418</v>
      </c>
      <c r="G1386" s="1038" t="s">
        <v>12419</v>
      </c>
    </row>
    <row r="1387" spans="2:7">
      <c r="B1387" s="1560">
        <v>46293</v>
      </c>
      <c r="C1387" s="1038" t="s">
        <v>11566</v>
      </c>
      <c r="D1387" s="1038" t="s">
        <v>526</v>
      </c>
      <c r="E1387" s="1038" t="s">
        <v>1410</v>
      </c>
      <c r="F1387" s="1566" t="s">
        <v>12260</v>
      </c>
      <c r="G1387" s="1038" t="s">
        <v>12420</v>
      </c>
    </row>
    <row r="1388" spans="2:7">
      <c r="B1388" s="1560">
        <v>46293</v>
      </c>
      <c r="C1388" s="1038" t="s">
        <v>11566</v>
      </c>
      <c r="D1388" s="1038" t="s">
        <v>526</v>
      </c>
      <c r="E1388" s="1038" t="s">
        <v>1410</v>
      </c>
      <c r="F1388" s="1566" t="s">
        <v>1895</v>
      </c>
      <c r="G1388" s="1038" t="s">
        <v>12421</v>
      </c>
    </row>
    <row r="1389" spans="2:7">
      <c r="B1389" s="1560">
        <v>46293</v>
      </c>
      <c r="C1389" s="1038" t="s">
        <v>11566</v>
      </c>
      <c r="D1389" s="1038" t="s">
        <v>526</v>
      </c>
      <c r="E1389" s="1038" t="s">
        <v>1410</v>
      </c>
      <c r="F1389" s="1566" t="s">
        <v>12356</v>
      </c>
      <c r="G1389" s="1038" t="s">
        <v>12422</v>
      </c>
    </row>
    <row r="1390" spans="2:7">
      <c r="B1390" s="1560">
        <v>46293</v>
      </c>
      <c r="C1390" s="1038" t="s">
        <v>11566</v>
      </c>
      <c r="D1390" s="1038" t="s">
        <v>526</v>
      </c>
      <c r="E1390" s="1038" t="s">
        <v>1410</v>
      </c>
      <c r="F1390" s="1566" t="s">
        <v>1942</v>
      </c>
      <c r="G1390" s="1038" t="s">
        <v>12423</v>
      </c>
    </row>
    <row r="1391" spans="2:7">
      <c r="B1391" s="1560">
        <v>46293</v>
      </c>
      <c r="C1391" s="1038" t="s">
        <v>11566</v>
      </c>
      <c r="D1391" s="1038" t="s">
        <v>526</v>
      </c>
      <c r="E1391" s="1038" t="s">
        <v>1410</v>
      </c>
      <c r="F1391" s="1566" t="s">
        <v>2019</v>
      </c>
      <c r="G1391" s="1038" t="s">
        <v>12424</v>
      </c>
    </row>
    <row r="1392" spans="2:7">
      <c r="B1392" s="1560">
        <v>46293</v>
      </c>
      <c r="C1392" s="1038" t="s">
        <v>11566</v>
      </c>
      <c r="D1392" s="1038" t="s">
        <v>526</v>
      </c>
      <c r="E1392" s="1038" t="s">
        <v>1434</v>
      </c>
      <c r="F1392" s="1566" t="s">
        <v>12273</v>
      </c>
      <c r="G1392" s="1038" t="s">
        <v>12425</v>
      </c>
    </row>
    <row r="1393" spans="2:7">
      <c r="B1393" s="1560">
        <v>46293</v>
      </c>
      <c r="C1393" s="1038" t="s">
        <v>11566</v>
      </c>
      <c r="D1393" s="1038" t="s">
        <v>526</v>
      </c>
      <c r="E1393" s="1038" t="s">
        <v>1434</v>
      </c>
      <c r="F1393" s="1566" t="s">
        <v>12361</v>
      </c>
      <c r="G1393" s="1038" t="s">
        <v>12426</v>
      </c>
    </row>
    <row r="1394" spans="2:7">
      <c r="B1394" s="1560">
        <v>46293</v>
      </c>
      <c r="C1394" s="1038" t="s">
        <v>11566</v>
      </c>
      <c r="D1394" s="1038" t="s">
        <v>526</v>
      </c>
      <c r="E1394" s="1038" t="s">
        <v>1434</v>
      </c>
      <c r="F1394" s="1566" t="s">
        <v>12363</v>
      </c>
      <c r="G1394" s="1038" t="s">
        <v>12427</v>
      </c>
    </row>
    <row r="1395" spans="2:7">
      <c r="B1395" s="1560">
        <v>46293</v>
      </c>
      <c r="C1395" s="1038" t="s">
        <v>11566</v>
      </c>
      <c r="D1395" s="1038" t="s">
        <v>526</v>
      </c>
      <c r="E1395" s="1038" t="s">
        <v>1434</v>
      </c>
      <c r="F1395" s="1566" t="s">
        <v>12365</v>
      </c>
      <c r="G1395" s="1038" t="s">
        <v>12428</v>
      </c>
    </row>
    <row r="1396" spans="2:7">
      <c r="B1396" s="1560">
        <v>46293</v>
      </c>
      <c r="C1396" s="1038" t="s">
        <v>11566</v>
      </c>
      <c r="D1396" s="1038" t="s">
        <v>526</v>
      </c>
      <c r="E1396" s="1038" t="s">
        <v>1434</v>
      </c>
      <c r="F1396" s="1566" t="s">
        <v>12367</v>
      </c>
      <c r="G1396" s="1038" t="s">
        <v>12429</v>
      </c>
    </row>
    <row r="1397" spans="2:7">
      <c r="B1397" s="1560">
        <v>46293</v>
      </c>
      <c r="C1397" s="1038" t="s">
        <v>11566</v>
      </c>
      <c r="D1397" s="1038" t="s">
        <v>526</v>
      </c>
      <c r="E1397" s="1038" t="s">
        <v>1434</v>
      </c>
      <c r="F1397" s="1566" t="s">
        <v>12369</v>
      </c>
      <c r="G1397" s="1038" t="s">
        <v>12430</v>
      </c>
    </row>
    <row r="1398" spans="2:7">
      <c r="B1398" s="1560">
        <v>46293</v>
      </c>
      <c r="C1398" s="1038" t="s">
        <v>11566</v>
      </c>
      <c r="D1398" s="1038" t="s">
        <v>527</v>
      </c>
      <c r="E1398" s="1038" t="s">
        <v>1375</v>
      </c>
      <c r="F1398" s="1566" t="s">
        <v>12431</v>
      </c>
      <c r="G1398" s="1038" t="s">
        <v>12432</v>
      </c>
    </row>
    <row r="1399" spans="2:7">
      <c r="B1399" s="1560">
        <v>46293</v>
      </c>
      <c r="C1399" s="1038" t="s">
        <v>11566</v>
      </c>
      <c r="D1399" s="1038" t="s">
        <v>527</v>
      </c>
      <c r="E1399" s="1038" t="s">
        <v>1375</v>
      </c>
      <c r="F1399" s="1566" t="s">
        <v>12433</v>
      </c>
      <c r="G1399" s="1038" t="s">
        <v>12434</v>
      </c>
    </row>
    <row r="1400" spans="2:7">
      <c r="B1400" s="1560">
        <v>46293</v>
      </c>
      <c r="C1400" s="1038" t="s">
        <v>11566</v>
      </c>
      <c r="D1400" s="1038" t="s">
        <v>527</v>
      </c>
      <c r="E1400" s="1038" t="s">
        <v>1375</v>
      </c>
      <c r="F1400" s="1567" t="s">
        <v>12435</v>
      </c>
      <c r="G1400" s="1038" t="s">
        <v>12436</v>
      </c>
    </row>
    <row r="1401" spans="2:7">
      <c r="B1401" s="1560">
        <v>46293</v>
      </c>
      <c r="C1401" s="1038" t="s">
        <v>11566</v>
      </c>
      <c r="D1401" s="1038" t="s">
        <v>527</v>
      </c>
      <c r="E1401" s="1038" t="s">
        <v>1454</v>
      </c>
      <c r="F1401" s="1566" t="s">
        <v>12437</v>
      </c>
      <c r="G1401" s="1038" t="s">
        <v>12438</v>
      </c>
    </row>
    <row r="1402" spans="2:7">
      <c r="B1402" s="1560">
        <v>46293</v>
      </c>
      <c r="C1402" s="1038" t="s">
        <v>11566</v>
      </c>
      <c r="D1402" s="1038" t="s">
        <v>527</v>
      </c>
      <c r="E1402" s="1038" t="s">
        <v>1454</v>
      </c>
      <c r="F1402" s="1566" t="s">
        <v>12439</v>
      </c>
      <c r="G1402" s="1038" t="s">
        <v>12440</v>
      </c>
    </row>
    <row r="1403" spans="2:7">
      <c r="B1403" s="1560">
        <v>46293</v>
      </c>
      <c r="C1403" s="1038" t="s">
        <v>11566</v>
      </c>
      <c r="D1403" s="1038" t="s">
        <v>527</v>
      </c>
      <c r="E1403" s="1038" t="s">
        <v>1472</v>
      </c>
      <c r="F1403" s="1566" t="s">
        <v>12441</v>
      </c>
      <c r="G1403" s="1038" t="s">
        <v>12442</v>
      </c>
    </row>
    <row r="1404" spans="2:7">
      <c r="B1404" s="1560">
        <v>46293</v>
      </c>
      <c r="C1404" s="1038" t="s">
        <v>11566</v>
      </c>
      <c r="D1404" s="1038" t="s">
        <v>527</v>
      </c>
      <c r="E1404" s="1038" t="s">
        <v>1472</v>
      </c>
      <c r="F1404" s="1566" t="s">
        <v>12443</v>
      </c>
      <c r="G1404" s="1038" t="s">
        <v>12444</v>
      </c>
    </row>
    <row r="1405" spans="2:7">
      <c r="B1405" s="1560">
        <v>46293</v>
      </c>
      <c r="C1405" s="1038" t="s">
        <v>11566</v>
      </c>
      <c r="D1405" s="1038" t="s">
        <v>527</v>
      </c>
      <c r="E1405" s="1038" t="s">
        <v>1474</v>
      </c>
      <c r="F1405" s="1566" t="s">
        <v>12445</v>
      </c>
      <c r="G1405" s="1038" t="s">
        <v>12446</v>
      </c>
    </row>
    <row r="1406" spans="2:7">
      <c r="B1406" s="1560">
        <v>46293</v>
      </c>
      <c r="C1406" s="1038" t="s">
        <v>11566</v>
      </c>
      <c r="D1406" s="1038" t="s">
        <v>527</v>
      </c>
      <c r="E1406" s="1038" t="s">
        <v>1474</v>
      </c>
      <c r="F1406" s="1566" t="s">
        <v>12447</v>
      </c>
      <c r="G1406" s="1038" t="s">
        <v>12448</v>
      </c>
    </row>
    <row r="1407" spans="2:7">
      <c r="B1407" s="1560">
        <v>46293</v>
      </c>
      <c r="C1407" s="1038" t="s">
        <v>11566</v>
      </c>
      <c r="D1407" s="1038" t="s">
        <v>527</v>
      </c>
      <c r="E1407" s="1038" t="s">
        <v>1474</v>
      </c>
      <c r="F1407" s="1566" t="s">
        <v>12449</v>
      </c>
      <c r="G1407" s="1038" t="s">
        <v>12450</v>
      </c>
    </row>
    <row r="1408" spans="2:7">
      <c r="B1408" s="1560">
        <v>46293</v>
      </c>
      <c r="C1408" s="1038" t="s">
        <v>11566</v>
      </c>
      <c r="D1408" s="1038" t="s">
        <v>527</v>
      </c>
      <c r="E1408" s="1038" t="s">
        <v>1474</v>
      </c>
      <c r="F1408" s="1566" t="s">
        <v>12451</v>
      </c>
      <c r="G1408" s="1038" t="s">
        <v>12452</v>
      </c>
    </row>
    <row r="1409" spans="2:7">
      <c r="B1409" s="1560">
        <v>46293</v>
      </c>
      <c r="C1409" s="1038" t="s">
        <v>11566</v>
      </c>
      <c r="D1409" s="1038" t="s">
        <v>527</v>
      </c>
      <c r="E1409" s="1038" t="s">
        <v>1376</v>
      </c>
      <c r="F1409" s="1566" t="s">
        <v>12341</v>
      </c>
      <c r="G1409" s="1038" t="s">
        <v>12453</v>
      </c>
    </row>
    <row r="1410" spans="2:7">
      <c r="B1410" s="1560">
        <v>46293</v>
      </c>
      <c r="C1410" s="1038" t="s">
        <v>11566</v>
      </c>
      <c r="D1410" s="1038" t="s">
        <v>527</v>
      </c>
      <c r="E1410" s="1038" t="s">
        <v>1393</v>
      </c>
      <c r="F1410" s="1566" t="s">
        <v>12454</v>
      </c>
      <c r="G1410" s="1038" t="s">
        <v>12455</v>
      </c>
    </row>
    <row r="1411" spans="2:7">
      <c r="B1411" s="1560">
        <v>46293</v>
      </c>
      <c r="C1411" s="1038" t="s">
        <v>11566</v>
      </c>
      <c r="D1411" s="1038" t="s">
        <v>527</v>
      </c>
      <c r="E1411" s="1038" t="s">
        <v>1393</v>
      </c>
      <c r="F1411" s="1566" t="s">
        <v>12246</v>
      </c>
      <c r="G1411" s="1038" t="s">
        <v>12456</v>
      </c>
    </row>
    <row r="1412" spans="2:7">
      <c r="B1412" s="1560">
        <v>46293</v>
      </c>
      <c r="C1412" s="1038" t="s">
        <v>11566</v>
      </c>
      <c r="D1412" s="1038" t="s">
        <v>527</v>
      </c>
      <c r="E1412" s="1038" t="s">
        <v>1393</v>
      </c>
      <c r="F1412" s="1566" t="s">
        <v>1524</v>
      </c>
      <c r="G1412" s="1038" t="s">
        <v>12457</v>
      </c>
    </row>
    <row r="1413" spans="2:7">
      <c r="B1413" s="1560">
        <v>46293</v>
      </c>
      <c r="C1413" s="1038" t="s">
        <v>11566</v>
      </c>
      <c r="D1413" s="1038" t="s">
        <v>527</v>
      </c>
      <c r="E1413" s="1038" t="s">
        <v>1393</v>
      </c>
      <c r="F1413" s="1566" t="s">
        <v>1525</v>
      </c>
      <c r="G1413" s="1038" t="s">
        <v>12458</v>
      </c>
    </row>
    <row r="1414" spans="2:7">
      <c r="B1414" s="1560">
        <v>46293</v>
      </c>
      <c r="C1414" s="1038" t="s">
        <v>11566</v>
      </c>
      <c r="D1414" s="1038" t="s">
        <v>527</v>
      </c>
      <c r="E1414" s="1038" t="s">
        <v>1393</v>
      </c>
      <c r="F1414" s="1566" t="s">
        <v>12459</v>
      </c>
      <c r="G1414" s="1038" t="s">
        <v>12460</v>
      </c>
    </row>
    <row r="1415" spans="2:7">
      <c r="B1415" s="1560">
        <v>46293</v>
      </c>
      <c r="C1415" s="1038" t="s">
        <v>11566</v>
      </c>
      <c r="D1415" s="1038" t="s">
        <v>527</v>
      </c>
      <c r="E1415" s="1038" t="s">
        <v>1393</v>
      </c>
      <c r="F1415" s="1566" t="s">
        <v>12461</v>
      </c>
      <c r="G1415" s="1038" t="s">
        <v>12462</v>
      </c>
    </row>
    <row r="1416" spans="2:7">
      <c r="B1416" s="1560">
        <v>46293</v>
      </c>
      <c r="C1416" s="1038" t="s">
        <v>11566</v>
      </c>
      <c r="D1416" s="1038" t="s">
        <v>527</v>
      </c>
      <c r="E1416" s="1038" t="s">
        <v>1393</v>
      </c>
      <c r="F1416" s="1566" t="s">
        <v>12463</v>
      </c>
      <c r="G1416" s="1038" t="s">
        <v>12464</v>
      </c>
    </row>
    <row r="1417" spans="2:7">
      <c r="B1417" s="1560">
        <v>46293</v>
      </c>
      <c r="C1417" s="1038" t="s">
        <v>11566</v>
      </c>
      <c r="D1417" s="1038" t="s">
        <v>527</v>
      </c>
      <c r="E1417" s="1038" t="s">
        <v>1393</v>
      </c>
      <c r="F1417" s="1566" t="s">
        <v>12465</v>
      </c>
      <c r="G1417" s="1038" t="s">
        <v>12466</v>
      </c>
    </row>
    <row r="1418" spans="2:7">
      <c r="B1418" s="1560">
        <v>46293</v>
      </c>
      <c r="C1418" s="1038" t="s">
        <v>11566</v>
      </c>
      <c r="D1418" s="1038" t="s">
        <v>527</v>
      </c>
      <c r="E1418" s="1038" t="s">
        <v>1393</v>
      </c>
      <c r="F1418" s="1566" t="s">
        <v>12467</v>
      </c>
      <c r="G1418" s="1038" t="s">
        <v>12468</v>
      </c>
    </row>
    <row r="1419" spans="2:7">
      <c r="B1419" s="1560">
        <v>46293</v>
      </c>
      <c r="C1419" s="1038" t="s">
        <v>11566</v>
      </c>
      <c r="D1419" s="1038" t="s">
        <v>527</v>
      </c>
      <c r="E1419" s="1038" t="s">
        <v>1410</v>
      </c>
      <c r="F1419" s="1566" t="s">
        <v>12260</v>
      </c>
      <c r="G1419" s="1038" t="s">
        <v>12469</v>
      </c>
    </row>
    <row r="1420" spans="2:7">
      <c r="B1420" s="1560">
        <v>46293</v>
      </c>
      <c r="C1420" s="1038" t="s">
        <v>11566</v>
      </c>
      <c r="D1420" s="1038" t="s">
        <v>527</v>
      </c>
      <c r="E1420" s="1038" t="s">
        <v>1410</v>
      </c>
      <c r="F1420" s="1566" t="s">
        <v>12470</v>
      </c>
      <c r="G1420" s="1038" t="s">
        <v>12471</v>
      </c>
    </row>
    <row r="1421" spans="2:7">
      <c r="B1421" s="1560">
        <v>46293</v>
      </c>
      <c r="C1421" s="1038" t="s">
        <v>11566</v>
      </c>
      <c r="D1421" s="1038" t="s">
        <v>527</v>
      </c>
      <c r="E1421" s="1038" t="s">
        <v>1410</v>
      </c>
      <c r="F1421" s="1566" t="s">
        <v>12472</v>
      </c>
      <c r="G1421" s="1038" t="s">
        <v>12473</v>
      </c>
    </row>
    <row r="1422" spans="2:7">
      <c r="B1422" s="1560">
        <v>46293</v>
      </c>
      <c r="C1422" s="1038" t="s">
        <v>11566</v>
      </c>
      <c r="D1422" s="1038" t="s">
        <v>527</v>
      </c>
      <c r="E1422" s="1038" t="s">
        <v>1410</v>
      </c>
      <c r="F1422" s="1566" t="s">
        <v>1942</v>
      </c>
      <c r="G1422" s="1038" t="s">
        <v>12474</v>
      </c>
    </row>
    <row r="1423" spans="2:7">
      <c r="B1423" s="1560">
        <v>46293</v>
      </c>
      <c r="C1423" s="1038" t="s">
        <v>11566</v>
      </c>
      <c r="D1423" s="1038" t="s">
        <v>527</v>
      </c>
      <c r="E1423" s="1038" t="s">
        <v>1410</v>
      </c>
      <c r="F1423" s="1566" t="s">
        <v>2019</v>
      </c>
      <c r="G1423" s="1038" t="s">
        <v>12475</v>
      </c>
    </row>
    <row r="1424" spans="2:7">
      <c r="B1424" s="1560">
        <v>46293</v>
      </c>
      <c r="C1424" s="1038" t="s">
        <v>11566</v>
      </c>
      <c r="D1424" s="1038" t="s">
        <v>527</v>
      </c>
      <c r="E1424" s="1038" t="s">
        <v>1410</v>
      </c>
      <c r="F1424" s="1566" t="s">
        <v>1944</v>
      </c>
      <c r="G1424" s="1038" t="s">
        <v>12476</v>
      </c>
    </row>
    <row r="1425" spans="2:7">
      <c r="B1425" s="1560">
        <v>46293</v>
      </c>
      <c r="C1425" s="1038" t="s">
        <v>11566</v>
      </c>
      <c r="D1425" s="1038" t="s">
        <v>527</v>
      </c>
      <c r="E1425" s="1038" t="s">
        <v>1410</v>
      </c>
      <c r="F1425" s="1566" t="s">
        <v>2020</v>
      </c>
      <c r="G1425" s="1038" t="s">
        <v>12477</v>
      </c>
    </row>
    <row r="1426" spans="2:7">
      <c r="B1426" s="1560">
        <v>46293</v>
      </c>
      <c r="C1426" s="1038" t="s">
        <v>11566</v>
      </c>
      <c r="D1426" s="1038" t="s">
        <v>527</v>
      </c>
      <c r="E1426" s="1038" t="s">
        <v>1410</v>
      </c>
      <c r="F1426" s="1566" t="s">
        <v>12271</v>
      </c>
      <c r="G1426" s="1038" t="s">
        <v>12478</v>
      </c>
    </row>
    <row r="1427" spans="2:7">
      <c r="B1427" s="1560">
        <v>46293</v>
      </c>
      <c r="C1427" s="1038" t="s">
        <v>11566</v>
      </c>
      <c r="D1427" s="1038" t="s">
        <v>527</v>
      </c>
      <c r="E1427" s="1038" t="s">
        <v>1434</v>
      </c>
      <c r="F1427" s="1566" t="s">
        <v>12273</v>
      </c>
      <c r="G1427" s="1038" t="s">
        <v>12479</v>
      </c>
    </row>
    <row r="1428" spans="2:7">
      <c r="B1428" s="1560">
        <v>46293</v>
      </c>
      <c r="C1428" s="1038" t="s">
        <v>11566</v>
      </c>
      <c r="D1428" s="1038" t="s">
        <v>527</v>
      </c>
      <c r="E1428" s="1038" t="s">
        <v>1434</v>
      </c>
      <c r="F1428" s="1566" t="s">
        <v>12480</v>
      </c>
      <c r="G1428" s="1038" t="s">
        <v>12481</v>
      </c>
    </row>
    <row r="1429" spans="2:7">
      <c r="B1429" s="1560">
        <v>46293</v>
      </c>
      <c r="C1429" s="1038" t="s">
        <v>11566</v>
      </c>
      <c r="D1429" s="1038" t="s">
        <v>527</v>
      </c>
      <c r="E1429" s="1038" t="s">
        <v>1434</v>
      </c>
      <c r="F1429" s="1566" t="s">
        <v>12482</v>
      </c>
      <c r="G1429" s="1038" t="s">
        <v>12483</v>
      </c>
    </row>
    <row r="1430" spans="2:7">
      <c r="B1430" s="1560">
        <v>46293</v>
      </c>
      <c r="C1430" s="1038" t="s">
        <v>11566</v>
      </c>
      <c r="D1430" s="1038" t="s">
        <v>527</v>
      </c>
      <c r="E1430" s="1038" t="s">
        <v>1434</v>
      </c>
      <c r="F1430" s="1566" t="s">
        <v>12482</v>
      </c>
      <c r="G1430" s="1038" t="s">
        <v>12484</v>
      </c>
    </row>
    <row r="1431" spans="2:7">
      <c r="B1431" s="1560">
        <v>46293</v>
      </c>
      <c r="C1431" s="1038" t="s">
        <v>11566</v>
      </c>
      <c r="D1431" s="1038" t="s">
        <v>527</v>
      </c>
      <c r="E1431" s="1038" t="s">
        <v>1434</v>
      </c>
      <c r="F1431" s="1566" t="s">
        <v>12485</v>
      </c>
      <c r="G1431" s="1038" t="s">
        <v>12486</v>
      </c>
    </row>
    <row r="1432" spans="2:7">
      <c r="B1432" s="1560">
        <v>46293</v>
      </c>
      <c r="C1432" s="1038" t="s">
        <v>11566</v>
      </c>
      <c r="D1432" s="1038" t="s">
        <v>527</v>
      </c>
      <c r="E1432" s="1038" t="s">
        <v>1434</v>
      </c>
      <c r="F1432" s="1566" t="s">
        <v>12487</v>
      </c>
      <c r="G1432" s="1038" t="s">
        <v>12488</v>
      </c>
    </row>
    <row r="1433" spans="2:7">
      <c r="B1433" s="1560">
        <v>46293</v>
      </c>
      <c r="C1433" s="1038" t="s">
        <v>11566</v>
      </c>
      <c r="D1433" s="1038" t="s">
        <v>527</v>
      </c>
      <c r="E1433" s="1038" t="s">
        <v>1434</v>
      </c>
      <c r="F1433" s="1566" t="s">
        <v>12489</v>
      </c>
      <c r="G1433" s="1038" t="s">
        <v>12490</v>
      </c>
    </row>
    <row r="1434" spans="2:7">
      <c r="B1434" s="1560">
        <v>46293</v>
      </c>
      <c r="C1434" s="1038" t="s">
        <v>11566</v>
      </c>
      <c r="D1434" s="1038" t="s">
        <v>527</v>
      </c>
      <c r="E1434" s="1038" t="s">
        <v>1434</v>
      </c>
      <c r="F1434" s="1566" t="s">
        <v>12491</v>
      </c>
      <c r="G1434" s="1038" t="s">
        <v>12492</v>
      </c>
    </row>
    <row r="1435" spans="2:7">
      <c r="B1435" s="1560">
        <v>46293</v>
      </c>
      <c r="C1435" s="1038" t="s">
        <v>11566</v>
      </c>
      <c r="D1435" s="1038" t="s">
        <v>527</v>
      </c>
      <c r="E1435" s="1038" t="s">
        <v>1434</v>
      </c>
      <c r="F1435" s="1566" t="s">
        <v>12493</v>
      </c>
      <c r="G1435" s="1038" t="s">
        <v>12494</v>
      </c>
    </row>
    <row r="1436" spans="2:7" ht="135">
      <c r="B1436" s="1560">
        <v>46293</v>
      </c>
      <c r="C1436" s="1038" t="s">
        <v>11566</v>
      </c>
      <c r="D1436" s="1038" t="s">
        <v>528</v>
      </c>
      <c r="E1436" s="1038" t="s">
        <v>1375</v>
      </c>
      <c r="F1436" s="1566" t="s">
        <v>12495</v>
      </c>
      <c r="G1436" s="1038" t="s">
        <v>12496</v>
      </c>
    </row>
    <row r="1437" spans="2:7" ht="90">
      <c r="B1437" s="1560">
        <v>46293</v>
      </c>
      <c r="C1437" s="1038" t="s">
        <v>11566</v>
      </c>
      <c r="D1437" s="1038" t="s">
        <v>528</v>
      </c>
      <c r="E1437" s="1038" t="s">
        <v>1454</v>
      </c>
      <c r="F1437" s="1566" t="s">
        <v>12497</v>
      </c>
      <c r="G1437" s="1038" t="s">
        <v>12498</v>
      </c>
    </row>
    <row r="1438" spans="2:7" ht="120">
      <c r="B1438" s="1560">
        <v>46293</v>
      </c>
      <c r="C1438" s="1038" t="s">
        <v>11566</v>
      </c>
      <c r="D1438" s="1038" t="s">
        <v>528</v>
      </c>
      <c r="E1438" s="1038" t="s">
        <v>1458</v>
      </c>
      <c r="F1438" s="1567" t="s">
        <v>12499</v>
      </c>
      <c r="G1438" s="1038" t="s">
        <v>12500</v>
      </c>
    </row>
    <row r="1439" spans="2:7">
      <c r="B1439" s="1560">
        <v>46293</v>
      </c>
      <c r="C1439" s="1038" t="s">
        <v>11566</v>
      </c>
      <c r="D1439" s="1038" t="s">
        <v>528</v>
      </c>
      <c r="E1439" s="1038" t="s">
        <v>1474</v>
      </c>
      <c r="F1439" s="1567" t="s">
        <v>12501</v>
      </c>
      <c r="G1439" s="1038" t="s">
        <v>12502</v>
      </c>
    </row>
    <row r="1440" spans="2:7" ht="75">
      <c r="B1440" s="1560">
        <v>46293</v>
      </c>
      <c r="C1440" s="1038" t="s">
        <v>11566</v>
      </c>
      <c r="D1440" s="1038" t="s">
        <v>528</v>
      </c>
      <c r="E1440" s="1038" t="s">
        <v>1376</v>
      </c>
      <c r="F1440" s="1566" t="s">
        <v>12503</v>
      </c>
      <c r="G1440" s="1038" t="s">
        <v>12504</v>
      </c>
    </row>
    <row r="1441" spans="2:7" ht="165">
      <c r="B1441" s="1560">
        <v>46293</v>
      </c>
      <c r="C1441" s="1038" t="s">
        <v>11566</v>
      </c>
      <c r="D1441" s="1038" t="s">
        <v>528</v>
      </c>
      <c r="E1441" s="1038" t="s">
        <v>1410</v>
      </c>
      <c r="F1441" s="1566" t="s">
        <v>12505</v>
      </c>
      <c r="G1441" s="1038" t="s">
        <v>12506</v>
      </c>
    </row>
    <row r="1442" spans="2:7" ht="165">
      <c r="B1442" s="1560">
        <v>46293</v>
      </c>
      <c r="C1442" s="1038" t="s">
        <v>11566</v>
      </c>
      <c r="D1442" s="1038" t="s">
        <v>528</v>
      </c>
      <c r="E1442" s="1038" t="s">
        <v>1393</v>
      </c>
      <c r="F1442" s="1566" t="s">
        <v>12507</v>
      </c>
      <c r="G1442" s="1038" t="s">
        <v>12508</v>
      </c>
    </row>
    <row r="1443" spans="2:7" ht="409.5">
      <c r="B1443" s="1560">
        <v>46293</v>
      </c>
      <c r="C1443" s="1038" t="s">
        <v>11566</v>
      </c>
      <c r="D1443" s="1038" t="s">
        <v>528</v>
      </c>
      <c r="E1443" s="1038" t="s">
        <v>1434</v>
      </c>
      <c r="F1443" s="1566" t="s">
        <v>12509</v>
      </c>
      <c r="G1443" s="1038" t="s">
        <v>12510</v>
      </c>
    </row>
    <row r="1444" spans="2:7" ht="60">
      <c r="B1444" s="1560">
        <v>46294</v>
      </c>
      <c r="C1444" s="1038" t="s">
        <v>11791</v>
      </c>
      <c r="D1444" s="1038" t="s">
        <v>526</v>
      </c>
      <c r="E1444" s="1038" t="s">
        <v>1375</v>
      </c>
      <c r="F1444" s="1566" t="s">
        <v>12511</v>
      </c>
      <c r="G1444" s="1038" t="s">
        <v>12512</v>
      </c>
    </row>
    <row r="1445" spans="2:7">
      <c r="B1445" s="1560">
        <v>46294</v>
      </c>
      <c r="C1445" s="1038" t="s">
        <v>11791</v>
      </c>
      <c r="D1445" s="1038" t="s">
        <v>526</v>
      </c>
      <c r="E1445" s="1038" t="s">
        <v>1454</v>
      </c>
      <c r="F1445" s="1566" t="s">
        <v>12312</v>
      </c>
      <c r="G1445" s="1038" t="s">
        <v>12513</v>
      </c>
    </row>
    <row r="1446" spans="2:7">
      <c r="B1446" s="1560">
        <v>46294</v>
      </c>
      <c r="C1446" s="1038" t="s">
        <v>11791</v>
      </c>
      <c r="D1446" s="1038" t="s">
        <v>526</v>
      </c>
      <c r="E1446" s="1038" t="s">
        <v>1454</v>
      </c>
      <c r="F1446" s="1566" t="s">
        <v>12314</v>
      </c>
      <c r="G1446" s="1038" t="s">
        <v>12514</v>
      </c>
    </row>
    <row r="1447" spans="2:7">
      <c r="B1447" s="1560">
        <v>46294</v>
      </c>
      <c r="C1447" s="1038" t="s">
        <v>11791</v>
      </c>
      <c r="D1447" s="1038" t="s">
        <v>526</v>
      </c>
      <c r="E1447" s="1038" t="s">
        <v>1454</v>
      </c>
      <c r="F1447" s="1566" t="s">
        <v>12316</v>
      </c>
      <c r="G1447" s="1038" t="s">
        <v>12515</v>
      </c>
    </row>
    <row r="1448" spans="2:7">
      <c r="B1448" s="1560">
        <v>46294</v>
      </c>
      <c r="C1448" s="1038" t="s">
        <v>11791</v>
      </c>
      <c r="D1448" s="1038" t="s">
        <v>526</v>
      </c>
      <c r="E1448" s="1038" t="s">
        <v>1454</v>
      </c>
      <c r="F1448" s="1566" t="s">
        <v>12318</v>
      </c>
      <c r="G1448" s="1038" t="s">
        <v>12516</v>
      </c>
    </row>
    <row r="1449" spans="2:7">
      <c r="B1449" s="1560">
        <v>46294</v>
      </c>
      <c r="C1449" s="1038" t="s">
        <v>11791</v>
      </c>
      <c r="D1449" s="1038" t="s">
        <v>526</v>
      </c>
      <c r="E1449" s="1038" t="s">
        <v>1454</v>
      </c>
      <c r="F1449" s="1566" t="s">
        <v>12320</v>
      </c>
      <c r="G1449" s="1038" t="s">
        <v>12517</v>
      </c>
    </row>
    <row r="1450" spans="2:7">
      <c r="B1450" s="1560">
        <v>46294</v>
      </c>
      <c r="C1450" s="1038" t="s">
        <v>11791</v>
      </c>
      <c r="D1450" s="1038" t="s">
        <v>526</v>
      </c>
      <c r="E1450" s="1038" t="s">
        <v>1454</v>
      </c>
      <c r="F1450" s="1566" t="s">
        <v>12322</v>
      </c>
      <c r="G1450" s="1038" t="s">
        <v>12518</v>
      </c>
    </row>
    <row r="1451" spans="2:7">
      <c r="B1451" s="1560">
        <v>46294</v>
      </c>
      <c r="C1451" s="1038" t="s">
        <v>11791</v>
      </c>
      <c r="D1451" s="1038" t="s">
        <v>526</v>
      </c>
      <c r="E1451" s="1038" t="s">
        <v>1458</v>
      </c>
      <c r="F1451" s="1566" t="s">
        <v>12324</v>
      </c>
      <c r="G1451" s="1038" t="s">
        <v>12519</v>
      </c>
    </row>
    <row r="1452" spans="2:7">
      <c r="B1452" s="1560">
        <v>46294</v>
      </c>
      <c r="C1452" s="1038" t="s">
        <v>11791</v>
      </c>
      <c r="D1452" s="1038" t="s">
        <v>526</v>
      </c>
      <c r="E1452" s="1038" t="s">
        <v>1458</v>
      </c>
      <c r="F1452" s="1566" t="s">
        <v>12326</v>
      </c>
      <c r="G1452" s="1038" t="s">
        <v>12520</v>
      </c>
    </row>
    <row r="1453" spans="2:7">
      <c r="B1453" s="1560">
        <v>46294</v>
      </c>
      <c r="C1453" s="1038" t="s">
        <v>11791</v>
      </c>
      <c r="D1453" s="1038" t="s">
        <v>526</v>
      </c>
      <c r="E1453" s="1038" t="s">
        <v>1458</v>
      </c>
      <c r="F1453" s="1566" t="s">
        <v>12328</v>
      </c>
      <c r="G1453" s="1038" t="s">
        <v>12521</v>
      </c>
    </row>
    <row r="1454" spans="2:7">
      <c r="B1454" s="1560">
        <v>46294</v>
      </c>
      <c r="C1454" s="1038" t="s">
        <v>11791</v>
      </c>
      <c r="D1454" s="1038" t="s">
        <v>526</v>
      </c>
      <c r="E1454" s="1038" t="s">
        <v>1458</v>
      </c>
      <c r="F1454" s="1566" t="s">
        <v>12330</v>
      </c>
      <c r="G1454" s="1038" t="s">
        <v>12522</v>
      </c>
    </row>
    <row r="1455" spans="2:7">
      <c r="B1455" s="1560">
        <v>46294</v>
      </c>
      <c r="C1455" s="1038" t="s">
        <v>11791</v>
      </c>
      <c r="D1455" s="1038" t="s">
        <v>526</v>
      </c>
      <c r="E1455" s="1038" t="s">
        <v>1462</v>
      </c>
      <c r="F1455" s="1566" t="s">
        <v>12332</v>
      </c>
      <c r="G1455" s="1038" t="s">
        <v>12523</v>
      </c>
    </row>
    <row r="1456" spans="2:7" ht="135">
      <c r="B1456" s="1560">
        <v>46294</v>
      </c>
      <c r="C1456" s="1038" t="s">
        <v>11791</v>
      </c>
      <c r="D1456" s="1038" t="s">
        <v>526</v>
      </c>
      <c r="E1456" s="1038" t="s">
        <v>1376</v>
      </c>
      <c r="F1456" s="1566" t="s">
        <v>12524</v>
      </c>
      <c r="G1456" s="1038" t="s">
        <v>12525</v>
      </c>
    </row>
    <row r="1457" spans="2:7" ht="105">
      <c r="B1457" s="1560">
        <v>46294</v>
      </c>
      <c r="C1457" s="1038" t="s">
        <v>11791</v>
      </c>
      <c r="D1457" s="1038" t="s">
        <v>526</v>
      </c>
      <c r="E1457" s="1038" t="s">
        <v>1393</v>
      </c>
      <c r="F1457" s="1566" t="s">
        <v>12526</v>
      </c>
      <c r="G1457" s="1038" t="s">
        <v>12527</v>
      </c>
    </row>
    <row r="1458" spans="2:7">
      <c r="B1458" s="1560">
        <v>46294</v>
      </c>
      <c r="C1458" s="1038" t="s">
        <v>11791</v>
      </c>
      <c r="D1458" s="1038" t="s">
        <v>526</v>
      </c>
      <c r="E1458" s="1038" t="s">
        <v>1465</v>
      </c>
      <c r="F1458" s="1566" t="s">
        <v>12528</v>
      </c>
      <c r="G1458" s="1038" t="s">
        <v>12529</v>
      </c>
    </row>
    <row r="1459" spans="2:7">
      <c r="B1459" s="1560">
        <v>46294</v>
      </c>
      <c r="C1459" s="1038" t="s">
        <v>11791</v>
      </c>
      <c r="D1459" s="1038" t="s">
        <v>526</v>
      </c>
      <c r="E1459" s="1038" t="s">
        <v>1410</v>
      </c>
      <c r="F1459" s="1566" t="s">
        <v>12260</v>
      </c>
      <c r="G1459" s="1038" t="s">
        <v>12530</v>
      </c>
    </row>
    <row r="1460" spans="2:7">
      <c r="B1460" s="1560">
        <v>46294</v>
      </c>
      <c r="C1460" s="1038" t="s">
        <v>11791</v>
      </c>
      <c r="D1460" s="1038" t="s">
        <v>526</v>
      </c>
      <c r="E1460" s="1038" t="s">
        <v>1410</v>
      </c>
      <c r="F1460" s="1566" t="s">
        <v>1895</v>
      </c>
      <c r="G1460" s="1038" t="s">
        <v>12531</v>
      </c>
    </row>
    <row r="1461" spans="2:7">
      <c r="B1461" s="1560">
        <v>46294</v>
      </c>
      <c r="C1461" s="1038" t="s">
        <v>11791</v>
      </c>
      <c r="D1461" s="1038" t="s">
        <v>526</v>
      </c>
      <c r="E1461" s="1038" t="s">
        <v>1410</v>
      </c>
      <c r="F1461" s="1566" t="s">
        <v>12356</v>
      </c>
      <c r="G1461" s="1038" t="s">
        <v>12532</v>
      </c>
    </row>
    <row r="1462" spans="2:7">
      <c r="B1462" s="1560">
        <v>46294</v>
      </c>
      <c r="C1462" s="1038" t="s">
        <v>11791</v>
      </c>
      <c r="D1462" s="1038" t="s">
        <v>526</v>
      </c>
      <c r="E1462" s="1038" t="s">
        <v>1410</v>
      </c>
      <c r="F1462" s="1566" t="s">
        <v>1942</v>
      </c>
      <c r="G1462" s="1038" t="s">
        <v>12533</v>
      </c>
    </row>
    <row r="1463" spans="2:7">
      <c r="B1463" s="1560">
        <v>46294</v>
      </c>
      <c r="C1463" s="1038" t="s">
        <v>11791</v>
      </c>
      <c r="D1463" s="1038" t="s">
        <v>526</v>
      </c>
      <c r="E1463" s="1038" t="s">
        <v>1410</v>
      </c>
      <c r="F1463" s="1566" t="s">
        <v>2019</v>
      </c>
      <c r="G1463" s="1038" t="s">
        <v>12534</v>
      </c>
    </row>
    <row r="1464" spans="2:7">
      <c r="B1464" s="1560">
        <v>46294</v>
      </c>
      <c r="C1464" s="1038" t="s">
        <v>11791</v>
      </c>
      <c r="D1464" s="1038" t="s">
        <v>526</v>
      </c>
      <c r="E1464" s="1038" t="s">
        <v>1434</v>
      </c>
      <c r="F1464" s="1566" t="s">
        <v>12273</v>
      </c>
      <c r="G1464" s="1038" t="s">
        <v>12535</v>
      </c>
    </row>
    <row r="1465" spans="2:7">
      <c r="B1465" s="1560">
        <v>46294</v>
      </c>
      <c r="C1465" s="1038" t="s">
        <v>11791</v>
      </c>
      <c r="D1465" s="1038" t="s">
        <v>526</v>
      </c>
      <c r="E1465" s="1038" t="s">
        <v>1434</v>
      </c>
      <c r="F1465" s="1566" t="s">
        <v>12361</v>
      </c>
      <c r="G1465" s="1038" t="s">
        <v>12536</v>
      </c>
    </row>
    <row r="1466" spans="2:7">
      <c r="B1466" s="1560">
        <v>46294</v>
      </c>
      <c r="C1466" s="1038" t="s">
        <v>11791</v>
      </c>
      <c r="D1466" s="1038" t="s">
        <v>526</v>
      </c>
      <c r="E1466" s="1038" t="s">
        <v>1434</v>
      </c>
      <c r="F1466" s="1566" t="s">
        <v>12363</v>
      </c>
      <c r="G1466" s="1038" t="s">
        <v>12537</v>
      </c>
    </row>
    <row r="1467" spans="2:7">
      <c r="B1467" s="1560">
        <v>46294</v>
      </c>
      <c r="C1467" s="1038" t="s">
        <v>11791</v>
      </c>
      <c r="D1467" s="1038" t="s">
        <v>526</v>
      </c>
      <c r="E1467" s="1038" t="s">
        <v>1434</v>
      </c>
      <c r="F1467" s="1566" t="s">
        <v>12365</v>
      </c>
      <c r="G1467" s="1038" t="s">
        <v>12538</v>
      </c>
    </row>
    <row r="1468" spans="2:7">
      <c r="B1468" s="1560">
        <v>46294</v>
      </c>
      <c r="C1468" s="1038" t="s">
        <v>11791</v>
      </c>
      <c r="D1468" s="1038" t="s">
        <v>526</v>
      </c>
      <c r="E1468" s="1038" t="s">
        <v>1434</v>
      </c>
      <c r="F1468" s="1566" t="s">
        <v>12367</v>
      </c>
      <c r="G1468" s="1038" t="s">
        <v>12539</v>
      </c>
    </row>
    <row r="1469" spans="2:7">
      <c r="B1469" s="1560">
        <v>46294</v>
      </c>
      <c r="C1469" s="1038" t="s">
        <v>11791</v>
      </c>
      <c r="D1469" s="1038" t="s">
        <v>526</v>
      </c>
      <c r="E1469" s="1038" t="s">
        <v>1434</v>
      </c>
      <c r="F1469" s="1566" t="s">
        <v>12369</v>
      </c>
      <c r="G1469" s="1038" t="s">
        <v>12540</v>
      </c>
    </row>
    <row r="1470" spans="2:7">
      <c r="B1470" s="1560">
        <v>46294</v>
      </c>
      <c r="C1470" s="1038" t="s">
        <v>11791</v>
      </c>
      <c r="D1470" s="1038" t="s">
        <v>527</v>
      </c>
      <c r="E1470" s="1038" t="s">
        <v>1454</v>
      </c>
      <c r="F1470" s="1566" t="s">
        <v>12437</v>
      </c>
      <c r="G1470" s="1038" t="s">
        <v>12541</v>
      </c>
    </row>
    <row r="1471" spans="2:7">
      <c r="B1471" s="1560">
        <v>46294</v>
      </c>
      <c r="C1471" s="1038" t="s">
        <v>11791</v>
      </c>
      <c r="D1471" s="1038" t="s">
        <v>527</v>
      </c>
      <c r="E1471" s="1038" t="s">
        <v>1454</v>
      </c>
      <c r="F1471" s="1566" t="s">
        <v>12439</v>
      </c>
      <c r="G1471" s="1038" t="s">
        <v>12542</v>
      </c>
    </row>
    <row r="1472" spans="2:7">
      <c r="B1472" s="1560">
        <v>46294</v>
      </c>
      <c r="C1472" s="1038" t="s">
        <v>11791</v>
      </c>
      <c r="D1472" s="1038" t="s">
        <v>527</v>
      </c>
      <c r="E1472" s="1038" t="s">
        <v>1472</v>
      </c>
      <c r="F1472" s="1566" t="s">
        <v>12441</v>
      </c>
      <c r="G1472" s="1038" t="s">
        <v>12543</v>
      </c>
    </row>
    <row r="1473" spans="2:7">
      <c r="B1473" s="1560">
        <v>46294</v>
      </c>
      <c r="C1473" s="1038" t="s">
        <v>11791</v>
      </c>
      <c r="D1473" s="1038" t="s">
        <v>527</v>
      </c>
      <c r="E1473" s="1038" t="s">
        <v>1472</v>
      </c>
      <c r="F1473" s="1566" t="s">
        <v>12443</v>
      </c>
      <c r="G1473" s="1038" t="s">
        <v>12544</v>
      </c>
    </row>
    <row r="1474" spans="2:7">
      <c r="B1474" s="1560">
        <v>46294</v>
      </c>
      <c r="C1474" s="1038" t="s">
        <v>11791</v>
      </c>
      <c r="D1474" s="1038" t="s">
        <v>527</v>
      </c>
      <c r="E1474" s="1038" t="s">
        <v>1474</v>
      </c>
      <c r="F1474" s="1566" t="s">
        <v>12445</v>
      </c>
      <c r="G1474" s="1038" t="s">
        <v>12545</v>
      </c>
    </row>
    <row r="1475" spans="2:7">
      <c r="B1475" s="1560">
        <v>46294</v>
      </c>
      <c r="C1475" s="1038" t="s">
        <v>11791</v>
      </c>
      <c r="D1475" s="1038" t="s">
        <v>527</v>
      </c>
      <c r="E1475" s="1038" t="s">
        <v>1474</v>
      </c>
      <c r="F1475" s="1566" t="s">
        <v>12447</v>
      </c>
      <c r="G1475" s="1038" t="s">
        <v>12546</v>
      </c>
    </row>
    <row r="1476" spans="2:7">
      <c r="B1476" s="1560">
        <v>46294</v>
      </c>
      <c r="C1476" s="1038" t="s">
        <v>11791</v>
      </c>
      <c r="D1476" s="1038" t="s">
        <v>527</v>
      </c>
      <c r="E1476" s="1038" t="s">
        <v>1474</v>
      </c>
      <c r="F1476" s="1566" t="s">
        <v>12449</v>
      </c>
      <c r="G1476" s="1038" t="s">
        <v>12547</v>
      </c>
    </row>
    <row r="1477" spans="2:7">
      <c r="B1477" s="1560">
        <v>46294</v>
      </c>
      <c r="C1477" s="1038" t="s">
        <v>11791</v>
      </c>
      <c r="D1477" s="1038" t="s">
        <v>527</v>
      </c>
      <c r="E1477" s="1038" t="s">
        <v>1474</v>
      </c>
      <c r="F1477" s="1566" t="s">
        <v>12451</v>
      </c>
      <c r="G1477" s="1038" t="s">
        <v>12548</v>
      </c>
    </row>
    <row r="1478" spans="2:7">
      <c r="B1478" s="1560">
        <v>46294</v>
      </c>
      <c r="C1478" s="1038" t="s">
        <v>11791</v>
      </c>
      <c r="D1478" s="1038" t="s">
        <v>527</v>
      </c>
      <c r="E1478" s="1038" t="s">
        <v>1376</v>
      </c>
      <c r="F1478" s="1566" t="s">
        <v>12341</v>
      </c>
      <c r="G1478" s="1038" t="s">
        <v>12549</v>
      </c>
    </row>
    <row r="1479" spans="2:7">
      <c r="B1479" s="1560">
        <v>46294</v>
      </c>
      <c r="C1479" s="1038" t="s">
        <v>11791</v>
      </c>
      <c r="D1479" s="1038" t="s">
        <v>527</v>
      </c>
      <c r="E1479" s="1038" t="s">
        <v>1393</v>
      </c>
      <c r="F1479" s="1566" t="s">
        <v>12454</v>
      </c>
      <c r="G1479" s="1038" t="s">
        <v>12550</v>
      </c>
    </row>
    <row r="1480" spans="2:7">
      <c r="B1480" s="1560">
        <v>46294</v>
      </c>
      <c r="C1480" s="1038" t="s">
        <v>11791</v>
      </c>
      <c r="D1480" s="1038" t="s">
        <v>527</v>
      </c>
      <c r="E1480" s="1038" t="s">
        <v>1393</v>
      </c>
      <c r="F1480" s="1566" t="s">
        <v>12246</v>
      </c>
      <c r="G1480" s="1038" t="s">
        <v>12551</v>
      </c>
    </row>
    <row r="1481" spans="2:7">
      <c r="B1481" s="1560">
        <v>46294</v>
      </c>
      <c r="C1481" s="1038" t="s">
        <v>11791</v>
      </c>
      <c r="D1481" s="1038" t="s">
        <v>527</v>
      </c>
      <c r="E1481" s="1038" t="s">
        <v>1393</v>
      </c>
      <c r="F1481" s="1566" t="s">
        <v>1524</v>
      </c>
      <c r="G1481" s="1038" t="s">
        <v>12552</v>
      </c>
    </row>
    <row r="1482" spans="2:7">
      <c r="B1482" s="1560">
        <v>46294</v>
      </c>
      <c r="C1482" s="1038" t="s">
        <v>11791</v>
      </c>
      <c r="D1482" s="1038" t="s">
        <v>527</v>
      </c>
      <c r="E1482" s="1038" t="s">
        <v>1393</v>
      </c>
      <c r="F1482" s="1566" t="s">
        <v>1525</v>
      </c>
      <c r="G1482" s="1038" t="s">
        <v>12553</v>
      </c>
    </row>
    <row r="1483" spans="2:7">
      <c r="B1483" s="1560">
        <v>46294</v>
      </c>
      <c r="C1483" s="1038" t="s">
        <v>11791</v>
      </c>
      <c r="D1483" s="1038" t="s">
        <v>527</v>
      </c>
      <c r="E1483" s="1038" t="s">
        <v>1393</v>
      </c>
      <c r="F1483" s="1566" t="s">
        <v>12459</v>
      </c>
      <c r="G1483" s="1038" t="s">
        <v>12554</v>
      </c>
    </row>
    <row r="1484" spans="2:7">
      <c r="B1484" s="1560">
        <v>46294</v>
      </c>
      <c r="C1484" s="1038" t="s">
        <v>11791</v>
      </c>
      <c r="D1484" s="1038" t="s">
        <v>527</v>
      </c>
      <c r="E1484" s="1038" t="s">
        <v>1393</v>
      </c>
      <c r="F1484" s="1566" t="s">
        <v>12461</v>
      </c>
      <c r="G1484" s="1038" t="s">
        <v>12555</v>
      </c>
    </row>
    <row r="1485" spans="2:7">
      <c r="B1485" s="1560">
        <v>46294</v>
      </c>
      <c r="C1485" s="1038" t="s">
        <v>11791</v>
      </c>
      <c r="D1485" s="1038" t="s">
        <v>527</v>
      </c>
      <c r="E1485" s="1038" t="s">
        <v>1393</v>
      </c>
      <c r="F1485" s="1566" t="s">
        <v>12463</v>
      </c>
      <c r="G1485" s="1038" t="s">
        <v>12556</v>
      </c>
    </row>
    <row r="1486" spans="2:7">
      <c r="B1486" s="1560">
        <v>46294</v>
      </c>
      <c r="C1486" s="1038" t="s">
        <v>11791</v>
      </c>
      <c r="D1486" s="1038" t="s">
        <v>527</v>
      </c>
      <c r="E1486" s="1038" t="s">
        <v>1393</v>
      </c>
      <c r="F1486" s="1566" t="s">
        <v>12465</v>
      </c>
      <c r="G1486" s="1038" t="s">
        <v>12557</v>
      </c>
    </row>
    <row r="1487" spans="2:7">
      <c r="B1487" s="1560">
        <v>46294</v>
      </c>
      <c r="C1487" s="1038" t="s">
        <v>11791</v>
      </c>
      <c r="D1487" s="1038" t="s">
        <v>527</v>
      </c>
      <c r="E1487" s="1038" t="s">
        <v>1393</v>
      </c>
      <c r="F1487" s="1566" t="s">
        <v>12467</v>
      </c>
      <c r="G1487" s="1038" t="s">
        <v>12558</v>
      </c>
    </row>
    <row r="1488" spans="2:7">
      <c r="B1488" s="1560">
        <v>46294</v>
      </c>
      <c r="C1488" s="1038" t="s">
        <v>11791</v>
      </c>
      <c r="D1488" s="1038" t="s">
        <v>527</v>
      </c>
      <c r="E1488" s="1038" t="s">
        <v>1410</v>
      </c>
      <c r="F1488" s="1566" t="s">
        <v>12260</v>
      </c>
      <c r="G1488" s="1038" t="s">
        <v>12559</v>
      </c>
    </row>
    <row r="1489" spans="2:7">
      <c r="B1489" s="1560">
        <v>46294</v>
      </c>
      <c r="C1489" s="1038" t="s">
        <v>11791</v>
      </c>
      <c r="D1489" s="1038" t="s">
        <v>527</v>
      </c>
      <c r="E1489" s="1038" t="s">
        <v>1410</v>
      </c>
      <c r="F1489" s="1566" t="s">
        <v>12470</v>
      </c>
      <c r="G1489" s="1038" t="s">
        <v>12560</v>
      </c>
    </row>
    <row r="1490" spans="2:7">
      <c r="B1490" s="1560">
        <v>46294</v>
      </c>
      <c r="C1490" s="1038" t="s">
        <v>11791</v>
      </c>
      <c r="D1490" s="1038" t="s">
        <v>527</v>
      </c>
      <c r="E1490" s="1038" t="s">
        <v>1410</v>
      </c>
      <c r="F1490" s="1566" t="s">
        <v>12472</v>
      </c>
      <c r="G1490" s="1038" t="s">
        <v>12561</v>
      </c>
    </row>
    <row r="1491" spans="2:7">
      <c r="B1491" s="1560">
        <v>46294</v>
      </c>
      <c r="C1491" s="1038" t="s">
        <v>11791</v>
      </c>
      <c r="D1491" s="1038" t="s">
        <v>527</v>
      </c>
      <c r="E1491" s="1038" t="s">
        <v>1410</v>
      </c>
      <c r="F1491" s="1566" t="s">
        <v>1942</v>
      </c>
      <c r="G1491" s="1038" t="s">
        <v>12562</v>
      </c>
    </row>
    <row r="1492" spans="2:7">
      <c r="B1492" s="1560">
        <v>46294</v>
      </c>
      <c r="C1492" s="1038" t="s">
        <v>11791</v>
      </c>
      <c r="D1492" s="1038" t="s">
        <v>527</v>
      </c>
      <c r="E1492" s="1038" t="s">
        <v>1410</v>
      </c>
      <c r="F1492" s="1566" t="s">
        <v>2019</v>
      </c>
      <c r="G1492" s="1038" t="s">
        <v>12563</v>
      </c>
    </row>
    <row r="1493" spans="2:7">
      <c r="B1493" s="1560">
        <v>46294</v>
      </c>
      <c r="C1493" s="1038" t="s">
        <v>11791</v>
      </c>
      <c r="D1493" s="1038" t="s">
        <v>527</v>
      </c>
      <c r="E1493" s="1038" t="s">
        <v>1410</v>
      </c>
      <c r="F1493" s="1566" t="s">
        <v>1944</v>
      </c>
      <c r="G1493" s="1038" t="s">
        <v>12564</v>
      </c>
    </row>
    <row r="1494" spans="2:7">
      <c r="B1494" s="1560">
        <v>46294</v>
      </c>
      <c r="C1494" s="1038" t="s">
        <v>11791</v>
      </c>
      <c r="D1494" s="1038" t="s">
        <v>527</v>
      </c>
      <c r="E1494" s="1038" t="s">
        <v>1410</v>
      </c>
      <c r="F1494" s="1566" t="s">
        <v>2020</v>
      </c>
      <c r="G1494" s="1038" t="s">
        <v>12565</v>
      </c>
    </row>
    <row r="1495" spans="2:7">
      <c r="B1495" s="1560">
        <v>46294</v>
      </c>
      <c r="C1495" s="1038" t="s">
        <v>11791</v>
      </c>
      <c r="D1495" s="1038" t="s">
        <v>527</v>
      </c>
      <c r="E1495" s="1038" t="s">
        <v>1410</v>
      </c>
      <c r="F1495" s="1566" t="s">
        <v>12271</v>
      </c>
      <c r="G1495" s="1038" t="s">
        <v>12566</v>
      </c>
    </row>
    <row r="1496" spans="2:7">
      <c r="B1496" s="1560">
        <v>46294</v>
      </c>
      <c r="C1496" s="1038" t="s">
        <v>11791</v>
      </c>
      <c r="D1496" s="1038" t="s">
        <v>527</v>
      </c>
      <c r="E1496" s="1038" t="s">
        <v>1434</v>
      </c>
      <c r="F1496" s="1566" t="s">
        <v>12273</v>
      </c>
      <c r="G1496" s="1038" t="s">
        <v>12567</v>
      </c>
    </row>
    <row r="1497" spans="2:7">
      <c r="B1497" s="1560">
        <v>46294</v>
      </c>
      <c r="C1497" s="1038" t="s">
        <v>11791</v>
      </c>
      <c r="D1497" s="1038" t="s">
        <v>527</v>
      </c>
      <c r="E1497" s="1038" t="s">
        <v>1434</v>
      </c>
      <c r="F1497" s="1566" t="s">
        <v>12480</v>
      </c>
      <c r="G1497" s="1038" t="s">
        <v>12568</v>
      </c>
    </row>
    <row r="1498" spans="2:7">
      <c r="B1498" s="1560">
        <v>46294</v>
      </c>
      <c r="C1498" s="1038" t="s">
        <v>11791</v>
      </c>
      <c r="D1498" s="1038" t="s">
        <v>527</v>
      </c>
      <c r="E1498" s="1038" t="s">
        <v>1434</v>
      </c>
      <c r="F1498" s="1566" t="s">
        <v>12482</v>
      </c>
      <c r="G1498" s="1038" t="s">
        <v>12569</v>
      </c>
    </row>
    <row r="1499" spans="2:7">
      <c r="B1499" s="1560">
        <v>46294</v>
      </c>
      <c r="C1499" s="1038" t="s">
        <v>11791</v>
      </c>
      <c r="D1499" s="1038" t="s">
        <v>527</v>
      </c>
      <c r="E1499" s="1038" t="s">
        <v>1434</v>
      </c>
      <c r="F1499" s="1566" t="s">
        <v>12482</v>
      </c>
      <c r="G1499" s="1038" t="s">
        <v>12570</v>
      </c>
    </row>
    <row r="1500" spans="2:7">
      <c r="B1500" s="1560">
        <v>46294</v>
      </c>
      <c r="C1500" s="1038" t="s">
        <v>11791</v>
      </c>
      <c r="D1500" s="1038" t="s">
        <v>527</v>
      </c>
      <c r="E1500" s="1038" t="s">
        <v>1434</v>
      </c>
      <c r="F1500" s="1566" t="s">
        <v>12485</v>
      </c>
      <c r="G1500" s="1038" t="s">
        <v>12571</v>
      </c>
    </row>
    <row r="1501" spans="2:7">
      <c r="B1501" s="1560">
        <v>46294</v>
      </c>
      <c r="C1501" s="1038" t="s">
        <v>11791</v>
      </c>
      <c r="D1501" s="1038" t="s">
        <v>527</v>
      </c>
      <c r="E1501" s="1038" t="s">
        <v>1434</v>
      </c>
      <c r="F1501" s="1566" t="s">
        <v>12487</v>
      </c>
      <c r="G1501" s="1038" t="s">
        <v>12572</v>
      </c>
    </row>
    <row r="1502" spans="2:7">
      <c r="B1502" s="1560">
        <v>46294</v>
      </c>
      <c r="C1502" s="1038" t="s">
        <v>11791</v>
      </c>
      <c r="D1502" s="1038" t="s">
        <v>527</v>
      </c>
      <c r="E1502" s="1038" t="s">
        <v>1434</v>
      </c>
      <c r="F1502" s="1566" t="s">
        <v>12489</v>
      </c>
      <c r="G1502" s="1038" t="s">
        <v>12573</v>
      </c>
    </row>
    <row r="1503" spans="2:7">
      <c r="B1503" s="1560">
        <v>46294</v>
      </c>
      <c r="C1503" s="1038" t="s">
        <v>11791</v>
      </c>
      <c r="D1503" s="1038" t="s">
        <v>527</v>
      </c>
      <c r="E1503" s="1038" t="s">
        <v>1434</v>
      </c>
      <c r="F1503" s="1566" t="s">
        <v>12491</v>
      </c>
      <c r="G1503" s="1038" t="s">
        <v>12574</v>
      </c>
    </row>
    <row r="1504" spans="2:7">
      <c r="B1504" s="1560">
        <v>46294</v>
      </c>
      <c r="C1504" s="1038" t="s">
        <v>11791</v>
      </c>
      <c r="D1504" s="1038" t="s">
        <v>527</v>
      </c>
      <c r="E1504" s="1038" t="s">
        <v>1434</v>
      </c>
      <c r="F1504" s="1566" t="s">
        <v>12493</v>
      </c>
      <c r="G1504" s="1038" t="s">
        <v>12575</v>
      </c>
    </row>
    <row r="1505" spans="2:7" ht="135">
      <c r="B1505" s="1560">
        <v>46294</v>
      </c>
      <c r="C1505" s="1038" t="s">
        <v>11791</v>
      </c>
      <c r="D1505" s="1038" t="s">
        <v>528</v>
      </c>
      <c r="E1505" s="1038" t="s">
        <v>1375</v>
      </c>
      <c r="F1505" s="1566" t="s">
        <v>12576</v>
      </c>
      <c r="G1505" s="1038" t="s">
        <v>12577</v>
      </c>
    </row>
    <row r="1506" spans="2:7" ht="105">
      <c r="B1506" s="1560">
        <v>46294</v>
      </c>
      <c r="C1506" s="1038" t="s">
        <v>11791</v>
      </c>
      <c r="D1506" s="1038" t="s">
        <v>528</v>
      </c>
      <c r="E1506" s="1038" t="s">
        <v>1454</v>
      </c>
      <c r="F1506" s="1566" t="s">
        <v>12578</v>
      </c>
      <c r="G1506" s="1038" t="s">
        <v>12579</v>
      </c>
    </row>
    <row r="1507" spans="2:7" ht="30">
      <c r="B1507" s="1560">
        <v>46294</v>
      </c>
      <c r="C1507" s="1038" t="s">
        <v>11791</v>
      </c>
      <c r="D1507" s="1038" t="s">
        <v>528</v>
      </c>
      <c r="E1507" s="1038" t="s">
        <v>1458</v>
      </c>
      <c r="F1507" s="1567" t="s">
        <v>12580</v>
      </c>
      <c r="G1507" s="1038" t="s">
        <v>12581</v>
      </c>
    </row>
    <row r="1508" spans="2:7">
      <c r="B1508" s="1560">
        <v>46294</v>
      </c>
      <c r="C1508" s="1038" t="s">
        <v>11791</v>
      </c>
      <c r="D1508" s="1038" t="s">
        <v>528</v>
      </c>
      <c r="E1508" s="1038" t="s">
        <v>1474</v>
      </c>
      <c r="F1508" s="1567" t="s">
        <v>12582</v>
      </c>
      <c r="G1508" s="1038" t="s">
        <v>12583</v>
      </c>
    </row>
    <row r="1509" spans="2:7" ht="105">
      <c r="B1509" s="1560">
        <v>46294</v>
      </c>
      <c r="C1509" s="1038" t="s">
        <v>11791</v>
      </c>
      <c r="D1509" s="1038" t="s">
        <v>528</v>
      </c>
      <c r="E1509" s="1038" t="s">
        <v>1376</v>
      </c>
      <c r="F1509" s="1566" t="s">
        <v>12584</v>
      </c>
      <c r="G1509" s="1038" t="s">
        <v>12585</v>
      </c>
    </row>
    <row r="1510" spans="2:7" ht="210">
      <c r="B1510" s="1560">
        <v>46294</v>
      </c>
      <c r="C1510" s="1038" t="s">
        <v>11791</v>
      </c>
      <c r="D1510" s="1038" t="s">
        <v>528</v>
      </c>
      <c r="E1510" s="1038" t="s">
        <v>1410</v>
      </c>
      <c r="F1510" s="1566" t="s">
        <v>12586</v>
      </c>
      <c r="G1510" s="1038" t="s">
        <v>12587</v>
      </c>
    </row>
    <row r="1511" spans="2:7" ht="195">
      <c r="B1511" s="1560">
        <v>46294</v>
      </c>
      <c r="C1511" s="1038" t="s">
        <v>11791</v>
      </c>
      <c r="D1511" s="1038" t="s">
        <v>528</v>
      </c>
      <c r="E1511" s="1038" t="s">
        <v>1393</v>
      </c>
      <c r="F1511" s="1566" t="s">
        <v>12588</v>
      </c>
      <c r="G1511" s="1038" t="s">
        <v>12589</v>
      </c>
    </row>
    <row r="1512" spans="2:7" ht="409.5">
      <c r="B1512" s="1560">
        <v>46294</v>
      </c>
      <c r="C1512" s="1038" t="s">
        <v>11791</v>
      </c>
      <c r="D1512" s="1038" t="s">
        <v>528</v>
      </c>
      <c r="E1512" s="1038" t="s">
        <v>1434</v>
      </c>
      <c r="F1512" s="1566" t="s">
        <v>12590</v>
      </c>
      <c r="G1512" s="1038" t="s">
        <v>12591</v>
      </c>
    </row>
  </sheetData>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Bitácora RDO — Página &amp;P de &amp;F</oddFooter>
  </headerFooter>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2CEE7-5E8C-4860-BF82-0E60CF35FE1F}">
  <sheetPr codeName="Hoja33">
    <tabColor rgb="FF1F3864"/>
    <pageSetUpPr fitToPage="1"/>
  </sheetPr>
  <dimension ref="B1:I247"/>
  <sheetViews>
    <sheetView showGridLines="0" workbookViewId="0">
      <pane ySplit="4" topLeftCell="A8" activePane="bottomLeft" state="frozen"/>
      <selection pane="bottomLeft" activeCell="K14" sqref="K14"/>
    </sheetView>
  </sheetViews>
  <sheetFormatPr baseColWidth="10" defaultRowHeight="15"/>
  <cols>
    <col min="2" max="2" width="19" customWidth="1"/>
    <col min="3" max="3" width="17.140625" customWidth="1"/>
    <col min="4" max="4" width="49.5703125" customWidth="1"/>
    <col min="5" max="5" width="19" customWidth="1"/>
    <col min="6" max="6" width="13.28515625" customWidth="1"/>
    <col min="7" max="7" width="14.28515625" customWidth="1"/>
    <col min="8" max="8" width="17.140625" customWidth="1"/>
    <col min="9" max="9" width="16.140625" customWidth="1"/>
  </cols>
  <sheetData>
    <row r="1" spans="2:9" ht="18.75">
      <c r="B1" s="885" t="s">
        <v>3202</v>
      </c>
    </row>
    <row r="2" spans="2:9">
      <c r="B2" s="886" t="s">
        <v>3203</v>
      </c>
    </row>
    <row r="4" spans="2:9" ht="30" customHeight="1">
      <c r="B4" s="381" t="s">
        <v>3204</v>
      </c>
      <c r="C4" s="381" t="s">
        <v>2500</v>
      </c>
      <c r="D4" s="381" t="s">
        <v>3205</v>
      </c>
      <c r="E4" s="381" t="s">
        <v>3206</v>
      </c>
      <c r="F4" s="381" t="s">
        <v>3207</v>
      </c>
      <c r="G4" s="381" t="s">
        <v>3208</v>
      </c>
      <c r="H4" s="381" t="s">
        <v>3209</v>
      </c>
      <c r="I4" s="381" t="s">
        <v>3210</v>
      </c>
    </row>
    <row r="5" spans="2:9">
      <c r="B5" s="900" t="s">
        <v>687</v>
      </c>
      <c r="C5" t="s">
        <v>2501</v>
      </c>
      <c r="F5">
        <f>COUNTIFS(tblAvisos[Equipo],tblEquipos[[#This Row],[Código equipo]])</f>
        <v>1</v>
      </c>
      <c r="G5">
        <f>COUNTIFS(tblAvisos[Equipo],tblEquipos[[#This Row],[Código equipo]],tblAvisos[Estado trabajo],"&lt;&gt;Cerrado")</f>
        <v>0</v>
      </c>
      <c r="H5">
        <f>COUNTIFS(tblAvisos[Equipo],tblEquipos[[#This Row],[Código equipo]],tblAvisos[Estado trabajo],"&lt;&gt;Cerrado",tblAvisos[Condición equipo],"Parado")</f>
        <v>0</v>
      </c>
      <c r="I5" s="871">
        <f>IFERROR(1/(1/_xlfn.MAXIFS(tblAvisos[Fecha reporte],tblAvisos[Equipo],tblEquipos[[#This Row],[Código equipo]])),"")</f>
        <v>45942</v>
      </c>
    </row>
    <row r="6" spans="2:9">
      <c r="B6" s="900" t="s">
        <v>716</v>
      </c>
      <c r="C6" t="s">
        <v>2501</v>
      </c>
      <c r="F6">
        <f>COUNTIFS(tblAvisos[Equipo],tblEquipos[[#This Row],[Código equipo]])</f>
        <v>1</v>
      </c>
      <c r="G6">
        <f>COUNTIFS(tblAvisos[Equipo],tblEquipos[[#This Row],[Código equipo]],tblAvisos[Estado trabajo],"&lt;&gt;Cerrado")</f>
        <v>0</v>
      </c>
      <c r="H6">
        <f>COUNTIFS(tblAvisos[Equipo],tblEquipos[[#This Row],[Código equipo]],tblAvisos[Estado trabajo],"&lt;&gt;Cerrado",tblAvisos[Condición equipo],"Parado")</f>
        <v>0</v>
      </c>
      <c r="I6" s="871">
        <f>IFERROR(1/(1/_xlfn.MAXIFS(tblAvisos[Fecha reporte],tblAvisos[Equipo],tblEquipos[[#This Row],[Código equipo]])),"")</f>
        <v>46021</v>
      </c>
    </row>
    <row r="7" spans="2:9">
      <c r="B7" s="900" t="s">
        <v>785</v>
      </c>
      <c r="C7" t="s">
        <v>2501</v>
      </c>
      <c r="F7">
        <f>COUNTIFS(tblAvisos[Equipo],tblEquipos[[#This Row],[Código equipo]])</f>
        <v>1</v>
      </c>
      <c r="G7">
        <f>COUNTIFS(tblAvisos[Equipo],tblEquipos[[#This Row],[Código equipo]],tblAvisos[Estado trabajo],"&lt;&gt;Cerrado")</f>
        <v>0</v>
      </c>
      <c r="H7">
        <f>COUNTIFS(tblAvisos[Equipo],tblEquipos[[#This Row],[Código equipo]],tblAvisos[Estado trabajo],"&lt;&gt;Cerrado",tblAvisos[Condición equipo],"Parado")</f>
        <v>0</v>
      </c>
      <c r="I7" s="871">
        <f>IFERROR(1/(1/_xlfn.MAXIFS(tblAvisos[Fecha reporte],tblAvisos[Equipo],tblEquipos[[#This Row],[Código equipo]])),"")</f>
        <v>46085</v>
      </c>
    </row>
    <row r="8" spans="2:9">
      <c r="B8" s="900" t="s">
        <v>789</v>
      </c>
      <c r="C8" t="s">
        <v>2501</v>
      </c>
      <c r="F8">
        <f>COUNTIFS(tblAvisos[Equipo],tblEquipos[[#This Row],[Código equipo]])</f>
        <v>1</v>
      </c>
      <c r="G8">
        <f>COUNTIFS(tblAvisos[Equipo],tblEquipos[[#This Row],[Código equipo]],tblAvisos[Estado trabajo],"&lt;&gt;Cerrado")</f>
        <v>0</v>
      </c>
      <c r="H8">
        <f>COUNTIFS(tblAvisos[Equipo],tblEquipos[[#This Row],[Código equipo]],tblAvisos[Estado trabajo],"&lt;&gt;Cerrado",tblAvisos[Condición equipo],"Parado")</f>
        <v>0</v>
      </c>
      <c r="I8" s="871">
        <f>IFERROR(1/(1/_xlfn.MAXIFS(tblAvisos[Fecha reporte],tblAvisos[Equipo],tblEquipos[[#This Row],[Código equipo]])),"")</f>
        <v>46094</v>
      </c>
    </row>
    <row r="9" spans="2:9">
      <c r="B9" s="900" t="s">
        <v>741</v>
      </c>
      <c r="C9" t="s">
        <v>2501</v>
      </c>
      <c r="F9">
        <f>COUNTIFS(tblAvisos[Equipo],tblEquipos[[#This Row],[Código equipo]])</f>
        <v>2</v>
      </c>
      <c r="G9">
        <f>COUNTIFS(tblAvisos[Equipo],tblEquipos[[#This Row],[Código equipo]],tblAvisos[Estado trabajo],"&lt;&gt;Cerrado")</f>
        <v>0</v>
      </c>
      <c r="H9">
        <f>COUNTIFS(tblAvisos[Equipo],tblEquipos[[#This Row],[Código equipo]],tblAvisos[Estado trabajo],"&lt;&gt;Cerrado",tblAvisos[Condición equipo],"Parado")</f>
        <v>0</v>
      </c>
      <c r="I9" s="871">
        <f>IFERROR(1/(1/_xlfn.MAXIFS(tblAvisos[Fecha reporte],tblAvisos[Equipo],tblEquipos[[#This Row],[Código equipo]])),"")</f>
        <v>46046</v>
      </c>
    </row>
    <row r="10" spans="2:9">
      <c r="B10" s="900" t="s">
        <v>682</v>
      </c>
      <c r="C10" t="s">
        <v>2501</v>
      </c>
      <c r="F10">
        <f>COUNTIFS(tblAvisos[Equipo],tblEquipos[[#This Row],[Código equipo]])</f>
        <v>1</v>
      </c>
      <c r="G10">
        <f>COUNTIFS(tblAvisos[Equipo],tblEquipos[[#This Row],[Código equipo]],tblAvisos[Estado trabajo],"&lt;&gt;Cerrado")</f>
        <v>0</v>
      </c>
      <c r="H10">
        <f>COUNTIFS(tblAvisos[Equipo],tblEquipos[[#This Row],[Código equipo]],tblAvisos[Estado trabajo],"&lt;&gt;Cerrado",tblAvisos[Condición equipo],"Parado")</f>
        <v>0</v>
      </c>
      <c r="I10" s="871">
        <f>IFERROR(1/(1/_xlfn.MAXIFS(tblAvisos[Fecha reporte],tblAvisos[Equipo],tblEquipos[[#This Row],[Código equipo]])),"")</f>
        <v>45942</v>
      </c>
    </row>
    <row r="11" spans="2:9">
      <c r="B11" s="900" t="s">
        <v>684</v>
      </c>
      <c r="C11" t="s">
        <v>2501</v>
      </c>
      <c r="F11">
        <f>COUNTIFS(tblAvisos[Equipo],tblEquipos[[#This Row],[Código equipo]])</f>
        <v>3</v>
      </c>
      <c r="G11">
        <f>COUNTIFS(tblAvisos[Equipo],tblEquipos[[#This Row],[Código equipo]],tblAvisos[Estado trabajo],"&lt;&gt;Cerrado")</f>
        <v>0</v>
      </c>
      <c r="H11">
        <f>COUNTIFS(tblAvisos[Equipo],tblEquipos[[#This Row],[Código equipo]],tblAvisos[Estado trabajo],"&lt;&gt;Cerrado",tblAvisos[Condición equipo],"Parado")</f>
        <v>0</v>
      </c>
      <c r="I11" s="871">
        <f>IFERROR(1/(1/_xlfn.MAXIFS(tblAvisos[Fecha reporte],tblAvisos[Equipo],tblEquipos[[#This Row],[Código equipo]])),"")</f>
        <v>46084</v>
      </c>
    </row>
    <row r="12" spans="2:9">
      <c r="B12" s="900" t="s">
        <v>680</v>
      </c>
      <c r="C12" t="s">
        <v>2501</v>
      </c>
      <c r="F12">
        <f>COUNTIFS(tblAvisos[Equipo],tblEquipos[[#This Row],[Código equipo]])</f>
        <v>1</v>
      </c>
      <c r="G12">
        <f>COUNTIFS(tblAvisos[Equipo],tblEquipos[[#This Row],[Código equipo]],tblAvisos[Estado trabajo],"&lt;&gt;Cerrado")</f>
        <v>0</v>
      </c>
      <c r="H12">
        <f>COUNTIFS(tblAvisos[Equipo],tblEquipos[[#This Row],[Código equipo]],tblAvisos[Estado trabajo],"&lt;&gt;Cerrado",tblAvisos[Condición equipo],"Parado")</f>
        <v>0</v>
      </c>
      <c r="I12" s="871">
        <f>IFERROR(1/(1/_xlfn.MAXIFS(tblAvisos[Fecha reporte],tblAvisos[Equipo],tblEquipos[[#This Row],[Código equipo]])),"")</f>
        <v>45986</v>
      </c>
    </row>
    <row r="13" spans="2:9">
      <c r="B13" s="900" t="s">
        <v>777</v>
      </c>
      <c r="C13" t="s">
        <v>2501</v>
      </c>
      <c r="F13">
        <f>COUNTIFS(tblAvisos[Equipo],tblEquipos[[#This Row],[Código equipo]])</f>
        <v>1</v>
      </c>
      <c r="G13">
        <f>COUNTIFS(tblAvisos[Equipo],tblEquipos[[#This Row],[Código equipo]],tblAvisos[Estado trabajo],"&lt;&gt;Cerrado")</f>
        <v>0</v>
      </c>
      <c r="H13">
        <f>COUNTIFS(tblAvisos[Equipo],tblEquipos[[#This Row],[Código equipo]],tblAvisos[Estado trabajo],"&lt;&gt;Cerrado",tblAvisos[Condición equipo],"Parado")</f>
        <v>0</v>
      </c>
      <c r="I13" s="871">
        <f>IFERROR(1/(1/_xlfn.MAXIFS(tblAvisos[Fecha reporte],tblAvisos[Equipo],tblEquipos[[#This Row],[Código equipo]])),"")</f>
        <v>46057</v>
      </c>
    </row>
    <row r="14" spans="2:9">
      <c r="B14" s="900" t="s">
        <v>787</v>
      </c>
      <c r="C14" t="s">
        <v>2501</v>
      </c>
      <c r="F14">
        <f>COUNTIFS(tblAvisos[Equipo],tblEquipos[[#This Row],[Código equipo]])</f>
        <v>1</v>
      </c>
      <c r="G14">
        <f>COUNTIFS(tblAvisos[Equipo],tblEquipos[[#This Row],[Código equipo]],tblAvisos[Estado trabajo],"&lt;&gt;Cerrado")</f>
        <v>0</v>
      </c>
      <c r="H14">
        <f>COUNTIFS(tblAvisos[Equipo],tblEquipos[[#This Row],[Código equipo]],tblAvisos[Estado trabajo],"&lt;&gt;Cerrado",tblAvisos[Condición equipo],"Parado")</f>
        <v>0</v>
      </c>
      <c r="I14" s="871">
        <f>IFERROR(1/(1/_xlfn.MAXIFS(tblAvisos[Fecha reporte],tblAvisos[Equipo],tblEquipos[[#This Row],[Código equipo]])),"")</f>
        <v>46087</v>
      </c>
    </row>
    <row r="15" spans="2:9">
      <c r="B15" s="900" t="s">
        <v>781</v>
      </c>
      <c r="C15" t="s">
        <v>2501</v>
      </c>
      <c r="F15">
        <f>COUNTIFS(tblAvisos[Equipo],tblEquipos[[#This Row],[Código equipo]])</f>
        <v>2</v>
      </c>
      <c r="G15">
        <f>COUNTIFS(tblAvisos[Equipo],tblEquipos[[#This Row],[Código equipo]],tblAvisos[Estado trabajo],"&lt;&gt;Cerrado")</f>
        <v>0</v>
      </c>
      <c r="H15">
        <f>COUNTIFS(tblAvisos[Equipo],tblEquipos[[#This Row],[Código equipo]],tblAvisos[Estado trabajo],"&lt;&gt;Cerrado",tblAvisos[Condición equipo],"Parado")</f>
        <v>0</v>
      </c>
      <c r="I15" s="871">
        <f>IFERROR(1/(1/_xlfn.MAXIFS(tblAvisos[Fecha reporte],tblAvisos[Equipo],tblEquipos[[#This Row],[Código equipo]])),"")</f>
        <v>46078</v>
      </c>
    </row>
    <row r="16" spans="2:9">
      <c r="B16" s="900" t="s">
        <v>751</v>
      </c>
      <c r="C16" t="s">
        <v>2501</v>
      </c>
      <c r="F16">
        <f>COUNTIFS(tblAvisos[Equipo],tblEquipos[[#This Row],[Código equipo]])</f>
        <v>4</v>
      </c>
      <c r="G16">
        <f>COUNTIFS(tblAvisos[Equipo],tblEquipos[[#This Row],[Código equipo]],tblAvisos[Estado trabajo],"&lt;&gt;Cerrado")</f>
        <v>0</v>
      </c>
      <c r="H16">
        <f>COUNTIFS(tblAvisos[Equipo],tblEquipos[[#This Row],[Código equipo]],tblAvisos[Estado trabajo],"&lt;&gt;Cerrado",tblAvisos[Condición equipo],"Parado")</f>
        <v>0</v>
      </c>
      <c r="I16" s="871">
        <f>IFERROR(1/(1/_xlfn.MAXIFS(tblAvisos[Fecha reporte],tblAvisos[Equipo],tblEquipos[[#This Row],[Código equipo]])),"")</f>
        <v>46104</v>
      </c>
    </row>
    <row r="17" spans="2:9">
      <c r="B17" s="900" t="s">
        <v>686</v>
      </c>
      <c r="C17" t="s">
        <v>2501</v>
      </c>
      <c r="F17">
        <f>COUNTIFS(tblAvisos[Equipo],tblEquipos[[#This Row],[Código equipo]])</f>
        <v>1</v>
      </c>
      <c r="G17">
        <f>COUNTIFS(tblAvisos[Equipo],tblEquipos[[#This Row],[Código equipo]],tblAvisos[Estado trabajo],"&lt;&gt;Cerrado")</f>
        <v>0</v>
      </c>
      <c r="H17">
        <f>COUNTIFS(tblAvisos[Equipo],tblEquipos[[#This Row],[Código equipo]],tblAvisos[Estado trabajo],"&lt;&gt;Cerrado",tblAvisos[Condición equipo],"Parado")</f>
        <v>0</v>
      </c>
      <c r="I17" s="871">
        <f>IFERROR(1/(1/_xlfn.MAXIFS(tblAvisos[Fecha reporte],tblAvisos[Equipo],tblEquipos[[#This Row],[Código equipo]])),"")</f>
        <v>45942</v>
      </c>
    </row>
    <row r="18" spans="2:9">
      <c r="B18" s="900" t="s">
        <v>677</v>
      </c>
      <c r="C18" t="s">
        <v>2501</v>
      </c>
      <c r="F18">
        <f>COUNTIFS(tblAvisos[Equipo],tblEquipos[[#This Row],[Código equipo]])</f>
        <v>2</v>
      </c>
      <c r="G18">
        <f>COUNTIFS(tblAvisos[Equipo],tblEquipos[[#This Row],[Código equipo]],tblAvisos[Estado trabajo],"&lt;&gt;Cerrado")</f>
        <v>0</v>
      </c>
      <c r="H18">
        <f>COUNTIFS(tblAvisos[Equipo],tblEquipos[[#This Row],[Código equipo]],tblAvisos[Estado trabajo],"&lt;&gt;Cerrado",tblAvisos[Condición equipo],"Parado")</f>
        <v>0</v>
      </c>
      <c r="I18" s="871">
        <f>IFERROR(1/(1/_xlfn.MAXIFS(tblAvisos[Fecha reporte],tblAvisos[Equipo],tblEquipos[[#This Row],[Código equipo]])),"")</f>
        <v>45985</v>
      </c>
    </row>
    <row r="19" spans="2:9">
      <c r="B19" s="900" t="s">
        <v>754</v>
      </c>
      <c r="C19" t="s">
        <v>2501</v>
      </c>
      <c r="F19">
        <f>COUNTIFS(tblAvisos[Equipo],tblEquipos[[#This Row],[Código equipo]])</f>
        <v>2</v>
      </c>
      <c r="G19">
        <f>COUNTIFS(tblAvisos[Equipo],tblEquipos[[#This Row],[Código equipo]],tblAvisos[Estado trabajo],"&lt;&gt;Cerrado")</f>
        <v>0</v>
      </c>
      <c r="H19">
        <f>COUNTIFS(tblAvisos[Equipo],tblEquipos[[#This Row],[Código equipo]],tblAvisos[Estado trabajo],"&lt;&gt;Cerrado",tblAvisos[Condición equipo],"Parado")</f>
        <v>0</v>
      </c>
      <c r="I19" s="871">
        <f>IFERROR(1/(1/_xlfn.MAXIFS(tblAvisos[Fecha reporte],tblAvisos[Equipo],tblEquipos[[#This Row],[Código equipo]])),"")</f>
        <v>46051</v>
      </c>
    </row>
    <row r="20" spans="2:9">
      <c r="B20" s="900" t="s">
        <v>779</v>
      </c>
      <c r="C20" t="s">
        <v>2501</v>
      </c>
      <c r="F20">
        <f>COUNTIFS(tblAvisos[Equipo],tblEquipos[[#This Row],[Código equipo]])</f>
        <v>1</v>
      </c>
      <c r="G20">
        <f>COUNTIFS(tblAvisos[Equipo],tblEquipos[[#This Row],[Código equipo]],tblAvisos[Estado trabajo],"&lt;&gt;Cerrado")</f>
        <v>0</v>
      </c>
      <c r="H20">
        <f>COUNTIFS(tblAvisos[Equipo],tblEquipos[[#This Row],[Código equipo]],tblAvisos[Estado trabajo],"&lt;&gt;Cerrado",tblAvisos[Condición equipo],"Parado")</f>
        <v>0</v>
      </c>
      <c r="I20" s="871">
        <f>IFERROR(1/(1/_xlfn.MAXIFS(tblAvisos[Fecha reporte],tblAvisos[Equipo],tblEquipos[[#This Row],[Código equipo]])),"")</f>
        <v>46059</v>
      </c>
    </row>
    <row r="21" spans="2:9">
      <c r="B21" s="900" t="s">
        <v>739</v>
      </c>
      <c r="C21" t="s">
        <v>2501</v>
      </c>
      <c r="F21">
        <f>COUNTIFS(tblAvisos[Equipo],tblEquipos[[#This Row],[Código equipo]])</f>
        <v>3</v>
      </c>
      <c r="G21">
        <f>COUNTIFS(tblAvisos[Equipo],tblEquipos[[#This Row],[Código equipo]],tblAvisos[Estado trabajo],"&lt;&gt;Cerrado")</f>
        <v>0</v>
      </c>
      <c r="H21">
        <f>COUNTIFS(tblAvisos[Equipo],tblEquipos[[#This Row],[Código equipo]],tblAvisos[Estado trabajo],"&lt;&gt;Cerrado",tblAvisos[Condición equipo],"Parado")</f>
        <v>0</v>
      </c>
      <c r="I21" s="871">
        <f>IFERROR(1/(1/_xlfn.MAXIFS(tblAvisos[Fecha reporte],tblAvisos[Equipo],tblEquipos[[#This Row],[Código equipo]])),"")</f>
        <v>46083</v>
      </c>
    </row>
    <row r="22" spans="2:9">
      <c r="B22" s="900" t="s">
        <v>729</v>
      </c>
      <c r="C22" t="s">
        <v>2501</v>
      </c>
      <c r="F22">
        <f>COUNTIFS(tblAvisos[Equipo],tblEquipos[[#This Row],[Código equipo]])</f>
        <v>2</v>
      </c>
      <c r="G22">
        <f>COUNTIFS(tblAvisos[Equipo],tblEquipos[[#This Row],[Código equipo]],tblAvisos[Estado trabajo],"&lt;&gt;Cerrado")</f>
        <v>0</v>
      </c>
      <c r="H22">
        <f>COUNTIFS(tblAvisos[Equipo],tblEquipos[[#This Row],[Código equipo]],tblAvisos[Estado trabajo],"&lt;&gt;Cerrado",tblAvisos[Condición equipo],"Parado")</f>
        <v>0</v>
      </c>
      <c r="I22" s="871">
        <f>IFERROR(1/(1/_xlfn.MAXIFS(tblAvisos[Fecha reporte],tblAvisos[Equipo],tblEquipos[[#This Row],[Código equipo]])),"")</f>
        <v>46036</v>
      </c>
    </row>
    <row r="23" spans="2:9">
      <c r="B23" s="900" t="s">
        <v>666</v>
      </c>
      <c r="C23" t="s">
        <v>2501</v>
      </c>
      <c r="F23">
        <f>COUNTIFS(tblAvisos[Equipo],tblEquipos[[#This Row],[Código equipo]])</f>
        <v>1</v>
      </c>
      <c r="G23">
        <f>COUNTIFS(tblAvisos[Equipo],tblEquipos[[#This Row],[Código equipo]],tblAvisos[Estado trabajo],"&lt;&gt;Cerrado")</f>
        <v>0</v>
      </c>
      <c r="H23">
        <f>COUNTIFS(tblAvisos[Equipo],tblEquipos[[#This Row],[Código equipo]],tblAvisos[Estado trabajo],"&lt;&gt;Cerrado",tblAvisos[Condición equipo],"Parado")</f>
        <v>0</v>
      </c>
      <c r="I23" s="871">
        <f>IFERROR(1/(1/_xlfn.MAXIFS(tblAvisos[Fecha reporte],tblAvisos[Equipo],tblEquipos[[#This Row],[Código equipo]])),"")</f>
        <v>45982</v>
      </c>
    </row>
    <row r="24" spans="2:9">
      <c r="B24" s="900" t="s">
        <v>767</v>
      </c>
      <c r="C24" t="s">
        <v>2501</v>
      </c>
      <c r="F24">
        <f>COUNTIFS(tblAvisos[Equipo],tblEquipos[[#This Row],[Código equipo]])</f>
        <v>1</v>
      </c>
      <c r="G24">
        <f>COUNTIFS(tblAvisos[Equipo],tblEquipos[[#This Row],[Código equipo]],tblAvisos[Estado trabajo],"&lt;&gt;Cerrado")</f>
        <v>0</v>
      </c>
      <c r="H24">
        <f>COUNTIFS(tblAvisos[Equipo],tblEquipos[[#This Row],[Código equipo]],tblAvisos[Estado trabajo],"&lt;&gt;Cerrado",tblAvisos[Condición equipo],"Parado")</f>
        <v>0</v>
      </c>
      <c r="I24" s="871">
        <f>IFERROR(1/(1/_xlfn.MAXIFS(tblAvisos[Fecha reporte],tblAvisos[Equipo],tblEquipos[[#This Row],[Código equipo]])),"")</f>
        <v>46049</v>
      </c>
    </row>
    <row r="25" spans="2:9">
      <c r="B25" s="900" t="s">
        <v>689</v>
      </c>
      <c r="C25" t="s">
        <v>2501</v>
      </c>
      <c r="F25">
        <f>COUNTIFS(tblAvisos[Equipo],tblEquipos[[#This Row],[Código equipo]])</f>
        <v>1</v>
      </c>
      <c r="G25">
        <f>COUNTIFS(tblAvisos[Equipo],tblEquipos[[#This Row],[Código equipo]],tblAvisos[Estado trabajo],"&lt;&gt;Cerrado")</f>
        <v>0</v>
      </c>
      <c r="H25">
        <f>COUNTIFS(tblAvisos[Equipo],tblEquipos[[#This Row],[Código equipo]],tblAvisos[Estado trabajo],"&lt;&gt;Cerrado",tblAvisos[Condición equipo],"Parado")</f>
        <v>0</v>
      </c>
      <c r="I25" s="871">
        <f>IFERROR(1/(1/_xlfn.MAXIFS(tblAvisos[Fecha reporte],tblAvisos[Equipo],tblEquipos[[#This Row],[Código equipo]])),"")</f>
        <v>46003</v>
      </c>
    </row>
    <row r="26" spans="2:9">
      <c r="B26" s="900" t="s">
        <v>673</v>
      </c>
      <c r="C26" t="s">
        <v>2501</v>
      </c>
      <c r="F26">
        <f>COUNTIFS(tblAvisos[Equipo],tblEquipos[[#This Row],[Código equipo]])</f>
        <v>1</v>
      </c>
      <c r="G26">
        <f>COUNTIFS(tblAvisos[Equipo],tblEquipos[[#This Row],[Código equipo]],tblAvisos[Estado trabajo],"&lt;&gt;Cerrado")</f>
        <v>0</v>
      </c>
      <c r="H26">
        <f>COUNTIFS(tblAvisos[Equipo],tblEquipos[[#This Row],[Código equipo]],tblAvisos[Estado trabajo],"&lt;&gt;Cerrado",tblAvisos[Condición equipo],"Parado")</f>
        <v>0</v>
      </c>
      <c r="I26" s="871">
        <f>IFERROR(1/(1/_xlfn.MAXIFS(tblAvisos[Fecha reporte],tblAvisos[Equipo],tblEquipos[[#This Row],[Código equipo]])),"")</f>
        <v>45983</v>
      </c>
    </row>
    <row r="27" spans="2:9">
      <c r="B27" s="900" t="s">
        <v>737</v>
      </c>
      <c r="C27" t="s">
        <v>2501</v>
      </c>
      <c r="F27">
        <f>COUNTIFS(tblAvisos[Equipo],tblEquipos[[#This Row],[Código equipo]])</f>
        <v>1</v>
      </c>
      <c r="G27">
        <f>COUNTIFS(tblAvisos[Equipo],tblEquipos[[#This Row],[Código equipo]],tblAvisos[Estado trabajo],"&lt;&gt;Cerrado")</f>
        <v>0</v>
      </c>
      <c r="H27">
        <f>COUNTIFS(tblAvisos[Equipo],tblEquipos[[#This Row],[Código equipo]],tblAvisos[Estado trabajo],"&lt;&gt;Cerrado",tblAvisos[Condición equipo],"Parado")</f>
        <v>0</v>
      </c>
      <c r="I27" s="871">
        <f>IFERROR(1/(1/_xlfn.MAXIFS(tblAvisos[Fecha reporte],tblAvisos[Equipo],tblEquipos[[#This Row],[Código equipo]])),"")</f>
        <v>46030</v>
      </c>
    </row>
    <row r="28" spans="2:9">
      <c r="B28" s="900" t="s">
        <v>759</v>
      </c>
      <c r="C28" t="s">
        <v>2501</v>
      </c>
      <c r="F28">
        <f>COUNTIFS(tblAvisos[Equipo],tblEquipos[[#This Row],[Código equipo]])</f>
        <v>1</v>
      </c>
      <c r="G28">
        <f>COUNTIFS(tblAvisos[Equipo],tblEquipos[[#This Row],[Código equipo]],tblAvisos[Estado trabajo],"&lt;&gt;Cerrado")</f>
        <v>0</v>
      </c>
      <c r="H28">
        <f>COUNTIFS(tblAvisos[Equipo],tblEquipos[[#This Row],[Código equipo]],tblAvisos[Estado trabajo],"&lt;&gt;Cerrado",tblAvisos[Condición equipo],"Parado")</f>
        <v>0</v>
      </c>
      <c r="I28" s="871">
        <f>IFERROR(1/(1/_xlfn.MAXIFS(tblAvisos[Fecha reporte],tblAvisos[Equipo],tblEquipos[[#This Row],[Código equipo]])),"")</f>
        <v>46044</v>
      </c>
    </row>
    <row r="29" spans="2:9">
      <c r="B29" s="900" t="s">
        <v>732</v>
      </c>
      <c r="C29" t="s">
        <v>2501</v>
      </c>
      <c r="F29">
        <f>COUNTIFS(tblAvisos[Equipo],tblEquipos[[#This Row],[Código equipo]])</f>
        <v>1</v>
      </c>
      <c r="G29">
        <f>COUNTIFS(tblAvisos[Equipo],tblEquipos[[#This Row],[Código equipo]],tblAvisos[Estado trabajo],"&lt;&gt;Cerrado")</f>
        <v>0</v>
      </c>
      <c r="H29">
        <f>COUNTIFS(tblAvisos[Equipo],tblEquipos[[#This Row],[Código equipo]],tblAvisos[Estado trabajo],"&lt;&gt;Cerrado",tblAvisos[Condición equipo],"Parado")</f>
        <v>0</v>
      </c>
      <c r="I29" s="871">
        <f>IFERROR(1/(1/_xlfn.MAXIFS(tblAvisos[Fecha reporte],tblAvisos[Equipo],tblEquipos[[#This Row],[Código equipo]])),"")</f>
        <v>46029</v>
      </c>
    </row>
    <row r="30" spans="2:9">
      <c r="B30" s="900" t="s">
        <v>727</v>
      </c>
      <c r="C30" t="s">
        <v>2501</v>
      </c>
      <c r="F30">
        <f>COUNTIFS(tblAvisos[Equipo],tblEquipos[[#This Row],[Código equipo]])</f>
        <v>1</v>
      </c>
      <c r="G30">
        <f>COUNTIFS(tblAvisos[Equipo],tblEquipos[[#This Row],[Código equipo]],tblAvisos[Estado trabajo],"&lt;&gt;Cerrado")</f>
        <v>0</v>
      </c>
      <c r="H30">
        <f>COUNTIFS(tblAvisos[Equipo],tblEquipos[[#This Row],[Código equipo]],tblAvisos[Estado trabajo],"&lt;&gt;Cerrado",tblAvisos[Condición equipo],"Parado")</f>
        <v>0</v>
      </c>
      <c r="I30" s="871">
        <f>IFERROR(1/(1/_xlfn.MAXIFS(tblAvisos[Fecha reporte],tblAvisos[Equipo],tblEquipos[[#This Row],[Código equipo]])),"")</f>
        <v>46027</v>
      </c>
    </row>
    <row r="31" spans="2:9">
      <c r="B31" s="900" t="s">
        <v>761</v>
      </c>
      <c r="C31" t="s">
        <v>2501</v>
      </c>
      <c r="F31">
        <f>COUNTIFS(tblAvisos[Equipo],tblEquipos[[#This Row],[Código equipo]])</f>
        <v>1</v>
      </c>
      <c r="G31">
        <f>COUNTIFS(tblAvisos[Equipo],tblEquipos[[#This Row],[Código equipo]],tblAvisos[Estado trabajo],"&lt;&gt;Cerrado")</f>
        <v>0</v>
      </c>
      <c r="H31">
        <f>COUNTIFS(tblAvisos[Equipo],tblEquipos[[#This Row],[Código equipo]],tblAvisos[Estado trabajo],"&lt;&gt;Cerrado",tblAvisos[Condición equipo],"Parado")</f>
        <v>0</v>
      </c>
      <c r="I31" s="871">
        <f>IFERROR(1/(1/_xlfn.MAXIFS(tblAvisos[Fecha reporte],tblAvisos[Equipo],tblEquipos[[#This Row],[Código equipo]])),"")</f>
        <v>46044</v>
      </c>
    </row>
    <row r="32" spans="2:9">
      <c r="B32" s="900" t="s">
        <v>775</v>
      </c>
      <c r="C32" t="s">
        <v>2501</v>
      </c>
      <c r="F32">
        <f>COUNTIFS(tblAvisos[Equipo],tblEquipos[[#This Row],[Código equipo]])</f>
        <v>1</v>
      </c>
      <c r="G32">
        <f>COUNTIFS(tblAvisos[Equipo],tblEquipos[[#This Row],[Código equipo]],tblAvisos[Estado trabajo],"&lt;&gt;Cerrado")</f>
        <v>0</v>
      </c>
      <c r="H32">
        <f>COUNTIFS(tblAvisos[Equipo],tblEquipos[[#This Row],[Código equipo]],tblAvisos[Estado trabajo],"&lt;&gt;Cerrado",tblAvisos[Condición equipo],"Parado")</f>
        <v>0</v>
      </c>
      <c r="I32" s="871">
        <f>IFERROR(1/(1/_xlfn.MAXIFS(tblAvisos[Fecha reporte],tblAvisos[Equipo],tblEquipos[[#This Row],[Código equipo]])),"")</f>
        <v>46056</v>
      </c>
    </row>
    <row r="33" spans="2:9">
      <c r="B33" s="900" t="s">
        <v>774</v>
      </c>
      <c r="C33" t="s">
        <v>2501</v>
      </c>
      <c r="F33">
        <f>COUNTIFS(tblAvisos[Equipo],tblEquipos[[#This Row],[Código equipo]])</f>
        <v>2</v>
      </c>
      <c r="G33">
        <f>COUNTIFS(tblAvisos[Equipo],tblEquipos[[#This Row],[Código equipo]],tblAvisos[Estado trabajo],"&lt;&gt;Cerrado")</f>
        <v>0</v>
      </c>
      <c r="H33">
        <f>COUNTIFS(tblAvisos[Equipo],tblEquipos[[#This Row],[Código equipo]],tblAvisos[Estado trabajo],"&lt;&gt;Cerrado",tblAvisos[Condición equipo],"Parado")</f>
        <v>0</v>
      </c>
      <c r="I33" s="871">
        <f>IFERROR(1/(1/_xlfn.MAXIFS(tblAvisos[Fecha reporte],tblAvisos[Equipo],tblEquipos[[#This Row],[Código equipo]])),"")</f>
        <v>46123</v>
      </c>
    </row>
    <row r="34" spans="2:9">
      <c r="B34" s="900" t="s">
        <v>765</v>
      </c>
      <c r="C34" t="s">
        <v>2501</v>
      </c>
      <c r="F34">
        <f>COUNTIFS(tblAvisos[Equipo],tblEquipos[[#This Row],[Código equipo]])</f>
        <v>1</v>
      </c>
      <c r="G34">
        <f>COUNTIFS(tblAvisos[Equipo],tblEquipos[[#This Row],[Código equipo]],tblAvisos[Estado trabajo],"&lt;&gt;Cerrado")</f>
        <v>0</v>
      </c>
      <c r="H34">
        <f>COUNTIFS(tblAvisos[Equipo],tblEquipos[[#This Row],[Código equipo]],tblAvisos[Estado trabajo],"&lt;&gt;Cerrado",tblAvisos[Condición equipo],"Parado")</f>
        <v>0</v>
      </c>
      <c r="I34" s="871">
        <f>IFERROR(1/(1/_xlfn.MAXIFS(tblAvisos[Fecha reporte],tblAvisos[Equipo],tblEquipos[[#This Row],[Código equipo]])),"")</f>
        <v>46048</v>
      </c>
    </row>
    <row r="35" spans="2:9">
      <c r="B35" s="900" t="s">
        <v>692</v>
      </c>
      <c r="C35" t="s">
        <v>2501</v>
      </c>
      <c r="F35">
        <f>COUNTIFS(tblAvisos[Equipo],tblEquipos[[#This Row],[Código equipo]])</f>
        <v>1</v>
      </c>
      <c r="G35">
        <f>COUNTIFS(tblAvisos[Equipo],tblEquipos[[#This Row],[Código equipo]],tblAvisos[Estado trabajo],"&lt;&gt;Cerrado")</f>
        <v>0</v>
      </c>
      <c r="H35">
        <f>COUNTIFS(tblAvisos[Equipo],tblEquipos[[#This Row],[Código equipo]],tblAvisos[Estado trabajo],"&lt;&gt;Cerrado",tblAvisos[Condición equipo],"Parado")</f>
        <v>0</v>
      </c>
      <c r="I35" s="871">
        <f>IFERROR(1/(1/_xlfn.MAXIFS(tblAvisos[Fecha reporte],tblAvisos[Equipo],tblEquipos[[#This Row],[Código equipo]])),"")</f>
        <v>46008</v>
      </c>
    </row>
    <row r="36" spans="2:9">
      <c r="B36" s="900" t="s">
        <v>670</v>
      </c>
      <c r="C36" t="s">
        <v>2501</v>
      </c>
      <c r="F36">
        <f>COUNTIFS(tblAvisos[Equipo],tblEquipos[[#This Row],[Código equipo]])</f>
        <v>2</v>
      </c>
      <c r="G36">
        <f>COUNTIFS(tblAvisos[Equipo],tblEquipos[[#This Row],[Código equipo]],tblAvisos[Estado trabajo],"&lt;&gt;Cerrado")</f>
        <v>0</v>
      </c>
      <c r="H36">
        <f>COUNTIFS(tblAvisos[Equipo],tblEquipos[[#This Row],[Código equipo]],tblAvisos[Estado trabajo],"&lt;&gt;Cerrado",tblAvisos[Condición equipo],"Parado")</f>
        <v>0</v>
      </c>
      <c r="I36" s="871">
        <f>IFERROR(1/(1/_xlfn.MAXIFS(tblAvisos[Fecha reporte],tblAvisos[Equipo],tblEquipos[[#This Row],[Código equipo]])),"")</f>
        <v>46014</v>
      </c>
    </row>
    <row r="37" spans="2:9">
      <c r="B37" s="900" t="s">
        <v>695</v>
      </c>
      <c r="C37" t="s">
        <v>2501</v>
      </c>
      <c r="F37">
        <f>COUNTIFS(tblAvisos[Equipo],tblEquipos[[#This Row],[Código equipo]])</f>
        <v>1</v>
      </c>
      <c r="G37">
        <f>COUNTIFS(tblAvisos[Equipo],tblEquipos[[#This Row],[Código equipo]],tblAvisos[Estado trabajo],"&lt;&gt;Cerrado")</f>
        <v>0</v>
      </c>
      <c r="H37">
        <f>COUNTIFS(tblAvisos[Equipo],tblEquipos[[#This Row],[Código equipo]],tblAvisos[Estado trabajo],"&lt;&gt;Cerrado",tblAvisos[Condición equipo],"Parado")</f>
        <v>0</v>
      </c>
      <c r="I37" s="871">
        <f>IFERROR(1/(1/_xlfn.MAXIFS(tblAvisos[Fecha reporte],tblAvisos[Equipo],tblEquipos[[#This Row],[Código equipo]])),"")</f>
        <v>46013</v>
      </c>
    </row>
    <row r="38" spans="2:9">
      <c r="B38" s="900" t="s">
        <v>712</v>
      </c>
      <c r="C38" t="s">
        <v>2501</v>
      </c>
      <c r="F38">
        <f>COUNTIFS(tblAvisos[Equipo],tblEquipos[[#This Row],[Código equipo]])</f>
        <v>1</v>
      </c>
      <c r="G38">
        <f>COUNTIFS(tblAvisos[Equipo],tblEquipos[[#This Row],[Código equipo]],tblAvisos[Estado trabajo],"&lt;&gt;Cerrado")</f>
        <v>0</v>
      </c>
      <c r="H38">
        <f>COUNTIFS(tblAvisos[Equipo],tblEquipos[[#This Row],[Código equipo]],tblAvisos[Estado trabajo],"&lt;&gt;Cerrado",tblAvisos[Condición equipo],"Parado")</f>
        <v>0</v>
      </c>
      <c r="I38" s="871">
        <f>IFERROR(1/(1/_xlfn.MAXIFS(tblAvisos[Fecha reporte],tblAvisos[Equipo],tblEquipos[[#This Row],[Código equipo]])),"")</f>
        <v>46020</v>
      </c>
    </row>
    <row r="39" spans="2:9">
      <c r="B39" s="900" t="s">
        <v>663</v>
      </c>
      <c r="C39" t="s">
        <v>2501</v>
      </c>
      <c r="F39">
        <f>COUNTIFS(tblAvisos[Equipo],tblEquipos[[#This Row],[Código equipo]])</f>
        <v>4</v>
      </c>
      <c r="G39">
        <f>COUNTIFS(tblAvisos[Equipo],tblEquipos[[#This Row],[Código equipo]],tblAvisos[Estado trabajo],"&lt;&gt;Cerrado")</f>
        <v>0</v>
      </c>
      <c r="H39">
        <f>COUNTIFS(tblAvisos[Equipo],tblEquipos[[#This Row],[Código equipo]],tblAvisos[Estado trabajo],"&lt;&gt;Cerrado",tblAvisos[Condición equipo],"Parado")</f>
        <v>0</v>
      </c>
      <c r="I39" s="871">
        <f>IFERROR(1/(1/_xlfn.MAXIFS(tblAvisos[Fecha reporte],tblAvisos[Equipo],tblEquipos[[#This Row],[Código equipo]])),"")</f>
        <v>46072</v>
      </c>
    </row>
    <row r="40" spans="2:9">
      <c r="B40" s="900" t="s">
        <v>658</v>
      </c>
      <c r="C40" t="s">
        <v>2501</v>
      </c>
      <c r="F40">
        <f>COUNTIFS(tblAvisos[Equipo],tblEquipos[[#This Row],[Código equipo]])</f>
        <v>1</v>
      </c>
      <c r="G40">
        <f>COUNTIFS(tblAvisos[Equipo],tblEquipos[[#This Row],[Código equipo]],tblAvisos[Estado trabajo],"&lt;&gt;Cerrado")</f>
        <v>0</v>
      </c>
      <c r="H40">
        <f>COUNTIFS(tblAvisos[Equipo],tblEquipos[[#This Row],[Código equipo]],tblAvisos[Estado trabajo],"&lt;&gt;Cerrado",tblAvisos[Condición equipo],"Parado")</f>
        <v>0</v>
      </c>
      <c r="I40" s="871">
        <f>IFERROR(1/(1/_xlfn.MAXIFS(tblAvisos[Fecha reporte],tblAvisos[Equipo],tblEquipos[[#This Row],[Código equipo]])),"")</f>
        <v>45982</v>
      </c>
    </row>
    <row r="41" spans="2:9">
      <c r="B41" s="900" t="s">
        <v>720</v>
      </c>
      <c r="C41" t="s">
        <v>2501</v>
      </c>
      <c r="F41">
        <f>COUNTIFS(tblAvisos[Equipo],tblEquipos[[#This Row],[Código equipo]])</f>
        <v>1</v>
      </c>
      <c r="G41">
        <f>COUNTIFS(tblAvisos[Equipo],tblEquipos[[#This Row],[Código equipo]],tblAvisos[Estado trabajo],"&lt;&gt;Cerrado")</f>
        <v>0</v>
      </c>
      <c r="H41">
        <f>COUNTIFS(tblAvisos[Equipo],tblEquipos[[#This Row],[Código equipo]],tblAvisos[Estado trabajo],"&lt;&gt;Cerrado",tblAvisos[Condición equipo],"Parado")</f>
        <v>0</v>
      </c>
      <c r="I41" s="871">
        <f>IFERROR(1/(1/_xlfn.MAXIFS(tblAvisos[Fecha reporte],tblAvisos[Equipo],tblEquipos[[#This Row],[Código equipo]])),"")</f>
        <v>46024</v>
      </c>
    </row>
    <row r="42" spans="2:9">
      <c r="B42" s="900" t="s">
        <v>731</v>
      </c>
      <c r="C42" t="s">
        <v>2501</v>
      </c>
      <c r="F42">
        <f>COUNTIFS(tblAvisos[Equipo],tblEquipos[[#This Row],[Código equipo]])</f>
        <v>1</v>
      </c>
      <c r="G42">
        <f>COUNTIFS(tblAvisos[Equipo],tblEquipos[[#This Row],[Código equipo]],tblAvisos[Estado trabajo],"&lt;&gt;Cerrado")</f>
        <v>0</v>
      </c>
      <c r="H42">
        <f>COUNTIFS(tblAvisos[Equipo],tblEquipos[[#This Row],[Código equipo]],tblAvisos[Estado trabajo],"&lt;&gt;Cerrado",tblAvisos[Condición equipo],"Parado")</f>
        <v>0</v>
      </c>
      <c r="I42" s="871">
        <f>IFERROR(1/(1/_xlfn.MAXIFS(tblAvisos[Fecha reporte],tblAvisos[Equipo],tblEquipos[[#This Row],[Código equipo]])),"")</f>
        <v>46029</v>
      </c>
    </row>
    <row r="43" spans="2:9">
      <c r="B43" s="900" t="s">
        <v>699</v>
      </c>
      <c r="C43" t="s">
        <v>2501</v>
      </c>
      <c r="F43">
        <f>COUNTIFS(tblAvisos[Equipo],tblEquipos[[#This Row],[Código equipo]])</f>
        <v>6</v>
      </c>
      <c r="G43">
        <f>COUNTIFS(tblAvisos[Equipo],tblEquipos[[#This Row],[Código equipo]],tblAvisos[Estado trabajo],"&lt;&gt;Cerrado")</f>
        <v>0</v>
      </c>
      <c r="H43">
        <f>COUNTIFS(tblAvisos[Equipo],tblEquipos[[#This Row],[Código equipo]],tblAvisos[Estado trabajo],"&lt;&gt;Cerrado",tblAvisos[Condición equipo],"Parado")</f>
        <v>0</v>
      </c>
      <c r="I43" s="871">
        <f>IFERROR(1/(1/_xlfn.MAXIFS(tblAvisos[Fecha reporte],tblAvisos[Equipo],tblEquipos[[#This Row],[Código equipo]])),"")</f>
        <v>46042</v>
      </c>
    </row>
    <row r="44" spans="2:9">
      <c r="B44" s="900" t="s">
        <v>725</v>
      </c>
      <c r="C44" t="s">
        <v>2501</v>
      </c>
      <c r="F44">
        <f>COUNTIFS(tblAvisos[Equipo],tblEquipos[[#This Row],[Código equipo]])</f>
        <v>1</v>
      </c>
      <c r="G44">
        <f>COUNTIFS(tblAvisos[Equipo],tblEquipos[[#This Row],[Código equipo]],tblAvisos[Estado trabajo],"&lt;&gt;Cerrado")</f>
        <v>0</v>
      </c>
      <c r="H44">
        <f>COUNTIFS(tblAvisos[Equipo],tblEquipos[[#This Row],[Código equipo]],tblAvisos[Estado trabajo],"&lt;&gt;Cerrado",tblAvisos[Condición equipo],"Parado")</f>
        <v>0</v>
      </c>
      <c r="I44" s="871">
        <f>IFERROR(1/(1/_xlfn.MAXIFS(tblAvisos[Fecha reporte],tblAvisos[Equipo],tblEquipos[[#This Row],[Código equipo]])),"")</f>
        <v>46026</v>
      </c>
    </row>
    <row r="45" spans="2:9">
      <c r="B45" s="900" t="s">
        <v>756</v>
      </c>
      <c r="C45" t="s">
        <v>2501</v>
      </c>
      <c r="F45">
        <f>COUNTIFS(tblAvisos[Equipo],tblEquipos[[#This Row],[Código equipo]])</f>
        <v>2</v>
      </c>
      <c r="G45">
        <f>COUNTIFS(tblAvisos[Equipo],tblEquipos[[#This Row],[Código equipo]],tblAvisos[Estado trabajo],"&lt;&gt;Cerrado")</f>
        <v>0</v>
      </c>
      <c r="H45">
        <f>COUNTIFS(tblAvisos[Equipo],tblEquipos[[#This Row],[Código equipo]],tblAvisos[Estado trabajo],"&lt;&gt;Cerrado",tblAvisos[Condición equipo],"Parado")</f>
        <v>0</v>
      </c>
      <c r="I45" s="871">
        <f>IFERROR(1/(1/_xlfn.MAXIFS(tblAvisos[Fecha reporte],tblAvisos[Equipo],tblEquipos[[#This Row],[Código equipo]])),"")</f>
        <v>46052</v>
      </c>
    </row>
    <row r="46" spans="2:9">
      <c r="B46" s="900" t="s">
        <v>719</v>
      </c>
      <c r="C46" t="s">
        <v>2501</v>
      </c>
      <c r="F46">
        <f>COUNTIFS(tblAvisos[Equipo],tblEquipos[[#This Row],[Código equipo]])</f>
        <v>2</v>
      </c>
      <c r="G46">
        <f>COUNTIFS(tblAvisos[Equipo],tblEquipos[[#This Row],[Código equipo]],tblAvisos[Estado trabajo],"&lt;&gt;Cerrado")</f>
        <v>0</v>
      </c>
      <c r="H46">
        <f>COUNTIFS(tblAvisos[Equipo],tblEquipos[[#This Row],[Código equipo]],tblAvisos[Estado trabajo],"&lt;&gt;Cerrado",tblAvisos[Condición equipo],"Parado")</f>
        <v>0</v>
      </c>
      <c r="I46" s="871">
        <f>IFERROR(1/(1/_xlfn.MAXIFS(tblAvisos[Fecha reporte],tblAvisos[Equipo],tblEquipos[[#This Row],[Código equipo]])),"")</f>
        <v>46030</v>
      </c>
    </row>
    <row r="47" spans="2:9">
      <c r="B47" s="900" t="s">
        <v>706</v>
      </c>
      <c r="C47" t="s">
        <v>2501</v>
      </c>
      <c r="F47">
        <f>COUNTIFS(tblAvisos[Equipo],tblEquipos[[#This Row],[Código equipo]])</f>
        <v>4</v>
      </c>
      <c r="G47">
        <f>COUNTIFS(tblAvisos[Equipo],tblEquipos[[#This Row],[Código equipo]],tblAvisos[Estado trabajo],"&lt;&gt;Cerrado")</f>
        <v>0</v>
      </c>
      <c r="H47">
        <f>COUNTIFS(tblAvisos[Equipo],tblEquipos[[#This Row],[Código equipo]],tblAvisos[Estado trabajo],"&lt;&gt;Cerrado",tblAvisos[Condición equipo],"Parado")</f>
        <v>0</v>
      </c>
      <c r="I47" s="871">
        <f>IFERROR(1/(1/_xlfn.MAXIFS(tblAvisos[Fecha reporte],tblAvisos[Equipo],tblEquipos[[#This Row],[Código equipo]])),"")</f>
        <v>46150</v>
      </c>
    </row>
    <row r="48" spans="2:9">
      <c r="B48" s="900" t="s">
        <v>794</v>
      </c>
      <c r="C48" t="s">
        <v>2501</v>
      </c>
      <c r="F48">
        <f>COUNTIFS(tblAvisos[Equipo],tblEquipos[[#This Row],[Código equipo]])</f>
        <v>1</v>
      </c>
      <c r="G48">
        <f>COUNTIFS(tblAvisos[Equipo],tblEquipos[[#This Row],[Código equipo]],tblAvisos[Estado trabajo],"&lt;&gt;Cerrado")</f>
        <v>0</v>
      </c>
      <c r="H48">
        <f>COUNTIFS(tblAvisos[Equipo],tblEquipos[[#This Row],[Código equipo]],tblAvisos[Estado trabajo],"&lt;&gt;Cerrado",tblAvisos[Condición equipo],"Parado")</f>
        <v>0</v>
      </c>
      <c r="I48" s="871">
        <f>IFERROR(1/(1/_xlfn.MAXIFS(tblAvisos[Fecha reporte],tblAvisos[Equipo],tblEquipos[[#This Row],[Código equipo]])),"")</f>
        <v>46151</v>
      </c>
    </row>
    <row r="49" spans="2:9">
      <c r="B49" s="900" t="s">
        <v>744</v>
      </c>
      <c r="C49" t="s">
        <v>2501</v>
      </c>
      <c r="F49">
        <f>COUNTIFS(tblAvisos[Equipo],tblEquipos[[#This Row],[Código equipo]])</f>
        <v>1</v>
      </c>
      <c r="G49">
        <f>COUNTIFS(tblAvisos[Equipo],tblEquipos[[#This Row],[Código equipo]],tblAvisos[Estado trabajo],"&lt;&gt;Cerrado")</f>
        <v>0</v>
      </c>
      <c r="H49">
        <f>COUNTIFS(tblAvisos[Equipo],tblEquipos[[#This Row],[Código equipo]],tblAvisos[Estado trabajo],"&lt;&gt;Cerrado",tblAvisos[Condición equipo],"Parado")</f>
        <v>0</v>
      </c>
      <c r="I49" s="871">
        <f>IFERROR(1/(1/_xlfn.MAXIFS(tblAvisos[Fecha reporte],tblAvisos[Equipo],tblEquipos[[#This Row],[Código equipo]])),"")</f>
        <v>46034</v>
      </c>
    </row>
    <row r="50" spans="2:9">
      <c r="B50" s="900" t="s">
        <v>746</v>
      </c>
      <c r="C50" t="s">
        <v>2501</v>
      </c>
      <c r="F50">
        <f>COUNTIFS(tblAvisos[Equipo],tblEquipos[[#This Row],[Código equipo]])</f>
        <v>2</v>
      </c>
      <c r="G50">
        <f>COUNTIFS(tblAvisos[Equipo],tblEquipos[[#This Row],[Código equipo]],tblAvisos[Estado trabajo],"&lt;&gt;Cerrado")</f>
        <v>0</v>
      </c>
      <c r="H50">
        <f>COUNTIFS(tblAvisos[Equipo],tblEquipos[[#This Row],[Código equipo]],tblAvisos[Estado trabajo],"&lt;&gt;Cerrado",tblAvisos[Condición equipo],"Parado")</f>
        <v>0</v>
      </c>
      <c r="I50" s="871">
        <f>IFERROR(1/(1/_xlfn.MAXIFS(tblAvisos[Fecha reporte],tblAvisos[Equipo],tblEquipos[[#This Row],[Código equipo]])),"")</f>
        <v>46060</v>
      </c>
    </row>
    <row r="51" spans="2:9">
      <c r="B51" s="900" t="s">
        <v>709</v>
      </c>
      <c r="C51" t="s">
        <v>2501</v>
      </c>
      <c r="F51">
        <f>COUNTIFS(tblAvisos[Equipo],tblEquipos[[#This Row],[Código equipo]])</f>
        <v>1</v>
      </c>
      <c r="G51">
        <f>COUNTIFS(tblAvisos[Equipo],tblEquipos[[#This Row],[Código equipo]],tblAvisos[Estado trabajo],"&lt;&gt;Cerrado")</f>
        <v>0</v>
      </c>
      <c r="H51">
        <f>COUNTIFS(tblAvisos[Equipo],tblEquipos[[#This Row],[Código equipo]],tblAvisos[Estado trabajo],"&lt;&gt;Cerrado",tblAvisos[Condición equipo],"Parado")</f>
        <v>0</v>
      </c>
      <c r="I51" s="871">
        <f>IFERROR(1/(1/_xlfn.MAXIFS(tblAvisos[Fecha reporte],tblAvisos[Equipo],tblEquipos[[#This Row],[Código equipo]])),"")</f>
        <v>46019</v>
      </c>
    </row>
    <row r="52" spans="2:9">
      <c r="B52" s="900" t="s">
        <v>722</v>
      </c>
      <c r="C52" t="s">
        <v>2501</v>
      </c>
      <c r="F52">
        <f>COUNTIFS(tblAvisos[Equipo],tblEquipos[[#This Row],[Código equipo]])</f>
        <v>1</v>
      </c>
      <c r="G52">
        <f>COUNTIFS(tblAvisos[Equipo],tblEquipos[[#This Row],[Código equipo]],tblAvisos[Estado trabajo],"&lt;&gt;Cerrado")</f>
        <v>0</v>
      </c>
      <c r="H52">
        <f>COUNTIFS(tblAvisos[Equipo],tblEquipos[[#This Row],[Código equipo]],tblAvisos[Estado trabajo],"&lt;&gt;Cerrado",tblAvisos[Condición equipo],"Parado")</f>
        <v>0</v>
      </c>
      <c r="I52" s="871">
        <f>IFERROR(1/(1/_xlfn.MAXIFS(tblAvisos[Fecha reporte],tblAvisos[Equipo],tblEquipos[[#This Row],[Código equipo]])),"")</f>
        <v>46025</v>
      </c>
    </row>
    <row r="53" spans="2:9">
      <c r="B53" s="900" t="s">
        <v>734</v>
      </c>
      <c r="C53" t="s">
        <v>2501</v>
      </c>
      <c r="F53">
        <f>COUNTIFS(tblAvisos[Equipo],tblEquipos[[#This Row],[Código equipo]])</f>
        <v>1</v>
      </c>
      <c r="G53">
        <f>COUNTIFS(tblAvisos[Equipo],tblEquipos[[#This Row],[Código equipo]],tblAvisos[Estado trabajo],"&lt;&gt;Cerrado")</f>
        <v>0</v>
      </c>
      <c r="H53">
        <f>COUNTIFS(tblAvisos[Equipo],tblEquipos[[#This Row],[Código equipo]],tblAvisos[Estado trabajo],"&lt;&gt;Cerrado",tblAvisos[Condición equipo],"Parado")</f>
        <v>0</v>
      </c>
      <c r="I53" s="871">
        <f>IFERROR(1/(1/_xlfn.MAXIFS(tblAvisos[Fecha reporte],tblAvisos[Equipo],tblEquipos[[#This Row],[Código equipo]])),"")</f>
        <v>46029</v>
      </c>
    </row>
    <row r="54" spans="2:9">
      <c r="B54" s="900" t="s">
        <v>1138</v>
      </c>
      <c r="C54" t="s">
        <v>2502</v>
      </c>
      <c r="F54">
        <f>COUNTIFS(tblAvisos[Equipo],tblEquipos[[#This Row],[Código equipo]])</f>
        <v>1</v>
      </c>
      <c r="G54">
        <f>COUNTIFS(tblAvisos[Equipo],tblEquipos[[#This Row],[Código equipo]],tblAvisos[Estado trabajo],"&lt;&gt;Cerrado")</f>
        <v>1</v>
      </c>
      <c r="H54">
        <f>COUNTIFS(tblAvisos[Equipo],tblEquipos[[#This Row],[Código equipo]],tblAvisos[Estado trabajo],"&lt;&gt;Cerrado",tblAvisos[Condición equipo],"Parado")</f>
        <v>0</v>
      </c>
      <c r="I54" s="871" t="str">
        <f>IFERROR(1/(1/_xlfn.MAXIFS(tblAvisos[Fecha reporte],tblAvisos[Equipo],tblEquipos[[#This Row],[Código equipo]])),"")</f>
        <v/>
      </c>
    </row>
    <row r="55" spans="2:9">
      <c r="B55" s="900" t="s">
        <v>469</v>
      </c>
      <c r="C55" t="s">
        <v>2502</v>
      </c>
      <c r="F55">
        <f>COUNTIFS(tblAvisos[Equipo],tblEquipos[[#This Row],[Código equipo]])</f>
        <v>1</v>
      </c>
      <c r="G55">
        <f>COUNTIFS(tblAvisos[Equipo],tblEquipos[[#This Row],[Código equipo]],tblAvisos[Estado trabajo],"&lt;&gt;Cerrado")</f>
        <v>1</v>
      </c>
      <c r="H55">
        <f>COUNTIFS(tblAvisos[Equipo],tblEquipos[[#This Row],[Código equipo]],tblAvisos[Estado trabajo],"&lt;&gt;Cerrado",tblAvisos[Condición equipo],"Parado")</f>
        <v>0</v>
      </c>
      <c r="I55" s="871">
        <f>IFERROR(1/(1/_xlfn.MAXIFS(tblAvisos[Fecha reporte],tblAvisos[Equipo],tblEquipos[[#This Row],[Código equipo]])),"")</f>
        <v>45976</v>
      </c>
    </row>
    <row r="56" spans="2:9">
      <c r="B56" s="900" t="s">
        <v>472</v>
      </c>
      <c r="C56" t="s">
        <v>2502</v>
      </c>
      <c r="F56">
        <f>COUNTIFS(tblAvisos[Equipo],tblEquipos[[#This Row],[Código equipo]])</f>
        <v>1</v>
      </c>
      <c r="G56">
        <f>COUNTIFS(tblAvisos[Equipo],tblEquipos[[#This Row],[Código equipo]],tblAvisos[Estado trabajo],"&lt;&gt;Cerrado")</f>
        <v>1</v>
      </c>
      <c r="H56">
        <f>COUNTIFS(tblAvisos[Equipo],tblEquipos[[#This Row],[Código equipo]],tblAvisos[Estado trabajo],"&lt;&gt;Cerrado",tblAvisos[Condición equipo],"Parado")</f>
        <v>1</v>
      </c>
      <c r="I56" s="871" t="str">
        <f>IFERROR(1/(1/_xlfn.MAXIFS(tblAvisos[Fecha reporte],tblAvisos[Equipo],tblEquipos[[#This Row],[Código equipo]])),"")</f>
        <v/>
      </c>
    </row>
    <row r="57" spans="2:9">
      <c r="B57" s="900" t="s">
        <v>481</v>
      </c>
      <c r="C57" t="s">
        <v>2502</v>
      </c>
      <c r="F57">
        <f>COUNTIFS(tblAvisos[Equipo],tblEquipos[[#This Row],[Código equipo]])</f>
        <v>1</v>
      </c>
      <c r="G57">
        <f>COUNTIFS(tblAvisos[Equipo],tblEquipos[[#This Row],[Código equipo]],tblAvisos[Estado trabajo],"&lt;&gt;Cerrado")</f>
        <v>1</v>
      </c>
      <c r="H57">
        <f>COUNTIFS(tblAvisos[Equipo],tblEquipos[[#This Row],[Código equipo]],tblAvisos[Estado trabajo],"&lt;&gt;Cerrado",tblAvisos[Condición equipo],"Parado")</f>
        <v>0</v>
      </c>
      <c r="I57" s="871" t="str">
        <f>IFERROR(1/(1/_xlfn.MAXIFS(tblAvisos[Fecha reporte],tblAvisos[Equipo],tblEquipos[[#This Row],[Código equipo]])),"")</f>
        <v/>
      </c>
    </row>
    <row r="58" spans="2:9">
      <c r="B58" s="900" t="s">
        <v>259</v>
      </c>
      <c r="C58" t="s">
        <v>2502</v>
      </c>
      <c r="F58">
        <f>COUNTIFS(tblAvisos[Equipo],tblEquipos[[#This Row],[Código equipo]])</f>
        <v>6</v>
      </c>
      <c r="G58">
        <f>COUNTIFS(tblAvisos[Equipo],tblEquipos[[#This Row],[Código equipo]],tblAvisos[Estado trabajo],"&lt;&gt;Cerrado")</f>
        <v>6</v>
      </c>
      <c r="H58">
        <f>COUNTIFS(tblAvisos[Equipo],tblEquipos[[#This Row],[Código equipo]],tblAvisos[Estado trabajo],"&lt;&gt;Cerrado",tblAvisos[Condición equipo],"Parado")</f>
        <v>3</v>
      </c>
      <c r="I58" s="871">
        <f>IFERROR(1/(1/_xlfn.MAXIFS(tblAvisos[Fecha reporte],tblAvisos[Equipo],tblEquipos[[#This Row],[Código equipo]])),"")</f>
        <v>46035</v>
      </c>
    </row>
    <row r="59" spans="2:9">
      <c r="B59" s="900" t="s">
        <v>262</v>
      </c>
      <c r="C59" t="s">
        <v>2502</v>
      </c>
      <c r="F59">
        <f>COUNTIFS(tblAvisos[Equipo],tblEquipos[[#This Row],[Código equipo]])</f>
        <v>6</v>
      </c>
      <c r="G59">
        <f>COUNTIFS(tblAvisos[Equipo],tblEquipos[[#This Row],[Código equipo]],tblAvisos[Estado trabajo],"&lt;&gt;Cerrado")</f>
        <v>6</v>
      </c>
      <c r="H59">
        <f>COUNTIFS(tblAvisos[Equipo],tblEquipos[[#This Row],[Código equipo]],tblAvisos[Estado trabajo],"&lt;&gt;Cerrado",tblAvisos[Condición equipo],"Parado")</f>
        <v>0</v>
      </c>
      <c r="I59" s="871" t="str">
        <f>IFERROR(1/(1/_xlfn.MAXIFS(tblAvisos[Fecha reporte],tblAvisos[Equipo],tblEquipos[[#This Row],[Código equipo]])),"")</f>
        <v/>
      </c>
    </row>
    <row r="60" spans="2:9">
      <c r="B60" s="900" t="s">
        <v>276</v>
      </c>
      <c r="C60" t="s">
        <v>2502</v>
      </c>
      <c r="F60">
        <f>COUNTIFS(tblAvisos[Equipo],tblEquipos[[#This Row],[Código equipo]])</f>
        <v>2</v>
      </c>
      <c r="G60">
        <f>COUNTIFS(tblAvisos[Equipo],tblEquipos[[#This Row],[Código equipo]],tblAvisos[Estado trabajo],"&lt;&gt;Cerrado")</f>
        <v>2</v>
      </c>
      <c r="H60">
        <f>COUNTIFS(tblAvisos[Equipo],tblEquipos[[#This Row],[Código equipo]],tblAvisos[Estado trabajo],"&lt;&gt;Cerrado",tblAvisos[Condición equipo],"Parado")</f>
        <v>1</v>
      </c>
      <c r="I60" s="871" t="str">
        <f>IFERROR(1/(1/_xlfn.MAXIFS(tblAvisos[Fecha reporte],tblAvisos[Equipo],tblEquipos[[#This Row],[Código equipo]])),"")</f>
        <v/>
      </c>
    </row>
    <row r="61" spans="2:9">
      <c r="B61" s="900" t="s">
        <v>269</v>
      </c>
      <c r="C61" t="s">
        <v>2502</v>
      </c>
      <c r="F61">
        <f>COUNTIFS(tblAvisos[Equipo],tblEquipos[[#This Row],[Código equipo]])</f>
        <v>3</v>
      </c>
      <c r="G61">
        <f>COUNTIFS(tblAvisos[Equipo],tblEquipos[[#This Row],[Código equipo]],tblAvisos[Estado trabajo],"&lt;&gt;Cerrado")</f>
        <v>3</v>
      </c>
      <c r="H61">
        <f>COUNTIFS(tblAvisos[Equipo],tblEquipos[[#This Row],[Código equipo]],tblAvisos[Estado trabajo],"&lt;&gt;Cerrado",tblAvisos[Condición equipo],"Parado")</f>
        <v>0</v>
      </c>
      <c r="I61" s="871" t="str">
        <f>IFERROR(1/(1/_xlfn.MAXIFS(tblAvisos[Fecha reporte],tblAvisos[Equipo],tblEquipos[[#This Row],[Código equipo]])),"")</f>
        <v/>
      </c>
    </row>
    <row r="62" spans="2:9">
      <c r="B62" s="900" t="s">
        <v>814</v>
      </c>
      <c r="C62" t="s">
        <v>2502</v>
      </c>
      <c r="F62">
        <f>COUNTIFS(tblAvisos[Equipo],tblEquipos[[#This Row],[Código equipo]])</f>
        <v>1</v>
      </c>
      <c r="G62">
        <f>COUNTIFS(tblAvisos[Equipo],tblEquipos[[#This Row],[Código equipo]],tblAvisos[Estado trabajo],"&lt;&gt;Cerrado")</f>
        <v>1</v>
      </c>
      <c r="H62">
        <f>COUNTIFS(tblAvisos[Equipo],tblEquipos[[#This Row],[Código equipo]],tblAvisos[Estado trabajo],"&lt;&gt;Cerrado",tblAvisos[Condición equipo],"Parado")</f>
        <v>0</v>
      </c>
      <c r="I62" s="871">
        <f>IFERROR(1/(1/_xlfn.MAXIFS(tblAvisos[Fecha reporte],tblAvisos[Equipo],tblEquipos[[#This Row],[Código equipo]])),"")</f>
        <v>45976</v>
      </c>
    </row>
    <row r="63" spans="2:9">
      <c r="B63" s="900" t="s">
        <v>271</v>
      </c>
      <c r="C63" t="s">
        <v>2502</v>
      </c>
      <c r="F63">
        <f>COUNTIFS(tblAvisos[Equipo],tblEquipos[[#This Row],[Código equipo]])</f>
        <v>3</v>
      </c>
      <c r="G63">
        <f>COUNTIFS(tblAvisos[Equipo],tblEquipos[[#This Row],[Código equipo]],tblAvisos[Estado trabajo],"&lt;&gt;Cerrado")</f>
        <v>3</v>
      </c>
      <c r="H63">
        <f>COUNTIFS(tblAvisos[Equipo],tblEquipos[[#This Row],[Código equipo]],tblAvisos[Estado trabajo],"&lt;&gt;Cerrado",tblAvisos[Condición equipo],"Parado")</f>
        <v>2</v>
      </c>
      <c r="I63" s="871">
        <f>IFERROR(1/(1/_xlfn.MAXIFS(tblAvisos[Fecha reporte],tblAvisos[Equipo],tblEquipos[[#This Row],[Código equipo]])),"")</f>
        <v>46051</v>
      </c>
    </row>
    <row r="64" spans="2:9">
      <c r="B64" s="900" t="s">
        <v>289</v>
      </c>
      <c r="C64" t="s">
        <v>2502</v>
      </c>
      <c r="F64">
        <f>COUNTIFS(tblAvisos[Equipo],tblEquipos[[#This Row],[Código equipo]])</f>
        <v>4</v>
      </c>
      <c r="G64">
        <f>COUNTIFS(tblAvisos[Equipo],tblEquipos[[#This Row],[Código equipo]],tblAvisos[Estado trabajo],"&lt;&gt;Cerrado")</f>
        <v>4</v>
      </c>
      <c r="H64">
        <f>COUNTIFS(tblAvisos[Equipo],tblEquipos[[#This Row],[Código equipo]],tblAvisos[Estado trabajo],"&lt;&gt;Cerrado",tblAvisos[Condición equipo],"Parado")</f>
        <v>2</v>
      </c>
      <c r="I64" s="871" t="str">
        <f>IFERROR(1/(1/_xlfn.MAXIFS(tblAvisos[Fecha reporte],tblAvisos[Equipo],tblEquipos[[#This Row],[Código equipo]])),"")</f>
        <v/>
      </c>
    </row>
    <row r="65" spans="2:9">
      <c r="B65" s="900" t="s">
        <v>273</v>
      </c>
      <c r="C65" t="s">
        <v>2502</v>
      </c>
      <c r="F65">
        <f>COUNTIFS(tblAvisos[Equipo],tblEquipos[[#This Row],[Código equipo]])</f>
        <v>1</v>
      </c>
      <c r="G65">
        <f>COUNTIFS(tblAvisos[Equipo],tblEquipos[[#This Row],[Código equipo]],tblAvisos[Estado trabajo],"&lt;&gt;Cerrado")</f>
        <v>1</v>
      </c>
      <c r="H65">
        <f>COUNTIFS(tblAvisos[Equipo],tblEquipos[[#This Row],[Código equipo]],tblAvisos[Estado trabajo],"&lt;&gt;Cerrado",tblAvisos[Condición equipo],"Parado")</f>
        <v>0</v>
      </c>
      <c r="I65" s="871" t="str">
        <f>IFERROR(1/(1/_xlfn.MAXIFS(tblAvisos[Fecha reporte],tblAvisos[Equipo],tblEquipos[[#This Row],[Código equipo]])),"")</f>
        <v/>
      </c>
    </row>
    <row r="66" spans="2:9">
      <c r="B66" s="900" t="s">
        <v>299</v>
      </c>
      <c r="C66" t="s">
        <v>2502</v>
      </c>
      <c r="F66">
        <f>COUNTIFS(tblAvisos[Equipo],tblEquipos[[#This Row],[Código equipo]])</f>
        <v>2</v>
      </c>
      <c r="G66">
        <f>COUNTIFS(tblAvisos[Equipo],tblEquipos[[#This Row],[Código equipo]],tblAvisos[Estado trabajo],"&lt;&gt;Cerrado")</f>
        <v>2</v>
      </c>
      <c r="H66">
        <f>COUNTIFS(tblAvisos[Equipo],tblEquipos[[#This Row],[Código equipo]],tblAvisos[Estado trabajo],"&lt;&gt;Cerrado",tblAvisos[Condición equipo],"Parado")</f>
        <v>2</v>
      </c>
      <c r="I66" s="871" t="str">
        <f>IFERROR(1/(1/_xlfn.MAXIFS(tblAvisos[Fecha reporte],tblAvisos[Equipo],tblEquipos[[#This Row],[Código equipo]])),"")</f>
        <v/>
      </c>
    </row>
    <row r="67" spans="2:9">
      <c r="B67" s="900" t="s">
        <v>264</v>
      </c>
      <c r="C67" t="s">
        <v>2502</v>
      </c>
      <c r="F67">
        <f>COUNTIFS(tblAvisos[Equipo],tblEquipos[[#This Row],[Código equipo]])</f>
        <v>2</v>
      </c>
      <c r="G67">
        <f>COUNTIFS(tblAvisos[Equipo],tblEquipos[[#This Row],[Código equipo]],tblAvisos[Estado trabajo],"&lt;&gt;Cerrado")</f>
        <v>2</v>
      </c>
      <c r="H67">
        <f>COUNTIFS(tblAvisos[Equipo],tblEquipos[[#This Row],[Código equipo]],tblAvisos[Estado trabajo],"&lt;&gt;Cerrado",tblAvisos[Condición equipo],"Parado")</f>
        <v>1</v>
      </c>
      <c r="I67" s="871" t="str">
        <f>IFERROR(1/(1/_xlfn.MAXIFS(tblAvisos[Fecha reporte],tblAvisos[Equipo],tblEquipos[[#This Row],[Código equipo]])),"")</f>
        <v/>
      </c>
    </row>
    <row r="68" spans="2:9">
      <c r="B68" s="900" t="s">
        <v>292</v>
      </c>
      <c r="C68" t="s">
        <v>2502</v>
      </c>
      <c r="F68">
        <f>COUNTIFS(tblAvisos[Equipo],tblEquipos[[#This Row],[Código equipo]])</f>
        <v>1</v>
      </c>
      <c r="G68">
        <f>COUNTIFS(tblAvisos[Equipo],tblEquipos[[#This Row],[Código equipo]],tblAvisos[Estado trabajo],"&lt;&gt;Cerrado")</f>
        <v>1</v>
      </c>
      <c r="H68">
        <f>COUNTIFS(tblAvisos[Equipo],tblEquipos[[#This Row],[Código equipo]],tblAvisos[Estado trabajo],"&lt;&gt;Cerrado",tblAvisos[Condición equipo],"Parado")</f>
        <v>0</v>
      </c>
      <c r="I68" s="871" t="str">
        <f>IFERROR(1/(1/_xlfn.MAXIFS(tblAvisos[Fecha reporte],tblAvisos[Equipo],tblEquipos[[#This Row],[Código equipo]])),"")</f>
        <v/>
      </c>
    </row>
    <row r="69" spans="2:9">
      <c r="B69" s="900" t="s">
        <v>597</v>
      </c>
      <c r="C69" t="s">
        <v>2502</v>
      </c>
      <c r="F69">
        <f>COUNTIFS(tblAvisos[Equipo],tblEquipos[[#This Row],[Código equipo]])</f>
        <v>7</v>
      </c>
      <c r="G69">
        <f>COUNTIFS(tblAvisos[Equipo],tblEquipos[[#This Row],[Código equipo]],tblAvisos[Estado trabajo],"&lt;&gt;Cerrado")</f>
        <v>6</v>
      </c>
      <c r="H69">
        <f>COUNTIFS(tblAvisos[Equipo],tblEquipos[[#This Row],[Código equipo]],tblAvisos[Estado trabajo],"&lt;&gt;Cerrado",tblAvisos[Condición equipo],"Parado")</f>
        <v>1</v>
      </c>
      <c r="I69" s="871">
        <f>IFERROR(1/(1/_xlfn.MAXIFS(tblAvisos[Fecha reporte],tblAvisos[Equipo],tblEquipos[[#This Row],[Código equipo]])),"")</f>
        <v>46022</v>
      </c>
    </row>
    <row r="70" spans="2:9">
      <c r="B70" s="900" t="s">
        <v>599</v>
      </c>
      <c r="C70" t="s">
        <v>2502</v>
      </c>
      <c r="F70">
        <f>COUNTIFS(tblAvisos[Equipo],tblEquipos[[#This Row],[Código equipo]])</f>
        <v>1</v>
      </c>
      <c r="G70">
        <f>COUNTIFS(tblAvisos[Equipo],tblEquipos[[#This Row],[Código equipo]],tblAvisos[Estado trabajo],"&lt;&gt;Cerrado")</f>
        <v>1</v>
      </c>
      <c r="H70">
        <f>COUNTIFS(tblAvisos[Equipo],tblEquipos[[#This Row],[Código equipo]],tblAvisos[Estado trabajo],"&lt;&gt;Cerrado",tblAvisos[Condición equipo],"Parado")</f>
        <v>0</v>
      </c>
      <c r="I70" s="871" t="str">
        <f>IFERROR(1/(1/_xlfn.MAXIFS(tblAvisos[Fecha reporte],tblAvisos[Equipo],tblEquipos[[#This Row],[Código equipo]])),"")</f>
        <v/>
      </c>
    </row>
    <row r="71" spans="2:9">
      <c r="B71" s="900" t="s">
        <v>279</v>
      </c>
      <c r="C71" t="s">
        <v>2502</v>
      </c>
      <c r="F71">
        <f>COUNTIFS(tblAvisos[Equipo],tblEquipos[[#This Row],[Código equipo]])</f>
        <v>1</v>
      </c>
      <c r="G71">
        <f>COUNTIFS(tblAvisos[Equipo],tblEquipos[[#This Row],[Código equipo]],tblAvisos[Estado trabajo],"&lt;&gt;Cerrado")</f>
        <v>1</v>
      </c>
      <c r="H71">
        <f>COUNTIFS(tblAvisos[Equipo],tblEquipos[[#This Row],[Código equipo]],tblAvisos[Estado trabajo],"&lt;&gt;Cerrado",tblAvisos[Condición equipo],"Parado")</f>
        <v>0</v>
      </c>
      <c r="I71" s="871" t="str">
        <f>IFERROR(1/(1/_xlfn.MAXIFS(tblAvisos[Fecha reporte],tblAvisos[Equipo],tblEquipos[[#This Row],[Código equipo]])),"")</f>
        <v/>
      </c>
    </row>
    <row r="72" spans="2:9">
      <c r="B72" s="900" t="s">
        <v>319</v>
      </c>
      <c r="C72" t="s">
        <v>2502</v>
      </c>
      <c r="F72">
        <f>COUNTIFS(tblAvisos[Equipo],tblEquipos[[#This Row],[Código equipo]])</f>
        <v>2</v>
      </c>
      <c r="G72">
        <f>COUNTIFS(tblAvisos[Equipo],tblEquipos[[#This Row],[Código equipo]],tblAvisos[Estado trabajo],"&lt;&gt;Cerrado")</f>
        <v>2</v>
      </c>
      <c r="H72">
        <f>COUNTIFS(tblAvisos[Equipo],tblEquipos[[#This Row],[Código equipo]],tblAvisos[Estado trabajo],"&lt;&gt;Cerrado",tblAvisos[Condición equipo],"Parado")</f>
        <v>0</v>
      </c>
      <c r="I72" s="871" t="str">
        <f>IFERROR(1/(1/_xlfn.MAXIFS(tblAvisos[Fecha reporte],tblAvisos[Equipo],tblEquipos[[#This Row],[Código equipo]])),"")</f>
        <v/>
      </c>
    </row>
    <row r="73" spans="2:9">
      <c r="B73" s="900" t="s">
        <v>406</v>
      </c>
      <c r="C73" t="s">
        <v>2502</v>
      </c>
      <c r="F73">
        <f>COUNTIFS(tblAvisos[Equipo],tblEquipos[[#This Row],[Código equipo]])</f>
        <v>4</v>
      </c>
      <c r="G73">
        <f>COUNTIFS(tblAvisos[Equipo],tblEquipos[[#This Row],[Código equipo]],tblAvisos[Estado trabajo],"&lt;&gt;Cerrado")</f>
        <v>4</v>
      </c>
      <c r="H73">
        <f>COUNTIFS(tblAvisos[Equipo],tblEquipos[[#This Row],[Código equipo]],tblAvisos[Estado trabajo],"&lt;&gt;Cerrado",tblAvisos[Condición equipo],"Parado")</f>
        <v>1</v>
      </c>
      <c r="I73" s="871">
        <f>IFERROR(1/(1/_xlfn.MAXIFS(tblAvisos[Fecha reporte],tblAvisos[Equipo],tblEquipos[[#This Row],[Código equipo]])),"")</f>
        <v>46045</v>
      </c>
    </row>
    <row r="74" spans="2:9">
      <c r="B74" s="900" t="s">
        <v>294</v>
      </c>
      <c r="C74" t="s">
        <v>2502</v>
      </c>
      <c r="F74">
        <f>COUNTIFS(tblAvisos[Equipo],tblEquipos[[#This Row],[Código equipo]])</f>
        <v>5</v>
      </c>
      <c r="G74">
        <f>COUNTIFS(tblAvisos[Equipo],tblEquipos[[#This Row],[Código equipo]],tblAvisos[Estado trabajo],"&lt;&gt;Cerrado")</f>
        <v>5</v>
      </c>
      <c r="H74">
        <f>COUNTIFS(tblAvisos[Equipo],tblEquipos[[#This Row],[Código equipo]],tblAvisos[Estado trabajo],"&lt;&gt;Cerrado",tblAvisos[Condición equipo],"Parado")</f>
        <v>1</v>
      </c>
      <c r="I74" s="871" t="str">
        <f>IFERROR(1/(1/_xlfn.MAXIFS(tblAvisos[Fecha reporte],tblAvisos[Equipo],tblEquipos[[#This Row],[Código equipo]])),"")</f>
        <v/>
      </c>
    </row>
    <row r="75" spans="2:9">
      <c r="B75" s="900" t="s">
        <v>301</v>
      </c>
      <c r="C75" t="s">
        <v>2502</v>
      </c>
      <c r="F75">
        <f>COUNTIFS(tblAvisos[Equipo],tblEquipos[[#This Row],[Código equipo]])</f>
        <v>3</v>
      </c>
      <c r="G75">
        <f>COUNTIFS(tblAvisos[Equipo],tblEquipos[[#This Row],[Código equipo]],tblAvisos[Estado trabajo],"&lt;&gt;Cerrado")</f>
        <v>3</v>
      </c>
      <c r="H75">
        <f>COUNTIFS(tblAvisos[Equipo],tblEquipos[[#This Row],[Código equipo]],tblAvisos[Estado trabajo],"&lt;&gt;Cerrado",tblAvisos[Condición equipo],"Parado")</f>
        <v>0</v>
      </c>
      <c r="I75" s="871" t="str">
        <f>IFERROR(1/(1/_xlfn.MAXIFS(tblAvisos[Fecha reporte],tblAvisos[Equipo],tblEquipos[[#This Row],[Código equipo]])),"")</f>
        <v/>
      </c>
    </row>
    <row r="76" spans="2:9">
      <c r="B76" s="900" t="s">
        <v>266</v>
      </c>
      <c r="C76" t="s">
        <v>2502</v>
      </c>
      <c r="F76">
        <f>COUNTIFS(tblAvisos[Equipo],tblEquipos[[#This Row],[Código equipo]])</f>
        <v>4</v>
      </c>
      <c r="G76">
        <f>COUNTIFS(tblAvisos[Equipo],tblEquipos[[#This Row],[Código equipo]],tblAvisos[Estado trabajo],"&lt;&gt;Cerrado")</f>
        <v>4</v>
      </c>
      <c r="H76">
        <f>COUNTIFS(tblAvisos[Equipo],tblEquipos[[#This Row],[Código equipo]],tblAvisos[Estado trabajo],"&lt;&gt;Cerrado",tblAvisos[Condición equipo],"Parado")</f>
        <v>0</v>
      </c>
      <c r="I76" s="871">
        <f>IFERROR(1/(1/_xlfn.MAXIFS(tblAvisos[Fecha reporte],tblAvisos[Equipo],tblEquipos[[#This Row],[Código equipo]])),"")</f>
        <v>45981</v>
      </c>
    </row>
    <row r="77" spans="2:9">
      <c r="B77" s="900" t="s">
        <v>298</v>
      </c>
      <c r="C77" t="s">
        <v>2502</v>
      </c>
      <c r="F77">
        <f>COUNTIFS(tblAvisos[Equipo],tblEquipos[[#This Row],[Código equipo]])</f>
        <v>1</v>
      </c>
      <c r="G77">
        <f>COUNTIFS(tblAvisos[Equipo],tblEquipos[[#This Row],[Código equipo]],tblAvisos[Estado trabajo],"&lt;&gt;Cerrado")</f>
        <v>1</v>
      </c>
      <c r="H77">
        <f>COUNTIFS(tblAvisos[Equipo],tblEquipos[[#This Row],[Código equipo]],tblAvisos[Estado trabajo],"&lt;&gt;Cerrado",tblAvisos[Condición equipo],"Parado")</f>
        <v>0</v>
      </c>
      <c r="I77" s="871" t="str">
        <f>IFERROR(1/(1/_xlfn.MAXIFS(tblAvisos[Fecha reporte],tblAvisos[Equipo],tblEquipos[[#This Row],[Código equipo]])),"")</f>
        <v/>
      </c>
    </row>
    <row r="78" spans="2:9">
      <c r="B78" s="900" t="s">
        <v>1067</v>
      </c>
      <c r="C78" t="s">
        <v>2502</v>
      </c>
      <c r="F78">
        <f>COUNTIFS(tblAvisos[Equipo],tblEquipos[[#This Row],[Código equipo]])</f>
        <v>2</v>
      </c>
      <c r="G78">
        <f>COUNTIFS(tblAvisos[Equipo],tblEquipos[[#This Row],[Código equipo]],tblAvisos[Estado trabajo],"&lt;&gt;Cerrado")</f>
        <v>2</v>
      </c>
      <c r="H78">
        <f>COUNTIFS(tblAvisos[Equipo],tblEquipos[[#This Row],[Código equipo]],tblAvisos[Estado trabajo],"&lt;&gt;Cerrado",tblAvisos[Condición equipo],"Parado")</f>
        <v>1</v>
      </c>
      <c r="I78" s="871">
        <f>IFERROR(1/(1/_xlfn.MAXIFS(tblAvisos[Fecha reporte],tblAvisos[Equipo],tblEquipos[[#This Row],[Código equipo]])),"")</f>
        <v>46043</v>
      </c>
    </row>
    <row r="79" spans="2:9">
      <c r="B79" s="900" t="s">
        <v>1130</v>
      </c>
      <c r="C79" t="s">
        <v>2502</v>
      </c>
      <c r="F79">
        <f>COUNTIFS(tblAvisos[Equipo],tblEquipos[[#This Row],[Código equipo]])</f>
        <v>1</v>
      </c>
      <c r="G79">
        <f>COUNTIFS(tblAvisos[Equipo],tblEquipos[[#This Row],[Código equipo]],tblAvisos[Estado trabajo],"&lt;&gt;Cerrado")</f>
        <v>1</v>
      </c>
      <c r="H79">
        <f>COUNTIFS(tblAvisos[Equipo],tblEquipos[[#This Row],[Código equipo]],tblAvisos[Estado trabajo],"&lt;&gt;Cerrado",tblAvisos[Condición equipo],"Parado")</f>
        <v>0</v>
      </c>
      <c r="I79" s="871" t="str">
        <f>IFERROR(1/(1/_xlfn.MAXIFS(tblAvisos[Fecha reporte],tblAvisos[Equipo],tblEquipos[[#This Row],[Código equipo]])),"")</f>
        <v/>
      </c>
    </row>
    <row r="80" spans="2:9">
      <c r="B80" s="900" t="s">
        <v>916</v>
      </c>
      <c r="C80" t="s">
        <v>2502</v>
      </c>
      <c r="F80">
        <f>COUNTIFS(tblAvisos[Equipo],tblEquipos[[#This Row],[Código equipo]])</f>
        <v>1</v>
      </c>
      <c r="G80">
        <f>COUNTIFS(tblAvisos[Equipo],tblEquipos[[#This Row],[Código equipo]],tblAvisos[Estado trabajo],"&lt;&gt;Cerrado")</f>
        <v>1</v>
      </c>
      <c r="H80">
        <f>COUNTIFS(tblAvisos[Equipo],tblEquipos[[#This Row],[Código equipo]],tblAvisos[Estado trabajo],"&lt;&gt;Cerrado",tblAvisos[Condición equipo],"Parado")</f>
        <v>1</v>
      </c>
      <c r="I80" s="871" t="str">
        <f>IFERROR(1/(1/_xlfn.MAXIFS(tblAvisos[Fecha reporte],tblAvisos[Equipo],tblEquipos[[#This Row],[Código equipo]])),"")</f>
        <v/>
      </c>
    </row>
    <row r="81" spans="2:9">
      <c r="B81" s="900" t="s">
        <v>1025</v>
      </c>
      <c r="C81" t="s">
        <v>2502</v>
      </c>
      <c r="F81">
        <f>COUNTIFS(tblAvisos[Equipo],tblEquipos[[#This Row],[Código equipo]])</f>
        <v>1</v>
      </c>
      <c r="G81">
        <f>COUNTIFS(tblAvisos[Equipo],tblEquipos[[#This Row],[Código equipo]],tblAvisos[Estado trabajo],"&lt;&gt;Cerrado")</f>
        <v>1</v>
      </c>
      <c r="H81">
        <f>COUNTIFS(tblAvisos[Equipo],tblEquipos[[#This Row],[Código equipo]],tblAvisos[Estado trabajo],"&lt;&gt;Cerrado",tblAvisos[Condición equipo],"Parado")</f>
        <v>0</v>
      </c>
      <c r="I81" s="871">
        <f>IFERROR(1/(1/_xlfn.MAXIFS(tblAvisos[Fecha reporte],tblAvisos[Equipo],tblEquipos[[#This Row],[Código equipo]])),"")</f>
        <v>46357</v>
      </c>
    </row>
    <row r="82" spans="2:9">
      <c r="B82" s="900" t="s">
        <v>832</v>
      </c>
      <c r="C82" t="s">
        <v>2502</v>
      </c>
      <c r="F82">
        <f>COUNTIFS(tblAvisos[Equipo],tblEquipos[[#This Row],[Código equipo]])</f>
        <v>2</v>
      </c>
      <c r="G82">
        <f>COUNTIFS(tblAvisos[Equipo],tblEquipos[[#This Row],[Código equipo]],tblAvisos[Estado trabajo],"&lt;&gt;Cerrado")</f>
        <v>2</v>
      </c>
      <c r="H82">
        <f>COUNTIFS(tblAvisos[Equipo],tblEquipos[[#This Row],[Código equipo]],tblAvisos[Estado trabajo],"&lt;&gt;Cerrado",tblAvisos[Condición equipo],"Parado")</f>
        <v>0</v>
      </c>
      <c r="I82" s="871">
        <f>IFERROR(1/(1/_xlfn.MAXIFS(tblAvisos[Fecha reporte],tblAvisos[Equipo],tblEquipos[[#This Row],[Código equipo]])),"")</f>
        <v>45981</v>
      </c>
    </row>
    <row r="83" spans="2:9">
      <c r="B83" s="900" t="s">
        <v>893</v>
      </c>
      <c r="C83" t="s">
        <v>2502</v>
      </c>
      <c r="F83">
        <f>COUNTIFS(tblAvisos[Equipo],tblEquipos[[#This Row],[Código equipo]])</f>
        <v>3</v>
      </c>
      <c r="G83">
        <f>COUNTIFS(tblAvisos[Equipo],tblEquipos[[#This Row],[Código equipo]],tblAvisos[Estado trabajo],"&lt;&gt;Cerrado")</f>
        <v>3</v>
      </c>
      <c r="H83">
        <f>COUNTIFS(tblAvisos[Equipo],tblEquipos[[#This Row],[Código equipo]],tblAvisos[Estado trabajo],"&lt;&gt;Cerrado",tblAvisos[Condición equipo],"Parado")</f>
        <v>2</v>
      </c>
      <c r="I83" s="871">
        <f>IFERROR(1/(1/_xlfn.MAXIFS(tblAvisos[Fecha reporte],tblAvisos[Equipo],tblEquipos[[#This Row],[Código equipo]])),"")</f>
        <v>46015</v>
      </c>
    </row>
    <row r="84" spans="2:9">
      <c r="B84" s="900" t="s">
        <v>845</v>
      </c>
      <c r="C84" t="s">
        <v>2502</v>
      </c>
      <c r="F84">
        <f>COUNTIFS(tblAvisos[Equipo],tblEquipos[[#This Row],[Código equipo]])</f>
        <v>1</v>
      </c>
      <c r="G84">
        <f>COUNTIFS(tblAvisos[Equipo],tblEquipos[[#This Row],[Código equipo]],tblAvisos[Estado trabajo],"&lt;&gt;Cerrado")</f>
        <v>1</v>
      </c>
      <c r="H84">
        <f>COUNTIFS(tblAvisos[Equipo],tblEquipos[[#This Row],[Código equipo]],tblAvisos[Estado trabajo],"&lt;&gt;Cerrado",tblAvisos[Condición equipo],"Parado")</f>
        <v>0</v>
      </c>
      <c r="I84" s="871">
        <f>IFERROR(1/(1/_xlfn.MAXIFS(tblAvisos[Fecha reporte],tblAvisos[Equipo],tblEquipos[[#This Row],[Código equipo]])),"")</f>
        <v>45983</v>
      </c>
    </row>
    <row r="85" spans="2:9">
      <c r="B85" s="900" t="s">
        <v>900</v>
      </c>
      <c r="C85" t="s">
        <v>2502</v>
      </c>
      <c r="F85">
        <f>COUNTIFS(tblAvisos[Equipo],tblEquipos[[#This Row],[Código equipo]])</f>
        <v>4</v>
      </c>
      <c r="G85">
        <f>COUNTIFS(tblAvisos[Equipo],tblEquipos[[#This Row],[Código equipo]],tblAvisos[Estado trabajo],"&lt;&gt;Cerrado")</f>
        <v>4</v>
      </c>
      <c r="H85">
        <f>COUNTIFS(tblAvisos[Equipo],tblEquipos[[#This Row],[Código equipo]],tblAvisos[Estado trabajo],"&lt;&gt;Cerrado",tblAvisos[Condición equipo],"Parado")</f>
        <v>1</v>
      </c>
      <c r="I85" s="871">
        <f>IFERROR(1/(1/_xlfn.MAXIFS(tblAvisos[Fecha reporte],tblAvisos[Equipo],tblEquipos[[#This Row],[Código equipo]])),"")</f>
        <v>45996</v>
      </c>
    </row>
    <row r="86" spans="2:9">
      <c r="B86" s="900" t="s">
        <v>2859</v>
      </c>
      <c r="C86" t="s">
        <v>2502</v>
      </c>
      <c r="F86">
        <f>COUNTIFS(tblAvisos[Equipo],tblEquipos[[#This Row],[Código equipo]])</f>
        <v>1</v>
      </c>
      <c r="G86">
        <f>COUNTIFS(tblAvisos[Equipo],tblEquipos[[#This Row],[Código equipo]],tblAvisos[Estado trabajo],"&lt;&gt;Cerrado")</f>
        <v>1</v>
      </c>
      <c r="H86">
        <f>COUNTIFS(tblAvisos[Equipo],tblEquipos[[#This Row],[Código equipo]],tblAvisos[Estado trabajo],"&lt;&gt;Cerrado",tblAvisos[Condición equipo],"Parado")</f>
        <v>0</v>
      </c>
      <c r="I86" s="871" t="str">
        <f>IFERROR(1/(1/_xlfn.MAXIFS(tblAvisos[Fecha reporte],tblAvisos[Equipo],tblEquipos[[#This Row],[Código equipo]])),"")</f>
        <v/>
      </c>
    </row>
    <row r="87" spans="2:9">
      <c r="B87" s="900" t="s">
        <v>843</v>
      </c>
      <c r="C87" t="s">
        <v>2502</v>
      </c>
      <c r="F87">
        <f>COUNTIFS(tblAvisos[Equipo],tblEquipos[[#This Row],[Código equipo]])</f>
        <v>1</v>
      </c>
      <c r="G87">
        <f>COUNTIFS(tblAvisos[Equipo],tblEquipos[[#This Row],[Código equipo]],tblAvisos[Estado trabajo],"&lt;&gt;Cerrado")</f>
        <v>1</v>
      </c>
      <c r="H87">
        <f>COUNTIFS(tblAvisos[Equipo],tblEquipos[[#This Row],[Código equipo]],tblAvisos[Estado trabajo],"&lt;&gt;Cerrado",tblAvisos[Condición equipo],"Parado")</f>
        <v>0</v>
      </c>
      <c r="I87" s="871">
        <f>IFERROR(1/(1/_xlfn.MAXIFS(tblAvisos[Fecha reporte],tblAvisos[Equipo],tblEquipos[[#This Row],[Código equipo]])),"")</f>
        <v>45982</v>
      </c>
    </row>
    <row r="88" spans="2:9">
      <c r="B88" s="900" t="s">
        <v>855</v>
      </c>
      <c r="C88" t="s">
        <v>2502</v>
      </c>
      <c r="F88">
        <f>COUNTIFS(tblAvisos[Equipo],tblEquipos[[#This Row],[Código equipo]])</f>
        <v>4</v>
      </c>
      <c r="G88">
        <f>COUNTIFS(tblAvisos[Equipo],tblEquipos[[#This Row],[Código equipo]],tblAvisos[Estado trabajo],"&lt;&gt;Cerrado")</f>
        <v>4</v>
      </c>
      <c r="H88">
        <f>COUNTIFS(tblAvisos[Equipo],tblEquipos[[#This Row],[Código equipo]],tblAvisos[Estado trabajo],"&lt;&gt;Cerrado",tblAvisos[Condición equipo],"Parado")</f>
        <v>1</v>
      </c>
      <c r="I88" s="871">
        <f>IFERROR(1/(1/_xlfn.MAXIFS(tblAvisos[Fecha reporte],tblAvisos[Equipo],tblEquipos[[#This Row],[Código equipo]])),"")</f>
        <v>46066</v>
      </c>
    </row>
    <row r="89" spans="2:9">
      <c r="B89" s="900" t="s">
        <v>834</v>
      </c>
      <c r="C89" t="s">
        <v>2502</v>
      </c>
      <c r="F89">
        <f>COUNTIFS(tblAvisos[Equipo],tblEquipos[[#This Row],[Código equipo]])</f>
        <v>1</v>
      </c>
      <c r="G89">
        <f>COUNTIFS(tblAvisos[Equipo],tblEquipos[[#This Row],[Código equipo]],tblAvisos[Estado trabajo],"&lt;&gt;Cerrado")</f>
        <v>1</v>
      </c>
      <c r="H89">
        <f>COUNTIFS(tblAvisos[Equipo],tblEquipos[[#This Row],[Código equipo]],tblAvisos[Estado trabajo],"&lt;&gt;Cerrado",tblAvisos[Condición equipo],"Parado")</f>
        <v>0</v>
      </c>
      <c r="I89" s="871">
        <f>IFERROR(1/(1/_xlfn.MAXIFS(tblAvisos[Fecha reporte],tblAvisos[Equipo],tblEquipos[[#This Row],[Código equipo]])),"")</f>
        <v>45981</v>
      </c>
    </row>
    <row r="90" spans="2:9">
      <c r="B90" s="900" t="s">
        <v>1145</v>
      </c>
      <c r="C90" t="s">
        <v>2502</v>
      </c>
      <c r="F90">
        <f>COUNTIFS(tblAvisos[Equipo],tblEquipos[[#This Row],[Código equipo]])</f>
        <v>1</v>
      </c>
      <c r="G90">
        <f>COUNTIFS(tblAvisos[Equipo],tblEquipos[[#This Row],[Código equipo]],tblAvisos[Estado trabajo],"&lt;&gt;Cerrado")</f>
        <v>1</v>
      </c>
      <c r="H90">
        <f>COUNTIFS(tblAvisos[Equipo],tblEquipos[[#This Row],[Código equipo]],tblAvisos[Estado trabajo],"&lt;&gt;Cerrado",tblAvisos[Condición equipo],"Parado")</f>
        <v>0</v>
      </c>
      <c r="I90" s="871" t="str">
        <f>IFERROR(1/(1/_xlfn.MAXIFS(tblAvisos[Fecha reporte],tblAvisos[Equipo],tblEquipos[[#This Row],[Código equipo]])),"")</f>
        <v/>
      </c>
    </row>
    <row r="91" spans="2:9">
      <c r="B91" s="900" t="s">
        <v>958</v>
      </c>
      <c r="C91" t="s">
        <v>2502</v>
      </c>
      <c r="F91">
        <f>COUNTIFS(tblAvisos[Equipo],tblEquipos[[#This Row],[Código equipo]])</f>
        <v>4</v>
      </c>
      <c r="G91">
        <f>COUNTIFS(tblAvisos[Equipo],tblEquipos[[#This Row],[Código equipo]],tblAvisos[Estado trabajo],"&lt;&gt;Cerrado")</f>
        <v>4</v>
      </c>
      <c r="H91">
        <f>COUNTIFS(tblAvisos[Equipo],tblEquipos[[#This Row],[Código equipo]],tblAvisos[Estado trabajo],"&lt;&gt;Cerrado",tblAvisos[Condición equipo],"Parado")</f>
        <v>1</v>
      </c>
      <c r="I91" s="871">
        <f>IFERROR(1/(1/_xlfn.MAXIFS(tblAvisos[Fecha reporte],tblAvisos[Equipo],tblEquipos[[#This Row],[Código equipo]])),"")</f>
        <v>46053</v>
      </c>
    </row>
    <row r="92" spans="2:9">
      <c r="B92" s="900" t="s">
        <v>1011</v>
      </c>
      <c r="C92" t="s">
        <v>2502</v>
      </c>
      <c r="F92">
        <f>COUNTIFS(tblAvisos[Equipo],tblEquipos[[#This Row],[Código equipo]])</f>
        <v>2</v>
      </c>
      <c r="G92">
        <f>COUNTIFS(tblAvisos[Equipo],tblEquipos[[#This Row],[Código equipo]],tblAvisos[Estado trabajo],"&lt;&gt;Cerrado")</f>
        <v>2</v>
      </c>
      <c r="H92">
        <f>COUNTIFS(tblAvisos[Equipo],tblEquipos[[#This Row],[Código equipo]],tblAvisos[Estado trabajo],"&lt;&gt;Cerrado",tblAvisos[Condición equipo],"Parado")</f>
        <v>1</v>
      </c>
      <c r="I92" s="871">
        <f>IFERROR(1/(1/_xlfn.MAXIFS(tblAvisos[Fecha reporte],tblAvisos[Equipo],tblEquipos[[#This Row],[Código equipo]])),"")</f>
        <v>46296</v>
      </c>
    </row>
    <row r="93" spans="2:9">
      <c r="B93" s="900" t="s">
        <v>1072</v>
      </c>
      <c r="C93" t="s">
        <v>2502</v>
      </c>
      <c r="F93">
        <f>COUNTIFS(tblAvisos[Equipo],tblEquipos[[#This Row],[Código equipo]])</f>
        <v>1</v>
      </c>
      <c r="G93">
        <f>COUNTIFS(tblAvisos[Equipo],tblEquipos[[#This Row],[Código equipo]],tblAvisos[Estado trabajo],"&lt;&gt;Cerrado")</f>
        <v>1</v>
      </c>
      <c r="H93">
        <f>COUNTIFS(tblAvisos[Equipo],tblEquipos[[#This Row],[Código equipo]],tblAvisos[Estado trabajo],"&lt;&gt;Cerrado",tblAvisos[Condición equipo],"Parado")</f>
        <v>1</v>
      </c>
      <c r="I93" s="871" t="str">
        <f>IFERROR(1/(1/_xlfn.MAXIFS(tblAvisos[Fecha reporte],tblAvisos[Equipo],tblEquipos[[#This Row],[Código equipo]])),"")</f>
        <v/>
      </c>
    </row>
    <row r="94" spans="2:9">
      <c r="B94" s="900" t="s">
        <v>907</v>
      </c>
      <c r="C94" t="s">
        <v>2502</v>
      </c>
      <c r="F94">
        <f>COUNTIFS(tblAvisos[Equipo],tblEquipos[[#This Row],[Código equipo]])</f>
        <v>1</v>
      </c>
      <c r="G94">
        <f>COUNTIFS(tblAvisos[Equipo],tblEquipos[[#This Row],[Código equipo]],tblAvisos[Estado trabajo],"&lt;&gt;Cerrado")</f>
        <v>1</v>
      </c>
      <c r="H94">
        <f>COUNTIFS(tblAvisos[Equipo],tblEquipos[[#This Row],[Código equipo]],tblAvisos[Estado trabajo],"&lt;&gt;Cerrado",tblAvisos[Condición equipo],"Parado")</f>
        <v>1</v>
      </c>
      <c r="I94" s="871" t="str">
        <f>IFERROR(1/(1/_xlfn.MAXIFS(tblAvisos[Fecha reporte],tblAvisos[Equipo],tblEquipos[[#This Row],[Código equipo]])),"")</f>
        <v/>
      </c>
    </row>
    <row r="95" spans="2:9">
      <c r="B95" s="900" t="s">
        <v>933</v>
      </c>
      <c r="C95" t="s">
        <v>2502</v>
      </c>
      <c r="F95">
        <f>COUNTIFS(tblAvisos[Equipo],tblEquipos[[#This Row],[Código equipo]])</f>
        <v>1</v>
      </c>
      <c r="G95">
        <f>COUNTIFS(tblAvisos[Equipo],tblEquipos[[#This Row],[Código equipo]],tblAvisos[Estado trabajo],"&lt;&gt;Cerrado")</f>
        <v>1</v>
      </c>
      <c r="H95">
        <f>COUNTIFS(tblAvisos[Equipo],tblEquipos[[#This Row],[Código equipo]],tblAvisos[Estado trabajo],"&lt;&gt;Cerrado",tblAvisos[Condición equipo],"Parado")</f>
        <v>0</v>
      </c>
      <c r="I95" s="871" t="str">
        <f>IFERROR(1/(1/_xlfn.MAXIFS(tblAvisos[Fecha reporte],tblAvisos[Equipo],tblEquipos[[#This Row],[Código equipo]])),"")</f>
        <v/>
      </c>
    </row>
    <row r="96" spans="2:9">
      <c r="B96" s="900" t="s">
        <v>863</v>
      </c>
      <c r="C96" t="s">
        <v>2502</v>
      </c>
      <c r="F96">
        <f>COUNTIFS(tblAvisos[Equipo],tblEquipos[[#This Row],[Código equipo]])</f>
        <v>4</v>
      </c>
      <c r="G96">
        <f>COUNTIFS(tblAvisos[Equipo],tblEquipos[[#This Row],[Código equipo]],tblAvisos[Estado trabajo],"&lt;&gt;Cerrado")</f>
        <v>4</v>
      </c>
      <c r="H96">
        <f>COUNTIFS(tblAvisos[Equipo],tblEquipos[[#This Row],[Código equipo]],tblAvisos[Estado trabajo],"&lt;&gt;Cerrado",tblAvisos[Condición equipo],"Parado")</f>
        <v>2</v>
      </c>
      <c r="I96" s="871" t="str">
        <f>IFERROR(1/(1/_xlfn.MAXIFS(tblAvisos[Fecha reporte],tblAvisos[Equipo],tblEquipos[[#This Row],[Código equipo]])),"")</f>
        <v/>
      </c>
    </row>
    <row r="97" spans="2:9">
      <c r="B97" s="900" t="s">
        <v>851</v>
      </c>
      <c r="C97" t="s">
        <v>2502</v>
      </c>
      <c r="F97">
        <f>COUNTIFS(tblAvisos[Equipo],tblEquipos[[#This Row],[Código equipo]])</f>
        <v>1</v>
      </c>
      <c r="G97">
        <f>COUNTIFS(tblAvisos[Equipo],tblEquipos[[#This Row],[Código equipo]],tblAvisos[Estado trabajo],"&lt;&gt;Cerrado")</f>
        <v>1</v>
      </c>
      <c r="H97">
        <f>COUNTIFS(tblAvisos[Equipo],tblEquipos[[#This Row],[Código equipo]],tblAvisos[Estado trabajo],"&lt;&gt;Cerrado",tblAvisos[Condición equipo],"Parado")</f>
        <v>0</v>
      </c>
      <c r="I97" s="871">
        <f>IFERROR(1/(1/_xlfn.MAXIFS(tblAvisos[Fecha reporte],tblAvisos[Equipo],tblEquipos[[#This Row],[Código equipo]])),"")</f>
        <v>45985</v>
      </c>
    </row>
    <row r="98" spans="2:9">
      <c r="B98" s="900" t="s">
        <v>1031</v>
      </c>
      <c r="C98" t="s">
        <v>2502</v>
      </c>
      <c r="F98">
        <f>COUNTIFS(tblAvisos[Equipo],tblEquipos[[#This Row],[Código equipo]])</f>
        <v>1</v>
      </c>
      <c r="G98">
        <f>COUNTIFS(tblAvisos[Equipo],tblEquipos[[#This Row],[Código equipo]],tblAvisos[Estado trabajo],"&lt;&gt;Cerrado")</f>
        <v>1</v>
      </c>
      <c r="H98">
        <f>COUNTIFS(tblAvisos[Equipo],tblEquipos[[#This Row],[Código equipo]],tblAvisos[Estado trabajo],"&lt;&gt;Cerrado",tblAvisos[Condición equipo],"Parado")</f>
        <v>0</v>
      </c>
      <c r="I98" s="871" t="str">
        <f>IFERROR(1/(1/_xlfn.MAXIFS(tblAvisos[Fecha reporte],tblAvisos[Equipo],tblEquipos[[#This Row],[Código equipo]])),"")</f>
        <v/>
      </c>
    </row>
    <row r="99" spans="2:9">
      <c r="B99" s="900" t="s">
        <v>1091</v>
      </c>
      <c r="C99" t="s">
        <v>2502</v>
      </c>
      <c r="F99">
        <f>COUNTIFS(tblAvisos[Equipo],tblEquipos[[#This Row],[Código equipo]])</f>
        <v>1</v>
      </c>
      <c r="G99">
        <f>COUNTIFS(tblAvisos[Equipo],tblEquipos[[#This Row],[Código equipo]],tblAvisos[Estado trabajo],"&lt;&gt;Cerrado")</f>
        <v>1</v>
      </c>
      <c r="H99">
        <f>COUNTIFS(tblAvisos[Equipo],tblEquipos[[#This Row],[Código equipo]],tblAvisos[Estado trabajo],"&lt;&gt;Cerrado",tblAvisos[Condición equipo],"Parado")</f>
        <v>1</v>
      </c>
      <c r="I99" s="871" t="str">
        <f>IFERROR(1/(1/_xlfn.MAXIFS(tblAvisos[Fecha reporte],tblAvisos[Equipo],tblEquipos[[#This Row],[Código equipo]])),"")</f>
        <v/>
      </c>
    </row>
    <row r="100" spans="2:9">
      <c r="B100" s="900" t="s">
        <v>962</v>
      </c>
      <c r="C100" t="s">
        <v>2502</v>
      </c>
      <c r="F100">
        <f>COUNTIFS(tblAvisos[Equipo],tblEquipos[[#This Row],[Código equipo]])</f>
        <v>1</v>
      </c>
      <c r="G100">
        <f>COUNTIFS(tblAvisos[Equipo],tblEquipos[[#This Row],[Código equipo]],tblAvisos[Estado trabajo],"&lt;&gt;Cerrado")</f>
        <v>1</v>
      </c>
      <c r="H100">
        <f>COUNTIFS(tblAvisos[Equipo],tblEquipos[[#This Row],[Código equipo]],tblAvisos[Estado trabajo],"&lt;&gt;Cerrado",tblAvisos[Condición equipo],"Parado")</f>
        <v>1</v>
      </c>
      <c r="I100" s="871" t="str">
        <f>IFERROR(1/(1/_xlfn.MAXIFS(tblAvisos[Fecha reporte],tblAvisos[Equipo],tblEquipos[[#This Row],[Código equipo]])),"")</f>
        <v/>
      </c>
    </row>
    <row r="101" spans="2:9">
      <c r="B101" s="900" t="s">
        <v>1018</v>
      </c>
      <c r="C101" t="s">
        <v>2502</v>
      </c>
      <c r="F101">
        <f>COUNTIFS(tblAvisos[Equipo],tblEquipos[[#This Row],[Código equipo]])</f>
        <v>1</v>
      </c>
      <c r="G101">
        <f>COUNTIFS(tblAvisos[Equipo],tblEquipos[[#This Row],[Código equipo]],tblAvisos[Estado trabajo],"&lt;&gt;Cerrado")</f>
        <v>1</v>
      </c>
      <c r="H101">
        <f>COUNTIFS(tblAvisos[Equipo],tblEquipos[[#This Row],[Código equipo]],tblAvisos[Estado trabajo],"&lt;&gt;Cerrado",tblAvisos[Condición equipo],"Parado")</f>
        <v>0</v>
      </c>
      <c r="I101" s="871" t="str">
        <f>IFERROR(1/(1/_xlfn.MAXIFS(tblAvisos[Fecha reporte],tblAvisos[Equipo],tblEquipos[[#This Row],[Código equipo]])),"")</f>
        <v/>
      </c>
    </row>
    <row r="102" spans="2:9">
      <c r="B102" s="900" t="s">
        <v>367</v>
      </c>
      <c r="C102" t="s">
        <v>2502</v>
      </c>
      <c r="F102">
        <f>COUNTIFS(tblAvisos[Equipo],tblEquipos[[#This Row],[Código equipo]])</f>
        <v>1</v>
      </c>
      <c r="G102">
        <f>COUNTIFS(tblAvisos[Equipo],tblEquipos[[#This Row],[Código equipo]],tblAvisos[Estado trabajo],"&lt;&gt;Cerrado")</f>
        <v>1</v>
      </c>
      <c r="H102">
        <f>COUNTIFS(tblAvisos[Equipo],tblEquipos[[#This Row],[Código equipo]],tblAvisos[Estado trabajo],"&lt;&gt;Cerrado",tblAvisos[Condición equipo],"Parado")</f>
        <v>1</v>
      </c>
      <c r="I102" s="871" t="str">
        <f>IFERROR(1/(1/_xlfn.MAXIFS(tblAvisos[Fecha reporte],tblAvisos[Equipo],tblEquipos[[#This Row],[Código equipo]])),"")</f>
        <v/>
      </c>
    </row>
    <row r="103" spans="2:9">
      <c r="B103" s="900" t="s">
        <v>368</v>
      </c>
      <c r="C103" t="s">
        <v>2502</v>
      </c>
      <c r="F103">
        <f>COUNTIFS(tblAvisos[Equipo],tblEquipos[[#This Row],[Código equipo]])</f>
        <v>1</v>
      </c>
      <c r="G103">
        <f>COUNTIFS(tblAvisos[Equipo],tblEquipos[[#This Row],[Código equipo]],tblAvisos[Estado trabajo],"&lt;&gt;Cerrado")</f>
        <v>1</v>
      </c>
      <c r="H103">
        <f>COUNTIFS(tblAvisos[Equipo],tblEquipos[[#This Row],[Código equipo]],tblAvisos[Estado trabajo],"&lt;&gt;Cerrado",tblAvisos[Condición equipo],"Parado")</f>
        <v>0</v>
      </c>
      <c r="I103" s="871" t="str">
        <f>IFERROR(1/(1/_xlfn.MAXIFS(tblAvisos[Fecha reporte],tblAvisos[Equipo],tblEquipos[[#This Row],[Código equipo]])),"")</f>
        <v/>
      </c>
    </row>
    <row r="104" spans="2:9">
      <c r="B104" s="900" t="s">
        <v>369</v>
      </c>
      <c r="C104" t="s">
        <v>2502</v>
      </c>
      <c r="F104">
        <f>COUNTIFS(tblAvisos[Equipo],tblEquipos[[#This Row],[Código equipo]])</f>
        <v>2</v>
      </c>
      <c r="G104">
        <f>COUNTIFS(tblAvisos[Equipo],tblEquipos[[#This Row],[Código equipo]],tblAvisos[Estado trabajo],"&lt;&gt;Cerrado")</f>
        <v>2</v>
      </c>
      <c r="H104">
        <f>COUNTIFS(tblAvisos[Equipo],tblEquipos[[#This Row],[Código equipo]],tblAvisos[Estado trabajo],"&lt;&gt;Cerrado",tblAvisos[Condición equipo],"Parado")</f>
        <v>1</v>
      </c>
      <c r="I104" s="871">
        <f>IFERROR(1/(1/_xlfn.MAXIFS(tblAvisos[Fecha reporte],tblAvisos[Equipo],tblEquipos[[#This Row],[Código equipo]])),"")</f>
        <v>46007</v>
      </c>
    </row>
    <row r="105" spans="2:9">
      <c r="B105" s="900" t="s">
        <v>376</v>
      </c>
      <c r="C105" t="s">
        <v>2502</v>
      </c>
      <c r="F105">
        <f>COUNTIFS(tblAvisos[Equipo],tblEquipos[[#This Row],[Código equipo]])</f>
        <v>2</v>
      </c>
      <c r="G105">
        <f>COUNTIFS(tblAvisos[Equipo],tblEquipos[[#This Row],[Código equipo]],tblAvisos[Estado trabajo],"&lt;&gt;Cerrado")</f>
        <v>2</v>
      </c>
      <c r="H105">
        <f>COUNTIFS(tblAvisos[Equipo],tblEquipos[[#This Row],[Código equipo]],tblAvisos[Estado trabajo],"&lt;&gt;Cerrado",tblAvisos[Condición equipo],"Parado")</f>
        <v>0</v>
      </c>
      <c r="I105" s="871">
        <f>IFERROR(1/(1/_xlfn.MAXIFS(tblAvisos[Fecha reporte],tblAvisos[Equipo],tblEquipos[[#This Row],[Código equipo]])),"")</f>
        <v>46328</v>
      </c>
    </row>
    <row r="106" spans="2:9">
      <c r="B106" s="900" t="s">
        <v>377</v>
      </c>
      <c r="C106" t="s">
        <v>2502</v>
      </c>
      <c r="F106">
        <f>COUNTIFS(tblAvisos[Equipo],tblEquipos[[#This Row],[Código equipo]])</f>
        <v>1</v>
      </c>
      <c r="G106">
        <f>COUNTIFS(tblAvisos[Equipo],tblEquipos[[#This Row],[Código equipo]],tblAvisos[Estado trabajo],"&lt;&gt;Cerrado")</f>
        <v>1</v>
      </c>
      <c r="H106">
        <f>COUNTIFS(tblAvisos[Equipo],tblEquipos[[#This Row],[Código equipo]],tblAvisos[Estado trabajo],"&lt;&gt;Cerrado",tblAvisos[Condición equipo],"Parado")</f>
        <v>0</v>
      </c>
      <c r="I106" s="871" t="str">
        <f>IFERROR(1/(1/_xlfn.MAXIFS(tblAvisos[Fecha reporte],tblAvisos[Equipo],tblEquipos[[#This Row],[Código equipo]])),"")</f>
        <v/>
      </c>
    </row>
    <row r="107" spans="2:9">
      <c r="B107" s="900" t="s">
        <v>378</v>
      </c>
      <c r="C107" t="s">
        <v>2502</v>
      </c>
      <c r="F107">
        <f>COUNTIFS(tblAvisos[Equipo],tblEquipos[[#This Row],[Código equipo]])</f>
        <v>1</v>
      </c>
      <c r="G107">
        <f>COUNTIFS(tblAvisos[Equipo],tblEquipos[[#This Row],[Código equipo]],tblAvisos[Estado trabajo],"&lt;&gt;Cerrado")</f>
        <v>1</v>
      </c>
      <c r="H107">
        <f>COUNTIFS(tblAvisos[Equipo],tblEquipos[[#This Row],[Código equipo]],tblAvisos[Estado trabajo],"&lt;&gt;Cerrado",tblAvisos[Condición equipo],"Parado")</f>
        <v>1</v>
      </c>
      <c r="I107" s="871" t="str">
        <f>IFERROR(1/(1/_xlfn.MAXIFS(tblAvisos[Fecha reporte],tblAvisos[Equipo],tblEquipos[[#This Row],[Código equipo]])),"")</f>
        <v/>
      </c>
    </row>
    <row r="108" spans="2:9">
      <c r="B108" s="900" t="s">
        <v>804</v>
      </c>
      <c r="C108" t="s">
        <v>2502</v>
      </c>
      <c r="F108">
        <f>COUNTIFS(tblAvisos[Equipo],tblEquipos[[#This Row],[Código equipo]])</f>
        <v>1</v>
      </c>
      <c r="G108">
        <f>COUNTIFS(tblAvisos[Equipo],tblEquipos[[#This Row],[Código equipo]],tblAvisos[Estado trabajo],"&lt;&gt;Cerrado")</f>
        <v>1</v>
      </c>
      <c r="H108">
        <f>COUNTIFS(tblAvisos[Equipo],tblEquipos[[#This Row],[Código equipo]],tblAvisos[Estado trabajo],"&lt;&gt;Cerrado",tblAvisos[Condición equipo],"Parado")</f>
        <v>0</v>
      </c>
      <c r="I108" s="871">
        <f>IFERROR(1/(1/_xlfn.MAXIFS(tblAvisos[Fecha reporte],tblAvisos[Equipo],tblEquipos[[#This Row],[Código equipo]])),"")</f>
        <v>45980</v>
      </c>
    </row>
    <row r="109" spans="2:9">
      <c r="B109" s="900" t="s">
        <v>380</v>
      </c>
      <c r="C109" t="s">
        <v>2502</v>
      </c>
      <c r="F109">
        <f>COUNTIFS(tblAvisos[Equipo],tblEquipos[[#This Row],[Código equipo]])</f>
        <v>1</v>
      </c>
      <c r="G109">
        <f>COUNTIFS(tblAvisos[Equipo],tblEquipos[[#This Row],[Código equipo]],tblAvisos[Estado trabajo],"&lt;&gt;Cerrado")</f>
        <v>1</v>
      </c>
      <c r="H109">
        <f>COUNTIFS(tblAvisos[Equipo],tblEquipos[[#This Row],[Código equipo]],tblAvisos[Estado trabajo],"&lt;&gt;Cerrado",tblAvisos[Condición equipo],"Parado")</f>
        <v>0</v>
      </c>
      <c r="I109" s="871">
        <f>IFERROR(1/(1/_xlfn.MAXIFS(tblAvisos[Fecha reporte],tblAvisos[Equipo],tblEquipos[[#This Row],[Código equipo]])),"")</f>
        <v>46046</v>
      </c>
    </row>
    <row r="110" spans="2:9">
      <c r="B110" s="900" t="s">
        <v>812</v>
      </c>
      <c r="C110" t="s">
        <v>2502</v>
      </c>
      <c r="F110">
        <f>COUNTIFS(tblAvisos[Equipo],tblEquipos[[#This Row],[Código equipo]])</f>
        <v>1</v>
      </c>
      <c r="G110">
        <f>COUNTIFS(tblAvisos[Equipo],tblEquipos[[#This Row],[Código equipo]],tblAvisos[Estado trabajo],"&lt;&gt;Cerrado")</f>
        <v>1</v>
      </c>
      <c r="H110">
        <f>COUNTIFS(tblAvisos[Equipo],tblEquipos[[#This Row],[Código equipo]],tblAvisos[Estado trabajo],"&lt;&gt;Cerrado",tblAvisos[Condición equipo],"Parado")</f>
        <v>0</v>
      </c>
      <c r="I110" s="871">
        <f>IFERROR(1/(1/_xlfn.MAXIFS(tblAvisos[Fecha reporte],tblAvisos[Equipo],tblEquipos[[#This Row],[Código equipo]])),"")</f>
        <v>45976</v>
      </c>
    </row>
    <row r="111" spans="2:9">
      <c r="B111" s="900" t="s">
        <v>381</v>
      </c>
      <c r="C111" t="s">
        <v>2502</v>
      </c>
      <c r="F111">
        <f>COUNTIFS(tblAvisos[Equipo],tblEquipos[[#This Row],[Código equipo]])</f>
        <v>3</v>
      </c>
      <c r="G111">
        <f>COUNTIFS(tblAvisos[Equipo],tblEquipos[[#This Row],[Código equipo]],tblAvisos[Estado trabajo],"&lt;&gt;Cerrado")</f>
        <v>3</v>
      </c>
      <c r="H111">
        <f>COUNTIFS(tblAvisos[Equipo],tblEquipos[[#This Row],[Código equipo]],tblAvisos[Estado trabajo],"&lt;&gt;Cerrado",tblAvisos[Condición equipo],"Parado")</f>
        <v>2</v>
      </c>
      <c r="I111" s="871" t="str">
        <f>IFERROR(1/(1/_xlfn.MAXIFS(tblAvisos[Fecha reporte],tblAvisos[Equipo],tblEquipos[[#This Row],[Código equipo]])),"")</f>
        <v/>
      </c>
    </row>
    <row r="112" spans="2:9">
      <c r="B112" s="900" t="s">
        <v>382</v>
      </c>
      <c r="C112" t="s">
        <v>2502</v>
      </c>
      <c r="F112">
        <f>COUNTIFS(tblAvisos[Equipo],tblEquipos[[#This Row],[Código equipo]])</f>
        <v>1</v>
      </c>
      <c r="G112">
        <f>COUNTIFS(tblAvisos[Equipo],tblEquipos[[#This Row],[Código equipo]],tblAvisos[Estado trabajo],"&lt;&gt;Cerrado")</f>
        <v>1</v>
      </c>
      <c r="H112">
        <f>COUNTIFS(tblAvisos[Equipo],tblEquipos[[#This Row],[Código equipo]],tblAvisos[Estado trabajo],"&lt;&gt;Cerrado",tblAvisos[Condición equipo],"Parado")</f>
        <v>1</v>
      </c>
      <c r="I112" s="871">
        <f>IFERROR(1/(1/_xlfn.MAXIFS(tblAvisos[Fecha reporte],tblAvisos[Equipo],tblEquipos[[#This Row],[Código equipo]])),"")</f>
        <v>45997</v>
      </c>
    </row>
    <row r="113" spans="2:9">
      <c r="B113" s="900" t="s">
        <v>828</v>
      </c>
      <c r="C113" t="s">
        <v>2502</v>
      </c>
      <c r="F113">
        <f>COUNTIFS(tblAvisos[Equipo],tblEquipos[[#This Row],[Código equipo]])</f>
        <v>3</v>
      </c>
      <c r="G113">
        <f>COUNTIFS(tblAvisos[Equipo],tblEquipos[[#This Row],[Código equipo]],tblAvisos[Estado trabajo],"&lt;&gt;Cerrado")</f>
        <v>3</v>
      </c>
      <c r="H113">
        <f>COUNTIFS(tblAvisos[Equipo],tblEquipos[[#This Row],[Código equipo]],tblAvisos[Estado trabajo],"&lt;&gt;Cerrado",tblAvisos[Condición equipo],"Parado")</f>
        <v>0</v>
      </c>
      <c r="I113" s="871">
        <f>IFERROR(1/(1/_xlfn.MAXIFS(tblAvisos[Fecha reporte],tblAvisos[Equipo],tblEquipos[[#This Row],[Código equipo]])),"")</f>
        <v>45981</v>
      </c>
    </row>
    <row r="114" spans="2:9">
      <c r="B114" s="900" t="s">
        <v>836</v>
      </c>
      <c r="C114" t="s">
        <v>2502</v>
      </c>
      <c r="F114">
        <f>COUNTIFS(tblAvisos[Equipo],tblEquipos[[#This Row],[Código equipo]])</f>
        <v>1</v>
      </c>
      <c r="G114">
        <f>COUNTIFS(tblAvisos[Equipo],tblEquipos[[#This Row],[Código equipo]],tblAvisos[Estado trabajo],"&lt;&gt;Cerrado")</f>
        <v>0</v>
      </c>
      <c r="H114">
        <f>COUNTIFS(tblAvisos[Equipo],tblEquipos[[#This Row],[Código equipo]],tblAvisos[Estado trabajo],"&lt;&gt;Cerrado",tblAvisos[Condición equipo],"Parado")</f>
        <v>0</v>
      </c>
      <c r="I114" s="871">
        <f>IFERROR(1/(1/_xlfn.MAXIFS(tblAvisos[Fecha reporte],tblAvisos[Equipo],tblEquipos[[#This Row],[Código equipo]])),"")</f>
        <v>45981</v>
      </c>
    </row>
    <row r="115" spans="2:9">
      <c r="B115" s="900" t="s">
        <v>808</v>
      </c>
      <c r="C115" t="s">
        <v>2502</v>
      </c>
      <c r="F115">
        <f>COUNTIFS(tblAvisos[Equipo],tblEquipos[[#This Row],[Código equipo]])</f>
        <v>4</v>
      </c>
      <c r="G115">
        <f>COUNTIFS(tblAvisos[Equipo],tblEquipos[[#This Row],[Código equipo]],tblAvisos[Estado trabajo],"&lt;&gt;Cerrado")</f>
        <v>4</v>
      </c>
      <c r="H115">
        <f>COUNTIFS(tblAvisos[Equipo],tblEquipos[[#This Row],[Código equipo]],tblAvisos[Estado trabajo],"&lt;&gt;Cerrado",tblAvisos[Condición equipo],"Parado")</f>
        <v>2</v>
      </c>
      <c r="I115" s="871">
        <f>IFERROR(1/(1/_xlfn.MAXIFS(tblAvisos[Fecha reporte],tblAvisos[Equipo],tblEquipos[[#This Row],[Código equipo]])),"")</f>
        <v>46266</v>
      </c>
    </row>
    <row r="116" spans="2:9">
      <c r="B116" s="900" t="s">
        <v>914</v>
      </c>
      <c r="C116" t="s">
        <v>2502</v>
      </c>
      <c r="F116">
        <f>COUNTIFS(tblAvisos[Equipo],tblEquipos[[#This Row],[Código equipo]])</f>
        <v>1</v>
      </c>
      <c r="G116">
        <f>COUNTIFS(tblAvisos[Equipo],tblEquipos[[#This Row],[Código equipo]],tblAvisos[Estado trabajo],"&lt;&gt;Cerrado")</f>
        <v>1</v>
      </c>
      <c r="H116">
        <f>COUNTIFS(tblAvisos[Equipo],tblEquipos[[#This Row],[Código equipo]],tblAvisos[Estado trabajo],"&lt;&gt;Cerrado",tblAvisos[Condición equipo],"Parado")</f>
        <v>1</v>
      </c>
      <c r="I116" s="871">
        <f>IFERROR(1/(1/_xlfn.MAXIFS(tblAvisos[Fecha reporte],tblAvisos[Equipo],tblEquipos[[#This Row],[Código equipo]])),"")</f>
        <v>46003</v>
      </c>
    </row>
    <row r="117" spans="2:9">
      <c r="B117" s="900" t="s">
        <v>1052</v>
      </c>
      <c r="C117" t="s">
        <v>2502</v>
      </c>
      <c r="F117">
        <f>COUNTIFS(tblAvisos[Equipo],tblEquipos[[#This Row],[Código equipo]])</f>
        <v>1</v>
      </c>
      <c r="G117">
        <f>COUNTIFS(tblAvisos[Equipo],tblEquipos[[#This Row],[Código equipo]],tblAvisos[Estado trabajo],"&lt;&gt;Cerrado")</f>
        <v>1</v>
      </c>
      <c r="H117">
        <f>COUNTIFS(tblAvisos[Equipo],tblEquipos[[#This Row],[Código equipo]],tblAvisos[Estado trabajo],"&lt;&gt;Cerrado",tblAvisos[Condición equipo],"Parado")</f>
        <v>1</v>
      </c>
      <c r="I117" s="871" t="str">
        <f>IFERROR(1/(1/_xlfn.MAXIFS(tblAvisos[Fecha reporte],tblAvisos[Equipo],tblEquipos[[#This Row],[Código equipo]])),"")</f>
        <v/>
      </c>
    </row>
    <row r="118" spans="2:9">
      <c r="B118" s="900" t="s">
        <v>898</v>
      </c>
      <c r="C118" t="s">
        <v>2502</v>
      </c>
      <c r="F118">
        <f>COUNTIFS(tblAvisos[Equipo],tblEquipos[[#This Row],[Código equipo]])</f>
        <v>1</v>
      </c>
      <c r="G118">
        <f>COUNTIFS(tblAvisos[Equipo],tblEquipos[[#This Row],[Código equipo]],tblAvisos[Estado trabajo],"&lt;&gt;Cerrado")</f>
        <v>1</v>
      </c>
      <c r="H118">
        <f>COUNTIFS(tblAvisos[Equipo],tblEquipos[[#This Row],[Código equipo]],tblAvisos[Estado trabajo],"&lt;&gt;Cerrado",tblAvisos[Condición equipo],"Parado")</f>
        <v>1</v>
      </c>
      <c r="I118" s="871" t="str">
        <f>IFERROR(1/(1/_xlfn.MAXIFS(tblAvisos[Fecha reporte],tblAvisos[Equipo],tblEquipos[[#This Row],[Código equipo]])),"")</f>
        <v/>
      </c>
    </row>
    <row r="119" spans="2:9">
      <c r="B119" s="900" t="s">
        <v>1006</v>
      </c>
      <c r="C119" t="s">
        <v>2502</v>
      </c>
      <c r="F119">
        <f>COUNTIFS(tblAvisos[Equipo],tblEquipos[[#This Row],[Código equipo]])</f>
        <v>1</v>
      </c>
      <c r="G119">
        <f>COUNTIFS(tblAvisos[Equipo],tblEquipos[[#This Row],[Código equipo]],tblAvisos[Estado trabajo],"&lt;&gt;Cerrado")</f>
        <v>1</v>
      </c>
      <c r="H119">
        <f>COUNTIFS(tblAvisos[Equipo],tblEquipos[[#This Row],[Código equipo]],tblAvisos[Estado trabajo],"&lt;&gt;Cerrado",tblAvisos[Condición equipo],"Parado")</f>
        <v>0</v>
      </c>
      <c r="I119" s="871" t="str">
        <f>IFERROR(1/(1/_xlfn.MAXIFS(tblAvisos[Fecha reporte],tblAvisos[Equipo],tblEquipos[[#This Row],[Código equipo]])),"")</f>
        <v/>
      </c>
    </row>
    <row r="120" spans="2:9">
      <c r="B120" s="900" t="s">
        <v>1135</v>
      </c>
      <c r="C120" t="s">
        <v>2502</v>
      </c>
      <c r="F120">
        <f>COUNTIFS(tblAvisos[Equipo],tblEquipos[[#This Row],[Código equipo]])</f>
        <v>1</v>
      </c>
      <c r="G120">
        <f>COUNTIFS(tblAvisos[Equipo],tblEquipos[[#This Row],[Código equipo]],tblAvisos[Estado trabajo],"&lt;&gt;Cerrado")</f>
        <v>1</v>
      </c>
      <c r="H120">
        <f>COUNTIFS(tblAvisos[Equipo],tblEquipos[[#This Row],[Código equipo]],tblAvisos[Estado trabajo],"&lt;&gt;Cerrado",tblAvisos[Condición equipo],"Parado")</f>
        <v>0</v>
      </c>
      <c r="I120" s="871" t="str">
        <f>IFERROR(1/(1/_xlfn.MAXIFS(tblAvisos[Fecha reporte],tblAvisos[Equipo],tblEquipos[[#This Row],[Código equipo]])),"")</f>
        <v/>
      </c>
    </row>
    <row r="121" spans="2:9">
      <c r="B121" s="900" t="s">
        <v>1147</v>
      </c>
      <c r="C121" t="s">
        <v>2502</v>
      </c>
      <c r="F121">
        <f>COUNTIFS(tblAvisos[Equipo],tblEquipos[[#This Row],[Código equipo]])</f>
        <v>1</v>
      </c>
      <c r="G121">
        <f>COUNTIFS(tblAvisos[Equipo],tblEquipos[[#This Row],[Código equipo]],tblAvisos[Estado trabajo],"&lt;&gt;Cerrado")</f>
        <v>1</v>
      </c>
      <c r="H121">
        <f>COUNTIFS(tblAvisos[Equipo],tblEquipos[[#This Row],[Código equipo]],tblAvisos[Estado trabajo],"&lt;&gt;Cerrado",tblAvisos[Condición equipo],"Parado")</f>
        <v>0</v>
      </c>
      <c r="I121" s="871" t="str">
        <f>IFERROR(1/(1/_xlfn.MAXIFS(tblAvisos[Fecha reporte],tblAvisos[Equipo],tblEquipos[[#This Row],[Código equipo]])),"")</f>
        <v/>
      </c>
    </row>
    <row r="122" spans="2:9">
      <c r="B122" s="900" t="s">
        <v>1040</v>
      </c>
      <c r="C122" t="s">
        <v>2502</v>
      </c>
      <c r="F122">
        <f>COUNTIFS(tblAvisos[Equipo],tblEquipos[[#This Row],[Código equipo]])</f>
        <v>2</v>
      </c>
      <c r="G122">
        <f>COUNTIFS(tblAvisos[Equipo],tblEquipos[[#This Row],[Código equipo]],tblAvisos[Estado trabajo],"&lt;&gt;Cerrado")</f>
        <v>2</v>
      </c>
      <c r="H122">
        <f>COUNTIFS(tblAvisos[Equipo],tblEquipos[[#This Row],[Código equipo]],tblAvisos[Estado trabajo],"&lt;&gt;Cerrado",tblAvisos[Condición equipo],"Parado")</f>
        <v>2</v>
      </c>
      <c r="I122" s="871">
        <f>IFERROR(1/(1/_xlfn.MAXIFS(tblAvisos[Fecha reporte],tblAvisos[Equipo],tblEquipos[[#This Row],[Código equipo]])),"")</f>
        <v>46055</v>
      </c>
    </row>
    <row r="123" spans="2:9">
      <c r="B123" s="900" t="s">
        <v>1152</v>
      </c>
      <c r="C123" t="s">
        <v>2502</v>
      </c>
      <c r="F123">
        <f>COUNTIFS(tblAvisos[Equipo],tblEquipos[[#This Row],[Código equipo]])</f>
        <v>1</v>
      </c>
      <c r="G123">
        <f>COUNTIFS(tblAvisos[Equipo],tblEquipos[[#This Row],[Código equipo]],tblAvisos[Estado trabajo],"&lt;&gt;Cerrado")</f>
        <v>1</v>
      </c>
      <c r="H123">
        <f>COUNTIFS(tblAvisos[Equipo],tblEquipos[[#This Row],[Código equipo]],tblAvisos[Estado trabajo],"&lt;&gt;Cerrado",tblAvisos[Condición equipo],"Parado")</f>
        <v>0</v>
      </c>
      <c r="I123" s="871" t="str">
        <f>IFERROR(1/(1/_xlfn.MAXIFS(tblAvisos[Fecha reporte],tblAvisos[Equipo],tblEquipos[[#This Row],[Código equipo]])),"")</f>
        <v/>
      </c>
    </row>
    <row r="124" spans="2:9">
      <c r="B124" s="900" t="s">
        <v>1122</v>
      </c>
      <c r="C124" t="s">
        <v>2502</v>
      </c>
      <c r="F124">
        <f>COUNTIFS(tblAvisos[Equipo],tblEquipos[[#This Row],[Código equipo]])</f>
        <v>1</v>
      </c>
      <c r="G124">
        <f>COUNTIFS(tblAvisos[Equipo],tblEquipos[[#This Row],[Código equipo]],tblAvisos[Estado trabajo],"&lt;&gt;Cerrado")</f>
        <v>1</v>
      </c>
      <c r="H124">
        <f>COUNTIFS(tblAvisos[Equipo],tblEquipos[[#This Row],[Código equipo]],tblAvisos[Estado trabajo],"&lt;&gt;Cerrado",tblAvisos[Condición equipo],"Parado")</f>
        <v>1</v>
      </c>
      <c r="I124" s="871" t="str">
        <f>IFERROR(1/(1/_xlfn.MAXIFS(tblAvisos[Fecha reporte],tblAvisos[Equipo],tblEquipos[[#This Row],[Código equipo]])),"")</f>
        <v/>
      </c>
    </row>
    <row r="125" spans="2:9">
      <c r="B125" s="900" t="s">
        <v>874</v>
      </c>
      <c r="C125" t="s">
        <v>2502</v>
      </c>
      <c r="F125">
        <f>COUNTIFS(tblAvisos[Equipo],tblEquipos[[#This Row],[Código equipo]])</f>
        <v>1</v>
      </c>
      <c r="G125">
        <f>COUNTIFS(tblAvisos[Equipo],tblEquipos[[#This Row],[Código equipo]],tblAvisos[Estado trabajo],"&lt;&gt;Cerrado")</f>
        <v>1</v>
      </c>
      <c r="H125">
        <f>COUNTIFS(tblAvisos[Equipo],tblEquipos[[#This Row],[Código equipo]],tblAvisos[Estado trabajo],"&lt;&gt;Cerrado",tblAvisos[Condición equipo],"Parado")</f>
        <v>0</v>
      </c>
      <c r="I125" s="871" t="str">
        <f>IFERROR(1/(1/_xlfn.MAXIFS(tblAvisos[Fecha reporte],tblAvisos[Equipo],tblEquipos[[#This Row],[Código equipo]])),"")</f>
        <v/>
      </c>
    </row>
    <row r="126" spans="2:9">
      <c r="B126" s="900" t="s">
        <v>1023</v>
      </c>
      <c r="C126" t="s">
        <v>2502</v>
      </c>
      <c r="F126">
        <f>COUNTIFS(tblAvisos[Equipo],tblEquipos[[#This Row],[Código equipo]])</f>
        <v>1</v>
      </c>
      <c r="G126">
        <f>COUNTIFS(tblAvisos[Equipo],tblEquipos[[#This Row],[Código equipo]],tblAvisos[Estado trabajo],"&lt;&gt;Cerrado")</f>
        <v>1</v>
      </c>
      <c r="H126">
        <f>COUNTIFS(tblAvisos[Equipo],tblEquipos[[#This Row],[Código equipo]],tblAvisos[Estado trabajo],"&lt;&gt;Cerrado",tblAvisos[Condición equipo],"Parado")</f>
        <v>1</v>
      </c>
      <c r="I126" s="871" t="str">
        <f>IFERROR(1/(1/_xlfn.MAXIFS(tblAvisos[Fecha reporte],tblAvisos[Equipo],tblEquipos[[#This Row],[Código equipo]])),"")</f>
        <v/>
      </c>
    </row>
    <row r="127" spans="2:9">
      <c r="B127" s="900" t="s">
        <v>840</v>
      </c>
      <c r="C127" t="s">
        <v>2502</v>
      </c>
      <c r="F127">
        <f>COUNTIFS(tblAvisos[Equipo],tblEquipos[[#This Row],[Código equipo]])</f>
        <v>1</v>
      </c>
      <c r="G127">
        <f>COUNTIFS(tblAvisos[Equipo],tblEquipos[[#This Row],[Código equipo]],tblAvisos[Estado trabajo],"&lt;&gt;Cerrado")</f>
        <v>1</v>
      </c>
      <c r="H127">
        <f>COUNTIFS(tblAvisos[Equipo],tblEquipos[[#This Row],[Código equipo]],tblAvisos[Estado trabajo],"&lt;&gt;Cerrado",tblAvisos[Condición equipo],"Parado")</f>
        <v>0</v>
      </c>
      <c r="I127" s="871">
        <f>IFERROR(1/(1/_xlfn.MAXIFS(tblAvisos[Fecha reporte],tblAvisos[Equipo],tblEquipos[[#This Row],[Código equipo]])),"")</f>
        <v>45982</v>
      </c>
    </row>
    <row r="128" spans="2:9">
      <c r="B128" s="900" t="s">
        <v>988</v>
      </c>
      <c r="C128" t="s">
        <v>2502</v>
      </c>
      <c r="F128">
        <f>COUNTIFS(tblAvisos[Equipo],tblEquipos[[#This Row],[Código equipo]])</f>
        <v>1</v>
      </c>
      <c r="G128">
        <f>COUNTIFS(tblAvisos[Equipo],tblEquipos[[#This Row],[Código equipo]],tblAvisos[Estado trabajo],"&lt;&gt;Cerrado")</f>
        <v>1</v>
      </c>
      <c r="H128">
        <f>COUNTIFS(tblAvisos[Equipo],tblEquipos[[#This Row],[Código equipo]],tblAvisos[Estado trabajo],"&lt;&gt;Cerrado",tblAvisos[Condición equipo],"Parado")</f>
        <v>0</v>
      </c>
      <c r="I128" s="871" t="str">
        <f>IFERROR(1/(1/_xlfn.MAXIFS(tblAvisos[Fecha reporte],tblAvisos[Equipo],tblEquipos[[#This Row],[Código equipo]])),"")</f>
        <v/>
      </c>
    </row>
    <row r="129" spans="2:9">
      <c r="B129" s="900" t="s">
        <v>887</v>
      </c>
      <c r="C129" t="s">
        <v>2502</v>
      </c>
      <c r="F129">
        <f>COUNTIFS(tblAvisos[Equipo],tblEquipos[[#This Row],[Código equipo]])</f>
        <v>4</v>
      </c>
      <c r="G129">
        <f>COUNTIFS(tblAvisos[Equipo],tblEquipos[[#This Row],[Código equipo]],tblAvisos[Estado trabajo],"&lt;&gt;Cerrado")</f>
        <v>4</v>
      </c>
      <c r="H129">
        <f>COUNTIFS(tblAvisos[Equipo],tblEquipos[[#This Row],[Código equipo]],tblAvisos[Estado trabajo],"&lt;&gt;Cerrado",tblAvisos[Condición equipo],"Parado")</f>
        <v>4</v>
      </c>
      <c r="I129" s="871" t="str">
        <f>IFERROR(1/(1/_xlfn.MAXIFS(tblAvisos[Fecha reporte],tblAvisos[Equipo],tblEquipos[[#This Row],[Código equipo]])),"")</f>
        <v/>
      </c>
    </row>
    <row r="130" spans="2:9">
      <c r="B130" s="900" t="s">
        <v>944</v>
      </c>
      <c r="C130" t="s">
        <v>2502</v>
      </c>
      <c r="F130">
        <f>COUNTIFS(tblAvisos[Equipo],tblEquipos[[#This Row],[Código equipo]])</f>
        <v>1</v>
      </c>
      <c r="G130">
        <f>COUNTIFS(tblAvisos[Equipo],tblEquipos[[#This Row],[Código equipo]],tblAvisos[Estado trabajo],"&lt;&gt;Cerrado")</f>
        <v>1</v>
      </c>
      <c r="H130">
        <f>COUNTIFS(tblAvisos[Equipo],tblEquipos[[#This Row],[Código equipo]],tblAvisos[Estado trabajo],"&lt;&gt;Cerrado",tblAvisos[Condición equipo],"Parado")</f>
        <v>1</v>
      </c>
      <c r="I130" s="871" t="str">
        <f>IFERROR(1/(1/_xlfn.MAXIFS(tblAvisos[Fecha reporte],tblAvisos[Equipo],tblEquipos[[#This Row],[Código equipo]])),"")</f>
        <v/>
      </c>
    </row>
    <row r="131" spans="2:9">
      <c r="B131" s="900" t="s">
        <v>849</v>
      </c>
      <c r="C131" t="s">
        <v>2502</v>
      </c>
      <c r="F131">
        <f>COUNTIFS(tblAvisos[Equipo],tblEquipos[[#This Row],[Código equipo]])</f>
        <v>1</v>
      </c>
      <c r="G131">
        <f>COUNTIFS(tblAvisos[Equipo],tblEquipos[[#This Row],[Código equipo]],tblAvisos[Estado trabajo],"&lt;&gt;Cerrado")</f>
        <v>1</v>
      </c>
      <c r="H131">
        <f>COUNTIFS(tblAvisos[Equipo],tblEquipos[[#This Row],[Código equipo]],tblAvisos[Estado trabajo],"&lt;&gt;Cerrado",tblAvisos[Condición equipo],"Parado")</f>
        <v>0</v>
      </c>
      <c r="I131" s="871">
        <f>IFERROR(1/(1/_xlfn.MAXIFS(tblAvisos[Fecha reporte],tblAvisos[Equipo],tblEquipos[[#This Row],[Código equipo]])),"")</f>
        <v>45983</v>
      </c>
    </row>
    <row r="132" spans="2:9">
      <c r="B132" s="900" t="s">
        <v>1046</v>
      </c>
      <c r="C132" t="s">
        <v>2502</v>
      </c>
      <c r="F132">
        <f>COUNTIFS(tblAvisos[Equipo],tblEquipos[[#This Row],[Código equipo]])</f>
        <v>1</v>
      </c>
      <c r="G132">
        <f>COUNTIFS(tblAvisos[Equipo],tblEquipos[[#This Row],[Código equipo]],tblAvisos[Estado trabajo],"&lt;&gt;Cerrado")</f>
        <v>1</v>
      </c>
      <c r="H132">
        <f>COUNTIFS(tblAvisos[Equipo],tblEquipos[[#This Row],[Código equipo]],tblAvisos[Estado trabajo],"&lt;&gt;Cerrado",tblAvisos[Condición equipo],"Parado")</f>
        <v>1</v>
      </c>
      <c r="I132" s="871" t="str">
        <f>IFERROR(1/(1/_xlfn.MAXIFS(tblAvisos[Fecha reporte],tblAvisos[Equipo],tblEquipos[[#This Row],[Código equipo]])),"")</f>
        <v/>
      </c>
    </row>
    <row r="133" spans="2:9">
      <c r="B133" s="900" t="s">
        <v>1095</v>
      </c>
      <c r="C133" t="s">
        <v>2502</v>
      </c>
      <c r="F133">
        <f>COUNTIFS(tblAvisos[Equipo],tblEquipos[[#This Row],[Código equipo]])</f>
        <v>1</v>
      </c>
      <c r="G133">
        <f>COUNTIFS(tblAvisos[Equipo],tblEquipos[[#This Row],[Código equipo]],tblAvisos[Estado trabajo],"&lt;&gt;Cerrado")</f>
        <v>1</v>
      </c>
      <c r="H133">
        <f>COUNTIFS(tblAvisos[Equipo],tblEquipos[[#This Row],[Código equipo]],tblAvisos[Estado trabajo],"&lt;&gt;Cerrado",tblAvisos[Condición equipo],"Parado")</f>
        <v>0</v>
      </c>
      <c r="I133" s="871">
        <f>IFERROR(1/(1/_xlfn.MAXIFS(tblAvisos[Fecha reporte],tblAvisos[Equipo],tblEquipos[[#This Row],[Código equipo]])),"")</f>
        <v>46050</v>
      </c>
    </row>
    <row r="134" spans="2:9">
      <c r="B134" s="900" t="s">
        <v>1124</v>
      </c>
      <c r="C134" t="s">
        <v>2502</v>
      </c>
      <c r="F134">
        <f>COUNTIFS(tblAvisos[Equipo],tblEquipos[[#This Row],[Código equipo]])</f>
        <v>1</v>
      </c>
      <c r="G134">
        <f>COUNTIFS(tblAvisos[Equipo],tblEquipos[[#This Row],[Código equipo]],tblAvisos[Estado trabajo],"&lt;&gt;Cerrado")</f>
        <v>1</v>
      </c>
      <c r="H134">
        <f>COUNTIFS(tblAvisos[Equipo],tblEquipos[[#This Row],[Código equipo]],tblAvisos[Estado trabajo],"&lt;&gt;Cerrado",tblAvisos[Condición equipo],"Parado")</f>
        <v>0</v>
      </c>
      <c r="I134" s="871" t="str">
        <f>IFERROR(1/(1/_xlfn.MAXIFS(tblAvisos[Fecha reporte],tblAvisos[Equipo],tblEquipos[[#This Row],[Código equipo]])),"")</f>
        <v/>
      </c>
    </row>
    <row r="135" spans="2:9">
      <c r="B135" s="900" t="s">
        <v>1035</v>
      </c>
      <c r="C135" t="s">
        <v>2502</v>
      </c>
      <c r="F135">
        <f>COUNTIFS(tblAvisos[Equipo],tblEquipos[[#This Row],[Código equipo]])</f>
        <v>1</v>
      </c>
      <c r="G135">
        <f>COUNTIFS(tblAvisos[Equipo],tblEquipos[[#This Row],[Código equipo]],tblAvisos[Estado trabajo],"&lt;&gt;Cerrado")</f>
        <v>1</v>
      </c>
      <c r="H135">
        <f>COUNTIFS(tblAvisos[Equipo],tblEquipos[[#This Row],[Código equipo]],tblAvisos[Estado trabajo],"&lt;&gt;Cerrado",tblAvisos[Condición equipo],"Parado")</f>
        <v>0</v>
      </c>
      <c r="I135" s="871" t="str">
        <f>IFERROR(1/(1/_xlfn.MAXIFS(tblAvisos[Fecha reporte],tblAvisos[Equipo],tblEquipos[[#This Row],[Código equipo]])),"")</f>
        <v/>
      </c>
    </row>
    <row r="136" spans="2:9">
      <c r="B136" s="900" t="s">
        <v>826</v>
      </c>
      <c r="C136" t="s">
        <v>2502</v>
      </c>
      <c r="F136">
        <f>COUNTIFS(tblAvisos[Equipo],tblEquipos[[#This Row],[Código equipo]])</f>
        <v>2</v>
      </c>
      <c r="G136">
        <f>COUNTIFS(tblAvisos[Equipo],tblEquipos[[#This Row],[Código equipo]],tblAvisos[Estado trabajo],"&lt;&gt;Cerrado")</f>
        <v>2</v>
      </c>
      <c r="H136">
        <f>COUNTIFS(tblAvisos[Equipo],tblEquipos[[#This Row],[Código equipo]],tblAvisos[Estado trabajo],"&lt;&gt;Cerrado",tblAvisos[Condición equipo],"Parado")</f>
        <v>1</v>
      </c>
      <c r="I136" s="871">
        <f>IFERROR(1/(1/_xlfn.MAXIFS(tblAvisos[Fecha reporte],tblAvisos[Equipo],tblEquipos[[#This Row],[Código equipo]])),"")</f>
        <v>45981</v>
      </c>
    </row>
    <row r="137" spans="2:9">
      <c r="B137" s="900" t="s">
        <v>1088</v>
      </c>
      <c r="C137" t="s">
        <v>2502</v>
      </c>
      <c r="F137">
        <f>COUNTIFS(tblAvisos[Equipo],tblEquipos[[#This Row],[Código equipo]])</f>
        <v>1</v>
      </c>
      <c r="G137">
        <f>COUNTIFS(tblAvisos[Equipo],tblEquipos[[#This Row],[Código equipo]],tblAvisos[Estado trabajo],"&lt;&gt;Cerrado")</f>
        <v>1</v>
      </c>
      <c r="H137">
        <f>COUNTIFS(tblAvisos[Equipo],tblEquipos[[#This Row],[Código equipo]],tblAvisos[Estado trabajo],"&lt;&gt;Cerrado",tblAvisos[Condición equipo],"Parado")</f>
        <v>1</v>
      </c>
      <c r="I137" s="871">
        <f>IFERROR(1/(1/_xlfn.MAXIFS(tblAvisos[Fecha reporte],tblAvisos[Equipo],tblEquipos[[#This Row],[Código equipo]])),"")</f>
        <v>46048</v>
      </c>
    </row>
    <row r="138" spans="2:9">
      <c r="B138" s="900" t="s">
        <v>1083</v>
      </c>
      <c r="C138" t="s">
        <v>2502</v>
      </c>
      <c r="F138">
        <f>COUNTIFS(tblAvisos[Equipo],tblEquipos[[#This Row],[Código equipo]])</f>
        <v>1</v>
      </c>
      <c r="G138">
        <f>COUNTIFS(tblAvisos[Equipo],tblEquipos[[#This Row],[Código equipo]],tblAvisos[Estado trabajo],"&lt;&gt;Cerrado")</f>
        <v>1</v>
      </c>
      <c r="H138">
        <f>COUNTIFS(tblAvisos[Equipo],tblEquipos[[#This Row],[Código equipo]],tblAvisos[Estado trabajo],"&lt;&gt;Cerrado",tblAvisos[Condición equipo],"Parado")</f>
        <v>0</v>
      </c>
      <c r="I138" s="871" t="str">
        <f>IFERROR(1/(1/_xlfn.MAXIFS(tblAvisos[Fecha reporte],tblAvisos[Equipo],tblEquipos[[#This Row],[Código equipo]])),"")</f>
        <v/>
      </c>
    </row>
    <row r="139" spans="2:9">
      <c r="B139" s="900" t="s">
        <v>948</v>
      </c>
      <c r="C139" t="s">
        <v>2502</v>
      </c>
      <c r="F139">
        <f>COUNTIFS(tblAvisos[Equipo],tblEquipos[[#This Row],[Código equipo]])</f>
        <v>1</v>
      </c>
      <c r="G139">
        <f>COUNTIFS(tblAvisos[Equipo],tblEquipos[[#This Row],[Código equipo]],tblAvisos[Estado trabajo],"&lt;&gt;Cerrado")</f>
        <v>1</v>
      </c>
      <c r="H139">
        <f>COUNTIFS(tblAvisos[Equipo],tblEquipos[[#This Row],[Código equipo]],tblAvisos[Estado trabajo],"&lt;&gt;Cerrado",tblAvisos[Condición equipo],"Parado")</f>
        <v>1</v>
      </c>
      <c r="I139" s="871" t="str">
        <f>IFERROR(1/(1/_xlfn.MAXIFS(tblAvisos[Fecha reporte],tblAvisos[Equipo],tblEquipos[[#This Row],[Código equipo]])),"")</f>
        <v/>
      </c>
    </row>
    <row r="140" spans="2:9">
      <c r="B140" s="900" t="s">
        <v>919</v>
      </c>
      <c r="C140" t="s">
        <v>2502</v>
      </c>
      <c r="F140">
        <f>COUNTIFS(tblAvisos[Equipo],tblEquipos[[#This Row],[Código equipo]])</f>
        <v>1</v>
      </c>
      <c r="G140">
        <f>COUNTIFS(tblAvisos[Equipo],tblEquipos[[#This Row],[Código equipo]],tblAvisos[Estado trabajo],"&lt;&gt;Cerrado")</f>
        <v>1</v>
      </c>
      <c r="H140">
        <f>COUNTIFS(tblAvisos[Equipo],tblEquipos[[#This Row],[Código equipo]],tblAvisos[Estado trabajo],"&lt;&gt;Cerrado",tblAvisos[Condición equipo],"Parado")</f>
        <v>1</v>
      </c>
      <c r="I140" s="871" t="str">
        <f>IFERROR(1/(1/_xlfn.MAXIFS(tblAvisos[Fecha reporte],tblAvisos[Equipo],tblEquipos[[#This Row],[Código equipo]])),"")</f>
        <v/>
      </c>
    </row>
    <row r="141" spans="2:9">
      <c r="B141" s="900" t="s">
        <v>896</v>
      </c>
      <c r="C141" t="s">
        <v>2502</v>
      </c>
      <c r="F141">
        <f>COUNTIFS(tblAvisos[Equipo],tblEquipos[[#This Row],[Código equipo]])</f>
        <v>1</v>
      </c>
      <c r="G141">
        <f>COUNTIFS(tblAvisos[Equipo],tblEquipos[[#This Row],[Código equipo]],tblAvisos[Estado trabajo],"&lt;&gt;Cerrado")</f>
        <v>1</v>
      </c>
      <c r="H141">
        <f>COUNTIFS(tblAvisos[Equipo],tblEquipos[[#This Row],[Código equipo]],tblAvisos[Estado trabajo],"&lt;&gt;Cerrado",tblAvisos[Condición equipo],"Parado")</f>
        <v>1</v>
      </c>
      <c r="I141" s="871" t="str">
        <f>IFERROR(1/(1/_xlfn.MAXIFS(tblAvisos[Fecha reporte],tblAvisos[Equipo],tblEquipos[[#This Row],[Código equipo]])),"")</f>
        <v/>
      </c>
    </row>
    <row r="142" spans="2:9">
      <c r="B142" s="900" t="s">
        <v>906</v>
      </c>
      <c r="C142" t="s">
        <v>2502</v>
      </c>
      <c r="F142">
        <f>COUNTIFS(tblAvisos[Equipo],tblEquipos[[#This Row],[Código equipo]])</f>
        <v>1</v>
      </c>
      <c r="G142">
        <f>COUNTIFS(tblAvisos[Equipo],tblEquipos[[#This Row],[Código equipo]],tblAvisos[Estado trabajo],"&lt;&gt;Cerrado")</f>
        <v>1</v>
      </c>
      <c r="H142">
        <f>COUNTIFS(tblAvisos[Equipo],tblEquipos[[#This Row],[Código equipo]],tblAvisos[Estado trabajo],"&lt;&gt;Cerrado",tblAvisos[Condición equipo],"Parado")</f>
        <v>1</v>
      </c>
      <c r="I142" s="871">
        <f>IFERROR(1/(1/_xlfn.MAXIFS(tblAvisos[Fecha reporte],tblAvisos[Equipo],tblEquipos[[#This Row],[Código equipo]])),"")</f>
        <v>46001</v>
      </c>
    </row>
    <row r="143" spans="2:9">
      <c r="B143" s="900" t="s">
        <v>1120</v>
      </c>
      <c r="C143" t="s">
        <v>2502</v>
      </c>
      <c r="F143">
        <f>COUNTIFS(tblAvisos[Equipo],tblEquipos[[#This Row],[Código equipo]])</f>
        <v>2</v>
      </c>
      <c r="G143">
        <f>COUNTIFS(tblAvisos[Equipo],tblEquipos[[#This Row],[Código equipo]],tblAvisos[Estado trabajo],"&lt;&gt;Cerrado")</f>
        <v>2</v>
      </c>
      <c r="H143">
        <f>COUNTIFS(tblAvisos[Equipo],tblEquipos[[#This Row],[Código equipo]],tblAvisos[Estado trabajo],"&lt;&gt;Cerrado",tblAvisos[Condición equipo],"Parado")</f>
        <v>0</v>
      </c>
      <c r="I143" s="871" t="str">
        <f>IFERROR(1/(1/_xlfn.MAXIFS(tblAvisos[Fecha reporte],tblAvisos[Equipo],tblEquipos[[#This Row],[Código equipo]])),"")</f>
        <v/>
      </c>
    </row>
    <row r="144" spans="2:9">
      <c r="B144" s="900" t="s">
        <v>1069</v>
      </c>
      <c r="C144" t="s">
        <v>2502</v>
      </c>
      <c r="F144">
        <f>COUNTIFS(tblAvisos[Equipo],tblEquipos[[#This Row],[Código equipo]])</f>
        <v>1</v>
      </c>
      <c r="G144">
        <f>COUNTIFS(tblAvisos[Equipo],tblEquipos[[#This Row],[Código equipo]],tblAvisos[Estado trabajo],"&lt;&gt;Cerrado")</f>
        <v>1</v>
      </c>
      <c r="H144">
        <f>COUNTIFS(tblAvisos[Equipo],tblEquipos[[#This Row],[Código equipo]],tblAvisos[Estado trabajo],"&lt;&gt;Cerrado",tblAvisos[Condición equipo],"Parado")</f>
        <v>1</v>
      </c>
      <c r="I144" s="871" t="str">
        <f>IFERROR(1/(1/_xlfn.MAXIFS(tblAvisos[Fecha reporte],tblAvisos[Equipo],tblEquipos[[#This Row],[Código equipo]])),"")</f>
        <v/>
      </c>
    </row>
    <row r="145" spans="2:9">
      <c r="B145" s="900" t="s">
        <v>926</v>
      </c>
      <c r="C145" t="s">
        <v>2502</v>
      </c>
      <c r="F145">
        <f>COUNTIFS(tblAvisos[Equipo],tblEquipos[[#This Row],[Código equipo]])</f>
        <v>1</v>
      </c>
      <c r="G145">
        <f>COUNTIFS(tblAvisos[Equipo],tblEquipos[[#This Row],[Código equipo]],tblAvisos[Estado trabajo],"&lt;&gt;Cerrado")</f>
        <v>1</v>
      </c>
      <c r="H145">
        <f>COUNTIFS(tblAvisos[Equipo],tblEquipos[[#This Row],[Código equipo]],tblAvisos[Estado trabajo],"&lt;&gt;Cerrado",tblAvisos[Condición equipo],"Parado")</f>
        <v>1</v>
      </c>
      <c r="I145" s="871">
        <f>IFERROR(1/(1/_xlfn.MAXIFS(tblAvisos[Fecha reporte],tblAvisos[Equipo],tblEquipos[[#This Row],[Código equipo]])),"")</f>
        <v>46008</v>
      </c>
    </row>
    <row r="146" spans="2:9">
      <c r="B146" s="900" t="s">
        <v>838</v>
      </c>
      <c r="C146" t="s">
        <v>2502</v>
      </c>
      <c r="F146">
        <f>COUNTIFS(tblAvisos[Equipo],tblEquipos[[#This Row],[Código equipo]])</f>
        <v>2</v>
      </c>
      <c r="G146">
        <f>COUNTIFS(tblAvisos[Equipo],tblEquipos[[#This Row],[Código equipo]],tblAvisos[Estado trabajo],"&lt;&gt;Cerrado")</f>
        <v>2</v>
      </c>
      <c r="H146">
        <f>COUNTIFS(tblAvisos[Equipo],tblEquipos[[#This Row],[Código equipo]],tblAvisos[Estado trabajo],"&lt;&gt;Cerrado",tblAvisos[Condición equipo],"Parado")</f>
        <v>1</v>
      </c>
      <c r="I146" s="871">
        <f>IFERROR(1/(1/_xlfn.MAXIFS(tblAvisos[Fecha reporte],tblAvisos[Equipo],tblEquipos[[#This Row],[Código equipo]])),"")</f>
        <v>45982</v>
      </c>
    </row>
    <row r="147" spans="2:9">
      <c r="B147" s="900" t="s">
        <v>940</v>
      </c>
      <c r="C147" t="s">
        <v>2502</v>
      </c>
      <c r="F147">
        <f>COUNTIFS(tblAvisos[Equipo],tblEquipos[[#This Row],[Código equipo]])</f>
        <v>3</v>
      </c>
      <c r="G147">
        <f>COUNTIFS(tblAvisos[Equipo],tblEquipos[[#This Row],[Código equipo]],tblAvisos[Estado trabajo],"&lt;&gt;Cerrado")</f>
        <v>3</v>
      </c>
      <c r="H147">
        <f>COUNTIFS(tblAvisos[Equipo],tblEquipos[[#This Row],[Código equipo]],tblAvisos[Estado trabajo],"&lt;&gt;Cerrado",tblAvisos[Condición equipo],"Parado")</f>
        <v>3</v>
      </c>
      <c r="I147" s="871" t="str">
        <f>IFERROR(1/(1/_xlfn.MAXIFS(tblAvisos[Fecha reporte],tblAvisos[Equipo],tblEquipos[[#This Row],[Código equipo]])),"")</f>
        <v/>
      </c>
    </row>
    <row r="148" spans="2:9">
      <c r="B148" s="900" t="s">
        <v>831</v>
      </c>
      <c r="C148" t="s">
        <v>2502</v>
      </c>
      <c r="F148">
        <f>COUNTIFS(tblAvisos[Equipo],tblEquipos[[#This Row],[Código equipo]])</f>
        <v>1</v>
      </c>
      <c r="G148">
        <f>COUNTIFS(tblAvisos[Equipo],tblEquipos[[#This Row],[Código equipo]],tblAvisos[Estado trabajo],"&lt;&gt;Cerrado")</f>
        <v>1</v>
      </c>
      <c r="H148">
        <f>COUNTIFS(tblAvisos[Equipo],tblEquipos[[#This Row],[Código equipo]],tblAvisos[Estado trabajo],"&lt;&gt;Cerrado",tblAvisos[Condición equipo],"Parado")</f>
        <v>0</v>
      </c>
      <c r="I148" s="871">
        <f>IFERROR(1/(1/_xlfn.MAXIFS(tblAvisos[Fecha reporte],tblAvisos[Equipo],tblEquipos[[#This Row],[Código equipo]])),"")</f>
        <v>45981</v>
      </c>
    </row>
    <row r="149" spans="2:9">
      <c r="B149" s="900" t="s">
        <v>910</v>
      </c>
      <c r="C149" t="s">
        <v>2502</v>
      </c>
      <c r="F149">
        <f>COUNTIFS(tblAvisos[Equipo],tblEquipos[[#This Row],[Código equipo]])</f>
        <v>4</v>
      </c>
      <c r="G149">
        <f>COUNTIFS(tblAvisos[Equipo],tblEquipos[[#This Row],[Código equipo]],tblAvisos[Estado trabajo],"&lt;&gt;Cerrado")</f>
        <v>4</v>
      </c>
      <c r="H149">
        <f>COUNTIFS(tblAvisos[Equipo],tblEquipos[[#This Row],[Código equipo]],tblAvisos[Estado trabajo],"&lt;&gt;Cerrado",tblAvisos[Condición equipo],"Parado")</f>
        <v>2</v>
      </c>
      <c r="I149" s="871">
        <f>IFERROR(1/(1/_xlfn.MAXIFS(tblAvisos[Fecha reporte],tblAvisos[Equipo],tblEquipos[[#This Row],[Código equipo]])),"")</f>
        <v>46002</v>
      </c>
    </row>
    <row r="150" spans="2:9">
      <c r="B150" s="900" t="s">
        <v>1113</v>
      </c>
      <c r="C150" t="s">
        <v>2502</v>
      </c>
      <c r="F150">
        <f>COUNTIFS(tblAvisos[Equipo],tblEquipos[[#This Row],[Código equipo]])</f>
        <v>2</v>
      </c>
      <c r="G150">
        <f>COUNTIFS(tblAvisos[Equipo],tblEquipos[[#This Row],[Código equipo]],tblAvisos[Estado trabajo],"&lt;&gt;Cerrado")</f>
        <v>2</v>
      </c>
      <c r="H150">
        <f>COUNTIFS(tblAvisos[Equipo],tblEquipos[[#This Row],[Código equipo]],tblAvisos[Estado trabajo],"&lt;&gt;Cerrado",tblAvisos[Condición equipo],"Parado")</f>
        <v>0</v>
      </c>
      <c r="I150" s="871" t="str">
        <f>IFERROR(1/(1/_xlfn.MAXIFS(tblAvisos[Fecha reporte],tblAvisos[Equipo],tblEquipos[[#This Row],[Código equipo]])),"")</f>
        <v/>
      </c>
    </row>
    <row r="151" spans="2:9">
      <c r="B151" s="900" t="s">
        <v>806</v>
      </c>
      <c r="C151" t="s">
        <v>2502</v>
      </c>
      <c r="F151">
        <f>COUNTIFS(tblAvisos[Equipo],tblEquipos[[#This Row],[Código equipo]])</f>
        <v>2</v>
      </c>
      <c r="G151">
        <f>COUNTIFS(tblAvisos[Equipo],tblEquipos[[#This Row],[Código equipo]],tblAvisos[Estado trabajo],"&lt;&gt;Cerrado")</f>
        <v>2</v>
      </c>
      <c r="H151">
        <f>COUNTIFS(tblAvisos[Equipo],tblEquipos[[#This Row],[Código equipo]],tblAvisos[Estado trabajo],"&lt;&gt;Cerrado",tblAvisos[Condición equipo],"Parado")</f>
        <v>1</v>
      </c>
      <c r="I151" s="871">
        <f>IFERROR(1/(1/_xlfn.MAXIFS(tblAvisos[Fecha reporte],tblAvisos[Equipo],tblEquipos[[#This Row],[Código equipo]])),"")</f>
        <v>46014</v>
      </c>
    </row>
    <row r="152" spans="2:9">
      <c r="B152" s="900" t="s">
        <v>799</v>
      </c>
      <c r="C152" t="s">
        <v>2502</v>
      </c>
      <c r="F152">
        <f>COUNTIFS(tblAvisos[Equipo],tblEquipos[[#This Row],[Código equipo]])</f>
        <v>8</v>
      </c>
      <c r="G152">
        <f>COUNTIFS(tblAvisos[Equipo],tblEquipos[[#This Row],[Código equipo]],tblAvisos[Estado trabajo],"&lt;&gt;Cerrado")</f>
        <v>8</v>
      </c>
      <c r="H152">
        <f>COUNTIFS(tblAvisos[Equipo],tblEquipos[[#This Row],[Código equipo]],tblAvisos[Estado trabajo],"&lt;&gt;Cerrado",tblAvisos[Condición equipo],"Parado")</f>
        <v>5</v>
      </c>
      <c r="I152" s="871">
        <f>IFERROR(1/(1/_xlfn.MAXIFS(tblAvisos[Fecha reporte],tblAvisos[Equipo],tblEquipos[[#This Row],[Código equipo]])),"")</f>
        <v>46039</v>
      </c>
    </row>
    <row r="153" spans="2:9">
      <c r="B153" s="900" t="s">
        <v>847</v>
      </c>
      <c r="C153" t="s">
        <v>2502</v>
      </c>
      <c r="F153">
        <f>COUNTIFS(tblAvisos[Equipo],tblEquipos[[#This Row],[Código equipo]])</f>
        <v>2</v>
      </c>
      <c r="G153">
        <f>COUNTIFS(tblAvisos[Equipo],tblEquipos[[#This Row],[Código equipo]],tblAvisos[Estado trabajo],"&lt;&gt;Cerrado")</f>
        <v>2</v>
      </c>
      <c r="H153">
        <f>COUNTIFS(tblAvisos[Equipo],tblEquipos[[#This Row],[Código equipo]],tblAvisos[Estado trabajo],"&lt;&gt;Cerrado",tblAvisos[Condición equipo],"Parado")</f>
        <v>1</v>
      </c>
      <c r="I153" s="871">
        <f>IFERROR(1/(1/_xlfn.MAXIFS(tblAvisos[Fecha reporte],tblAvisos[Equipo],tblEquipos[[#This Row],[Código equipo]])),"")</f>
        <v>45983</v>
      </c>
    </row>
    <row r="154" spans="2:9">
      <c r="B154" s="900" t="s">
        <v>1075</v>
      </c>
      <c r="C154" t="s">
        <v>2502</v>
      </c>
      <c r="F154">
        <f>COUNTIFS(tblAvisos[Equipo],tblEquipos[[#This Row],[Código equipo]])</f>
        <v>2</v>
      </c>
      <c r="G154">
        <f>COUNTIFS(tblAvisos[Equipo],tblEquipos[[#This Row],[Código equipo]],tblAvisos[Estado trabajo],"&lt;&gt;Cerrado")</f>
        <v>2</v>
      </c>
      <c r="H154">
        <f>COUNTIFS(tblAvisos[Equipo],tblEquipos[[#This Row],[Código equipo]],tblAvisos[Estado trabajo],"&lt;&gt;Cerrado",tblAvisos[Condición equipo],"Parado")</f>
        <v>2</v>
      </c>
      <c r="I154" s="871">
        <f>IFERROR(1/(1/_xlfn.MAXIFS(tblAvisos[Fecha reporte],tblAvisos[Equipo],tblEquipos[[#This Row],[Código equipo]])),"")</f>
        <v>46044</v>
      </c>
    </row>
    <row r="155" spans="2:9">
      <c r="B155" s="900" t="s">
        <v>995</v>
      </c>
      <c r="C155" t="s">
        <v>2502</v>
      </c>
      <c r="F155">
        <f>COUNTIFS(tblAvisos[Equipo],tblEquipos[[#This Row],[Código equipo]])</f>
        <v>6</v>
      </c>
      <c r="G155">
        <f>COUNTIFS(tblAvisos[Equipo],tblEquipos[[#This Row],[Código equipo]],tblAvisos[Estado trabajo],"&lt;&gt;Cerrado")</f>
        <v>6</v>
      </c>
      <c r="H155">
        <f>COUNTIFS(tblAvisos[Equipo],tblEquipos[[#This Row],[Código equipo]],tblAvisos[Estado trabajo],"&lt;&gt;Cerrado",tblAvisos[Condición equipo],"Parado")</f>
        <v>2</v>
      </c>
      <c r="I155" s="871">
        <f>IFERROR(1/(1/_xlfn.MAXIFS(tblAvisos[Fecha reporte],tblAvisos[Equipo],tblEquipos[[#This Row],[Código equipo]])),"")</f>
        <v>46358</v>
      </c>
    </row>
    <row r="156" spans="2:9">
      <c r="B156" s="900" t="s">
        <v>1106</v>
      </c>
      <c r="C156" t="s">
        <v>2502</v>
      </c>
      <c r="F156">
        <f>COUNTIFS(tblAvisos[Equipo],tblEquipos[[#This Row],[Código equipo]])</f>
        <v>3</v>
      </c>
      <c r="G156">
        <f>COUNTIFS(tblAvisos[Equipo],tblEquipos[[#This Row],[Código equipo]],tblAvisos[Estado trabajo],"&lt;&gt;Cerrado")</f>
        <v>3</v>
      </c>
      <c r="H156">
        <f>COUNTIFS(tblAvisos[Equipo],tblEquipos[[#This Row],[Código equipo]],tblAvisos[Estado trabajo],"&lt;&gt;Cerrado",tblAvisos[Condición equipo],"Parado")</f>
        <v>2</v>
      </c>
      <c r="I156" s="871" t="str">
        <f>IFERROR(1/(1/_xlfn.MAXIFS(tblAvisos[Fecha reporte],tblAvisos[Equipo],tblEquipos[[#This Row],[Código equipo]])),"")</f>
        <v/>
      </c>
    </row>
    <row r="157" spans="2:9">
      <c r="B157" s="900" t="s">
        <v>824</v>
      </c>
      <c r="C157" t="s">
        <v>2502</v>
      </c>
      <c r="F157">
        <f>COUNTIFS(tblAvisos[Equipo],tblEquipos[[#This Row],[Código equipo]])</f>
        <v>3</v>
      </c>
      <c r="G157">
        <f>COUNTIFS(tblAvisos[Equipo],tblEquipos[[#This Row],[Código equipo]],tblAvisos[Estado trabajo],"&lt;&gt;Cerrado")</f>
        <v>3</v>
      </c>
      <c r="H157">
        <f>COUNTIFS(tblAvisos[Equipo],tblEquipos[[#This Row],[Código equipo]],tblAvisos[Estado trabajo],"&lt;&gt;Cerrado",tblAvisos[Condición equipo],"Parado")</f>
        <v>2</v>
      </c>
      <c r="I157" s="871">
        <f>IFERROR(1/(1/_xlfn.MAXIFS(tblAvisos[Fecha reporte],tblAvisos[Equipo],tblEquipos[[#This Row],[Código equipo]])),"")</f>
        <v>45981</v>
      </c>
    </row>
    <row r="158" spans="2:9">
      <c r="B158" s="900" t="s">
        <v>1098</v>
      </c>
      <c r="C158" t="s">
        <v>2502</v>
      </c>
      <c r="F158">
        <f>COUNTIFS(tblAvisos[Equipo],tblEquipos[[#This Row],[Código equipo]])</f>
        <v>4</v>
      </c>
      <c r="G158">
        <f>COUNTIFS(tblAvisos[Equipo],tblEquipos[[#This Row],[Código equipo]],tblAvisos[Estado trabajo],"&lt;&gt;Cerrado")</f>
        <v>4</v>
      </c>
      <c r="H158">
        <f>COUNTIFS(tblAvisos[Equipo],tblEquipos[[#This Row],[Código equipo]],tblAvisos[Estado trabajo],"&lt;&gt;Cerrado",tblAvisos[Condición equipo],"Parado")</f>
        <v>1</v>
      </c>
      <c r="I158" s="871">
        <f>IFERROR(1/(1/_xlfn.MAXIFS(tblAvisos[Fecha reporte],tblAvisos[Equipo],tblEquipos[[#This Row],[Código equipo]])),"")</f>
        <v>46114</v>
      </c>
    </row>
    <row r="159" spans="2:9">
      <c r="B159" s="900" t="s">
        <v>1060</v>
      </c>
      <c r="C159" t="s">
        <v>2502</v>
      </c>
      <c r="F159">
        <f>COUNTIFS(tblAvisos[Equipo],tblEquipos[[#This Row],[Código equipo]])</f>
        <v>2</v>
      </c>
      <c r="G159">
        <f>COUNTIFS(tblAvisos[Equipo],tblEquipos[[#This Row],[Código equipo]],tblAvisos[Estado trabajo],"&lt;&gt;Cerrado")</f>
        <v>2</v>
      </c>
      <c r="H159">
        <f>COUNTIFS(tblAvisos[Equipo],tblEquipos[[#This Row],[Código equipo]],tblAvisos[Estado trabajo],"&lt;&gt;Cerrado",tblAvisos[Condición equipo],"Parado")</f>
        <v>1</v>
      </c>
      <c r="I159" s="871" t="str">
        <f>IFERROR(1/(1/_xlfn.MAXIFS(tblAvisos[Fecha reporte],tblAvisos[Equipo],tblEquipos[[#This Row],[Código equipo]])),"")</f>
        <v/>
      </c>
    </row>
    <row r="160" spans="2:9">
      <c r="B160" s="900" t="s">
        <v>870</v>
      </c>
      <c r="C160" t="s">
        <v>2502</v>
      </c>
      <c r="F160">
        <f>COUNTIFS(tblAvisos[Equipo],tblEquipos[[#This Row],[Código equipo]])</f>
        <v>5</v>
      </c>
      <c r="G160">
        <f>COUNTIFS(tblAvisos[Equipo],tblEquipos[[#This Row],[Código equipo]],tblAvisos[Estado trabajo],"&lt;&gt;Cerrado")</f>
        <v>5</v>
      </c>
      <c r="H160">
        <f>COUNTIFS(tblAvisos[Equipo],tblEquipos[[#This Row],[Código equipo]],tblAvisos[Estado trabajo],"&lt;&gt;Cerrado",tblAvisos[Condición equipo],"Parado")</f>
        <v>2</v>
      </c>
      <c r="I160" s="871">
        <f>IFERROR(1/(1/_xlfn.MAXIFS(tblAvisos[Fecha reporte],tblAvisos[Equipo],tblEquipos[[#This Row],[Código equipo]])),"")</f>
        <v>46011</v>
      </c>
    </row>
    <row r="161" spans="2:9">
      <c r="B161" s="900" t="s">
        <v>990</v>
      </c>
      <c r="C161" t="s">
        <v>2502</v>
      </c>
      <c r="F161">
        <f>COUNTIFS(tblAvisos[Equipo],tblEquipos[[#This Row],[Código equipo]])</f>
        <v>6</v>
      </c>
      <c r="G161">
        <f>COUNTIFS(tblAvisos[Equipo],tblEquipos[[#This Row],[Código equipo]],tblAvisos[Estado trabajo],"&lt;&gt;Cerrado")</f>
        <v>6</v>
      </c>
      <c r="H161">
        <f>COUNTIFS(tblAvisos[Equipo],tblEquipos[[#This Row],[Código equipo]],tblAvisos[Estado trabajo],"&lt;&gt;Cerrado",tblAvisos[Condición equipo],"Parado")</f>
        <v>4</v>
      </c>
      <c r="I161" s="871">
        <f>IFERROR(1/(1/_xlfn.MAXIFS(tblAvisos[Fecha reporte],tblAvisos[Equipo],tblEquipos[[#This Row],[Código equipo]])),"")</f>
        <v>46038</v>
      </c>
    </row>
    <row r="162" spans="2:9">
      <c r="B162" s="900" t="s">
        <v>921</v>
      </c>
      <c r="C162" t="s">
        <v>2502</v>
      </c>
      <c r="F162">
        <f>COUNTIFS(tblAvisos[Equipo],tblEquipos[[#This Row],[Código equipo]])</f>
        <v>6</v>
      </c>
      <c r="G162">
        <f>COUNTIFS(tblAvisos[Equipo],tblEquipos[[#This Row],[Código equipo]],tblAvisos[Estado trabajo],"&lt;&gt;Cerrado")</f>
        <v>6</v>
      </c>
      <c r="H162">
        <f>COUNTIFS(tblAvisos[Equipo],tblEquipos[[#This Row],[Código equipo]],tblAvisos[Estado trabajo],"&lt;&gt;Cerrado",tblAvisos[Condición equipo],"Parado")</f>
        <v>4</v>
      </c>
      <c r="I162" s="871">
        <f>IFERROR(1/(1/_xlfn.MAXIFS(tblAvisos[Fecha reporte],tblAvisos[Equipo],tblEquipos[[#This Row],[Código equipo]])),"")</f>
        <v>46052</v>
      </c>
    </row>
    <row r="163" spans="2:9">
      <c r="B163" s="900" t="s">
        <v>1077</v>
      </c>
      <c r="C163" t="s">
        <v>2502</v>
      </c>
      <c r="F163">
        <f>COUNTIFS(tblAvisos[Equipo],tblEquipos[[#This Row],[Código equipo]])</f>
        <v>1</v>
      </c>
      <c r="G163">
        <f>COUNTIFS(tblAvisos[Equipo],tblEquipos[[#This Row],[Código equipo]],tblAvisos[Estado trabajo],"&lt;&gt;Cerrado")</f>
        <v>1</v>
      </c>
      <c r="H163">
        <f>COUNTIFS(tblAvisos[Equipo],tblEquipos[[#This Row],[Código equipo]],tblAvisos[Estado trabajo],"&lt;&gt;Cerrado",tblAvisos[Condición equipo],"Parado")</f>
        <v>1</v>
      </c>
      <c r="I163" s="871" t="str">
        <f>IFERROR(1/(1/_xlfn.MAXIFS(tblAvisos[Fecha reporte],tblAvisos[Equipo],tblEquipos[[#This Row],[Código equipo]])),"")</f>
        <v/>
      </c>
    </row>
    <row r="164" spans="2:9">
      <c r="B164" s="900" t="s">
        <v>1038</v>
      </c>
      <c r="C164" t="s">
        <v>2502</v>
      </c>
      <c r="F164">
        <f>COUNTIFS(tblAvisos[Equipo],tblEquipos[[#This Row],[Código equipo]])</f>
        <v>3</v>
      </c>
      <c r="G164">
        <f>COUNTIFS(tblAvisos[Equipo],tblEquipos[[#This Row],[Código equipo]],tblAvisos[Estado trabajo],"&lt;&gt;Cerrado")</f>
        <v>3</v>
      </c>
      <c r="H164">
        <f>COUNTIFS(tblAvisos[Equipo],tblEquipos[[#This Row],[Código equipo]],tblAvisos[Estado trabajo],"&lt;&gt;Cerrado",tblAvisos[Condición equipo],"Parado")</f>
        <v>3</v>
      </c>
      <c r="I164" s="871">
        <f>IFERROR(1/(1/_xlfn.MAXIFS(tblAvisos[Fecha reporte],tblAvisos[Equipo],tblEquipos[[#This Row],[Código equipo]])),"")</f>
        <v>46036</v>
      </c>
    </row>
    <row r="165" spans="2:9">
      <c r="B165" s="900" t="s">
        <v>892</v>
      </c>
      <c r="C165" t="s">
        <v>2502</v>
      </c>
      <c r="F165">
        <f>COUNTIFS(tblAvisos[Equipo],tblEquipos[[#This Row],[Código equipo]])</f>
        <v>1</v>
      </c>
      <c r="G165">
        <f>COUNTIFS(tblAvisos[Equipo],tblEquipos[[#This Row],[Código equipo]],tblAvisos[Estado trabajo],"&lt;&gt;Cerrado")</f>
        <v>1</v>
      </c>
      <c r="H165">
        <f>COUNTIFS(tblAvisos[Equipo],tblEquipos[[#This Row],[Código equipo]],tblAvisos[Estado trabajo],"&lt;&gt;Cerrado",tblAvisos[Condición equipo],"Parado")</f>
        <v>1</v>
      </c>
      <c r="I165" s="871" t="str">
        <f>IFERROR(1/(1/_xlfn.MAXIFS(tblAvisos[Fecha reporte],tblAvisos[Equipo],tblEquipos[[#This Row],[Código equipo]])),"")</f>
        <v/>
      </c>
    </row>
    <row r="166" spans="2:9">
      <c r="B166" s="900" t="s">
        <v>878</v>
      </c>
      <c r="C166" t="s">
        <v>2502</v>
      </c>
      <c r="F166">
        <f>COUNTIFS(tblAvisos[Equipo],tblEquipos[[#This Row],[Código equipo]])</f>
        <v>5</v>
      </c>
      <c r="G166">
        <f>COUNTIFS(tblAvisos[Equipo],tblEquipos[[#This Row],[Código equipo]],tblAvisos[Estado trabajo],"&lt;&gt;Cerrado")</f>
        <v>5</v>
      </c>
      <c r="H166">
        <f>COUNTIFS(tblAvisos[Equipo],tblEquipos[[#This Row],[Código equipo]],tblAvisos[Estado trabajo],"&lt;&gt;Cerrado",tblAvisos[Condición equipo],"Parado")</f>
        <v>3</v>
      </c>
      <c r="I166" s="871" t="str">
        <f>IFERROR(1/(1/_xlfn.MAXIFS(tblAvisos[Fecha reporte],tblAvisos[Equipo],tblEquipos[[#This Row],[Código equipo]])),"")</f>
        <v/>
      </c>
    </row>
    <row r="167" spans="2:9">
      <c r="B167" s="900" t="s">
        <v>880</v>
      </c>
      <c r="C167" t="s">
        <v>2502</v>
      </c>
      <c r="F167">
        <f>COUNTIFS(tblAvisos[Equipo],tblEquipos[[#This Row],[Código equipo]])</f>
        <v>3</v>
      </c>
      <c r="G167">
        <f>COUNTIFS(tblAvisos[Equipo],tblEquipos[[#This Row],[Código equipo]],tblAvisos[Estado trabajo],"&lt;&gt;Cerrado")</f>
        <v>3</v>
      </c>
      <c r="H167">
        <f>COUNTIFS(tblAvisos[Equipo],tblEquipos[[#This Row],[Código equipo]],tblAvisos[Estado trabajo],"&lt;&gt;Cerrado",tblAvisos[Condición equipo],"Parado")</f>
        <v>3</v>
      </c>
      <c r="I167" s="871">
        <f>IFERROR(1/(1/_xlfn.MAXIFS(tblAvisos[Fecha reporte],tblAvisos[Equipo],tblEquipos[[#This Row],[Código equipo]])),"")</f>
        <v>45993</v>
      </c>
    </row>
    <row r="168" spans="2:9">
      <c r="B168" s="900" t="s">
        <v>1032</v>
      </c>
      <c r="C168" t="s">
        <v>2502</v>
      </c>
      <c r="F168">
        <f>COUNTIFS(tblAvisos[Equipo],tblEquipos[[#This Row],[Código equipo]])</f>
        <v>1</v>
      </c>
      <c r="G168">
        <f>COUNTIFS(tblAvisos[Equipo],tblEquipos[[#This Row],[Código equipo]],tblAvisos[Estado trabajo],"&lt;&gt;Cerrado")</f>
        <v>1</v>
      </c>
      <c r="H168">
        <f>COUNTIFS(tblAvisos[Equipo],tblEquipos[[#This Row],[Código equipo]],tblAvisos[Estado trabajo],"&lt;&gt;Cerrado",tblAvisos[Condición equipo],"Parado")</f>
        <v>0</v>
      </c>
      <c r="I168" s="871" t="str">
        <f>IFERROR(1/(1/_xlfn.MAXIFS(tblAvisos[Fecha reporte],tblAvisos[Equipo],tblEquipos[[#This Row],[Código equipo]])),"")</f>
        <v/>
      </c>
    </row>
    <row r="169" spans="2:9">
      <c r="B169" s="900" t="s">
        <v>965</v>
      </c>
      <c r="C169" t="s">
        <v>2502</v>
      </c>
      <c r="F169">
        <f>COUNTIFS(tblAvisos[Equipo],tblEquipos[[#This Row],[Código equipo]])</f>
        <v>1</v>
      </c>
      <c r="G169">
        <f>COUNTIFS(tblAvisos[Equipo],tblEquipos[[#This Row],[Código equipo]],tblAvisos[Estado trabajo],"&lt;&gt;Cerrado")</f>
        <v>1</v>
      </c>
      <c r="H169">
        <f>COUNTIFS(tblAvisos[Equipo],tblEquipos[[#This Row],[Código equipo]],tblAvisos[Estado trabajo],"&lt;&gt;Cerrado",tblAvisos[Condición equipo],"Parado")</f>
        <v>1</v>
      </c>
      <c r="I169" s="871" t="str">
        <f>IFERROR(1/(1/_xlfn.MAXIFS(tblAvisos[Fecha reporte],tblAvisos[Equipo],tblEquipos[[#This Row],[Código equipo]])),"")</f>
        <v/>
      </c>
    </row>
    <row r="170" spans="2:9">
      <c r="B170" s="900" t="s">
        <v>853</v>
      </c>
      <c r="C170" t="s">
        <v>2502</v>
      </c>
      <c r="F170">
        <f>COUNTIFS(tblAvisos[Equipo],tblEquipos[[#This Row],[Código equipo]])</f>
        <v>1</v>
      </c>
      <c r="G170">
        <f>COUNTIFS(tblAvisos[Equipo],tblEquipos[[#This Row],[Código equipo]],tblAvisos[Estado trabajo],"&lt;&gt;Cerrado")</f>
        <v>1</v>
      </c>
      <c r="H170">
        <f>COUNTIFS(tblAvisos[Equipo],tblEquipos[[#This Row],[Código equipo]],tblAvisos[Estado trabajo],"&lt;&gt;Cerrado",tblAvisos[Condición equipo],"Parado")</f>
        <v>0</v>
      </c>
      <c r="I170" s="871">
        <f>IFERROR(1/(1/_xlfn.MAXIFS(tblAvisos[Fecha reporte],tblAvisos[Equipo],tblEquipos[[#This Row],[Código equipo]])),"")</f>
        <v>45985</v>
      </c>
    </row>
    <row r="171" spans="2:9">
      <c r="B171" s="900" t="s">
        <v>971</v>
      </c>
      <c r="C171" t="s">
        <v>2502</v>
      </c>
      <c r="F171">
        <f>COUNTIFS(tblAvisos[Equipo],tblEquipos[[#This Row],[Código equipo]])</f>
        <v>4</v>
      </c>
      <c r="G171">
        <f>COUNTIFS(tblAvisos[Equipo],tblEquipos[[#This Row],[Código equipo]],tblAvisos[Estado trabajo],"&lt;&gt;Cerrado")</f>
        <v>4</v>
      </c>
      <c r="H171">
        <f>COUNTIFS(tblAvisos[Equipo],tblEquipos[[#This Row],[Código equipo]],tblAvisos[Estado trabajo],"&lt;&gt;Cerrado",tblAvisos[Condición equipo],"Parado")</f>
        <v>1</v>
      </c>
      <c r="I171" s="871">
        <f>IFERROR(1/(1/_xlfn.MAXIFS(tblAvisos[Fecha reporte],tblAvisos[Equipo],tblEquipos[[#This Row],[Código equipo]])),"")</f>
        <v>46297</v>
      </c>
    </row>
    <row r="172" spans="2:9">
      <c r="B172" s="900" t="s">
        <v>964</v>
      </c>
      <c r="C172" t="s">
        <v>2502</v>
      </c>
      <c r="F172">
        <f>COUNTIFS(tblAvisos[Equipo],tblEquipos[[#This Row],[Código equipo]])</f>
        <v>2</v>
      </c>
      <c r="G172">
        <f>COUNTIFS(tblAvisos[Equipo],tblEquipos[[#This Row],[Código equipo]],tblAvisos[Estado trabajo],"&lt;&gt;Cerrado")</f>
        <v>2</v>
      </c>
      <c r="H172">
        <f>COUNTIFS(tblAvisos[Equipo],tblEquipos[[#This Row],[Código equipo]],tblAvisos[Estado trabajo],"&lt;&gt;Cerrado",tblAvisos[Condición equipo],"Parado")</f>
        <v>2</v>
      </c>
      <c r="I172" s="871">
        <f>IFERROR(1/(1/_xlfn.MAXIFS(tblAvisos[Fecha reporte],tblAvisos[Equipo],tblEquipos[[#This Row],[Código equipo]])),"")</f>
        <v>46021</v>
      </c>
    </row>
    <row r="173" spans="2:9">
      <c r="B173" s="900" t="s">
        <v>885</v>
      </c>
      <c r="C173" t="s">
        <v>2502</v>
      </c>
      <c r="F173">
        <f>COUNTIFS(tblAvisos[Equipo],tblEquipos[[#This Row],[Código equipo]])</f>
        <v>3</v>
      </c>
      <c r="G173">
        <f>COUNTIFS(tblAvisos[Equipo],tblEquipos[[#This Row],[Código equipo]],tblAvisos[Estado trabajo],"&lt;&gt;Cerrado")</f>
        <v>3</v>
      </c>
      <c r="H173">
        <f>COUNTIFS(tblAvisos[Equipo],tblEquipos[[#This Row],[Código equipo]],tblAvisos[Estado trabajo],"&lt;&gt;Cerrado",tblAvisos[Condición equipo],"Parado")</f>
        <v>3</v>
      </c>
      <c r="I173" s="871" t="str">
        <f>IFERROR(1/(1/_xlfn.MAXIFS(tblAvisos[Fecha reporte],tblAvisos[Equipo],tblEquipos[[#This Row],[Código equipo]])),"")</f>
        <v/>
      </c>
    </row>
    <row r="174" spans="2:9">
      <c r="B174" s="900" t="s">
        <v>889</v>
      </c>
      <c r="C174" t="s">
        <v>2502</v>
      </c>
      <c r="F174">
        <f>COUNTIFS(tblAvisos[Equipo],tblEquipos[[#This Row],[Código equipo]])</f>
        <v>4</v>
      </c>
      <c r="G174">
        <f>COUNTIFS(tblAvisos[Equipo],tblEquipos[[#This Row],[Código equipo]],tblAvisos[Estado trabajo],"&lt;&gt;Cerrado")</f>
        <v>4</v>
      </c>
      <c r="H174">
        <f>COUNTIFS(tblAvisos[Equipo],tblEquipos[[#This Row],[Código equipo]],tblAvisos[Estado trabajo],"&lt;&gt;Cerrado",tblAvisos[Condición equipo],"Parado")</f>
        <v>4</v>
      </c>
      <c r="I174" s="871">
        <f>IFERROR(1/(1/_xlfn.MAXIFS(tblAvisos[Fecha reporte],tblAvisos[Equipo],tblEquipos[[#This Row],[Código equipo]])),"")</f>
        <v>46006</v>
      </c>
    </row>
    <row r="175" spans="2:9">
      <c r="B175" s="900" t="s">
        <v>818</v>
      </c>
      <c r="C175" t="s">
        <v>2502</v>
      </c>
      <c r="F175">
        <f>COUNTIFS(tblAvisos[Equipo],tblEquipos[[#This Row],[Código equipo]])</f>
        <v>7</v>
      </c>
      <c r="G175">
        <f>COUNTIFS(tblAvisos[Equipo],tblEquipos[[#This Row],[Código equipo]],tblAvisos[Estado trabajo],"&lt;&gt;Cerrado")</f>
        <v>7</v>
      </c>
      <c r="H175">
        <f>COUNTIFS(tblAvisos[Equipo],tblEquipos[[#This Row],[Código equipo]],tblAvisos[Estado trabajo],"&lt;&gt;Cerrado",tblAvisos[Condición equipo],"Parado")</f>
        <v>4</v>
      </c>
      <c r="I175" s="871">
        <f>IFERROR(1/(1/_xlfn.MAXIFS(tblAvisos[Fecha reporte],tblAvisos[Equipo],tblEquipos[[#This Row],[Código equipo]])),"")</f>
        <v>45981</v>
      </c>
    </row>
    <row r="176" spans="2:9">
      <c r="B176" s="900" t="s">
        <v>956</v>
      </c>
      <c r="C176" t="s">
        <v>2502</v>
      </c>
      <c r="F176">
        <f>COUNTIFS(tblAvisos[Equipo],tblEquipos[[#This Row],[Código equipo]])</f>
        <v>1</v>
      </c>
      <c r="G176">
        <f>COUNTIFS(tblAvisos[Equipo],tblEquipos[[#This Row],[Código equipo]],tblAvisos[Estado trabajo],"&lt;&gt;Cerrado")</f>
        <v>1</v>
      </c>
      <c r="H176">
        <f>COUNTIFS(tblAvisos[Equipo],tblEquipos[[#This Row],[Código equipo]],tblAvisos[Estado trabajo],"&lt;&gt;Cerrado",tblAvisos[Condición equipo],"Parado")</f>
        <v>1</v>
      </c>
      <c r="I176" s="871" t="str">
        <f>IFERROR(1/(1/_xlfn.MAXIFS(tblAvisos[Fecha reporte],tblAvisos[Equipo],tblEquipos[[#This Row],[Código equipo]])),"")</f>
        <v/>
      </c>
    </row>
    <row r="177" spans="2:9">
      <c r="B177" s="900" t="s">
        <v>822</v>
      </c>
      <c r="C177" t="s">
        <v>2502</v>
      </c>
      <c r="F177">
        <f>COUNTIFS(tblAvisos[Equipo],tblEquipos[[#This Row],[Código equipo]])</f>
        <v>5</v>
      </c>
      <c r="G177">
        <f>COUNTIFS(tblAvisos[Equipo],tblEquipos[[#This Row],[Código equipo]],tblAvisos[Estado trabajo],"&lt;&gt;Cerrado")</f>
        <v>5</v>
      </c>
      <c r="H177">
        <f>COUNTIFS(tblAvisos[Equipo],tblEquipos[[#This Row],[Código equipo]],tblAvisos[Estado trabajo],"&lt;&gt;Cerrado",tblAvisos[Condición equipo],"Parado")</f>
        <v>2</v>
      </c>
      <c r="I177" s="871">
        <f>IFERROR(1/(1/_xlfn.MAXIFS(tblAvisos[Fecha reporte],tblAvisos[Equipo],tblEquipos[[#This Row],[Código equipo]])),"")</f>
        <v>46017</v>
      </c>
    </row>
    <row r="178" spans="2:9">
      <c r="B178" s="900" t="s">
        <v>801</v>
      </c>
      <c r="C178" t="s">
        <v>2502</v>
      </c>
      <c r="F178">
        <f>COUNTIFS(tblAvisos[Equipo],tblEquipos[[#This Row],[Código equipo]])</f>
        <v>1</v>
      </c>
      <c r="G178">
        <f>COUNTIFS(tblAvisos[Equipo],tblEquipos[[#This Row],[Código equipo]],tblAvisos[Estado trabajo],"&lt;&gt;Cerrado")</f>
        <v>1</v>
      </c>
      <c r="H178">
        <f>COUNTIFS(tblAvisos[Equipo],tblEquipos[[#This Row],[Código equipo]],tblAvisos[Estado trabajo],"&lt;&gt;Cerrado",tblAvisos[Condición equipo],"Parado")</f>
        <v>0</v>
      </c>
      <c r="I178" s="871">
        <f>IFERROR(1/(1/_xlfn.MAXIFS(tblAvisos[Fecha reporte],tblAvisos[Equipo],tblEquipos[[#This Row],[Código equipo]])),"")</f>
        <v>45940</v>
      </c>
    </row>
    <row r="179" spans="2:9">
      <c r="B179" s="900" t="s">
        <v>1045</v>
      </c>
      <c r="C179" t="s">
        <v>2502</v>
      </c>
      <c r="F179">
        <f>COUNTIFS(tblAvisos[Equipo],tblEquipos[[#This Row],[Código equipo]])</f>
        <v>1</v>
      </c>
      <c r="G179">
        <f>COUNTIFS(tblAvisos[Equipo],tblEquipos[[#This Row],[Código equipo]],tblAvisos[Estado trabajo],"&lt;&gt;Cerrado")</f>
        <v>1</v>
      </c>
      <c r="H179">
        <f>COUNTIFS(tblAvisos[Equipo],tblEquipos[[#This Row],[Código equipo]],tblAvisos[Estado trabajo],"&lt;&gt;Cerrado",tblAvisos[Condición equipo],"Parado")</f>
        <v>1</v>
      </c>
      <c r="I179" s="871" t="str">
        <f>IFERROR(1/(1/_xlfn.MAXIFS(tblAvisos[Fecha reporte],tblAvisos[Equipo],tblEquipos[[#This Row],[Código equipo]])),"")</f>
        <v/>
      </c>
    </row>
    <row r="180" spans="2:9">
      <c r="B180" s="900" t="s">
        <v>1089</v>
      </c>
      <c r="C180" t="s">
        <v>2502</v>
      </c>
      <c r="F180">
        <f>COUNTIFS(tblAvisos[Equipo],tblEquipos[[#This Row],[Código equipo]])</f>
        <v>1</v>
      </c>
      <c r="G180">
        <f>COUNTIFS(tblAvisos[Equipo],tblEquipos[[#This Row],[Código equipo]],tblAvisos[Estado trabajo],"&lt;&gt;Cerrado")</f>
        <v>1</v>
      </c>
      <c r="H180">
        <f>COUNTIFS(tblAvisos[Equipo],tblEquipos[[#This Row],[Código equipo]],tblAvisos[Estado trabajo],"&lt;&gt;Cerrado",tblAvisos[Condición equipo],"Parado")</f>
        <v>0</v>
      </c>
      <c r="I180" s="871" t="str">
        <f>IFERROR(1/(1/_xlfn.MAXIFS(tblAvisos[Fecha reporte],tblAvisos[Equipo],tblEquipos[[#This Row],[Código equipo]])),"")</f>
        <v/>
      </c>
    </row>
    <row r="181" spans="2:9">
      <c r="B181" s="900" t="s">
        <v>883</v>
      </c>
      <c r="C181" t="s">
        <v>2502</v>
      </c>
      <c r="F181">
        <f>COUNTIFS(tblAvisos[Equipo],tblEquipos[[#This Row],[Código equipo]])</f>
        <v>1</v>
      </c>
      <c r="G181">
        <f>COUNTIFS(tblAvisos[Equipo],tblEquipos[[#This Row],[Código equipo]],tblAvisos[Estado trabajo],"&lt;&gt;Cerrado")</f>
        <v>1</v>
      </c>
      <c r="H181">
        <f>COUNTIFS(tblAvisos[Equipo],tblEquipos[[#This Row],[Código equipo]],tblAvisos[Estado trabajo],"&lt;&gt;Cerrado",tblAvisos[Condición equipo],"Parado")</f>
        <v>1</v>
      </c>
      <c r="I181" s="871" t="str">
        <f>IFERROR(1/(1/_xlfn.MAXIFS(tblAvisos[Fecha reporte],tblAvisos[Equipo],tblEquipos[[#This Row],[Código equipo]])),"")</f>
        <v/>
      </c>
    </row>
    <row r="182" spans="2:9">
      <c r="B182" s="900" t="s">
        <v>1102</v>
      </c>
      <c r="C182" t="s">
        <v>2502</v>
      </c>
      <c r="F182">
        <f>COUNTIFS(tblAvisos[Equipo],tblEquipos[[#This Row],[Código equipo]])</f>
        <v>1</v>
      </c>
      <c r="G182">
        <f>COUNTIFS(tblAvisos[Equipo],tblEquipos[[#This Row],[Código equipo]],tblAvisos[Estado trabajo],"&lt;&gt;Cerrado")</f>
        <v>1</v>
      </c>
      <c r="H182">
        <f>COUNTIFS(tblAvisos[Equipo],tblEquipos[[#This Row],[Código equipo]],tblAvisos[Estado trabajo],"&lt;&gt;Cerrado",tblAvisos[Condición equipo],"Parado")</f>
        <v>0</v>
      </c>
      <c r="I182" s="871" t="str">
        <f>IFERROR(1/(1/_xlfn.MAXIFS(tblAvisos[Fecha reporte],tblAvisos[Equipo],tblEquipos[[#This Row],[Código equipo]])),"")</f>
        <v/>
      </c>
    </row>
    <row r="183" spans="2:9">
      <c r="B183" s="900" t="s">
        <v>859</v>
      </c>
      <c r="C183" t="s">
        <v>2502</v>
      </c>
      <c r="F183">
        <f>COUNTIFS(tblAvisos[Equipo],tblEquipos[[#This Row],[Código equipo]])</f>
        <v>1</v>
      </c>
      <c r="G183">
        <f>COUNTIFS(tblAvisos[Equipo],tblEquipos[[#This Row],[Código equipo]],tblAvisos[Estado trabajo],"&lt;&gt;Cerrado")</f>
        <v>1</v>
      </c>
      <c r="H183">
        <f>COUNTIFS(tblAvisos[Equipo],tblEquipos[[#This Row],[Código equipo]],tblAvisos[Estado trabajo],"&lt;&gt;Cerrado",tblAvisos[Condición equipo],"Parado")</f>
        <v>0</v>
      </c>
      <c r="I183" s="871" t="str">
        <f>IFERROR(1/(1/_xlfn.MAXIFS(tblAvisos[Fecha reporte],tblAvisos[Equipo],tblEquipos[[#This Row],[Código equipo]])),"")</f>
        <v/>
      </c>
    </row>
    <row r="184" spans="2:9">
      <c r="B184" s="900" t="s">
        <v>1174</v>
      </c>
      <c r="C184" t="s">
        <v>2503</v>
      </c>
      <c r="F184">
        <f>COUNTIFS(tblAvisos[Equipo],tblEquipos[[#This Row],[Código equipo]])</f>
        <v>1</v>
      </c>
      <c r="G184">
        <f>COUNTIFS(tblAvisos[Equipo],tblEquipos[[#This Row],[Código equipo]],tblAvisos[Estado trabajo],"&lt;&gt;Cerrado")</f>
        <v>1</v>
      </c>
      <c r="H184">
        <f>COUNTIFS(tblAvisos[Equipo],tblEquipos[[#This Row],[Código equipo]],tblAvisos[Estado trabajo],"&lt;&gt;Cerrado",tblAvisos[Condición equipo],"Parado")</f>
        <v>0</v>
      </c>
      <c r="I184" s="871">
        <f>IFERROR(1/(1/_xlfn.MAXIFS(tblAvisos[Fecha reporte],tblAvisos[Equipo],tblEquipos[[#This Row],[Código equipo]])),"")</f>
        <v>45880</v>
      </c>
    </row>
    <row r="185" spans="2:9">
      <c r="B185" s="900" t="s">
        <v>1176</v>
      </c>
      <c r="C185" t="s">
        <v>2503</v>
      </c>
      <c r="F185">
        <f>COUNTIFS(tblAvisos[Equipo],tblEquipos[[#This Row],[Código equipo]])</f>
        <v>1</v>
      </c>
      <c r="G185">
        <f>COUNTIFS(tblAvisos[Equipo],tblEquipos[[#This Row],[Código equipo]],tblAvisos[Estado trabajo],"&lt;&gt;Cerrado")</f>
        <v>1</v>
      </c>
      <c r="H185">
        <f>COUNTIFS(tblAvisos[Equipo],tblEquipos[[#This Row],[Código equipo]],tblAvisos[Estado trabajo],"&lt;&gt;Cerrado",tblAvisos[Condición equipo],"Parado")</f>
        <v>0</v>
      </c>
      <c r="I185" s="871">
        <f>IFERROR(1/(1/_xlfn.MAXIFS(tblAvisos[Fecha reporte],tblAvisos[Equipo],tblEquipos[[#This Row],[Código equipo]])),"")</f>
        <v>45880</v>
      </c>
    </row>
    <row r="186" spans="2:9">
      <c r="B186" s="900" t="s">
        <v>1178</v>
      </c>
      <c r="C186" t="s">
        <v>2503</v>
      </c>
      <c r="F186">
        <f>COUNTIFS(tblAvisos[Equipo],tblEquipos[[#This Row],[Código equipo]])</f>
        <v>1</v>
      </c>
      <c r="G186">
        <f>COUNTIFS(tblAvisos[Equipo],tblEquipos[[#This Row],[Código equipo]],tblAvisos[Estado trabajo],"&lt;&gt;Cerrado")</f>
        <v>1</v>
      </c>
      <c r="H186">
        <f>COUNTIFS(tblAvisos[Equipo],tblEquipos[[#This Row],[Código equipo]],tblAvisos[Estado trabajo],"&lt;&gt;Cerrado",tblAvisos[Condición equipo],"Parado")</f>
        <v>0</v>
      </c>
      <c r="I186" s="871">
        <f>IFERROR(1/(1/_xlfn.MAXIFS(tblAvisos[Fecha reporte],tblAvisos[Equipo],tblEquipos[[#This Row],[Código equipo]])),"")</f>
        <v>45880</v>
      </c>
    </row>
    <row r="187" spans="2:9">
      <c r="B187" s="900" t="s">
        <v>1180</v>
      </c>
      <c r="C187" t="s">
        <v>2503</v>
      </c>
      <c r="F187">
        <f>COUNTIFS(tblAvisos[Equipo],tblEquipos[[#This Row],[Código equipo]])</f>
        <v>1</v>
      </c>
      <c r="G187">
        <f>COUNTIFS(tblAvisos[Equipo],tblEquipos[[#This Row],[Código equipo]],tblAvisos[Estado trabajo],"&lt;&gt;Cerrado")</f>
        <v>1</v>
      </c>
      <c r="H187">
        <f>COUNTIFS(tblAvisos[Equipo],tblEquipos[[#This Row],[Código equipo]],tblAvisos[Estado trabajo],"&lt;&gt;Cerrado",tblAvisos[Condición equipo],"Parado")</f>
        <v>0</v>
      </c>
      <c r="I187" s="871">
        <f>IFERROR(1/(1/_xlfn.MAXIFS(tblAvisos[Fecha reporte],tblAvisos[Equipo],tblEquipos[[#This Row],[Código equipo]])),"")</f>
        <v>45880</v>
      </c>
    </row>
    <row r="188" spans="2:9">
      <c r="B188" s="900" t="s">
        <v>1182</v>
      </c>
      <c r="C188" t="s">
        <v>2503</v>
      </c>
      <c r="F188">
        <f>COUNTIFS(tblAvisos[Equipo],tblEquipos[[#This Row],[Código equipo]])</f>
        <v>1</v>
      </c>
      <c r="G188">
        <f>COUNTIFS(tblAvisos[Equipo],tblEquipos[[#This Row],[Código equipo]],tblAvisos[Estado trabajo],"&lt;&gt;Cerrado")</f>
        <v>0</v>
      </c>
      <c r="H188">
        <f>COUNTIFS(tblAvisos[Equipo],tblEquipos[[#This Row],[Código equipo]],tblAvisos[Estado trabajo],"&lt;&gt;Cerrado",tblAvisos[Condición equipo],"Parado")</f>
        <v>0</v>
      </c>
      <c r="I188" s="871">
        <f>IFERROR(1/(1/_xlfn.MAXIFS(tblAvisos[Fecha reporte],tblAvisos[Equipo],tblEquipos[[#This Row],[Código equipo]])),"")</f>
        <v>45967</v>
      </c>
    </row>
    <row r="189" spans="2:9">
      <c r="B189" s="900" t="s">
        <v>1189</v>
      </c>
      <c r="C189" t="s">
        <v>2503</v>
      </c>
      <c r="F189">
        <f>COUNTIFS(tblAvisos[Equipo],tblEquipos[[#This Row],[Código equipo]])</f>
        <v>1</v>
      </c>
      <c r="G189">
        <f>COUNTIFS(tblAvisos[Equipo],tblEquipos[[#This Row],[Código equipo]],tblAvisos[Estado trabajo],"&lt;&gt;Cerrado")</f>
        <v>0</v>
      </c>
      <c r="H189">
        <f>COUNTIFS(tblAvisos[Equipo],tblEquipos[[#This Row],[Código equipo]],tblAvisos[Estado trabajo],"&lt;&gt;Cerrado",tblAvisos[Condición equipo],"Parado")</f>
        <v>0</v>
      </c>
      <c r="I189" s="871">
        <f>IFERROR(1/(1/_xlfn.MAXIFS(tblAvisos[Fecha reporte],tblAvisos[Equipo],tblEquipos[[#This Row],[Código equipo]])),"")</f>
        <v>46011</v>
      </c>
    </row>
    <row r="190" spans="2:9">
      <c r="B190" s="900" t="s">
        <v>1201</v>
      </c>
      <c r="C190" t="s">
        <v>2503</v>
      </c>
      <c r="F190">
        <f>COUNTIFS(tblAvisos[Equipo],tblEquipos[[#This Row],[Código equipo]])</f>
        <v>1</v>
      </c>
      <c r="G190">
        <f>COUNTIFS(tblAvisos[Equipo],tblEquipos[[#This Row],[Código equipo]],tblAvisos[Estado trabajo],"&lt;&gt;Cerrado")</f>
        <v>1</v>
      </c>
      <c r="H190">
        <f>COUNTIFS(tblAvisos[Equipo],tblEquipos[[#This Row],[Código equipo]],tblAvisos[Estado trabajo],"&lt;&gt;Cerrado",tblAvisos[Condición equipo],"Parado")</f>
        <v>0</v>
      </c>
      <c r="I190" s="871">
        <f>IFERROR(1/(1/_xlfn.MAXIFS(tblAvisos[Fecha reporte],tblAvisos[Equipo],tblEquipos[[#This Row],[Código equipo]])),"")</f>
        <v>46108</v>
      </c>
    </row>
    <row r="191" spans="2:9">
      <c r="B191" s="900" t="s">
        <v>1186</v>
      </c>
      <c r="C191" t="s">
        <v>2503</v>
      </c>
      <c r="F191">
        <f>COUNTIFS(tblAvisos[Equipo],tblEquipos[[#This Row],[Código equipo]])</f>
        <v>1</v>
      </c>
      <c r="G191">
        <f>COUNTIFS(tblAvisos[Equipo],tblEquipos[[#This Row],[Código equipo]],tblAvisos[Estado trabajo],"&lt;&gt;Cerrado")</f>
        <v>0</v>
      </c>
      <c r="H191">
        <f>COUNTIFS(tblAvisos[Equipo],tblEquipos[[#This Row],[Código equipo]],tblAvisos[Estado trabajo],"&lt;&gt;Cerrado",tblAvisos[Condición equipo],"Parado")</f>
        <v>0</v>
      </c>
      <c r="I191" s="871">
        <f>IFERROR(1/(1/_xlfn.MAXIFS(tblAvisos[Fecha reporte],tblAvisos[Equipo],tblEquipos[[#This Row],[Código equipo]])),"")</f>
        <v>46009</v>
      </c>
    </row>
    <row r="192" spans="2:9">
      <c r="B192" s="900" t="s">
        <v>1203</v>
      </c>
      <c r="C192" t="s">
        <v>2503</v>
      </c>
      <c r="F192">
        <f>COUNTIFS(tblAvisos[Equipo],tblEquipos[[#This Row],[Código equipo]])</f>
        <v>1</v>
      </c>
      <c r="G192">
        <f>COUNTIFS(tblAvisos[Equipo],tblEquipos[[#This Row],[Código equipo]],tblAvisos[Estado trabajo],"&lt;&gt;Cerrado")</f>
        <v>0</v>
      </c>
      <c r="H192">
        <f>COUNTIFS(tblAvisos[Equipo],tblEquipos[[#This Row],[Código equipo]],tblAvisos[Estado trabajo],"&lt;&gt;Cerrado",tblAvisos[Condición equipo],"Parado")</f>
        <v>0</v>
      </c>
      <c r="I192" s="871">
        <f>IFERROR(1/(1/_xlfn.MAXIFS(tblAvisos[Fecha reporte],tblAvisos[Equipo],tblEquipos[[#This Row],[Código equipo]])),"")</f>
        <v>46132</v>
      </c>
    </row>
    <row r="193" spans="2:9">
      <c r="B193" s="900" t="s">
        <v>1171</v>
      </c>
      <c r="C193" t="s">
        <v>2503</v>
      </c>
      <c r="F193">
        <f>COUNTIFS(tblAvisos[Equipo],tblEquipos[[#This Row],[Código equipo]])</f>
        <v>1</v>
      </c>
      <c r="G193">
        <f>COUNTIFS(tblAvisos[Equipo],tblEquipos[[#This Row],[Código equipo]],tblAvisos[Estado trabajo],"&lt;&gt;Cerrado")</f>
        <v>1</v>
      </c>
      <c r="H193">
        <f>COUNTIFS(tblAvisos[Equipo],tblEquipos[[#This Row],[Código equipo]],tblAvisos[Estado trabajo],"&lt;&gt;Cerrado",tblAvisos[Condición equipo],"Parado")</f>
        <v>0</v>
      </c>
      <c r="I193" s="871">
        <f>IFERROR(1/(1/_xlfn.MAXIFS(tblAvisos[Fecha reporte],tblAvisos[Equipo],tblEquipos[[#This Row],[Código equipo]])),"")</f>
        <v>45880</v>
      </c>
    </row>
    <row r="194" spans="2:9">
      <c r="B194" s="900" t="s">
        <v>1162</v>
      </c>
      <c r="C194" t="s">
        <v>2503</v>
      </c>
      <c r="F194">
        <f>COUNTIFS(tblAvisos[Equipo],tblEquipos[[#This Row],[Código equipo]])</f>
        <v>1</v>
      </c>
      <c r="G194">
        <f>COUNTIFS(tblAvisos[Equipo],tblEquipos[[#This Row],[Código equipo]],tblAvisos[Estado trabajo],"&lt;&gt;Cerrado")</f>
        <v>1</v>
      </c>
      <c r="H194">
        <f>COUNTIFS(tblAvisos[Equipo],tblEquipos[[#This Row],[Código equipo]],tblAvisos[Estado trabajo],"&lt;&gt;Cerrado",tblAvisos[Condición equipo],"Parado")</f>
        <v>0</v>
      </c>
      <c r="I194" s="871">
        <f>IFERROR(1/(1/_xlfn.MAXIFS(tblAvisos[Fecha reporte],tblAvisos[Equipo],tblEquipos[[#This Row],[Código equipo]])),"")</f>
        <v>45595</v>
      </c>
    </row>
    <row r="195" spans="2:9">
      <c r="B195" s="900" t="s">
        <v>1168</v>
      </c>
      <c r="C195" t="s">
        <v>2503</v>
      </c>
      <c r="F195">
        <f>COUNTIFS(tblAvisos[Equipo],tblEquipos[[#This Row],[Código equipo]])</f>
        <v>1</v>
      </c>
      <c r="G195">
        <f>COUNTIFS(tblAvisos[Equipo],tblEquipos[[#This Row],[Código equipo]],tblAvisos[Estado trabajo],"&lt;&gt;Cerrado")</f>
        <v>0</v>
      </c>
      <c r="H195">
        <f>COUNTIFS(tblAvisos[Equipo],tblEquipos[[#This Row],[Código equipo]],tblAvisos[Estado trabajo],"&lt;&gt;Cerrado",tblAvisos[Condición equipo],"Parado")</f>
        <v>0</v>
      </c>
      <c r="I195" s="871">
        <f>IFERROR(1/(1/_xlfn.MAXIFS(tblAvisos[Fecha reporte],tblAvisos[Equipo],tblEquipos[[#This Row],[Código equipo]])),"")</f>
        <v>45953</v>
      </c>
    </row>
    <row r="196" spans="2:9">
      <c r="B196" s="900" t="s">
        <v>1196</v>
      </c>
      <c r="C196" t="s">
        <v>2503</v>
      </c>
      <c r="F196">
        <f>COUNTIFS(tblAvisos[Equipo],tblEquipos[[#This Row],[Código equipo]])</f>
        <v>2</v>
      </c>
      <c r="G196">
        <f>COUNTIFS(tblAvisos[Equipo],tblEquipos[[#This Row],[Código equipo]],tblAvisos[Estado trabajo],"&lt;&gt;Cerrado")</f>
        <v>0</v>
      </c>
      <c r="H196">
        <f>COUNTIFS(tblAvisos[Equipo],tblEquipos[[#This Row],[Código equipo]],tblAvisos[Estado trabajo],"&lt;&gt;Cerrado",tblAvisos[Condición equipo],"Parado")</f>
        <v>0</v>
      </c>
      <c r="I196" s="871">
        <f>IFERROR(1/(1/_xlfn.MAXIFS(tblAvisos[Fecha reporte],tblAvisos[Equipo],tblEquipos[[#This Row],[Código equipo]])),"")</f>
        <v>46171</v>
      </c>
    </row>
    <row r="197" spans="2:9">
      <c r="B197" s="900" t="s">
        <v>1166</v>
      </c>
      <c r="C197" t="s">
        <v>2503</v>
      </c>
      <c r="F197">
        <f>COUNTIFS(tblAvisos[Equipo],tblEquipos[[#This Row],[Código equipo]])</f>
        <v>1</v>
      </c>
      <c r="G197">
        <f>COUNTIFS(tblAvisos[Equipo],tblEquipos[[#This Row],[Código equipo]],tblAvisos[Estado trabajo],"&lt;&gt;Cerrado")</f>
        <v>0</v>
      </c>
      <c r="H197">
        <f>COUNTIFS(tblAvisos[Equipo],tblEquipos[[#This Row],[Código equipo]],tblAvisos[Estado trabajo],"&lt;&gt;Cerrado",tblAvisos[Condición equipo],"Parado")</f>
        <v>0</v>
      </c>
      <c r="I197" s="871">
        <f>IFERROR(1/(1/_xlfn.MAXIFS(tblAvisos[Fecha reporte],tblAvisos[Equipo],tblEquipos[[#This Row],[Código equipo]])),"")</f>
        <v>45939</v>
      </c>
    </row>
    <row r="198" spans="2:9">
      <c r="B198" s="900" t="s">
        <v>1205</v>
      </c>
      <c r="C198" t="s">
        <v>2503</v>
      </c>
      <c r="F198">
        <f>COUNTIFS(tblAvisos[Equipo],tblEquipos[[#This Row],[Código equipo]])</f>
        <v>1</v>
      </c>
      <c r="G198">
        <f>COUNTIFS(tblAvisos[Equipo],tblEquipos[[#This Row],[Código equipo]],tblAvisos[Estado trabajo],"&lt;&gt;Cerrado")</f>
        <v>0</v>
      </c>
      <c r="H198">
        <f>COUNTIFS(tblAvisos[Equipo],tblEquipos[[#This Row],[Código equipo]],tblAvisos[Estado trabajo],"&lt;&gt;Cerrado",tblAvisos[Condición equipo],"Parado")</f>
        <v>0</v>
      </c>
      <c r="I198" s="871">
        <f>IFERROR(1/(1/_xlfn.MAXIFS(tblAvisos[Fecha reporte],tblAvisos[Equipo],tblEquipos[[#This Row],[Código equipo]])),"")</f>
        <v>46156</v>
      </c>
    </row>
    <row r="199" spans="2:9">
      <c r="B199" s="900" t="s">
        <v>1156</v>
      </c>
      <c r="C199" t="s">
        <v>2503</v>
      </c>
      <c r="F199">
        <f>COUNTIFS(tblAvisos[Equipo],tblEquipos[[#This Row],[Código equipo]])</f>
        <v>2</v>
      </c>
      <c r="G199">
        <f>COUNTIFS(tblAvisos[Equipo],tblEquipos[[#This Row],[Código equipo]],tblAvisos[Estado trabajo],"&lt;&gt;Cerrado")</f>
        <v>0</v>
      </c>
      <c r="H199">
        <f>COUNTIFS(tblAvisos[Equipo],tblEquipos[[#This Row],[Código equipo]],tblAvisos[Estado trabajo],"&lt;&gt;Cerrado",tblAvisos[Condición equipo],"Parado")</f>
        <v>0</v>
      </c>
      <c r="I199" s="871">
        <f>IFERROR(1/(1/_xlfn.MAXIFS(tblAvisos[Fecha reporte],tblAvisos[Equipo],tblEquipos[[#This Row],[Código equipo]])),"")</f>
        <v>46034</v>
      </c>
    </row>
    <row r="200" spans="2:9">
      <c r="B200" s="900" t="s">
        <v>1194</v>
      </c>
      <c r="C200" t="s">
        <v>2503</v>
      </c>
      <c r="F200">
        <f>COUNTIFS(tblAvisos[Equipo],tblEquipos[[#This Row],[Código equipo]])</f>
        <v>2</v>
      </c>
      <c r="G200">
        <f>COUNTIFS(tblAvisos[Equipo],tblEquipos[[#This Row],[Código equipo]],tblAvisos[Estado trabajo],"&lt;&gt;Cerrado")</f>
        <v>0</v>
      </c>
      <c r="H200">
        <f>COUNTIFS(tblAvisos[Equipo],tblEquipos[[#This Row],[Código equipo]],tblAvisos[Estado trabajo],"&lt;&gt;Cerrado",tblAvisos[Condición equipo],"Parado")</f>
        <v>0</v>
      </c>
      <c r="I200" s="871">
        <f>IFERROR(1/(1/_xlfn.MAXIFS(tblAvisos[Fecha reporte],tblAvisos[Equipo],tblEquipos[[#This Row],[Código equipo]])),"")</f>
        <v>46097</v>
      </c>
    </row>
    <row r="201" spans="2:9">
      <c r="B201" s="900" t="s">
        <v>1208</v>
      </c>
      <c r="C201" t="s">
        <v>2503</v>
      </c>
      <c r="F201">
        <f>COUNTIFS(tblAvisos[Equipo],tblEquipos[[#This Row],[Código equipo]])</f>
        <v>1</v>
      </c>
      <c r="G201">
        <f>COUNTIFS(tblAvisos[Equipo],tblEquipos[[#This Row],[Código equipo]],tblAvisos[Estado trabajo],"&lt;&gt;Cerrado")</f>
        <v>1</v>
      </c>
      <c r="H201">
        <f>COUNTIFS(tblAvisos[Equipo],tblEquipos[[#This Row],[Código equipo]],tblAvisos[Estado trabajo],"&lt;&gt;Cerrado",tblAvisos[Condición equipo],"Parado")</f>
        <v>0</v>
      </c>
      <c r="I201" s="871">
        <f>IFERROR(1/(1/_xlfn.MAXIFS(tblAvisos[Fecha reporte],tblAvisos[Equipo],tblEquipos[[#This Row],[Código equipo]])),"")</f>
        <v>46182</v>
      </c>
    </row>
    <row r="202" spans="2:9">
      <c r="B202" s="900" t="s">
        <v>1191</v>
      </c>
      <c r="C202" t="s">
        <v>2503</v>
      </c>
      <c r="F202">
        <f>COUNTIFS(tblAvisos[Equipo],tblEquipos[[#This Row],[Código equipo]])</f>
        <v>1</v>
      </c>
      <c r="G202">
        <f>COUNTIFS(tblAvisos[Equipo],tblEquipos[[#This Row],[Código equipo]],tblAvisos[Estado trabajo],"&lt;&gt;Cerrado")</f>
        <v>0</v>
      </c>
      <c r="H202">
        <f>COUNTIFS(tblAvisos[Equipo],tblEquipos[[#This Row],[Código equipo]],tblAvisos[Estado trabajo],"&lt;&gt;Cerrado",tblAvisos[Condición equipo],"Parado")</f>
        <v>0</v>
      </c>
      <c r="I202" s="871">
        <f>IFERROR(1/(1/_xlfn.MAXIFS(tblAvisos[Fecha reporte],tblAvisos[Equipo],tblEquipos[[#This Row],[Código equipo]])),"")</f>
        <v>46082</v>
      </c>
    </row>
    <row r="203" spans="2:9">
      <c r="B203" s="900" t="s">
        <v>1184</v>
      </c>
      <c r="C203" t="s">
        <v>2503</v>
      </c>
      <c r="F203">
        <f>COUNTIFS(tblAvisos[Equipo],tblEquipos[[#This Row],[Código equipo]])</f>
        <v>1</v>
      </c>
      <c r="G203">
        <f>COUNTIFS(tblAvisos[Equipo],tblEquipos[[#This Row],[Código equipo]],tblAvisos[Estado trabajo],"&lt;&gt;Cerrado")</f>
        <v>0</v>
      </c>
      <c r="H203">
        <f>COUNTIFS(tblAvisos[Equipo],tblEquipos[[#This Row],[Código equipo]],tblAvisos[Estado trabajo],"&lt;&gt;Cerrado",tblAvisos[Condición equipo],"Parado")</f>
        <v>0</v>
      </c>
      <c r="I203" s="871">
        <f>IFERROR(1/(1/_xlfn.MAXIFS(tblAvisos[Fecha reporte],tblAvisos[Equipo],tblEquipos[[#This Row],[Código equipo]])),"")</f>
        <v>45985</v>
      </c>
    </row>
    <row r="204" spans="2:9">
      <c r="B204" s="900" t="s">
        <v>1159</v>
      </c>
      <c r="C204" t="s">
        <v>2503</v>
      </c>
      <c r="F204">
        <f>COUNTIFS(tblAvisos[Equipo],tblEquipos[[#This Row],[Código equipo]])</f>
        <v>2</v>
      </c>
      <c r="G204">
        <f>COUNTIFS(tblAvisos[Equipo],tblEquipos[[#This Row],[Código equipo]],tblAvisos[Estado trabajo],"&lt;&gt;Cerrado")</f>
        <v>0</v>
      </c>
      <c r="H204">
        <f>COUNTIFS(tblAvisos[Equipo],tblEquipos[[#This Row],[Código equipo]],tblAvisos[Estado trabajo],"&lt;&gt;Cerrado",tblAvisos[Condición equipo],"Parado")</f>
        <v>0</v>
      </c>
      <c r="I204" s="871">
        <f>IFERROR(1/(1/_xlfn.MAXIFS(tblAvisos[Fecha reporte],tblAvisos[Equipo],tblEquipos[[#This Row],[Código equipo]])),"")</f>
        <v>46009</v>
      </c>
    </row>
    <row r="205" spans="2:9">
      <c r="B205" s="900" t="s">
        <v>1228</v>
      </c>
      <c r="C205" t="s">
        <v>2504</v>
      </c>
      <c r="F205">
        <f>COUNTIFS(tblAvisos[Equipo],tblEquipos[[#This Row],[Código equipo]])</f>
        <v>1</v>
      </c>
      <c r="G205">
        <f>COUNTIFS(tblAvisos[Equipo],tblEquipos[[#This Row],[Código equipo]],tblAvisos[Estado trabajo],"&lt;&gt;Cerrado")</f>
        <v>0</v>
      </c>
      <c r="H205">
        <f>COUNTIFS(tblAvisos[Equipo],tblEquipos[[#This Row],[Código equipo]],tblAvisos[Estado trabajo],"&lt;&gt;Cerrado",tblAvisos[Condición equipo],"Parado")</f>
        <v>0</v>
      </c>
      <c r="I205" s="871">
        <f>IFERROR(1/(1/_xlfn.MAXIFS(tblAvisos[Fecha reporte],tblAvisos[Equipo],tblEquipos[[#This Row],[Código equipo]])),"")</f>
        <v>45975</v>
      </c>
    </row>
    <row r="206" spans="2:9">
      <c r="B206" s="900" t="s">
        <v>1244</v>
      </c>
      <c r="C206" t="s">
        <v>2504</v>
      </c>
      <c r="F206">
        <f>COUNTIFS(tblAvisos[Equipo],tblEquipos[[#This Row],[Código equipo]])</f>
        <v>3</v>
      </c>
      <c r="G206">
        <f>COUNTIFS(tblAvisos[Equipo],tblEquipos[[#This Row],[Código equipo]],tblAvisos[Estado trabajo],"&lt;&gt;Cerrado")</f>
        <v>2</v>
      </c>
      <c r="H206">
        <f>COUNTIFS(tblAvisos[Equipo],tblEquipos[[#This Row],[Código equipo]],tblAvisos[Estado trabajo],"&lt;&gt;Cerrado",tblAvisos[Condición equipo],"Parado")</f>
        <v>0</v>
      </c>
      <c r="I206" s="871">
        <f>IFERROR(1/(1/_xlfn.MAXIFS(tblAvisos[Fecha reporte],tblAvisos[Equipo],tblEquipos[[#This Row],[Código equipo]])),"")</f>
        <v>45979</v>
      </c>
    </row>
    <row r="207" spans="2:9">
      <c r="B207" s="900" t="s">
        <v>1247</v>
      </c>
      <c r="C207" t="s">
        <v>2504</v>
      </c>
      <c r="F207">
        <f>COUNTIFS(tblAvisos[Equipo],tblEquipos[[#This Row],[Código equipo]])</f>
        <v>1</v>
      </c>
      <c r="G207">
        <f>COUNTIFS(tblAvisos[Equipo],tblEquipos[[#This Row],[Código equipo]],tblAvisos[Estado trabajo],"&lt;&gt;Cerrado")</f>
        <v>0</v>
      </c>
      <c r="H207">
        <f>COUNTIFS(tblAvisos[Equipo],tblEquipos[[#This Row],[Código equipo]],tblAvisos[Estado trabajo],"&lt;&gt;Cerrado",tblAvisos[Condición equipo],"Parado")</f>
        <v>0</v>
      </c>
      <c r="I207" s="871">
        <f>IFERROR(1/(1/_xlfn.MAXIFS(tblAvisos[Fecha reporte],tblAvisos[Equipo],tblEquipos[[#This Row],[Código equipo]])),"")</f>
        <v>45979</v>
      </c>
    </row>
    <row r="208" spans="2:9">
      <c r="B208" s="900" t="s">
        <v>1269</v>
      </c>
      <c r="C208" t="s">
        <v>2504</v>
      </c>
      <c r="F208">
        <f>COUNTIFS(tblAvisos[Equipo],tblEquipos[[#This Row],[Código equipo]])</f>
        <v>1</v>
      </c>
      <c r="G208">
        <f>COUNTIFS(tblAvisos[Equipo],tblEquipos[[#This Row],[Código equipo]],tblAvisos[Estado trabajo],"&lt;&gt;Cerrado")</f>
        <v>0</v>
      </c>
      <c r="H208">
        <f>COUNTIFS(tblAvisos[Equipo],tblEquipos[[#This Row],[Código equipo]],tblAvisos[Estado trabajo],"&lt;&gt;Cerrado",tblAvisos[Condición equipo],"Parado")</f>
        <v>0</v>
      </c>
      <c r="I208" s="871">
        <f>IFERROR(1/(1/_xlfn.MAXIFS(tblAvisos[Fecha reporte],tblAvisos[Equipo],tblEquipos[[#This Row],[Código equipo]])),"")</f>
        <v>46018</v>
      </c>
    </row>
    <row r="209" spans="2:9">
      <c r="B209" s="900" t="s">
        <v>1215</v>
      </c>
      <c r="C209" t="s">
        <v>2504</v>
      </c>
      <c r="F209">
        <f>COUNTIFS(tblAvisos[Equipo],tblEquipos[[#This Row],[Código equipo]])</f>
        <v>1</v>
      </c>
      <c r="G209">
        <f>COUNTIFS(tblAvisos[Equipo],tblEquipos[[#This Row],[Código equipo]],tblAvisos[Estado trabajo],"&lt;&gt;Cerrado")</f>
        <v>1</v>
      </c>
      <c r="H209">
        <f>COUNTIFS(tblAvisos[Equipo],tblEquipos[[#This Row],[Código equipo]],tblAvisos[Estado trabajo],"&lt;&gt;Cerrado",tblAvisos[Condición equipo],"Parado")</f>
        <v>0</v>
      </c>
      <c r="I209" s="871">
        <f>IFERROR(1/(1/_xlfn.MAXIFS(tblAvisos[Fecha reporte],tblAvisos[Equipo],tblEquipos[[#This Row],[Código equipo]])),"")</f>
        <v>45931</v>
      </c>
    </row>
    <row r="210" spans="2:9">
      <c r="B210" s="900" t="s">
        <v>1224</v>
      </c>
      <c r="C210" t="s">
        <v>2504</v>
      </c>
      <c r="F210">
        <f>COUNTIFS(tblAvisos[Equipo],tblEquipos[[#This Row],[Código equipo]])</f>
        <v>1</v>
      </c>
      <c r="G210">
        <f>COUNTIFS(tblAvisos[Equipo],tblEquipos[[#This Row],[Código equipo]],tblAvisos[Estado trabajo],"&lt;&gt;Cerrado")</f>
        <v>1</v>
      </c>
      <c r="H210">
        <f>COUNTIFS(tblAvisos[Equipo],tblEquipos[[#This Row],[Código equipo]],tblAvisos[Estado trabajo],"&lt;&gt;Cerrado",tblAvisos[Condición equipo],"Parado")</f>
        <v>0</v>
      </c>
      <c r="I210" s="871">
        <f>IFERROR(1/(1/_xlfn.MAXIFS(tblAvisos[Fecha reporte],tblAvisos[Equipo],tblEquipos[[#This Row],[Código equipo]])),"")</f>
        <v>45931</v>
      </c>
    </row>
    <row r="211" spans="2:9">
      <c r="B211" s="900" t="s">
        <v>1267</v>
      </c>
      <c r="C211" t="s">
        <v>2504</v>
      </c>
      <c r="F211">
        <f>COUNTIFS(tblAvisos[Equipo],tblEquipos[[#This Row],[Código equipo]])</f>
        <v>1</v>
      </c>
      <c r="G211">
        <f>COUNTIFS(tblAvisos[Equipo],tblEquipos[[#This Row],[Código equipo]],tblAvisos[Estado trabajo],"&lt;&gt;Cerrado")</f>
        <v>0</v>
      </c>
      <c r="H211">
        <f>COUNTIFS(tblAvisos[Equipo],tblEquipos[[#This Row],[Código equipo]],tblAvisos[Estado trabajo],"&lt;&gt;Cerrado",tblAvisos[Condición equipo],"Parado")</f>
        <v>0</v>
      </c>
      <c r="I211" s="871">
        <f>IFERROR(1/(1/_xlfn.MAXIFS(tblAvisos[Fecha reporte],tblAvisos[Equipo],tblEquipos[[#This Row],[Código equipo]])),"")</f>
        <v>46018</v>
      </c>
    </row>
    <row r="212" spans="2:9">
      <c r="B212" s="900" t="s">
        <v>1256</v>
      </c>
      <c r="C212" t="s">
        <v>2504</v>
      </c>
      <c r="F212">
        <f>COUNTIFS(tblAvisos[Equipo],tblEquipos[[#This Row],[Código equipo]])</f>
        <v>1</v>
      </c>
      <c r="G212">
        <f>COUNTIFS(tblAvisos[Equipo],tblEquipos[[#This Row],[Código equipo]],tblAvisos[Estado trabajo],"&lt;&gt;Cerrado")</f>
        <v>0</v>
      </c>
      <c r="H212">
        <f>COUNTIFS(tblAvisos[Equipo],tblEquipos[[#This Row],[Código equipo]],tblAvisos[Estado trabajo],"&lt;&gt;Cerrado",tblAvisos[Condición equipo],"Parado")</f>
        <v>0</v>
      </c>
      <c r="I212" s="871">
        <f>IFERROR(1/(1/_xlfn.MAXIFS(tblAvisos[Fecha reporte],tblAvisos[Equipo],tblEquipos[[#This Row],[Código equipo]])),"")</f>
        <v>45985</v>
      </c>
    </row>
    <row r="213" spans="2:9">
      <c r="B213" s="900" t="s">
        <v>1232</v>
      </c>
      <c r="C213" t="s">
        <v>2504</v>
      </c>
      <c r="F213">
        <f>COUNTIFS(tblAvisos[Equipo],tblEquipos[[#This Row],[Código equipo]])</f>
        <v>1</v>
      </c>
      <c r="G213">
        <f>COUNTIFS(tblAvisos[Equipo],tblEquipos[[#This Row],[Código equipo]],tblAvisos[Estado trabajo],"&lt;&gt;Cerrado")</f>
        <v>0</v>
      </c>
      <c r="H213">
        <f>COUNTIFS(tblAvisos[Equipo],tblEquipos[[#This Row],[Código equipo]],tblAvisos[Estado trabajo],"&lt;&gt;Cerrado",tblAvisos[Condición equipo],"Parado")</f>
        <v>0</v>
      </c>
      <c r="I213" s="871">
        <f>IFERROR(1/(1/_xlfn.MAXIFS(tblAvisos[Fecha reporte],tblAvisos[Equipo],tblEquipos[[#This Row],[Código equipo]])),"")</f>
        <v>45978</v>
      </c>
    </row>
    <row r="214" spans="2:9">
      <c r="B214" s="900" t="s">
        <v>1219</v>
      </c>
      <c r="C214" t="s">
        <v>2504</v>
      </c>
      <c r="F214">
        <f>COUNTIFS(tblAvisos[Equipo],tblEquipos[[#This Row],[Código equipo]])</f>
        <v>1</v>
      </c>
      <c r="G214">
        <f>COUNTIFS(tblAvisos[Equipo],tblEquipos[[#This Row],[Código equipo]],tblAvisos[Estado trabajo],"&lt;&gt;Cerrado")</f>
        <v>0</v>
      </c>
      <c r="H214">
        <f>COUNTIFS(tblAvisos[Equipo],tblEquipos[[#This Row],[Código equipo]],tblAvisos[Estado trabajo],"&lt;&gt;Cerrado",tblAvisos[Condición equipo],"Parado")</f>
        <v>0</v>
      </c>
      <c r="I214" s="871">
        <f>IFERROR(1/(1/_xlfn.MAXIFS(tblAvisos[Fecha reporte],tblAvisos[Equipo],tblEquipos[[#This Row],[Código equipo]])),"")</f>
        <v>45934</v>
      </c>
    </row>
    <row r="215" spans="2:9">
      <c r="B215" s="900" t="s">
        <v>1258</v>
      </c>
      <c r="C215" t="s">
        <v>2504</v>
      </c>
      <c r="F215">
        <f>COUNTIFS(tblAvisos[Equipo],tblEquipos[[#This Row],[Código equipo]])</f>
        <v>1</v>
      </c>
      <c r="G215">
        <f>COUNTIFS(tblAvisos[Equipo],tblEquipos[[#This Row],[Código equipo]],tblAvisos[Estado trabajo],"&lt;&gt;Cerrado")</f>
        <v>0</v>
      </c>
      <c r="H215">
        <f>COUNTIFS(tblAvisos[Equipo],tblEquipos[[#This Row],[Código equipo]],tblAvisos[Estado trabajo],"&lt;&gt;Cerrado",tblAvisos[Condición equipo],"Parado")</f>
        <v>0</v>
      </c>
      <c r="I215" s="871">
        <f>IFERROR(1/(1/_xlfn.MAXIFS(tblAvisos[Fecha reporte],tblAvisos[Equipo],tblEquipos[[#This Row],[Código equipo]])),"")</f>
        <v>45993</v>
      </c>
    </row>
    <row r="216" spans="2:9">
      <c r="B216" s="900" t="s">
        <v>1259</v>
      </c>
      <c r="C216" t="s">
        <v>2504</v>
      </c>
      <c r="F216">
        <f>COUNTIFS(tblAvisos[Equipo],tblEquipos[[#This Row],[Código equipo]])</f>
        <v>1</v>
      </c>
      <c r="G216">
        <f>COUNTIFS(tblAvisos[Equipo],tblEquipos[[#This Row],[Código equipo]],tblAvisos[Estado trabajo],"&lt;&gt;Cerrado")</f>
        <v>0</v>
      </c>
      <c r="H216">
        <f>COUNTIFS(tblAvisos[Equipo],tblEquipos[[#This Row],[Código equipo]],tblAvisos[Estado trabajo],"&lt;&gt;Cerrado",tblAvisos[Condición equipo],"Parado")</f>
        <v>0</v>
      </c>
      <c r="I216" s="871">
        <f>IFERROR(1/(1/_xlfn.MAXIFS(tblAvisos[Fecha reporte],tblAvisos[Equipo],tblEquipos[[#This Row],[Código equipo]])),"")</f>
        <v>45993</v>
      </c>
    </row>
    <row r="217" spans="2:9">
      <c r="B217" s="900" t="s">
        <v>1217</v>
      </c>
      <c r="C217" t="s">
        <v>2504</v>
      </c>
      <c r="F217">
        <f>COUNTIFS(tblAvisos[Equipo],tblEquipos[[#This Row],[Código equipo]])</f>
        <v>1</v>
      </c>
      <c r="G217">
        <f>COUNTIFS(tblAvisos[Equipo],tblEquipos[[#This Row],[Código equipo]],tblAvisos[Estado trabajo],"&lt;&gt;Cerrado")</f>
        <v>1</v>
      </c>
      <c r="H217">
        <f>COUNTIFS(tblAvisos[Equipo],tblEquipos[[#This Row],[Código equipo]],tblAvisos[Estado trabajo],"&lt;&gt;Cerrado",tblAvisos[Condición equipo],"Parado")</f>
        <v>0</v>
      </c>
      <c r="I217" s="871">
        <f>IFERROR(1/(1/_xlfn.MAXIFS(tblAvisos[Fecha reporte],tblAvisos[Equipo],tblEquipos[[#This Row],[Código equipo]])),"")</f>
        <v>45971</v>
      </c>
    </row>
    <row r="218" spans="2:9">
      <c r="B218" s="900" t="s">
        <v>1222</v>
      </c>
      <c r="C218" t="s">
        <v>2504</v>
      </c>
      <c r="F218">
        <f>COUNTIFS(tblAvisos[Equipo],tblEquipos[[#This Row],[Código equipo]])</f>
        <v>2</v>
      </c>
      <c r="G218">
        <f>COUNTIFS(tblAvisos[Equipo],tblEquipos[[#This Row],[Código equipo]],tblAvisos[Estado trabajo],"&lt;&gt;Cerrado")</f>
        <v>2</v>
      </c>
      <c r="H218">
        <f>COUNTIFS(tblAvisos[Equipo],tblEquipos[[#This Row],[Código equipo]],tblAvisos[Estado trabajo],"&lt;&gt;Cerrado",tblAvisos[Condición equipo],"Parado")</f>
        <v>0</v>
      </c>
      <c r="I218" s="871">
        <f>IFERROR(1/(1/_xlfn.MAXIFS(tblAvisos[Fecha reporte],tblAvisos[Equipo],tblEquipos[[#This Row],[Código equipo]])),"")</f>
        <v>45931</v>
      </c>
    </row>
    <row r="219" spans="2:9">
      <c r="B219" s="900" t="s">
        <v>1231</v>
      </c>
      <c r="C219" t="s">
        <v>2504</v>
      </c>
      <c r="F219">
        <f>COUNTIFS(tblAvisos[Equipo],tblEquipos[[#This Row],[Código equipo]])</f>
        <v>1</v>
      </c>
      <c r="G219">
        <f>COUNTIFS(tblAvisos[Equipo],tblEquipos[[#This Row],[Código equipo]],tblAvisos[Estado trabajo],"&lt;&gt;Cerrado")</f>
        <v>1</v>
      </c>
      <c r="H219">
        <f>COUNTIFS(tblAvisos[Equipo],tblEquipos[[#This Row],[Código equipo]],tblAvisos[Estado trabajo],"&lt;&gt;Cerrado",tblAvisos[Condición equipo],"Parado")</f>
        <v>0</v>
      </c>
      <c r="I219" s="871">
        <f>IFERROR(1/(1/_xlfn.MAXIFS(tblAvisos[Fecha reporte],tblAvisos[Equipo],tblEquipos[[#This Row],[Código equipo]])),"")</f>
        <v>45931</v>
      </c>
    </row>
    <row r="220" spans="2:9">
      <c r="B220" s="900" t="s">
        <v>1261</v>
      </c>
      <c r="C220" t="s">
        <v>2504</v>
      </c>
      <c r="F220">
        <f>COUNTIFS(tblAvisos[Equipo],tblEquipos[[#This Row],[Código equipo]])</f>
        <v>1</v>
      </c>
      <c r="G220">
        <f>COUNTIFS(tblAvisos[Equipo],tblEquipos[[#This Row],[Código equipo]],tblAvisos[Estado trabajo],"&lt;&gt;Cerrado")</f>
        <v>0</v>
      </c>
      <c r="H220">
        <f>COUNTIFS(tblAvisos[Equipo],tblEquipos[[#This Row],[Código equipo]],tblAvisos[Estado trabajo],"&lt;&gt;Cerrado",tblAvisos[Condición equipo],"Parado")</f>
        <v>0</v>
      </c>
      <c r="I220" s="871">
        <f>IFERROR(1/(1/_xlfn.MAXIFS(tblAvisos[Fecha reporte],tblAvisos[Equipo],tblEquipos[[#This Row],[Código equipo]])),"")</f>
        <v>45993</v>
      </c>
    </row>
    <row r="221" spans="2:9">
      <c r="B221" s="900" t="s">
        <v>1210</v>
      </c>
      <c r="C221" t="s">
        <v>2504</v>
      </c>
      <c r="F221">
        <f>COUNTIFS(tblAvisos[Equipo],tblEquipos[[#This Row],[Código equipo]])</f>
        <v>1</v>
      </c>
      <c r="G221">
        <f>COUNTIFS(tblAvisos[Equipo],tblEquipos[[#This Row],[Código equipo]],tblAvisos[Estado trabajo],"&lt;&gt;Cerrado")</f>
        <v>0</v>
      </c>
      <c r="H221">
        <f>COUNTIFS(tblAvisos[Equipo],tblEquipos[[#This Row],[Código equipo]],tblAvisos[Estado trabajo],"&lt;&gt;Cerrado",tblAvisos[Condición equipo],"Parado")</f>
        <v>0</v>
      </c>
      <c r="I221" s="871">
        <f>IFERROR(1/(1/_xlfn.MAXIFS(tblAvisos[Fecha reporte],tblAvisos[Equipo],tblEquipos[[#This Row],[Código equipo]])),"")</f>
        <v>45931</v>
      </c>
    </row>
    <row r="222" spans="2:9">
      <c r="B222" s="900" t="s">
        <v>1265</v>
      </c>
      <c r="C222" t="s">
        <v>2504</v>
      </c>
      <c r="F222">
        <f>COUNTIFS(tblAvisos[Equipo],tblEquipos[[#This Row],[Código equipo]])</f>
        <v>1</v>
      </c>
      <c r="G222">
        <f>COUNTIFS(tblAvisos[Equipo],tblEquipos[[#This Row],[Código equipo]],tblAvisos[Estado trabajo],"&lt;&gt;Cerrado")</f>
        <v>0</v>
      </c>
      <c r="H222">
        <f>COUNTIFS(tblAvisos[Equipo],tblEquipos[[#This Row],[Código equipo]],tblAvisos[Estado trabajo],"&lt;&gt;Cerrado",tblAvisos[Condición equipo],"Parado")</f>
        <v>0</v>
      </c>
      <c r="I222" s="871">
        <f>IFERROR(1/(1/_xlfn.MAXIFS(tblAvisos[Fecha reporte],tblAvisos[Equipo],tblEquipos[[#This Row],[Código equipo]])),"")</f>
        <v>46011</v>
      </c>
    </row>
    <row r="223" spans="2:9">
      <c r="B223" s="900" t="s">
        <v>1230</v>
      </c>
      <c r="C223" t="s">
        <v>2504</v>
      </c>
      <c r="F223">
        <f>COUNTIFS(tblAvisos[Equipo],tblEquipos[[#This Row],[Código equipo]])</f>
        <v>1</v>
      </c>
      <c r="G223">
        <f>COUNTIFS(tblAvisos[Equipo],tblEquipos[[#This Row],[Código equipo]],tblAvisos[Estado trabajo],"&lt;&gt;Cerrado")</f>
        <v>1</v>
      </c>
      <c r="H223">
        <f>COUNTIFS(tblAvisos[Equipo],tblEquipos[[#This Row],[Código equipo]],tblAvisos[Estado trabajo],"&lt;&gt;Cerrado",tblAvisos[Condición equipo],"Parado")</f>
        <v>0</v>
      </c>
      <c r="I223" s="871">
        <f>IFERROR(1/(1/_xlfn.MAXIFS(tblAvisos[Fecha reporte],tblAvisos[Equipo],tblEquipos[[#This Row],[Código equipo]])),"")</f>
        <v>45976</v>
      </c>
    </row>
    <row r="224" spans="2:9">
      <c r="B224" s="900" t="s">
        <v>1213</v>
      </c>
      <c r="C224" t="s">
        <v>2504</v>
      </c>
      <c r="F224">
        <f>COUNTIFS(tblAvisos[Equipo],tblEquipos[[#This Row],[Código equipo]])</f>
        <v>1</v>
      </c>
      <c r="G224">
        <f>COUNTIFS(tblAvisos[Equipo],tblEquipos[[#This Row],[Código equipo]],tblAvisos[Estado trabajo],"&lt;&gt;Cerrado")</f>
        <v>0</v>
      </c>
      <c r="H224">
        <f>COUNTIFS(tblAvisos[Equipo],tblEquipos[[#This Row],[Código equipo]],tblAvisos[Estado trabajo],"&lt;&gt;Cerrado",tblAvisos[Condición equipo],"Parado")</f>
        <v>0</v>
      </c>
      <c r="I224" s="871">
        <f>IFERROR(1/(1/_xlfn.MAXIFS(tblAvisos[Fecha reporte],tblAvisos[Equipo],tblEquipos[[#This Row],[Código equipo]])),"")</f>
        <v>45974</v>
      </c>
    </row>
    <row r="225" spans="2:9">
      <c r="B225" s="900" t="s">
        <v>1242</v>
      </c>
      <c r="C225" t="s">
        <v>2504</v>
      </c>
      <c r="F225">
        <f>COUNTIFS(tblAvisos[Equipo],tblEquipos[[#This Row],[Código equipo]])</f>
        <v>1</v>
      </c>
      <c r="G225">
        <f>COUNTIFS(tblAvisos[Equipo],tblEquipos[[#This Row],[Código equipo]],tblAvisos[Estado trabajo],"&lt;&gt;Cerrado")</f>
        <v>1</v>
      </c>
      <c r="H225">
        <f>COUNTIFS(tblAvisos[Equipo],tblEquipos[[#This Row],[Código equipo]],tblAvisos[Estado trabajo],"&lt;&gt;Cerrado",tblAvisos[Condición equipo],"Parado")</f>
        <v>0</v>
      </c>
      <c r="I225" s="871">
        <f>IFERROR(1/(1/_xlfn.MAXIFS(tblAvisos[Fecha reporte],tblAvisos[Equipo],tblEquipos[[#This Row],[Código equipo]])),"")</f>
        <v>45931</v>
      </c>
    </row>
    <row r="226" spans="2:9">
      <c r="B226" s="900" t="s">
        <v>1254</v>
      </c>
      <c r="C226" t="s">
        <v>2504</v>
      </c>
      <c r="F226">
        <f>COUNTIFS(tblAvisos[Equipo],tblEquipos[[#This Row],[Código equipo]])</f>
        <v>1</v>
      </c>
      <c r="G226">
        <f>COUNTIFS(tblAvisos[Equipo],tblEquipos[[#This Row],[Código equipo]],tblAvisos[Estado trabajo],"&lt;&gt;Cerrado")</f>
        <v>0</v>
      </c>
      <c r="H226">
        <f>COUNTIFS(tblAvisos[Equipo],tblEquipos[[#This Row],[Código equipo]],tblAvisos[Estado trabajo],"&lt;&gt;Cerrado",tblAvisos[Condición equipo],"Parado")</f>
        <v>0</v>
      </c>
      <c r="I226" s="871">
        <f>IFERROR(1/(1/_xlfn.MAXIFS(tblAvisos[Fecha reporte],tblAvisos[Equipo],tblEquipos[[#This Row],[Código equipo]])),"")</f>
        <v>45982</v>
      </c>
    </row>
    <row r="227" spans="2:9">
      <c r="B227" s="900" t="s">
        <v>1250</v>
      </c>
      <c r="C227" t="s">
        <v>2504</v>
      </c>
      <c r="F227">
        <f>COUNTIFS(tblAvisos[Equipo],tblEquipos[[#This Row],[Código equipo]])</f>
        <v>1</v>
      </c>
      <c r="G227">
        <f>COUNTIFS(tblAvisos[Equipo],tblEquipos[[#This Row],[Código equipo]],tblAvisos[Estado trabajo],"&lt;&gt;Cerrado")</f>
        <v>0</v>
      </c>
      <c r="H227">
        <f>COUNTIFS(tblAvisos[Equipo],tblEquipos[[#This Row],[Código equipo]],tblAvisos[Estado trabajo],"&lt;&gt;Cerrado",tblAvisos[Condición equipo],"Parado")</f>
        <v>0</v>
      </c>
      <c r="I227" s="871">
        <f>IFERROR(1/(1/_xlfn.MAXIFS(tblAvisos[Fecha reporte],tblAvisos[Equipo],tblEquipos[[#This Row],[Código equipo]])),"")</f>
        <v>45958</v>
      </c>
    </row>
    <row r="228" spans="2:9">
      <c r="B228" s="900" t="s">
        <v>1226</v>
      </c>
      <c r="C228" t="s">
        <v>2504</v>
      </c>
      <c r="F228">
        <f>COUNTIFS(tblAvisos[Equipo],tblEquipos[[#This Row],[Código equipo]])</f>
        <v>1</v>
      </c>
      <c r="G228">
        <f>COUNTIFS(tblAvisos[Equipo],tblEquipos[[#This Row],[Código equipo]],tblAvisos[Estado trabajo],"&lt;&gt;Cerrado")</f>
        <v>1</v>
      </c>
      <c r="H228">
        <f>COUNTIFS(tblAvisos[Equipo],tblEquipos[[#This Row],[Código equipo]],tblAvisos[Estado trabajo],"&lt;&gt;Cerrado",tblAvisos[Condición equipo],"Parado")</f>
        <v>0</v>
      </c>
      <c r="I228" s="871">
        <f>IFERROR(1/(1/_xlfn.MAXIFS(tblAvisos[Fecha reporte],tblAvisos[Equipo],tblEquipos[[#This Row],[Código equipo]])),"")</f>
        <v>45973</v>
      </c>
    </row>
    <row r="229" spans="2:9">
      <c r="B229" s="900" t="s">
        <v>1235</v>
      </c>
      <c r="C229" t="s">
        <v>2504</v>
      </c>
      <c r="F229">
        <f>COUNTIFS(tblAvisos[Equipo],tblEquipos[[#This Row],[Código equipo]])</f>
        <v>1</v>
      </c>
      <c r="G229">
        <f>COUNTIFS(tblAvisos[Equipo],tblEquipos[[#This Row],[Código equipo]],tblAvisos[Estado trabajo],"&lt;&gt;Cerrado")</f>
        <v>0</v>
      </c>
      <c r="H229">
        <f>COUNTIFS(tblAvisos[Equipo],tblEquipos[[#This Row],[Código equipo]],tblAvisos[Estado trabajo],"&lt;&gt;Cerrado",tblAvisos[Condición equipo],"Parado")</f>
        <v>0</v>
      </c>
      <c r="I229" s="871">
        <f>IFERROR(1/(1/_xlfn.MAXIFS(tblAvisos[Fecha reporte],tblAvisos[Equipo],tblEquipos[[#This Row],[Código equipo]])),"")</f>
        <v>45977</v>
      </c>
    </row>
    <row r="230" spans="2:9">
      <c r="B230" s="900" t="s">
        <v>1252</v>
      </c>
      <c r="C230" t="s">
        <v>2504</v>
      </c>
      <c r="F230">
        <f>COUNTIFS(tblAvisos[Equipo],tblEquipos[[#This Row],[Código equipo]])</f>
        <v>2</v>
      </c>
      <c r="G230">
        <f>COUNTIFS(tblAvisos[Equipo],tblEquipos[[#This Row],[Código equipo]],tblAvisos[Estado trabajo],"&lt;&gt;Cerrado")</f>
        <v>0</v>
      </c>
      <c r="H230">
        <f>COUNTIFS(tblAvisos[Equipo],tblEquipos[[#This Row],[Código equipo]],tblAvisos[Estado trabajo],"&lt;&gt;Cerrado",tblAvisos[Condición equipo],"Parado")</f>
        <v>0</v>
      </c>
      <c r="I230" s="871">
        <f>IFERROR(1/(1/_xlfn.MAXIFS(tblAvisos[Fecha reporte],tblAvisos[Equipo],tblEquipos[[#This Row],[Código equipo]])),"")</f>
        <v>45993</v>
      </c>
    </row>
    <row r="231" spans="2:9">
      <c r="B231" s="900" t="s">
        <v>1237</v>
      </c>
      <c r="C231" t="s">
        <v>2504</v>
      </c>
      <c r="F231">
        <f>COUNTIFS(tblAvisos[Equipo],tblEquipos[[#This Row],[Código equipo]])</f>
        <v>3</v>
      </c>
      <c r="G231">
        <f>COUNTIFS(tblAvisos[Equipo],tblEquipos[[#This Row],[Código equipo]],tblAvisos[Estado trabajo],"&lt;&gt;Cerrado")</f>
        <v>0</v>
      </c>
      <c r="H231">
        <f>COUNTIFS(tblAvisos[Equipo],tblEquipos[[#This Row],[Código equipo]],tblAvisos[Estado trabajo],"&lt;&gt;Cerrado",tblAvisos[Condición equipo],"Parado")</f>
        <v>0</v>
      </c>
      <c r="I231" s="871">
        <f>IFERROR(1/(1/_xlfn.MAXIFS(tblAvisos[Fecha reporte],tblAvisos[Equipo],tblEquipos[[#This Row],[Código equipo]])),"")</f>
        <v>46006</v>
      </c>
    </row>
    <row r="232" spans="2:9">
      <c r="B232" s="900" t="s">
        <v>1240</v>
      </c>
      <c r="C232" t="s">
        <v>2504</v>
      </c>
      <c r="F232">
        <f>COUNTIFS(tblAvisos[Equipo],tblEquipos[[#This Row],[Código equipo]])</f>
        <v>1</v>
      </c>
      <c r="G232">
        <f>COUNTIFS(tblAvisos[Equipo],tblEquipos[[#This Row],[Código equipo]],tblAvisos[Estado trabajo],"&lt;&gt;Cerrado")</f>
        <v>1</v>
      </c>
      <c r="H232">
        <f>COUNTIFS(tblAvisos[Equipo],tblEquipos[[#This Row],[Código equipo]],tblAvisos[Estado trabajo],"&lt;&gt;Cerrado",tblAvisos[Condición equipo],"Parado")</f>
        <v>0</v>
      </c>
      <c r="I232" s="871">
        <f>IFERROR(1/(1/_xlfn.MAXIFS(tblAvisos[Fecha reporte],tblAvisos[Equipo],tblEquipos[[#This Row],[Código equipo]])),"")</f>
        <v>45871</v>
      </c>
    </row>
    <row r="233" spans="2:9">
      <c r="B233" s="900" t="s">
        <v>1272</v>
      </c>
      <c r="C233" t="s">
        <v>2504</v>
      </c>
      <c r="F233">
        <f>COUNTIFS(tblAvisos[Equipo],tblEquipos[[#This Row],[Código equipo]])</f>
        <v>1</v>
      </c>
      <c r="G233">
        <f>COUNTIFS(tblAvisos[Equipo],tblEquipos[[#This Row],[Código equipo]],tblAvisos[Estado trabajo],"&lt;&gt;Cerrado")</f>
        <v>0</v>
      </c>
      <c r="H233">
        <f>COUNTIFS(tblAvisos[Equipo],tblEquipos[[#This Row],[Código equipo]],tblAvisos[Estado trabajo],"&lt;&gt;Cerrado",tblAvisos[Condición equipo],"Parado")</f>
        <v>0</v>
      </c>
      <c r="I233" s="871">
        <f>IFERROR(1/(1/_xlfn.MAXIFS(tblAvisos[Fecha reporte],tblAvisos[Equipo],tblEquipos[[#This Row],[Código equipo]])),"")</f>
        <v>46043</v>
      </c>
    </row>
    <row r="234" spans="2:9">
      <c r="B234" s="900" t="s">
        <v>1297</v>
      </c>
      <c r="C234" t="s">
        <v>41</v>
      </c>
      <c r="F234">
        <f>COUNTIFS(tblAvisos[Equipo],tblEquipos[[#This Row],[Código equipo]])</f>
        <v>4</v>
      </c>
      <c r="G234">
        <f>COUNTIFS(tblAvisos[Equipo],tblEquipos[[#This Row],[Código equipo]],tblAvisos[Estado trabajo],"&lt;&gt;Cerrado")</f>
        <v>4</v>
      </c>
      <c r="H234">
        <f>COUNTIFS(tblAvisos[Equipo],tblEquipos[[#This Row],[Código equipo]],tblAvisos[Estado trabajo],"&lt;&gt;Cerrado",tblAvisos[Condición equipo],"Parado")</f>
        <v>0</v>
      </c>
      <c r="I234" s="871">
        <f>IFERROR(1/(1/_xlfn.MAXIFS(tblAvisos[Fecha reporte],tblAvisos[Equipo],tblEquipos[[#This Row],[Código equipo]])),"")</f>
        <v>46144</v>
      </c>
    </row>
    <row r="235" spans="2:9">
      <c r="B235" s="900" t="s">
        <v>1302</v>
      </c>
      <c r="C235" t="s">
        <v>41</v>
      </c>
      <c r="F235">
        <f>COUNTIFS(tblAvisos[Equipo],tblEquipos[[#This Row],[Código equipo]])</f>
        <v>4</v>
      </c>
      <c r="G235">
        <f>COUNTIFS(tblAvisos[Equipo],tblEquipos[[#This Row],[Código equipo]],tblAvisos[Estado trabajo],"&lt;&gt;Cerrado")</f>
        <v>4</v>
      </c>
      <c r="H235">
        <f>COUNTIFS(tblAvisos[Equipo],tblEquipos[[#This Row],[Código equipo]],tblAvisos[Estado trabajo],"&lt;&gt;Cerrado",tblAvisos[Condición equipo],"Parado")</f>
        <v>0</v>
      </c>
      <c r="I235" s="871">
        <f>IFERROR(1/(1/_xlfn.MAXIFS(tblAvisos[Fecha reporte],tblAvisos[Equipo],tblEquipos[[#This Row],[Código equipo]])),"")</f>
        <v>45956</v>
      </c>
    </row>
    <row r="236" spans="2:9">
      <c r="B236" s="900" t="s">
        <v>1308</v>
      </c>
      <c r="C236" t="s">
        <v>41</v>
      </c>
      <c r="F236">
        <f>COUNTIFS(tblAvisos[Equipo],tblEquipos[[#This Row],[Código equipo]])</f>
        <v>6</v>
      </c>
      <c r="G236">
        <f>COUNTIFS(tblAvisos[Equipo],tblEquipos[[#This Row],[Código equipo]],tblAvisos[Estado trabajo],"&lt;&gt;Cerrado")</f>
        <v>6</v>
      </c>
      <c r="H236">
        <f>COUNTIFS(tblAvisos[Equipo],tblEquipos[[#This Row],[Código equipo]],tblAvisos[Estado trabajo],"&lt;&gt;Cerrado",tblAvisos[Condición equipo],"Parado")</f>
        <v>0</v>
      </c>
      <c r="I236" s="871">
        <f>IFERROR(1/(1/_xlfn.MAXIFS(tblAvisos[Fecha reporte],tblAvisos[Equipo],tblEquipos[[#This Row],[Código equipo]])),"")</f>
        <v>46068</v>
      </c>
    </row>
    <row r="237" spans="2:9">
      <c r="B237" s="900" t="s">
        <v>1355</v>
      </c>
      <c r="C237" t="s">
        <v>41</v>
      </c>
      <c r="F237">
        <f>COUNTIFS(tblAvisos[Equipo],tblEquipos[[#This Row],[Código equipo]])</f>
        <v>2</v>
      </c>
      <c r="G237">
        <f>COUNTIFS(tblAvisos[Equipo],tblEquipos[[#This Row],[Código equipo]],tblAvisos[Estado trabajo],"&lt;&gt;Cerrado")</f>
        <v>2</v>
      </c>
      <c r="H237">
        <f>COUNTIFS(tblAvisos[Equipo],tblEquipos[[#This Row],[Código equipo]],tblAvisos[Estado trabajo],"&lt;&gt;Cerrado",tblAvisos[Condición equipo],"Parado")</f>
        <v>0</v>
      </c>
      <c r="I237" s="871">
        <f>IFERROR(1/(1/_xlfn.MAXIFS(tblAvisos[Fecha reporte],tblAvisos[Equipo],tblEquipos[[#This Row],[Código equipo]])),"")</f>
        <v>45938</v>
      </c>
    </row>
    <row r="238" spans="2:9">
      <c r="B238" s="900" t="s">
        <v>1349</v>
      </c>
      <c r="C238" t="s">
        <v>41</v>
      </c>
      <c r="F238">
        <f>COUNTIFS(tblAvisos[Equipo],tblEquipos[[#This Row],[Código equipo]])</f>
        <v>4</v>
      </c>
      <c r="G238">
        <f>COUNTIFS(tblAvisos[Equipo],tblEquipos[[#This Row],[Código equipo]],tblAvisos[Estado trabajo],"&lt;&gt;Cerrado")</f>
        <v>3</v>
      </c>
      <c r="H238">
        <f>COUNTIFS(tblAvisos[Equipo],tblEquipos[[#This Row],[Código equipo]],tblAvisos[Estado trabajo],"&lt;&gt;Cerrado",tblAvisos[Condición equipo],"Parado")</f>
        <v>0</v>
      </c>
      <c r="I238" s="871">
        <f>IFERROR(1/(1/_xlfn.MAXIFS(tblAvisos[Fecha reporte],tblAvisos[Equipo],tblEquipos[[#This Row],[Código equipo]])),"")</f>
        <v>46357</v>
      </c>
    </row>
    <row r="239" spans="2:9">
      <c r="B239" s="900" t="s">
        <v>1359</v>
      </c>
      <c r="C239" t="s">
        <v>41</v>
      </c>
      <c r="F239">
        <f>COUNTIFS(tblAvisos[Equipo],tblEquipos[[#This Row],[Código equipo]])</f>
        <v>1</v>
      </c>
      <c r="G239">
        <f>COUNTIFS(tblAvisos[Equipo],tblEquipos[[#This Row],[Código equipo]],tblAvisos[Estado trabajo],"&lt;&gt;Cerrado")</f>
        <v>1</v>
      </c>
      <c r="H239">
        <f>COUNTIFS(tblAvisos[Equipo],tblEquipos[[#This Row],[Código equipo]],tblAvisos[Estado trabajo],"&lt;&gt;Cerrado",tblAvisos[Condición equipo],"Parado")</f>
        <v>0</v>
      </c>
      <c r="I239" s="871">
        <f>IFERROR(1/(1/_xlfn.MAXIFS(tblAvisos[Fecha reporte],tblAvisos[Equipo],tblEquipos[[#This Row],[Código equipo]])),"")</f>
        <v>45973</v>
      </c>
    </row>
    <row r="240" spans="2:9">
      <c r="B240" s="900" t="s">
        <v>1315</v>
      </c>
      <c r="C240" t="s">
        <v>41</v>
      </c>
      <c r="F240">
        <f>COUNTIFS(tblAvisos[Equipo],tblEquipos[[#This Row],[Código equipo]])</f>
        <v>7</v>
      </c>
      <c r="G240">
        <f>COUNTIFS(tblAvisos[Equipo],tblEquipos[[#This Row],[Código equipo]],tblAvisos[Estado trabajo],"&lt;&gt;Cerrado")</f>
        <v>7</v>
      </c>
      <c r="H240">
        <f>COUNTIFS(tblAvisos[Equipo],tblEquipos[[#This Row],[Código equipo]],tblAvisos[Estado trabajo],"&lt;&gt;Cerrado",tblAvisos[Condición equipo],"Parado")</f>
        <v>0</v>
      </c>
      <c r="I240" s="871">
        <f>IFERROR(1/(1/_xlfn.MAXIFS(tblAvisos[Fecha reporte],tblAvisos[Equipo],tblEquipos[[#This Row],[Código equipo]])),"")</f>
        <v>46297</v>
      </c>
    </row>
    <row r="241" spans="2:9">
      <c r="B241" s="900" t="s">
        <v>1324</v>
      </c>
      <c r="C241" t="s">
        <v>41</v>
      </c>
      <c r="F241">
        <f>COUNTIFS(tblAvisos[Equipo],tblEquipos[[#This Row],[Código equipo]])</f>
        <v>4</v>
      </c>
      <c r="G241">
        <f>COUNTIFS(tblAvisos[Equipo],tblEquipos[[#This Row],[Código equipo]],tblAvisos[Estado trabajo],"&lt;&gt;Cerrado")</f>
        <v>3</v>
      </c>
      <c r="H241">
        <f>COUNTIFS(tblAvisos[Equipo],tblEquipos[[#This Row],[Código equipo]],tblAvisos[Estado trabajo],"&lt;&gt;Cerrado",tblAvisos[Condición equipo],"Parado")</f>
        <v>0</v>
      </c>
      <c r="I241" s="871">
        <f>IFERROR(1/(1/_xlfn.MAXIFS(tblAvisos[Fecha reporte],tblAvisos[Equipo],tblEquipos[[#This Row],[Código equipo]])),"")</f>
        <v>46047</v>
      </c>
    </row>
    <row r="242" spans="2:9">
      <c r="B242" s="900" t="s">
        <v>1329</v>
      </c>
      <c r="C242" t="s">
        <v>41</v>
      </c>
      <c r="F242">
        <f>COUNTIFS(tblAvisos[Equipo],tblEquipos[[#This Row],[Código equipo]])</f>
        <v>8</v>
      </c>
      <c r="G242">
        <f>COUNTIFS(tblAvisos[Equipo],tblEquipos[[#This Row],[Código equipo]],tblAvisos[Estado trabajo],"&lt;&gt;Cerrado")</f>
        <v>8</v>
      </c>
      <c r="H242">
        <f>COUNTIFS(tblAvisos[Equipo],tblEquipos[[#This Row],[Código equipo]],tblAvisos[Estado trabajo],"&lt;&gt;Cerrado",tblAvisos[Condición equipo],"Parado")</f>
        <v>0</v>
      </c>
      <c r="I242" s="871">
        <f>IFERROR(1/(1/_xlfn.MAXIFS(tblAvisos[Fecha reporte],tblAvisos[Equipo],tblEquipos[[#This Row],[Código equipo]])),"")</f>
        <v>46357</v>
      </c>
    </row>
    <row r="243" spans="2:9">
      <c r="B243" s="900" t="s">
        <v>1345</v>
      </c>
      <c r="C243" t="s">
        <v>41</v>
      </c>
      <c r="F243">
        <f>COUNTIFS(tblAvisos[Equipo],tblEquipos[[#This Row],[Código equipo]])</f>
        <v>4</v>
      </c>
      <c r="G243">
        <f>COUNTIFS(tblAvisos[Equipo],tblEquipos[[#This Row],[Código equipo]],tblAvisos[Estado trabajo],"&lt;&gt;Cerrado")</f>
        <v>4</v>
      </c>
      <c r="H243">
        <f>COUNTIFS(tblAvisos[Equipo],tblEquipos[[#This Row],[Código equipo]],tblAvisos[Estado trabajo],"&lt;&gt;Cerrado",tblAvisos[Condición equipo],"Parado")</f>
        <v>0</v>
      </c>
      <c r="I243" s="871">
        <f>IFERROR(1/(1/_xlfn.MAXIFS(tblAvisos[Fecha reporte],tblAvisos[Equipo],tblEquipos[[#This Row],[Código equipo]])),"")</f>
        <v>56658</v>
      </c>
    </row>
    <row r="244" spans="2:9">
      <c r="B244" s="900" t="s">
        <v>1337</v>
      </c>
      <c r="C244" t="s">
        <v>41</v>
      </c>
      <c r="F244">
        <f>COUNTIFS(tblAvisos[Equipo],tblEquipos[[#This Row],[Código equipo]])</f>
        <v>7</v>
      </c>
      <c r="G244">
        <f>COUNTIFS(tblAvisos[Equipo],tblEquipos[[#This Row],[Código equipo]],tblAvisos[Estado trabajo],"&lt;&gt;Cerrado")</f>
        <v>5</v>
      </c>
      <c r="H244">
        <f>COUNTIFS(tblAvisos[Equipo],tblEquipos[[#This Row],[Código equipo]],tblAvisos[Estado trabajo],"&lt;&gt;Cerrado",tblAvisos[Condición equipo],"Parado")</f>
        <v>0</v>
      </c>
      <c r="I244" s="871">
        <f>IFERROR(1/(1/_xlfn.MAXIFS(tblAvisos[Fecha reporte],tblAvisos[Equipo],tblEquipos[[#This Row],[Código equipo]])),"")</f>
        <v>46358</v>
      </c>
    </row>
    <row r="245" spans="2:9">
      <c r="B245" s="900" t="s">
        <v>1367</v>
      </c>
      <c r="C245" t="s">
        <v>41</v>
      </c>
      <c r="F245">
        <f>COUNTIFS(tblAvisos[Equipo],tblEquipos[[#This Row],[Código equipo]])</f>
        <v>1</v>
      </c>
      <c r="G245">
        <f>COUNTIFS(tblAvisos[Equipo],tblEquipos[[#This Row],[Código equipo]],tblAvisos[Estado trabajo],"&lt;&gt;Cerrado")</f>
        <v>1</v>
      </c>
      <c r="H245">
        <f>COUNTIFS(tblAvisos[Equipo],tblEquipos[[#This Row],[Código equipo]],tblAvisos[Estado trabajo],"&lt;&gt;Cerrado",tblAvisos[Condición equipo],"Parado")</f>
        <v>0</v>
      </c>
      <c r="I245" s="871">
        <f>IFERROR(1/(1/_xlfn.MAXIFS(tblAvisos[Fecha reporte],tblAvisos[Equipo],tblEquipos[[#This Row],[Código equipo]])),"")</f>
        <v>45973</v>
      </c>
    </row>
    <row r="246" spans="2:9">
      <c r="B246" s="900" t="s">
        <v>1361</v>
      </c>
      <c r="C246" t="s">
        <v>41</v>
      </c>
      <c r="F246">
        <f>COUNTIFS(tblAvisos[Equipo],tblEquipos[[#This Row],[Código equipo]])</f>
        <v>8</v>
      </c>
      <c r="G246">
        <f>COUNTIFS(tblAvisos[Equipo],tblEquipos[[#This Row],[Código equipo]],tblAvisos[Estado trabajo],"&lt;&gt;Cerrado")</f>
        <v>8</v>
      </c>
      <c r="H246">
        <f>COUNTIFS(tblAvisos[Equipo],tblEquipos[[#This Row],[Código equipo]],tblAvisos[Estado trabajo],"&lt;&gt;Cerrado",tblAvisos[Condición equipo],"Parado")</f>
        <v>0</v>
      </c>
      <c r="I246" s="871">
        <f>IFERROR(1/(1/_xlfn.MAXIFS(tblAvisos[Fecha reporte],tblAvisos[Equipo],tblEquipos[[#This Row],[Código equipo]])),"")</f>
        <v>46068</v>
      </c>
    </row>
    <row r="247" spans="2:9">
      <c r="B247" s="900" t="s">
        <v>1274</v>
      </c>
      <c r="C247" t="s">
        <v>41</v>
      </c>
      <c r="F247">
        <f>COUNTIFS(tblAvisos[Equipo],tblEquipos[[#This Row],[Código equipo]])</f>
        <v>15</v>
      </c>
      <c r="G247">
        <f>COUNTIFS(tblAvisos[Equipo],tblEquipos[[#This Row],[Código equipo]],tblAvisos[Estado trabajo],"&lt;&gt;Cerrado")</f>
        <v>15</v>
      </c>
      <c r="H247">
        <f>COUNTIFS(tblAvisos[Equipo],tblEquipos[[#This Row],[Código equipo]],tblAvisos[Estado trabajo],"&lt;&gt;Cerrado",tblAvisos[Condición equipo],"Parado")</f>
        <v>0</v>
      </c>
      <c r="I247" s="871">
        <f>IFERROR(1/(1/_xlfn.MAXIFS(tblAvisos[Fecha reporte],tblAvisos[Equipo],tblEquipos[[#This Row],[Código equipo]])),"")</f>
        <v>46357</v>
      </c>
    </row>
  </sheetData>
  <dataValidations count="2">
    <dataValidation type="list" allowBlank="1" showInputMessage="1" showErrorMessage="1" sqref="C5:C247" xr:uid="{E89F9464-1E47-4A9D-AC47-4C91E31574C5}">
      <formula1>L_AREA</formula1>
    </dataValidation>
    <dataValidation type="list" allowBlank="1" showInputMessage="1" showErrorMessage="1" sqref="E5:E247" xr:uid="{B870D570-DE92-4C6E-9CCC-8FE1CC336693}">
      <formula1>L_CRITICIDAD</formula1>
    </dataValidation>
  </dataValidations>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Maestro Equipos — Página &amp;P de &amp;F</oddFooter>
  </headerFooter>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95577-64ED-4CDC-9E2D-712CCB5449D9}">
  <sheetPr codeName="Hoja19">
    <tabColor rgb="FF7F7F7F"/>
    <pageSetUpPr fitToPage="1"/>
  </sheetPr>
  <dimension ref="B1:E223"/>
  <sheetViews>
    <sheetView showGridLines="0" workbookViewId="0">
      <pane ySplit="4" topLeftCell="A5" activePane="bottomLeft" state="frozen"/>
      <selection pane="bottomLeft" activeCell="H32" sqref="H32"/>
    </sheetView>
  </sheetViews>
  <sheetFormatPr baseColWidth="10" defaultRowHeight="15"/>
  <cols>
    <col min="1" max="1" width="2.85546875" customWidth="1"/>
    <col min="2" max="2" width="26.7109375" customWidth="1"/>
    <col min="3" max="3" width="45.7109375" customWidth="1"/>
  </cols>
  <sheetData>
    <row r="1" spans="2:5" ht="18.75">
      <c r="B1" s="948" t="s">
        <v>9598</v>
      </c>
    </row>
    <row r="2" spans="2:5">
      <c r="B2" s="949" t="s">
        <v>9599</v>
      </c>
    </row>
    <row r="4" spans="2:5">
      <c r="B4" t="s">
        <v>3231</v>
      </c>
      <c r="C4" t="s">
        <v>2407</v>
      </c>
      <c r="D4" t="s">
        <v>3232</v>
      </c>
      <c r="E4" t="s">
        <v>9600</v>
      </c>
    </row>
    <row r="5" spans="2:5">
      <c r="B5" t="s">
        <v>1375</v>
      </c>
      <c r="C5" t="s">
        <v>1377</v>
      </c>
      <c r="D5" s="942" t="s">
        <v>526</v>
      </c>
      <c r="E5" s="989" t="s">
        <v>9601</v>
      </c>
    </row>
    <row r="6" spans="2:5">
      <c r="B6" t="s">
        <v>1375</v>
      </c>
      <c r="C6" t="s">
        <v>1377</v>
      </c>
      <c r="D6" s="942" t="s">
        <v>527</v>
      </c>
      <c r="E6" s="989" t="s">
        <v>9602</v>
      </c>
    </row>
    <row r="7" spans="2:5">
      <c r="B7" t="s">
        <v>1375</v>
      </c>
      <c r="C7" t="s">
        <v>1377</v>
      </c>
      <c r="D7" s="942" t="s">
        <v>528</v>
      </c>
      <c r="E7" s="989" t="s">
        <v>9603</v>
      </c>
    </row>
    <row r="8" spans="2:5">
      <c r="B8" t="s">
        <v>1376</v>
      </c>
      <c r="C8" t="s">
        <v>1379</v>
      </c>
      <c r="D8" s="942" t="s">
        <v>526</v>
      </c>
      <c r="E8" s="989" t="s">
        <v>9604</v>
      </c>
    </row>
    <row r="9" spans="2:5">
      <c r="B9" t="s">
        <v>1376</v>
      </c>
      <c r="C9" t="s">
        <v>1379</v>
      </c>
      <c r="D9" s="942" t="s">
        <v>527</v>
      </c>
      <c r="E9" s="989" t="s">
        <v>407</v>
      </c>
    </row>
    <row r="10" spans="2:5">
      <c r="B10" t="s">
        <v>1376</v>
      </c>
      <c r="C10" t="s">
        <v>1379</v>
      </c>
      <c r="D10" s="942" t="s">
        <v>528</v>
      </c>
      <c r="E10" s="989" t="s">
        <v>9605</v>
      </c>
    </row>
    <row r="11" spans="2:5">
      <c r="B11" t="s">
        <v>1375</v>
      </c>
      <c r="C11" t="s">
        <v>1380</v>
      </c>
      <c r="D11" s="942" t="s">
        <v>526</v>
      </c>
      <c r="E11" s="989" t="s">
        <v>9606</v>
      </c>
    </row>
    <row r="12" spans="2:5">
      <c r="B12" t="s">
        <v>1375</v>
      </c>
      <c r="C12" t="s">
        <v>1380</v>
      </c>
      <c r="D12" s="942" t="s">
        <v>527</v>
      </c>
      <c r="E12" s="989" t="s">
        <v>9607</v>
      </c>
    </row>
    <row r="13" spans="2:5">
      <c r="B13" t="s">
        <v>1375</v>
      </c>
      <c r="C13" t="s">
        <v>1380</v>
      </c>
      <c r="D13" s="942" t="s">
        <v>528</v>
      </c>
      <c r="E13" s="989" t="s">
        <v>9608</v>
      </c>
    </row>
    <row r="14" spans="2:5">
      <c r="B14" t="s">
        <v>1376</v>
      </c>
      <c r="C14" t="s">
        <v>1383</v>
      </c>
      <c r="D14" s="942" t="s">
        <v>526</v>
      </c>
      <c r="E14" s="989" t="s">
        <v>9609</v>
      </c>
    </row>
    <row r="15" spans="2:5">
      <c r="B15" t="s">
        <v>1376</v>
      </c>
      <c r="C15" t="s">
        <v>1383</v>
      </c>
      <c r="D15" s="942" t="s">
        <v>527</v>
      </c>
      <c r="E15" s="989" t="s">
        <v>408</v>
      </c>
    </row>
    <row r="16" spans="2:5">
      <c r="B16" t="s">
        <v>1376</v>
      </c>
      <c r="C16" t="s">
        <v>1383</v>
      </c>
      <c r="D16" s="942" t="s">
        <v>528</v>
      </c>
      <c r="E16" s="989" t="s">
        <v>9610</v>
      </c>
    </row>
    <row r="17" spans="2:5">
      <c r="B17" t="s">
        <v>1375</v>
      </c>
      <c r="C17" t="s">
        <v>54</v>
      </c>
      <c r="D17" s="942" t="s">
        <v>526</v>
      </c>
      <c r="E17" s="989" t="s">
        <v>9611</v>
      </c>
    </row>
    <row r="18" spans="2:5">
      <c r="B18" t="s">
        <v>1375</v>
      </c>
      <c r="C18" t="s">
        <v>54</v>
      </c>
      <c r="D18" s="942" t="s">
        <v>527</v>
      </c>
      <c r="E18" s="989" t="s">
        <v>9612</v>
      </c>
    </row>
    <row r="19" spans="2:5">
      <c r="B19" t="s">
        <v>1375</v>
      </c>
      <c r="C19" t="s">
        <v>54</v>
      </c>
      <c r="D19" s="942" t="s">
        <v>528</v>
      </c>
      <c r="E19" s="989" t="s">
        <v>9613</v>
      </c>
    </row>
    <row r="20" spans="2:5">
      <c r="B20" t="s">
        <v>1376</v>
      </c>
      <c r="C20" t="s">
        <v>1384</v>
      </c>
      <c r="D20" s="942" t="s">
        <v>526</v>
      </c>
      <c r="E20" s="989" t="s">
        <v>9614</v>
      </c>
    </row>
    <row r="21" spans="2:5">
      <c r="B21" t="s">
        <v>1376</v>
      </c>
      <c r="C21" t="s">
        <v>1384</v>
      </c>
      <c r="D21" s="942" t="s">
        <v>527</v>
      </c>
      <c r="E21" s="989" t="s">
        <v>9615</v>
      </c>
    </row>
    <row r="22" spans="2:5">
      <c r="B22" t="s">
        <v>1376</v>
      </c>
      <c r="C22" t="s">
        <v>1384</v>
      </c>
      <c r="D22" s="942" t="s">
        <v>528</v>
      </c>
      <c r="E22" s="989" t="s">
        <v>9616</v>
      </c>
    </row>
    <row r="23" spans="2:5">
      <c r="B23" t="s">
        <v>1375</v>
      </c>
      <c r="C23" t="s">
        <v>1385</v>
      </c>
      <c r="D23" s="942" t="s">
        <v>526</v>
      </c>
      <c r="E23" s="989" t="s">
        <v>9617</v>
      </c>
    </row>
    <row r="24" spans="2:5">
      <c r="B24" t="s">
        <v>1375</v>
      </c>
      <c r="C24" t="s">
        <v>1385</v>
      </c>
      <c r="D24" s="942" t="s">
        <v>527</v>
      </c>
      <c r="E24" s="989" t="s">
        <v>9618</v>
      </c>
    </row>
    <row r="25" spans="2:5">
      <c r="B25" t="s">
        <v>1375</v>
      </c>
      <c r="C25" t="s">
        <v>1385</v>
      </c>
      <c r="D25" s="942" t="s">
        <v>528</v>
      </c>
      <c r="E25" s="989" t="s">
        <v>9619</v>
      </c>
    </row>
    <row r="26" spans="2:5">
      <c r="B26" t="s">
        <v>1376</v>
      </c>
      <c r="C26" t="s">
        <v>1386</v>
      </c>
      <c r="D26" s="942" t="s">
        <v>526</v>
      </c>
      <c r="E26" s="989" t="s">
        <v>9620</v>
      </c>
    </row>
    <row r="27" spans="2:5">
      <c r="B27" t="s">
        <v>1376</v>
      </c>
      <c r="C27" t="s">
        <v>1386</v>
      </c>
      <c r="D27" s="942" t="s">
        <v>527</v>
      </c>
      <c r="E27" s="989" t="s">
        <v>9621</v>
      </c>
    </row>
    <row r="28" spans="2:5">
      <c r="B28" t="s">
        <v>1376</v>
      </c>
      <c r="C28" t="s">
        <v>1386</v>
      </c>
      <c r="D28" s="942" t="s">
        <v>528</v>
      </c>
      <c r="E28" s="989" t="s">
        <v>9622</v>
      </c>
    </row>
    <row r="29" spans="2:5">
      <c r="B29" t="s">
        <v>1376</v>
      </c>
      <c r="C29" t="s">
        <v>1387</v>
      </c>
      <c r="D29" s="942" t="s">
        <v>526</v>
      </c>
      <c r="E29" s="989" t="s">
        <v>9623</v>
      </c>
    </row>
    <row r="30" spans="2:5">
      <c r="B30" t="s">
        <v>1376</v>
      </c>
      <c r="C30" t="s">
        <v>1387</v>
      </c>
      <c r="D30" s="942" t="s">
        <v>527</v>
      </c>
      <c r="E30" s="989" t="s">
        <v>9624</v>
      </c>
    </row>
    <row r="31" spans="2:5">
      <c r="B31" t="s">
        <v>1376</v>
      </c>
      <c r="C31" t="s">
        <v>1387</v>
      </c>
      <c r="D31" s="942" t="s">
        <v>528</v>
      </c>
      <c r="E31" s="989" t="s">
        <v>9625</v>
      </c>
    </row>
    <row r="32" spans="2:5">
      <c r="B32" t="s">
        <v>1375</v>
      </c>
      <c r="C32" t="s">
        <v>1388</v>
      </c>
      <c r="D32" s="942" t="s">
        <v>526</v>
      </c>
      <c r="E32" s="989" t="s">
        <v>9626</v>
      </c>
    </row>
    <row r="33" spans="2:5">
      <c r="B33" t="s">
        <v>1375</v>
      </c>
      <c r="C33" t="s">
        <v>1388</v>
      </c>
      <c r="D33" s="942" t="s">
        <v>527</v>
      </c>
      <c r="E33" s="989" t="s">
        <v>9627</v>
      </c>
    </row>
    <row r="34" spans="2:5">
      <c r="B34" t="s">
        <v>1375</v>
      </c>
      <c r="C34" t="s">
        <v>1388</v>
      </c>
      <c r="D34" s="942" t="s">
        <v>528</v>
      </c>
      <c r="E34" s="989" t="s">
        <v>9628</v>
      </c>
    </row>
    <row r="35" spans="2:5">
      <c r="B35" t="s">
        <v>1376</v>
      </c>
      <c r="C35" t="s">
        <v>1389</v>
      </c>
      <c r="D35" s="942" t="s">
        <v>526</v>
      </c>
      <c r="E35" s="989" t="s">
        <v>9629</v>
      </c>
    </row>
    <row r="36" spans="2:5">
      <c r="B36" t="s">
        <v>1376</v>
      </c>
      <c r="C36" t="s">
        <v>1389</v>
      </c>
      <c r="D36" s="942" t="s">
        <v>527</v>
      </c>
      <c r="E36" s="989" t="s">
        <v>9630</v>
      </c>
    </row>
    <row r="37" spans="2:5">
      <c r="B37" t="s">
        <v>1376</v>
      </c>
      <c r="C37" t="s">
        <v>1389</v>
      </c>
      <c r="D37" s="942" t="s">
        <v>528</v>
      </c>
      <c r="E37" s="989" t="s">
        <v>9631</v>
      </c>
    </row>
    <row r="38" spans="2:5">
      <c r="B38" t="s">
        <v>1375</v>
      </c>
      <c r="C38" t="s">
        <v>3266</v>
      </c>
      <c r="D38" s="942" t="s">
        <v>526</v>
      </c>
      <c r="E38" s="989" t="s">
        <v>9632</v>
      </c>
    </row>
    <row r="39" spans="2:5">
      <c r="B39" t="s">
        <v>1375</v>
      </c>
      <c r="C39" t="s">
        <v>3266</v>
      </c>
      <c r="D39" s="942" t="s">
        <v>527</v>
      </c>
      <c r="E39" s="989" t="s">
        <v>9633</v>
      </c>
    </row>
    <row r="40" spans="2:5">
      <c r="B40" t="s">
        <v>1375</v>
      </c>
      <c r="C40" t="s">
        <v>3266</v>
      </c>
      <c r="D40" s="942" t="s">
        <v>528</v>
      </c>
      <c r="E40" s="989" t="s">
        <v>9634</v>
      </c>
    </row>
    <row r="41" spans="2:5">
      <c r="B41" t="s">
        <v>1376</v>
      </c>
      <c r="C41" t="s">
        <v>1390</v>
      </c>
      <c r="D41" s="942" t="s">
        <v>526</v>
      </c>
      <c r="E41" s="989" t="s">
        <v>9635</v>
      </c>
    </row>
    <row r="42" spans="2:5">
      <c r="B42" t="s">
        <v>1376</v>
      </c>
      <c r="C42" t="s">
        <v>1390</v>
      </c>
      <c r="D42" s="942" t="s">
        <v>527</v>
      </c>
      <c r="E42" s="989" t="s">
        <v>9636</v>
      </c>
    </row>
    <row r="43" spans="2:5">
      <c r="B43" t="s">
        <v>1376</v>
      </c>
      <c r="C43" t="s">
        <v>1390</v>
      </c>
      <c r="D43" s="942" t="s">
        <v>528</v>
      </c>
      <c r="E43" s="989" t="s">
        <v>9637</v>
      </c>
    </row>
    <row r="44" spans="2:5">
      <c r="B44" t="s">
        <v>1375</v>
      </c>
      <c r="C44" t="s">
        <v>3273</v>
      </c>
      <c r="D44" s="942" t="s">
        <v>526</v>
      </c>
      <c r="E44" s="989" t="s">
        <v>9638</v>
      </c>
    </row>
    <row r="45" spans="2:5">
      <c r="B45" t="s">
        <v>1375</v>
      </c>
      <c r="C45" t="s">
        <v>3273</v>
      </c>
      <c r="D45" s="942" t="s">
        <v>527</v>
      </c>
      <c r="E45" s="989" t="s">
        <v>9639</v>
      </c>
    </row>
    <row r="46" spans="2:5">
      <c r="B46" t="s">
        <v>1375</v>
      </c>
      <c r="C46" t="s">
        <v>3273</v>
      </c>
      <c r="D46" s="942" t="s">
        <v>528</v>
      </c>
      <c r="E46" s="989" t="s">
        <v>9640</v>
      </c>
    </row>
    <row r="47" spans="2:5">
      <c r="B47" t="s">
        <v>1376</v>
      </c>
      <c r="C47" t="s">
        <v>1391</v>
      </c>
      <c r="D47" s="942" t="s">
        <v>526</v>
      </c>
      <c r="E47" s="989" t="s">
        <v>9641</v>
      </c>
    </row>
    <row r="48" spans="2:5">
      <c r="B48" t="s">
        <v>1376</v>
      </c>
      <c r="C48" t="s">
        <v>1391</v>
      </c>
      <c r="D48" s="942" t="s">
        <v>527</v>
      </c>
      <c r="E48" s="989" t="s">
        <v>9642</v>
      </c>
    </row>
    <row r="49" spans="2:5">
      <c r="B49" t="s">
        <v>1376</v>
      </c>
      <c r="C49" t="s">
        <v>1391</v>
      </c>
      <c r="D49" s="942" t="s">
        <v>528</v>
      </c>
      <c r="E49" s="989" t="s">
        <v>9643</v>
      </c>
    </row>
    <row r="50" spans="2:5">
      <c r="B50" t="s">
        <v>1375</v>
      </c>
      <c r="C50" t="s">
        <v>3280</v>
      </c>
      <c r="D50" s="942" t="s">
        <v>526</v>
      </c>
      <c r="E50" s="989" t="s">
        <v>9644</v>
      </c>
    </row>
    <row r="51" spans="2:5">
      <c r="B51" t="s">
        <v>1375</v>
      </c>
      <c r="C51" t="s">
        <v>3280</v>
      </c>
      <c r="D51" s="942" t="s">
        <v>527</v>
      </c>
      <c r="E51" s="989" t="s">
        <v>9645</v>
      </c>
    </row>
    <row r="52" spans="2:5">
      <c r="B52" t="s">
        <v>1375</v>
      </c>
      <c r="C52" t="s">
        <v>3280</v>
      </c>
      <c r="D52" s="942" t="s">
        <v>528</v>
      </c>
      <c r="E52" s="989" t="s">
        <v>9646</v>
      </c>
    </row>
    <row r="53" spans="2:5">
      <c r="B53" t="s">
        <v>1376</v>
      </c>
      <c r="C53" t="s">
        <v>1392</v>
      </c>
      <c r="D53" s="942" t="s">
        <v>526</v>
      </c>
      <c r="E53" s="989" t="s">
        <v>9647</v>
      </c>
    </row>
    <row r="54" spans="2:5">
      <c r="B54" t="s">
        <v>1376</v>
      </c>
      <c r="C54" t="s">
        <v>1392</v>
      </c>
      <c r="D54" s="942" t="s">
        <v>527</v>
      </c>
      <c r="E54" s="989" t="s">
        <v>9648</v>
      </c>
    </row>
    <row r="55" spans="2:5">
      <c r="B55" t="s">
        <v>1376</v>
      </c>
      <c r="C55" t="s">
        <v>1392</v>
      </c>
      <c r="D55" s="942" t="s">
        <v>528</v>
      </c>
      <c r="E55" s="989" t="s">
        <v>9649</v>
      </c>
    </row>
    <row r="56" spans="2:5">
      <c r="B56" t="s">
        <v>1375</v>
      </c>
      <c r="C56" t="s">
        <v>3287</v>
      </c>
      <c r="D56" s="942" t="s">
        <v>526</v>
      </c>
      <c r="E56" s="989" t="s">
        <v>9650</v>
      </c>
    </row>
    <row r="57" spans="2:5">
      <c r="B57" t="s">
        <v>1375</v>
      </c>
      <c r="C57" t="s">
        <v>3287</v>
      </c>
      <c r="D57" s="942" t="s">
        <v>527</v>
      </c>
      <c r="E57" s="989" t="s">
        <v>9651</v>
      </c>
    </row>
    <row r="58" spans="2:5">
      <c r="B58" t="s">
        <v>1375</v>
      </c>
      <c r="C58" t="s">
        <v>3287</v>
      </c>
      <c r="D58" s="942" t="s">
        <v>528</v>
      </c>
      <c r="E58" s="989" t="s">
        <v>9652</v>
      </c>
    </row>
    <row r="59" spans="2:5">
      <c r="B59" t="s">
        <v>1376</v>
      </c>
      <c r="C59" t="s">
        <v>453</v>
      </c>
      <c r="D59" s="942" t="s">
        <v>526</v>
      </c>
      <c r="E59" s="989" t="s">
        <v>9653</v>
      </c>
    </row>
    <row r="60" spans="2:5">
      <c r="B60" t="s">
        <v>1376</v>
      </c>
      <c r="C60" t="s">
        <v>453</v>
      </c>
      <c r="D60" s="942" t="s">
        <v>527</v>
      </c>
      <c r="E60" s="989" t="s">
        <v>9654</v>
      </c>
    </row>
    <row r="61" spans="2:5">
      <c r="B61" t="s">
        <v>1376</v>
      </c>
      <c r="C61" t="s">
        <v>453</v>
      </c>
      <c r="D61" s="942" t="s">
        <v>528</v>
      </c>
      <c r="E61" s="989" t="s">
        <v>9655</v>
      </c>
    </row>
    <row r="62" spans="2:5">
      <c r="B62" t="s">
        <v>1375</v>
      </c>
      <c r="C62" t="s">
        <v>3291</v>
      </c>
      <c r="D62" s="942" t="s">
        <v>526</v>
      </c>
      <c r="E62" s="989" t="s">
        <v>9656</v>
      </c>
    </row>
    <row r="63" spans="2:5">
      <c r="B63" t="s">
        <v>1375</v>
      </c>
      <c r="C63" t="s">
        <v>3291</v>
      </c>
      <c r="D63" s="942" t="s">
        <v>527</v>
      </c>
      <c r="E63" s="989" t="s">
        <v>9657</v>
      </c>
    </row>
    <row r="64" spans="2:5">
      <c r="B64" t="s">
        <v>1375</v>
      </c>
      <c r="C64" t="s">
        <v>3291</v>
      </c>
      <c r="D64" s="942" t="s">
        <v>528</v>
      </c>
      <c r="E64" s="989" t="s">
        <v>9658</v>
      </c>
    </row>
    <row r="65" spans="2:5">
      <c r="B65" t="s">
        <v>1376</v>
      </c>
      <c r="C65" t="s">
        <v>1394</v>
      </c>
      <c r="D65" s="942" t="s">
        <v>526</v>
      </c>
      <c r="E65" s="989" t="s">
        <v>9659</v>
      </c>
    </row>
    <row r="66" spans="2:5">
      <c r="B66" t="s">
        <v>1376</v>
      </c>
      <c r="C66" t="s">
        <v>1394</v>
      </c>
      <c r="D66" s="942" t="s">
        <v>527</v>
      </c>
      <c r="E66" s="989" t="s">
        <v>9660</v>
      </c>
    </row>
    <row r="67" spans="2:5">
      <c r="B67" t="s">
        <v>1376</v>
      </c>
      <c r="C67" t="s">
        <v>1394</v>
      </c>
      <c r="D67" s="942" t="s">
        <v>528</v>
      </c>
      <c r="E67" s="989" t="s">
        <v>9661</v>
      </c>
    </row>
    <row r="68" spans="2:5">
      <c r="B68" t="s">
        <v>1375</v>
      </c>
      <c r="C68" t="s">
        <v>3298</v>
      </c>
      <c r="D68" s="942" t="s">
        <v>526</v>
      </c>
      <c r="E68" s="989" t="s">
        <v>9662</v>
      </c>
    </row>
    <row r="69" spans="2:5">
      <c r="B69" t="s">
        <v>1375</v>
      </c>
      <c r="C69" t="s">
        <v>3298</v>
      </c>
      <c r="D69" s="942" t="s">
        <v>527</v>
      </c>
      <c r="E69" s="989" t="s">
        <v>9663</v>
      </c>
    </row>
    <row r="70" spans="2:5">
      <c r="B70" t="s">
        <v>1375</v>
      </c>
      <c r="C70" t="s">
        <v>3298</v>
      </c>
      <c r="D70" s="942" t="s">
        <v>528</v>
      </c>
      <c r="E70" s="989" t="s">
        <v>9664</v>
      </c>
    </row>
    <row r="71" spans="2:5">
      <c r="B71" t="s">
        <v>1376</v>
      </c>
      <c r="C71" t="s">
        <v>1398</v>
      </c>
      <c r="D71" s="942" t="s">
        <v>526</v>
      </c>
      <c r="E71" s="989" t="s">
        <v>9665</v>
      </c>
    </row>
    <row r="72" spans="2:5">
      <c r="B72" t="s">
        <v>1376</v>
      </c>
      <c r="C72" t="s">
        <v>1398</v>
      </c>
      <c r="D72" s="942" t="s">
        <v>527</v>
      </c>
      <c r="E72" s="989" t="s">
        <v>9666</v>
      </c>
    </row>
    <row r="73" spans="2:5">
      <c r="B73" t="s">
        <v>1376</v>
      </c>
      <c r="C73" t="s">
        <v>1398</v>
      </c>
      <c r="D73" s="942" t="s">
        <v>528</v>
      </c>
      <c r="E73" s="989" t="s">
        <v>9667</v>
      </c>
    </row>
    <row r="74" spans="2:5">
      <c r="B74" t="s">
        <v>1375</v>
      </c>
      <c r="C74" t="s">
        <v>3305</v>
      </c>
      <c r="D74" s="942" t="s">
        <v>526</v>
      </c>
      <c r="E74" s="989" t="s">
        <v>9668</v>
      </c>
    </row>
    <row r="75" spans="2:5">
      <c r="B75" t="s">
        <v>1375</v>
      </c>
      <c r="C75" t="s">
        <v>3305</v>
      </c>
      <c r="D75" s="942" t="s">
        <v>527</v>
      </c>
      <c r="E75" s="989" t="s">
        <v>9669</v>
      </c>
    </row>
    <row r="76" spans="2:5">
      <c r="B76" t="s">
        <v>1375</v>
      </c>
      <c r="C76" t="s">
        <v>3305</v>
      </c>
      <c r="D76" s="942" t="s">
        <v>528</v>
      </c>
      <c r="E76" s="989" t="s">
        <v>9670</v>
      </c>
    </row>
    <row r="77" spans="2:5">
      <c r="B77" t="s">
        <v>1376</v>
      </c>
      <c r="C77" t="s">
        <v>1399</v>
      </c>
      <c r="D77" s="942" t="s">
        <v>526</v>
      </c>
      <c r="E77" s="989" t="s">
        <v>9671</v>
      </c>
    </row>
    <row r="78" spans="2:5">
      <c r="B78" t="s">
        <v>1376</v>
      </c>
      <c r="C78" t="s">
        <v>1399</v>
      </c>
      <c r="D78" s="942" t="s">
        <v>527</v>
      </c>
      <c r="E78" s="989" t="s">
        <v>9672</v>
      </c>
    </row>
    <row r="79" spans="2:5">
      <c r="B79" t="s">
        <v>1376</v>
      </c>
      <c r="C79" t="s">
        <v>1399</v>
      </c>
      <c r="D79" s="942" t="s">
        <v>528</v>
      </c>
      <c r="E79" s="989" t="s">
        <v>9673</v>
      </c>
    </row>
    <row r="80" spans="2:5">
      <c r="B80" t="s">
        <v>1375</v>
      </c>
      <c r="C80" t="s">
        <v>3312</v>
      </c>
      <c r="D80" s="942" t="s">
        <v>526</v>
      </c>
      <c r="E80" s="989" t="s">
        <v>9674</v>
      </c>
    </row>
    <row r="81" spans="2:5">
      <c r="B81" t="s">
        <v>1375</v>
      </c>
      <c r="C81" t="s">
        <v>3312</v>
      </c>
      <c r="D81" s="942" t="s">
        <v>527</v>
      </c>
      <c r="E81" s="989" t="s">
        <v>9675</v>
      </c>
    </row>
    <row r="82" spans="2:5">
      <c r="B82" t="s">
        <v>1375</v>
      </c>
      <c r="C82" t="s">
        <v>3312</v>
      </c>
      <c r="D82" s="942" t="s">
        <v>528</v>
      </c>
      <c r="E82" s="989" t="s">
        <v>9676</v>
      </c>
    </row>
    <row r="83" spans="2:5">
      <c r="B83" t="s">
        <v>1376</v>
      </c>
      <c r="C83" t="s">
        <v>1400</v>
      </c>
      <c r="D83" s="942" t="s">
        <v>526</v>
      </c>
      <c r="E83" s="989" t="s">
        <v>9677</v>
      </c>
    </row>
    <row r="84" spans="2:5">
      <c r="B84" t="s">
        <v>1376</v>
      </c>
      <c r="C84" t="s">
        <v>1400</v>
      </c>
      <c r="D84" s="942" t="s">
        <v>527</v>
      </c>
      <c r="E84" s="989" t="s">
        <v>9678</v>
      </c>
    </row>
    <row r="85" spans="2:5">
      <c r="B85" t="s">
        <v>1376</v>
      </c>
      <c r="C85" t="s">
        <v>1400</v>
      </c>
      <c r="D85" s="942" t="s">
        <v>528</v>
      </c>
      <c r="E85" s="989" t="s">
        <v>9679</v>
      </c>
    </row>
    <row r="86" spans="2:5">
      <c r="B86" t="s">
        <v>1375</v>
      </c>
      <c r="C86" t="s">
        <v>3319</v>
      </c>
      <c r="D86" s="942" t="s">
        <v>526</v>
      </c>
      <c r="E86" s="989" t="s">
        <v>9680</v>
      </c>
    </row>
    <row r="87" spans="2:5">
      <c r="B87" t="s">
        <v>1375</v>
      </c>
      <c r="C87" t="s">
        <v>3319</v>
      </c>
      <c r="D87" s="942" t="s">
        <v>527</v>
      </c>
      <c r="E87" s="989" t="s">
        <v>9681</v>
      </c>
    </row>
    <row r="88" spans="2:5">
      <c r="B88" t="s">
        <v>1375</v>
      </c>
      <c r="C88" t="s">
        <v>3319</v>
      </c>
      <c r="D88" s="942" t="s">
        <v>528</v>
      </c>
      <c r="E88" s="989" t="s">
        <v>9682</v>
      </c>
    </row>
    <row r="89" spans="2:5">
      <c r="B89" t="s">
        <v>1376</v>
      </c>
      <c r="C89" t="s">
        <v>1401</v>
      </c>
      <c r="D89" s="942" t="s">
        <v>526</v>
      </c>
      <c r="E89" s="989" t="s">
        <v>9683</v>
      </c>
    </row>
    <row r="90" spans="2:5">
      <c r="B90" t="s">
        <v>1376</v>
      </c>
      <c r="C90" t="s">
        <v>1401</v>
      </c>
      <c r="D90" s="942" t="s">
        <v>527</v>
      </c>
      <c r="E90" s="989" t="s">
        <v>9684</v>
      </c>
    </row>
    <row r="91" spans="2:5">
      <c r="B91" t="s">
        <v>1376</v>
      </c>
      <c r="C91" t="s">
        <v>1401</v>
      </c>
      <c r="D91" s="942" t="s">
        <v>528</v>
      </c>
      <c r="E91" s="989" t="s">
        <v>9685</v>
      </c>
    </row>
    <row r="92" spans="2:5">
      <c r="B92" t="s">
        <v>1375</v>
      </c>
      <c r="C92" t="s">
        <v>3326</v>
      </c>
      <c r="D92" s="942" t="s">
        <v>526</v>
      </c>
      <c r="E92" s="989" t="s">
        <v>9686</v>
      </c>
    </row>
    <row r="93" spans="2:5">
      <c r="B93" t="s">
        <v>1375</v>
      </c>
      <c r="C93" t="s">
        <v>3326</v>
      </c>
      <c r="D93" s="942" t="s">
        <v>527</v>
      </c>
      <c r="E93" s="989" t="s">
        <v>9687</v>
      </c>
    </row>
    <row r="94" spans="2:5">
      <c r="B94" t="s">
        <v>1375</v>
      </c>
      <c r="C94" t="s">
        <v>3326</v>
      </c>
      <c r="D94" s="942" t="s">
        <v>528</v>
      </c>
      <c r="E94" s="989" t="s">
        <v>9688</v>
      </c>
    </row>
    <row r="95" spans="2:5">
      <c r="B95" t="s">
        <v>1376</v>
      </c>
      <c r="C95" t="s">
        <v>1403</v>
      </c>
      <c r="D95" s="942" t="s">
        <v>526</v>
      </c>
      <c r="E95" s="989" t="s">
        <v>9689</v>
      </c>
    </row>
    <row r="96" spans="2:5">
      <c r="B96" t="s">
        <v>1376</v>
      </c>
      <c r="C96" t="s">
        <v>1403</v>
      </c>
      <c r="D96" s="942" t="s">
        <v>527</v>
      </c>
      <c r="E96" s="989" t="s">
        <v>9690</v>
      </c>
    </row>
    <row r="97" spans="2:5">
      <c r="B97" t="s">
        <v>1376</v>
      </c>
      <c r="C97" t="s">
        <v>1403</v>
      </c>
      <c r="D97" s="942" t="s">
        <v>528</v>
      </c>
      <c r="E97" s="989" t="s">
        <v>9691</v>
      </c>
    </row>
    <row r="98" spans="2:5">
      <c r="B98" t="s">
        <v>1376</v>
      </c>
      <c r="C98" t="s">
        <v>1404</v>
      </c>
      <c r="D98" s="942" t="s">
        <v>526</v>
      </c>
      <c r="E98" s="989" t="s">
        <v>9692</v>
      </c>
    </row>
    <row r="99" spans="2:5">
      <c r="B99" t="s">
        <v>1376</v>
      </c>
      <c r="C99" t="s">
        <v>1404</v>
      </c>
      <c r="D99" s="942" t="s">
        <v>527</v>
      </c>
      <c r="E99" s="989" t="s">
        <v>9693</v>
      </c>
    </row>
    <row r="100" spans="2:5">
      <c r="B100" t="s">
        <v>1376</v>
      </c>
      <c r="C100" t="s">
        <v>1404</v>
      </c>
      <c r="D100" s="942" t="s">
        <v>528</v>
      </c>
      <c r="E100" s="989" t="s">
        <v>9694</v>
      </c>
    </row>
    <row r="101" spans="2:5">
      <c r="B101" t="s">
        <v>1375</v>
      </c>
      <c r="C101" t="s">
        <v>3336</v>
      </c>
      <c r="D101" s="942" t="s">
        <v>526</v>
      </c>
      <c r="E101" s="989" t="s">
        <v>9695</v>
      </c>
    </row>
    <row r="102" spans="2:5">
      <c r="B102" t="s">
        <v>1375</v>
      </c>
      <c r="C102" t="s">
        <v>3336</v>
      </c>
      <c r="D102" s="942" t="s">
        <v>527</v>
      </c>
      <c r="E102" s="989" t="s">
        <v>9696</v>
      </c>
    </row>
    <row r="103" spans="2:5">
      <c r="B103" t="s">
        <v>1375</v>
      </c>
      <c r="C103" t="s">
        <v>3336</v>
      </c>
      <c r="D103" s="942" t="s">
        <v>528</v>
      </c>
      <c r="E103" s="989" t="s">
        <v>9697</v>
      </c>
    </row>
    <row r="104" spans="2:5">
      <c r="B104" t="s">
        <v>1376</v>
      </c>
      <c r="C104" t="s">
        <v>1407</v>
      </c>
      <c r="D104" s="942" t="s">
        <v>526</v>
      </c>
      <c r="E104" s="989" t="s">
        <v>9698</v>
      </c>
    </row>
    <row r="105" spans="2:5">
      <c r="B105" t="s">
        <v>1376</v>
      </c>
      <c r="C105" t="s">
        <v>1407</v>
      </c>
      <c r="D105" s="942" t="s">
        <v>527</v>
      </c>
      <c r="E105" s="989" t="s">
        <v>9699</v>
      </c>
    </row>
    <row r="106" spans="2:5">
      <c r="B106" t="s">
        <v>1376</v>
      </c>
      <c r="C106" t="s">
        <v>1407</v>
      </c>
      <c r="D106" s="942" t="s">
        <v>528</v>
      </c>
      <c r="E106" s="989" t="s">
        <v>9700</v>
      </c>
    </row>
    <row r="107" spans="2:5">
      <c r="B107" t="s">
        <v>1376</v>
      </c>
      <c r="C107" t="s">
        <v>1408</v>
      </c>
      <c r="D107" s="942" t="s">
        <v>526</v>
      </c>
      <c r="E107" s="989" t="s">
        <v>9701</v>
      </c>
    </row>
    <row r="108" spans="2:5">
      <c r="B108" t="s">
        <v>1376</v>
      </c>
      <c r="C108" t="s">
        <v>1408</v>
      </c>
      <c r="D108" s="942" t="s">
        <v>527</v>
      </c>
      <c r="E108" s="989" t="s">
        <v>9702</v>
      </c>
    </row>
    <row r="109" spans="2:5">
      <c r="B109" t="s">
        <v>1376</v>
      </c>
      <c r="C109" t="s">
        <v>1408</v>
      </c>
      <c r="D109" s="942" t="s">
        <v>528</v>
      </c>
      <c r="E109" s="989" t="s">
        <v>9703</v>
      </c>
    </row>
    <row r="110" spans="2:5">
      <c r="B110" t="s">
        <v>1409</v>
      </c>
      <c r="C110" t="s">
        <v>1411</v>
      </c>
      <c r="D110" s="942" t="s">
        <v>526</v>
      </c>
      <c r="E110" s="989" t="s">
        <v>9704</v>
      </c>
    </row>
    <row r="111" spans="2:5">
      <c r="B111" t="s">
        <v>1409</v>
      </c>
      <c r="C111" t="s">
        <v>1411</v>
      </c>
      <c r="D111" s="942" t="s">
        <v>527</v>
      </c>
      <c r="E111" s="989" t="s">
        <v>9705</v>
      </c>
    </row>
    <row r="112" spans="2:5">
      <c r="B112" t="s">
        <v>1409</v>
      </c>
      <c r="C112" t="s">
        <v>1411</v>
      </c>
      <c r="D112" s="942" t="s">
        <v>528</v>
      </c>
      <c r="E112" s="989" t="s">
        <v>9706</v>
      </c>
    </row>
    <row r="113" spans="2:5">
      <c r="B113" t="s">
        <v>1409</v>
      </c>
      <c r="C113" t="s">
        <v>1413</v>
      </c>
      <c r="D113" s="942" t="s">
        <v>526</v>
      </c>
      <c r="E113" s="989" t="s">
        <v>9707</v>
      </c>
    </row>
    <row r="114" spans="2:5">
      <c r="B114" t="s">
        <v>1409</v>
      </c>
      <c r="C114" t="s">
        <v>1413</v>
      </c>
      <c r="D114" s="942" t="s">
        <v>527</v>
      </c>
      <c r="E114" s="989" t="s">
        <v>9708</v>
      </c>
    </row>
    <row r="115" spans="2:5">
      <c r="B115" t="s">
        <v>1409</v>
      </c>
      <c r="C115" t="s">
        <v>1413</v>
      </c>
      <c r="D115" s="942" t="s">
        <v>528</v>
      </c>
      <c r="E115" s="989" t="s">
        <v>9709</v>
      </c>
    </row>
    <row r="116" spans="2:5">
      <c r="B116" t="s">
        <v>1410</v>
      </c>
      <c r="C116" t="s">
        <v>3352</v>
      </c>
      <c r="D116" s="942" t="s">
        <v>526</v>
      </c>
      <c r="E116" s="989" t="s">
        <v>9710</v>
      </c>
    </row>
    <row r="117" spans="2:5">
      <c r="B117" t="s">
        <v>1410</v>
      </c>
      <c r="C117" t="s">
        <v>3352</v>
      </c>
      <c r="D117" s="942" t="s">
        <v>527</v>
      </c>
      <c r="E117" s="989" t="s">
        <v>9711</v>
      </c>
    </row>
    <row r="118" spans="2:5">
      <c r="B118" t="s">
        <v>1410</v>
      </c>
      <c r="C118" t="s">
        <v>3352</v>
      </c>
      <c r="D118" s="942" t="s">
        <v>528</v>
      </c>
      <c r="E118" s="989" t="s">
        <v>9712</v>
      </c>
    </row>
    <row r="119" spans="2:5">
      <c r="B119" t="s">
        <v>1409</v>
      </c>
      <c r="C119" t="s">
        <v>1420</v>
      </c>
      <c r="D119" s="942" t="s">
        <v>526</v>
      </c>
      <c r="E119" s="989" t="s">
        <v>9713</v>
      </c>
    </row>
    <row r="120" spans="2:5">
      <c r="B120" t="s">
        <v>1409</v>
      </c>
      <c r="C120" t="s">
        <v>1420</v>
      </c>
      <c r="D120" s="942" t="s">
        <v>527</v>
      </c>
      <c r="E120" s="989" t="s">
        <v>9714</v>
      </c>
    </row>
    <row r="121" spans="2:5">
      <c r="B121" t="s">
        <v>1409</v>
      </c>
      <c r="C121" t="s">
        <v>1420</v>
      </c>
      <c r="D121" s="942" t="s">
        <v>528</v>
      </c>
      <c r="E121" s="989" t="s">
        <v>9715</v>
      </c>
    </row>
    <row r="122" spans="2:5">
      <c r="B122" t="s">
        <v>1410</v>
      </c>
      <c r="C122" t="s">
        <v>3359</v>
      </c>
      <c r="D122" s="942" t="s">
        <v>526</v>
      </c>
      <c r="E122" s="989" t="s">
        <v>9716</v>
      </c>
    </row>
    <row r="123" spans="2:5">
      <c r="B123" t="s">
        <v>1410</v>
      </c>
      <c r="C123" t="s">
        <v>3359</v>
      </c>
      <c r="D123" s="942" t="s">
        <v>527</v>
      </c>
      <c r="E123" s="989" t="s">
        <v>9717</v>
      </c>
    </row>
    <row r="124" spans="2:5">
      <c r="B124" t="s">
        <v>1410</v>
      </c>
      <c r="C124" t="s">
        <v>3359</v>
      </c>
      <c r="D124" s="942" t="s">
        <v>528</v>
      </c>
      <c r="E124" s="989" t="s">
        <v>9718</v>
      </c>
    </row>
    <row r="125" spans="2:5">
      <c r="B125" t="s">
        <v>1409</v>
      </c>
      <c r="C125" t="s">
        <v>1424</v>
      </c>
      <c r="D125" s="942" t="s">
        <v>526</v>
      </c>
      <c r="E125" s="989" t="s">
        <v>9719</v>
      </c>
    </row>
    <row r="126" spans="2:5">
      <c r="B126" t="s">
        <v>1409</v>
      </c>
      <c r="C126" t="s">
        <v>1424</v>
      </c>
      <c r="D126" s="942" t="s">
        <v>527</v>
      </c>
      <c r="E126" s="989" t="s">
        <v>9720</v>
      </c>
    </row>
    <row r="127" spans="2:5">
      <c r="B127" t="s">
        <v>1409</v>
      </c>
      <c r="C127" t="s">
        <v>1424</v>
      </c>
      <c r="D127" s="942" t="s">
        <v>528</v>
      </c>
      <c r="E127" s="989" t="s">
        <v>9721</v>
      </c>
    </row>
    <row r="128" spans="2:5">
      <c r="B128" t="s">
        <v>1410</v>
      </c>
      <c r="C128" t="s">
        <v>3366</v>
      </c>
      <c r="D128" s="942" t="s">
        <v>526</v>
      </c>
      <c r="E128" s="989" t="s">
        <v>9722</v>
      </c>
    </row>
    <row r="129" spans="2:5">
      <c r="B129" t="s">
        <v>1410</v>
      </c>
      <c r="C129" t="s">
        <v>3366</v>
      </c>
      <c r="D129" s="942" t="s">
        <v>527</v>
      </c>
      <c r="E129" s="989" t="s">
        <v>9723</v>
      </c>
    </row>
    <row r="130" spans="2:5">
      <c r="B130" t="s">
        <v>1410</v>
      </c>
      <c r="C130" t="s">
        <v>3366</v>
      </c>
      <c r="D130" s="942" t="s">
        <v>528</v>
      </c>
      <c r="E130" s="989" t="s">
        <v>9724</v>
      </c>
    </row>
    <row r="131" spans="2:5">
      <c r="B131" t="s">
        <v>1410</v>
      </c>
      <c r="C131" t="s">
        <v>3370</v>
      </c>
      <c r="D131" s="942" t="s">
        <v>526</v>
      </c>
      <c r="E131" s="989" t="s">
        <v>9725</v>
      </c>
    </row>
    <row r="132" spans="2:5">
      <c r="B132" t="s">
        <v>1410</v>
      </c>
      <c r="C132" t="s">
        <v>3370</v>
      </c>
      <c r="D132" s="942" t="s">
        <v>527</v>
      </c>
      <c r="E132" s="989" t="s">
        <v>9726</v>
      </c>
    </row>
    <row r="133" spans="2:5">
      <c r="B133" t="s">
        <v>1410</v>
      </c>
      <c r="C133" t="s">
        <v>3370</v>
      </c>
      <c r="D133" s="942" t="s">
        <v>528</v>
      </c>
      <c r="E133" s="989" t="s">
        <v>9727</v>
      </c>
    </row>
    <row r="134" spans="2:5">
      <c r="B134" t="s">
        <v>1410</v>
      </c>
      <c r="C134" t="s">
        <v>3374</v>
      </c>
      <c r="D134" s="942" t="s">
        <v>526</v>
      </c>
      <c r="E134" s="989" t="s">
        <v>9728</v>
      </c>
    </row>
    <row r="135" spans="2:5">
      <c r="B135" t="s">
        <v>1410</v>
      </c>
      <c r="C135" t="s">
        <v>3374</v>
      </c>
      <c r="D135" s="942" t="s">
        <v>527</v>
      </c>
      <c r="E135" s="989" t="s">
        <v>9729</v>
      </c>
    </row>
    <row r="136" spans="2:5">
      <c r="B136" t="s">
        <v>1410</v>
      </c>
      <c r="C136" t="s">
        <v>3374</v>
      </c>
      <c r="D136" s="942" t="s">
        <v>528</v>
      </c>
      <c r="E136" s="989" t="s">
        <v>9730</v>
      </c>
    </row>
    <row r="137" spans="2:5">
      <c r="B137" t="s">
        <v>1410</v>
      </c>
      <c r="C137" t="s">
        <v>3378</v>
      </c>
      <c r="D137" s="942" t="s">
        <v>526</v>
      </c>
      <c r="E137" s="989" t="s">
        <v>9731</v>
      </c>
    </row>
    <row r="138" spans="2:5">
      <c r="B138" t="s">
        <v>1410</v>
      </c>
      <c r="C138" t="s">
        <v>3378</v>
      </c>
      <c r="D138" s="942" t="s">
        <v>527</v>
      </c>
      <c r="E138" s="989" t="s">
        <v>9732</v>
      </c>
    </row>
    <row r="139" spans="2:5">
      <c r="B139" t="s">
        <v>1410</v>
      </c>
      <c r="C139" t="s">
        <v>3378</v>
      </c>
      <c r="D139" s="942" t="s">
        <v>528</v>
      </c>
      <c r="E139" s="989" t="s">
        <v>9733</v>
      </c>
    </row>
    <row r="140" spans="2:5">
      <c r="B140" t="s">
        <v>1410</v>
      </c>
      <c r="C140" t="s">
        <v>3382</v>
      </c>
      <c r="D140" s="942" t="s">
        <v>526</v>
      </c>
      <c r="E140" s="989" t="s">
        <v>9734</v>
      </c>
    </row>
    <row r="141" spans="2:5">
      <c r="B141" t="s">
        <v>1410</v>
      </c>
      <c r="C141" t="s">
        <v>3382</v>
      </c>
      <c r="D141" s="942" t="s">
        <v>527</v>
      </c>
      <c r="E141" s="989" t="s">
        <v>9735</v>
      </c>
    </row>
    <row r="142" spans="2:5">
      <c r="B142" t="s">
        <v>1410</v>
      </c>
      <c r="C142" t="s">
        <v>3382</v>
      </c>
      <c r="D142" s="942" t="s">
        <v>528</v>
      </c>
      <c r="E142" s="989" t="s">
        <v>9736</v>
      </c>
    </row>
    <row r="143" spans="2:5">
      <c r="B143" t="s">
        <v>1409</v>
      </c>
      <c r="C143" t="s">
        <v>1431</v>
      </c>
      <c r="D143" s="942" t="s">
        <v>526</v>
      </c>
      <c r="E143" s="989" t="s">
        <v>9737</v>
      </c>
    </row>
    <row r="144" spans="2:5">
      <c r="B144" t="s">
        <v>1409</v>
      </c>
      <c r="C144" t="s">
        <v>1431</v>
      </c>
      <c r="D144" s="942" t="s">
        <v>527</v>
      </c>
      <c r="E144" s="989" t="s">
        <v>9738</v>
      </c>
    </row>
    <row r="145" spans="2:5">
      <c r="B145" t="s">
        <v>1409</v>
      </c>
      <c r="C145" t="s">
        <v>1431</v>
      </c>
      <c r="D145" s="942" t="s">
        <v>528</v>
      </c>
      <c r="E145" s="989" t="s">
        <v>9739</v>
      </c>
    </row>
    <row r="146" spans="2:5">
      <c r="B146" t="s">
        <v>1410</v>
      </c>
      <c r="C146" t="s">
        <v>3389</v>
      </c>
      <c r="D146" s="942" t="s">
        <v>526</v>
      </c>
      <c r="E146" s="989" t="s">
        <v>9740</v>
      </c>
    </row>
    <row r="147" spans="2:5">
      <c r="B147" t="s">
        <v>1410</v>
      </c>
      <c r="C147" t="s">
        <v>3389</v>
      </c>
      <c r="D147" s="942" t="s">
        <v>527</v>
      </c>
      <c r="E147" s="989" t="s">
        <v>9741</v>
      </c>
    </row>
    <row r="148" spans="2:5">
      <c r="B148" t="s">
        <v>1410</v>
      </c>
      <c r="C148" t="s">
        <v>3389</v>
      </c>
      <c r="D148" s="942" t="s">
        <v>528</v>
      </c>
      <c r="E148" s="989" t="s">
        <v>9742</v>
      </c>
    </row>
    <row r="149" spans="2:5">
      <c r="B149" t="s">
        <v>1410</v>
      </c>
      <c r="C149" t="s">
        <v>3393</v>
      </c>
      <c r="D149" s="942" t="s">
        <v>526</v>
      </c>
      <c r="E149" s="989" t="s">
        <v>9743</v>
      </c>
    </row>
    <row r="150" spans="2:5">
      <c r="B150" t="s">
        <v>1410</v>
      </c>
      <c r="C150" t="s">
        <v>3393</v>
      </c>
      <c r="D150" s="942" t="s">
        <v>527</v>
      </c>
      <c r="E150" s="989" t="s">
        <v>9744</v>
      </c>
    </row>
    <row r="151" spans="2:5">
      <c r="B151" t="s">
        <v>1410</v>
      </c>
      <c r="C151" t="s">
        <v>3393</v>
      </c>
      <c r="D151" s="942" t="s">
        <v>528</v>
      </c>
      <c r="E151" s="989" t="s">
        <v>9745</v>
      </c>
    </row>
    <row r="152" spans="2:5">
      <c r="B152" t="s">
        <v>1410</v>
      </c>
      <c r="C152" t="s">
        <v>3397</v>
      </c>
      <c r="D152" s="942" t="s">
        <v>526</v>
      </c>
      <c r="E152" s="989" t="s">
        <v>9746</v>
      </c>
    </row>
    <row r="153" spans="2:5">
      <c r="B153" t="s">
        <v>1410</v>
      </c>
      <c r="C153" t="s">
        <v>3397</v>
      </c>
      <c r="D153" s="942" t="s">
        <v>527</v>
      </c>
      <c r="E153" s="989" t="s">
        <v>9747</v>
      </c>
    </row>
    <row r="154" spans="2:5">
      <c r="B154" t="s">
        <v>1410</v>
      </c>
      <c r="C154" t="s">
        <v>3397</v>
      </c>
      <c r="D154" s="942" t="s">
        <v>528</v>
      </c>
      <c r="E154" s="989" t="s">
        <v>9748</v>
      </c>
    </row>
    <row r="155" spans="2:5">
      <c r="B155" t="s">
        <v>1434</v>
      </c>
      <c r="C155" t="s">
        <v>42</v>
      </c>
      <c r="D155" s="942" t="s">
        <v>526</v>
      </c>
      <c r="E155" s="989" t="s">
        <v>9749</v>
      </c>
    </row>
    <row r="156" spans="2:5">
      <c r="B156" t="s">
        <v>1434</v>
      </c>
      <c r="C156" t="s">
        <v>42</v>
      </c>
      <c r="D156" s="942" t="s">
        <v>527</v>
      </c>
      <c r="E156" s="989" t="s">
        <v>9750</v>
      </c>
    </row>
    <row r="157" spans="2:5">
      <c r="B157" t="s">
        <v>1434</v>
      </c>
      <c r="C157" t="s">
        <v>42</v>
      </c>
      <c r="D157" s="942" t="s">
        <v>528</v>
      </c>
      <c r="E157" s="989" t="s">
        <v>9751</v>
      </c>
    </row>
    <row r="158" spans="2:5">
      <c r="B158" t="s">
        <v>1410</v>
      </c>
      <c r="C158" t="s">
        <v>3404</v>
      </c>
      <c r="D158" s="942" t="s">
        <v>526</v>
      </c>
      <c r="E158" s="989" t="s">
        <v>9752</v>
      </c>
    </row>
    <row r="159" spans="2:5">
      <c r="B159" t="s">
        <v>1410</v>
      </c>
      <c r="C159" t="s">
        <v>3404</v>
      </c>
      <c r="D159" s="942" t="s">
        <v>527</v>
      </c>
      <c r="E159" s="989" t="s">
        <v>9753</v>
      </c>
    </row>
    <row r="160" spans="2:5">
      <c r="B160" t="s">
        <v>1410</v>
      </c>
      <c r="C160" t="s">
        <v>3404</v>
      </c>
      <c r="D160" s="942" t="s">
        <v>528</v>
      </c>
      <c r="E160" s="989" t="s">
        <v>9754</v>
      </c>
    </row>
    <row r="161" spans="2:5">
      <c r="B161" t="s">
        <v>1434</v>
      </c>
      <c r="C161" t="s">
        <v>1439</v>
      </c>
      <c r="D161" s="942" t="s">
        <v>526</v>
      </c>
      <c r="E161" s="989" t="s">
        <v>9755</v>
      </c>
    </row>
    <row r="162" spans="2:5">
      <c r="B162" t="s">
        <v>1434</v>
      </c>
      <c r="C162" t="s">
        <v>1439</v>
      </c>
      <c r="D162" s="942" t="s">
        <v>527</v>
      </c>
      <c r="E162" s="989" t="s">
        <v>9756</v>
      </c>
    </row>
    <row r="163" spans="2:5">
      <c r="B163" t="s">
        <v>1434</v>
      </c>
      <c r="C163" t="s">
        <v>1439</v>
      </c>
      <c r="D163" s="942" t="s">
        <v>528</v>
      </c>
      <c r="E163" s="989" t="s">
        <v>9757</v>
      </c>
    </row>
    <row r="164" spans="2:5">
      <c r="B164" t="s">
        <v>1410</v>
      </c>
      <c r="C164" t="s">
        <v>3411</v>
      </c>
      <c r="D164" s="942" t="s">
        <v>526</v>
      </c>
      <c r="E164" s="989" t="s">
        <v>9758</v>
      </c>
    </row>
    <row r="165" spans="2:5">
      <c r="B165" t="s">
        <v>1410</v>
      </c>
      <c r="C165" t="s">
        <v>3411</v>
      </c>
      <c r="D165" s="942" t="s">
        <v>527</v>
      </c>
      <c r="E165" s="989" t="s">
        <v>9759</v>
      </c>
    </row>
    <row r="166" spans="2:5">
      <c r="B166" t="s">
        <v>1410</v>
      </c>
      <c r="C166" t="s">
        <v>3411</v>
      </c>
      <c r="D166" s="942" t="s">
        <v>528</v>
      </c>
      <c r="E166" s="989" t="s">
        <v>9760</v>
      </c>
    </row>
    <row r="167" spans="2:5">
      <c r="B167" t="s">
        <v>1434</v>
      </c>
      <c r="C167" t="s">
        <v>43</v>
      </c>
      <c r="D167" s="942" t="s">
        <v>526</v>
      </c>
      <c r="E167" s="989" t="s">
        <v>9761</v>
      </c>
    </row>
    <row r="168" spans="2:5">
      <c r="B168" t="s">
        <v>1434</v>
      </c>
      <c r="C168" t="s">
        <v>43</v>
      </c>
      <c r="D168" s="942" t="s">
        <v>527</v>
      </c>
      <c r="E168" s="989" t="s">
        <v>9762</v>
      </c>
    </row>
    <row r="169" spans="2:5">
      <c r="B169" t="s">
        <v>1434</v>
      </c>
      <c r="C169" t="s">
        <v>43</v>
      </c>
      <c r="D169" s="942" t="s">
        <v>528</v>
      </c>
      <c r="E169" s="989" t="s">
        <v>9763</v>
      </c>
    </row>
    <row r="170" spans="2:5">
      <c r="B170" t="s">
        <v>1410</v>
      </c>
      <c r="C170" t="s">
        <v>3418</v>
      </c>
      <c r="D170" s="942" t="s">
        <v>526</v>
      </c>
      <c r="E170" s="989" t="s">
        <v>9764</v>
      </c>
    </row>
    <row r="171" spans="2:5">
      <c r="B171" t="s">
        <v>1410</v>
      </c>
      <c r="C171" t="s">
        <v>3418</v>
      </c>
      <c r="D171" s="942" t="s">
        <v>527</v>
      </c>
      <c r="E171" s="989" t="s">
        <v>9765</v>
      </c>
    </row>
    <row r="172" spans="2:5">
      <c r="B172" t="s">
        <v>1410</v>
      </c>
      <c r="C172" t="s">
        <v>3418</v>
      </c>
      <c r="D172" s="942" t="s">
        <v>528</v>
      </c>
      <c r="E172" s="989" t="s">
        <v>9766</v>
      </c>
    </row>
    <row r="173" spans="2:5">
      <c r="B173" t="s">
        <v>1434</v>
      </c>
      <c r="C173" t="s">
        <v>1441</v>
      </c>
      <c r="D173" s="942" t="s">
        <v>526</v>
      </c>
      <c r="E173" s="989" t="s">
        <v>9767</v>
      </c>
    </row>
    <row r="174" spans="2:5">
      <c r="B174" t="s">
        <v>1434</v>
      </c>
      <c r="C174" t="s">
        <v>1441</v>
      </c>
      <c r="D174" s="942" t="s">
        <v>527</v>
      </c>
      <c r="E174" s="989" t="s">
        <v>9768</v>
      </c>
    </row>
    <row r="175" spans="2:5">
      <c r="B175" t="s">
        <v>1434</v>
      </c>
      <c r="C175" t="s">
        <v>1441</v>
      </c>
      <c r="D175" s="942" t="s">
        <v>528</v>
      </c>
      <c r="E175" s="989" t="s">
        <v>9769</v>
      </c>
    </row>
    <row r="176" spans="2:5">
      <c r="B176" t="s">
        <v>1410</v>
      </c>
      <c r="C176" t="s">
        <v>3425</v>
      </c>
      <c r="D176" s="942" t="s">
        <v>526</v>
      </c>
      <c r="E176" s="989" t="s">
        <v>9770</v>
      </c>
    </row>
    <row r="177" spans="2:5">
      <c r="B177" t="s">
        <v>1410</v>
      </c>
      <c r="C177" t="s">
        <v>3425</v>
      </c>
      <c r="D177" s="942" t="s">
        <v>527</v>
      </c>
      <c r="E177" s="989" t="s">
        <v>9771</v>
      </c>
    </row>
    <row r="178" spans="2:5">
      <c r="B178" t="s">
        <v>1410</v>
      </c>
      <c r="C178" t="s">
        <v>3425</v>
      </c>
      <c r="D178" s="942" t="s">
        <v>528</v>
      </c>
      <c r="E178" s="989" t="s">
        <v>9772</v>
      </c>
    </row>
    <row r="179" spans="2:5">
      <c r="B179" t="s">
        <v>1434</v>
      </c>
      <c r="C179" t="s">
        <v>1444</v>
      </c>
      <c r="D179" s="942" t="s">
        <v>526</v>
      </c>
      <c r="E179" s="989" t="s">
        <v>9773</v>
      </c>
    </row>
    <row r="180" spans="2:5">
      <c r="B180" t="s">
        <v>1434</v>
      </c>
      <c r="C180" t="s">
        <v>1444</v>
      </c>
      <c r="D180" s="942" t="s">
        <v>527</v>
      </c>
      <c r="E180" s="989" t="s">
        <v>9774</v>
      </c>
    </row>
    <row r="181" spans="2:5">
      <c r="B181" t="s">
        <v>1434</v>
      </c>
      <c r="C181" t="s">
        <v>1444</v>
      </c>
      <c r="D181" s="942" t="s">
        <v>528</v>
      </c>
      <c r="E181" s="989" t="s">
        <v>9775</v>
      </c>
    </row>
    <row r="182" spans="2:5">
      <c r="B182" t="s">
        <v>1434</v>
      </c>
      <c r="C182" t="s">
        <v>1446</v>
      </c>
      <c r="D182" s="942" t="s">
        <v>526</v>
      </c>
      <c r="E182" s="989" t="s">
        <v>9776</v>
      </c>
    </row>
    <row r="183" spans="2:5">
      <c r="B183" t="s">
        <v>1434</v>
      </c>
      <c r="C183" t="s">
        <v>1446</v>
      </c>
      <c r="D183" s="942" t="s">
        <v>527</v>
      </c>
      <c r="E183" s="989" t="s">
        <v>9777</v>
      </c>
    </row>
    <row r="184" spans="2:5">
      <c r="B184" t="s">
        <v>1434</v>
      </c>
      <c r="C184" t="s">
        <v>1446</v>
      </c>
      <c r="D184" s="942" t="s">
        <v>528</v>
      </c>
      <c r="E184" s="989" t="s">
        <v>9778</v>
      </c>
    </row>
    <row r="185" spans="2:5">
      <c r="B185" t="s">
        <v>1410</v>
      </c>
      <c r="C185" t="s">
        <v>3435</v>
      </c>
      <c r="D185" s="942" t="s">
        <v>526</v>
      </c>
      <c r="E185" s="989" t="s">
        <v>9779</v>
      </c>
    </row>
    <row r="186" spans="2:5">
      <c r="B186" t="s">
        <v>1410</v>
      </c>
      <c r="C186" t="s">
        <v>3435</v>
      </c>
      <c r="D186" s="942" t="s">
        <v>527</v>
      </c>
      <c r="E186" s="989" t="s">
        <v>9780</v>
      </c>
    </row>
    <row r="187" spans="2:5">
      <c r="B187" t="s">
        <v>1410</v>
      </c>
      <c r="C187" t="s">
        <v>3435</v>
      </c>
      <c r="D187" s="942" t="s">
        <v>528</v>
      </c>
      <c r="E187" s="989" t="s">
        <v>9781</v>
      </c>
    </row>
    <row r="188" spans="2:5">
      <c r="B188" t="s">
        <v>1434</v>
      </c>
      <c r="C188" t="s">
        <v>3439</v>
      </c>
      <c r="D188" s="942" t="s">
        <v>526</v>
      </c>
      <c r="E188" s="989" t="s">
        <v>9782</v>
      </c>
    </row>
    <row r="189" spans="2:5">
      <c r="B189" t="s">
        <v>1434</v>
      </c>
      <c r="C189" t="s">
        <v>3439</v>
      </c>
      <c r="D189" s="942" t="s">
        <v>527</v>
      </c>
      <c r="E189" s="989" t="s">
        <v>9783</v>
      </c>
    </row>
    <row r="190" spans="2:5">
      <c r="B190" t="s">
        <v>1434</v>
      </c>
      <c r="C190" t="s">
        <v>3439</v>
      </c>
      <c r="D190" s="942" t="s">
        <v>528</v>
      </c>
      <c r="E190" s="989" t="s">
        <v>9784</v>
      </c>
    </row>
    <row r="191" spans="2:5">
      <c r="B191" t="s">
        <v>1410</v>
      </c>
      <c r="C191" t="s">
        <v>3443</v>
      </c>
      <c r="D191" s="942" t="s">
        <v>526</v>
      </c>
      <c r="E191" s="989" t="s">
        <v>9785</v>
      </c>
    </row>
    <row r="192" spans="2:5">
      <c r="B192" t="s">
        <v>1410</v>
      </c>
      <c r="C192" t="s">
        <v>3443</v>
      </c>
      <c r="D192" s="942" t="s">
        <v>527</v>
      </c>
      <c r="E192" s="989" t="s">
        <v>9786</v>
      </c>
    </row>
    <row r="193" spans="2:5">
      <c r="B193" t="s">
        <v>1410</v>
      </c>
      <c r="C193" t="s">
        <v>3443</v>
      </c>
      <c r="D193" s="942" t="s">
        <v>528</v>
      </c>
      <c r="E193" s="989" t="s">
        <v>9787</v>
      </c>
    </row>
    <row r="194" spans="2:5">
      <c r="B194" t="s">
        <v>1434</v>
      </c>
      <c r="C194" t="s">
        <v>3447</v>
      </c>
      <c r="D194" s="942" t="s">
        <v>526</v>
      </c>
      <c r="E194" s="989" t="s">
        <v>9788</v>
      </c>
    </row>
    <row r="195" spans="2:5">
      <c r="B195" t="s">
        <v>1434</v>
      </c>
      <c r="C195" t="s">
        <v>3447</v>
      </c>
      <c r="D195" s="942" t="s">
        <v>527</v>
      </c>
      <c r="E195" s="989" t="s">
        <v>9789</v>
      </c>
    </row>
    <row r="196" spans="2:5">
      <c r="B196" t="s">
        <v>1434</v>
      </c>
      <c r="C196" t="s">
        <v>3447</v>
      </c>
      <c r="D196" s="942" t="s">
        <v>528</v>
      </c>
      <c r="E196" s="989" t="s">
        <v>9790</v>
      </c>
    </row>
    <row r="197" spans="2:5">
      <c r="B197" t="s">
        <v>1410</v>
      </c>
      <c r="C197" t="s">
        <v>3451</v>
      </c>
      <c r="D197" s="942" t="s">
        <v>526</v>
      </c>
      <c r="E197" s="989" t="s">
        <v>9791</v>
      </c>
    </row>
    <row r="198" spans="2:5">
      <c r="B198" t="s">
        <v>1410</v>
      </c>
      <c r="C198" t="s">
        <v>3451</v>
      </c>
      <c r="D198" s="942" t="s">
        <v>527</v>
      </c>
      <c r="E198" s="989" t="s">
        <v>9792</v>
      </c>
    </row>
    <row r="199" spans="2:5">
      <c r="B199" t="s">
        <v>1410</v>
      </c>
      <c r="C199" t="s">
        <v>3451</v>
      </c>
      <c r="D199" s="942" t="s">
        <v>528</v>
      </c>
      <c r="E199" s="989" t="s">
        <v>9793</v>
      </c>
    </row>
    <row r="200" spans="2:5">
      <c r="B200" t="s">
        <v>1434</v>
      </c>
      <c r="C200" t="s">
        <v>3455</v>
      </c>
      <c r="D200" s="942" t="s">
        <v>526</v>
      </c>
      <c r="E200" s="989" t="s">
        <v>9794</v>
      </c>
    </row>
    <row r="201" spans="2:5">
      <c r="B201" t="s">
        <v>1434</v>
      </c>
      <c r="C201" t="s">
        <v>3455</v>
      </c>
      <c r="D201" s="942" t="s">
        <v>527</v>
      </c>
      <c r="E201" s="989" t="s">
        <v>9795</v>
      </c>
    </row>
    <row r="202" spans="2:5">
      <c r="B202" t="s">
        <v>1434</v>
      </c>
      <c r="C202" t="s">
        <v>3455</v>
      </c>
      <c r="D202" s="942" t="s">
        <v>528</v>
      </c>
      <c r="E202" s="989" t="s">
        <v>9796</v>
      </c>
    </row>
    <row r="203" spans="2:5">
      <c r="B203" t="s">
        <v>1410</v>
      </c>
      <c r="C203" t="s">
        <v>3459</v>
      </c>
      <c r="D203" s="942" t="s">
        <v>526</v>
      </c>
      <c r="E203" s="989" t="s">
        <v>9797</v>
      </c>
    </row>
    <row r="204" spans="2:5">
      <c r="B204" t="s">
        <v>1410</v>
      </c>
      <c r="C204" t="s">
        <v>3459</v>
      </c>
      <c r="D204" s="942" t="s">
        <v>527</v>
      </c>
      <c r="E204" s="989" t="s">
        <v>9798</v>
      </c>
    </row>
    <row r="205" spans="2:5">
      <c r="B205" t="s">
        <v>1410</v>
      </c>
      <c r="C205" t="s">
        <v>3459</v>
      </c>
      <c r="D205" s="942" t="s">
        <v>528</v>
      </c>
      <c r="E205" s="989" t="s">
        <v>9799</v>
      </c>
    </row>
    <row r="206" spans="2:5">
      <c r="B206" t="s">
        <v>1434</v>
      </c>
      <c r="C206" t="s">
        <v>3463</v>
      </c>
      <c r="D206" s="942" t="s">
        <v>526</v>
      </c>
      <c r="E206" s="989" t="s">
        <v>9800</v>
      </c>
    </row>
    <row r="207" spans="2:5">
      <c r="B207" t="s">
        <v>1434</v>
      </c>
      <c r="C207" t="s">
        <v>3463</v>
      </c>
      <c r="D207" s="942" t="s">
        <v>527</v>
      </c>
      <c r="E207" s="989" t="s">
        <v>9801</v>
      </c>
    </row>
    <row r="208" spans="2:5">
      <c r="B208" t="s">
        <v>1434</v>
      </c>
      <c r="C208" t="s">
        <v>3463</v>
      </c>
      <c r="D208" s="942" t="s">
        <v>528</v>
      </c>
      <c r="E208" s="989" t="s">
        <v>9802</v>
      </c>
    </row>
    <row r="209" spans="2:5">
      <c r="B209" t="s">
        <v>1410</v>
      </c>
      <c r="C209" t="s">
        <v>3467</v>
      </c>
      <c r="D209" s="942" t="s">
        <v>526</v>
      </c>
      <c r="E209" s="989" t="s">
        <v>9803</v>
      </c>
    </row>
    <row r="210" spans="2:5">
      <c r="B210" t="s">
        <v>1410</v>
      </c>
      <c r="C210" t="s">
        <v>3467</v>
      </c>
      <c r="D210" s="942" t="s">
        <v>527</v>
      </c>
      <c r="E210" s="989" t="s">
        <v>9804</v>
      </c>
    </row>
    <row r="211" spans="2:5">
      <c r="B211" t="s">
        <v>1410</v>
      </c>
      <c r="C211" t="s">
        <v>3467</v>
      </c>
      <c r="D211" s="942" t="s">
        <v>528</v>
      </c>
      <c r="E211" s="989" t="s">
        <v>9805</v>
      </c>
    </row>
    <row r="212" spans="2:5">
      <c r="B212" t="s">
        <v>1434</v>
      </c>
      <c r="C212" t="s">
        <v>3471</v>
      </c>
      <c r="D212" s="942" t="s">
        <v>526</v>
      </c>
      <c r="E212" s="989" t="s">
        <v>9806</v>
      </c>
    </row>
    <row r="213" spans="2:5">
      <c r="B213" t="s">
        <v>1434</v>
      </c>
      <c r="C213" t="s">
        <v>3471</v>
      </c>
      <c r="D213" s="942" t="s">
        <v>527</v>
      </c>
      <c r="E213" s="989" t="s">
        <v>9807</v>
      </c>
    </row>
    <row r="214" spans="2:5">
      <c r="B214" t="s">
        <v>1434</v>
      </c>
      <c r="C214" t="s">
        <v>3471</v>
      </c>
      <c r="D214" s="942" t="s">
        <v>528</v>
      </c>
      <c r="E214" s="989" t="s">
        <v>9808</v>
      </c>
    </row>
    <row r="215" spans="2:5">
      <c r="B215" t="s">
        <v>1410</v>
      </c>
      <c r="C215" t="s">
        <v>3475</v>
      </c>
      <c r="D215" s="942" t="s">
        <v>526</v>
      </c>
      <c r="E215" s="989" t="s">
        <v>9809</v>
      </c>
    </row>
    <row r="216" spans="2:5">
      <c r="B216" t="s">
        <v>1410</v>
      </c>
      <c r="C216" t="s">
        <v>3475</v>
      </c>
      <c r="D216" s="942" t="s">
        <v>527</v>
      </c>
      <c r="E216" s="989" t="s">
        <v>9810</v>
      </c>
    </row>
    <row r="217" spans="2:5">
      <c r="B217" t="s">
        <v>1410</v>
      </c>
      <c r="C217" t="s">
        <v>3475</v>
      </c>
      <c r="D217" s="942" t="s">
        <v>528</v>
      </c>
      <c r="E217" s="989" t="s">
        <v>9811</v>
      </c>
    </row>
    <row r="218" spans="2:5">
      <c r="B218" t="s">
        <v>1434</v>
      </c>
      <c r="C218" t="s">
        <v>3479</v>
      </c>
      <c r="D218" s="942" t="s">
        <v>526</v>
      </c>
      <c r="E218" s="989" t="s">
        <v>9812</v>
      </c>
    </row>
    <row r="219" spans="2:5">
      <c r="B219" t="s">
        <v>1434</v>
      </c>
      <c r="C219" t="s">
        <v>3479</v>
      </c>
      <c r="D219" s="942" t="s">
        <v>527</v>
      </c>
      <c r="E219" s="989" t="s">
        <v>9813</v>
      </c>
    </row>
    <row r="220" spans="2:5">
      <c r="B220" t="s">
        <v>1434</v>
      </c>
      <c r="C220" t="s">
        <v>3479</v>
      </c>
      <c r="D220" s="942" t="s">
        <v>528</v>
      </c>
      <c r="E220" s="989" t="s">
        <v>9814</v>
      </c>
    </row>
    <row r="221" spans="2:5">
      <c r="B221" t="s">
        <v>1410</v>
      </c>
      <c r="C221" t="s">
        <v>3483</v>
      </c>
      <c r="D221" s="942" t="s">
        <v>526</v>
      </c>
      <c r="E221" s="989" t="s">
        <v>9815</v>
      </c>
    </row>
    <row r="222" spans="2:5">
      <c r="B222" t="s">
        <v>1410</v>
      </c>
      <c r="C222" t="s">
        <v>3483</v>
      </c>
      <c r="D222" s="942" t="s">
        <v>527</v>
      </c>
      <c r="E222" s="989" t="s">
        <v>9816</v>
      </c>
    </row>
    <row r="223" spans="2:5">
      <c r="B223" t="s">
        <v>1410</v>
      </c>
      <c r="C223" t="s">
        <v>3483</v>
      </c>
      <c r="D223" s="942" t="s">
        <v>528</v>
      </c>
      <c r="E223" s="989" t="s">
        <v>9817</v>
      </c>
    </row>
  </sheetData>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Mapa RDO — Página &amp;P de &amp;F</oddFooter>
  </headerFooter>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F7EDB-C520-4EE7-B5BF-CB63A9C85F58}">
  <sheetPr codeName="Hoja34">
    <tabColor rgb="FF7F7F7F"/>
  </sheetPr>
  <dimension ref="B1:V36"/>
  <sheetViews>
    <sheetView showGridLines="0" workbookViewId="0">
      <selection activeCell="U5" sqref="U5"/>
    </sheetView>
  </sheetViews>
  <sheetFormatPr baseColWidth="10" defaultRowHeight="15"/>
  <cols>
    <col min="2" max="6" width="26.7109375" customWidth="1"/>
    <col min="9" max="9" width="15" customWidth="1"/>
    <col min="15" max="15" width="26.42578125" bestFit="1" customWidth="1"/>
    <col min="17" max="17" width="15.5703125" bestFit="1" customWidth="1"/>
    <col min="21" max="22" width="18.140625" customWidth="1"/>
  </cols>
  <sheetData>
    <row r="1" spans="2:22" ht="18.75">
      <c r="B1" s="885" t="s">
        <v>2499</v>
      </c>
    </row>
    <row r="2" spans="2:22">
      <c r="B2" s="886" t="s">
        <v>2516</v>
      </c>
    </row>
    <row r="3" spans="2:22">
      <c r="I3" s="172" t="s">
        <v>9230</v>
      </c>
      <c r="J3" s="946">
        <f>CFG_MES</f>
        <v>46266</v>
      </c>
    </row>
    <row r="4" spans="2:22" ht="16.5" thickBot="1">
      <c r="B4" s="887" t="s">
        <v>2500</v>
      </c>
      <c r="C4" s="887" t="s">
        <v>2505</v>
      </c>
      <c r="D4" s="887" t="s">
        <v>2510</v>
      </c>
      <c r="E4" s="887" t="s">
        <v>2513</v>
      </c>
      <c r="F4" s="887" t="s">
        <v>656</v>
      </c>
      <c r="I4" s="933" t="s">
        <v>9231</v>
      </c>
      <c r="L4" s="247" t="s">
        <v>9254</v>
      </c>
      <c r="M4" s="247" t="s">
        <v>9255</v>
      </c>
      <c r="N4" s="960" t="s">
        <v>3232</v>
      </c>
      <c r="O4" s="961" t="s">
        <v>9420</v>
      </c>
      <c r="Q4" s="960" t="s">
        <v>9545</v>
      </c>
      <c r="S4" s="935" t="s">
        <v>9830</v>
      </c>
      <c r="U4" s="1047" t="s">
        <v>9918</v>
      </c>
      <c r="V4" s="1078" t="s">
        <v>9919</v>
      </c>
    </row>
    <row r="5" spans="2:22">
      <c r="B5" s="896" t="s">
        <v>2501</v>
      </c>
      <c r="C5" s="896" t="s">
        <v>1158</v>
      </c>
      <c r="D5" s="896" t="s">
        <v>1173</v>
      </c>
      <c r="E5" s="896" t="s">
        <v>2514</v>
      </c>
      <c r="F5" s="898" t="s">
        <v>672</v>
      </c>
      <c r="I5" s="871">
        <f>IF(MONTH($J$3+0)=MONTH($J$3),$J$3+0,"")</f>
        <v>46266</v>
      </c>
      <c r="L5" s="248" t="s">
        <v>9256</v>
      </c>
      <c r="M5" s="249" t="s">
        <v>9258</v>
      </c>
      <c r="N5" s="935" t="s">
        <v>526</v>
      </c>
      <c r="O5" s="978" t="s">
        <v>1375</v>
      </c>
      <c r="Q5" s="935" t="s">
        <v>9546</v>
      </c>
      <c r="S5" s="972">
        <v>2025</v>
      </c>
      <c r="U5" s="871">
        <f>IF(ROWS(U$5:U5)&lt;=$V$5,CFG_MES-WEEKDAY(CFG_MES,2)+1+7*(ROWS(U$5:U5)-1),"")</f>
        <v>46265</v>
      </c>
      <c r="V5">
        <f>INT((CFG_FIN_MES-(CFG_MES-WEEKDAY(CFG_MES,2)+1))/7)+1</f>
        <v>5</v>
      </c>
    </row>
    <row r="6" spans="2:22">
      <c r="B6" s="896" t="s">
        <v>2502</v>
      </c>
      <c r="C6" s="896" t="s">
        <v>1170</v>
      </c>
      <c r="D6" s="896" t="s">
        <v>2511</v>
      </c>
      <c r="E6" s="896" t="s">
        <v>2515</v>
      </c>
      <c r="F6" s="898" t="s">
        <v>668</v>
      </c>
      <c r="I6" s="871">
        <f>IF(MONTH($J$3+1)=MONTH($J$3),$J$3+1,"")</f>
        <v>46267</v>
      </c>
      <c r="L6" s="250" t="s">
        <v>2512</v>
      </c>
      <c r="M6" s="251" t="s">
        <v>9259</v>
      </c>
      <c r="N6" s="935" t="s">
        <v>527</v>
      </c>
      <c r="O6" s="935" t="s">
        <v>1454</v>
      </c>
      <c r="Q6" s="935" t="s">
        <v>9547</v>
      </c>
      <c r="S6" s="972">
        <v>2026</v>
      </c>
      <c r="U6" s="871">
        <f>IF(ROWS(U$5:U6)&lt;=$V$5,CFG_MES-WEEKDAY(CFG_MES,2)+1+7*(ROWS(U$5:U6)-1),"")</f>
        <v>46272</v>
      </c>
    </row>
    <row r="7" spans="2:22">
      <c r="B7" s="896" t="s">
        <v>2503</v>
      </c>
      <c r="C7" s="896" t="s">
        <v>1161</v>
      </c>
      <c r="D7" s="896" t="s">
        <v>821</v>
      </c>
      <c r="E7" s="896"/>
      <c r="F7" s="898" t="s">
        <v>665</v>
      </c>
      <c r="I7" s="871">
        <f>IF(MONTH($J$3+2)=MONTH($J$3),$J$3+2,"")</f>
        <v>46268</v>
      </c>
      <c r="L7" s="250" t="s">
        <v>9257</v>
      </c>
      <c r="M7" s="251" t="s">
        <v>9260</v>
      </c>
      <c r="N7" s="935" t="s">
        <v>528</v>
      </c>
      <c r="O7" s="935" t="s">
        <v>9421</v>
      </c>
      <c r="Q7" s="935" t="s">
        <v>2506</v>
      </c>
      <c r="S7" s="972">
        <v>2027</v>
      </c>
      <c r="U7" s="871">
        <f>IF(ROWS(U$5:U7)&lt;=$V$5,CFG_MES-WEEKDAY(CFG_MES,2)+1+7*(ROWS(U$5:U7)-1),"")</f>
        <v>46279</v>
      </c>
    </row>
    <row r="8" spans="2:22">
      <c r="B8" s="896" t="s">
        <v>2504</v>
      </c>
      <c r="C8" s="896" t="s">
        <v>2506</v>
      </c>
      <c r="D8" s="896" t="s">
        <v>2512</v>
      </c>
      <c r="E8" s="896"/>
      <c r="F8" s="898" t="s">
        <v>662</v>
      </c>
      <c r="I8" s="871">
        <f>IF(MONTH($J$3+3)=MONTH($J$3),$J$3+3,"")</f>
        <v>46269</v>
      </c>
      <c r="L8" s="250"/>
      <c r="M8" s="251" t="s">
        <v>9261</v>
      </c>
      <c r="N8" s="935"/>
      <c r="O8" s="935" t="s">
        <v>1462</v>
      </c>
      <c r="Q8" s="935" t="s">
        <v>260</v>
      </c>
      <c r="S8" s="972">
        <v>2028</v>
      </c>
      <c r="U8" s="871">
        <f>IF(ROWS(U$5:U8)&lt;=$V$5,CFG_MES-WEEKDAY(CFG_MES,2)+1+7*(ROWS(U$5:U8)-1),"")</f>
        <v>46286</v>
      </c>
    </row>
    <row r="9" spans="2:22" ht="15.75">
      <c r="B9" s="896" t="s">
        <v>41</v>
      </c>
      <c r="C9" s="896" t="s">
        <v>2507</v>
      </c>
      <c r="D9" s="896"/>
      <c r="E9" s="896"/>
      <c r="F9" s="898"/>
      <c r="I9" s="871">
        <f>IF(MONTH($J$3+4)=MONTH($J$3),$J$3+4,"")</f>
        <v>46270</v>
      </c>
      <c r="L9" s="250"/>
      <c r="M9" s="251" t="s">
        <v>672</v>
      </c>
      <c r="N9" s="935"/>
      <c r="O9" s="935" t="s">
        <v>1376</v>
      </c>
      <c r="Q9" s="935" t="s">
        <v>9548</v>
      </c>
      <c r="S9" s="1028">
        <v>2029</v>
      </c>
      <c r="U9" s="871">
        <f>IF(ROWS(U$5:U9)&lt;=$V$5,CFG_MES-WEEKDAY(CFG_MES,2)+1+7*(ROWS(U$5:U9)-1),"")</f>
        <v>46293</v>
      </c>
    </row>
    <row r="10" spans="2:22">
      <c r="B10" s="896"/>
      <c r="C10" s="896" t="s">
        <v>2508</v>
      </c>
      <c r="D10" s="896"/>
      <c r="E10" s="896"/>
      <c r="F10" s="898"/>
      <c r="I10" s="871">
        <f>IF(MONTH($J$3+5)=MONTH($J$3),$J$3+5,"")</f>
        <v>46271</v>
      </c>
      <c r="N10" s="935"/>
      <c r="O10" s="935" t="s">
        <v>1393</v>
      </c>
      <c r="S10" s="1029">
        <v>2030</v>
      </c>
      <c r="U10" s="871" t="str">
        <f>IF(ROWS(U$5:U10)&lt;=$V$5,CFG_MES-WEEKDAY(CFG_MES,2)+1+7*(ROWS(U$5:U10)-1),"")</f>
        <v/>
      </c>
    </row>
    <row r="11" spans="2:22">
      <c r="B11" s="896"/>
      <c r="C11" s="896" t="s">
        <v>1086</v>
      </c>
      <c r="D11" s="896"/>
      <c r="E11" s="896"/>
      <c r="F11" s="898"/>
      <c r="I11" s="871">
        <f>IF(MONTH($J$3+6)=MONTH($J$3),$J$3+6,"")</f>
        <v>46272</v>
      </c>
      <c r="N11" s="935"/>
      <c r="O11" s="935" t="s">
        <v>1410</v>
      </c>
      <c r="S11" s="972">
        <v>2031</v>
      </c>
    </row>
    <row r="12" spans="2:22">
      <c r="B12" s="896"/>
      <c r="C12" s="896" t="s">
        <v>2509</v>
      </c>
      <c r="D12" s="896"/>
      <c r="E12" s="896"/>
      <c r="F12" s="898"/>
      <c r="I12" s="871">
        <f>IF(MONTH($J$3+7)=MONTH($J$3),$J$3+7,"")</f>
        <v>46273</v>
      </c>
      <c r="N12" s="935"/>
      <c r="O12" s="935" t="s">
        <v>1434</v>
      </c>
      <c r="S12" s="972">
        <v>2032</v>
      </c>
    </row>
    <row r="13" spans="2:22">
      <c r="B13" s="896"/>
      <c r="C13" s="896"/>
      <c r="D13" s="896"/>
      <c r="E13" s="896"/>
      <c r="F13" s="898"/>
      <c r="I13" s="871">
        <f>IF(MONTH($J$3+8)=MONTH($J$3),$J$3+8,"")</f>
        <v>46274</v>
      </c>
      <c r="N13" s="935"/>
      <c r="O13" s="935" t="s">
        <v>1465</v>
      </c>
      <c r="S13" s="972">
        <v>2033</v>
      </c>
    </row>
    <row r="14" spans="2:22">
      <c r="B14" s="896"/>
      <c r="C14" s="896"/>
      <c r="D14" s="896"/>
      <c r="E14" s="896"/>
      <c r="F14" s="898"/>
      <c r="I14" s="871">
        <f>IF(MONTH($J$3+9)=MONTH($J$3),$J$3+9,"")</f>
        <v>46275</v>
      </c>
      <c r="N14" s="935"/>
      <c r="O14" s="935" t="s">
        <v>9422</v>
      </c>
      <c r="S14" s="972">
        <v>2034</v>
      </c>
    </row>
    <row r="15" spans="2:22">
      <c r="B15" s="896"/>
      <c r="C15" s="896"/>
      <c r="D15" s="896"/>
      <c r="E15" s="896"/>
      <c r="F15" s="898"/>
      <c r="I15" s="871">
        <f>IF(MONTH($J$3+10)=MONTH($J$3),$J$3+10,"")</f>
        <v>46276</v>
      </c>
    </row>
    <row r="16" spans="2:22">
      <c r="B16" s="897"/>
      <c r="C16" s="897"/>
      <c r="D16" s="897"/>
      <c r="E16" s="897"/>
      <c r="F16" s="899"/>
      <c r="I16" s="871">
        <f>IF(MONTH($J$3+11)=MONTH($J$3),$J$3+11,"")</f>
        <v>46277</v>
      </c>
    </row>
    <row r="17" spans="9:9">
      <c r="I17" s="871">
        <f>IF(MONTH($J$3+12)=MONTH($J$3),$J$3+12,"")</f>
        <v>46278</v>
      </c>
    </row>
    <row r="18" spans="9:9">
      <c r="I18" s="871">
        <f>IF(MONTH($J$3+13)=MONTH($J$3),$J$3+13,"")</f>
        <v>46279</v>
      </c>
    </row>
    <row r="19" spans="9:9">
      <c r="I19" s="871">
        <f>IF(MONTH($J$3+14)=MONTH($J$3),$J$3+14,"")</f>
        <v>46280</v>
      </c>
    </row>
    <row r="20" spans="9:9">
      <c r="I20" s="871">
        <f>IF(MONTH($J$3+15)=MONTH($J$3),$J$3+15,"")</f>
        <v>46281</v>
      </c>
    </row>
    <row r="21" spans="9:9">
      <c r="I21" s="871">
        <f>IF(MONTH($J$3+16)=MONTH($J$3),$J$3+16,"")</f>
        <v>46282</v>
      </c>
    </row>
    <row r="22" spans="9:9">
      <c r="I22" s="871">
        <f>IF(MONTH($J$3+17)=MONTH($J$3),$J$3+17,"")</f>
        <v>46283</v>
      </c>
    </row>
    <row r="23" spans="9:9">
      <c r="I23" s="871">
        <f>IF(MONTH($J$3+18)=MONTH($J$3),$J$3+18,"")</f>
        <v>46284</v>
      </c>
    </row>
    <row r="24" spans="9:9">
      <c r="I24" s="871">
        <f>IF(MONTH($J$3+19)=MONTH($J$3),$J$3+19,"")</f>
        <v>46285</v>
      </c>
    </row>
    <row r="25" spans="9:9">
      <c r="I25" s="871">
        <f>IF(MONTH($J$3+20)=MONTH($J$3),$J$3+20,"")</f>
        <v>46286</v>
      </c>
    </row>
    <row r="26" spans="9:9">
      <c r="I26" s="871">
        <f>IF(MONTH($J$3+21)=MONTH($J$3),$J$3+21,"")</f>
        <v>46287</v>
      </c>
    </row>
    <row r="27" spans="9:9">
      <c r="I27" s="871">
        <f>IF(MONTH($J$3+22)=MONTH($J$3),$J$3+22,"")</f>
        <v>46288</v>
      </c>
    </row>
    <row r="28" spans="9:9">
      <c r="I28" s="871">
        <f>IF(MONTH($J$3+23)=MONTH($J$3),$J$3+23,"")</f>
        <v>46289</v>
      </c>
    </row>
    <row r="29" spans="9:9">
      <c r="I29" s="871">
        <f>IF(MONTH($J$3+24)=MONTH($J$3),$J$3+24,"")</f>
        <v>46290</v>
      </c>
    </row>
    <row r="30" spans="9:9">
      <c r="I30" s="871">
        <f>IF(MONTH($J$3+25)=MONTH($J$3),$J$3+25,"")</f>
        <v>46291</v>
      </c>
    </row>
    <row r="31" spans="9:9">
      <c r="I31" s="871">
        <f>IF(MONTH($J$3+26)=MONTH($J$3),$J$3+26,"")</f>
        <v>46292</v>
      </c>
    </row>
    <row r="32" spans="9:9">
      <c r="I32" s="871">
        <f>IF(MONTH($J$3+27)=MONTH($J$3),$J$3+27,"")</f>
        <v>46293</v>
      </c>
    </row>
    <row r="33" spans="9:9">
      <c r="I33" s="871">
        <f>IF(MONTH($J$3+28)=MONTH($J$3),$J$3+28,"")</f>
        <v>46294</v>
      </c>
    </row>
    <row r="34" spans="9:9">
      <c r="I34" s="871">
        <f>IF(MONTH($J$3+29)=MONTH($J$3),$J$3+29,"")</f>
        <v>46295</v>
      </c>
    </row>
    <row r="35" spans="9:9">
      <c r="I35" s="871" t="str">
        <f>IF(MONTH($J$3+30)=MONTH($J$3),$J$3+30,"")</f>
        <v/>
      </c>
    </row>
    <row r="36" spans="9:9">
      <c r="I36" s="947" t="s">
        <v>9839</v>
      </c>
    </row>
  </sheetData>
  <conditionalFormatting sqref="V4">
    <cfRule type="expression" dxfId="0" priority="1">
      <formula>AND(ISNUMBER($C$4),OR(MONTH($C$4)&lt;&gt;MONTH(CFG_MES),YEAR($C$4)&lt;&gt;YEAR(CFG_MES)))</formula>
    </cfRule>
  </conditionalFormatting>
  <dataValidations count="1">
    <dataValidation type="date" allowBlank="1" showInputMessage="1" showErrorMessage="1" sqref="J3" xr:uid="{E5F0806F-20FA-47A9-B499-E288A1648E97}">
      <formula1>DATE(2024,1,1)</formula1>
      <formula2>DATE(2035,12,1)</formula2>
    </dataValidation>
  </dataValidation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94C17-DC1F-4CC8-B92C-0BC66B686553}">
  <sheetPr codeName="Hoja8">
    <tabColor rgb="FF7F7F7F"/>
    <pageSetUpPr fitToPage="1"/>
  </sheetPr>
  <dimension ref="B1:H60"/>
  <sheetViews>
    <sheetView showGridLines="0" workbookViewId="0">
      <selection activeCell="F19" sqref="F19"/>
    </sheetView>
  </sheetViews>
  <sheetFormatPr baseColWidth="10" defaultRowHeight="15"/>
  <cols>
    <col min="1" max="1" width="2.28515625" customWidth="1"/>
    <col min="2" max="2" width="43.85546875" customWidth="1"/>
    <col min="3" max="7" width="22.85546875" customWidth="1"/>
    <col min="8" max="8" width="49.5703125" customWidth="1"/>
  </cols>
  <sheetData>
    <row r="1" spans="2:8" ht="18.75">
      <c r="B1" s="857" t="s">
        <v>2405</v>
      </c>
    </row>
    <row r="2" spans="2:8">
      <c r="B2" s="855" t="s">
        <v>9284</v>
      </c>
    </row>
    <row r="4" spans="2:8" ht="15.75">
      <c r="B4" s="856" t="s">
        <v>2406</v>
      </c>
    </row>
    <row r="5" spans="2:8">
      <c r="B5" s="858" t="s">
        <v>2407</v>
      </c>
      <c r="C5" s="858" t="s">
        <v>2408</v>
      </c>
      <c r="D5" s="858" t="s">
        <v>2409</v>
      </c>
      <c r="E5" s="858" t="s">
        <v>2410</v>
      </c>
    </row>
    <row r="6" spans="2:8">
      <c r="B6" s="859" t="s">
        <v>2411</v>
      </c>
      <c r="C6" s="964">
        <f>SUMIFS(tblMetas[Valor],tblMetas[Meta],$B6,tblMetas[Desde],"&lt;="&amp;RPT_FECHA,tblMetas[Hasta],"&gt;="&amp;RPT_FECHA)</f>
        <v>1670</v>
      </c>
      <c r="D6" s="859" t="s">
        <v>2412</v>
      </c>
      <c r="E6" s="859" t="s">
        <v>2413</v>
      </c>
    </row>
    <row r="7" spans="2:8">
      <c r="B7" s="859" t="s">
        <v>2414</v>
      </c>
      <c r="C7" s="860">
        <f>C6*8</f>
        <v>13360</v>
      </c>
      <c r="D7" s="859" t="s">
        <v>2415</v>
      </c>
      <c r="E7" s="859" t="s">
        <v>2416</v>
      </c>
    </row>
    <row r="8" spans="2:8">
      <c r="B8" s="859" t="s">
        <v>2417</v>
      </c>
      <c r="C8" s="965">
        <f>SUMIFS(tblMetas[Valor],tblMetas[Meta],$B8,tblMetas[Desde],"&lt;="&amp;RPT_FECHA,tblMetas[Hasta],"&gt;="&amp;RPT_FECHA)</f>
        <v>27641.37</v>
      </c>
      <c r="D8" s="859" t="s">
        <v>2418</v>
      </c>
      <c r="E8" s="859" t="s">
        <v>2419</v>
      </c>
    </row>
    <row r="9" spans="2:8">
      <c r="B9" s="859" t="s">
        <v>2420</v>
      </c>
      <c r="C9" s="861">
        <f>C8/24</f>
        <v>1151.7237499999999</v>
      </c>
      <c r="D9" s="859" t="s">
        <v>2412</v>
      </c>
      <c r="E9" s="859" t="s">
        <v>2421</v>
      </c>
    </row>
    <row r="10" spans="2:8">
      <c r="B10" s="859" t="s">
        <v>2422</v>
      </c>
      <c r="C10" s="966">
        <f>SUMIFS(tblMetas[Valor],tblMetas[Meta],$B10,tblMetas[Desde],"&lt;="&amp;RPT_FECHA,tblMetas[Hasta],"&gt;="&amp;RPT_FECHA)</f>
        <v>0.2</v>
      </c>
      <c r="D10" s="859" t="s">
        <v>2214</v>
      </c>
      <c r="E10" s="859" t="s">
        <v>2423</v>
      </c>
    </row>
    <row r="11" spans="2:8">
      <c r="B11" s="859" t="s">
        <v>2424</v>
      </c>
      <c r="C11" s="967">
        <f>SUMIFS(tblMetas[Valor],tblMetas[Meta],$B11,tblMetas[Desde],"&lt;="&amp;RPT_FECHA,tblMetas[Hasta],"&gt;="&amp;RPT_FECHA)</f>
        <v>15</v>
      </c>
      <c r="D11" s="859" t="s">
        <v>2214</v>
      </c>
      <c r="E11" s="859" t="s">
        <v>2425</v>
      </c>
    </row>
    <row r="12" spans="2:8">
      <c r="B12" s="859" t="s">
        <v>2426</v>
      </c>
      <c r="C12" s="967">
        <f>SUMIFS(tblMetas[Valor],tblMetas[Meta],$B12,tblMetas[Desde],"&lt;="&amp;RPT_FECHA,tblMetas[Hasta],"&gt;="&amp;RPT_FECHA)</f>
        <v>1.8</v>
      </c>
      <c r="D12" s="859" t="s">
        <v>2214</v>
      </c>
      <c r="E12" s="859" t="s">
        <v>2427</v>
      </c>
    </row>
    <row r="13" spans="2:8">
      <c r="B13" s="862" t="s">
        <v>2428</v>
      </c>
      <c r="C13" s="968">
        <f>SUMIFS(tblMetas[Valor],tblMetas[Meta],$B13,tblMetas[Desde],"&lt;="&amp;RPT_FECHA,tblMetas[Hasta],"&gt;="&amp;RPT_FECHA)</f>
        <v>7.4999999999999997E-2</v>
      </c>
      <c r="D13" s="862" t="s">
        <v>2214</v>
      </c>
      <c r="E13" s="862" t="s">
        <v>2429</v>
      </c>
    </row>
    <row r="14" spans="2:8">
      <c r="B14" s="859" t="s">
        <v>9238</v>
      </c>
      <c r="C14" s="969">
        <f>SUMIFS(tblMetas[Valor],tblMetas[Meta],$B14,tblMetas[Desde],"&lt;="&amp;RPT_FECHA,tblMetas[Hasta],"&gt;="&amp;RPT_FECHA)</f>
        <v>500</v>
      </c>
      <c r="D14" s="859" t="s">
        <v>2418</v>
      </c>
      <c r="E14" s="859" t="s">
        <v>9854</v>
      </c>
    </row>
    <row r="15" spans="2:8" ht="15.75">
      <c r="B15" s="856" t="s">
        <v>2430</v>
      </c>
    </row>
    <row r="16" spans="2:8">
      <c r="B16" s="863" t="s">
        <v>74</v>
      </c>
      <c r="C16" s="863" t="s">
        <v>325</v>
      </c>
      <c r="D16" s="863" t="s">
        <v>2431</v>
      </c>
      <c r="E16" s="863" t="s">
        <v>2432</v>
      </c>
      <c r="F16" s="863" t="s">
        <v>2433</v>
      </c>
      <c r="G16" s="863" t="s">
        <v>2434</v>
      </c>
      <c r="H16" s="863" t="s">
        <v>2435</v>
      </c>
    </row>
    <row r="17" spans="2:8">
      <c r="B17" s="864" t="s">
        <v>78</v>
      </c>
      <c r="C17" s="865">
        <v>1</v>
      </c>
      <c r="D17" s="866">
        <v>688440</v>
      </c>
      <c r="E17" s="866">
        <v>670354</v>
      </c>
      <c r="F17" s="866">
        <v>100000</v>
      </c>
      <c r="G17" s="866">
        <v>108808</v>
      </c>
      <c r="H17" s="870" t="s">
        <v>2436</v>
      </c>
    </row>
    <row r="18" spans="2:8">
      <c r="B18" s="864" t="s">
        <v>79</v>
      </c>
      <c r="C18" s="865">
        <v>2</v>
      </c>
      <c r="D18" s="866">
        <v>594128</v>
      </c>
      <c r="E18" s="866">
        <v>578899</v>
      </c>
      <c r="F18" s="866">
        <v>100000</v>
      </c>
      <c r="G18" s="866">
        <v>163710</v>
      </c>
      <c r="H18" s="870" t="s">
        <v>2436</v>
      </c>
    </row>
    <row r="19" spans="2:8">
      <c r="B19" s="864" t="s">
        <v>80</v>
      </c>
      <c r="C19" s="865">
        <v>3</v>
      </c>
      <c r="D19" s="866">
        <v>698462</v>
      </c>
      <c r="E19" s="866">
        <v>634696</v>
      </c>
      <c r="F19" s="866">
        <v>100000</v>
      </c>
      <c r="G19" s="866">
        <v>104094</v>
      </c>
      <c r="H19" s="870" t="s">
        <v>2436</v>
      </c>
    </row>
    <row r="20" spans="2:8">
      <c r="B20" s="864" t="s">
        <v>81</v>
      </c>
      <c r="C20" s="865">
        <v>4</v>
      </c>
      <c r="D20" s="866">
        <v>666558</v>
      </c>
      <c r="E20" s="866">
        <v>660962</v>
      </c>
      <c r="F20" s="866">
        <v>100000</v>
      </c>
      <c r="G20" s="866">
        <v>108628</v>
      </c>
      <c r="H20" s="870" t="s">
        <v>2436</v>
      </c>
    </row>
    <row r="21" spans="2:8">
      <c r="B21" s="864" t="s">
        <v>82</v>
      </c>
      <c r="C21" s="865">
        <v>5</v>
      </c>
      <c r="D21" s="866">
        <v>585575</v>
      </c>
      <c r="E21" s="866">
        <v>671051</v>
      </c>
      <c r="F21" s="866">
        <v>100000</v>
      </c>
      <c r="G21" s="866">
        <v>143683</v>
      </c>
      <c r="H21" s="870" t="s">
        <v>2436</v>
      </c>
    </row>
    <row r="22" spans="2:8">
      <c r="B22" s="864" t="s">
        <v>83</v>
      </c>
      <c r="C22" s="865">
        <v>6</v>
      </c>
      <c r="D22" s="866">
        <v>660185</v>
      </c>
      <c r="E22" s="866">
        <v>605790</v>
      </c>
      <c r="F22" s="866">
        <v>100000</v>
      </c>
      <c r="G22" s="866">
        <v>141197</v>
      </c>
      <c r="H22" s="870" t="s">
        <v>2436</v>
      </c>
    </row>
    <row r="23" spans="2:8">
      <c r="B23" s="864" t="s">
        <v>84</v>
      </c>
      <c r="C23" s="865">
        <v>7</v>
      </c>
      <c r="D23" s="866">
        <v>719467</v>
      </c>
      <c r="E23" s="866">
        <v>656288</v>
      </c>
      <c r="F23" s="866">
        <v>100000</v>
      </c>
      <c r="G23" s="866">
        <v>115970</v>
      </c>
      <c r="H23" s="870" t="s">
        <v>2436</v>
      </c>
    </row>
    <row r="24" spans="2:8">
      <c r="B24" s="864" t="s">
        <v>49</v>
      </c>
      <c r="C24" s="865">
        <v>8</v>
      </c>
      <c r="D24" s="866">
        <v>669573</v>
      </c>
      <c r="E24" s="866">
        <v>648721</v>
      </c>
      <c r="F24" s="866">
        <v>100000</v>
      </c>
      <c r="G24" s="866">
        <v>120088</v>
      </c>
      <c r="H24" s="870" t="s">
        <v>2436</v>
      </c>
    </row>
    <row r="25" spans="2:8">
      <c r="B25" s="864" t="s">
        <v>58</v>
      </c>
      <c r="C25" s="865">
        <v>9</v>
      </c>
      <c r="D25" s="866">
        <v>696047</v>
      </c>
      <c r="E25" s="866"/>
      <c r="F25" s="866">
        <v>100000</v>
      </c>
      <c r="G25" s="866"/>
      <c r="H25" s="870" t="s">
        <v>2437</v>
      </c>
    </row>
    <row r="26" spans="2:8">
      <c r="B26" s="864" t="s">
        <v>85</v>
      </c>
      <c r="C26" s="865">
        <v>10</v>
      </c>
      <c r="D26" s="866">
        <v>715388</v>
      </c>
      <c r="E26" s="866"/>
      <c r="F26" s="866">
        <v>100000</v>
      </c>
      <c r="G26" s="866"/>
      <c r="H26" s="870"/>
    </row>
    <row r="27" spans="2:8">
      <c r="B27" s="864" t="s">
        <v>86</v>
      </c>
      <c r="C27" s="865">
        <v>11</v>
      </c>
      <c r="D27" s="866">
        <v>601289</v>
      </c>
      <c r="E27" s="866"/>
      <c r="F27" s="866">
        <v>100000</v>
      </c>
      <c r="G27" s="866"/>
      <c r="H27" s="870"/>
    </row>
    <row r="28" spans="2:8">
      <c r="B28" s="864" t="s">
        <v>87</v>
      </c>
      <c r="C28" s="865">
        <v>12</v>
      </c>
      <c r="D28" s="866">
        <v>704902</v>
      </c>
      <c r="E28" s="866"/>
      <c r="F28" s="866">
        <v>100000</v>
      </c>
      <c r="G28" s="866"/>
      <c r="H28" s="870"/>
    </row>
    <row r="29" spans="2:8">
      <c r="B29" s="867" t="s">
        <v>55</v>
      </c>
      <c r="C29" s="867"/>
      <c r="D29" s="868">
        <f>SUM(D17:D28)</f>
        <v>8000014</v>
      </c>
      <c r="E29" s="868">
        <f>SUM(E17:E28)</f>
        <v>5126761</v>
      </c>
      <c r="F29" s="868">
        <f>SUM(F17:F28)</f>
        <v>1200000</v>
      </c>
      <c r="G29" s="868">
        <f>SUM(G17:G28)</f>
        <v>1006178</v>
      </c>
      <c r="H29" s="869"/>
    </row>
    <row r="31" spans="2:8" ht="15.75">
      <c r="B31" s="856" t="s">
        <v>2438</v>
      </c>
    </row>
    <row r="32" spans="2:8">
      <c r="B32" s="863" t="s">
        <v>2439</v>
      </c>
      <c r="C32" s="863" t="s">
        <v>2408</v>
      </c>
      <c r="D32" s="863"/>
      <c r="E32" s="863" t="s">
        <v>2401</v>
      </c>
    </row>
    <row r="33" spans="2:8">
      <c r="B33" s="864" t="s">
        <v>2440</v>
      </c>
      <c r="C33" s="872">
        <f>'Reporte Auto'!T1</f>
        <v>46294</v>
      </c>
      <c r="D33" s="864"/>
      <c r="E33" s="870" t="s">
        <v>2441</v>
      </c>
    </row>
    <row r="34" spans="2:8">
      <c r="B34" s="864" t="s">
        <v>10080</v>
      </c>
      <c r="C34" s="873" t="s">
        <v>10081</v>
      </c>
      <c r="D34" s="864" t="s">
        <v>10083</v>
      </c>
      <c r="E34" s="870" t="s">
        <v>2442</v>
      </c>
    </row>
    <row r="35" spans="2:8">
      <c r="B35" s="864" t="s">
        <v>10082</v>
      </c>
      <c r="C35" s="873" t="s">
        <v>10081</v>
      </c>
      <c r="D35" s="864" t="s">
        <v>10083</v>
      </c>
      <c r="E35" s="870" t="s">
        <v>2443</v>
      </c>
    </row>
    <row r="36" spans="2:8">
      <c r="B36" s="864" t="s">
        <v>2444</v>
      </c>
      <c r="C36" s="873">
        <f>DAY(C33)</f>
        <v>29</v>
      </c>
      <c r="D36" s="864"/>
      <c r="E36" s="870"/>
    </row>
    <row r="37" spans="2:8">
      <c r="B37" s="864" t="s">
        <v>2445</v>
      </c>
      <c r="C37" s="873">
        <f>MONTH(C33)</f>
        <v>9</v>
      </c>
      <c r="D37" s="864"/>
      <c r="E37" s="870"/>
    </row>
    <row r="38" spans="2:8">
      <c r="B38" s="864" t="s">
        <v>2446</v>
      </c>
      <c r="C38" s="884" t="str" cm="1">
        <f t="array" ref="C38">INDEX(MESES,C37)</f>
        <v>Setiembre</v>
      </c>
      <c r="D38" s="864"/>
      <c r="E38" s="870"/>
    </row>
    <row r="39" spans="2:8">
      <c r="B39" s="864" t="s">
        <v>2447</v>
      </c>
      <c r="C39" s="873">
        <f>DAY(EOMONTH(C33,0))</f>
        <v>30</v>
      </c>
      <c r="D39" s="864"/>
      <c r="E39" s="870"/>
    </row>
    <row r="40" spans="2:8">
      <c r="B40" s="864" t="s">
        <v>2448</v>
      </c>
      <c r="C40" s="873">
        <f>C36-WEEKDAY(C33,1)+1</f>
        <v>27</v>
      </c>
      <c r="D40" s="864"/>
      <c r="E40" s="870" t="s">
        <v>2449</v>
      </c>
    </row>
    <row r="41" spans="2:8">
      <c r="B41" s="864" t="s">
        <v>2450</v>
      </c>
      <c r="C41" s="873">
        <f>WEEKDAY(C33,1)</f>
        <v>3</v>
      </c>
      <c r="D41" s="864"/>
      <c r="E41" s="870" t="s">
        <v>2451</v>
      </c>
    </row>
    <row r="42" spans="2:8">
      <c r="B42" s="864" t="s">
        <v>2452</v>
      </c>
      <c r="C42" s="874" cm="1">
        <f t="array" ref="C42">INDEX(PPTO_CONC,C37)/C39</f>
        <v>23201.566666666666</v>
      </c>
      <c r="D42" s="864"/>
      <c r="E42" s="870" t="s">
        <v>2453</v>
      </c>
    </row>
    <row r="43" spans="2:8">
      <c r="B43" s="869" t="s">
        <v>2454</v>
      </c>
      <c r="C43" s="875" cm="1">
        <f t="array" ref="C43">INDEX(PPTO_SINTER,C37)/C39</f>
        <v>3333.3333333333335</v>
      </c>
      <c r="D43" s="869"/>
      <c r="E43" s="876"/>
    </row>
    <row r="44" spans="2:8">
      <c r="B44" s="982" t="s">
        <v>9373</v>
      </c>
      <c r="C44" s="972">
        <f>YEAR(C33)*10000+MONTH(C33)*100+DAY(C33)</f>
        <v>20260929</v>
      </c>
      <c r="D44" s="935"/>
      <c r="E44" s="983" t="s">
        <v>9374</v>
      </c>
      <c r="F44" s="935"/>
      <c r="G44" s="935"/>
      <c r="H44" s="935"/>
    </row>
    <row r="45" spans="2:8" ht="15.75">
      <c r="B45" s="856" t="s">
        <v>2456</v>
      </c>
    </row>
    <row r="46" spans="2:8">
      <c r="B46" s="852" t="s">
        <v>2457</v>
      </c>
      <c r="C46" s="852"/>
    </row>
    <row r="47" spans="2:8">
      <c r="B47" s="852" t="s">
        <v>2458</v>
      </c>
      <c r="C47" s="852"/>
    </row>
    <row r="48" spans="2:8">
      <c r="B48" s="852" t="s">
        <v>2459</v>
      </c>
      <c r="C48" s="852"/>
    </row>
    <row r="49" spans="2:3">
      <c r="B49" s="852" t="s">
        <v>2460</v>
      </c>
      <c r="C49" s="852"/>
    </row>
    <row r="50" spans="2:3">
      <c r="B50" s="852" t="s">
        <v>2461</v>
      </c>
      <c r="C50" s="852"/>
    </row>
    <row r="51" spans="2:3">
      <c r="B51" s="852" t="s">
        <v>2462</v>
      </c>
      <c r="C51" s="852"/>
    </row>
    <row r="52" spans="2:3">
      <c r="B52" s="852" t="s">
        <v>2463</v>
      </c>
      <c r="C52" s="852"/>
    </row>
    <row r="53" spans="2:3">
      <c r="B53" s="852" t="s">
        <v>2464</v>
      </c>
      <c r="C53" s="852"/>
    </row>
    <row r="54" spans="2:3">
      <c r="B54" s="852" t="s">
        <v>9232</v>
      </c>
    </row>
    <row r="55" spans="2:3">
      <c r="B55" s="854" t="s">
        <v>3230</v>
      </c>
    </row>
    <row r="56" spans="2:3">
      <c r="B56" s="934" t="s">
        <v>9225</v>
      </c>
    </row>
    <row r="57" spans="2:3">
      <c r="B57" s="934" t="s">
        <v>9226</v>
      </c>
    </row>
    <row r="58" spans="2:3">
      <c r="B58" s="934" t="s">
        <v>9227</v>
      </c>
    </row>
    <row r="59" spans="2:3">
      <c r="B59" s="934" t="s">
        <v>9228</v>
      </c>
    </row>
    <row r="60" spans="2:3">
      <c r="B60" s="934" t="s">
        <v>9229</v>
      </c>
    </row>
  </sheetData>
  <printOptions horizontalCentered="1"/>
  <pageMargins left="0.5" right="0.5" top="0.61111111111111116" bottom="0.61111111111111116" header="0.3" footer="0.3"/>
  <pageSetup paperSize="0" scale="0" fitToHeight="0" orientation="landscape" horizontalDpi="0" verticalDpi="0" copies="0"/>
  <headerFooter>
    <oddHeader>&amp;Z&amp;R</oddHeader>
    <oddFooter>&amp;CShougang Hierro Perú S.A.A. — Beneficio ZA — Parámetros — Página &amp;P de &amp;F</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45</vt:i4>
      </vt:variant>
      <vt:variant>
        <vt:lpstr>Rangos con nombre</vt:lpstr>
      </vt:variant>
      <vt:variant>
        <vt:i4>60</vt:i4>
      </vt:variant>
    </vt:vector>
  </HeadingPairs>
  <TitlesOfParts>
    <vt:vector size="105" baseType="lpstr">
      <vt:lpstr>Menú</vt:lpstr>
      <vt:lpstr>Léeme</vt:lpstr>
      <vt:lpstr>Estado del Libro</vt:lpstr>
      <vt:lpstr>Config</vt:lpstr>
      <vt:lpstr>Captura-RDO</vt:lpstr>
      <vt:lpstr>Captura-Planta</vt:lpstr>
      <vt:lpstr>Control Reactivos</vt:lpstr>
      <vt:lpstr>Toneladas Molinos</vt:lpstr>
      <vt:lpstr>Agregado Medios</vt:lpstr>
      <vt:lpstr>Control Canaletas</vt:lpstr>
      <vt:lpstr>Fallas y Paradas</vt:lpstr>
      <vt:lpstr>Reporte Mantenimiento</vt:lpstr>
      <vt:lpstr>Mantto Bombas</vt:lpstr>
      <vt:lpstr>BALANZAS</vt:lpstr>
      <vt:lpstr>Avisos OT</vt:lpstr>
      <vt:lpstr>KPI</vt:lpstr>
      <vt:lpstr>Cálculo</vt:lpstr>
      <vt:lpstr>embarque</vt:lpstr>
      <vt:lpstr>KPI Mes</vt:lpstr>
      <vt:lpstr>Informe Mensual</vt:lpstr>
      <vt:lpstr>Operatividad</vt:lpstr>
      <vt:lpstr>Reporte Auto</vt:lpstr>
      <vt:lpstr>Índice Diario</vt:lpstr>
      <vt:lpstr>Vista RDO</vt:lpstr>
      <vt:lpstr>Resumen Avisos</vt:lpstr>
      <vt:lpstr>Control Días</vt:lpstr>
      <vt:lpstr>Auditoría</vt:lpstr>
      <vt:lpstr>Metas</vt:lpstr>
      <vt:lpstr>Catálogo</vt:lpstr>
      <vt:lpstr>Catálogo Controles</vt:lpstr>
      <vt:lpstr>INSPECCION DE CICLONES</vt:lpstr>
      <vt:lpstr>SOLPED FORROS RM-BM</vt:lpstr>
      <vt:lpstr>RTM-TRITURACION</vt:lpstr>
      <vt:lpstr>RTM-MAGNETICA</vt:lpstr>
      <vt:lpstr>RTM-FILTROS</vt:lpstr>
      <vt:lpstr>RTM-RELAVES</vt:lpstr>
      <vt:lpstr>RTM-EMBARQUE</vt:lpstr>
      <vt:lpstr>Datos Concentrado</vt:lpstr>
      <vt:lpstr>Datos Controles</vt:lpstr>
      <vt:lpstr>Registro RDO</vt:lpstr>
      <vt:lpstr>Bitácora RDO</vt:lpstr>
      <vt:lpstr>Maestro Equipos</vt:lpstr>
      <vt:lpstr>Mapa RDO</vt:lpstr>
      <vt:lpstr>Listas</vt:lpstr>
      <vt:lpstr>Parámetros</vt:lpstr>
      <vt:lpstr>'Captura-RDO'!Área_de_impresión</vt:lpstr>
      <vt:lpstr>embarque!Área_de_impresión</vt:lpstr>
      <vt:lpstr>'Estado del Libro'!Área_de_impresión</vt:lpstr>
      <vt:lpstr>'Informe Mensual'!Área_de_impresión</vt:lpstr>
      <vt:lpstr>KPI!Área_de_impresión</vt:lpstr>
      <vt:lpstr>Operatividad!Área_de_impresión</vt:lpstr>
      <vt:lpstr>CFG_DIAS</vt:lpstr>
      <vt:lpstr>CFG_FIN_MES</vt:lpstr>
      <vt:lpstr>CFG_HORA_INI</vt:lpstr>
      <vt:lpstr>CFG_HORAS</vt:lpstr>
      <vt:lpstr>CFG_MES</vt:lpstr>
      <vt:lpstr>CFG_MES_TXT</vt:lpstr>
      <vt:lpstr>CFG_SEL_ANIO</vt:lpstr>
      <vt:lpstr>CFG_SEL_MES</vt:lpstr>
      <vt:lpstr>CFG_SINTER_AREA</vt:lpstr>
      <vt:lpstr>CFG_SINTER_GUARDIA</vt:lpstr>
      <vt:lpstr>CFG_SINTER_PARAM</vt:lpstr>
      <vt:lpstr>CFG_USUARIO</vt:lpstr>
      <vt:lpstr>CFG_VERSION</vt:lpstr>
      <vt:lpstr>L_ANIOS</vt:lpstr>
      <vt:lpstr>L_AREA</vt:lpstr>
      <vt:lpstr>L_AREA_BIT</vt:lpstr>
      <vt:lpstr>L_CONDICION</vt:lpstr>
      <vt:lpstr>L_CRITICIDAD</vt:lpstr>
      <vt:lpstr>L_EQUIPOS</vt:lpstr>
      <vt:lpstr>L_ESPECIALIDAD</vt:lpstr>
      <vt:lpstr>L_ESTADO</vt:lpstr>
      <vt:lpstr>L_ESTADO_DATO</vt:lpstr>
      <vt:lpstr>L_ESTADO_DIA</vt:lpstr>
      <vt:lpstr>L_GUARDIA</vt:lpstr>
      <vt:lpstr>L_MODULOS</vt:lpstr>
      <vt:lpstr>L_TIPO_FALLA</vt:lpstr>
      <vt:lpstr>MESES</vt:lpstr>
      <vt:lpstr>P_AJUSTE_CONC</vt:lpstr>
      <vt:lpstr>P_BANDA</vt:lpstr>
      <vt:lpstr>P_CAP_ALIM_H</vt:lpstr>
      <vt:lpstr>P_CAP_ALIM_TURNO</vt:lpstr>
      <vt:lpstr>P_CAP_CONC_DIA</vt:lpstr>
      <vt:lpstr>P_CAP_CONC_H</vt:lpstr>
      <vt:lpstr>P_KPI_FE</vt:lpstr>
      <vt:lpstr>P_KPI_FEO</vt:lpstr>
      <vt:lpstr>P_KPI_S</vt:lpstr>
      <vt:lpstr>PLT_FECHA</vt:lpstr>
      <vt:lpstr>PPTO_CONC</vt:lpstr>
      <vt:lpstr>PPTO_SINTER</vt:lpstr>
      <vt:lpstr>RDO_FECHA</vt:lpstr>
      <vt:lpstr>REAL_CONC</vt:lpstr>
      <vt:lpstr>REAL_SINTER</vt:lpstr>
      <vt:lpstr>RPT_CLAVE</vt:lpstr>
      <vt:lpstr>RPT_DIA</vt:lpstr>
      <vt:lpstr>RPT_DIAS_MES</vt:lpstr>
      <vt:lpstr>RPT_FECHA</vt:lpstr>
      <vt:lpstr>RPT_FILA_INI</vt:lpstr>
      <vt:lpstr>RPT_FILA_TOT</vt:lpstr>
      <vt:lpstr>RPT_MES</vt:lpstr>
      <vt:lpstr>RPT_MES_NOMBRE</vt:lpstr>
      <vt:lpstr>RPT_PPTO_DIA_CONC</vt:lpstr>
      <vt:lpstr>RPT_PPTO_DIA_SINTER</vt:lpstr>
      <vt:lpstr>RPT_SEM_DIAS</vt:lpstr>
      <vt:lpstr>RPT_SEM_INI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Rommel Ralf Almiron Oviedo</dc:creator>
  <cp:keywords/>
  <dc:description/>
  <cp:lastModifiedBy>Jamil Figueroa</cp:lastModifiedBy>
  <cp:revision/>
  <cp:lastPrinted>2026-09-29T00:34:34Z</cp:lastPrinted>
  <dcterms:created xsi:type="dcterms:W3CDTF">2025-10-14T23:20:19Z</dcterms:created>
  <dcterms:modified xsi:type="dcterms:W3CDTF">2026-10-01T03:50:43Z</dcterms:modified>
  <cp:category/>
  <cp:contentStatus/>
</cp:coreProperties>
</file>